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illiammohr/BostonUniversity/AT731/"/>
    </mc:Choice>
  </mc:AlternateContent>
  <xr:revisionPtr revIDLastSave="0" documentId="13_ncr:1_{AEA2D2A0-9AF7-4D42-9A5F-FF479C5AB229}" xr6:coauthVersionLast="47" xr6:coauthVersionMax="47" xr10:uidLastSave="{00000000-0000-0000-0000-000000000000}"/>
  <bookViews>
    <workbookView xWindow="2840" yWindow="760" windowWidth="24220" windowHeight="20720" activeTab="1" xr2:uid="{00000000-000D-0000-FFFF-FFFF00000000}"/>
  </bookViews>
  <sheets>
    <sheet name="Appendix" sheetId="151" r:id="rId1"/>
    <sheet name="Summary Exhibit 1" sheetId="132" r:id="rId2"/>
    <sheet name="Summary Exhibit 2" sheetId="130" r:id="rId3"/>
    <sheet name="Summary Exhibit 3" sheetId="128" r:id="rId4"/>
    <sheet name="Exhibit A,S1" sheetId="17" r:id="rId5"/>
    <sheet name="Exhibit A,S2" sheetId="16" r:id="rId6"/>
    <sheet name="Exhibit B,S1" sheetId="67" r:id="rId7"/>
    <sheet name="Exhibit B, S1a" sheetId="157" r:id="rId8"/>
    <sheet name="Exhibit B,S2" sheetId="105" r:id="rId9"/>
    <sheet name="Exhibit B,S3" sheetId="106" r:id="rId10"/>
    <sheet name="Exhibit C,1" sheetId="15" r:id="rId11"/>
    <sheet name="Exhibit D,1" sheetId="31" r:id="rId12"/>
    <sheet name="Exhibit E,1" sheetId="13" r:id="rId13"/>
    <sheet name="Exhibit F,1" sheetId="129" r:id="rId14"/>
    <sheet name="Exhibit G,1" sheetId="79" r:id="rId15"/>
    <sheet name="Exhibit G,2" sheetId="78" r:id="rId16"/>
    <sheet name="Exhibit G,3" sheetId="77" r:id="rId17"/>
    <sheet name="Exhibit H,1" sheetId="10" r:id="rId18"/>
    <sheet name="Exhibit H,2" sheetId="36" r:id="rId19"/>
    <sheet name="Exhibit H,3" sheetId="35" r:id="rId20"/>
    <sheet name="Exhibit H,4" sheetId="34" r:id="rId21"/>
    <sheet name="Exhibit H,5" sheetId="33" r:id="rId22"/>
    <sheet name="Exhibit H,6" sheetId="38" r:id="rId23"/>
    <sheet name="Exhibit H,7" sheetId="37" r:id="rId24"/>
    <sheet name="Exhibit I,1" sheetId="11" r:id="rId25"/>
    <sheet name="Exhibit I,2" sheetId="9" r:id="rId26"/>
    <sheet name="Exhibit J,1" sheetId="8" r:id="rId27"/>
    <sheet name="Exhibit K,1" sheetId="72" r:id="rId28"/>
    <sheet name="Exhibit L,1" sheetId="7" r:id="rId29"/>
    <sheet name="Exhibit L,2" sheetId="70" r:id="rId30"/>
    <sheet name="Exhibit L,3" sheetId="69" r:id="rId31"/>
    <sheet name="Exhibit M,1" sheetId="6" r:id="rId32"/>
    <sheet name="Exhibit M,2" sheetId="71" r:id="rId33"/>
    <sheet name="Exhibit M,3" sheetId="26" r:id="rId34"/>
    <sheet name="Exhibit N,1" sheetId="5" r:id="rId35"/>
    <sheet name="Exhibit N,2" sheetId="41" r:id="rId36"/>
    <sheet name="Exhibit N,3" sheetId="40" r:id="rId37"/>
    <sheet name="Exhibit O,1" sheetId="39" r:id="rId38"/>
    <sheet name="Exhibit O,2" sheetId="42" r:id="rId39"/>
    <sheet name="Exhibit O,3" sheetId="4" r:id="rId40"/>
    <sheet name="Exhibit P,1" sheetId="43" r:id="rId41"/>
    <sheet name="Exhibit P,2" sheetId="68" r:id="rId42"/>
    <sheet name="Exhibit P,3" sheetId="3" r:id="rId43"/>
    <sheet name="Exhibit Q,1" sheetId="18" r:id="rId44"/>
    <sheet name="Exhibit Q,2" sheetId="100" r:id="rId45"/>
    <sheet name="Exhibit Q,3" sheetId="44" r:id="rId46"/>
    <sheet name="Exhibit Q,4" sheetId="101" r:id="rId47"/>
    <sheet name="Exhibit Q,5" sheetId="19" r:id="rId48"/>
    <sheet name="Exhibit Q,6" sheetId="102" r:id="rId49"/>
    <sheet name="Exhibit Q,7" sheetId="45" r:id="rId50"/>
    <sheet name="Exhibit Q,8" sheetId="103" r:id="rId51"/>
    <sheet name="Exhibit Q,9" sheetId="74" r:id="rId52"/>
    <sheet name="Exhibit Q,10" sheetId="104" r:id="rId53"/>
    <sheet name="Exhibit S,1" sheetId="161" r:id="rId54"/>
    <sheet name="Exhibit S,2" sheetId="164" r:id="rId55"/>
    <sheet name="Exhibit S,3" sheetId="163" r:id="rId56"/>
    <sheet name="Exhibit T,1" sheetId="24" r:id="rId57"/>
    <sheet name="Exhibit T,2" sheetId="50" r:id="rId58"/>
    <sheet name="Exhibit T,3" sheetId="49" r:id="rId59"/>
    <sheet name="Exhibit U,1" sheetId="23" r:id="rId60"/>
    <sheet name="Exhibit U,2" sheetId="118" r:id="rId61"/>
    <sheet name="Exhibit U,3" sheetId="133" r:id="rId62"/>
    <sheet name="Exhibit U,4" sheetId="53" r:id="rId63"/>
    <sheet name="Exhibit U,5" sheetId="54" r:id="rId64"/>
    <sheet name="Exhibit U,6" sheetId="28" r:id="rId65"/>
    <sheet name="Exhibit U,7" sheetId="56" r:id="rId66"/>
    <sheet name="Exhibit U,8" sheetId="55" r:id="rId67"/>
    <sheet name="Exhibit U,9" sheetId="27" r:id="rId68"/>
    <sheet name="Exhibit U,10" sheetId="107" r:id="rId69"/>
    <sheet name="Exhibit U,11" sheetId="111" r:id="rId70"/>
    <sheet name="Exhibit U,12" sheetId="108" r:id="rId71"/>
    <sheet name="Exhibit V,1" sheetId="117" r:id="rId72"/>
    <sheet name="Exhibit W,1" sheetId="160" r:id="rId73"/>
    <sheet name="RRG Exhbits=&gt;" sheetId="153" r:id="rId74"/>
    <sheet name="Exhibit A, 1a" sheetId="131" r:id="rId75"/>
    <sheet name="Exhibit A, 1b" sheetId="134" r:id="rId76"/>
    <sheet name="Exhibit A, 1c" sheetId="98" r:id="rId77"/>
    <sheet name="Exhibit A, 1d" sheetId="116" r:id="rId78"/>
    <sheet name="EXhbit A, 1e" sheetId="166" r:id="rId79"/>
    <sheet name="Exhibit A,2" sheetId="84" r:id="rId80"/>
    <sheet name="Exhibit A,3" sheetId="92" r:id="rId81"/>
    <sheet name="Exhibit B,1" sheetId="99" r:id="rId82"/>
    <sheet name="Exhibit B,2" sheetId="87" r:id="rId83"/>
    <sheet name="Exhibit B,3" sheetId="91" r:id="rId84"/>
    <sheet name="Exhibit C, 1" sheetId="85" r:id="rId85"/>
    <sheet name="Exhibit C,2" sheetId="90" r:id="rId86"/>
    <sheet name="Exhibit C,3" sheetId="95" r:id="rId87"/>
    <sheet name="Exhibit D, 1" sheetId="110" r:id="rId88"/>
    <sheet name="Exhibit D,2" sheetId="109" r:id="rId89"/>
    <sheet name="Exhbit D,3" sheetId="165" r:id="rId90"/>
    <sheet name="Exhibit D,4" sheetId="115" r:id="rId91"/>
    <sheet name="Exhibit E, 1" sheetId="136" r:id="rId92"/>
    <sheet name="Exhibit R,S1" sheetId="143" r:id="rId93"/>
    <sheet name="Exhibit R,S2" sheetId="144" r:id="rId94"/>
    <sheet name="Exhibit R,S3" sheetId="145" r:id="rId95"/>
    <sheet name="Exhibit R,S4" sheetId="146" r:id="rId96"/>
    <sheet name="Exhibit R,S5" sheetId="147" r:id="rId97"/>
    <sheet name="Exhibit R,S6" sheetId="148" r:id="rId98"/>
    <sheet name="Exhibit R,S7" sheetId="149" r:id="rId99"/>
    <sheet name="Exhibit R,S8" sheetId="150" r:id="rId100"/>
    <sheet name="Exhibit R,S9" sheetId="152" r:id="rId101"/>
    <sheet name="Exhibit R,10" sheetId="159" r:id="rId102"/>
    <sheet name=" Schedule P IBNR" sheetId="158" r:id="rId103"/>
    <sheet name="AF1" sheetId="30" r:id="rId104"/>
    <sheet name="AF21" sheetId="61" r:id="rId105"/>
    <sheet name="AF22" sheetId="86" r:id="rId106"/>
    <sheet name="AF31" sheetId="89" r:id="rId107"/>
    <sheet name="AF32" sheetId="88" r:id="rId108"/>
    <sheet name="EF" sheetId="12" r:id="rId109"/>
    <sheet name="Loss Ratio Recon" sheetId="137" r:id="rId110"/>
    <sheet name="EC2" sheetId="96" r:id="rId111"/>
    <sheet name="AD6" sheetId="46" r:id="rId112"/>
    <sheet name="AD7" sheetId="47" r:id="rId113"/>
    <sheet name="AD8" sheetId="119" r:id="rId114"/>
    <sheet name="AD8 Stat" sheetId="138" r:id="rId115"/>
    <sheet name="AD9" sheetId="120" r:id="rId116"/>
    <sheet name="AD10" sheetId="121" r:id="rId117"/>
    <sheet name="AD11" sheetId="122" r:id="rId118"/>
    <sheet name="AD12" sheetId="123" r:id="rId119"/>
    <sheet name="AD13" sheetId="124" r:id="rId120"/>
    <sheet name="AD IIC Total" sheetId="139" r:id="rId121"/>
    <sheet name="AD14" sheetId="125" r:id="rId122"/>
    <sheet name="AD14 xMID" sheetId="141" r:id="rId123"/>
    <sheet name="AD15" sheetId="126" r:id="rId124"/>
    <sheet name="AD16" sheetId="127" r:id="rId125"/>
    <sheet name="AD RRG Total" sheetId="140" r:id="rId126"/>
    <sheet name="CapD1" sheetId="94" r:id="rId127"/>
    <sheet name="CapE" sheetId="93" r:id="rId128"/>
    <sheet name="CapF" sheetId="97" r:id="rId129"/>
    <sheet name="DDR" sheetId="135" r:id="rId130"/>
    <sheet name="Exhibit S,1 OLD" sheetId="20" r:id="rId131"/>
    <sheet name="Exhibit S,2 OLD" sheetId="82" r:id="rId132"/>
    <sheet name="Exhibit S,3 OLD" sheetId="73" r:id="rId133"/>
    <sheet name="Exhibit S,4 OLD" sheetId="81" r:id="rId134"/>
    <sheet name="Exhibit S,5 OLD" sheetId="83" r:id="rId135"/>
  </sheets>
  <externalReferences>
    <externalReference r:id="rId136"/>
  </externalReferences>
  <definedNames>
    <definedName name="_xlnm._FilterDatabase" localSheetId="92" hidden="1">'Exhibit R,S1'!#REF!</definedName>
    <definedName name="_xlnm._FilterDatabase" localSheetId="93" hidden="1">'Exhibit R,S2'!#REF!</definedName>
    <definedName name="_xlnm._FilterDatabase" localSheetId="94" hidden="1">'Exhibit R,S3'!#REF!</definedName>
    <definedName name="_xlnm._FilterDatabase" localSheetId="95" hidden="1">'Exhibit R,S4'!#REF!</definedName>
    <definedName name="_xlnm._FilterDatabase" localSheetId="96" hidden="1">'Exhibit R,S5'!#REF!</definedName>
    <definedName name="_xlnm._FilterDatabase" localSheetId="97" hidden="1">'Exhibit R,S6'!#REF!</definedName>
    <definedName name="_xlnm._FilterDatabase" localSheetId="98" hidden="1">'Exhibit R,S7'!#REF!</definedName>
    <definedName name="_xlnm._FilterDatabase" localSheetId="99" hidden="1">'Exhibit R,S8'!#REF!</definedName>
    <definedName name="_xlnm._FilterDatabase" localSheetId="100" hidden="1">'Exhibit R,S9'!#REF!</definedName>
    <definedName name="_xlnm._FilterDatabase" localSheetId="65" hidden="1">'Exhibit U,7'!$AU$31:$AU$40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TODAY" hidden="1">0</definedName>
    <definedName name="IQ_YTDMONTH" hidden="1">130000</definedName>
    <definedName name="_xlnm.Print_Area" localSheetId="111">'AD6'!$A$1:$M$56</definedName>
    <definedName name="_xlnm.Print_Area" localSheetId="112">'AD7'!$A$1:$M$56</definedName>
    <definedName name="_xlnm.Print_Area" localSheetId="103">'AF1'!$A$1:$W$55</definedName>
    <definedName name="_xlnm.Print_Area" localSheetId="104">'AF21'!$A$1:$Y$80</definedName>
    <definedName name="_xlnm.Print_Area" localSheetId="105">'AF22'!$A$1:$W$78</definedName>
    <definedName name="_xlnm.Print_Area" localSheetId="106">'AF31'!$A$1:$Y$80</definedName>
    <definedName name="_xlnm.Print_Area" localSheetId="107">'AF32'!$A$1:$AA$80</definedName>
    <definedName name="_xlnm.Print_Area" localSheetId="126">CapD1!$A$1:$O$42</definedName>
    <definedName name="_xlnm.Print_Area" localSheetId="127">CapE!$A$1:$O$48</definedName>
    <definedName name="_xlnm.Print_Area" localSheetId="128">CapF!$A$1:$M$44</definedName>
    <definedName name="_xlnm.Print_Area" localSheetId="110">'EC2'!$A$1:$M$44</definedName>
    <definedName name="_xlnm.Print_Area" localSheetId="108">EF!$A$1:$W$59</definedName>
    <definedName name="_xlnm.Print_Area" localSheetId="74">'Exhibit A, 1a'!$A$1:$K$78</definedName>
    <definedName name="_xlnm.Print_Area" localSheetId="75">'Exhibit A, 1b'!$A$1:$S$72</definedName>
    <definedName name="_xlnm.Print_Area" localSheetId="76">'Exhibit A, 1c'!$A$1:$M$81</definedName>
    <definedName name="_xlnm.Print_Area" localSheetId="77">'Exhibit A, 1d'!$A$1:$AE$66</definedName>
    <definedName name="_xlnm.Print_Area" localSheetId="79">'Exhibit A,2'!$A$1:$W$83</definedName>
    <definedName name="_xlnm.Print_Area" localSheetId="80">'Exhibit A,3'!$A$1:$AK$97</definedName>
    <definedName name="_xlnm.Print_Area" localSheetId="4">'Exhibit A,S1'!$A$1:$K$62</definedName>
    <definedName name="_xlnm.Print_Area" localSheetId="5">'Exhibit A,S2'!$A$1:$K$63</definedName>
    <definedName name="_xlnm.Print_Area" localSheetId="81">'Exhibit B,1'!$A$1:$M$82</definedName>
    <definedName name="_xlnm.Print_Area" localSheetId="82">'Exhibit B,2'!$A$1:$W$86</definedName>
    <definedName name="_xlnm.Print_Area" localSheetId="83">'Exhibit B,3'!$A$1:$AK$89</definedName>
    <definedName name="_xlnm.Print_Area" localSheetId="6">'Exhibit B,S1'!$A$1:$S$55</definedName>
    <definedName name="_xlnm.Print_Area" localSheetId="8">'Exhibit B,S2'!$A$157:$Z$199</definedName>
    <definedName name="_xlnm.Print_Area" localSheetId="9">'Exhibit B,S3'!$A$1:$Y$54</definedName>
    <definedName name="_xlnm.Print_Area" localSheetId="84">'Exhibit C, 1'!$A$1:$W$52</definedName>
    <definedName name="_xlnm.Print_Area" localSheetId="10">'Exhibit C,1'!$A$1:$K$51</definedName>
    <definedName name="_xlnm.Print_Area" localSheetId="85">'Exhibit C,2'!$A$1:$S$53</definedName>
    <definedName name="_xlnm.Print_Area" localSheetId="86">'Exhibit C,3'!$A$1:$S$47</definedName>
    <definedName name="_xlnm.Print_Area" localSheetId="87">'Exhibit D, 1'!$N$1:$AV$44</definedName>
    <definedName name="_xlnm.Print_Area" localSheetId="11">'Exhibit D,1'!$A$1:$M$47</definedName>
    <definedName name="_xlnm.Print_Area" localSheetId="88">'Exhibit D,2'!$A$1:$AG$69</definedName>
    <definedName name="_xlnm.Print_Area" localSheetId="90">'Exhibit D,4'!$A$1:$AC$69</definedName>
    <definedName name="_xlnm.Print_Area" localSheetId="91">'Exhibit E, 1'!$A$1:$S$43</definedName>
    <definedName name="_xlnm.Print_Area" localSheetId="12">'Exhibit E,1'!$A$1:$K$55</definedName>
    <definedName name="_xlnm.Print_Area" localSheetId="13">'Exhibit F,1'!$A$1:$AE$65</definedName>
    <definedName name="_xlnm.Print_Area" localSheetId="14">'Exhibit G,1'!$A$1:$O$58</definedName>
    <definedName name="_xlnm.Print_Area" localSheetId="16">'Exhibit G,3'!$A$1:$K$55</definedName>
    <definedName name="_xlnm.Print_Area" localSheetId="17">'Exhibit H,1'!$A$1:$K$56</definedName>
    <definedName name="_xlnm.Print_Area" localSheetId="18">'Exhibit H,2'!$A$1:$K$56</definedName>
    <definedName name="_xlnm.Print_Area" localSheetId="19">'Exhibit H,3'!$A$1:$K$56</definedName>
    <definedName name="_xlnm.Print_Area" localSheetId="20">'Exhibit H,4'!$A$1:$K$54</definedName>
    <definedName name="_xlnm.Print_Area" localSheetId="21">'Exhibit H,5'!$A$1:$K$54</definedName>
    <definedName name="_xlnm.Print_Area" localSheetId="22">'Exhibit H,6'!$A$1:$K$54</definedName>
    <definedName name="_xlnm.Print_Area" localSheetId="23">'Exhibit H,7'!$A$1:$K$54</definedName>
    <definedName name="_xlnm.Print_Area" localSheetId="24">'Exhibit I,1'!$A$1:$I$53</definedName>
    <definedName name="_xlnm.Print_Area" localSheetId="25">'Exhibit I,2'!$A$1:$I$52</definedName>
    <definedName name="_xlnm.Print_Area" localSheetId="26">'Exhibit J,1'!$A$1:$K$56</definedName>
    <definedName name="_xlnm.Print_Area" localSheetId="27">'Exhibit K,1'!$A$1:$O$56</definedName>
    <definedName name="_xlnm.Print_Area" localSheetId="28">'Exhibit L,1'!$A$1:$K$54</definedName>
    <definedName name="_xlnm.Print_Area" localSheetId="29">'Exhibit L,2'!$A$1:$K$57</definedName>
    <definedName name="_xlnm.Print_Area" localSheetId="30">'Exhibit L,3'!$A$1:$K$57</definedName>
    <definedName name="_xlnm.Print_Area" localSheetId="31">'Exhibit M,1'!$A$1:$K$56</definedName>
    <definedName name="_xlnm.Print_Area" localSheetId="32">'Exhibit M,2'!$A$1:$K$58</definedName>
    <definedName name="_xlnm.Print_Area" localSheetId="33">'Exhibit M,3'!$A$1:$K$59</definedName>
    <definedName name="_xlnm.Print_Area" localSheetId="34">'Exhibit N,1'!$A$1:$K$58</definedName>
    <definedName name="_xlnm.Print_Area" localSheetId="35">'Exhibit N,2'!$A$1:$K$60</definedName>
    <definedName name="_xlnm.Print_Area" localSheetId="36">'Exhibit N,3'!$A$1:$K$59</definedName>
    <definedName name="_xlnm.Print_Area" localSheetId="37">'Exhibit O,1'!$A$1:$K$55</definedName>
    <definedName name="_xlnm.Print_Area" localSheetId="38">'Exhibit O,2'!$A$1:$K$56</definedName>
    <definedName name="_xlnm.Print_Area" localSheetId="39">'Exhibit O,3'!$A$1:$K$57</definedName>
    <definedName name="_xlnm.Print_Area" localSheetId="40">'Exhibit P,1'!$A$1:$K$56</definedName>
    <definedName name="_xlnm.Print_Area" localSheetId="41">'Exhibit P,2'!$A$1:$O$63</definedName>
    <definedName name="_xlnm.Print_Area" localSheetId="42">'Exhibit P,3'!$A$1:$M$55</definedName>
    <definedName name="_xlnm.Print_Area" localSheetId="43">'Exhibit Q,1'!$A$1:$M$49</definedName>
    <definedName name="_xlnm.Print_Area" localSheetId="52">'Exhibit Q,10'!$A$1:$P$54</definedName>
    <definedName name="_xlnm.Print_Area" localSheetId="44">'Exhibit Q,2'!$A$1:$M$49</definedName>
    <definedName name="_xlnm.Print_Area" localSheetId="45">'Exhibit Q,3'!$A$1:$M$49</definedName>
    <definedName name="_xlnm.Print_Area" localSheetId="46">'Exhibit Q,4'!$A$1:$M$49</definedName>
    <definedName name="_xlnm.Print_Area" localSheetId="47">'Exhibit Q,5'!$A$1:$M$49</definedName>
    <definedName name="_xlnm.Print_Area" localSheetId="48">'Exhibit Q,6'!$A$1:$M$48</definedName>
    <definedName name="_xlnm.Print_Area" localSheetId="49">'Exhibit Q,7'!$A$1:$M$49</definedName>
    <definedName name="_xlnm.Print_Area" localSheetId="50">'Exhibit Q,8'!$A$1:$M$48</definedName>
    <definedName name="_xlnm.Print_Area" localSheetId="51">'Exhibit Q,9'!$A$1:$P$59</definedName>
    <definedName name="_xlnm.Print_Area" localSheetId="101">'Exhibit R,10'!$A$1:$Q$108</definedName>
    <definedName name="_xlnm.Print_Area" localSheetId="92">'Exhibit R,S1'!$A$1:$U$108</definedName>
    <definedName name="_xlnm.Print_Area" localSheetId="93">'Exhibit R,S2'!$A$1:$U$108</definedName>
    <definedName name="_xlnm.Print_Area" localSheetId="94">'Exhibit R,S3'!$A$1:$U$108</definedName>
    <definedName name="_xlnm.Print_Area" localSheetId="95">'Exhibit R,S4'!$A$1:$U$108</definedName>
    <definedName name="_xlnm.Print_Area" localSheetId="96">'Exhibit R,S5'!$A$1:$Q$63</definedName>
    <definedName name="_xlnm.Print_Area" localSheetId="97">'Exhibit R,S6'!$A$1:$Q$64</definedName>
    <definedName name="_xlnm.Print_Area" localSheetId="98">'Exhibit R,S7'!$A$1:$Q$64</definedName>
    <definedName name="_xlnm.Print_Area" localSheetId="99">'Exhibit R,S8'!$A$1:$Q$64</definedName>
    <definedName name="_xlnm.Print_Area" localSheetId="100">'Exhibit R,S9'!$A$1:$AM$108</definedName>
    <definedName name="_xlnm.Print_Area" localSheetId="53">'Exhibit S,1'!$A$1:$W$54</definedName>
    <definedName name="_xlnm.Print_Area" localSheetId="130">'Exhibit S,1 OLD'!$A$1:$O$56</definedName>
    <definedName name="_xlnm.Print_Area" localSheetId="54">'Exhibit S,2'!$A$1:$S$54</definedName>
    <definedName name="_xlnm.Print_Area" localSheetId="131">'Exhibit S,2 OLD'!$A$1:$M$53</definedName>
    <definedName name="_xlnm.Print_Area" localSheetId="55">'Exhibit S,3'!$A$1:$S$49</definedName>
    <definedName name="_xlnm.Print_Area" localSheetId="132">'Exhibit S,3 OLD'!$A$1:$O$56</definedName>
    <definedName name="_xlnm.Print_Area" localSheetId="133">'Exhibit S,4 OLD'!$A$1:$M$53</definedName>
    <definedName name="_xlnm.Print_Area" localSheetId="134">'Exhibit S,5 OLD'!$A$1:$M$62</definedName>
    <definedName name="_xlnm.Print_Area" localSheetId="56">'Exhibit T,1'!$A$1:$M$43</definedName>
    <definedName name="_xlnm.Print_Area" localSheetId="57">'Exhibit T,2'!$A$1:$M$57</definedName>
    <definedName name="_xlnm.Print_Area" localSheetId="58">'Exhibit T,3'!$A$1:$M$58</definedName>
    <definedName name="_xlnm.Print_Area" localSheetId="59">'Exhibit U,1'!$A$1:$S$80</definedName>
    <definedName name="_xlnm.Print_Area" localSheetId="68">'Exhibit U,10'!$A$1:$M$65</definedName>
    <definedName name="_xlnm.Print_Area" localSheetId="69">'Exhibit U,11'!$A$1:$AH$70</definedName>
    <definedName name="_xlnm.Print_Area" localSheetId="70">'Exhibit U,12'!$A$1:$O$67</definedName>
    <definedName name="_xlnm.Print_Area" localSheetId="60">'Exhibit U,2'!$A$1:$S$80</definedName>
    <definedName name="_xlnm.Print_Area" localSheetId="61">'Exhibit U,3'!$A$1:$S$80</definedName>
    <definedName name="_xlnm.Print_Area" localSheetId="62">'Exhibit U,4'!$A$1:$K$61</definedName>
    <definedName name="_xlnm.Print_Area" localSheetId="63">'Exhibit U,5'!$A$1:$S$64</definedName>
    <definedName name="_xlnm.Print_Area" localSheetId="64">'Exhibit U,6'!$A$1:$S$64</definedName>
    <definedName name="_xlnm.Print_Area" localSheetId="65">'Exhibit U,7'!$A$1:$Q$65</definedName>
    <definedName name="_xlnm.Print_Area" localSheetId="66">'Exhibit U,8'!$A$1:$S$64</definedName>
    <definedName name="_xlnm.Print_Area" localSheetId="67">'Exhibit U,9'!$A$1:$S$64</definedName>
    <definedName name="_xlnm.Print_Area" localSheetId="71">'Exhibit V,1'!$A$1:$AE$67</definedName>
    <definedName name="_xlnm.Print_Area" localSheetId="72">'Exhibit W,1'!$A$1:$S$43</definedName>
    <definedName name="_xlnm.Print_Area" localSheetId="1">'Summary Exhibit 1'!$A$1:$P$55</definedName>
    <definedName name="_xlnm.Print_Area" localSheetId="2">'Summary Exhibit 2'!$A$1:$Y$52</definedName>
    <definedName name="_xlnm.Print_Area" localSheetId="3">'Summary Exhibit 3'!$A$1:$AC$50</definedName>
    <definedName name="_xlnm.Print_Titles" localSheetId="92">'Exhibit R,S1'!$A:$A</definedName>
    <definedName name="_xlnm.Print_Titles" localSheetId="93">'Exhibit R,S2'!$A:$A</definedName>
    <definedName name="_xlnm.Print_Titles" localSheetId="94">'Exhibit R,S3'!$A:$A</definedName>
    <definedName name="_xlnm.Print_Titles" localSheetId="95">'Exhibit R,S4'!$A:$A</definedName>
    <definedName name="_xlnm.Print_Titles" localSheetId="96">'Exhibit R,S5'!$A:$A</definedName>
    <definedName name="_xlnm.Print_Titles" localSheetId="97">'Exhibit R,S6'!$A:$A</definedName>
    <definedName name="_xlnm.Print_Titles" localSheetId="98">'Exhibit R,S7'!$A:$A</definedName>
    <definedName name="_xlnm.Print_Titles" localSheetId="99">'Exhibit R,S8'!$A:$A</definedName>
    <definedName name="_xlnm.Print_Titles" localSheetId="100">'Exhibit R,S9'!$A:$A</definedName>
    <definedName name="_xlnm.Print_Titles" localSheetId="71">'Exhibit V,1'!$1:$8</definedName>
    <definedName name="utilo.version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7" i="15" l="1"/>
  <c r="E48" i="106"/>
  <c r="E96" i="105"/>
  <c r="G186" i="105"/>
  <c r="C37" i="128"/>
  <c r="H29" i="132"/>
  <c r="AA201" i="105" l="1"/>
  <c r="AA208" i="105" l="1"/>
  <c r="AA202" i="105"/>
  <c r="C102" i="151" l="1"/>
  <c r="C92" i="151"/>
  <c r="C93" i="151"/>
  <c r="C94" i="151"/>
  <c r="C95" i="151"/>
  <c r="C96" i="151"/>
  <c r="C97" i="151"/>
  <c r="C98" i="151"/>
  <c r="C99" i="151"/>
  <c r="C100" i="151"/>
  <c r="C101" i="151"/>
  <c r="C89" i="151"/>
  <c r="C90" i="151"/>
  <c r="C91" i="151"/>
  <c r="C70" i="151"/>
  <c r="C71" i="151"/>
  <c r="C72" i="151"/>
  <c r="C73" i="151"/>
  <c r="C74" i="151"/>
  <c r="C75" i="151"/>
  <c r="C76" i="151"/>
  <c r="C77" i="151"/>
  <c r="C78" i="151"/>
  <c r="C79" i="151"/>
  <c r="C80" i="151"/>
  <c r="C81" i="151"/>
  <c r="C82" i="151"/>
  <c r="C83" i="151"/>
  <c r="C84" i="151"/>
  <c r="C85" i="151"/>
  <c r="C86" i="151"/>
  <c r="C87" i="151"/>
  <c r="C88" i="151"/>
  <c r="C39" i="151"/>
  <c r="C40" i="151"/>
  <c r="C41" i="151"/>
  <c r="C42" i="151"/>
  <c r="C43" i="151"/>
  <c r="C44" i="151"/>
  <c r="C45" i="151"/>
  <c r="C46" i="151"/>
  <c r="C47" i="151"/>
  <c r="C48" i="151"/>
  <c r="C49" i="151"/>
  <c r="C50" i="151"/>
  <c r="C51" i="151"/>
  <c r="C52" i="151"/>
  <c r="C53" i="151"/>
  <c r="C54" i="151"/>
  <c r="C55" i="151"/>
  <c r="C56" i="151"/>
  <c r="C57" i="151"/>
  <c r="C58" i="151"/>
  <c r="C59" i="151"/>
  <c r="C60" i="151"/>
  <c r="C61" i="151"/>
  <c r="C62" i="151"/>
  <c r="C63" i="151"/>
  <c r="C64" i="151"/>
  <c r="C65" i="151"/>
  <c r="C66" i="151"/>
  <c r="C67" i="151"/>
  <c r="C68" i="151"/>
  <c r="C69" i="151"/>
  <c r="C38" i="151"/>
  <c r="F37" i="151"/>
  <c r="AG55" i="23" l="1"/>
  <c r="AD22" i="107"/>
  <c r="AF22" i="107" s="1"/>
  <c r="AD21" i="107"/>
  <c r="AF21" i="107" s="1"/>
  <c r="AD18" i="107"/>
  <c r="AF18" i="107" s="1"/>
  <c r="AD17" i="107"/>
  <c r="AF17" i="107" s="1"/>
  <c r="AD16" i="107"/>
  <c r="AF16" i="107" s="1"/>
  <c r="AD15" i="107"/>
  <c r="AF15" i="107" s="1"/>
  <c r="G30" i="158" l="1"/>
  <c r="G73" i="158" s="1"/>
  <c r="F30" i="158"/>
  <c r="G29" i="158"/>
  <c r="G72" i="158" s="1"/>
  <c r="F29" i="158"/>
  <c r="D65" i="158"/>
  <c r="J73" i="158"/>
  <c r="I73" i="158"/>
  <c r="K73" i="158" s="1"/>
  <c r="J72" i="158"/>
  <c r="I72" i="158"/>
  <c r="J71" i="158"/>
  <c r="I71" i="158"/>
  <c r="K71" i="158" s="1"/>
  <c r="J70" i="158"/>
  <c r="I70" i="158"/>
  <c r="J69" i="158"/>
  <c r="I69" i="158"/>
  <c r="K69" i="158" s="1"/>
  <c r="J68" i="158"/>
  <c r="I68" i="158"/>
  <c r="J67" i="158"/>
  <c r="I67" i="158"/>
  <c r="K67" i="158" s="1"/>
  <c r="J66" i="158"/>
  <c r="I66" i="158"/>
  <c r="K66" i="158" s="1"/>
  <c r="J65" i="158"/>
  <c r="I65" i="158"/>
  <c r="K65" i="158" s="1"/>
  <c r="J64" i="158"/>
  <c r="K64" i="158" s="1"/>
  <c r="I64" i="158"/>
  <c r="J63" i="158"/>
  <c r="I63" i="158"/>
  <c r="K63" i="158" s="1"/>
  <c r="J62" i="158"/>
  <c r="I62" i="158"/>
  <c r="K62" i="158" s="1"/>
  <c r="J61" i="158"/>
  <c r="I61" i="158"/>
  <c r="K61" i="158" s="1"/>
  <c r="G71" i="158"/>
  <c r="G70" i="158"/>
  <c r="G69" i="158"/>
  <c r="G68" i="158"/>
  <c r="G67" i="158"/>
  <c r="G66" i="158"/>
  <c r="G65" i="158"/>
  <c r="G64" i="158"/>
  <c r="G63" i="158"/>
  <c r="G62" i="158"/>
  <c r="G61" i="158"/>
  <c r="F73" i="158"/>
  <c r="F72" i="158"/>
  <c r="F71" i="158"/>
  <c r="F70" i="158"/>
  <c r="F69" i="158"/>
  <c r="F68" i="158"/>
  <c r="F67" i="158"/>
  <c r="F66" i="158"/>
  <c r="F65" i="158"/>
  <c r="F64" i="158"/>
  <c r="F63" i="158"/>
  <c r="F62" i="158"/>
  <c r="F61" i="158"/>
  <c r="E68" i="158"/>
  <c r="E67" i="158"/>
  <c r="E66" i="158"/>
  <c r="E65" i="158"/>
  <c r="E64" i="158"/>
  <c r="E63" i="158"/>
  <c r="E62" i="158"/>
  <c r="E61" i="158"/>
  <c r="D68" i="158"/>
  <c r="D67" i="158"/>
  <c r="D66" i="158"/>
  <c r="D64" i="158"/>
  <c r="D63" i="158"/>
  <c r="D62" i="158"/>
  <c r="D61" i="158"/>
  <c r="J157" i="158"/>
  <c r="J156" i="158"/>
  <c r="J155" i="158"/>
  <c r="J154" i="158"/>
  <c r="J153" i="158"/>
  <c r="A141" i="158"/>
  <c r="M141" i="158"/>
  <c r="Y141" i="158"/>
  <c r="A98" i="158"/>
  <c r="M98" i="158" s="1"/>
  <c r="A55" i="158"/>
  <c r="M55" i="158" s="1"/>
  <c r="M12" i="158"/>
  <c r="Y12" i="158"/>
  <c r="AI57" i="15"/>
  <c r="AI55" i="15"/>
  <c r="Y55" i="158" l="1"/>
  <c r="Y98" i="158"/>
  <c r="K72" i="158"/>
  <c r="K68" i="158"/>
  <c r="K70" i="158"/>
  <c r="W76" i="15"/>
  <c r="W75" i="15"/>
  <c r="W74" i="15"/>
  <c r="W73" i="15"/>
  <c r="W72" i="15"/>
  <c r="W71" i="15"/>
  <c r="W70" i="15"/>
  <c r="W69" i="15"/>
  <c r="W68" i="15"/>
  <c r="W67" i="15"/>
  <c r="W66" i="15"/>
  <c r="W65" i="15"/>
  <c r="W64" i="15"/>
  <c r="W63" i="15"/>
  <c r="W62" i="15"/>
  <c r="W61" i="15"/>
  <c r="W60" i="15"/>
  <c r="W59" i="15"/>
  <c r="W58" i="15"/>
  <c r="O59" i="15"/>
  <c r="O60" i="15" s="1"/>
  <c r="O61" i="15" s="1"/>
  <c r="O62" i="15" s="1"/>
  <c r="O63" i="15" s="1"/>
  <c r="O64" i="15" s="1"/>
  <c r="O65" i="15" s="1"/>
  <c r="O66" i="15" s="1"/>
  <c r="O67" i="15" s="1"/>
  <c r="O68" i="15" s="1"/>
  <c r="O69" i="15" s="1"/>
  <c r="O70" i="15" s="1"/>
  <c r="O71" i="15" s="1"/>
  <c r="O72" i="15" s="1"/>
  <c r="O73" i="15" s="1"/>
  <c r="O74" i="15" s="1"/>
  <c r="O75" i="15" s="1"/>
  <c r="O76" i="15" s="1"/>
  <c r="O77" i="15" s="1"/>
  <c r="O78" i="15" s="1"/>
  <c r="O79" i="15" s="1"/>
  <c r="O80" i="15" s="1"/>
  <c r="O81" i="15" s="1"/>
  <c r="O82" i="15" s="1"/>
  <c r="O83" i="15" s="1"/>
  <c r="O84" i="15" s="1"/>
  <c r="O85" i="15" s="1"/>
  <c r="O86" i="15" s="1"/>
  <c r="U55" i="15"/>
  <c r="V55" i="15" s="1"/>
  <c r="W55" i="15" s="1"/>
  <c r="X55" i="15" s="1"/>
  <c r="Y55" i="15" s="1"/>
  <c r="Z55" i="15" s="1"/>
  <c r="AA55" i="15" s="1"/>
  <c r="AB55" i="15" s="1"/>
  <c r="AC55" i="15" s="1"/>
  <c r="AD55" i="15" s="1"/>
  <c r="AE55" i="15" s="1"/>
  <c r="AF55" i="15" s="1"/>
  <c r="AG55" i="15" s="1"/>
  <c r="U13" i="15"/>
  <c r="V13" i="15" s="1"/>
  <c r="W13" i="15" s="1"/>
  <c r="X13" i="15" s="1"/>
  <c r="Y13" i="15" s="1"/>
  <c r="Z13" i="15" s="1"/>
  <c r="AA13" i="15" s="1"/>
  <c r="AB13" i="15" s="1"/>
  <c r="AC13" i="15" s="1"/>
  <c r="AD13" i="15" s="1"/>
  <c r="AE13" i="15" s="1"/>
  <c r="AF13" i="15" s="1"/>
  <c r="AG13" i="15" s="1"/>
  <c r="AH13" i="15" s="1"/>
  <c r="AI13" i="15" s="1"/>
  <c r="AJ13" i="15" s="1"/>
  <c r="AI32" i="15" l="1"/>
  <c r="AI31" i="15"/>
  <c r="AI30" i="15"/>
  <c r="AI29" i="15"/>
  <c r="AI28" i="15"/>
  <c r="AI27" i="15"/>
  <c r="AI26" i="15"/>
  <c r="AI25" i="15"/>
  <c r="AI24" i="15"/>
  <c r="AI23" i="15"/>
  <c r="AI22" i="15"/>
  <c r="AI21" i="15"/>
  <c r="AI20" i="15"/>
  <c r="AI19" i="15"/>
  <c r="AI18" i="15"/>
  <c r="AI17" i="15"/>
  <c r="AI16" i="15"/>
  <c r="W32" i="15"/>
  <c r="W31" i="15"/>
  <c r="W30" i="15"/>
  <c r="W29" i="15"/>
  <c r="W28" i="15"/>
  <c r="W27" i="15"/>
  <c r="W26" i="15"/>
  <c r="W25" i="15"/>
  <c r="W24" i="15"/>
  <c r="W23" i="15"/>
  <c r="W22" i="15"/>
  <c r="W21" i="15"/>
  <c r="W20" i="15"/>
  <c r="W19" i="15"/>
  <c r="W18" i="15"/>
  <c r="W17" i="15"/>
  <c r="W16" i="15"/>
  <c r="U34" i="15"/>
  <c r="W34" i="15" s="1"/>
  <c r="U33" i="15"/>
  <c r="W33" i="15" s="1"/>
  <c r="CD26" i="92" l="1"/>
  <c r="CD25" i="92"/>
  <c r="CD24" i="92"/>
  <c r="CD23" i="92"/>
  <c r="CD22" i="92"/>
  <c r="CD21" i="92"/>
  <c r="CD20" i="92"/>
  <c r="CD19" i="92"/>
  <c r="CD18" i="92"/>
  <c r="CD17" i="92"/>
  <c r="V68" i="116" l="1"/>
  <c r="V67" i="116"/>
  <c r="V66" i="116"/>
  <c r="V65" i="116"/>
  <c r="V64" i="116"/>
  <c r="V63" i="116"/>
  <c r="V62" i="116"/>
  <c r="V61" i="116"/>
  <c r="V60" i="116"/>
  <c r="Y59" i="116" l="1"/>
  <c r="BI86" i="105"/>
  <c r="BI46" i="105"/>
  <c r="BD47" i="106" l="1"/>
  <c r="X18" i="131" l="1"/>
  <c r="AB18" i="131" s="1"/>
  <c r="AK44" i="166"/>
  <c r="Z43" i="131" s="1"/>
  <c r="AM44" i="166"/>
  <c r="AK30" i="166"/>
  <c r="AM30" i="166"/>
  <c r="AK16" i="166"/>
  <c r="AK58" i="166" s="1"/>
  <c r="AM16" i="166"/>
  <c r="AM58" i="166" s="1"/>
  <c r="T43" i="131"/>
  <c r="U43" i="131"/>
  <c r="AA43" i="131"/>
  <c r="Z18" i="131" l="1"/>
  <c r="AJ75" i="105" l="1"/>
  <c r="A169" i="105" l="1"/>
  <c r="A170" i="105" s="1"/>
  <c r="A171" i="105" s="1"/>
  <c r="A172" i="105" s="1"/>
  <c r="A173" i="105" s="1"/>
  <c r="A174" i="105" s="1"/>
  <c r="A175" i="105" s="1"/>
  <c r="A176" i="105" s="1"/>
  <c r="A177" i="105" s="1"/>
  <c r="A178" i="105" s="1"/>
  <c r="A179" i="105" s="1"/>
  <c r="A180" i="105" s="1"/>
  <c r="A181" i="105" s="1"/>
  <c r="A182" i="105" s="1"/>
  <c r="A183" i="105" s="1"/>
  <c r="A184" i="105" s="1"/>
  <c r="A185" i="105" s="1"/>
  <c r="A186" i="105" s="1"/>
  <c r="A187" i="105" s="1"/>
  <c r="A188" i="105" s="1"/>
  <c r="A189" i="105" s="1"/>
  <c r="A190" i="105" s="1"/>
  <c r="A191" i="105" s="1"/>
  <c r="A192" i="105" s="1"/>
  <c r="A193" i="105" s="1"/>
  <c r="A194" i="105" s="1"/>
  <c r="A195" i="105" s="1"/>
  <c r="A196" i="105" s="1"/>
  <c r="K152" i="105" l="1"/>
  <c r="I152" i="105"/>
  <c r="A125" i="105"/>
  <c r="A126" i="105" s="1"/>
  <c r="A127" i="105" s="1"/>
  <c r="A128" i="105" s="1"/>
  <c r="A129" i="105" s="1"/>
  <c r="A130" i="105" s="1"/>
  <c r="A131" i="105" s="1"/>
  <c r="A132" i="105" s="1"/>
  <c r="A133" i="105" s="1"/>
  <c r="A134" i="105" s="1"/>
  <c r="A135" i="105" s="1"/>
  <c r="A136" i="105" s="1"/>
  <c r="A137" i="105" s="1"/>
  <c r="A138" i="105" s="1"/>
  <c r="A139" i="105" s="1"/>
  <c r="A140" i="105" s="1"/>
  <c r="A141" i="105" s="1"/>
  <c r="A142" i="105" s="1"/>
  <c r="A143" i="105" s="1"/>
  <c r="A144" i="105" s="1"/>
  <c r="A145" i="105" s="1"/>
  <c r="A146" i="105" s="1"/>
  <c r="A147" i="105" s="1"/>
  <c r="A148" i="105" s="1"/>
  <c r="A149" i="105" s="1"/>
  <c r="A150" i="105" s="1"/>
  <c r="A151" i="105" s="1"/>
  <c r="A152" i="105" s="1"/>
  <c r="G32" i="15" l="1"/>
  <c r="E30" i="15" l="1"/>
  <c r="I32" i="15" l="1"/>
  <c r="E32" i="15"/>
  <c r="N27" i="132" l="1"/>
  <c r="AJ35" i="105" l="1"/>
  <c r="M44" i="87" l="1"/>
  <c r="O44" i="87"/>
  <c r="O16" i="87"/>
  <c r="M16" i="87"/>
  <c r="M58" i="87" l="1"/>
  <c r="T18" i="131" s="1"/>
  <c r="E44" i="131" s="1"/>
  <c r="O58" i="87"/>
  <c r="U18" i="131" s="1"/>
  <c r="R18" i="131" s="1"/>
  <c r="C44" i="131" s="1"/>
  <c r="BF26" i="110"/>
  <c r="BF25" i="110"/>
  <c r="BF24" i="110"/>
  <c r="BF23" i="110"/>
  <c r="K27" i="132" l="1"/>
  <c r="AR57" i="106" l="1"/>
  <c r="AR58" i="106" s="1"/>
  <c r="AR59" i="106" s="1"/>
  <c r="AR60" i="106" s="1"/>
  <c r="AR61" i="106" s="1"/>
  <c r="AR62" i="106" s="1"/>
  <c r="AR63" i="106" s="1"/>
  <c r="AR64" i="106" s="1"/>
  <c r="AR65" i="106" s="1"/>
  <c r="AR66" i="106" s="1"/>
  <c r="AR67" i="106" s="1"/>
  <c r="AR68" i="106" s="1"/>
  <c r="AR69" i="106" s="1"/>
  <c r="AR70" i="106" s="1"/>
  <c r="AR71" i="106" s="1"/>
  <c r="AR72" i="106" s="1"/>
  <c r="AR73" i="106" s="1"/>
  <c r="AR74" i="106" s="1"/>
  <c r="AR75" i="106" s="1"/>
  <c r="AR76" i="106" s="1"/>
  <c r="AR77" i="106" s="1"/>
  <c r="AR78" i="106" s="1"/>
  <c r="AR79" i="106" s="1"/>
  <c r="AR80" i="106" s="1"/>
  <c r="AR81" i="106" s="1"/>
  <c r="AR82" i="106" s="1"/>
  <c r="AR83" i="106" s="1"/>
  <c r="AR84" i="106" s="1"/>
  <c r="AA57" i="106"/>
  <c r="AA58" i="106" s="1"/>
  <c r="AA59" i="106" s="1"/>
  <c r="AA60" i="106" s="1"/>
  <c r="AA61" i="106" s="1"/>
  <c r="AA62" i="106" s="1"/>
  <c r="AA63" i="106" s="1"/>
  <c r="AA64" i="106" s="1"/>
  <c r="AA65" i="106" s="1"/>
  <c r="AA66" i="106" s="1"/>
  <c r="AA67" i="106" s="1"/>
  <c r="AA68" i="106" s="1"/>
  <c r="AA69" i="106" s="1"/>
  <c r="AA70" i="106" s="1"/>
  <c r="AA71" i="106" s="1"/>
  <c r="AA72" i="106" s="1"/>
  <c r="AA73" i="106" s="1"/>
  <c r="AA74" i="106" s="1"/>
  <c r="AA75" i="106" s="1"/>
  <c r="AA76" i="106" s="1"/>
  <c r="AA77" i="106" s="1"/>
  <c r="AA78" i="106" s="1"/>
  <c r="AA79" i="106" s="1"/>
  <c r="AA80" i="106" s="1"/>
  <c r="AA81" i="106" s="1"/>
  <c r="AA82" i="106" s="1"/>
  <c r="AA83" i="106" s="1"/>
  <c r="AA84" i="106" s="1"/>
  <c r="AR18" i="106"/>
  <c r="AR19" i="106" s="1"/>
  <c r="AR20" i="106" s="1"/>
  <c r="AR21" i="106" s="1"/>
  <c r="AR22" i="106" s="1"/>
  <c r="AR23" i="106" s="1"/>
  <c r="AR24" i="106" s="1"/>
  <c r="AR25" i="106" s="1"/>
  <c r="AR26" i="106" s="1"/>
  <c r="AR27" i="106" s="1"/>
  <c r="AR28" i="106" s="1"/>
  <c r="AR29" i="106" s="1"/>
  <c r="AR30" i="106" s="1"/>
  <c r="AR31" i="106" s="1"/>
  <c r="AR32" i="106" s="1"/>
  <c r="AR33" i="106" s="1"/>
  <c r="AR34" i="106" s="1"/>
  <c r="AR35" i="106" s="1"/>
  <c r="AR36" i="106" s="1"/>
  <c r="AR37" i="106" s="1"/>
  <c r="AR38" i="106" s="1"/>
  <c r="AR39" i="106" s="1"/>
  <c r="AR40" i="106" s="1"/>
  <c r="AR41" i="106" s="1"/>
  <c r="AR42" i="106" s="1"/>
  <c r="AR43" i="106" s="1"/>
  <c r="AR44" i="106" s="1"/>
  <c r="AL63" i="106" l="1"/>
  <c r="AN63" i="106" s="1"/>
  <c r="AL75" i="106"/>
  <c r="AN75" i="106" s="1"/>
  <c r="AL64" i="106"/>
  <c r="AN64" i="106" s="1"/>
  <c r="AL65" i="106"/>
  <c r="AN65" i="106" s="1"/>
  <c r="AL77" i="106"/>
  <c r="AN77" i="106" s="1"/>
  <c r="AL76" i="106"/>
  <c r="AN76" i="106" s="1"/>
  <c r="AL66" i="106"/>
  <c r="AN66" i="106" s="1"/>
  <c r="AL78" i="106"/>
  <c r="AN78" i="106" s="1"/>
  <c r="AL68" i="106"/>
  <c r="AN68" i="106" s="1"/>
  <c r="AL80" i="106"/>
  <c r="AN80" i="106" s="1"/>
  <c r="AL79" i="106"/>
  <c r="AN79" i="106" s="1"/>
  <c r="AL69" i="106"/>
  <c r="AN69" i="106" s="1"/>
  <c r="AL58" i="106"/>
  <c r="AL70" i="106"/>
  <c r="AN70" i="106" s="1"/>
  <c r="AL82" i="106"/>
  <c r="AN82" i="106" s="1"/>
  <c r="AL67" i="106"/>
  <c r="AN67" i="106" s="1"/>
  <c r="AL59" i="106"/>
  <c r="AL71" i="106"/>
  <c r="AN71" i="106" s="1"/>
  <c r="AL83" i="106"/>
  <c r="AN83" i="106" s="1"/>
  <c r="AL60" i="106"/>
  <c r="AL72" i="106"/>
  <c r="AN72" i="106" s="1"/>
  <c r="AL84" i="106"/>
  <c r="AN84" i="106" s="1"/>
  <c r="AL57" i="106"/>
  <c r="AL81" i="106"/>
  <c r="AN81" i="106" s="1"/>
  <c r="AL61" i="106"/>
  <c r="AL73" i="106"/>
  <c r="AN73" i="106" s="1"/>
  <c r="AL62" i="106"/>
  <c r="AL74" i="106"/>
  <c r="AN74" i="106" s="1"/>
  <c r="D27" i="132"/>
  <c r="BC57" i="106"/>
  <c r="BC69" i="106"/>
  <c r="BC38" i="106"/>
  <c r="BC26" i="106"/>
  <c r="BC17" i="106"/>
  <c r="BC29" i="106"/>
  <c r="BC41" i="106"/>
  <c r="BC73" i="106"/>
  <c r="BC40" i="106"/>
  <c r="BC28" i="106"/>
  <c r="BC65" i="106"/>
  <c r="BC39" i="106"/>
  <c r="BC19" i="106"/>
  <c r="BC31" i="106"/>
  <c r="BC43" i="106"/>
  <c r="BC74" i="106"/>
  <c r="BC77" i="106"/>
  <c r="BC80" i="106"/>
  <c r="BC83" i="106"/>
  <c r="BC27" i="106"/>
  <c r="BC21" i="106"/>
  <c r="BC33" i="106"/>
  <c r="BC44" i="106"/>
  <c r="BC22" i="106"/>
  <c r="BC34" i="106"/>
  <c r="BC18" i="106"/>
  <c r="BC30" i="106"/>
  <c r="BC42" i="106"/>
  <c r="BC58" i="106"/>
  <c r="BC61" i="106"/>
  <c r="BC64" i="106"/>
  <c r="BC32" i="106"/>
  <c r="BC35" i="106"/>
  <c r="BC20" i="106"/>
  <c r="BC23" i="106"/>
  <c r="BC24" i="106"/>
  <c r="BC36" i="106"/>
  <c r="BC25" i="106"/>
  <c r="BC37" i="106"/>
  <c r="BC67" i="106"/>
  <c r="BC70" i="106"/>
  <c r="BC71" i="106"/>
  <c r="BC60" i="106"/>
  <c r="BC76" i="106"/>
  <c r="BC82" i="106"/>
  <c r="BC63" i="106"/>
  <c r="BC79" i="106"/>
  <c r="BC66" i="106"/>
  <c r="BC72" i="106"/>
  <c r="BC59" i="106"/>
  <c r="BC78" i="106"/>
  <c r="BC81" i="106"/>
  <c r="BC84" i="106"/>
  <c r="BC62" i="106"/>
  <c r="BC75" i="106"/>
  <c r="BC68" i="106"/>
  <c r="BC49" i="106" l="1"/>
  <c r="G27" i="132"/>
  <c r="K74" i="116"/>
  <c r="I74" i="116"/>
  <c r="M74" i="116" s="1"/>
  <c r="A34" i="134"/>
  <c r="A50" i="134"/>
  <c r="Q121" i="131"/>
  <c r="Q122" i="131" s="1"/>
  <c r="Q123" i="131" s="1"/>
  <c r="Q124" i="131" s="1"/>
  <c r="Q125" i="131" s="1"/>
  <c r="Q126" i="131" s="1"/>
  <c r="Q127" i="131" s="1"/>
  <c r="Q128" i="131" s="1"/>
  <c r="Q129" i="131" s="1"/>
  <c r="BU26" i="92" l="1"/>
  <c r="BU25" i="92" s="1"/>
  <c r="BU24" i="92" s="1"/>
  <c r="BU23" i="92" s="1"/>
  <c r="BU22" i="92" s="1"/>
  <c r="BU21" i="92" s="1"/>
  <c r="BU20" i="92" s="1"/>
  <c r="BU19" i="92" s="1"/>
  <c r="BU18" i="92" s="1"/>
  <c r="BU17" i="92" s="1"/>
  <c r="BU16" i="92" s="1"/>
  <c r="E75" i="166"/>
  <c r="E76" i="166" s="1"/>
  <c r="W104" i="131" l="1"/>
  <c r="W105" i="131" s="1"/>
  <c r="W106" i="131" s="1"/>
  <c r="W107" i="131" s="1"/>
  <c r="W108" i="131" s="1"/>
  <c r="W109" i="131" s="1"/>
  <c r="W110" i="131" s="1"/>
  <c r="W111" i="131" s="1"/>
  <c r="W112" i="131" s="1"/>
  <c r="Q105" i="131"/>
  <c r="Q106" i="131" s="1"/>
  <c r="Q107" i="131" s="1"/>
  <c r="Q108" i="131" s="1"/>
  <c r="Q109" i="131" s="1"/>
  <c r="Q110" i="131" s="1"/>
  <c r="Q111" i="131" s="1"/>
  <c r="Q112" i="131" s="1"/>
  <c r="Q104" i="131"/>
  <c r="I39" i="134"/>
  <c r="AA114" i="131" l="1"/>
  <c r="AA115" i="131" s="1"/>
  <c r="Z114" i="131"/>
  <c r="Z115" i="131" s="1"/>
  <c r="U114" i="131"/>
  <c r="U115" i="131" s="1"/>
  <c r="T114" i="131"/>
  <c r="T115" i="131" s="1"/>
  <c r="AA18" i="106" l="1"/>
  <c r="AA19" i="106" s="1"/>
  <c r="AA20" i="106" s="1"/>
  <c r="AA21" i="106" s="1"/>
  <c r="AA22" i="106" s="1"/>
  <c r="AA23" i="106" s="1"/>
  <c r="AA24" i="106" s="1"/>
  <c r="AA25" i="106" s="1"/>
  <c r="AA26" i="106" s="1"/>
  <c r="AA27" i="106" s="1"/>
  <c r="AA28" i="106" s="1"/>
  <c r="AA29" i="106" s="1"/>
  <c r="AA30" i="106" s="1"/>
  <c r="AA31" i="106" s="1"/>
  <c r="AA32" i="106" s="1"/>
  <c r="AA33" i="106" s="1"/>
  <c r="AA34" i="106" s="1"/>
  <c r="AA35" i="106" s="1"/>
  <c r="AA36" i="106" s="1"/>
  <c r="AA37" i="106" s="1"/>
  <c r="AA38" i="106" s="1"/>
  <c r="AA39" i="106" s="1"/>
  <c r="AA40" i="106" s="1"/>
  <c r="AA41" i="106" s="1"/>
  <c r="AA42" i="106" s="1"/>
  <c r="AA43" i="106" s="1"/>
  <c r="AA44" i="106" s="1"/>
  <c r="S69" i="15"/>
  <c r="S68" i="15"/>
  <c r="R68" i="15"/>
  <c r="S67" i="15"/>
  <c r="R67" i="15"/>
  <c r="S66" i="15"/>
  <c r="R66" i="15"/>
  <c r="S65" i="15"/>
  <c r="R65" i="15"/>
  <c r="S64" i="15"/>
  <c r="R64" i="15"/>
  <c r="S63" i="15"/>
  <c r="R63" i="15"/>
  <c r="S62" i="15"/>
  <c r="R62" i="15"/>
  <c r="S61" i="15"/>
  <c r="R61" i="15"/>
  <c r="S60" i="15"/>
  <c r="R60" i="15"/>
  <c r="S59" i="15"/>
  <c r="R59" i="15"/>
  <c r="S58" i="15"/>
  <c r="R58" i="15"/>
  <c r="AL20" i="106" l="1"/>
  <c r="AL32" i="106"/>
  <c r="AL44" i="106"/>
  <c r="AL19" i="106"/>
  <c r="AL31" i="106"/>
  <c r="AL43" i="106"/>
  <c r="AN43" i="106" s="1"/>
  <c r="AL35" i="106"/>
  <c r="AN35" i="106" s="1"/>
  <c r="AL38" i="106"/>
  <c r="AN38" i="106" s="1"/>
  <c r="AL26" i="106"/>
  <c r="AN26" i="106" s="1"/>
  <c r="AL23" i="106"/>
  <c r="AN23" i="106" s="1"/>
  <c r="AL41" i="106"/>
  <c r="AN41" i="106" s="1"/>
  <c r="AL29" i="106"/>
  <c r="AN29" i="106" s="1"/>
  <c r="AL21" i="106"/>
  <c r="AL33" i="106"/>
  <c r="AN33" i="106" s="1"/>
  <c r="AL22" i="106"/>
  <c r="AL34" i="106"/>
  <c r="AN34" i="106" s="1"/>
  <c r="AL36" i="106"/>
  <c r="AN36" i="106" s="1"/>
  <c r="AL25" i="106"/>
  <c r="AN25" i="106" s="1"/>
  <c r="AL37" i="106"/>
  <c r="AN37" i="106" s="1"/>
  <c r="AL27" i="106"/>
  <c r="AN27" i="106" s="1"/>
  <c r="AL39" i="106"/>
  <c r="AN39" i="106" s="1"/>
  <c r="AL40" i="106"/>
  <c r="AN40" i="106" s="1"/>
  <c r="AL28" i="106"/>
  <c r="AN28" i="106" s="1"/>
  <c r="AL17" i="106"/>
  <c r="AL24" i="106"/>
  <c r="AN24" i="106" s="1"/>
  <c r="AL18" i="106"/>
  <c r="AL30" i="106"/>
  <c r="AN30" i="106" s="1"/>
  <c r="AL42" i="106"/>
  <c r="AN42" i="106" s="1"/>
  <c r="AN32" i="106"/>
  <c r="AN44" i="106"/>
  <c r="AN31" i="106"/>
  <c r="N36" i="132" l="1"/>
  <c r="G36" i="132"/>
  <c r="E100" i="99" l="1"/>
  <c r="K151" i="105" l="1"/>
  <c r="W151" i="105"/>
  <c r="I144" i="105"/>
  <c r="U144" i="105"/>
  <c r="K146" i="105"/>
  <c r="W146" i="105"/>
  <c r="I147" i="105"/>
  <c r="U147" i="105"/>
  <c r="K148" i="105"/>
  <c r="W148" i="105"/>
  <c r="I148" i="105"/>
  <c r="U148" i="105"/>
  <c r="K144" i="105"/>
  <c r="W144" i="105"/>
  <c r="I145" i="105"/>
  <c r="U145" i="105"/>
  <c r="K147" i="105"/>
  <c r="W147" i="105"/>
  <c r="K149" i="105"/>
  <c r="W149" i="105"/>
  <c r="I149" i="105"/>
  <c r="U149" i="105"/>
  <c r="I151" i="105"/>
  <c r="U151" i="105"/>
  <c r="K145" i="105"/>
  <c r="W145" i="105"/>
  <c r="I146" i="105"/>
  <c r="U146" i="105"/>
  <c r="K150" i="105"/>
  <c r="W150" i="105"/>
  <c r="I150" i="105"/>
  <c r="U150" i="105"/>
  <c r="G150" i="105"/>
  <c r="G149" i="105"/>
  <c r="G148" i="105"/>
  <c r="G147" i="105"/>
  <c r="G146" i="105"/>
  <c r="G145" i="105"/>
  <c r="G144" i="105"/>
  <c r="G143" i="105"/>
  <c r="G142" i="105"/>
  <c r="G141" i="105"/>
  <c r="S150" i="105"/>
  <c r="S149" i="105"/>
  <c r="S148" i="105"/>
  <c r="S147" i="105"/>
  <c r="S146" i="105"/>
  <c r="S145" i="105"/>
  <c r="S144" i="105"/>
  <c r="S143" i="105"/>
  <c r="S142" i="105"/>
  <c r="S141" i="105"/>
  <c r="S202" i="105" l="1"/>
  <c r="G202" i="105"/>
  <c r="C148" i="105"/>
  <c r="C144" i="105"/>
  <c r="C149" i="105"/>
  <c r="O148" i="105"/>
  <c r="O145" i="105"/>
  <c r="C142" i="105"/>
  <c r="C150" i="105"/>
  <c r="O142" i="105"/>
  <c r="C143" i="105"/>
  <c r="O143" i="105"/>
  <c r="O149" i="105"/>
  <c r="O144" i="105"/>
  <c r="O150" i="105"/>
  <c r="C145" i="105"/>
  <c r="E141" i="105" a="1"/>
  <c r="M147" i="105" s="1"/>
  <c r="C146" i="105"/>
  <c r="O146" i="105"/>
  <c r="C141" i="105"/>
  <c r="C147" i="105"/>
  <c r="O141" i="105"/>
  <c r="O147" i="105"/>
  <c r="P34" i="33"/>
  <c r="P36" i="33"/>
  <c r="P40" i="33"/>
  <c r="P35" i="33"/>
  <c r="P41" i="33"/>
  <c r="P42" i="33"/>
  <c r="P37" i="33"/>
  <c r="P38" i="33"/>
  <c r="P33" i="33"/>
  <c r="P39" i="33"/>
  <c r="AN68" i="92"/>
  <c r="Q23" i="136" s="1"/>
  <c r="S152" i="105"/>
  <c r="G152" i="105"/>
  <c r="O202" i="105" l="1"/>
  <c r="C202" i="105"/>
  <c r="AB208" i="105" s="1"/>
  <c r="AB68" i="84"/>
  <c r="O23" i="136" s="1"/>
  <c r="S16" i="128"/>
  <c r="O152" i="105"/>
  <c r="C152" i="105"/>
  <c r="M152" i="105" s="1"/>
  <c r="M146" i="105"/>
  <c r="M142" i="105"/>
  <c r="M145" i="105"/>
  <c r="M149" i="105"/>
  <c r="M144" i="105"/>
  <c r="M148" i="105"/>
  <c r="M150" i="105"/>
  <c r="E141" i="105"/>
  <c r="P44" i="33"/>
  <c r="Q141" i="105" a="1"/>
  <c r="S151" i="105"/>
  <c r="S154" i="105" s="1"/>
  <c r="G151" i="105"/>
  <c r="G154" i="105" s="1"/>
  <c r="E154" i="105" l="1"/>
  <c r="E202" i="105"/>
  <c r="C151" i="105"/>
  <c r="M151" i="105" s="1"/>
  <c r="O151" i="105"/>
  <c r="O154" i="105" s="1"/>
  <c r="M141" i="105"/>
  <c r="Y152" i="105"/>
  <c r="Y148" i="105"/>
  <c r="Y145" i="105"/>
  <c r="Y142" i="105"/>
  <c r="Y146" i="105"/>
  <c r="Y149" i="105"/>
  <c r="Y150" i="105"/>
  <c r="Y147" i="105"/>
  <c r="Y144" i="105"/>
  <c r="Q141" i="105"/>
  <c r="Q202" i="105" s="1"/>
  <c r="P43" i="33"/>
  <c r="AA42" i="23"/>
  <c r="AA43" i="23" s="1"/>
  <c r="AA44" i="23" s="1"/>
  <c r="AA45" i="23" s="1"/>
  <c r="AA46" i="23" s="1"/>
  <c r="AA47" i="23" s="1"/>
  <c r="AA48" i="23" s="1"/>
  <c r="AA49" i="23" s="1"/>
  <c r="AA50" i="23" s="1"/>
  <c r="AA51" i="23" s="1"/>
  <c r="AA52" i="23" s="1"/>
  <c r="AA53" i="23" s="1"/>
  <c r="AA54" i="23" s="1"/>
  <c r="AA55" i="23" s="1"/>
  <c r="Y151" i="105" l="1"/>
  <c r="C154" i="105"/>
  <c r="Q154" i="105"/>
  <c r="Y141" i="105"/>
  <c r="AO19" i="23"/>
  <c r="AA18" i="23"/>
  <c r="AA19" i="23" s="1"/>
  <c r="AA20" i="23" s="1"/>
  <c r="AA21" i="23" s="1"/>
  <c r="AA22" i="23" s="1"/>
  <c r="AA23" i="23" s="1"/>
  <c r="AA24" i="23" s="1"/>
  <c r="AA25" i="23" s="1"/>
  <c r="AA26" i="23" s="1"/>
  <c r="AA27" i="23" s="1"/>
  <c r="AA28" i="23" s="1"/>
  <c r="AA29" i="23" s="1"/>
  <c r="AA30" i="23" s="1"/>
  <c r="AA31" i="23" s="1"/>
  <c r="A78" i="72" l="1"/>
  <c r="A79" i="72" s="1"/>
  <c r="A80" i="72" s="1"/>
  <c r="A81" i="72" s="1"/>
  <c r="A82" i="72" s="1"/>
  <c r="A83" i="72" s="1"/>
  <c r="A84" i="72" s="1"/>
  <c r="A85" i="72" s="1"/>
  <c r="A86" i="72" s="1"/>
  <c r="A87" i="72" s="1"/>
  <c r="A62" i="72"/>
  <c r="A63" i="72" s="1"/>
  <c r="A64" i="72" s="1"/>
  <c r="A65" i="72" s="1"/>
  <c r="A66" i="72" s="1"/>
  <c r="A67" i="72" s="1"/>
  <c r="A68" i="72" s="1"/>
  <c r="A69" i="72" s="1"/>
  <c r="A70" i="72" s="1"/>
  <c r="A71" i="72" s="1"/>
  <c r="AE32" i="92" l="1"/>
  <c r="T26" i="110" l="1"/>
  <c r="T25" i="110"/>
  <c r="T24" i="110"/>
  <c r="T23" i="110"/>
  <c r="T21" i="110"/>
  <c r="T20" i="110"/>
  <c r="T19" i="110"/>
  <c r="T18" i="110"/>
  <c r="T17" i="110"/>
  <c r="BD49" i="110" l="1"/>
  <c r="BD48" i="110" s="1"/>
  <c r="BA42" i="110"/>
  <c r="BA43" i="110" s="1"/>
  <c r="BA44" i="110" s="1"/>
  <c r="BA45" i="110" s="1"/>
  <c r="BA46" i="110" s="1"/>
  <c r="BA47" i="110" s="1"/>
  <c r="BA48" i="110" s="1"/>
  <c r="BA49" i="110" s="1"/>
  <c r="BA50" i="110" s="1"/>
  <c r="BA38" i="110"/>
  <c r="BB38" i="110" s="1"/>
  <c r="BC38" i="110" s="1"/>
  <c r="BD38" i="110" s="1"/>
  <c r="BE38" i="110" s="1"/>
  <c r="BF38" i="110" s="1"/>
  <c r="BG38" i="110" s="1"/>
  <c r="BH38" i="110" s="1"/>
  <c r="BI38" i="110" s="1"/>
  <c r="BJ38" i="110" s="1"/>
  <c r="BD25" i="110"/>
  <c r="BD24" i="110" s="1"/>
  <c r="BD23" i="110" s="1"/>
  <c r="BD22" i="110" s="1"/>
  <c r="BD21" i="110" s="1"/>
  <c r="BD20" i="110" s="1"/>
  <c r="BD19" i="110" s="1"/>
  <c r="BD18" i="110" s="1"/>
  <c r="BD17" i="110" s="1"/>
  <c r="BG26" i="110"/>
  <c r="BG19" i="110" l="1"/>
  <c r="BK38" i="110"/>
  <c r="BG17" i="110"/>
  <c r="BG18" i="110"/>
  <c r="BG20" i="110"/>
  <c r="BD47" i="110"/>
  <c r="BD46" i="110" l="1"/>
  <c r="BG47" i="110"/>
  <c r="BG46" i="110" l="1"/>
  <c r="BD45" i="110"/>
  <c r="BD44" i="110" l="1"/>
  <c r="BG45" i="110"/>
  <c r="BG44" i="110" l="1"/>
  <c r="BD43" i="110"/>
  <c r="BD42" i="110" l="1"/>
  <c r="BG43" i="110"/>
  <c r="BG42" i="110" l="1"/>
  <c r="BD41" i="110"/>
  <c r="BG41" i="110" s="1"/>
  <c r="BA14" i="110" l="1"/>
  <c r="BB14" i="110" s="1"/>
  <c r="BC14" i="110" s="1"/>
  <c r="BD14" i="110" s="1"/>
  <c r="BE14" i="110" s="1"/>
  <c r="BF14" i="110" s="1"/>
  <c r="BG14" i="110" s="1"/>
  <c r="BH14" i="110" s="1"/>
  <c r="BI14" i="110" s="1"/>
  <c r="BA18" i="110"/>
  <c r="BA19" i="110" s="1"/>
  <c r="BA20" i="110" s="1"/>
  <c r="BA21" i="110" s="1"/>
  <c r="BA22" i="110" s="1"/>
  <c r="BA23" i="110" s="1"/>
  <c r="BA24" i="110" s="1"/>
  <c r="BA25" i="110" s="1"/>
  <c r="BA26" i="110" s="1"/>
  <c r="BG21" i="110" l="1"/>
  <c r="BH26" i="110" s="1"/>
  <c r="BH21" i="110" l="1"/>
  <c r="BH17" i="110"/>
  <c r="BH19" i="110"/>
  <c r="BH20" i="110"/>
  <c r="BH18" i="110"/>
  <c r="BH47" i="110"/>
  <c r="BH46" i="110"/>
  <c r="BH45" i="110"/>
  <c r="BH44" i="110"/>
  <c r="BH43" i="110"/>
  <c r="BH41" i="110"/>
  <c r="BH42" i="110"/>
  <c r="BG22" i="110"/>
  <c r="BH22" i="110" s="1"/>
  <c r="BG23" i="110" l="1"/>
  <c r="BH23" i="110" s="1"/>
  <c r="BI23" i="110" s="1"/>
  <c r="BG24" i="110" l="1"/>
  <c r="BH24" i="110" s="1"/>
  <c r="BI24" i="110" s="1"/>
  <c r="BG25" i="110" l="1"/>
  <c r="BH25" i="110" s="1"/>
  <c r="BI25" i="110" s="1"/>
  <c r="AX68" i="105" l="1"/>
  <c r="AX28" i="105"/>
  <c r="AB68" i="166"/>
  <c r="AB67" i="166"/>
  <c r="AB66" i="166"/>
  <c r="AB65" i="166"/>
  <c r="AB64" i="166"/>
  <c r="AB63" i="166"/>
  <c r="AB62" i="166"/>
  <c r="AB61" i="166"/>
  <c r="AB60" i="166"/>
  <c r="BK67" i="91" l="1"/>
  <c r="BK66" i="91"/>
  <c r="BK65" i="91"/>
  <c r="BK64" i="91"/>
  <c r="BK63" i="91"/>
  <c r="BK61" i="91"/>
  <c r="BK60" i="91"/>
  <c r="BK59" i="91"/>
  <c r="BD70" i="91"/>
  <c r="CT67" i="92" l="1"/>
  <c r="CU66" i="92"/>
  <c r="CT66" i="92"/>
  <c r="CU65" i="92"/>
  <c r="CT65" i="92"/>
  <c r="CU64" i="92"/>
  <c r="CT64" i="92"/>
  <c r="CT63" i="92"/>
  <c r="CU62" i="92"/>
  <c r="CT62" i="92"/>
  <c r="CU61" i="92"/>
  <c r="CT61" i="92"/>
  <c r="CT60" i="92"/>
  <c r="CU59" i="92"/>
  <c r="CT59" i="92"/>
  <c r="BL26" i="92"/>
  <c r="BK26" i="92"/>
  <c r="BL25" i="92"/>
  <c r="BK25" i="92"/>
  <c r="BL24" i="92"/>
  <c r="BK24" i="92"/>
  <c r="BL23" i="92"/>
  <c r="BK23" i="92"/>
  <c r="BK22" i="92"/>
  <c r="BL21" i="92"/>
  <c r="BK21" i="92"/>
  <c r="BL20" i="92"/>
  <c r="BK20" i="92"/>
  <c r="BL19" i="92"/>
  <c r="BK19" i="92"/>
  <c r="BL18" i="92"/>
  <c r="BK18" i="92"/>
  <c r="BL17" i="92"/>
  <c r="BK17" i="92"/>
  <c r="AX54" i="92"/>
  <c r="AX53" i="92"/>
  <c r="AX52" i="92"/>
  <c r="AX51" i="92"/>
  <c r="AX50" i="92"/>
  <c r="AX49" i="92"/>
  <c r="AX48" i="92"/>
  <c r="AX47" i="92"/>
  <c r="AX46" i="92"/>
  <c r="AX45" i="92"/>
  <c r="BT39" i="92"/>
  <c r="BT38" i="92"/>
  <c r="BT37" i="92"/>
  <c r="BT35" i="92"/>
  <c r="BT33" i="92"/>
  <c r="CO68" i="92"/>
  <c r="AY54" i="92"/>
  <c r="AY53" i="92"/>
  <c r="AY52" i="92"/>
  <c r="AY47" i="92"/>
  <c r="AY46" i="92"/>
  <c r="CO54" i="92"/>
  <c r="CO53" i="92"/>
  <c r="CO52" i="92"/>
  <c r="CO51" i="92"/>
  <c r="CO50" i="92"/>
  <c r="CO49" i="92"/>
  <c r="CO48" i="92"/>
  <c r="CO47" i="92"/>
  <c r="CO46" i="92"/>
  <c r="CO45" i="92"/>
  <c r="CS66" i="92"/>
  <c r="CR66" i="92"/>
  <c r="CS65" i="92"/>
  <c r="CR65" i="92"/>
  <c r="CS64" i="92"/>
  <c r="CR64" i="92"/>
  <c r="CS63" i="92"/>
  <c r="CR63" i="92"/>
  <c r="CS62" i="92"/>
  <c r="CR62" i="92"/>
  <c r="CS61" i="92"/>
  <c r="CS60" i="92"/>
  <c r="CR60" i="92"/>
  <c r="CS59" i="92"/>
  <c r="CL67" i="92"/>
  <c r="CK67" i="92"/>
  <c r="CL66" i="92"/>
  <c r="CK66" i="92"/>
  <c r="CL65" i="92"/>
  <c r="CK65" i="92"/>
  <c r="CL64" i="92"/>
  <c r="CK64" i="92"/>
  <c r="CL63" i="92"/>
  <c r="CK63" i="92"/>
  <c r="CL62" i="92"/>
  <c r="CK62" i="92"/>
  <c r="CL61" i="92"/>
  <c r="CK61" i="92"/>
  <c r="CL60" i="92"/>
  <c r="CK60" i="92"/>
  <c r="CL59" i="92"/>
  <c r="CK59" i="92"/>
  <c r="AZ68" i="84"/>
  <c r="AZ67" i="84"/>
  <c r="AZ66" i="84"/>
  <c r="AZ65" i="84"/>
  <c r="AZ64" i="84"/>
  <c r="AZ63" i="84"/>
  <c r="AZ62" i="84"/>
  <c r="AZ61" i="84"/>
  <c r="AZ60" i="84"/>
  <c r="AZ59" i="84"/>
  <c r="AZ56" i="84"/>
  <c r="BC56" i="84"/>
  <c r="BB56" i="84"/>
  <c r="BA56" i="84"/>
  <c r="BA58" i="84"/>
  <c r="DC67" i="92"/>
  <c r="DB67" i="92"/>
  <c r="DA67" i="92"/>
  <c r="CZ67" i="92"/>
  <c r="CY67" i="92"/>
  <c r="CU67" i="92"/>
  <c r="CQ67" i="92"/>
  <c r="CJ67" i="92"/>
  <c r="CC67" i="92"/>
  <c r="DC66" i="92"/>
  <c r="DB66" i="92"/>
  <c r="DA66" i="92"/>
  <c r="CZ66" i="92"/>
  <c r="CY66" i="92"/>
  <c r="CQ66" i="92"/>
  <c r="CJ66" i="92"/>
  <c r="CC66" i="92"/>
  <c r="DC65" i="92"/>
  <c r="DB65" i="92"/>
  <c r="DA65" i="92"/>
  <c r="CZ65" i="92"/>
  <c r="CY65" i="92"/>
  <c r="CQ65" i="92"/>
  <c r="CJ65" i="92"/>
  <c r="CC65" i="92"/>
  <c r="DC64" i="92"/>
  <c r="DB64" i="92"/>
  <c r="DA64" i="92"/>
  <c r="CZ64" i="92"/>
  <c r="CY64" i="92"/>
  <c r="CQ64" i="92"/>
  <c r="CJ64" i="92"/>
  <c r="CC64" i="92"/>
  <c r="DC63" i="92"/>
  <c r="DB63" i="92"/>
  <c r="DA63" i="92"/>
  <c r="CZ63" i="92"/>
  <c r="CY63" i="92"/>
  <c r="CQ63" i="92"/>
  <c r="CJ63" i="92"/>
  <c r="CC63" i="92"/>
  <c r="DC62" i="92"/>
  <c r="DB62" i="92"/>
  <c r="DA62" i="92"/>
  <c r="CZ62" i="92"/>
  <c r="CY62" i="92"/>
  <c r="CQ62" i="92"/>
  <c r="CJ62" i="92"/>
  <c r="CC62" i="92"/>
  <c r="DC61" i="92"/>
  <c r="DB61" i="92"/>
  <c r="DA61" i="92"/>
  <c r="CZ61" i="92"/>
  <c r="CY61" i="92"/>
  <c r="CQ61" i="92"/>
  <c r="CJ61" i="92"/>
  <c r="CC61" i="92"/>
  <c r="DC60" i="92"/>
  <c r="DB60" i="92"/>
  <c r="DA60" i="92"/>
  <c r="CZ60" i="92"/>
  <c r="CY60" i="92"/>
  <c r="CU60" i="92"/>
  <c r="CQ60" i="92"/>
  <c r="CJ60" i="92"/>
  <c r="CC60" i="92"/>
  <c r="DC59" i="92"/>
  <c r="DB59" i="92"/>
  <c r="DA59" i="92"/>
  <c r="CZ59" i="92"/>
  <c r="CY59" i="92"/>
  <c r="CQ59" i="92"/>
  <c r="CJ59" i="92"/>
  <c r="CC59" i="92"/>
  <c r="DC56" i="92"/>
  <c r="DB56" i="92"/>
  <c r="DA56" i="92"/>
  <c r="CZ56" i="92"/>
  <c r="CY56" i="92"/>
  <c r="CU56" i="92"/>
  <c r="CT56" i="92"/>
  <c r="CS56" i="92"/>
  <c r="CR56" i="92"/>
  <c r="CQ56" i="92"/>
  <c r="CL56" i="92"/>
  <c r="CK56" i="92"/>
  <c r="CJ56" i="92"/>
  <c r="CE56" i="92"/>
  <c r="CD56" i="92"/>
  <c r="CC56" i="92"/>
  <c r="CI46" i="92"/>
  <c r="CI47" i="92" s="1"/>
  <c r="CI48" i="92" s="1"/>
  <c r="CI49" i="92" s="1"/>
  <c r="CI50" i="92" s="1"/>
  <c r="CI51" i="92" s="1"/>
  <c r="CI52" i="92" s="1"/>
  <c r="CI53" i="92" s="1"/>
  <c r="CI54" i="92" s="1"/>
  <c r="CB46" i="92"/>
  <c r="CB47" i="92" s="1"/>
  <c r="CB48" i="92" s="1"/>
  <c r="CB49" i="92" s="1"/>
  <c r="CB50" i="92" s="1"/>
  <c r="CB51" i="92" s="1"/>
  <c r="CB52" i="92" s="1"/>
  <c r="CB53" i="92" s="1"/>
  <c r="CB54" i="92" s="1"/>
  <c r="DC42" i="92"/>
  <c r="DB42" i="92"/>
  <c r="DA42" i="92"/>
  <c r="CZ42" i="92"/>
  <c r="CY42" i="92"/>
  <c r="CU42" i="92"/>
  <c r="CT42" i="92"/>
  <c r="CS42" i="92"/>
  <c r="CR42" i="92"/>
  <c r="CQ42" i="92"/>
  <c r="CN42" i="92"/>
  <c r="CM42" i="92"/>
  <c r="CL42" i="92"/>
  <c r="CK42" i="92"/>
  <c r="CJ42" i="92"/>
  <c r="CE42" i="92"/>
  <c r="CD42" i="92"/>
  <c r="CC42" i="92"/>
  <c r="CI32" i="92"/>
  <c r="CI33" i="92" s="1"/>
  <c r="CI34" i="92" s="1"/>
  <c r="CI35" i="92" s="1"/>
  <c r="CI36" i="92" s="1"/>
  <c r="CI37" i="92" s="1"/>
  <c r="CI38" i="92" s="1"/>
  <c r="CI39" i="92" s="1"/>
  <c r="CI40" i="92" s="1"/>
  <c r="CB32" i="92"/>
  <c r="CB33" i="92" s="1"/>
  <c r="CB34" i="92" s="1"/>
  <c r="CB35" i="92" s="1"/>
  <c r="CB36" i="92" s="1"/>
  <c r="CB37" i="92" s="1"/>
  <c r="CB38" i="92" s="1"/>
  <c r="CB39" i="92" s="1"/>
  <c r="CB40" i="92" s="1"/>
  <c r="DD28" i="92"/>
  <c r="DC28" i="92"/>
  <c r="DB28" i="92"/>
  <c r="DA28" i="92"/>
  <c r="CZ28" i="92"/>
  <c r="CY28" i="92"/>
  <c r="CV28" i="92"/>
  <c r="CQ28" i="92"/>
  <c r="CJ28" i="92"/>
  <c r="CC28" i="92"/>
  <c r="CI18" i="92"/>
  <c r="CI19" i="92" s="1"/>
  <c r="CI20" i="92" s="1"/>
  <c r="CI21" i="92" s="1"/>
  <c r="CI22" i="92" s="1"/>
  <c r="CI23" i="92" s="1"/>
  <c r="CI24" i="92" s="1"/>
  <c r="CI25" i="92" s="1"/>
  <c r="CI26" i="92" s="1"/>
  <c r="CZ14" i="92"/>
  <c r="DA14" i="92" s="1"/>
  <c r="DB14" i="92" s="1"/>
  <c r="DC14" i="92" s="1"/>
  <c r="DD14" i="92" s="1"/>
  <c r="CR14" i="92"/>
  <c r="CS14" i="92" s="1"/>
  <c r="CT14" i="92" s="1"/>
  <c r="CU14" i="92" s="1"/>
  <c r="CV14" i="92" s="1"/>
  <c r="CK14" i="92"/>
  <c r="CL14" i="92" s="1"/>
  <c r="CM14" i="92" s="1"/>
  <c r="CN14" i="92" s="1"/>
  <c r="CO14" i="92" s="1"/>
  <c r="CD14" i="92"/>
  <c r="CE14" i="92" s="1"/>
  <c r="CF14" i="92" s="1"/>
  <c r="CG14" i="92" s="1"/>
  <c r="CH14" i="92" s="1"/>
  <c r="BB40" i="84"/>
  <c r="BA40" i="84"/>
  <c r="BA26" i="84" s="1"/>
  <c r="BB39" i="84"/>
  <c r="BA39" i="84"/>
  <c r="BA25" i="84" s="1"/>
  <c r="BB38" i="84"/>
  <c r="BA38" i="84"/>
  <c r="BA24" i="84" s="1"/>
  <c r="BB37" i="84"/>
  <c r="BA37" i="84"/>
  <c r="BA23" i="84" s="1"/>
  <c r="BB36" i="84"/>
  <c r="BA36" i="84"/>
  <c r="BA22" i="84" s="1"/>
  <c r="BB35" i="84"/>
  <c r="BA35" i="84"/>
  <c r="BA21" i="84" s="1"/>
  <c r="BB34" i="84"/>
  <c r="BA34" i="84"/>
  <c r="BA20" i="84" s="1"/>
  <c r="BB33" i="84"/>
  <c r="BA33" i="84"/>
  <c r="BA19" i="84" s="1"/>
  <c r="BB31" i="84"/>
  <c r="BA31" i="84"/>
  <c r="BA17" i="84" s="1"/>
  <c r="BB32" i="84"/>
  <c r="BA32" i="84"/>
  <c r="BA18" i="84" s="1"/>
  <c r="AZ42" i="84"/>
  <c r="AY31" i="84"/>
  <c r="AY32" i="84" s="1"/>
  <c r="AY33" i="84" s="1"/>
  <c r="AY34" i="84" s="1"/>
  <c r="AY35" i="84" s="1"/>
  <c r="AY36" i="84" s="1"/>
  <c r="AY37" i="84" s="1"/>
  <c r="AY38" i="84" s="1"/>
  <c r="AY39" i="84" s="1"/>
  <c r="AY40" i="84" s="1"/>
  <c r="AZ28" i="84"/>
  <c r="AY18" i="84"/>
  <c r="AY19" i="84" s="1"/>
  <c r="AY20" i="84" s="1"/>
  <c r="AY21" i="84" s="1"/>
  <c r="AY22" i="84" s="1"/>
  <c r="AY23" i="84" s="1"/>
  <c r="AY24" i="84" s="1"/>
  <c r="AY25" i="84" s="1"/>
  <c r="AY26" i="84" s="1"/>
  <c r="CY70" i="92" l="1"/>
  <c r="BE35" i="84"/>
  <c r="BE36" i="84"/>
  <c r="BE32" i="84"/>
  <c r="BE37" i="84"/>
  <c r="BE38" i="84"/>
  <c r="BE33" i="84"/>
  <c r="BE39" i="84"/>
  <c r="BE34" i="84"/>
  <c r="BE40" i="84"/>
  <c r="AY45" i="84"/>
  <c r="AY46" i="84" s="1"/>
  <c r="AY47" i="84" s="1"/>
  <c r="AY48" i="84" s="1"/>
  <c r="AY49" i="84" s="1"/>
  <c r="AY50" i="84" s="1"/>
  <c r="AY51" i="84" s="1"/>
  <c r="AY52" i="84" s="1"/>
  <c r="AY53" i="84" s="1"/>
  <c r="AY54" i="84" s="1"/>
  <c r="CM64" i="92"/>
  <c r="CC70" i="92"/>
  <c r="CO26" i="92"/>
  <c r="CM62" i="92"/>
  <c r="CM65" i="92"/>
  <c r="CM66" i="92"/>
  <c r="CO23" i="92"/>
  <c r="CF61" i="92"/>
  <c r="BC66" i="84"/>
  <c r="BD66" i="84"/>
  <c r="BC61" i="84"/>
  <c r="BC67" i="84"/>
  <c r="BD59" i="84"/>
  <c r="BC62" i="84"/>
  <c r="AQ68" i="92"/>
  <c r="BC68" i="84"/>
  <c r="CF65" i="92"/>
  <c r="CN59" i="92"/>
  <c r="CO59" i="92" s="1"/>
  <c r="BD62" i="84"/>
  <c r="BD68" i="84"/>
  <c r="BC63" i="84"/>
  <c r="BD63" i="84"/>
  <c r="CN62" i="92"/>
  <c r="CO62" i="92" s="1"/>
  <c r="CF60" i="92"/>
  <c r="CN63" i="92"/>
  <c r="CO63" i="92" s="1"/>
  <c r="BD65" i="84"/>
  <c r="BD60" i="84"/>
  <c r="BC64" i="84"/>
  <c r="BD64" i="84"/>
  <c r="BC65" i="84"/>
  <c r="CG65" i="92"/>
  <c r="AR68" i="92"/>
  <c r="BD67" i="84"/>
  <c r="BD61" i="84"/>
  <c r="BC60" i="84"/>
  <c r="BE31" i="84"/>
  <c r="CM67" i="92"/>
  <c r="CG61" i="92"/>
  <c r="CM61" i="92"/>
  <c r="CF66" i="92"/>
  <c r="BC28" i="84"/>
  <c r="BC59" i="84"/>
  <c r="BA42" i="84"/>
  <c r="BD42" i="84"/>
  <c r="CG67" i="92"/>
  <c r="CR67" i="92"/>
  <c r="CM60" i="92"/>
  <c r="CS67" i="92"/>
  <c r="CS70" i="92" s="1"/>
  <c r="CM56" i="92"/>
  <c r="CM63" i="92"/>
  <c r="CQ70" i="92"/>
  <c r="CO19" i="92"/>
  <c r="CK28" i="92"/>
  <c r="CO20" i="92"/>
  <c r="CR61" i="92"/>
  <c r="CN65" i="92"/>
  <c r="CG62" i="92"/>
  <c r="CU28" i="92"/>
  <c r="CT70" i="92"/>
  <c r="CT28" i="92"/>
  <c r="CU63" i="92"/>
  <c r="CU70" i="92" s="1"/>
  <c r="CM59" i="92"/>
  <c r="CO24" i="92"/>
  <c r="CS28" i="92"/>
  <c r="CO25" i="92"/>
  <c r="CZ70" i="92"/>
  <c r="CG59" i="92"/>
  <c r="AY45" i="92"/>
  <c r="CO17" i="92"/>
  <c r="CF67" i="92"/>
  <c r="CO18" i="92"/>
  <c r="CF59" i="92"/>
  <c r="CN61" i="92"/>
  <c r="CO61" i="92" s="1"/>
  <c r="CJ70" i="92"/>
  <c r="CO21" i="92"/>
  <c r="CG66" i="92"/>
  <c r="CN64" i="92"/>
  <c r="CO64" i="92" s="1"/>
  <c r="CO22" i="92"/>
  <c r="CN67" i="92"/>
  <c r="CO67" i="92" s="1"/>
  <c r="CN28" i="92"/>
  <c r="CN66" i="92"/>
  <c r="CO66" i="92" s="1"/>
  <c r="CN56" i="92"/>
  <c r="CM28" i="92"/>
  <c r="CN60" i="92"/>
  <c r="CO60" i="92" s="1"/>
  <c r="DA70" i="92"/>
  <c r="DB70" i="92"/>
  <c r="DC70" i="92"/>
  <c r="CR28" i="92"/>
  <c r="CR59" i="92"/>
  <c r="CK70" i="92"/>
  <c r="CL28" i="92"/>
  <c r="CG63" i="92"/>
  <c r="CG56" i="92"/>
  <c r="CF62" i="92"/>
  <c r="CG64" i="92"/>
  <c r="CF56" i="92"/>
  <c r="CF42" i="92"/>
  <c r="CG42" i="92"/>
  <c r="CF63" i="92"/>
  <c r="CF64" i="92"/>
  <c r="CD28" i="92"/>
  <c r="AZ70" i="84"/>
  <c r="BE56" i="84"/>
  <c r="BD56" i="84"/>
  <c r="CP31" i="92"/>
  <c r="CP32" i="92" s="1"/>
  <c r="CP33" i="92" s="1"/>
  <c r="CP34" i="92" s="1"/>
  <c r="CP35" i="92" s="1"/>
  <c r="CP36" i="92" s="1"/>
  <c r="CP37" i="92" s="1"/>
  <c r="CP38" i="92" s="1"/>
  <c r="CP39" i="92" s="1"/>
  <c r="CP40" i="92" s="1"/>
  <c r="CP45" i="92"/>
  <c r="CP46" i="92" s="1"/>
  <c r="CP47" i="92" s="1"/>
  <c r="CP48" i="92" s="1"/>
  <c r="CP49" i="92" s="1"/>
  <c r="CP50" i="92" s="1"/>
  <c r="CP51" i="92" s="1"/>
  <c r="CP52" i="92" s="1"/>
  <c r="CP53" i="92" s="1"/>
  <c r="CP54" i="92" s="1"/>
  <c r="CF28" i="92"/>
  <c r="CG28" i="92"/>
  <c r="CG60" i="92"/>
  <c r="CB18" i="92"/>
  <c r="CB19" i="92" s="1"/>
  <c r="CB20" i="92" s="1"/>
  <c r="CB21" i="92" s="1"/>
  <c r="CB22" i="92" s="1"/>
  <c r="CB23" i="92" s="1"/>
  <c r="CB24" i="92" s="1"/>
  <c r="CB25" i="92" s="1"/>
  <c r="CB26" i="92" s="1"/>
  <c r="CP17" i="92"/>
  <c r="BB42" i="84"/>
  <c r="BC42" i="84"/>
  <c r="BA28" i="84"/>
  <c r="BD28" i="84"/>
  <c r="AY59" i="84" l="1"/>
  <c r="AY60" i="84" s="1"/>
  <c r="AY61" i="84" s="1"/>
  <c r="AY62" i="84" s="1"/>
  <c r="AY63" i="84" s="1"/>
  <c r="AY64" i="84" s="1"/>
  <c r="AY65" i="84" s="1"/>
  <c r="AY66" i="84" s="1"/>
  <c r="AY67" i="84" s="1"/>
  <c r="AY68" i="84" s="1"/>
  <c r="BE42" i="84"/>
  <c r="BC70" i="84"/>
  <c r="BA70" i="84"/>
  <c r="CD70" i="92"/>
  <c r="CO65" i="92"/>
  <c r="CM70" i="92"/>
  <c r="CO28" i="92"/>
  <c r="CL70" i="92"/>
  <c r="CR70" i="92"/>
  <c r="CN70" i="92"/>
  <c r="CG70" i="92"/>
  <c r="CF70" i="92"/>
  <c r="BD70" i="84"/>
  <c r="CP18" i="92"/>
  <c r="CP19" i="92" s="1"/>
  <c r="CP20" i="92" s="1"/>
  <c r="CP21" i="92" s="1"/>
  <c r="CP22" i="92" s="1"/>
  <c r="CP23" i="92" s="1"/>
  <c r="CP24" i="92" s="1"/>
  <c r="CP25" i="92" s="1"/>
  <c r="CP26" i="92" s="1"/>
  <c r="CX17" i="92"/>
  <c r="CX18" i="92" l="1"/>
  <c r="CX19" i="92" s="1"/>
  <c r="CX20" i="92" s="1"/>
  <c r="CX21" i="92" s="1"/>
  <c r="CX22" i="92" s="1"/>
  <c r="CX23" i="92" s="1"/>
  <c r="CX24" i="92" s="1"/>
  <c r="CX25" i="92" s="1"/>
  <c r="CX26" i="92" s="1"/>
  <c r="CX31" i="92"/>
  <c r="CX32" i="92" l="1"/>
  <c r="CX33" i="92" s="1"/>
  <c r="CX34" i="92" s="1"/>
  <c r="CX35" i="92" s="1"/>
  <c r="CX36" i="92" s="1"/>
  <c r="CX37" i="92" s="1"/>
  <c r="CX38" i="92" s="1"/>
  <c r="CX39" i="92" s="1"/>
  <c r="CX40" i="92" s="1"/>
  <c r="CX45" i="92"/>
  <c r="CX46" i="92" l="1"/>
  <c r="CX47" i="92" s="1"/>
  <c r="CX48" i="92" s="1"/>
  <c r="CX49" i="92" s="1"/>
  <c r="CX50" i="92" s="1"/>
  <c r="CX51" i="92" s="1"/>
  <c r="CX52" i="92" s="1"/>
  <c r="CX53" i="92" s="1"/>
  <c r="CX54" i="92" s="1"/>
  <c r="CX59" i="92"/>
  <c r="CX60" i="92" s="1"/>
  <c r="CX61" i="92" s="1"/>
  <c r="CX62" i="92" s="1"/>
  <c r="CX63" i="92" s="1"/>
  <c r="CX64" i="92" s="1"/>
  <c r="CX65" i="92" s="1"/>
  <c r="CX66" i="92" s="1"/>
  <c r="CX67" i="92" s="1"/>
  <c r="CX68" i="92" s="1"/>
  <c r="AX70" i="105" l="1"/>
  <c r="AW70" i="105"/>
  <c r="AW69" i="105"/>
  <c r="AW68" i="105" l="1"/>
  <c r="AF28" i="105"/>
  <c r="AG29" i="105"/>
  <c r="AX69" i="105"/>
  <c r="AD93" i="116"/>
  <c r="Z93" i="116"/>
  <c r="V93" i="116"/>
  <c r="AD92" i="116"/>
  <c r="Z92" i="116"/>
  <c r="V92" i="116"/>
  <c r="AD91" i="116"/>
  <c r="Z91" i="116"/>
  <c r="V91" i="116"/>
  <c r="Q85" i="116"/>
  <c r="Q86" i="116" s="1"/>
  <c r="Q87" i="116" s="1"/>
  <c r="Q88" i="116" s="1"/>
  <c r="Q89" i="116" s="1"/>
  <c r="Q90" i="116" s="1"/>
  <c r="Q91" i="116" s="1"/>
  <c r="Q92" i="116" s="1"/>
  <c r="Q93" i="116" s="1"/>
  <c r="Q85" i="166"/>
  <c r="AW28" i="105" l="1"/>
  <c r="R69" i="15"/>
  <c r="AX29" i="105"/>
  <c r="S70" i="15"/>
  <c r="AN46" i="117" l="1"/>
  <c r="AN47" i="117" s="1"/>
  <c r="AN48" i="117" s="1"/>
  <c r="AN49" i="117" s="1"/>
  <c r="AN50" i="117" s="1"/>
  <c r="AN51" i="117" s="1"/>
  <c r="AN52" i="117" s="1"/>
  <c r="AN53" i="117" s="1"/>
  <c r="AN54" i="117" s="1"/>
  <c r="AN32" i="117"/>
  <c r="AN33" i="117" s="1"/>
  <c r="AN34" i="117" s="1"/>
  <c r="AN35" i="117" s="1"/>
  <c r="AN36" i="117" s="1"/>
  <c r="AN37" i="117" s="1"/>
  <c r="AN38" i="117" s="1"/>
  <c r="AN39" i="117" s="1"/>
  <c r="AN40" i="117" s="1"/>
  <c r="AN18" i="117"/>
  <c r="AN19" i="117" s="1"/>
  <c r="AN20" i="117" s="1"/>
  <c r="AN21" i="117" s="1"/>
  <c r="AN22" i="117" s="1"/>
  <c r="AN23" i="117" s="1"/>
  <c r="AN24" i="117" s="1"/>
  <c r="AN25" i="117" s="1"/>
  <c r="AN26" i="117" s="1"/>
  <c r="I31" i="55"/>
  <c r="I30" i="55"/>
  <c r="I29" i="55"/>
  <c r="I28" i="55"/>
  <c r="I24" i="55"/>
  <c r="I23" i="55"/>
  <c r="I22" i="55"/>
  <c r="I21" i="55"/>
  <c r="I20" i="55"/>
  <c r="I19" i="55"/>
  <c r="I18" i="55"/>
  <c r="I17" i="55"/>
  <c r="AP43" i="111" l="1"/>
  <c r="AM44" i="111" l="1"/>
  <c r="AJ37" i="111"/>
  <c r="AJ38" i="111" s="1"/>
  <c r="AJ39" i="111" s="1"/>
  <c r="AJ40" i="111" s="1"/>
  <c r="AJ41" i="111" s="1"/>
  <c r="AJ42" i="111" s="1"/>
  <c r="AJ43" i="111" s="1"/>
  <c r="AJ44" i="111" s="1"/>
  <c r="AJ45" i="111" s="1"/>
  <c r="AJ46" i="111" s="1"/>
  <c r="AJ47" i="111" s="1"/>
  <c r="AJ48" i="111" s="1"/>
  <c r="AJ49" i="111" s="1"/>
  <c r="AJ50" i="111" s="1"/>
  <c r="AM23" i="111"/>
  <c r="AM24" i="111" s="1"/>
  <c r="AM25" i="111" s="1"/>
  <c r="AM26" i="111" s="1"/>
  <c r="AM27" i="111" s="1"/>
  <c r="AM28" i="111" s="1"/>
  <c r="AM29" i="111" s="1"/>
  <c r="AM30" i="111" s="1"/>
  <c r="AM31" i="111" s="1"/>
  <c r="AN33" i="111" l="1"/>
  <c r="AN34" i="111"/>
  <c r="AM45" i="111"/>
  <c r="AP44" i="111"/>
  <c r="AP30" i="111"/>
  <c r="AP29" i="111"/>
  <c r="AP28" i="111"/>
  <c r="AP27" i="111"/>
  <c r="AP26" i="111"/>
  <c r="AP31" i="111" l="1"/>
  <c r="AM46" i="111"/>
  <c r="AP45" i="111"/>
  <c r="AJ18" i="111"/>
  <c r="AJ19" i="111" s="1"/>
  <c r="AJ20" i="111" s="1"/>
  <c r="AJ21" i="111" s="1"/>
  <c r="AJ22" i="111" s="1"/>
  <c r="AJ23" i="111" s="1"/>
  <c r="AJ24" i="111" s="1"/>
  <c r="AJ25" i="111" s="1"/>
  <c r="AJ26" i="111" s="1"/>
  <c r="AJ27" i="111" s="1"/>
  <c r="AJ28" i="111" s="1"/>
  <c r="AJ29" i="111" s="1"/>
  <c r="AJ30" i="111" s="1"/>
  <c r="AJ31" i="111" s="1"/>
  <c r="AM47" i="111" l="1"/>
  <c r="AP46" i="111"/>
  <c r="AM48" i="111" l="1"/>
  <c r="AP47" i="111"/>
  <c r="AM49" i="111" l="1"/>
  <c r="AP48" i="111"/>
  <c r="AM50" i="111" l="1"/>
  <c r="AP50" i="111" s="1"/>
  <c r="AP49" i="111"/>
  <c r="G40" i="98" l="1"/>
  <c r="E40" i="98"/>
  <c r="C40" i="98"/>
  <c r="G40" i="166"/>
  <c r="E40" i="166"/>
  <c r="C40" i="166"/>
  <c r="G39" i="166"/>
  <c r="E39" i="166"/>
  <c r="AK39" i="166" s="1"/>
  <c r="C39" i="166"/>
  <c r="G38" i="166"/>
  <c r="E38" i="166"/>
  <c r="C38" i="166"/>
  <c r="G37" i="166"/>
  <c r="E37" i="166"/>
  <c r="C37" i="166"/>
  <c r="M37" i="166" s="1"/>
  <c r="G36" i="166"/>
  <c r="E36" i="166"/>
  <c r="C36" i="166"/>
  <c r="G35" i="166"/>
  <c r="E35" i="166"/>
  <c r="C35" i="166"/>
  <c r="G34" i="166"/>
  <c r="E34" i="166"/>
  <c r="C34" i="166"/>
  <c r="G33" i="166"/>
  <c r="E33" i="166"/>
  <c r="C33" i="166"/>
  <c r="G32" i="166"/>
  <c r="E32" i="166"/>
  <c r="C32" i="166"/>
  <c r="G31" i="166"/>
  <c r="E31" i="166"/>
  <c r="C31" i="166"/>
  <c r="AD93" i="166"/>
  <c r="Z93" i="166"/>
  <c r="V93" i="166"/>
  <c r="AD92" i="166"/>
  <c r="Z92" i="166"/>
  <c r="V92" i="166"/>
  <c r="AD91" i="166"/>
  <c r="Z91" i="166"/>
  <c r="V91" i="166"/>
  <c r="AD88" i="166"/>
  <c r="AD87" i="166"/>
  <c r="Z87" i="166"/>
  <c r="Z85" i="166"/>
  <c r="Q86" i="166"/>
  <c r="Q87" i="166" s="1"/>
  <c r="Q88" i="166" s="1"/>
  <c r="Q89" i="166" s="1"/>
  <c r="Q90" i="166" s="1"/>
  <c r="Q91" i="166" s="1"/>
  <c r="Q92" i="166" s="1"/>
  <c r="Q93" i="166" s="1"/>
  <c r="AT68" i="166"/>
  <c r="AR68" i="166"/>
  <c r="AP68" i="166"/>
  <c r="AN68" i="166"/>
  <c r="AL68" i="166"/>
  <c r="AD68" i="166"/>
  <c r="AD90" i="166" s="1"/>
  <c r="Z90" i="166"/>
  <c r="X68" i="166"/>
  <c r="V90" i="166"/>
  <c r="N68" i="166"/>
  <c r="L68" i="166"/>
  <c r="J68" i="166"/>
  <c r="H68" i="166"/>
  <c r="F68" i="166"/>
  <c r="AT67" i="166"/>
  <c r="AR67" i="166"/>
  <c r="AP67" i="166"/>
  <c r="AN67" i="166"/>
  <c r="AL67" i="166"/>
  <c r="AD67" i="166"/>
  <c r="AD89" i="166" s="1"/>
  <c r="Z89" i="166"/>
  <c r="X67" i="166"/>
  <c r="V89" i="166"/>
  <c r="N67" i="166"/>
  <c r="L67" i="166"/>
  <c r="J67" i="166"/>
  <c r="H67" i="166"/>
  <c r="F67" i="166"/>
  <c r="AT66" i="166"/>
  <c r="AR66" i="166"/>
  <c r="AP66" i="166"/>
  <c r="AN66" i="166"/>
  <c r="AL66" i="166"/>
  <c r="AD66" i="166"/>
  <c r="Z88" i="166"/>
  <c r="X66" i="166"/>
  <c r="V88" i="166"/>
  <c r="N66" i="166"/>
  <c r="L66" i="166"/>
  <c r="J66" i="166"/>
  <c r="H66" i="166"/>
  <c r="F66" i="166"/>
  <c r="AT65" i="166"/>
  <c r="AR65" i="166"/>
  <c r="AP65" i="166"/>
  <c r="AN65" i="166"/>
  <c r="AL65" i="166"/>
  <c r="AD65" i="166"/>
  <c r="X65" i="166"/>
  <c r="V87" i="166"/>
  <c r="N65" i="166"/>
  <c r="L65" i="166"/>
  <c r="J65" i="166"/>
  <c r="H65" i="166"/>
  <c r="F65" i="166"/>
  <c r="AT64" i="166"/>
  <c r="AR64" i="166"/>
  <c r="AP64" i="166"/>
  <c r="AN64" i="166"/>
  <c r="AL64" i="166"/>
  <c r="AD64" i="166"/>
  <c r="AD86" i="166" s="1"/>
  <c r="Z86" i="166"/>
  <c r="X64" i="166"/>
  <c r="V86" i="166"/>
  <c r="N64" i="166"/>
  <c r="L64" i="166"/>
  <c r="J64" i="166"/>
  <c r="H64" i="166"/>
  <c r="F64" i="166"/>
  <c r="AT63" i="166"/>
  <c r="AR63" i="166"/>
  <c r="AP63" i="166"/>
  <c r="AN63" i="166"/>
  <c r="AL63" i="166"/>
  <c r="AD63" i="166"/>
  <c r="AD85" i="166" s="1"/>
  <c r="X63" i="166"/>
  <c r="V85" i="166"/>
  <c r="N63" i="166"/>
  <c r="L63" i="166"/>
  <c r="J63" i="166"/>
  <c r="H63" i="166"/>
  <c r="F63" i="166"/>
  <c r="AT62" i="166"/>
  <c r="AR62" i="166"/>
  <c r="AP62" i="166"/>
  <c r="AN62" i="166"/>
  <c r="AL62" i="166"/>
  <c r="AD62" i="166"/>
  <c r="X62" i="166"/>
  <c r="N62" i="166"/>
  <c r="L62" i="166"/>
  <c r="J62" i="166"/>
  <c r="H62" i="166"/>
  <c r="F62" i="166"/>
  <c r="AT61" i="166"/>
  <c r="AR61" i="166"/>
  <c r="AP61" i="166"/>
  <c r="AN61" i="166"/>
  <c r="AL61" i="166"/>
  <c r="AD61" i="166"/>
  <c r="X61" i="166"/>
  <c r="N61" i="166"/>
  <c r="L61" i="166"/>
  <c r="J61" i="166"/>
  <c r="H61" i="166"/>
  <c r="F61" i="166"/>
  <c r="AT60" i="166"/>
  <c r="AR60" i="166"/>
  <c r="AP60" i="166"/>
  <c r="AN60" i="166"/>
  <c r="AL60" i="166"/>
  <c r="AD60" i="166"/>
  <c r="X60" i="166"/>
  <c r="N60" i="166"/>
  <c r="L60" i="166"/>
  <c r="J60" i="166"/>
  <c r="H60" i="166"/>
  <c r="F60" i="166"/>
  <c r="AG59" i="166"/>
  <c r="AG60" i="166" s="1"/>
  <c r="AG61" i="166" s="1"/>
  <c r="AG62" i="166" s="1"/>
  <c r="AG63" i="166" s="1"/>
  <c r="AG64" i="166" s="1"/>
  <c r="AG65" i="166" s="1"/>
  <c r="AG66" i="166" s="1"/>
  <c r="AG67" i="166" s="1"/>
  <c r="AG68" i="166" s="1"/>
  <c r="Q59" i="166"/>
  <c r="Q60" i="166" s="1"/>
  <c r="Q61" i="166" s="1"/>
  <c r="Q62" i="166" s="1"/>
  <c r="Q63" i="166" s="1"/>
  <c r="Q64" i="166" s="1"/>
  <c r="Q65" i="166" s="1"/>
  <c r="Q66" i="166" s="1"/>
  <c r="Q67" i="166" s="1"/>
  <c r="Q68" i="166" s="1"/>
  <c r="N59" i="166"/>
  <c r="AG46" i="166"/>
  <c r="AG47" i="166" s="1"/>
  <c r="AG48" i="166" s="1"/>
  <c r="AG49" i="166" s="1"/>
  <c r="AG50" i="166" s="1"/>
  <c r="AG51" i="166" s="1"/>
  <c r="AG52" i="166" s="1"/>
  <c r="AG53" i="166" s="1"/>
  <c r="AG54" i="166" s="1"/>
  <c r="Q46" i="166"/>
  <c r="Q47" i="166" s="1"/>
  <c r="Q48" i="166" s="1"/>
  <c r="Q49" i="166" s="1"/>
  <c r="Q50" i="166" s="1"/>
  <c r="Q51" i="166" s="1"/>
  <c r="Q52" i="166" s="1"/>
  <c r="Q53" i="166" s="1"/>
  <c r="Q54" i="166" s="1"/>
  <c r="A32" i="166"/>
  <c r="A33" i="166" s="1"/>
  <c r="A34" i="166" s="1"/>
  <c r="A35" i="166" s="1"/>
  <c r="A36" i="166" s="1"/>
  <c r="A37" i="166" s="1"/>
  <c r="A38" i="166" s="1"/>
  <c r="A39" i="166" s="1"/>
  <c r="A40" i="166" s="1"/>
  <c r="A31" i="166"/>
  <c r="A45" i="166" s="1"/>
  <c r="AT28" i="166"/>
  <c r="A18" i="166"/>
  <c r="A19" i="166" s="1"/>
  <c r="A20" i="166" s="1"/>
  <c r="A21" i="166" s="1"/>
  <c r="A22" i="166" s="1"/>
  <c r="A23" i="166" s="1"/>
  <c r="A24" i="166" s="1"/>
  <c r="A25" i="166" s="1"/>
  <c r="A26" i="166" s="1"/>
  <c r="AG17" i="166"/>
  <c r="AG31" i="166" s="1"/>
  <c r="AG32" i="166" s="1"/>
  <c r="AG33" i="166" s="1"/>
  <c r="AG34" i="166" s="1"/>
  <c r="AG35" i="166" s="1"/>
  <c r="AG36" i="166" s="1"/>
  <c r="AG37" i="166" s="1"/>
  <c r="AG38" i="166" s="1"/>
  <c r="AG39" i="166" s="1"/>
  <c r="AG40" i="166" s="1"/>
  <c r="Q17" i="166"/>
  <c r="Q31" i="166" s="1"/>
  <c r="Q32" i="166" s="1"/>
  <c r="Q33" i="166" s="1"/>
  <c r="Q34" i="166" s="1"/>
  <c r="Q35" i="166" s="1"/>
  <c r="Q36" i="166" s="1"/>
  <c r="Q37" i="166" s="1"/>
  <c r="Q38" i="166" s="1"/>
  <c r="Q39" i="166" s="1"/>
  <c r="Q40" i="166" s="1"/>
  <c r="Q4" i="166"/>
  <c r="AG4" i="166" s="1"/>
  <c r="AT68" i="116"/>
  <c r="AR68" i="116"/>
  <c r="AP68" i="116"/>
  <c r="AN68" i="116"/>
  <c r="AL68" i="116"/>
  <c r="AT67" i="116"/>
  <c r="AR67" i="116"/>
  <c r="AP67" i="116"/>
  <c r="AN67" i="116"/>
  <c r="AL67" i="116"/>
  <c r="AT66" i="116"/>
  <c r="AR66" i="116"/>
  <c r="AP66" i="116"/>
  <c r="AN66" i="116"/>
  <c r="AL66" i="116"/>
  <c r="AT65" i="116"/>
  <c r="AR65" i="116"/>
  <c r="AP65" i="116"/>
  <c r="AN65" i="116"/>
  <c r="AL65" i="116"/>
  <c r="AT64" i="116"/>
  <c r="AR64" i="116"/>
  <c r="AP64" i="116"/>
  <c r="AN64" i="116"/>
  <c r="AL64" i="116"/>
  <c r="AT63" i="116"/>
  <c r="AR63" i="116"/>
  <c r="AP63" i="116"/>
  <c r="AN63" i="116"/>
  <c r="AL63" i="116"/>
  <c r="AT62" i="116"/>
  <c r="AR62" i="116"/>
  <c r="AP62" i="116"/>
  <c r="AN62" i="116"/>
  <c r="AL62" i="116"/>
  <c r="AT61" i="116"/>
  <c r="AR61" i="116"/>
  <c r="AP61" i="116"/>
  <c r="AN61" i="116"/>
  <c r="AL61" i="116"/>
  <c r="AT60" i="116"/>
  <c r="AR60" i="116"/>
  <c r="AP60" i="116"/>
  <c r="AN60" i="116"/>
  <c r="AL60" i="116"/>
  <c r="AG59" i="116"/>
  <c r="AG60" i="116" s="1"/>
  <c r="AG61" i="116" s="1"/>
  <c r="AG62" i="116" s="1"/>
  <c r="AG63" i="116" s="1"/>
  <c r="AG64" i="116" s="1"/>
  <c r="AG65" i="116" s="1"/>
  <c r="AG66" i="116" s="1"/>
  <c r="AG67" i="116" s="1"/>
  <c r="AG68" i="116" s="1"/>
  <c r="AD68" i="116"/>
  <c r="AD90" i="116" s="1"/>
  <c r="AB68" i="116"/>
  <c r="Z68" i="116"/>
  <c r="Z90" i="116" s="1"/>
  <c r="X68" i="116"/>
  <c r="V90" i="116"/>
  <c r="AD67" i="116"/>
  <c r="AD89" i="116" s="1"/>
  <c r="AB67" i="116"/>
  <c r="Z67" i="116"/>
  <c r="Z89" i="116" s="1"/>
  <c r="X67" i="116"/>
  <c r="V89" i="116"/>
  <c r="AD66" i="116"/>
  <c r="AD88" i="116" s="1"/>
  <c r="AB66" i="116"/>
  <c r="Z66" i="116"/>
  <c r="Z88" i="116" s="1"/>
  <c r="X66" i="116"/>
  <c r="V88" i="116"/>
  <c r="AD65" i="116"/>
  <c r="AD87" i="116" s="1"/>
  <c r="AB65" i="116"/>
  <c r="Z65" i="116"/>
  <c r="Z87" i="116" s="1"/>
  <c r="X65" i="116"/>
  <c r="V87" i="116"/>
  <c r="AD64" i="116"/>
  <c r="AD86" i="116" s="1"/>
  <c r="AB64" i="116"/>
  <c r="Z64" i="116"/>
  <c r="Z86" i="116" s="1"/>
  <c r="X64" i="116"/>
  <c r="V86" i="116"/>
  <c r="AD63" i="116"/>
  <c r="AD85" i="116" s="1"/>
  <c r="AB63" i="116"/>
  <c r="Z63" i="116"/>
  <c r="Z85" i="116" s="1"/>
  <c r="X63" i="116"/>
  <c r="V85" i="116"/>
  <c r="AD62" i="116"/>
  <c r="AB62" i="116"/>
  <c r="Z62" i="116"/>
  <c r="X62" i="116"/>
  <c r="AD61" i="116"/>
  <c r="AB61" i="116"/>
  <c r="Z61" i="116"/>
  <c r="X61" i="116"/>
  <c r="AD60" i="116"/>
  <c r="AB60" i="116"/>
  <c r="Z60" i="116"/>
  <c r="X60" i="116"/>
  <c r="Q59" i="116"/>
  <c r="Q60" i="116" s="1"/>
  <c r="Q61" i="116" s="1"/>
  <c r="Q62" i="116" s="1"/>
  <c r="Q63" i="116" s="1"/>
  <c r="Q64" i="116" s="1"/>
  <c r="Q65" i="116" s="1"/>
  <c r="Q66" i="116" s="1"/>
  <c r="Q67" i="116" s="1"/>
  <c r="Q68" i="116" s="1"/>
  <c r="N68" i="116"/>
  <c r="L68" i="116"/>
  <c r="J68" i="116"/>
  <c r="H68" i="116"/>
  <c r="F68" i="116"/>
  <c r="N67" i="116"/>
  <c r="L67" i="116"/>
  <c r="J67" i="116"/>
  <c r="H67" i="116"/>
  <c r="F67" i="116"/>
  <c r="N66" i="116"/>
  <c r="L66" i="116"/>
  <c r="J66" i="116"/>
  <c r="H66" i="116"/>
  <c r="F66" i="116"/>
  <c r="N65" i="116"/>
  <c r="L65" i="116"/>
  <c r="J65" i="116"/>
  <c r="H65" i="116"/>
  <c r="F65" i="116"/>
  <c r="N64" i="116"/>
  <c r="L64" i="116"/>
  <c r="J64" i="116"/>
  <c r="H64" i="116"/>
  <c r="F64" i="116"/>
  <c r="N63" i="116"/>
  <c r="L63" i="116"/>
  <c r="J63" i="116"/>
  <c r="H63" i="116"/>
  <c r="F63" i="116"/>
  <c r="N62" i="116"/>
  <c r="L62" i="116"/>
  <c r="J62" i="116"/>
  <c r="H62" i="116"/>
  <c r="F62" i="116"/>
  <c r="N61" i="116"/>
  <c r="L61" i="116"/>
  <c r="J61" i="116"/>
  <c r="H61" i="116"/>
  <c r="F61" i="116"/>
  <c r="N60" i="116"/>
  <c r="L60" i="116"/>
  <c r="J60" i="116"/>
  <c r="H60" i="116"/>
  <c r="F60" i="116"/>
  <c r="N59" i="116"/>
  <c r="AM33" i="166" l="1"/>
  <c r="Y38" i="166"/>
  <c r="Y37" i="166"/>
  <c r="Y36" i="166"/>
  <c r="AM36" i="166"/>
  <c r="Y32" i="166"/>
  <c r="AK38" i="166"/>
  <c r="W42" i="166"/>
  <c r="I40" i="166"/>
  <c r="M38" i="166"/>
  <c r="I32" i="166"/>
  <c r="M32" i="166"/>
  <c r="M36" i="166"/>
  <c r="M40" i="166"/>
  <c r="M39" i="166"/>
  <c r="I35" i="166"/>
  <c r="AK33" i="166"/>
  <c r="AK40" i="166"/>
  <c r="AK34" i="166"/>
  <c r="Y35" i="166"/>
  <c r="AO35" i="166" s="1"/>
  <c r="Y39" i="166"/>
  <c r="AK31" i="166"/>
  <c r="AM35" i="166"/>
  <c r="M40" i="98"/>
  <c r="I40" i="98"/>
  <c r="I38" i="166"/>
  <c r="AO38" i="166" s="1"/>
  <c r="I33" i="166"/>
  <c r="M35" i="166"/>
  <c r="I31" i="166"/>
  <c r="E42" i="166"/>
  <c r="K35" i="166"/>
  <c r="K33" i="166"/>
  <c r="M31" i="166"/>
  <c r="M33" i="166"/>
  <c r="M34" i="166"/>
  <c r="I37" i="166"/>
  <c r="K40" i="166"/>
  <c r="K37" i="166"/>
  <c r="G42" i="166"/>
  <c r="K32" i="166"/>
  <c r="K40" i="98"/>
  <c r="AK35" i="166"/>
  <c r="AK36" i="166"/>
  <c r="AM39" i="166"/>
  <c r="K39" i="166"/>
  <c r="K34" i="166"/>
  <c r="AK32" i="166"/>
  <c r="I36" i="166"/>
  <c r="K36" i="166"/>
  <c r="I34" i="166"/>
  <c r="K31" i="166"/>
  <c r="AK37" i="166"/>
  <c r="K38" i="166"/>
  <c r="I39" i="166"/>
  <c r="AM34" i="166"/>
  <c r="A59" i="166"/>
  <c r="A60" i="166" s="1"/>
  <c r="A61" i="166" s="1"/>
  <c r="A62" i="166" s="1"/>
  <c r="A63" i="166" s="1"/>
  <c r="A64" i="166" s="1"/>
  <c r="A65" i="166" s="1"/>
  <c r="A66" i="166" s="1"/>
  <c r="A67" i="166" s="1"/>
  <c r="A68" i="166" s="1"/>
  <c r="A46" i="166"/>
  <c r="A47" i="166" s="1"/>
  <c r="A48" i="166" s="1"/>
  <c r="A49" i="166" s="1"/>
  <c r="A50" i="166" s="1"/>
  <c r="A51" i="166" s="1"/>
  <c r="A52" i="166" s="1"/>
  <c r="A53" i="166" s="1"/>
  <c r="A54" i="166" s="1"/>
  <c r="Q18" i="166"/>
  <c r="Q19" i="166" s="1"/>
  <c r="Q20" i="166" s="1"/>
  <c r="Q21" i="166" s="1"/>
  <c r="Q22" i="166" s="1"/>
  <c r="Q23" i="166" s="1"/>
  <c r="Q24" i="166" s="1"/>
  <c r="Q25" i="166" s="1"/>
  <c r="Q26" i="166" s="1"/>
  <c r="AM32" i="166"/>
  <c r="Y40" i="166"/>
  <c r="AO40" i="166" s="1"/>
  <c r="U42" i="166"/>
  <c r="Y33" i="166"/>
  <c r="AM37" i="166"/>
  <c r="AM40" i="166"/>
  <c r="Y34" i="166"/>
  <c r="AM38" i="166"/>
  <c r="AM31" i="166"/>
  <c r="AG18" i="166"/>
  <c r="AG19" i="166" s="1"/>
  <c r="AG20" i="166" s="1"/>
  <c r="AG21" i="166" s="1"/>
  <c r="AG22" i="166" s="1"/>
  <c r="AG23" i="166" s="1"/>
  <c r="AG24" i="166" s="1"/>
  <c r="AG25" i="166" s="1"/>
  <c r="AG26" i="166" s="1"/>
  <c r="C42" i="166"/>
  <c r="AO36" i="166" l="1"/>
  <c r="AO37" i="166"/>
  <c r="AO32" i="166"/>
  <c r="AO39" i="166"/>
  <c r="AO33" i="166"/>
  <c r="AO34" i="166"/>
  <c r="AK42" i="166"/>
  <c r="AM42" i="166"/>
  <c r="M42" i="166"/>
  <c r="AA37" i="166"/>
  <c r="S37" i="166" s="1"/>
  <c r="AA36" i="166"/>
  <c r="S36" i="166" s="1"/>
  <c r="AA32" i="166"/>
  <c r="S32" i="166" s="1"/>
  <c r="AA39" i="166"/>
  <c r="S39" i="166" s="1"/>
  <c r="AA38" i="166"/>
  <c r="S38" i="166" s="1"/>
  <c r="AA33" i="166"/>
  <c r="S33" i="166" s="1"/>
  <c r="K42" i="166"/>
  <c r="AA31" i="166"/>
  <c r="AQ31" i="166" s="1"/>
  <c r="AA35" i="166"/>
  <c r="S35" i="166" s="1"/>
  <c r="AA40" i="166"/>
  <c r="S40" i="166" s="1"/>
  <c r="I42" i="166"/>
  <c r="AA34" i="166"/>
  <c r="S34" i="166" s="1"/>
  <c r="AQ33" i="166" l="1"/>
  <c r="AQ37" i="166"/>
  <c r="AQ40" i="166"/>
  <c r="AQ32" i="166"/>
  <c r="AQ34" i="166"/>
  <c r="AQ39" i="166"/>
  <c r="AQ35" i="166"/>
  <c r="AC35" i="166"/>
  <c r="AS35" i="166" s="1"/>
  <c r="AI35" i="166"/>
  <c r="AC37" i="166"/>
  <c r="AS37" i="166" s="1"/>
  <c r="AI37" i="166"/>
  <c r="AC39" i="166"/>
  <c r="AS39" i="166" s="1"/>
  <c r="AI39" i="166"/>
  <c r="AQ36" i="166"/>
  <c r="AC33" i="166"/>
  <c r="AS33" i="166" s="1"/>
  <c r="AI33" i="166"/>
  <c r="AA42" i="166"/>
  <c r="S31" i="166"/>
  <c r="AC32" i="166"/>
  <c r="AS32" i="166" s="1"/>
  <c r="AI32" i="166"/>
  <c r="AC36" i="166"/>
  <c r="AS36" i="166" s="1"/>
  <c r="AI36" i="166"/>
  <c r="AC40" i="166"/>
  <c r="AS40" i="166" s="1"/>
  <c r="AI40" i="166"/>
  <c r="AC38" i="166"/>
  <c r="AS38" i="166" s="1"/>
  <c r="AI38" i="166"/>
  <c r="AQ38" i="166"/>
  <c r="AC34" i="166"/>
  <c r="AS34" i="166" s="1"/>
  <c r="AI34" i="166"/>
  <c r="AQ42" i="166" l="1"/>
  <c r="AC31" i="166"/>
  <c r="S42" i="166"/>
  <c r="AI31" i="166"/>
  <c r="AI42" i="166" s="1"/>
  <c r="AC42" i="166" l="1"/>
  <c r="AS31" i="166"/>
  <c r="AS42" i="166" s="1"/>
  <c r="AG46" i="116" l="1"/>
  <c r="AG47" i="116" s="1"/>
  <c r="AG48" i="116" s="1"/>
  <c r="AG49" i="116" s="1"/>
  <c r="AG50" i="116" s="1"/>
  <c r="AG51" i="116" s="1"/>
  <c r="AG52" i="116" s="1"/>
  <c r="AG53" i="116" s="1"/>
  <c r="AG54" i="116" s="1"/>
  <c r="AD15" i="131"/>
  <c r="AE15" i="131" s="1"/>
  <c r="AF15" i="131" s="1"/>
  <c r="AG15" i="131" s="1"/>
  <c r="AH15" i="131" s="1"/>
  <c r="AI15" i="131" s="1"/>
  <c r="BW58" i="91"/>
  <c r="W80" i="131"/>
  <c r="W81" i="131" s="1"/>
  <c r="W82" i="131" s="1"/>
  <c r="W83" i="131" s="1"/>
  <c r="W84" i="131" s="1"/>
  <c r="W85" i="131" s="1"/>
  <c r="W86" i="131" s="1"/>
  <c r="W87" i="131" s="1"/>
  <c r="Q80" i="131"/>
  <c r="Q81" i="131" s="1"/>
  <c r="Q82" i="131" s="1"/>
  <c r="Q83" i="131" s="1"/>
  <c r="Q84" i="131" s="1"/>
  <c r="Q85" i="131" s="1"/>
  <c r="Q86" i="131" s="1"/>
  <c r="Q87" i="131" s="1"/>
  <c r="AY54" i="115" l="1"/>
  <c r="AY53" i="115"/>
  <c r="AY52" i="115"/>
  <c r="AY51" i="115"/>
  <c r="AY50" i="115"/>
  <c r="AY49" i="115"/>
  <c r="AY48" i="115"/>
  <c r="AY47" i="115"/>
  <c r="AY46" i="115"/>
  <c r="AY45" i="115"/>
  <c r="AY40" i="115"/>
  <c r="AY39" i="115"/>
  <c r="AY38" i="115"/>
  <c r="AY37" i="115"/>
  <c r="AY36" i="115"/>
  <c r="AY35" i="115"/>
  <c r="AY34" i="115"/>
  <c r="AY33" i="115"/>
  <c r="AY32" i="115"/>
  <c r="AY31" i="115"/>
  <c r="BX28" i="91" l="1"/>
  <c r="AD16" i="87"/>
  <c r="AD16" i="84"/>
  <c r="AF16" i="84" s="1"/>
  <c r="BS68" i="91"/>
  <c r="BR68" i="91"/>
  <c r="BQ68" i="91"/>
  <c r="BP68" i="91"/>
  <c r="BO68" i="91"/>
  <c r="BN68" i="91"/>
  <c r="BK69" i="91"/>
  <c r="BJ69" i="91"/>
  <c r="BI69" i="91"/>
  <c r="BH69" i="91"/>
  <c r="BG69" i="91"/>
  <c r="BF69" i="91"/>
  <c r="BS67" i="91"/>
  <c r="BR67" i="91"/>
  <c r="BQ67" i="91"/>
  <c r="BP67" i="91"/>
  <c r="BO67" i="91"/>
  <c r="BN67" i="91"/>
  <c r="BS66" i="91"/>
  <c r="BR66" i="91"/>
  <c r="BQ66" i="91"/>
  <c r="BP66" i="91"/>
  <c r="BO66" i="91"/>
  <c r="BN66" i="91"/>
  <c r="BS65" i="91"/>
  <c r="BR65" i="91"/>
  <c r="BQ65" i="91"/>
  <c r="BP65" i="91"/>
  <c r="BO65" i="91"/>
  <c r="BN65" i="91"/>
  <c r="BR64" i="91"/>
  <c r="BQ64" i="91"/>
  <c r="BO64" i="91"/>
  <c r="BS63" i="91"/>
  <c r="BR63" i="91"/>
  <c r="BQ63" i="91"/>
  <c r="BP63" i="91"/>
  <c r="BO63" i="91"/>
  <c r="BN63" i="91"/>
  <c r="BS62" i="91"/>
  <c r="BR62" i="91"/>
  <c r="BQ62" i="91"/>
  <c r="BP62" i="91"/>
  <c r="BO62" i="91"/>
  <c r="BN62" i="91"/>
  <c r="BS61" i="91"/>
  <c r="BR61" i="91"/>
  <c r="BQ61" i="91"/>
  <c r="BP61" i="91"/>
  <c r="BO61" i="91"/>
  <c r="BN61" i="91"/>
  <c r="BS60" i="91"/>
  <c r="BR60" i="91"/>
  <c r="BQ60" i="91"/>
  <c r="BP60" i="91"/>
  <c r="BO60" i="91"/>
  <c r="BN60" i="91"/>
  <c r="BS59" i="91"/>
  <c r="BR59" i="91"/>
  <c r="BQ59" i="91"/>
  <c r="BP59" i="91"/>
  <c r="BO59" i="91"/>
  <c r="BN59" i="91"/>
  <c r="AM56" i="115"/>
  <c r="AM42" i="115"/>
  <c r="AA26" i="115"/>
  <c r="AA25" i="115"/>
  <c r="AA24" i="115"/>
  <c r="AA19" i="115"/>
  <c r="AA18" i="115"/>
  <c r="AA17" i="115"/>
  <c r="AP54" i="115"/>
  <c r="AP53" i="115"/>
  <c r="AP52" i="115"/>
  <c r="AP51" i="115"/>
  <c r="AP50" i="115"/>
  <c r="AP49" i="115"/>
  <c r="AP48" i="115"/>
  <c r="AP47" i="115"/>
  <c r="AP46" i="115"/>
  <c r="AP45" i="115"/>
  <c r="AR40" i="115"/>
  <c r="AQ40" i="115"/>
  <c r="AP40" i="115"/>
  <c r="AP39" i="115"/>
  <c r="AP38" i="115"/>
  <c r="AP37" i="115"/>
  <c r="AP36" i="115"/>
  <c r="AP35" i="115"/>
  <c r="AP34" i="115"/>
  <c r="AP33" i="115"/>
  <c r="AP32" i="115"/>
  <c r="AP31" i="115"/>
  <c r="AP26" i="115"/>
  <c r="AP25" i="115"/>
  <c r="AP24" i="115"/>
  <c r="AP23" i="115"/>
  <c r="AP22" i="115"/>
  <c r="AP21" i="115"/>
  <c r="AP20" i="115"/>
  <c r="AP19" i="115"/>
  <c r="AP18" i="115"/>
  <c r="AP17" i="115"/>
  <c r="BJ54" i="115"/>
  <c r="BI54" i="115"/>
  <c r="BH54" i="115"/>
  <c r="BJ53" i="115"/>
  <c r="BI53" i="115"/>
  <c r="BH53" i="115"/>
  <c r="BJ52" i="115"/>
  <c r="BI52" i="115"/>
  <c r="BH52" i="115"/>
  <c r="BJ51" i="115"/>
  <c r="BI51" i="115"/>
  <c r="BH51" i="115"/>
  <c r="BJ50" i="115"/>
  <c r="BI50" i="115"/>
  <c r="BH50" i="115"/>
  <c r="BJ49" i="115"/>
  <c r="BI49" i="115"/>
  <c r="BH49" i="115"/>
  <c r="BJ48" i="115"/>
  <c r="BI48" i="115"/>
  <c r="BH48" i="115"/>
  <c r="BJ47" i="115"/>
  <c r="BI47" i="115"/>
  <c r="BH47" i="115"/>
  <c r="BJ46" i="115"/>
  <c r="BJ56" i="115" s="1"/>
  <c r="BI46" i="115"/>
  <c r="BH46" i="115"/>
  <c r="BJ45" i="115"/>
  <c r="BI45" i="115"/>
  <c r="BH45" i="115"/>
  <c r="BJ40" i="115"/>
  <c r="BI40" i="115"/>
  <c r="BH40" i="115"/>
  <c r="BJ39" i="115"/>
  <c r="BI39" i="115"/>
  <c r="BH39" i="115"/>
  <c r="BJ38" i="115"/>
  <c r="BI38" i="115"/>
  <c r="BH38" i="115"/>
  <c r="BJ37" i="115"/>
  <c r="BI37" i="115"/>
  <c r="BH37" i="115"/>
  <c r="BJ36" i="115"/>
  <c r="BI36" i="115"/>
  <c r="BH36" i="115"/>
  <c r="BJ35" i="115"/>
  <c r="BI35" i="115"/>
  <c r="BH35" i="115"/>
  <c r="BJ34" i="115"/>
  <c r="BI34" i="115"/>
  <c r="BH34" i="115"/>
  <c r="BJ33" i="115"/>
  <c r="BI33" i="115"/>
  <c r="BH33" i="115"/>
  <c r="BJ32" i="115"/>
  <c r="BI32" i="115"/>
  <c r="BH32" i="115"/>
  <c r="BJ31" i="115"/>
  <c r="BJ42" i="115" s="1"/>
  <c r="BI31" i="115"/>
  <c r="BH31" i="115"/>
  <c r="BJ26" i="115"/>
  <c r="BJ25" i="115"/>
  <c r="BJ24" i="115"/>
  <c r="BJ23" i="115"/>
  <c r="BJ21" i="115"/>
  <c r="BJ20" i="115"/>
  <c r="BJ19" i="115"/>
  <c r="BJ18" i="115"/>
  <c r="BJ17" i="115"/>
  <c r="BH26" i="115"/>
  <c r="BH25" i="115"/>
  <c r="BH24" i="115"/>
  <c r="BH23" i="115"/>
  <c r="BH21" i="115"/>
  <c r="BH20" i="115"/>
  <c r="BH19" i="115"/>
  <c r="BH18" i="115"/>
  <c r="BH17" i="115"/>
  <c r="BI26" i="115"/>
  <c r="BI25" i="115"/>
  <c r="BI24" i="115"/>
  <c r="BI23" i="115"/>
  <c r="BI22" i="115"/>
  <c r="BI21" i="115"/>
  <c r="BI63" i="115" s="1"/>
  <c r="BI20" i="115"/>
  <c r="BI19" i="115"/>
  <c r="BI18" i="115"/>
  <c r="BI17" i="115"/>
  <c r="AY26" i="115"/>
  <c r="AY25" i="115"/>
  <c r="AY24" i="115"/>
  <c r="AY23" i="115"/>
  <c r="AY22" i="115"/>
  <c r="AY21" i="115"/>
  <c r="AY20" i="115"/>
  <c r="AY19" i="115"/>
  <c r="AY18" i="115"/>
  <c r="AY17" i="115"/>
  <c r="BK67" i="115"/>
  <c r="BL66" i="115"/>
  <c r="BK61" i="115"/>
  <c r="BL60" i="115"/>
  <c r="BL59" i="115"/>
  <c r="BL56" i="115"/>
  <c r="BK56" i="115"/>
  <c r="BG45" i="115"/>
  <c r="BG46" i="115" s="1"/>
  <c r="BG47" i="115" s="1"/>
  <c r="BG48" i="115" s="1"/>
  <c r="BG49" i="115" s="1"/>
  <c r="BG50" i="115" s="1"/>
  <c r="BG51" i="115" s="1"/>
  <c r="BG52" i="115" s="1"/>
  <c r="BG53" i="115" s="1"/>
  <c r="BG54" i="115" s="1"/>
  <c r="BM67" i="115"/>
  <c r="BL63" i="115"/>
  <c r="BK42" i="115"/>
  <c r="BL42" i="115"/>
  <c r="BM60" i="115"/>
  <c r="BG31" i="115"/>
  <c r="BG32" i="115" s="1"/>
  <c r="BG33" i="115" s="1"/>
  <c r="BG34" i="115" s="1"/>
  <c r="BG35" i="115" s="1"/>
  <c r="BG36" i="115" s="1"/>
  <c r="BG37" i="115" s="1"/>
  <c r="BG38" i="115" s="1"/>
  <c r="BG39" i="115" s="1"/>
  <c r="BG40" i="115" s="1"/>
  <c r="BK66" i="115"/>
  <c r="BK65" i="115"/>
  <c r="BL64" i="115"/>
  <c r="BK64" i="115"/>
  <c r="BK63" i="115"/>
  <c r="BL62" i="115"/>
  <c r="BK62" i="115"/>
  <c r="BL61" i="115"/>
  <c r="BK60" i="115"/>
  <c r="BG18" i="115"/>
  <c r="BG19" i="115" s="1"/>
  <c r="BG20" i="115" s="1"/>
  <c r="BG21" i="115" s="1"/>
  <c r="BG22" i="115" s="1"/>
  <c r="BG23" i="115" s="1"/>
  <c r="BG24" i="115" s="1"/>
  <c r="BG25" i="115" s="1"/>
  <c r="BG26" i="115" s="1"/>
  <c r="BK59" i="115"/>
  <c r="BH14" i="115"/>
  <c r="BI14" i="115" s="1"/>
  <c r="BJ14" i="115" s="1"/>
  <c r="BK14" i="115" s="1"/>
  <c r="BL14" i="115" s="1"/>
  <c r="BM14" i="115" s="1"/>
  <c r="BC66" i="115"/>
  <c r="BC59" i="115"/>
  <c r="BB59" i="115"/>
  <c r="BC65" i="115"/>
  <c r="BB60" i="115"/>
  <c r="BC56" i="115"/>
  <c r="BB56" i="115"/>
  <c r="BB42" i="115"/>
  <c r="BC60" i="115"/>
  <c r="AX31" i="115"/>
  <c r="AX45" i="115" s="1"/>
  <c r="AX46" i="115" s="1"/>
  <c r="AX47" i="115" s="1"/>
  <c r="AX48" i="115" s="1"/>
  <c r="AX49" i="115" s="1"/>
  <c r="AX50" i="115" s="1"/>
  <c r="AX51" i="115" s="1"/>
  <c r="AX52" i="115" s="1"/>
  <c r="AX53" i="115" s="1"/>
  <c r="AX54" i="115" s="1"/>
  <c r="BC67" i="115"/>
  <c r="BB67" i="115"/>
  <c r="BB66" i="115"/>
  <c r="BB65" i="115"/>
  <c r="BC64" i="115"/>
  <c r="BB64" i="115"/>
  <c r="BC63" i="115"/>
  <c r="BB63" i="115"/>
  <c r="BC62" i="115"/>
  <c r="BB62" i="115"/>
  <c r="BC61" i="115"/>
  <c r="BB61" i="115"/>
  <c r="AX18" i="115"/>
  <c r="AX19" i="115" s="1"/>
  <c r="AX20" i="115" s="1"/>
  <c r="AX21" i="115" s="1"/>
  <c r="AX22" i="115" s="1"/>
  <c r="AX23" i="115" s="1"/>
  <c r="AX24" i="115" s="1"/>
  <c r="AX25" i="115" s="1"/>
  <c r="AX26" i="115" s="1"/>
  <c r="AY14" i="115"/>
  <c r="AZ14" i="115" s="1"/>
  <c r="BA14" i="115" s="1"/>
  <c r="BB14" i="115" s="1"/>
  <c r="BC14" i="115" s="1"/>
  <c r="BD14" i="115" s="1"/>
  <c r="AT66" i="115"/>
  <c r="AT61" i="115"/>
  <c r="AS61" i="115"/>
  <c r="AU64" i="115"/>
  <c r="AT56" i="115"/>
  <c r="AS56" i="115"/>
  <c r="AU63" i="115"/>
  <c r="AS42" i="115"/>
  <c r="AO31" i="115"/>
  <c r="AO32" i="115" s="1"/>
  <c r="AO33" i="115" s="1"/>
  <c r="AO34" i="115" s="1"/>
  <c r="AO35" i="115" s="1"/>
  <c r="AO36" i="115" s="1"/>
  <c r="AO37" i="115" s="1"/>
  <c r="AO38" i="115" s="1"/>
  <c r="AO39" i="115" s="1"/>
  <c r="AO40" i="115" s="1"/>
  <c r="AS67" i="115"/>
  <c r="AS66" i="115"/>
  <c r="AT65" i="115"/>
  <c r="AS65" i="115"/>
  <c r="AT64" i="115"/>
  <c r="AS64" i="115"/>
  <c r="AT63" i="115"/>
  <c r="AS63" i="115"/>
  <c r="AT62" i="115"/>
  <c r="AS62" i="115"/>
  <c r="AT60" i="115"/>
  <c r="AS60" i="115"/>
  <c r="AO18" i="115"/>
  <c r="AO19" i="115" s="1"/>
  <c r="AO20" i="115" s="1"/>
  <c r="AO21" i="115" s="1"/>
  <c r="AO22" i="115" s="1"/>
  <c r="AO23" i="115" s="1"/>
  <c r="AO24" i="115" s="1"/>
  <c r="AO25" i="115" s="1"/>
  <c r="AO26" i="115" s="1"/>
  <c r="AT59" i="115"/>
  <c r="AS59" i="115"/>
  <c r="AQ14" i="115"/>
  <c r="AR14" i="115" s="1"/>
  <c r="AS14" i="115" s="1"/>
  <c r="AT14" i="115" s="1"/>
  <c r="AU14" i="115" s="1"/>
  <c r="AP14" i="115"/>
  <c r="AA56" i="115"/>
  <c r="X56" i="115"/>
  <c r="Q56" i="115"/>
  <c r="A31" i="115"/>
  <c r="A45" i="115" s="1"/>
  <c r="AG54" i="115"/>
  <c r="AG53" i="115"/>
  <c r="AG52" i="115"/>
  <c r="AG51" i="115"/>
  <c r="AG50" i="115"/>
  <c r="AG49" i="115"/>
  <c r="AG48" i="115"/>
  <c r="AG47" i="115"/>
  <c r="AG46" i="115"/>
  <c r="AF59" i="115"/>
  <c r="AF60" i="115" s="1"/>
  <c r="AF61" i="115" s="1"/>
  <c r="AF62" i="115" s="1"/>
  <c r="AF63" i="115" s="1"/>
  <c r="AF64" i="115" s="1"/>
  <c r="AF65" i="115" s="1"/>
  <c r="AF66" i="115" s="1"/>
  <c r="AF67" i="115" s="1"/>
  <c r="M26" i="92"/>
  <c r="M25" i="92"/>
  <c r="M24" i="92"/>
  <c r="M19" i="92"/>
  <c r="M18" i="92"/>
  <c r="M17" i="92"/>
  <c r="M23" i="92"/>
  <c r="AE31" i="92" s="1"/>
  <c r="M22" i="92"/>
  <c r="AA21" i="115"/>
  <c r="AA20" i="115"/>
  <c r="AO45" i="115" l="1"/>
  <c r="AO46" i="115" s="1"/>
  <c r="AO47" i="115" s="1"/>
  <c r="AO48" i="115" s="1"/>
  <c r="AO49" i="115" s="1"/>
  <c r="AO50" i="115" s="1"/>
  <c r="AO51" i="115" s="1"/>
  <c r="AO52" i="115" s="1"/>
  <c r="AO53" i="115" s="1"/>
  <c r="AO54" i="115" s="1"/>
  <c r="BJ63" i="115"/>
  <c r="BJ61" i="115"/>
  <c r="BH67" i="115"/>
  <c r="BH56" i="115"/>
  <c r="BH42" i="115"/>
  <c r="BH63" i="115"/>
  <c r="AY60" i="115"/>
  <c r="AY62" i="115"/>
  <c r="BH59" i="115"/>
  <c r="BI42" i="115"/>
  <c r="BI64" i="115"/>
  <c r="AG33" i="115"/>
  <c r="BI61" i="115"/>
  <c r="AY61" i="115"/>
  <c r="AG39" i="115"/>
  <c r="BJ62" i="115"/>
  <c r="AG45" i="115"/>
  <c r="AG56" i="115" s="1"/>
  <c r="BI56" i="115"/>
  <c r="AG34" i="115"/>
  <c r="AP56" i="115"/>
  <c r="BH60" i="115"/>
  <c r="AG18" i="115"/>
  <c r="BI62" i="115"/>
  <c r="BI60" i="115"/>
  <c r="AG35" i="115"/>
  <c r="BH62" i="115"/>
  <c r="AG17" i="115"/>
  <c r="BJ60" i="115"/>
  <c r="AG19" i="115"/>
  <c r="M20" i="92"/>
  <c r="AG23" i="115"/>
  <c r="M21" i="92"/>
  <c r="AY56" i="115"/>
  <c r="AG26" i="115"/>
  <c r="AA22" i="115"/>
  <c r="AG40" i="115"/>
  <c r="AA23" i="115"/>
  <c r="AY65" i="115"/>
  <c r="AY67" i="115"/>
  <c r="AG20" i="115"/>
  <c r="AG32" i="115"/>
  <c r="AU62" i="115"/>
  <c r="AG36" i="115"/>
  <c r="AG38" i="115"/>
  <c r="AP67" i="115"/>
  <c r="AG31" i="115"/>
  <c r="AG25" i="115"/>
  <c r="AG21" i="115"/>
  <c r="BH61" i="115"/>
  <c r="BI66" i="115"/>
  <c r="BJ66" i="115"/>
  <c r="BH65" i="115"/>
  <c r="BI67" i="115"/>
  <c r="BI65" i="115"/>
  <c r="BI59" i="115"/>
  <c r="BH66" i="115"/>
  <c r="AY63" i="115"/>
  <c r="AY59" i="115"/>
  <c r="AG37" i="115"/>
  <c r="AY42" i="115"/>
  <c r="AY66" i="115"/>
  <c r="AG24" i="115"/>
  <c r="AY64" i="115"/>
  <c r="AU67" i="115"/>
  <c r="BD65" i="115"/>
  <c r="BK70" i="115"/>
  <c r="BM65" i="115"/>
  <c r="BM64" i="115"/>
  <c r="BM59" i="115"/>
  <c r="BM63" i="115"/>
  <c r="BM66" i="115"/>
  <c r="BJ65" i="115"/>
  <c r="BL65" i="115"/>
  <c r="BJ67" i="115"/>
  <c r="BM62" i="115"/>
  <c r="BI28" i="115"/>
  <c r="BM56" i="115"/>
  <c r="BJ59" i="115"/>
  <c r="BL67" i="115"/>
  <c r="BD62" i="115"/>
  <c r="BB70" i="115"/>
  <c r="BC70" i="115"/>
  <c r="BD63" i="115"/>
  <c r="BD66" i="115"/>
  <c r="BD67" i="115"/>
  <c r="BD42" i="115"/>
  <c r="BD64" i="115"/>
  <c r="BC42" i="115"/>
  <c r="AX32" i="115"/>
  <c r="AX33" i="115" s="1"/>
  <c r="AX34" i="115" s="1"/>
  <c r="AX35" i="115" s="1"/>
  <c r="AX36" i="115" s="1"/>
  <c r="AX37" i="115" s="1"/>
  <c r="AX38" i="115" s="1"/>
  <c r="AX39" i="115" s="1"/>
  <c r="AX40" i="115" s="1"/>
  <c r="AY28" i="115"/>
  <c r="BD61" i="115"/>
  <c r="AS70" i="115"/>
  <c r="AU61" i="115"/>
  <c r="AU65" i="115"/>
  <c r="AU66" i="115"/>
  <c r="AU60" i="115"/>
  <c r="AT42" i="115"/>
  <c r="AU59" i="115"/>
  <c r="AT67" i="115"/>
  <c r="AT70" i="115" s="1"/>
  <c r="AJ60" i="115"/>
  <c r="AK64" i="115"/>
  <c r="AK67" i="115"/>
  <c r="AJ67" i="115"/>
  <c r="AK66" i="115"/>
  <c r="AJ66" i="115"/>
  <c r="AK65" i="115"/>
  <c r="AJ65" i="115"/>
  <c r="AJ64" i="115"/>
  <c r="AL63" i="115"/>
  <c r="AJ63" i="115"/>
  <c r="AK62" i="115"/>
  <c r="AJ62" i="115"/>
  <c r="AK61" i="115"/>
  <c r="AJ61" i="115"/>
  <c r="AK60" i="115"/>
  <c r="AK59" i="115"/>
  <c r="AJ59" i="115"/>
  <c r="AK56" i="115"/>
  <c r="AJ56" i="115"/>
  <c r="AK42" i="115"/>
  <c r="AJ42" i="115"/>
  <c r="AF31" i="115"/>
  <c r="AF32" i="115" s="1"/>
  <c r="AF33" i="115" s="1"/>
  <c r="AF34" i="115" s="1"/>
  <c r="AF35" i="115" s="1"/>
  <c r="AF36" i="115" s="1"/>
  <c r="AF37" i="115" s="1"/>
  <c r="AF38" i="115" s="1"/>
  <c r="AF39" i="115" s="1"/>
  <c r="AF40" i="115" s="1"/>
  <c r="AM28" i="115"/>
  <c r="AF18" i="115"/>
  <c r="AF19" i="115" s="1"/>
  <c r="AF20" i="115" s="1"/>
  <c r="AF21" i="115" s="1"/>
  <c r="AF22" i="115" s="1"/>
  <c r="AF23" i="115" s="1"/>
  <c r="AF24" i="115" s="1"/>
  <c r="AF25" i="115" s="1"/>
  <c r="AF26" i="115" s="1"/>
  <c r="AG14" i="115"/>
  <c r="AH14" i="115" s="1"/>
  <c r="AI14" i="115" s="1"/>
  <c r="AJ14" i="115" s="1"/>
  <c r="AK14" i="115" s="1"/>
  <c r="AL14" i="115" s="1"/>
  <c r="AM14" i="115" s="1"/>
  <c r="BL70" i="115" l="1"/>
  <c r="AG60" i="115"/>
  <c r="AO59" i="115" s="1"/>
  <c r="AO60" i="115" s="1"/>
  <c r="AO61" i="115" s="1"/>
  <c r="AO62" i="115" s="1"/>
  <c r="AO63" i="115" s="1"/>
  <c r="AO64" i="115" s="1"/>
  <c r="AO65" i="115" s="1"/>
  <c r="AO66" i="115" s="1"/>
  <c r="AO67" i="115" s="1"/>
  <c r="AG61" i="115"/>
  <c r="AG67" i="115"/>
  <c r="AG62" i="115"/>
  <c r="AG59" i="115"/>
  <c r="AG66" i="115"/>
  <c r="AG63" i="115"/>
  <c r="AU56" i="115"/>
  <c r="AU42" i="115"/>
  <c r="AG42" i="115"/>
  <c r="BI70" i="115"/>
  <c r="AG65" i="115"/>
  <c r="BM42" i="115"/>
  <c r="BM61" i="115"/>
  <c r="BM70" i="115" s="1"/>
  <c r="BD60" i="115"/>
  <c r="BD56" i="115"/>
  <c r="BD59" i="115"/>
  <c r="AU70" i="115"/>
  <c r="AL62" i="115"/>
  <c r="AL56" i="115"/>
  <c r="AL64" i="115"/>
  <c r="AJ70" i="115"/>
  <c r="AL59" i="115"/>
  <c r="AL67" i="115"/>
  <c r="AL60" i="115"/>
  <c r="AL61" i="115"/>
  <c r="AK63" i="115"/>
  <c r="AK70" i="115" s="1"/>
  <c r="AL65" i="115"/>
  <c r="AL66" i="115"/>
  <c r="AL42" i="115"/>
  <c r="AF45" i="115"/>
  <c r="AF46" i="115" s="1"/>
  <c r="AF47" i="115" s="1"/>
  <c r="AF48" i="115" s="1"/>
  <c r="AF49" i="115" s="1"/>
  <c r="AF50" i="115" s="1"/>
  <c r="AF51" i="115" s="1"/>
  <c r="AF52" i="115" s="1"/>
  <c r="AF53" i="115" s="1"/>
  <c r="AF54" i="115" s="1"/>
  <c r="AP26" i="110"/>
  <c r="BD70" i="115" l="1"/>
  <c r="AL70" i="115"/>
  <c r="M51" i="108"/>
  <c r="M50" i="108"/>
  <c r="M49" i="108"/>
  <c r="M48" i="108"/>
  <c r="M44" i="108"/>
  <c r="M43" i="108"/>
  <c r="M42" i="108"/>
  <c r="M41" i="108"/>
  <c r="M40" i="108"/>
  <c r="M39" i="108"/>
  <c r="M38" i="108"/>
  <c r="M37" i="108"/>
  <c r="M32" i="108"/>
  <c r="M31" i="108"/>
  <c r="M30" i="108"/>
  <c r="M29" i="108"/>
  <c r="M28" i="108"/>
  <c r="M27" i="108"/>
  <c r="M25" i="108"/>
  <c r="M24" i="108"/>
  <c r="M23" i="108"/>
  <c r="M22" i="108"/>
  <c r="M21" i="108"/>
  <c r="M20" i="108"/>
  <c r="M19" i="108"/>
  <c r="M18" i="108"/>
  <c r="I31" i="54"/>
  <c r="I30" i="54"/>
  <c r="I29" i="54"/>
  <c r="I28" i="54"/>
  <c r="I27" i="54"/>
  <c r="I26" i="54"/>
  <c r="I24" i="54"/>
  <c r="I23" i="54"/>
  <c r="I22" i="54"/>
  <c r="I21" i="54"/>
  <c r="I20" i="54"/>
  <c r="I19" i="54"/>
  <c r="I18" i="54"/>
  <c r="X33" i="54"/>
  <c r="W33" i="54"/>
  <c r="V33" i="54"/>
  <c r="AF52" i="54"/>
  <c r="X52" i="54"/>
  <c r="W52" i="54"/>
  <c r="AF33" i="54"/>
  <c r="AI52" i="54" l="1"/>
  <c r="AJ52" i="54"/>
  <c r="AI33" i="54"/>
  <c r="AJ33" i="54"/>
  <c r="I31" i="28"/>
  <c r="I30" i="28"/>
  <c r="I29" i="28"/>
  <c r="I28" i="28"/>
  <c r="I27" i="28"/>
  <c r="I26" i="28"/>
  <c r="I24" i="28"/>
  <c r="I23" i="28"/>
  <c r="I22" i="28"/>
  <c r="I21" i="28"/>
  <c r="I20" i="28"/>
  <c r="I19" i="28"/>
  <c r="I18" i="28"/>
  <c r="I17" i="28"/>
  <c r="I17" i="54"/>
  <c r="V33" i="107" l="1"/>
  <c r="AB29" i="107" l="1"/>
  <c r="T45" i="107" s="1"/>
  <c r="M46" i="108" l="1"/>
  <c r="I26" i="55"/>
  <c r="I26" i="27"/>
  <c r="AF24" i="107"/>
  <c r="AC28" i="107"/>
  <c r="T25" i="107" s="1"/>
  <c r="AB30" i="107"/>
  <c r="T46" i="107" s="1"/>
  <c r="M47" i="108" l="1"/>
  <c r="I27" i="55"/>
  <c r="I27" i="27"/>
  <c r="AB28" i="107"/>
  <c r="T44" i="107" s="1"/>
  <c r="M45" i="108" s="1"/>
  <c r="I25" i="54"/>
  <c r="M26" i="108"/>
  <c r="I25" i="28"/>
  <c r="T33" i="107"/>
  <c r="T52" i="107" l="1"/>
  <c r="I25" i="55"/>
  <c r="I25" i="27"/>
  <c r="T22" i="110"/>
  <c r="BN64" i="91" l="1"/>
  <c r="BH22" i="115"/>
  <c r="M26" i="91"/>
  <c r="M25" i="91"/>
  <c r="M24" i="91"/>
  <c r="M19" i="91"/>
  <c r="M18" i="91"/>
  <c r="E14" i="109"/>
  <c r="G14" i="109" s="1"/>
  <c r="I14" i="109" s="1"/>
  <c r="K14" i="109" s="1"/>
  <c r="L14" i="109" s="1"/>
  <c r="M14" i="109" s="1"/>
  <c r="W54" i="109"/>
  <c r="W49" i="109"/>
  <c r="W48" i="109"/>
  <c r="W47" i="109"/>
  <c r="W46" i="109"/>
  <c r="W45" i="109"/>
  <c r="Q25" i="109"/>
  <c r="I54" i="109"/>
  <c r="K54" i="109"/>
  <c r="Q26" i="109" l="1"/>
  <c r="P26" i="110"/>
  <c r="BH28" i="115"/>
  <c r="AG22" i="115"/>
  <c r="BH64" i="115"/>
  <c r="AG64" i="115" l="1"/>
  <c r="AG28" i="115"/>
  <c r="C26" i="109" l="1"/>
  <c r="I53" i="109"/>
  <c r="I52" i="109"/>
  <c r="I51" i="109"/>
  <c r="I50" i="109"/>
  <c r="I49" i="109"/>
  <c r="I48" i="109"/>
  <c r="I47" i="109"/>
  <c r="I46" i="109"/>
  <c r="I45" i="109"/>
  <c r="I39" i="109"/>
  <c r="I38" i="109"/>
  <c r="I37" i="109"/>
  <c r="I36" i="109"/>
  <c r="I35" i="109"/>
  <c r="I34" i="109"/>
  <c r="I33" i="109"/>
  <c r="I32" i="109"/>
  <c r="I31" i="109"/>
  <c r="C40" i="109"/>
  <c r="BT28" i="91" l="1"/>
  <c r="BR28" i="91"/>
  <c r="BQ28" i="91"/>
  <c r="BO28" i="91"/>
  <c r="CD26" i="91" l="1"/>
  <c r="CD25" i="91" s="1"/>
  <c r="CD24" i="91" s="1"/>
  <c r="CD23" i="91" s="1"/>
  <c r="CD22" i="91" s="1"/>
  <c r="CD21" i="91" s="1"/>
  <c r="CD20" i="91" s="1"/>
  <c r="CD19" i="91" s="1"/>
  <c r="CD18" i="91" s="1"/>
  <c r="CD17" i="91" s="1"/>
  <c r="CD16" i="91" s="1"/>
  <c r="AO25" i="87"/>
  <c r="AO24" i="87" s="1"/>
  <c r="AO23" i="87" s="1"/>
  <c r="AO22" i="87" s="1"/>
  <c r="AO21" i="87" s="1"/>
  <c r="AO20" i="87" s="1"/>
  <c r="AO19" i="87" s="1"/>
  <c r="AO18" i="87" s="1"/>
  <c r="AO17" i="87" s="1"/>
  <c r="AO16" i="87" s="1"/>
  <c r="BW38" i="91" l="1"/>
  <c r="BW37" i="91"/>
  <c r="BW36" i="91"/>
  <c r="BW35" i="91"/>
  <c r="BW34" i="91"/>
  <c r="BW33" i="91"/>
  <c r="BW32" i="91"/>
  <c r="BW31" i="91"/>
  <c r="BP22" i="91"/>
  <c r="G112" i="99" l="1"/>
  <c r="BL22" i="92"/>
  <c r="BS22" i="91"/>
  <c r="BP64" i="91"/>
  <c r="BJ22" i="115"/>
  <c r="BP28" i="91"/>
  <c r="BW42" i="91"/>
  <c r="BV42" i="91"/>
  <c r="BJ64" i="115" l="1"/>
  <c r="BJ70" i="115" s="1"/>
  <c r="BJ28" i="115"/>
  <c r="BS64" i="91"/>
  <c r="BS28" i="91"/>
  <c r="AV49" i="92" l="1"/>
  <c r="AV53" i="92"/>
  <c r="AV46" i="92"/>
  <c r="AO54" i="92"/>
  <c r="AO49" i="92"/>
  <c r="AO53" i="92"/>
  <c r="AO46" i="92"/>
  <c r="AV54" i="92"/>
  <c r="BC47" i="92" l="1"/>
  <c r="AV47" i="92"/>
  <c r="AV50" i="92"/>
  <c r="AO45" i="92"/>
  <c r="AO50" i="92"/>
  <c r="AO47" i="92"/>
  <c r="AZ53" i="115"/>
  <c r="BC53" i="92"/>
  <c r="O53" i="92" s="1"/>
  <c r="AZ49" i="115"/>
  <c r="BC49" i="92"/>
  <c r="O49" i="92" s="1"/>
  <c r="AZ54" i="115"/>
  <c r="BC54" i="92"/>
  <c r="O54" i="92" s="1"/>
  <c r="AZ46" i="115"/>
  <c r="BC46" i="92"/>
  <c r="O46" i="92" s="1"/>
  <c r="Q46" i="92" s="1"/>
  <c r="Q53" i="91"/>
  <c r="O53" i="91" s="1"/>
  <c r="E53" i="166" s="1"/>
  <c r="AQ53" i="115"/>
  <c r="AQ54" i="115"/>
  <c r="Q49" i="91"/>
  <c r="O49" i="91" s="1"/>
  <c r="E49" i="166" s="1"/>
  <c r="AQ49" i="115"/>
  <c r="AQ46" i="115"/>
  <c r="Q46" i="91"/>
  <c r="O46" i="91" s="1"/>
  <c r="E46" i="166" s="1"/>
  <c r="Q54" i="91"/>
  <c r="O54" i="91" s="1"/>
  <c r="E54" i="166" s="1"/>
  <c r="AK54" i="166" s="1"/>
  <c r="AV45" i="92"/>
  <c r="AV52" i="92" l="1"/>
  <c r="AV48" i="92"/>
  <c r="AH49" i="115"/>
  <c r="AH53" i="115"/>
  <c r="AO51" i="92"/>
  <c r="AO52" i="92"/>
  <c r="AO48" i="92"/>
  <c r="AH46" i="115"/>
  <c r="Q49" i="92"/>
  <c r="Q54" i="92"/>
  <c r="Q53" i="92"/>
  <c r="AZ45" i="115"/>
  <c r="BC45" i="92"/>
  <c r="O45" i="92" s="1"/>
  <c r="Q45" i="92" s="1"/>
  <c r="O47" i="92"/>
  <c r="Q47" i="92" s="1"/>
  <c r="AH54" i="115"/>
  <c r="AZ50" i="115"/>
  <c r="BC50" i="92"/>
  <c r="O50" i="92" s="1"/>
  <c r="Q50" i="92" s="1"/>
  <c r="AQ47" i="115"/>
  <c r="AQ50" i="115"/>
  <c r="AQ45" i="115"/>
  <c r="Q47" i="91"/>
  <c r="O47" i="91" s="1"/>
  <c r="E47" i="166" s="1"/>
  <c r="AZ47" i="115"/>
  <c r="Q50" i="91"/>
  <c r="O50" i="91" s="1"/>
  <c r="E50" i="166" s="1"/>
  <c r="Q45" i="91"/>
  <c r="O45" i="91" s="1"/>
  <c r="E45" i="166" s="1"/>
  <c r="AV51" i="92"/>
  <c r="AH47" i="115" l="1"/>
  <c r="AZ51" i="115"/>
  <c r="BC51" i="92"/>
  <c r="O51" i="92" s="1"/>
  <c r="AZ48" i="115"/>
  <c r="BC48" i="92"/>
  <c r="O48" i="92" s="1"/>
  <c r="AZ52" i="115"/>
  <c r="BC52" i="92"/>
  <c r="O52" i="92" s="1"/>
  <c r="Q52" i="92" s="1"/>
  <c r="AH50" i="115"/>
  <c r="AH45" i="115"/>
  <c r="AQ52" i="115"/>
  <c r="AQ51" i="115"/>
  <c r="AQ48" i="115"/>
  <c r="Q48" i="91"/>
  <c r="O48" i="91" s="1"/>
  <c r="E48" i="166" s="1"/>
  <c r="Q52" i="91"/>
  <c r="O52" i="91" s="1"/>
  <c r="E52" i="166" s="1"/>
  <c r="Q51" i="91"/>
  <c r="O51" i="91" s="1"/>
  <c r="E51" i="166" s="1"/>
  <c r="AH52" i="115" l="1"/>
  <c r="AW54" i="92"/>
  <c r="AD26" i="110"/>
  <c r="AH26" i="110"/>
  <c r="AP54" i="92"/>
  <c r="AZ56" i="115"/>
  <c r="Q48" i="92"/>
  <c r="Q51" i="92"/>
  <c r="AO26" i="92"/>
  <c r="AH48" i="115"/>
  <c r="AH51" i="115"/>
  <c r="E56" i="166"/>
  <c r="AQ56" i="115"/>
  <c r="AO14" i="91"/>
  <c r="P49" i="99"/>
  <c r="P48" i="99"/>
  <c r="P47" i="99"/>
  <c r="P46" i="99"/>
  <c r="P39" i="99"/>
  <c r="AD39" i="84"/>
  <c r="P38" i="99"/>
  <c r="P37" i="99"/>
  <c r="AD37" i="84"/>
  <c r="P36" i="99"/>
  <c r="P35" i="99"/>
  <c r="P34" i="99"/>
  <c r="AD34" i="84"/>
  <c r="P33" i="99"/>
  <c r="P32" i="99"/>
  <c r="AD30" i="84"/>
  <c r="AF30" i="84" s="1"/>
  <c r="AC30" i="84"/>
  <c r="AE30" i="84" s="1"/>
  <c r="AC26" i="84"/>
  <c r="AH56" i="115" l="1"/>
  <c r="M48" i="87"/>
  <c r="E48" i="116" s="1"/>
  <c r="M51" i="87"/>
  <c r="E51" i="116" s="1"/>
  <c r="M54" i="87"/>
  <c r="E54" i="116" s="1"/>
  <c r="O53" i="87"/>
  <c r="G53" i="116" s="1"/>
  <c r="O54" i="87"/>
  <c r="G54" i="116" s="1"/>
  <c r="M45" i="87"/>
  <c r="E45" i="116" s="1"/>
  <c r="M46" i="87"/>
  <c r="E46" i="116" s="1"/>
  <c r="M49" i="87"/>
  <c r="E49" i="116" s="1"/>
  <c r="M52" i="87"/>
  <c r="E52" i="116" s="1"/>
  <c r="O45" i="87"/>
  <c r="G45" i="116" s="1"/>
  <c r="O46" i="87"/>
  <c r="G46" i="116" s="1"/>
  <c r="O47" i="87"/>
  <c r="G47" i="116" s="1"/>
  <c r="O48" i="87"/>
  <c r="G48" i="116" s="1"/>
  <c r="M47" i="87"/>
  <c r="E47" i="116" s="1"/>
  <c r="M50" i="87"/>
  <c r="E50" i="116" s="1"/>
  <c r="M53" i="87"/>
  <c r="E53" i="116" s="1"/>
  <c r="O49" i="87"/>
  <c r="G49" i="116" s="1"/>
  <c r="O50" i="87"/>
  <c r="G50" i="116" s="1"/>
  <c r="E22" i="109"/>
  <c r="O36" i="87"/>
  <c r="G36" i="116" s="1"/>
  <c r="AM36" i="116" s="1"/>
  <c r="AD36" i="84"/>
  <c r="M25" i="87"/>
  <c r="E25" i="116" s="1"/>
  <c r="AC25" i="84"/>
  <c r="M31" i="87"/>
  <c r="E31" i="116" s="1"/>
  <c r="AK31" i="116" s="1"/>
  <c r="AC31" i="84"/>
  <c r="M34" i="87"/>
  <c r="E34" i="116" s="1"/>
  <c r="AK34" i="116" s="1"/>
  <c r="AC34" i="84"/>
  <c r="O31" i="87"/>
  <c r="G31" i="116" s="1"/>
  <c r="AM31" i="116" s="1"/>
  <c r="AD31" i="84"/>
  <c r="M39" i="87"/>
  <c r="E39" i="116" s="1"/>
  <c r="AK39" i="116" s="1"/>
  <c r="AC39" i="84"/>
  <c r="M23" i="87"/>
  <c r="E23" i="116" s="1"/>
  <c r="AC23" i="84"/>
  <c r="BA54" i="115"/>
  <c r="BD54" i="92"/>
  <c r="S54" i="92" s="1"/>
  <c r="U54" i="92" s="1"/>
  <c r="M20" i="87"/>
  <c r="E20" i="116" s="1"/>
  <c r="AC20" i="84"/>
  <c r="O32" i="87"/>
  <c r="G32" i="116" s="1"/>
  <c r="AM32" i="116" s="1"/>
  <c r="AD32" i="84"/>
  <c r="M37" i="87"/>
  <c r="E37" i="116" s="1"/>
  <c r="AK37" i="116" s="1"/>
  <c r="AC37" i="84"/>
  <c r="BA26" i="115"/>
  <c r="BD26" i="92"/>
  <c r="M18" i="87"/>
  <c r="E18" i="116" s="1"/>
  <c r="AC18" i="84"/>
  <c r="M32" i="87"/>
  <c r="E32" i="116" s="1"/>
  <c r="AK32" i="116" s="1"/>
  <c r="AC32" i="84"/>
  <c r="M21" i="87"/>
  <c r="E21" i="116" s="1"/>
  <c r="AC21" i="84"/>
  <c r="AR26" i="115"/>
  <c r="AO68" i="92"/>
  <c r="M35" i="87"/>
  <c r="E35" i="116" s="1"/>
  <c r="AK35" i="116" s="1"/>
  <c r="AC35" i="84"/>
  <c r="AZ26" i="115"/>
  <c r="BC26" i="92"/>
  <c r="O35" i="87"/>
  <c r="G35" i="116" s="1"/>
  <c r="AM35" i="116" s="1"/>
  <c r="AD35" i="84"/>
  <c r="AQ26" i="115"/>
  <c r="AV26" i="92"/>
  <c r="O19" i="87"/>
  <c r="G19" i="116" s="1"/>
  <c r="M24" i="87"/>
  <c r="E24" i="116" s="1"/>
  <c r="AC24" i="84"/>
  <c r="M33" i="87"/>
  <c r="E33" i="116" s="1"/>
  <c r="AK33" i="116" s="1"/>
  <c r="AC33" i="84"/>
  <c r="O40" i="87"/>
  <c r="K40" i="109" s="1"/>
  <c r="M40" i="109" s="1"/>
  <c r="C40" i="87" s="1"/>
  <c r="AD40" i="84"/>
  <c r="O21" i="87"/>
  <c r="G21" i="116" s="1"/>
  <c r="M19" i="87"/>
  <c r="E19" i="116" s="1"/>
  <c r="AC19" i="84"/>
  <c r="M40" i="87"/>
  <c r="AC40" i="84"/>
  <c r="O24" i="87"/>
  <c r="O33" i="87"/>
  <c r="G33" i="116" s="1"/>
  <c r="AM33" i="116" s="1"/>
  <c r="AD33" i="84"/>
  <c r="M38" i="87"/>
  <c r="E38" i="116" s="1"/>
  <c r="AK38" i="116" s="1"/>
  <c r="AC38" i="84"/>
  <c r="M22" i="87"/>
  <c r="E22" i="116" s="1"/>
  <c r="AC22" i="84"/>
  <c r="O38" i="87"/>
  <c r="G38" i="116" s="1"/>
  <c r="AM38" i="116" s="1"/>
  <c r="AD38" i="84"/>
  <c r="O22" i="87"/>
  <c r="G22" i="116" s="1"/>
  <c r="M36" i="87"/>
  <c r="E36" i="116" s="1"/>
  <c r="AK36" i="116" s="1"/>
  <c r="AC36" i="84"/>
  <c r="AE54" i="87"/>
  <c r="AE34" i="87"/>
  <c r="O34" i="87"/>
  <c r="G34" i="116" s="1"/>
  <c r="AM34" i="116" s="1"/>
  <c r="U54" i="91"/>
  <c r="S54" i="91" s="1"/>
  <c r="G54" i="166" s="1"/>
  <c r="AR54" i="115"/>
  <c r="AE37" i="87"/>
  <c r="O37" i="87"/>
  <c r="AE39" i="87"/>
  <c r="O39" i="87"/>
  <c r="G39" i="116" s="1"/>
  <c r="AM39" i="116" s="1"/>
  <c r="AE53" i="87"/>
  <c r="AF68" i="87"/>
  <c r="AD28" i="131" s="1"/>
  <c r="AE51" i="87"/>
  <c r="O51" i="87"/>
  <c r="G51" i="116" s="1"/>
  <c r="AE52" i="87"/>
  <c r="O52" i="87"/>
  <c r="G52" i="116" s="1"/>
  <c r="AE20" i="87"/>
  <c r="O20" i="87"/>
  <c r="AE18" i="87"/>
  <c r="O18" i="87"/>
  <c r="M26" i="87"/>
  <c r="AA68" i="87"/>
  <c r="AE23" i="87"/>
  <c r="O23" i="87"/>
  <c r="O26" i="87"/>
  <c r="AB68" i="87"/>
  <c r="AE25" i="87"/>
  <c r="O25" i="87"/>
  <c r="AC68" i="87"/>
  <c r="AE24" i="87"/>
  <c r="AD68" i="87"/>
  <c r="AE35" i="87"/>
  <c r="AE50" i="87"/>
  <c r="AE36" i="87"/>
  <c r="U26" i="91"/>
  <c r="Q26" i="91"/>
  <c r="AF26" i="110" s="1"/>
  <c r="AE19" i="87"/>
  <c r="AE46" i="87"/>
  <c r="AE33" i="87"/>
  <c r="AE47" i="87"/>
  <c r="AE38" i="87"/>
  <c r="AE48" i="87"/>
  <c r="AE22" i="87"/>
  <c r="AE49" i="87"/>
  <c r="AE21" i="87"/>
  <c r="AE32" i="87"/>
  <c r="AE26" i="87"/>
  <c r="AE40" i="87"/>
  <c r="AT68" i="91"/>
  <c r="AS68" i="91"/>
  <c r="AO16" i="92"/>
  <c r="AP58" i="91"/>
  <c r="U86" i="15" l="1"/>
  <c r="K36" i="109"/>
  <c r="M36" i="109" s="1"/>
  <c r="C36" i="87" s="1"/>
  <c r="W143" i="105"/>
  <c r="K143" i="105"/>
  <c r="E54" i="99"/>
  <c r="I46" i="116"/>
  <c r="G24" i="116"/>
  <c r="G66" i="116" s="1"/>
  <c r="Q96" i="99"/>
  <c r="I50" i="116"/>
  <c r="I49" i="116"/>
  <c r="K32" i="109"/>
  <c r="M32" i="109" s="1"/>
  <c r="C32" i="87" s="1"/>
  <c r="I48" i="116"/>
  <c r="AW46" i="92"/>
  <c r="BB50" i="91"/>
  <c r="AY50" i="92" s="1"/>
  <c r="AD18" i="110"/>
  <c r="AH18" i="110"/>
  <c r="AH21" i="110"/>
  <c r="AH24" i="110"/>
  <c r="AD24" i="110"/>
  <c r="AW47" i="92"/>
  <c r="BB51" i="91"/>
  <c r="AY51" i="92" s="1"/>
  <c r="AD21" i="110"/>
  <c r="AV21" i="92"/>
  <c r="AI26" i="115"/>
  <c r="AD19" i="110"/>
  <c r="AD22" i="110"/>
  <c r="AD25" i="110"/>
  <c r="AH19" i="110"/>
  <c r="AH22" i="110"/>
  <c r="AH25" i="110"/>
  <c r="BB48" i="91"/>
  <c r="AY48" i="92" s="1"/>
  <c r="AH20" i="110"/>
  <c r="BD20" i="92"/>
  <c r="AH23" i="110"/>
  <c r="AD17" i="110"/>
  <c r="AD20" i="110"/>
  <c r="AD23" i="110"/>
  <c r="AW45" i="92"/>
  <c r="BB49" i="91"/>
  <c r="AY49" i="92" s="1"/>
  <c r="AW53" i="92"/>
  <c r="I53" i="116"/>
  <c r="AK53" i="116"/>
  <c r="I47" i="116"/>
  <c r="AA26" i="109"/>
  <c r="AJ26" i="110"/>
  <c r="AK54" i="116"/>
  <c r="I54" i="116"/>
  <c r="AH28" i="131"/>
  <c r="AK45" i="166"/>
  <c r="U56" i="166"/>
  <c r="AK46" i="166"/>
  <c r="AK53" i="166"/>
  <c r="AK49" i="166"/>
  <c r="AK47" i="166"/>
  <c r="AK51" i="166"/>
  <c r="AK47" i="116"/>
  <c r="AK49" i="116"/>
  <c r="AK50" i="166"/>
  <c r="AK52" i="166"/>
  <c r="AK46" i="116"/>
  <c r="AK48" i="166"/>
  <c r="AP45" i="92"/>
  <c r="AP49" i="92"/>
  <c r="AP53" i="92"/>
  <c r="AP46" i="92"/>
  <c r="AP50" i="92"/>
  <c r="AP47" i="92"/>
  <c r="AP51" i="92"/>
  <c r="AK50" i="116"/>
  <c r="AK52" i="116"/>
  <c r="AP48" i="92"/>
  <c r="AP52" i="92"/>
  <c r="AK51" i="116"/>
  <c r="AK48" i="116"/>
  <c r="O26" i="92"/>
  <c r="O68" i="92" s="1"/>
  <c r="AI54" i="115"/>
  <c r="Y54" i="115" s="1"/>
  <c r="AC54" i="115" s="1"/>
  <c r="K33" i="109"/>
  <c r="M33" i="109" s="1"/>
  <c r="C33" i="87" s="1"/>
  <c r="AH26" i="115"/>
  <c r="AT56" i="91"/>
  <c r="AH17" i="110"/>
  <c r="AO21" i="92"/>
  <c r="G40" i="116"/>
  <c r="G40" i="99"/>
  <c r="AO24" i="92"/>
  <c r="AO19" i="92"/>
  <c r="AO22" i="92"/>
  <c r="AO25" i="92"/>
  <c r="AO18" i="92"/>
  <c r="K38" i="109"/>
  <c r="M38" i="109" s="1"/>
  <c r="C38" i="87" s="1"/>
  <c r="K35" i="109"/>
  <c r="M35" i="109" s="1"/>
  <c r="C35" i="87" s="1"/>
  <c r="G54" i="99"/>
  <c r="AP16" i="92"/>
  <c r="AO17" i="92"/>
  <c r="AO20" i="92"/>
  <c r="AO23" i="92"/>
  <c r="AC16" i="87"/>
  <c r="AC16" i="84"/>
  <c r="AE16" i="84" s="1"/>
  <c r="M17" i="87"/>
  <c r="E17" i="116" s="1"/>
  <c r="AC17" i="84"/>
  <c r="E40" i="116"/>
  <c r="AK40" i="116" s="1"/>
  <c r="AK42" i="116" s="1"/>
  <c r="E40" i="99"/>
  <c r="O17" i="87"/>
  <c r="G17" i="116" s="1"/>
  <c r="AF28" i="131"/>
  <c r="K34" i="109"/>
  <c r="M34" i="109" s="1"/>
  <c r="C34" i="87" s="1"/>
  <c r="M54" i="91"/>
  <c r="G18" i="116"/>
  <c r="E64" i="116"/>
  <c r="G61" i="116"/>
  <c r="G63" i="116"/>
  <c r="G20" i="116"/>
  <c r="G25" i="116"/>
  <c r="K37" i="109"/>
  <c r="M37" i="109" s="1"/>
  <c r="C37" i="87" s="1"/>
  <c r="G37" i="116"/>
  <c r="AM37" i="116" s="1"/>
  <c r="E61" i="116"/>
  <c r="I52" i="116"/>
  <c r="E67" i="116"/>
  <c r="E63" i="116"/>
  <c r="I51" i="116"/>
  <c r="K39" i="109"/>
  <c r="M39" i="109" s="1"/>
  <c r="C39" i="87" s="1"/>
  <c r="E65" i="116"/>
  <c r="O68" i="87"/>
  <c r="U28" i="131" s="1"/>
  <c r="G26" i="116"/>
  <c r="E62" i="116"/>
  <c r="G23" i="116"/>
  <c r="G64" i="116"/>
  <c r="E66" i="116"/>
  <c r="M68" i="87"/>
  <c r="T28" i="131" s="1"/>
  <c r="E26" i="116"/>
  <c r="E60" i="116"/>
  <c r="I54" i="166"/>
  <c r="O26" i="91"/>
  <c r="Q68" i="91"/>
  <c r="S26" i="91"/>
  <c r="U68" i="91"/>
  <c r="BA40" i="115"/>
  <c r="AI40" i="115" s="1"/>
  <c r="K40" i="87"/>
  <c r="S40" i="87" s="1"/>
  <c r="U40" i="87" s="1"/>
  <c r="W17" i="128" s="1"/>
  <c r="I40" i="87"/>
  <c r="Q40" i="87" s="1"/>
  <c r="AE68" i="87"/>
  <c r="BA33" i="115"/>
  <c r="AZ39" i="115"/>
  <c r="AZ34" i="115"/>
  <c r="BA39" i="115"/>
  <c r="BA34" i="115"/>
  <c r="AQ68" i="91"/>
  <c r="V86" i="15" s="1"/>
  <c r="AZ35" i="115"/>
  <c r="AW52" i="92"/>
  <c r="BA35" i="115"/>
  <c r="AU35" i="91"/>
  <c r="AZ31" i="115"/>
  <c r="AZ36" i="115"/>
  <c r="BA36" i="115"/>
  <c r="BA31" i="115"/>
  <c r="AZ37" i="115"/>
  <c r="AZ32" i="115"/>
  <c r="BA37" i="115"/>
  <c r="AW50" i="92"/>
  <c r="BA32" i="115"/>
  <c r="AZ38" i="115"/>
  <c r="AU18" i="91"/>
  <c r="AZ33" i="115"/>
  <c r="BA38" i="115"/>
  <c r="AU52" i="91"/>
  <c r="AU19" i="91"/>
  <c r="AU25" i="91"/>
  <c r="AU39" i="91"/>
  <c r="AU21" i="91"/>
  <c r="AU34" i="91"/>
  <c r="AU37" i="91"/>
  <c r="AU32" i="91"/>
  <c r="AU38" i="91"/>
  <c r="AU40" i="91"/>
  <c r="AU68" i="91" s="1"/>
  <c r="AR68" i="91"/>
  <c r="AU47" i="91"/>
  <c r="AU53" i="91"/>
  <c r="AR58" i="91"/>
  <c r="AU49" i="91"/>
  <c r="AU24" i="91"/>
  <c r="AU46" i="91"/>
  <c r="AU36" i="91"/>
  <c r="AU45" i="91"/>
  <c r="AU48" i="91"/>
  <c r="AU51" i="91"/>
  <c r="AU22" i="91"/>
  <c r="AU33" i="91"/>
  <c r="AU20" i="91"/>
  <c r="AU23" i="91"/>
  <c r="AU50" i="91"/>
  <c r="AT59" i="91"/>
  <c r="AQ59" i="91"/>
  <c r="AU31" i="91"/>
  <c r="AQ58" i="91"/>
  <c r="AS59" i="91"/>
  <c r="AR59" i="91"/>
  <c r="AU17" i="91"/>
  <c r="K154" i="105" l="1"/>
  <c r="K202" i="105"/>
  <c r="W154" i="105"/>
  <c r="W202" i="105"/>
  <c r="I54" i="99"/>
  <c r="W86" i="15"/>
  <c r="V77" i="15"/>
  <c r="AW49" i="92"/>
  <c r="AW51" i="92"/>
  <c r="AW48" i="92"/>
  <c r="BJ48" i="91"/>
  <c r="BK48" i="91" s="1"/>
  <c r="Q26" i="92"/>
  <c r="Q68" i="92" s="1"/>
  <c r="AK56" i="166"/>
  <c r="AZ21" i="115"/>
  <c r="AZ63" i="115" s="1"/>
  <c r="BC21" i="92"/>
  <c r="O21" i="92" s="1"/>
  <c r="Q21" i="92" s="1"/>
  <c r="AQ23" i="115"/>
  <c r="AV23" i="92"/>
  <c r="AQ19" i="115"/>
  <c r="AV19" i="92"/>
  <c r="BA46" i="115"/>
  <c r="BD46" i="92"/>
  <c r="S46" i="92" s="1"/>
  <c r="U46" i="92" s="1"/>
  <c r="BA49" i="115"/>
  <c r="BD49" i="92"/>
  <c r="AZ20" i="115"/>
  <c r="AZ62" i="115" s="1"/>
  <c r="BC20" i="92"/>
  <c r="C40" i="116"/>
  <c r="K40" i="116" s="1"/>
  <c r="C40" i="99"/>
  <c r="BA18" i="115"/>
  <c r="BD18" i="92"/>
  <c r="AQ20" i="115"/>
  <c r="AV20" i="92"/>
  <c r="BA47" i="115"/>
  <c r="BD47" i="92"/>
  <c r="S47" i="92" s="1"/>
  <c r="U47" i="92" s="1"/>
  <c r="AR18" i="115"/>
  <c r="BA45" i="115"/>
  <c r="BD45" i="92"/>
  <c r="S45" i="92" s="1"/>
  <c r="U45" i="92" s="1"/>
  <c r="BA23" i="115"/>
  <c r="BD23" i="92"/>
  <c r="BA52" i="115"/>
  <c r="BD52" i="92"/>
  <c r="S52" i="92" s="1"/>
  <c r="U52" i="92" s="1"/>
  <c r="I40" i="99"/>
  <c r="AR24" i="115"/>
  <c r="M68" i="91"/>
  <c r="M54" i="92"/>
  <c r="M68" i="92" s="1"/>
  <c r="I40" i="116"/>
  <c r="AO40" i="116" s="1"/>
  <c r="AM40" i="116"/>
  <c r="AM42" i="116" s="1"/>
  <c r="BA25" i="115"/>
  <c r="BD25" i="92"/>
  <c r="BA48" i="115"/>
  <c r="BD48" i="92"/>
  <c r="BA19" i="115"/>
  <c r="BD19" i="92"/>
  <c r="BA22" i="115"/>
  <c r="BD22" i="92"/>
  <c r="AZ25" i="115"/>
  <c r="BC25" i="92"/>
  <c r="BA24" i="115"/>
  <c r="BD24" i="92"/>
  <c r="AZ18" i="115"/>
  <c r="AZ60" i="115" s="1"/>
  <c r="BG59" i="115" s="1"/>
  <c r="BG60" i="115" s="1"/>
  <c r="BG61" i="115" s="1"/>
  <c r="BG62" i="115" s="1"/>
  <c r="BG63" i="115" s="1"/>
  <c r="BG64" i="115" s="1"/>
  <c r="BG65" i="115" s="1"/>
  <c r="BG66" i="115" s="1"/>
  <c r="BG67" i="115" s="1"/>
  <c r="BC18" i="92"/>
  <c r="BA17" i="115"/>
  <c r="BD17" i="92"/>
  <c r="AQ25" i="115"/>
  <c r="AV25" i="92"/>
  <c r="BA21" i="115"/>
  <c r="BD21" i="92"/>
  <c r="AR19" i="115"/>
  <c r="AQ18" i="115"/>
  <c r="AV18" i="92"/>
  <c r="AR17" i="115"/>
  <c r="AZ17" i="115"/>
  <c r="AZ59" i="115" s="1"/>
  <c r="BC17" i="92"/>
  <c r="AZ22" i="115"/>
  <c r="AZ64" i="115" s="1"/>
  <c r="BC22" i="92"/>
  <c r="G26" i="99"/>
  <c r="BA50" i="115"/>
  <c r="BD50" i="92"/>
  <c r="S50" i="92" s="1"/>
  <c r="U50" i="92" s="1"/>
  <c r="AZ24" i="115"/>
  <c r="AZ66" i="115" s="1"/>
  <c r="BC24" i="92"/>
  <c r="AQ17" i="115"/>
  <c r="AV17" i="92"/>
  <c r="AQ22" i="115"/>
  <c r="AV22" i="92"/>
  <c r="E26" i="99"/>
  <c r="E68" i="99" s="1"/>
  <c r="AQ24" i="115"/>
  <c r="AV24" i="92"/>
  <c r="BA53" i="115"/>
  <c r="BD53" i="92"/>
  <c r="S53" i="92" s="1"/>
  <c r="U53" i="92" s="1"/>
  <c r="AZ23" i="115"/>
  <c r="BC23" i="92"/>
  <c r="BA51" i="115"/>
  <c r="BD51" i="92"/>
  <c r="AZ19" i="115"/>
  <c r="AZ61" i="115" s="1"/>
  <c r="BC19" i="92"/>
  <c r="W54" i="115"/>
  <c r="E68" i="116"/>
  <c r="G59" i="116"/>
  <c r="G60" i="116"/>
  <c r="G65" i="116"/>
  <c r="G67" i="116"/>
  <c r="G62" i="116"/>
  <c r="E59" i="116"/>
  <c r="G68" i="116"/>
  <c r="I26" i="116"/>
  <c r="AA79" i="131"/>
  <c r="S68" i="91"/>
  <c r="AA28" i="131" s="1"/>
  <c r="G26" i="98" s="1"/>
  <c r="G26" i="166"/>
  <c r="O68" i="91"/>
  <c r="Z28" i="131" s="1"/>
  <c r="E26" i="98" s="1"/>
  <c r="E26" i="166"/>
  <c r="Z79" i="131"/>
  <c r="U45" i="91"/>
  <c r="S45" i="91" s="1"/>
  <c r="G45" i="166" s="1"/>
  <c r="AR45" i="115"/>
  <c r="AR37" i="115"/>
  <c r="BC21" i="91"/>
  <c r="AR21" i="115"/>
  <c r="AQ33" i="115"/>
  <c r="AH33" i="115" s="1"/>
  <c r="BC23" i="91"/>
  <c r="AR23" i="115"/>
  <c r="AR52" i="115"/>
  <c r="AR39" i="115"/>
  <c r="AI39" i="115" s="1"/>
  <c r="AQ39" i="115"/>
  <c r="AH39" i="115" s="1"/>
  <c r="AR38" i="115"/>
  <c r="AI38" i="115" s="1"/>
  <c r="AQ32" i="115"/>
  <c r="AH32" i="115" s="1"/>
  <c r="AR36" i="115"/>
  <c r="AI36" i="115" s="1"/>
  <c r="AQ36" i="115"/>
  <c r="AH36" i="115" s="1"/>
  <c r="BK20" i="91"/>
  <c r="BA20" i="115"/>
  <c r="U48" i="91"/>
  <c r="S48" i="91" s="1"/>
  <c r="G48" i="166" s="1"/>
  <c r="AR48" i="115"/>
  <c r="AR34" i="115"/>
  <c r="AI34" i="115" s="1"/>
  <c r="BC20" i="91"/>
  <c r="AR20" i="115"/>
  <c r="AQ34" i="115"/>
  <c r="AH34" i="115" s="1"/>
  <c r="AR33" i="115"/>
  <c r="AI33" i="115" s="1"/>
  <c r="AQ21" i="115"/>
  <c r="AR25" i="115"/>
  <c r="AQ38" i="115"/>
  <c r="AH38" i="115" s="1"/>
  <c r="AQ37" i="115"/>
  <c r="AH37" i="115" s="1"/>
  <c r="AQ31" i="115"/>
  <c r="AQ35" i="115"/>
  <c r="AH35" i="115" s="1"/>
  <c r="BA42" i="115"/>
  <c r="BC22" i="91"/>
  <c r="AR22" i="115"/>
  <c r="W40" i="87"/>
  <c r="C40" i="115"/>
  <c r="G40" i="115" s="1"/>
  <c r="I40" i="115" s="1"/>
  <c r="C40" i="84" s="1"/>
  <c r="AR32" i="115"/>
  <c r="AI32" i="115" s="1"/>
  <c r="AR31" i="115"/>
  <c r="AR53" i="115"/>
  <c r="AR35" i="115"/>
  <c r="AI35" i="115" s="1"/>
  <c r="AR47" i="115"/>
  <c r="AT58" i="91"/>
  <c r="AR50" i="115"/>
  <c r="AZ40" i="115"/>
  <c r="AH40" i="115" s="1"/>
  <c r="AS58" i="91"/>
  <c r="Z78" i="131" s="1"/>
  <c r="AR46" i="115"/>
  <c r="AR49" i="115"/>
  <c r="AR51" i="115"/>
  <c r="U24" i="91"/>
  <c r="U21" i="91"/>
  <c r="Q17" i="91"/>
  <c r="U19" i="91"/>
  <c r="U46" i="91"/>
  <c r="S46" i="91" s="1"/>
  <c r="G46" i="166" s="1"/>
  <c r="U49" i="91"/>
  <c r="S49" i="91" s="1"/>
  <c r="G49" i="166" s="1"/>
  <c r="Q23" i="91"/>
  <c r="Q20" i="91"/>
  <c r="U53" i="91"/>
  <c r="S53" i="91" s="1"/>
  <c r="G53" i="166" s="1"/>
  <c r="U23" i="91"/>
  <c r="AG32" i="92" s="1"/>
  <c r="U20" i="91"/>
  <c r="U22" i="91"/>
  <c r="Q25" i="91"/>
  <c r="U18" i="91"/>
  <c r="Q18" i="91"/>
  <c r="U17" i="91"/>
  <c r="Q22" i="91"/>
  <c r="U52" i="91"/>
  <c r="S52" i="91" s="1"/>
  <c r="G52" i="166" s="1"/>
  <c r="U50" i="91"/>
  <c r="S50" i="91" s="1"/>
  <c r="G50" i="166" s="1"/>
  <c r="Q24" i="91"/>
  <c r="U25" i="91"/>
  <c r="U51" i="91"/>
  <c r="S51" i="91" s="1"/>
  <c r="G51" i="166" s="1"/>
  <c r="Q19" i="91"/>
  <c r="Q21" i="91"/>
  <c r="U47" i="91"/>
  <c r="S47" i="91" s="1"/>
  <c r="G47" i="166" s="1"/>
  <c r="BK14" i="92"/>
  <c r="BL14" i="92" s="1"/>
  <c r="BM14" i="92" s="1"/>
  <c r="BN14" i="92" s="1"/>
  <c r="BO14" i="92" s="1"/>
  <c r="BC14" i="92"/>
  <c r="BD14" i="92" s="1"/>
  <c r="BE14" i="92" s="1"/>
  <c r="BF14" i="92" s="1"/>
  <c r="BG14" i="92" s="1"/>
  <c r="AV14" i="92"/>
  <c r="AW14" i="92" s="1"/>
  <c r="AX14" i="92" s="1"/>
  <c r="AY14" i="92" s="1"/>
  <c r="AZ14" i="92" s="1"/>
  <c r="AO14" i="92"/>
  <c r="AP14" i="92" s="1"/>
  <c r="AQ14" i="92" s="1"/>
  <c r="AR14" i="92" s="1"/>
  <c r="AS14" i="92" s="1"/>
  <c r="G44" i="78"/>
  <c r="G44" i="77"/>
  <c r="G43" i="77"/>
  <c r="G42" i="77"/>
  <c r="G41" i="77"/>
  <c r="G40" i="77"/>
  <c r="G39" i="77"/>
  <c r="G38" i="77"/>
  <c r="G37" i="77"/>
  <c r="G36" i="77"/>
  <c r="G35" i="77"/>
  <c r="G34" i="77"/>
  <c r="G33" i="77"/>
  <c r="G32" i="77"/>
  <c r="G31" i="77"/>
  <c r="G30" i="77"/>
  <c r="G29" i="77"/>
  <c r="G28" i="77"/>
  <c r="G27" i="77"/>
  <c r="G26" i="77"/>
  <c r="G25" i="77"/>
  <c r="G24" i="77"/>
  <c r="G23" i="77"/>
  <c r="G22" i="77"/>
  <c r="G21" i="77"/>
  <c r="G20" i="77"/>
  <c r="G19" i="77"/>
  <c r="G18" i="77"/>
  <c r="G17" i="77"/>
  <c r="G16" i="77"/>
  <c r="C21" i="33"/>
  <c r="C20" i="33"/>
  <c r="C19" i="33"/>
  <c r="U18" i="33"/>
  <c r="C18" i="33"/>
  <c r="C17" i="33"/>
  <c r="C22" i="33"/>
  <c r="U22" i="33"/>
  <c r="C23" i="33"/>
  <c r="C24" i="33"/>
  <c r="C25" i="33"/>
  <c r="C26" i="33"/>
  <c r="C27" i="33"/>
  <c r="C28" i="33"/>
  <c r="U28" i="33"/>
  <c r="C29" i="33"/>
  <c r="C30" i="33"/>
  <c r="C31" i="33"/>
  <c r="C32" i="33"/>
  <c r="C33" i="33"/>
  <c r="C34" i="33"/>
  <c r="U34" i="33"/>
  <c r="C35" i="33"/>
  <c r="C37" i="33"/>
  <c r="C38" i="33"/>
  <c r="C39" i="33"/>
  <c r="C40" i="33"/>
  <c r="U40" i="33"/>
  <c r="C41" i="33"/>
  <c r="C42" i="33"/>
  <c r="C43" i="33"/>
  <c r="C44" i="33"/>
  <c r="C44" i="34"/>
  <c r="C16" i="33"/>
  <c r="C36" i="33"/>
  <c r="E44" i="11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54" i="131" l="1"/>
  <c r="G54" i="131" s="1"/>
  <c r="S49" i="92"/>
  <c r="U49" i="92" s="1"/>
  <c r="S51" i="92"/>
  <c r="U51" i="92" s="1"/>
  <c r="S48" i="92"/>
  <c r="U48" i="92" s="1"/>
  <c r="AI50" i="115"/>
  <c r="Y50" i="115" s="1"/>
  <c r="AC50" i="115" s="1"/>
  <c r="S25" i="9"/>
  <c r="E25" i="9" s="1"/>
  <c r="S19" i="9"/>
  <c r="E19" i="9" s="1"/>
  <c r="BA64" i="115"/>
  <c r="AI23" i="115"/>
  <c r="AI47" i="115"/>
  <c r="Y47" i="115" s="1"/>
  <c r="AC47" i="115" s="1"/>
  <c r="BK62" i="91"/>
  <c r="C28" i="34"/>
  <c r="AI46" i="115"/>
  <c r="Y46" i="115" s="1"/>
  <c r="AC46" i="115" s="1"/>
  <c r="C18" i="34"/>
  <c r="AQ59" i="115"/>
  <c r="AI18" i="115"/>
  <c r="AI17" i="115"/>
  <c r="AI52" i="115"/>
  <c r="Y52" i="115" s="1"/>
  <c r="AC52" i="115" s="1"/>
  <c r="AH18" i="115"/>
  <c r="AH60" i="115" s="1"/>
  <c r="O19" i="91"/>
  <c r="E19" i="166" s="1"/>
  <c r="AF19" i="110"/>
  <c r="AA20" i="109"/>
  <c r="AJ20" i="110"/>
  <c r="C22" i="34"/>
  <c r="AA23" i="109"/>
  <c r="AJ23" i="110"/>
  <c r="AA25" i="109"/>
  <c r="AJ25" i="110"/>
  <c r="BA65" i="115"/>
  <c r="BA66" i="115"/>
  <c r="BA60" i="115"/>
  <c r="AI48" i="115"/>
  <c r="Y48" i="115" s="1"/>
  <c r="AC48" i="115" s="1"/>
  <c r="C34" i="34"/>
  <c r="O24" i="91"/>
  <c r="E24" i="166" s="1"/>
  <c r="E66" i="166" s="1"/>
  <c r="AF24" i="110"/>
  <c r="O20" i="91"/>
  <c r="E20" i="166" s="1"/>
  <c r="AF20" i="110"/>
  <c r="O23" i="91"/>
  <c r="E23" i="166" s="1"/>
  <c r="E65" i="166" s="1"/>
  <c r="AF23" i="110"/>
  <c r="AH23" i="115"/>
  <c r="AH65" i="115" s="1"/>
  <c r="AA21" i="109"/>
  <c r="AJ21" i="110"/>
  <c r="AD30" i="110" s="1"/>
  <c r="AA18" i="109"/>
  <c r="AJ18" i="110"/>
  <c r="O25" i="91"/>
  <c r="E25" i="166" s="1"/>
  <c r="AF25" i="110"/>
  <c r="AA22" i="109"/>
  <c r="AJ22" i="110"/>
  <c r="AV22" i="110" s="1"/>
  <c r="O22" i="91"/>
  <c r="E22" i="166" s="1"/>
  <c r="E64" i="166" s="1"/>
  <c r="AF22" i="110"/>
  <c r="AA24" i="109"/>
  <c r="AJ24" i="110"/>
  <c r="O21" i="91"/>
  <c r="E21" i="166" s="1"/>
  <c r="E63" i="166" s="1"/>
  <c r="AF21" i="110"/>
  <c r="AA17" i="109"/>
  <c r="AJ17" i="110"/>
  <c r="AA19" i="109"/>
  <c r="AJ19" i="110"/>
  <c r="M40" i="116"/>
  <c r="O18" i="91"/>
  <c r="E18" i="166" s="1"/>
  <c r="AF18" i="110"/>
  <c r="O17" i="91"/>
  <c r="E17" i="166" s="1"/>
  <c r="AF17" i="110"/>
  <c r="C40" i="34"/>
  <c r="AH24" i="115"/>
  <c r="AH66" i="115" s="1"/>
  <c r="AI19" i="115"/>
  <c r="BA61" i="115"/>
  <c r="AH25" i="115"/>
  <c r="AH67" i="115" s="1"/>
  <c r="AH22" i="115"/>
  <c r="AH64" i="115" s="1"/>
  <c r="AI24" i="115"/>
  <c r="AI51" i="115"/>
  <c r="Y51" i="115" s="1"/>
  <c r="AC51" i="115" s="1"/>
  <c r="AZ65" i="115"/>
  <c r="BA59" i="115"/>
  <c r="BA67" i="115"/>
  <c r="U40" i="117"/>
  <c r="S20" i="9"/>
  <c r="E20" i="9" s="1"/>
  <c r="O20" i="92"/>
  <c r="Q20" i="92" s="1"/>
  <c r="O22" i="92"/>
  <c r="Q22" i="92" s="1"/>
  <c r="AZ67" i="115"/>
  <c r="BA56" i="115"/>
  <c r="AI53" i="115"/>
  <c r="Y53" i="115" s="1"/>
  <c r="AC53" i="115" s="1"/>
  <c r="AH20" i="115"/>
  <c r="AH62" i="115" s="1"/>
  <c r="AQ67" i="115"/>
  <c r="O17" i="92"/>
  <c r="Q17" i="92" s="1"/>
  <c r="O18" i="92"/>
  <c r="Q18" i="92" s="1"/>
  <c r="AH19" i="115"/>
  <c r="AH61" i="115" s="1"/>
  <c r="AH17" i="115"/>
  <c r="AQ28" i="115"/>
  <c r="AI49" i="115"/>
  <c r="Y49" i="115" s="1"/>
  <c r="AC49" i="115" s="1"/>
  <c r="BA63" i="115"/>
  <c r="O24" i="92"/>
  <c r="Q24" i="92" s="1"/>
  <c r="AZ28" i="115"/>
  <c r="G68" i="99"/>
  <c r="I26" i="99"/>
  <c r="I68" i="99" s="1"/>
  <c r="M40" i="99"/>
  <c r="K40" i="99"/>
  <c r="O25" i="92"/>
  <c r="Q25" i="92" s="1"/>
  <c r="O19" i="92"/>
  <c r="Q19" i="92" s="1"/>
  <c r="O23" i="92"/>
  <c r="Q23" i="92" s="1"/>
  <c r="AQ66" i="115"/>
  <c r="I26" i="98"/>
  <c r="S21" i="9"/>
  <c r="E21" i="9" s="1"/>
  <c r="C41" i="34"/>
  <c r="U41" i="33"/>
  <c r="C35" i="34"/>
  <c r="U35" i="33"/>
  <c r="C29" i="34"/>
  <c r="U29" i="33"/>
  <c r="C23" i="34"/>
  <c r="U23" i="33"/>
  <c r="G26" i="78"/>
  <c r="U26" i="77"/>
  <c r="C21" i="34"/>
  <c r="U21" i="33"/>
  <c r="G27" i="78"/>
  <c r="U27" i="77"/>
  <c r="G33" i="78"/>
  <c r="U33" i="77"/>
  <c r="G39" i="78"/>
  <c r="U39" i="77"/>
  <c r="C24" i="34"/>
  <c r="U24" i="33"/>
  <c r="C20" i="34"/>
  <c r="U20" i="33"/>
  <c r="G38" i="78"/>
  <c r="U38" i="77"/>
  <c r="C42" i="34"/>
  <c r="U42" i="33"/>
  <c r="G32" i="78"/>
  <c r="U32" i="77"/>
  <c r="G16" i="78"/>
  <c r="U16" i="77"/>
  <c r="G22" i="78"/>
  <c r="U22" i="77"/>
  <c r="G28" i="78"/>
  <c r="U28" i="77"/>
  <c r="G34" i="78"/>
  <c r="U34" i="77"/>
  <c r="G40" i="78"/>
  <c r="U40" i="77"/>
  <c r="C33" i="34"/>
  <c r="U33" i="33"/>
  <c r="C17" i="34"/>
  <c r="U17" i="33"/>
  <c r="G18" i="78"/>
  <c r="U18" i="77"/>
  <c r="G23" i="78"/>
  <c r="U23" i="77"/>
  <c r="G29" i="78"/>
  <c r="U29" i="77"/>
  <c r="G35" i="78"/>
  <c r="U35" i="77"/>
  <c r="G41" i="78"/>
  <c r="U41" i="77"/>
  <c r="C39" i="34"/>
  <c r="U39" i="33"/>
  <c r="G17" i="78"/>
  <c r="U17" i="77"/>
  <c r="C38" i="34"/>
  <c r="U38" i="33"/>
  <c r="C32" i="34"/>
  <c r="U32" i="33"/>
  <c r="C26" i="34"/>
  <c r="U26" i="33"/>
  <c r="G19" i="78"/>
  <c r="U19" i="77"/>
  <c r="C36" i="34"/>
  <c r="U36" i="33"/>
  <c r="G20" i="78"/>
  <c r="U20" i="77"/>
  <c r="G24" i="78"/>
  <c r="U24" i="77"/>
  <c r="G30" i="78"/>
  <c r="U30" i="77"/>
  <c r="G36" i="78"/>
  <c r="U36" i="77"/>
  <c r="G42" i="78"/>
  <c r="U42" i="77"/>
  <c r="C30" i="34"/>
  <c r="U30" i="33"/>
  <c r="C27" i="34"/>
  <c r="U27" i="33"/>
  <c r="C43" i="34"/>
  <c r="U43" i="33"/>
  <c r="C37" i="34"/>
  <c r="U37" i="33"/>
  <c r="C31" i="34"/>
  <c r="U31" i="33"/>
  <c r="C25" i="34"/>
  <c r="U25" i="33"/>
  <c r="G21" i="78"/>
  <c r="U21" i="77"/>
  <c r="C16" i="34"/>
  <c r="U16" i="33"/>
  <c r="C19" i="34"/>
  <c r="U19" i="33"/>
  <c r="G25" i="78"/>
  <c r="U25" i="77"/>
  <c r="G31" i="78"/>
  <c r="U31" i="77"/>
  <c r="G37" i="78"/>
  <c r="U37" i="77"/>
  <c r="G43" i="78"/>
  <c r="U43" i="77"/>
  <c r="AQ64" i="115"/>
  <c r="E70" i="116"/>
  <c r="I45" i="116"/>
  <c r="G70" i="116"/>
  <c r="I68" i="116"/>
  <c r="AQ61" i="115"/>
  <c r="I47" i="166"/>
  <c r="I45" i="166"/>
  <c r="G56" i="166"/>
  <c r="AR28" i="115"/>
  <c r="I51" i="166"/>
  <c r="I53" i="166"/>
  <c r="I48" i="166"/>
  <c r="E68" i="166"/>
  <c r="U93" i="166" s="1"/>
  <c r="I50" i="166"/>
  <c r="I52" i="166"/>
  <c r="I26" i="166"/>
  <c r="G68" i="166"/>
  <c r="W93" i="166" s="1"/>
  <c r="AQ60" i="115"/>
  <c r="AX59" i="115" s="1"/>
  <c r="AX60" i="115" s="1"/>
  <c r="AX61" i="115" s="1"/>
  <c r="AX62" i="115" s="1"/>
  <c r="AX63" i="115" s="1"/>
  <c r="AX64" i="115" s="1"/>
  <c r="AX65" i="115" s="1"/>
  <c r="AX66" i="115" s="1"/>
  <c r="AX67" i="115" s="1"/>
  <c r="I49" i="166"/>
  <c r="I46" i="166"/>
  <c r="BV58" i="91"/>
  <c r="X78" i="131" s="1"/>
  <c r="AA78" i="131"/>
  <c r="AI28" i="131"/>
  <c r="AG28" i="131"/>
  <c r="S24" i="9"/>
  <c r="E24" i="9" s="1"/>
  <c r="S18" i="9"/>
  <c r="E18" i="9" s="1"/>
  <c r="S24" i="91"/>
  <c r="G24" i="166" s="1"/>
  <c r="BY24" i="91"/>
  <c r="S23" i="9"/>
  <c r="E23" i="9" s="1"/>
  <c r="AI22" i="115"/>
  <c r="AR64" i="115"/>
  <c r="AR65" i="115"/>
  <c r="AI37" i="115"/>
  <c r="S17" i="9"/>
  <c r="E17" i="9" s="1"/>
  <c r="S21" i="91"/>
  <c r="G21" i="166" s="1"/>
  <c r="BY21" i="91"/>
  <c r="AI20" i="115"/>
  <c r="BA62" i="115"/>
  <c r="S17" i="91"/>
  <c r="G17" i="166" s="1"/>
  <c r="BY17" i="91"/>
  <c r="AR42" i="115"/>
  <c r="AI31" i="115"/>
  <c r="BA28" i="115"/>
  <c r="AQ42" i="115"/>
  <c r="AH31" i="115"/>
  <c r="AH42" i="115" s="1"/>
  <c r="AQ62" i="115"/>
  <c r="S18" i="91"/>
  <c r="G18" i="166" s="1"/>
  <c r="G60" i="166" s="1"/>
  <c r="BY18" i="91"/>
  <c r="AR66" i="115"/>
  <c r="AR62" i="115"/>
  <c r="S19" i="91"/>
  <c r="G19" i="166" s="1"/>
  <c r="BY19" i="91"/>
  <c r="BC28" i="91"/>
  <c r="S22" i="91"/>
  <c r="G22" i="166" s="1"/>
  <c r="BY22" i="91"/>
  <c r="AR61" i="115"/>
  <c r="AZ42" i="115"/>
  <c r="AR60" i="115"/>
  <c r="S20" i="91"/>
  <c r="G20" i="166" s="1"/>
  <c r="BY20" i="91"/>
  <c r="K40" i="84"/>
  <c r="I40" i="84"/>
  <c r="AR67" i="115"/>
  <c r="AI25" i="115"/>
  <c r="S23" i="91"/>
  <c r="BY23" i="91"/>
  <c r="AQ65" i="115"/>
  <c r="AI45" i="115"/>
  <c r="AR56" i="115"/>
  <c r="S25" i="91"/>
  <c r="G25" i="166" s="1"/>
  <c r="BY25" i="91"/>
  <c r="AR59" i="115"/>
  <c r="AQ63" i="115"/>
  <c r="AH21" i="115"/>
  <c r="AH63" i="115" s="1"/>
  <c r="AI21" i="115"/>
  <c r="AR63" i="115"/>
  <c r="S22" i="9"/>
  <c r="E22" i="9" s="1"/>
  <c r="S16" i="9"/>
  <c r="E16" i="9" s="1"/>
  <c r="S15" i="9"/>
  <c r="E15" i="9" s="1"/>
  <c r="E34" i="11"/>
  <c r="E33" i="11"/>
  <c r="E32" i="11"/>
  <c r="E31" i="11"/>
  <c r="E29" i="11"/>
  <c r="E35" i="11"/>
  <c r="E30" i="11"/>
  <c r="AI61" i="115" l="1"/>
  <c r="E60" i="166"/>
  <c r="G23" i="166"/>
  <c r="G28" i="166" s="1"/>
  <c r="AK32" i="92"/>
  <c r="AC32" i="92" s="1"/>
  <c r="E62" i="166"/>
  <c r="E67" i="166"/>
  <c r="AI60" i="115"/>
  <c r="AZ70" i="115"/>
  <c r="AI66" i="115"/>
  <c r="E61" i="166"/>
  <c r="AI65" i="115"/>
  <c r="E28" i="166"/>
  <c r="E59" i="166"/>
  <c r="BA70" i="115"/>
  <c r="AC40" i="116"/>
  <c r="AS40" i="116" s="1"/>
  <c r="AI40" i="116"/>
  <c r="AQ40" i="116"/>
  <c r="AQ70" i="115"/>
  <c r="AI28" i="115"/>
  <c r="G67" i="166"/>
  <c r="I25" i="166"/>
  <c r="I68" i="166"/>
  <c r="Y93" i="166" s="1"/>
  <c r="G61" i="166"/>
  <c r="I19" i="166"/>
  <c r="G62" i="166"/>
  <c r="I20" i="166"/>
  <c r="I18" i="166"/>
  <c r="I56" i="166"/>
  <c r="I24" i="166"/>
  <c r="G66" i="166"/>
  <c r="I21" i="166"/>
  <c r="G63" i="166"/>
  <c r="G59" i="166"/>
  <c r="I17" i="166"/>
  <c r="AH59" i="115"/>
  <c r="AH70" i="115" s="1"/>
  <c r="G64" i="166"/>
  <c r="I22" i="166"/>
  <c r="AI42" i="115"/>
  <c r="Y45" i="115"/>
  <c r="AI56" i="115"/>
  <c r="BY28" i="91"/>
  <c r="AI63" i="115"/>
  <c r="AI59" i="115"/>
  <c r="AI64" i="115"/>
  <c r="AI62" i="115"/>
  <c r="AR70" i="115"/>
  <c r="AH28" i="115"/>
  <c r="AI67" i="115"/>
  <c r="E36" i="11"/>
  <c r="G65" i="166" l="1"/>
  <c r="I23" i="166"/>
  <c r="I28" i="166" s="1"/>
  <c r="E70" i="166"/>
  <c r="I62" i="166"/>
  <c r="I61" i="166"/>
  <c r="I65" i="166"/>
  <c r="G70" i="166"/>
  <c r="I67" i="166"/>
  <c r="I64" i="166"/>
  <c r="I66" i="166"/>
  <c r="I59" i="166"/>
  <c r="I63" i="166"/>
  <c r="I60" i="166"/>
  <c r="AI70" i="115"/>
  <c r="AC45" i="115"/>
  <c r="AC56" i="115" s="1"/>
  <c r="Y56" i="115"/>
  <c r="E37" i="11"/>
  <c r="I70" i="166" l="1"/>
  <c r="E38" i="11"/>
  <c r="E39" i="11" l="1"/>
  <c r="E40" i="11" l="1"/>
  <c r="E41" i="11" l="1"/>
  <c r="E42" i="11" l="1"/>
  <c r="E43" i="11" l="1"/>
  <c r="P31" i="99" l="1"/>
  <c r="P42" i="99" s="1"/>
  <c r="AE31" i="87"/>
  <c r="O40" i="84"/>
  <c r="S40" i="84" s="1"/>
  <c r="U40" i="84" s="1"/>
  <c r="M40" i="84"/>
  <c r="Q40" i="84" s="1"/>
  <c r="M39" i="84"/>
  <c r="O38" i="84"/>
  <c r="M38" i="84"/>
  <c r="O37" i="84"/>
  <c r="M37" i="84"/>
  <c r="O36" i="84"/>
  <c r="M36" i="84"/>
  <c r="O35" i="84"/>
  <c r="M35" i="84"/>
  <c r="O34" i="84"/>
  <c r="M34" i="84"/>
  <c r="O33" i="84"/>
  <c r="M33" i="84"/>
  <c r="O32" i="84"/>
  <c r="M32" i="84"/>
  <c r="Z42" i="87"/>
  <c r="AF64" i="87"/>
  <c r="O39" i="84"/>
  <c r="AG31" i="84"/>
  <c r="M54" i="84"/>
  <c r="M53" i="84"/>
  <c r="M52" i="84"/>
  <c r="M51" i="84"/>
  <c r="M50" i="84"/>
  <c r="M49" i="84"/>
  <c r="M48" i="84"/>
  <c r="M47" i="84"/>
  <c r="M46" i="84"/>
  <c r="M45" i="84"/>
  <c r="M31" i="84"/>
  <c r="M26" i="84"/>
  <c r="M25" i="84"/>
  <c r="E39" i="117" s="1"/>
  <c r="M24" i="84"/>
  <c r="E38" i="117" s="1"/>
  <c r="M23" i="84"/>
  <c r="E37" i="117" s="1"/>
  <c r="M22" i="84"/>
  <c r="E36" i="117" s="1"/>
  <c r="M21" i="84"/>
  <c r="E35" i="117" s="1"/>
  <c r="M20" i="84"/>
  <c r="E34" i="117" s="1"/>
  <c r="M19" i="84"/>
  <c r="E33" i="117" s="1"/>
  <c r="M18" i="84"/>
  <c r="E32" i="117" s="1"/>
  <c r="M17" i="84"/>
  <c r="E31" i="117" s="1"/>
  <c r="AK45" i="116" l="1"/>
  <c r="AF56" i="87"/>
  <c r="P45" i="99"/>
  <c r="AI40" i="84"/>
  <c r="R84" i="131"/>
  <c r="I23" i="134" s="1"/>
  <c r="M68" i="84"/>
  <c r="E40" i="117"/>
  <c r="W40" i="84"/>
  <c r="AC42" i="87"/>
  <c r="K31" i="109"/>
  <c r="AC58" i="84"/>
  <c r="AH56" i="84"/>
  <c r="AH64" i="84"/>
  <c r="AG33" i="84"/>
  <c r="AG37" i="84"/>
  <c r="AA42" i="87"/>
  <c r="AG34" i="84"/>
  <c r="AG38" i="84"/>
  <c r="AE45" i="87"/>
  <c r="AG35" i="84"/>
  <c r="AG39" i="84"/>
  <c r="AG32" i="84"/>
  <c r="AG36" i="84"/>
  <c r="AG40" i="84"/>
  <c r="AF42" i="87"/>
  <c r="AE42" i="87"/>
  <c r="AD42" i="87"/>
  <c r="AH42" i="84"/>
  <c r="AB42" i="87"/>
  <c r="AE17" i="87"/>
  <c r="O31" i="84"/>
  <c r="M31" i="109" l="1"/>
  <c r="K42" i="109"/>
  <c r="C31" i="87" l="1"/>
  <c r="M42" i="109"/>
  <c r="Q108" i="159" l="1"/>
  <c r="C92" i="159"/>
  <c r="C91" i="159"/>
  <c r="C90" i="159"/>
  <c r="C89" i="159"/>
  <c r="C88" i="159"/>
  <c r="D90" i="159"/>
  <c r="D89" i="159"/>
  <c r="D88" i="159"/>
  <c r="D87" i="159"/>
  <c r="E89" i="159"/>
  <c r="E88" i="159"/>
  <c r="E87" i="159"/>
  <c r="E86" i="159"/>
  <c r="F88" i="159"/>
  <c r="F87" i="159"/>
  <c r="F86" i="159"/>
  <c r="F85" i="159"/>
  <c r="G87" i="159"/>
  <c r="G86" i="159"/>
  <c r="G85" i="159"/>
  <c r="G84" i="159"/>
  <c r="H86" i="159"/>
  <c r="H85" i="159"/>
  <c r="I85" i="159"/>
  <c r="AK16" i="55" l="1"/>
  <c r="S36" i="28"/>
  <c r="AA45" i="54"/>
  <c r="K37" i="55" l="1"/>
  <c r="K43" i="55"/>
  <c r="K49" i="55"/>
  <c r="M42" i="27"/>
  <c r="K42" i="27"/>
  <c r="M37" i="27"/>
  <c r="M43" i="27"/>
  <c r="M49" i="27"/>
  <c r="M47" i="27"/>
  <c r="K38" i="55"/>
  <c r="K44" i="55"/>
  <c r="K50" i="55"/>
  <c r="M38" i="27"/>
  <c r="M44" i="27"/>
  <c r="M50" i="27"/>
  <c r="K39" i="55"/>
  <c r="K45" i="55"/>
  <c r="K36" i="55"/>
  <c r="K48" i="55"/>
  <c r="M39" i="27"/>
  <c r="M45" i="27"/>
  <c r="M48" i="27"/>
  <c r="K40" i="55"/>
  <c r="K46" i="55"/>
  <c r="M41" i="27"/>
  <c r="K42" i="55"/>
  <c r="M36" i="27"/>
  <c r="M40" i="27"/>
  <c r="M46" i="27"/>
  <c r="K41" i="55"/>
  <c r="K47" i="55"/>
  <c r="K43" i="108"/>
  <c r="O43" i="108" s="1"/>
  <c r="M42" i="55"/>
  <c r="K48" i="108"/>
  <c r="O48" i="108" s="1"/>
  <c r="M47" i="55"/>
  <c r="Y52" i="54"/>
  <c r="Z52" i="54"/>
  <c r="Y33" i="54"/>
  <c r="Z33" i="54"/>
  <c r="AK39" i="54"/>
  <c r="K21" i="108"/>
  <c r="O21" i="108" s="1"/>
  <c r="AK44" i="54"/>
  <c r="K26" i="108"/>
  <c r="O26" i="108" s="1"/>
  <c r="K20" i="108"/>
  <c r="O20" i="108" s="1"/>
  <c r="AK38" i="54"/>
  <c r="AK40" i="54"/>
  <c r="K22" i="108"/>
  <c r="O22" i="108" s="1"/>
  <c r="K32" i="108"/>
  <c r="O32" i="108" s="1"/>
  <c r="AK50" i="54"/>
  <c r="AK43" i="54"/>
  <c r="K25" i="108"/>
  <c r="O25" i="108" s="1"/>
  <c r="K19" i="108"/>
  <c r="O19" i="108" s="1"/>
  <c r="AK37" i="54"/>
  <c r="K31" i="108"/>
  <c r="O31" i="108" s="1"/>
  <c r="AK49" i="54"/>
  <c r="K30" i="54"/>
  <c r="K22" i="54"/>
  <c r="K29" i="54"/>
  <c r="AA30" i="54"/>
  <c r="K18" i="54"/>
  <c r="K24" i="54"/>
  <c r="K31" i="54"/>
  <c r="AA18" i="54"/>
  <c r="AA31" i="54"/>
  <c r="AA22" i="54"/>
  <c r="K19" i="54"/>
  <c r="K25" i="54"/>
  <c r="AA19" i="54"/>
  <c r="K20" i="54"/>
  <c r="K26" i="54"/>
  <c r="K23" i="54"/>
  <c r="K21" i="54"/>
  <c r="K28" i="54"/>
  <c r="AA38" i="54"/>
  <c r="AA23" i="54"/>
  <c r="AA49" i="54"/>
  <c r="AA43" i="54"/>
  <c r="AA37" i="54"/>
  <c r="AA40" i="54"/>
  <c r="AA50" i="55"/>
  <c r="AA24" i="54"/>
  <c r="AA20" i="54"/>
  <c r="AA44" i="54"/>
  <c r="AA50" i="54"/>
  <c r="AA25" i="54"/>
  <c r="AA39" i="54"/>
  <c r="AA26" i="54"/>
  <c r="AA48" i="54"/>
  <c r="AA42" i="54"/>
  <c r="AA36" i="54"/>
  <c r="AA21" i="54"/>
  <c r="AA47" i="54"/>
  <c r="AA41" i="54"/>
  <c r="AA38" i="55"/>
  <c r="AA44" i="55"/>
  <c r="AA28" i="54"/>
  <c r="AA17" i="54"/>
  <c r="AA29" i="54"/>
  <c r="AA39" i="55"/>
  <c r="AA45" i="55"/>
  <c r="AA40" i="55"/>
  <c r="AA46" i="55"/>
  <c r="AA41" i="55"/>
  <c r="AA47" i="55"/>
  <c r="AA36" i="55"/>
  <c r="AA42" i="55"/>
  <c r="AA48" i="55"/>
  <c r="AA37" i="55"/>
  <c r="AA43" i="55"/>
  <c r="AA49" i="55"/>
  <c r="U36" i="111"/>
  <c r="M50" i="55" l="1"/>
  <c r="M45" i="55"/>
  <c r="K51" i="108"/>
  <c r="O51" i="108" s="1"/>
  <c r="M49" i="55"/>
  <c r="K50" i="108"/>
  <c r="O50" i="108" s="1"/>
  <c r="K38" i="108"/>
  <c r="O38" i="108" s="1"/>
  <c r="M39" i="55"/>
  <c r="K47" i="27"/>
  <c r="K40" i="108"/>
  <c r="O40" i="108" s="1"/>
  <c r="K49" i="27"/>
  <c r="K49" i="108"/>
  <c r="O49" i="108" s="1"/>
  <c r="K43" i="27"/>
  <c r="K46" i="108"/>
  <c r="O46" i="108" s="1"/>
  <c r="K50" i="27"/>
  <c r="M40" i="55"/>
  <c r="K41" i="108"/>
  <c r="O41" i="108" s="1"/>
  <c r="K40" i="27"/>
  <c r="K37" i="27"/>
  <c r="M44" i="55"/>
  <c r="M48" i="55"/>
  <c r="K48" i="27"/>
  <c r="K38" i="27"/>
  <c r="K45" i="108"/>
  <c r="O45" i="108" s="1"/>
  <c r="M38" i="55"/>
  <c r="M36" i="55"/>
  <c r="S36" i="55" s="1"/>
  <c r="K41" i="27"/>
  <c r="K39" i="27"/>
  <c r="K37" i="108"/>
  <c r="O37" i="108" s="1"/>
  <c r="K44" i="27"/>
  <c r="K46" i="27"/>
  <c r="M43" i="55"/>
  <c r="K39" i="108"/>
  <c r="O39" i="108" s="1"/>
  <c r="K44" i="108"/>
  <c r="O44" i="108" s="1"/>
  <c r="M41" i="55"/>
  <c r="M37" i="55"/>
  <c r="K36" i="27"/>
  <c r="K45" i="27"/>
  <c r="K42" i="108"/>
  <c r="O42" i="108" s="1"/>
  <c r="M46" i="55"/>
  <c r="K47" i="108"/>
  <c r="O47" i="108" s="1"/>
  <c r="K29" i="108"/>
  <c r="O29" i="108" s="1"/>
  <c r="AK47" i="54"/>
  <c r="S18" i="107"/>
  <c r="U18" i="107" s="1"/>
  <c r="I18" i="107" s="1"/>
  <c r="AK18" i="54"/>
  <c r="M18" i="54"/>
  <c r="S24" i="107"/>
  <c r="M24" i="54"/>
  <c r="AK24" i="54"/>
  <c r="S17" i="107"/>
  <c r="U17" i="107" s="1"/>
  <c r="AK17" i="54"/>
  <c r="AK41" i="54"/>
  <c r="K23" i="108"/>
  <c r="O23" i="108" s="1"/>
  <c r="S21" i="107"/>
  <c r="M21" i="54"/>
  <c r="AK21" i="54"/>
  <c r="S29" i="107"/>
  <c r="U29" i="107" s="1"/>
  <c r="I29" i="107" s="1"/>
  <c r="AK29" i="54"/>
  <c r="M29" i="54"/>
  <c r="S23" i="107"/>
  <c r="M23" i="54"/>
  <c r="AK23" i="54"/>
  <c r="S26" i="107"/>
  <c r="AK26" i="54"/>
  <c r="M26" i="54"/>
  <c r="S19" i="107"/>
  <c r="U19" i="107" s="1"/>
  <c r="I19" i="107" s="1"/>
  <c r="AK19" i="54"/>
  <c r="M19" i="54"/>
  <c r="S31" i="107"/>
  <c r="U31" i="107" s="1"/>
  <c r="I31" i="107" s="1"/>
  <c r="AK31" i="54"/>
  <c r="M31" i="54"/>
  <c r="K30" i="108"/>
  <c r="O30" i="108" s="1"/>
  <c r="AK48" i="54"/>
  <c r="S25" i="107"/>
  <c r="AK25" i="54"/>
  <c r="M25" i="54"/>
  <c r="AK42" i="54"/>
  <c r="K24" i="108"/>
  <c r="O24" i="108" s="1"/>
  <c r="K18" i="108"/>
  <c r="O18" i="108" s="1"/>
  <c r="AK36" i="54"/>
  <c r="S30" i="107"/>
  <c r="AK30" i="54"/>
  <c r="M30" i="54"/>
  <c r="S22" i="107"/>
  <c r="M22" i="54"/>
  <c r="AK22" i="54"/>
  <c r="S20" i="107"/>
  <c r="U20" i="107" s="1"/>
  <c r="I20" i="107" s="1"/>
  <c r="M20" i="54"/>
  <c r="AK20" i="54"/>
  <c r="AK45" i="54"/>
  <c r="K27" i="108"/>
  <c r="O27" i="108" s="1"/>
  <c r="S28" i="107"/>
  <c r="M28" i="54"/>
  <c r="AK28" i="54"/>
  <c r="U47" i="111"/>
  <c r="U41" i="111"/>
  <c r="U37" i="111"/>
  <c r="U43" i="111"/>
  <c r="U49" i="111"/>
  <c r="U40" i="111"/>
  <c r="U42" i="111"/>
  <c r="U38" i="111"/>
  <c r="U44" i="111"/>
  <c r="U50" i="111"/>
  <c r="U46" i="111"/>
  <c r="U48" i="111"/>
  <c r="U39" i="111"/>
  <c r="U45" i="111"/>
  <c r="AG33" i="55"/>
  <c r="AA24" i="55"/>
  <c r="AA19" i="55"/>
  <c r="AA18" i="55"/>
  <c r="AA25" i="55"/>
  <c r="L46" i="69"/>
  <c r="AA28" i="55"/>
  <c r="AA21" i="55"/>
  <c r="AA27" i="55"/>
  <c r="AA20" i="55"/>
  <c r="AA22" i="55"/>
  <c r="AA31" i="55"/>
  <c r="AA26" i="55"/>
  <c r="AA29" i="55"/>
  <c r="AA23" i="55"/>
  <c r="AA17" i="55"/>
  <c r="S36" i="107"/>
  <c r="U36" i="107" s="1"/>
  <c r="I36" i="107" s="1"/>
  <c r="AA30" i="55"/>
  <c r="I17" i="107" l="1"/>
  <c r="AK21" i="55"/>
  <c r="S40" i="107"/>
  <c r="AK20" i="55"/>
  <c r="S39" i="107"/>
  <c r="U39" i="107" s="1"/>
  <c r="I39" i="107" s="1"/>
  <c r="AK22" i="55"/>
  <c r="S41" i="107"/>
  <c r="U41" i="107" s="1"/>
  <c r="I41" i="107" s="1"/>
  <c r="AK23" i="55"/>
  <c r="S42" i="107"/>
  <c r="U42" i="107" s="1"/>
  <c r="I42" i="107" s="1"/>
  <c r="AK29" i="55"/>
  <c r="S48" i="107"/>
  <c r="U48" i="107" s="1"/>
  <c r="I48" i="107" s="1"/>
  <c r="AK27" i="55"/>
  <c r="S46" i="107"/>
  <c r="U46" i="107" s="1"/>
  <c r="I46" i="107" s="1"/>
  <c r="AK26" i="55"/>
  <c r="S45" i="107"/>
  <c r="U45" i="107" s="1"/>
  <c r="I45" i="107" s="1"/>
  <c r="AK30" i="55"/>
  <c r="S49" i="107"/>
  <c r="U49" i="107" s="1"/>
  <c r="I49" i="107" s="1"/>
  <c r="AK18" i="55"/>
  <c r="S37" i="107"/>
  <c r="U37" i="107" s="1"/>
  <c r="I37" i="107" s="1"/>
  <c r="AK19" i="55"/>
  <c r="S38" i="107"/>
  <c r="U38" i="107" s="1"/>
  <c r="I38" i="107" s="1"/>
  <c r="AK24" i="55"/>
  <c r="S43" i="107"/>
  <c r="U43" i="107" s="1"/>
  <c r="I43" i="107" s="1"/>
  <c r="AK25" i="55"/>
  <c r="S44" i="107"/>
  <c r="U44" i="107" s="1"/>
  <c r="I44" i="107" s="1"/>
  <c r="AK31" i="55"/>
  <c r="S50" i="107"/>
  <c r="U50" i="107" s="1"/>
  <c r="I50" i="107" s="1"/>
  <c r="AK28" i="55"/>
  <c r="S47" i="107"/>
  <c r="U47" i="107" s="1"/>
  <c r="I47" i="107" s="1"/>
  <c r="AH33" i="55"/>
  <c r="AK17" i="55"/>
  <c r="I39" i="41"/>
  <c r="I37" i="41"/>
  <c r="I31" i="41"/>
  <c r="I29" i="41"/>
  <c r="I23" i="41"/>
  <c r="I44" i="41"/>
  <c r="R71" i="72" s="1"/>
  <c r="I44" i="40"/>
  <c r="I43" i="41"/>
  <c r="R70" i="72" s="1"/>
  <c r="I43" i="40"/>
  <c r="I42" i="41"/>
  <c r="R69" i="72" s="1"/>
  <c r="I41" i="41"/>
  <c r="R68" i="72" s="1"/>
  <c r="I40" i="41"/>
  <c r="R67" i="72" s="1"/>
  <c r="I39" i="40"/>
  <c r="I38" i="41"/>
  <c r="I37" i="40"/>
  <c r="I36" i="41"/>
  <c r="I35" i="41"/>
  <c r="I34" i="41"/>
  <c r="I33" i="41"/>
  <c r="I33" i="40"/>
  <c r="I32" i="41"/>
  <c r="I32" i="40"/>
  <c r="I31" i="40"/>
  <c r="I30" i="41"/>
  <c r="I28" i="41"/>
  <c r="I27" i="41"/>
  <c r="I27" i="40"/>
  <c r="I26" i="41"/>
  <c r="I25" i="41"/>
  <c r="I25" i="40"/>
  <c r="I24" i="41"/>
  <c r="I23" i="40"/>
  <c r="I22" i="41"/>
  <c r="I22" i="40"/>
  <c r="I42" i="40"/>
  <c r="I41" i="40"/>
  <c r="I40" i="40"/>
  <c r="I38" i="40"/>
  <c r="I36" i="40"/>
  <c r="I35" i="40"/>
  <c r="I34" i="40"/>
  <c r="I30" i="40"/>
  <c r="I29" i="40"/>
  <c r="I28" i="40"/>
  <c r="I26" i="40"/>
  <c r="I24" i="40"/>
  <c r="V43" i="40"/>
  <c r="V42" i="40"/>
  <c r="V39" i="40"/>
  <c r="V38" i="40"/>
  <c r="V35" i="40"/>
  <c r="V30" i="40"/>
  <c r="V29" i="40"/>
  <c r="V27" i="40"/>
  <c r="V26" i="40"/>
  <c r="V22" i="40"/>
  <c r="S21" i="40"/>
  <c r="V21" i="40" s="1"/>
  <c r="R21" i="40"/>
  <c r="I21" i="40" s="1"/>
  <c r="S20" i="40"/>
  <c r="I20" i="41" s="1"/>
  <c r="R20" i="40"/>
  <c r="I20" i="40" s="1"/>
  <c r="S19" i="40"/>
  <c r="I19" i="41" s="1"/>
  <c r="R19" i="40"/>
  <c r="I19" i="40" s="1"/>
  <c r="R18" i="40"/>
  <c r="I18" i="40" s="1"/>
  <c r="S17" i="40"/>
  <c r="I17" i="41" s="1"/>
  <c r="R17" i="40"/>
  <c r="I17" i="40" s="1"/>
  <c r="S16" i="40"/>
  <c r="R16" i="40"/>
  <c r="I16" i="40" s="1"/>
  <c r="R66" i="72" l="1"/>
  <c r="AK33" i="55"/>
  <c r="U40" i="107"/>
  <c r="S52" i="107"/>
  <c r="V24" i="40"/>
  <c r="V32" i="40"/>
  <c r="V33" i="40"/>
  <c r="V41" i="40"/>
  <c r="V28" i="40"/>
  <c r="V36" i="40"/>
  <c r="V44" i="40"/>
  <c r="I16" i="41"/>
  <c r="V16" i="40"/>
  <c r="I21" i="41"/>
  <c r="V34" i="40"/>
  <c r="V19" i="40"/>
  <c r="S18" i="40"/>
  <c r="I18" i="41" s="1"/>
  <c r="V25" i="40"/>
  <c r="V37" i="40"/>
  <c r="V31" i="40"/>
  <c r="V40" i="40"/>
  <c r="V23" i="40"/>
  <c r="V20" i="40"/>
  <c r="V17" i="40"/>
  <c r="U52" i="107" l="1"/>
  <c r="I40" i="107"/>
  <c r="V18" i="40"/>
  <c r="V46" i="40" s="1"/>
  <c r="S21" i="4"/>
  <c r="V21" i="4" s="1"/>
  <c r="R21" i="4"/>
  <c r="I21" i="4" s="1"/>
  <c r="S20" i="4"/>
  <c r="V20" i="4" s="1"/>
  <c r="R20" i="4"/>
  <c r="I20" i="4" s="1"/>
  <c r="S19" i="4"/>
  <c r="V19" i="4" s="1"/>
  <c r="R19" i="4"/>
  <c r="I19" i="4" s="1"/>
  <c r="S18" i="4"/>
  <c r="V18" i="4" s="1"/>
  <c r="R18" i="4"/>
  <c r="I18" i="4" s="1"/>
  <c r="S17" i="4"/>
  <c r="V17" i="4" s="1"/>
  <c r="R17" i="4"/>
  <c r="I17" i="4" s="1"/>
  <c r="S16" i="4"/>
  <c r="V16" i="4" s="1"/>
  <c r="R16" i="4"/>
  <c r="I16" i="4" s="1"/>
  <c r="AB17" i="105" s="1"/>
  <c r="I44" i="4"/>
  <c r="V43" i="4"/>
  <c r="I43" i="4"/>
  <c r="I42" i="42"/>
  <c r="Q69" i="72" s="1"/>
  <c r="I42" i="4"/>
  <c r="I41" i="42"/>
  <c r="Q68" i="72" s="1"/>
  <c r="I41" i="4"/>
  <c r="I40" i="42"/>
  <c r="Q67" i="72" s="1"/>
  <c r="I40" i="4"/>
  <c r="I39" i="42"/>
  <c r="I39" i="4"/>
  <c r="I38" i="42"/>
  <c r="I38" i="4"/>
  <c r="I37" i="42"/>
  <c r="I37" i="4"/>
  <c r="I36" i="42"/>
  <c r="I36" i="4"/>
  <c r="I35" i="42"/>
  <c r="I35" i="4"/>
  <c r="I34" i="4"/>
  <c r="I33" i="42"/>
  <c r="I33" i="4"/>
  <c r="I32" i="42"/>
  <c r="I32" i="4"/>
  <c r="I31" i="42"/>
  <c r="I31" i="4"/>
  <c r="I30" i="42"/>
  <c r="I30" i="4"/>
  <c r="I29" i="42"/>
  <c r="I29" i="4"/>
  <c r="I28" i="42"/>
  <c r="I28" i="4"/>
  <c r="I27" i="42"/>
  <c r="I27" i="4"/>
  <c r="I26" i="42"/>
  <c r="I26" i="4"/>
  <c r="I25" i="42"/>
  <c r="I25" i="4"/>
  <c r="I24" i="42"/>
  <c r="I24" i="4"/>
  <c r="I23" i="4"/>
  <c r="I22" i="42"/>
  <c r="S21" i="26"/>
  <c r="I21" i="71" s="1"/>
  <c r="R21" i="26"/>
  <c r="I21" i="26" s="1"/>
  <c r="S20" i="26"/>
  <c r="I20" i="71" s="1"/>
  <c r="R20" i="26"/>
  <c r="I20" i="26" s="1"/>
  <c r="S19" i="26"/>
  <c r="I19" i="71" s="1"/>
  <c r="R19" i="26"/>
  <c r="I19" i="26" s="1"/>
  <c r="S18" i="26"/>
  <c r="R18" i="26"/>
  <c r="I18" i="26" s="1"/>
  <c r="S17" i="26"/>
  <c r="I17" i="71" s="1"/>
  <c r="R17" i="26"/>
  <c r="I17" i="26" s="1"/>
  <c r="S16" i="26"/>
  <c r="R16" i="26"/>
  <c r="I16" i="26" s="1"/>
  <c r="I44" i="71"/>
  <c r="Q87" i="72" s="1"/>
  <c r="I44" i="26"/>
  <c r="I43" i="71"/>
  <c r="Q86" i="72" s="1"/>
  <c r="I43" i="26"/>
  <c r="I42" i="71"/>
  <c r="Q85" i="72" s="1"/>
  <c r="I42" i="26"/>
  <c r="I41" i="71"/>
  <c r="Q84" i="72" s="1"/>
  <c r="I41" i="26"/>
  <c r="I40" i="71"/>
  <c r="Q83" i="72" s="1"/>
  <c r="I40" i="26"/>
  <c r="I39" i="71"/>
  <c r="Q82" i="72" s="1"/>
  <c r="I39" i="26"/>
  <c r="I38" i="71"/>
  <c r="I38" i="26"/>
  <c r="I37" i="71"/>
  <c r="I37" i="26"/>
  <c r="I36" i="71"/>
  <c r="I36" i="26"/>
  <c r="I35" i="71"/>
  <c r="I35" i="26"/>
  <c r="I34" i="71"/>
  <c r="I33" i="71"/>
  <c r="I33" i="26"/>
  <c r="I32" i="71"/>
  <c r="I32" i="26"/>
  <c r="I31" i="26"/>
  <c r="I30" i="71"/>
  <c r="I30" i="26"/>
  <c r="I29" i="71"/>
  <c r="I29" i="26"/>
  <c r="I28" i="71"/>
  <c r="I28" i="26"/>
  <c r="I27" i="71"/>
  <c r="I27" i="26"/>
  <c r="I26" i="71"/>
  <c r="I26" i="26"/>
  <c r="I25" i="71"/>
  <c r="I25" i="26"/>
  <c r="I24" i="71"/>
  <c r="I24" i="26"/>
  <c r="I23" i="71"/>
  <c r="I23" i="26"/>
  <c r="I22" i="71"/>
  <c r="I34" i="26"/>
  <c r="K25" i="24"/>
  <c r="M42" i="3"/>
  <c r="M43" i="3" s="1"/>
  <c r="L43" i="43" s="1"/>
  <c r="M41" i="3"/>
  <c r="L41" i="43" s="1"/>
  <c r="M40" i="3"/>
  <c r="L40" i="43" s="1"/>
  <c r="M39" i="3"/>
  <c r="L39" i="43" s="1"/>
  <c r="M38" i="3"/>
  <c r="L38" i="43" s="1"/>
  <c r="M37" i="3"/>
  <c r="L37" i="43" s="1"/>
  <c r="M36" i="3"/>
  <c r="L36" i="43" s="1"/>
  <c r="M35" i="3"/>
  <c r="L35" i="43" s="1"/>
  <c r="M34" i="3"/>
  <c r="L34" i="43" s="1"/>
  <c r="M33" i="3"/>
  <c r="L33" i="43" s="1"/>
  <c r="M32" i="3"/>
  <c r="L32" i="43" s="1"/>
  <c r="M31" i="3"/>
  <c r="L31" i="43" s="1"/>
  <c r="M30" i="3"/>
  <c r="L30" i="43" s="1"/>
  <c r="M29" i="3"/>
  <c r="L29" i="43" s="1"/>
  <c r="M28" i="3"/>
  <c r="L28" i="43" s="1"/>
  <c r="M27" i="3"/>
  <c r="L27" i="43" s="1"/>
  <c r="M26" i="3"/>
  <c r="L26" i="43" s="1"/>
  <c r="M25" i="3"/>
  <c r="L25" i="43" s="1"/>
  <c r="M24" i="3"/>
  <c r="L24" i="43" s="1"/>
  <c r="M23" i="3"/>
  <c r="L23" i="43" s="1"/>
  <c r="M22" i="3"/>
  <c r="L22" i="43" s="1"/>
  <c r="M21" i="3"/>
  <c r="L21" i="43" s="1"/>
  <c r="M20" i="3"/>
  <c r="L20" i="43" s="1"/>
  <c r="M19" i="3"/>
  <c r="L19" i="43" s="1"/>
  <c r="M18" i="3"/>
  <c r="L18" i="43" s="1"/>
  <c r="M17" i="3"/>
  <c r="L17" i="43" s="1"/>
  <c r="M16" i="3"/>
  <c r="L16" i="43" s="1"/>
  <c r="L42" i="43" l="1"/>
  <c r="M44" i="3"/>
  <c r="L44" i="43" s="1"/>
  <c r="Q66" i="72"/>
  <c r="M39" i="41"/>
  <c r="V36" i="26"/>
  <c r="I22" i="4"/>
  <c r="N22" i="40"/>
  <c r="I22" i="26"/>
  <c r="N23" i="40"/>
  <c r="O44" i="69"/>
  <c r="V44" i="26"/>
  <c r="V31" i="4"/>
  <c r="V37" i="4"/>
  <c r="V25" i="26"/>
  <c r="I43" i="42"/>
  <c r="Q70" i="72" s="1"/>
  <c r="V32" i="26"/>
  <c r="V28" i="26"/>
  <c r="V40" i="26"/>
  <c r="Z16" i="72"/>
  <c r="V44" i="4"/>
  <c r="V34" i="4"/>
  <c r="V42" i="4"/>
  <c r="V41" i="26"/>
  <c r="V31" i="26"/>
  <c r="I31" i="71"/>
  <c r="V22" i="26"/>
  <c r="V30" i="26"/>
  <c r="V34" i="26"/>
  <c r="V37" i="26"/>
  <c r="V38" i="4"/>
  <c r="V29" i="26"/>
  <c r="V33" i="4"/>
  <c r="V41" i="4"/>
  <c r="V36" i="4"/>
  <c r="V23" i="4"/>
  <c r="V26" i="26"/>
  <c r="V38" i="26"/>
  <c r="V19" i="26"/>
  <c r="I18" i="71"/>
  <c r="V18" i="26"/>
  <c r="V23" i="26"/>
  <c r="V35" i="26"/>
  <c r="V16" i="26"/>
  <c r="I16" i="71"/>
  <c r="I18" i="42"/>
  <c r="I19" i="42"/>
  <c r="I20" i="42"/>
  <c r="I21" i="42"/>
  <c r="I16" i="42"/>
  <c r="I17" i="42"/>
  <c r="V24" i="4"/>
  <c r="V28" i="4"/>
  <c r="V35" i="4"/>
  <c r="V39" i="4"/>
  <c r="V32" i="4"/>
  <c r="V25" i="4"/>
  <c r="V29" i="4"/>
  <c r="V40" i="4"/>
  <c r="V22" i="4"/>
  <c r="I44" i="42"/>
  <c r="Q71" i="72" s="1"/>
  <c r="V26" i="4"/>
  <c r="V30" i="4"/>
  <c r="I34" i="42"/>
  <c r="I23" i="42"/>
  <c r="V27" i="4"/>
  <c r="V27" i="26"/>
  <c r="V24" i="26"/>
  <c r="V42" i="26"/>
  <c r="V39" i="26"/>
  <c r="V43" i="26"/>
  <c r="V33" i="26"/>
  <c r="V21" i="26"/>
  <c r="V20" i="26"/>
  <c r="V17" i="26"/>
  <c r="C121" i="143"/>
  <c r="C19" i="18" s="1"/>
  <c r="C120" i="143"/>
  <c r="C18" i="18" s="1"/>
  <c r="C119" i="143"/>
  <c r="C17" i="18" s="1"/>
  <c r="C118" i="143"/>
  <c r="C16" i="18" s="1"/>
  <c r="C121" i="144"/>
  <c r="C19" i="44" s="1"/>
  <c r="C120" i="144"/>
  <c r="C18" i="44" s="1"/>
  <c r="C119" i="144"/>
  <c r="C17" i="44" s="1"/>
  <c r="C118" i="144"/>
  <c r="C16" i="44" s="1"/>
  <c r="C121" i="145"/>
  <c r="C19" i="19" s="1"/>
  <c r="C120" i="145"/>
  <c r="C18" i="19" s="1"/>
  <c r="C119" i="145"/>
  <c r="C17" i="19" s="1"/>
  <c r="C118" i="145"/>
  <c r="C16" i="19" s="1"/>
  <c r="C19" i="45"/>
  <c r="C18" i="45"/>
  <c r="C16" i="45"/>
  <c r="C118" i="146"/>
  <c r="C119" i="146"/>
  <c r="C17" i="45" s="1"/>
  <c r="C120" i="146"/>
  <c r="C121" i="146"/>
  <c r="N24" i="40" l="1"/>
  <c r="V46" i="4"/>
  <c r="V46" i="26"/>
  <c r="X44" i="69"/>
  <c r="I43" i="70"/>
  <c r="R86" i="72" s="1"/>
  <c r="I40" i="70"/>
  <c r="R83" i="72" s="1"/>
  <c r="I39" i="70"/>
  <c r="R82" i="72" s="1"/>
  <c r="I31" i="70"/>
  <c r="I28" i="70"/>
  <c r="I27" i="70"/>
  <c r="I44" i="70"/>
  <c r="R87" i="72" s="1"/>
  <c r="I42" i="70"/>
  <c r="R85" i="72" s="1"/>
  <c r="I41" i="70"/>
  <c r="R84" i="72" s="1"/>
  <c r="I38" i="70"/>
  <c r="I37" i="70"/>
  <c r="I36" i="70"/>
  <c r="I35" i="70"/>
  <c r="M35" i="69"/>
  <c r="N35" i="69" s="1"/>
  <c r="I34" i="70"/>
  <c r="M34" i="69"/>
  <c r="N34" i="69" s="1"/>
  <c r="I33" i="70"/>
  <c r="M33" i="69"/>
  <c r="N33" i="69" s="1"/>
  <c r="I32" i="70"/>
  <c r="I30" i="70"/>
  <c r="I29" i="70"/>
  <c r="I26" i="70"/>
  <c r="I25" i="70"/>
  <c r="I24" i="70"/>
  <c r="I23" i="70"/>
  <c r="O43" i="69"/>
  <c r="O42" i="69"/>
  <c r="O41" i="69"/>
  <c r="O40" i="69"/>
  <c r="O39" i="69"/>
  <c r="O38" i="69"/>
  <c r="O37" i="69"/>
  <c r="O36" i="69"/>
  <c r="O35" i="69"/>
  <c r="O34" i="69"/>
  <c r="O33" i="69"/>
  <c r="O32" i="69"/>
  <c r="O31" i="69"/>
  <c r="O30" i="69"/>
  <c r="O29" i="69"/>
  <c r="O28" i="69"/>
  <c r="O27" i="69"/>
  <c r="O26" i="69"/>
  <c r="O25" i="69"/>
  <c r="O24" i="69"/>
  <c r="X23" i="69"/>
  <c r="O23" i="69"/>
  <c r="S21" i="69"/>
  <c r="R21" i="69"/>
  <c r="I21" i="69" s="1"/>
  <c r="S20" i="69"/>
  <c r="R20" i="69"/>
  <c r="I20" i="69" s="1"/>
  <c r="X19" i="69"/>
  <c r="R19" i="69"/>
  <c r="I19" i="69" s="1"/>
  <c r="S18" i="69"/>
  <c r="I18" i="70" s="1"/>
  <c r="R18" i="69"/>
  <c r="I18" i="69" s="1"/>
  <c r="S17" i="69"/>
  <c r="I17" i="70" s="1"/>
  <c r="R17" i="69"/>
  <c r="I17" i="69" s="1"/>
  <c r="R16" i="69"/>
  <c r="I16" i="69" s="1"/>
  <c r="V35" i="69" l="1"/>
  <c r="O22" i="69"/>
  <c r="Z17" i="72"/>
  <c r="Z18" i="72" s="1"/>
  <c r="X22" i="69"/>
  <c r="AA17" i="72"/>
  <c r="V34" i="69"/>
  <c r="I22" i="70"/>
  <c r="AA16" i="72"/>
  <c r="I26" i="69"/>
  <c r="M26" i="69"/>
  <c r="N26" i="69" s="1"/>
  <c r="I37" i="69"/>
  <c r="M37" i="69"/>
  <c r="N37" i="69" s="1"/>
  <c r="I43" i="69"/>
  <c r="M43" i="69"/>
  <c r="N43" i="69" s="1"/>
  <c r="I29" i="69"/>
  <c r="M29" i="69"/>
  <c r="N29" i="69" s="1"/>
  <c r="V33" i="69"/>
  <c r="I38" i="69"/>
  <c r="M38" i="69"/>
  <c r="N38" i="69" s="1"/>
  <c r="I33" i="69"/>
  <c r="I23" i="69"/>
  <c r="M23" i="69"/>
  <c r="N23" i="69" s="1"/>
  <c r="I24" i="69"/>
  <c r="M24" i="69"/>
  <c r="N24" i="69" s="1"/>
  <c r="I30" i="69"/>
  <c r="M30" i="69"/>
  <c r="N30" i="69" s="1"/>
  <c r="I34" i="69"/>
  <c r="I41" i="69"/>
  <c r="M41" i="69"/>
  <c r="N41" i="69" s="1"/>
  <c r="I35" i="69"/>
  <c r="I22" i="69"/>
  <c r="M22" i="69"/>
  <c r="N22" i="69" s="1"/>
  <c r="I44" i="69"/>
  <c r="M44" i="69"/>
  <c r="N44" i="69" s="1"/>
  <c r="I25" i="69"/>
  <c r="M25" i="69"/>
  <c r="N25" i="69" s="1"/>
  <c r="I31" i="69"/>
  <c r="M31" i="69"/>
  <c r="N31" i="69" s="1"/>
  <c r="I32" i="69"/>
  <c r="M32" i="69"/>
  <c r="N32" i="69" s="1"/>
  <c r="I36" i="69"/>
  <c r="M36" i="69"/>
  <c r="N36" i="69" s="1"/>
  <c r="I42" i="69"/>
  <c r="M42" i="69"/>
  <c r="N42" i="69" s="1"/>
  <c r="X21" i="69"/>
  <c r="X16" i="69"/>
  <c r="X20" i="69"/>
  <c r="I20" i="70"/>
  <c r="V20" i="69"/>
  <c r="I21" i="70"/>
  <c r="V21" i="69"/>
  <c r="V18" i="69"/>
  <c r="S16" i="69"/>
  <c r="V25" i="69"/>
  <c r="S19" i="69"/>
  <c r="X17" i="69"/>
  <c r="X18" i="69"/>
  <c r="V17" i="69"/>
  <c r="V22" i="69"/>
  <c r="V23" i="69"/>
  <c r="V24" i="69"/>
  <c r="V36" i="69"/>
  <c r="V37" i="69"/>
  <c r="V26" i="69"/>
  <c r="V38" i="69"/>
  <c r="V27" i="69"/>
  <c r="V39" i="69"/>
  <c r="V28" i="69"/>
  <c r="V40" i="69"/>
  <c r="V29" i="69"/>
  <c r="V41" i="69"/>
  <c r="V30" i="69"/>
  <c r="V42" i="69"/>
  <c r="V31" i="69"/>
  <c r="V43" i="69"/>
  <c r="V32" i="69"/>
  <c r="V44" i="69"/>
  <c r="AA18" i="72" l="1"/>
  <c r="I40" i="69"/>
  <c r="M40" i="69"/>
  <c r="N40" i="69" s="1"/>
  <c r="I28" i="69"/>
  <c r="M28" i="69"/>
  <c r="N28" i="69" s="1"/>
  <c r="I39" i="69"/>
  <c r="M39" i="69"/>
  <c r="N39" i="69" s="1"/>
  <c r="I27" i="69"/>
  <c r="M27" i="69"/>
  <c r="N27" i="69" s="1"/>
  <c r="I19" i="70"/>
  <c r="V19" i="69"/>
  <c r="I16" i="70"/>
  <c r="V16" i="69"/>
  <c r="C98" i="159"/>
  <c r="B100" i="145"/>
  <c r="B93" i="143"/>
  <c r="G107" i="145"/>
  <c r="V46" i="69" l="1"/>
  <c r="B107" i="143" l="1"/>
  <c r="P79" i="159"/>
  <c r="O80" i="159"/>
  <c r="N81" i="159"/>
  <c r="M82" i="159"/>
  <c r="L83" i="159"/>
  <c r="K84" i="159"/>
  <c r="J85" i="159"/>
  <c r="I86" i="159"/>
  <c r="H87" i="159"/>
  <c r="G88" i="159"/>
  <c r="F89" i="159"/>
  <c r="E90" i="159"/>
  <c r="D91" i="159"/>
  <c r="B100" i="159" l="1"/>
  <c r="B98" i="159"/>
  <c r="B92" i="152"/>
  <c r="W26" i="115" l="1"/>
  <c r="A7" i="144"/>
  <c r="B93" i="152"/>
  <c r="B46" i="150"/>
  <c r="O36" i="147"/>
  <c r="A13" i="144"/>
  <c r="R77" i="143"/>
  <c r="Q78" i="143"/>
  <c r="P79" i="143"/>
  <c r="O80" i="143"/>
  <c r="N81" i="143"/>
  <c r="M82" i="143"/>
  <c r="L83" i="143"/>
  <c r="K84" i="143"/>
  <c r="J85" i="143"/>
  <c r="I86" i="143"/>
  <c r="H87" i="143"/>
  <c r="G88" i="143"/>
  <c r="F89" i="143"/>
  <c r="E90" i="143"/>
  <c r="D91" i="143"/>
  <c r="C92" i="143"/>
  <c r="B92" i="143"/>
  <c r="V26" i="110" l="1"/>
  <c r="G45" i="87" l="1"/>
  <c r="E45" i="87"/>
  <c r="Q8" i="117" l="1"/>
  <c r="Q7" i="117"/>
  <c r="Q6" i="117"/>
  <c r="A33" i="163"/>
  <c r="A33" i="164"/>
  <c r="A33" i="161"/>
  <c r="E31" i="15" l="1"/>
  <c r="C20" i="90" l="1"/>
  <c r="G32" i="81" l="1"/>
  <c r="G16" i="81"/>
  <c r="I32" i="73"/>
  <c r="C18" i="164"/>
  <c r="O18" i="164" s="1"/>
  <c r="A19" i="164"/>
  <c r="A20" i="164" s="1"/>
  <c r="A21" i="164" s="1"/>
  <c r="A22" i="164" s="1"/>
  <c r="A23" i="164" s="1"/>
  <c r="A24" i="164" s="1"/>
  <c r="A25" i="164" s="1"/>
  <c r="A26" i="164" s="1"/>
  <c r="A27" i="164" s="1"/>
  <c r="C19" i="164"/>
  <c r="C20" i="164"/>
  <c r="C21" i="164"/>
  <c r="O21" i="164" s="1"/>
  <c r="C22" i="164"/>
  <c r="C23" i="164"/>
  <c r="O23" i="164" s="1"/>
  <c r="C24" i="164"/>
  <c r="C25" i="164"/>
  <c r="O26" i="164"/>
  <c r="O27" i="164"/>
  <c r="A34" i="164"/>
  <c r="A35" i="164" s="1"/>
  <c r="A36" i="164" s="1"/>
  <c r="A37" i="164" s="1"/>
  <c r="A38" i="164" s="1"/>
  <c r="A39" i="164" s="1"/>
  <c r="A40" i="164" s="1"/>
  <c r="A41" i="164" s="1"/>
  <c r="A42" i="164" s="1"/>
  <c r="O44" i="164"/>
  <c r="C25" i="161"/>
  <c r="C24" i="161"/>
  <c r="C23" i="161"/>
  <c r="C22" i="161"/>
  <c r="C21" i="161"/>
  <c r="C20" i="161"/>
  <c r="C19" i="161"/>
  <c r="C18" i="161"/>
  <c r="M44" i="164" l="1"/>
  <c r="K44" i="164"/>
  <c r="C29" i="164"/>
  <c r="O24" i="164"/>
  <c r="O22" i="164"/>
  <c r="O19" i="164"/>
  <c r="O25" i="164"/>
  <c r="O20" i="164"/>
  <c r="M29" i="164"/>
  <c r="K29" i="164"/>
  <c r="I29" i="164"/>
  <c r="O29" i="164" l="1"/>
  <c r="O26" i="82" l="1"/>
  <c r="G16" i="82"/>
  <c r="G32" i="82"/>
  <c r="I18" i="163" l="1"/>
  <c r="I19" i="163"/>
  <c r="A34" i="163"/>
  <c r="A35" i="163" s="1"/>
  <c r="A19" i="163"/>
  <c r="I20" i="163"/>
  <c r="I21" i="163"/>
  <c r="I22" i="163"/>
  <c r="I23" i="163"/>
  <c r="I24" i="163"/>
  <c r="I25" i="163"/>
  <c r="I26" i="163"/>
  <c r="I27" i="163"/>
  <c r="M20" i="163"/>
  <c r="M36" i="163"/>
  <c r="M37" i="163"/>
  <c r="M23" i="163"/>
  <c r="M27" i="163"/>
  <c r="M33" i="163"/>
  <c r="K18" i="163"/>
  <c r="K20" i="163"/>
  <c r="K21" i="163"/>
  <c r="K37" i="163"/>
  <c r="K38" i="163"/>
  <c r="K24" i="163"/>
  <c r="K40" i="163"/>
  <c r="K41" i="163"/>
  <c r="K42" i="163"/>
  <c r="A19" i="161"/>
  <c r="A20" i="161" s="1"/>
  <c r="A21" i="161" s="1"/>
  <c r="A22" i="161" s="1"/>
  <c r="A23" i="161" s="1"/>
  <c r="A24" i="161" s="1"/>
  <c r="A25" i="161" s="1"/>
  <c r="A26" i="161" s="1"/>
  <c r="A27" i="161" s="1"/>
  <c r="G18" i="161"/>
  <c r="S18" i="161" s="1"/>
  <c r="G19" i="161"/>
  <c r="C19" i="163" s="1"/>
  <c r="G20" i="161"/>
  <c r="S20" i="161" s="1"/>
  <c r="G21" i="161"/>
  <c r="S21" i="161" s="1"/>
  <c r="G22" i="161"/>
  <c r="S22" i="161" s="1"/>
  <c r="G23" i="161"/>
  <c r="S23" i="161" s="1"/>
  <c r="G24" i="161"/>
  <c r="S24" i="161" s="1"/>
  <c r="G25" i="161"/>
  <c r="S25" i="161" s="1"/>
  <c r="G26" i="161"/>
  <c r="S26" i="161" s="1"/>
  <c r="G27" i="161"/>
  <c r="S27" i="161" s="1"/>
  <c r="C29" i="161"/>
  <c r="E29" i="161"/>
  <c r="M29" i="161"/>
  <c r="A34" i="161"/>
  <c r="A35" i="161" s="1"/>
  <c r="A36" i="161" s="1"/>
  <c r="A37" i="161" s="1"/>
  <c r="A38" i="161" s="1"/>
  <c r="A39" i="161" s="1"/>
  <c r="A40" i="161" s="1"/>
  <c r="A41" i="161" s="1"/>
  <c r="A42" i="161" s="1"/>
  <c r="O19" i="163" l="1"/>
  <c r="C23" i="163"/>
  <c r="O23" i="163" s="1"/>
  <c r="C20" i="163"/>
  <c r="O20" i="163" s="1"/>
  <c r="C18" i="163"/>
  <c r="O18" i="163" s="1"/>
  <c r="C27" i="163"/>
  <c r="O27" i="163" s="1"/>
  <c r="C22" i="163"/>
  <c r="O22" i="163" s="1"/>
  <c r="C25" i="163"/>
  <c r="O25" i="163" s="1"/>
  <c r="S19" i="161"/>
  <c r="S29" i="161" s="1"/>
  <c r="O29" i="161"/>
  <c r="M34" i="163"/>
  <c r="M41" i="163"/>
  <c r="K36" i="163"/>
  <c r="M35" i="163"/>
  <c r="K27" i="163"/>
  <c r="K23" i="163"/>
  <c r="K35" i="163"/>
  <c r="K34" i="163"/>
  <c r="M26" i="163"/>
  <c r="M22" i="163"/>
  <c r="K33" i="163"/>
  <c r="K26" i="163"/>
  <c r="K22" i="163"/>
  <c r="M18" i="163"/>
  <c r="Q29" i="161"/>
  <c r="M42" i="163"/>
  <c r="M25" i="163"/>
  <c r="M21" i="163"/>
  <c r="K25" i="163"/>
  <c r="M24" i="163"/>
  <c r="K39" i="163"/>
  <c r="M38" i="163"/>
  <c r="M19" i="163"/>
  <c r="K19" i="163"/>
  <c r="A20" i="163"/>
  <c r="A21" i="163" s="1"/>
  <c r="A22" i="163" s="1"/>
  <c r="A23" i="163" s="1"/>
  <c r="A24" i="163" s="1"/>
  <c r="A25" i="163" s="1"/>
  <c r="A26" i="163" s="1"/>
  <c r="A27" i="163" s="1"/>
  <c r="A36" i="163"/>
  <c r="A37" i="163" s="1"/>
  <c r="A38" i="163" s="1"/>
  <c r="A39" i="163" s="1"/>
  <c r="A40" i="163" s="1"/>
  <c r="A41" i="163" s="1"/>
  <c r="A42" i="163" s="1"/>
  <c r="C26" i="163"/>
  <c r="O26" i="163" s="1"/>
  <c r="I29" i="163"/>
  <c r="C21" i="163"/>
  <c r="O21" i="163" s="1"/>
  <c r="C24" i="163"/>
  <c r="O24" i="163" s="1"/>
  <c r="G29" i="161"/>
  <c r="O44" i="161" l="1"/>
  <c r="K44" i="163"/>
  <c r="K29" i="163"/>
  <c r="Q44" i="161"/>
  <c r="M39" i="163"/>
  <c r="M40" i="163"/>
  <c r="M29" i="163"/>
  <c r="C29" i="163"/>
  <c r="O29" i="163"/>
  <c r="M44" i="163" l="1"/>
  <c r="C37" i="83"/>
  <c r="O4" i="109" l="1"/>
  <c r="Q4" i="116"/>
  <c r="AG4" i="116" s="1"/>
  <c r="M33" i="95"/>
  <c r="M34" i="95"/>
  <c r="M35" i="95"/>
  <c r="M36" i="95"/>
  <c r="M37" i="95"/>
  <c r="M38" i="95"/>
  <c r="M39" i="95"/>
  <c r="M32" i="95"/>
  <c r="M31" i="95"/>
  <c r="K33" i="95"/>
  <c r="K34" i="95"/>
  <c r="K35" i="95"/>
  <c r="K36" i="95"/>
  <c r="K37" i="95"/>
  <c r="K38" i="95"/>
  <c r="K39" i="95"/>
  <c r="K32" i="95"/>
  <c r="K31" i="95"/>
  <c r="A31" i="95"/>
  <c r="K17" i="95"/>
  <c r="M17" i="95"/>
  <c r="M19" i="95"/>
  <c r="M20" i="95"/>
  <c r="M21" i="95"/>
  <c r="M22" i="95"/>
  <c r="M23" i="95"/>
  <c r="M24" i="95"/>
  <c r="M25" i="95"/>
  <c r="M18" i="95"/>
  <c r="K19" i="95"/>
  <c r="K20" i="95"/>
  <c r="K21" i="95"/>
  <c r="K22" i="95"/>
  <c r="K23" i="95"/>
  <c r="K24" i="95"/>
  <c r="K25" i="95"/>
  <c r="K18" i="95"/>
  <c r="I19" i="95"/>
  <c r="I20" i="95"/>
  <c r="I21" i="95"/>
  <c r="I22" i="95"/>
  <c r="I23" i="95"/>
  <c r="I24" i="95"/>
  <c r="I25" i="95"/>
  <c r="I17" i="95"/>
  <c r="I18" i="95"/>
  <c r="AQ62" i="91" l="1"/>
  <c r="A31" i="90"/>
  <c r="A18" i="90"/>
  <c r="A31" i="85" l="1"/>
  <c r="G25" i="85"/>
  <c r="S25" i="85" s="1"/>
  <c r="G24" i="85" l="1"/>
  <c r="S24" i="85" s="1"/>
  <c r="BK116" i="91" l="1"/>
  <c r="BK117" i="91" s="1"/>
  <c r="BK118" i="91" s="1"/>
  <c r="BK119" i="91" s="1"/>
  <c r="BK120" i="91" s="1"/>
  <c r="BK121" i="91" s="1"/>
  <c r="BK122" i="91" s="1"/>
  <c r="BK123" i="91" s="1"/>
  <c r="BI123" i="91" l="1"/>
  <c r="BI122" i="91"/>
  <c r="BI117" i="91"/>
  <c r="BH117" i="91"/>
  <c r="BI116" i="91"/>
  <c r="BH116" i="91"/>
  <c r="BI115" i="91"/>
  <c r="BH115" i="91"/>
  <c r="BK99" i="91"/>
  <c r="BK100" i="91" s="1"/>
  <c r="BK101" i="91" s="1"/>
  <c r="BK102" i="91" s="1"/>
  <c r="BK103" i="91" s="1"/>
  <c r="BK104" i="91" s="1"/>
  <c r="BK105" i="91" s="1"/>
  <c r="BK106" i="91" s="1"/>
  <c r="BL105" i="91"/>
  <c r="BM101" i="91"/>
  <c r="BM100" i="91"/>
  <c r="BM99" i="91"/>
  <c r="BM98" i="91"/>
  <c r="BM83" i="91"/>
  <c r="BM82" i="91"/>
  <c r="BM81" i="91"/>
  <c r="BK82" i="91"/>
  <c r="BK83" i="91" s="1"/>
  <c r="BK84" i="91" s="1"/>
  <c r="BK85" i="91" s="1"/>
  <c r="BK86" i="91" s="1"/>
  <c r="BK87" i="91" s="1"/>
  <c r="BK88" i="91" s="1"/>
  <c r="BK89" i="91" s="1"/>
  <c r="BG82" i="91"/>
  <c r="BG83" i="91" s="1"/>
  <c r="BG84" i="91" s="1"/>
  <c r="BG85" i="91" s="1"/>
  <c r="BG86" i="91" s="1"/>
  <c r="BG87" i="91" s="1"/>
  <c r="BG88" i="91" s="1"/>
  <c r="BG89" i="91" s="1"/>
  <c r="BE118" i="91"/>
  <c r="BE117" i="91"/>
  <c r="BM117" i="91" s="1"/>
  <c r="BE116" i="91"/>
  <c r="BE115" i="91"/>
  <c r="BM115" i="91" s="1"/>
  <c r="BG117" i="91"/>
  <c r="BG118" i="91" s="1"/>
  <c r="BG119" i="91" s="1"/>
  <c r="BG120" i="91" s="1"/>
  <c r="BG121" i="91" s="1"/>
  <c r="BG122" i="91" s="1"/>
  <c r="BG123" i="91" s="1"/>
  <c r="BG116" i="91"/>
  <c r="BC116" i="91"/>
  <c r="BC117" i="91" s="1"/>
  <c r="BC118" i="91" s="1"/>
  <c r="BC119" i="91" s="1"/>
  <c r="BC120" i="91" s="1"/>
  <c r="BC121" i="91" s="1"/>
  <c r="BC122" i="91" s="1"/>
  <c r="BC123" i="91" s="1"/>
  <c r="BJ83" i="91"/>
  <c r="BJ82" i="91"/>
  <c r="BJ81" i="91"/>
  <c r="BH89" i="91"/>
  <c r="BJ106" i="91"/>
  <c r="BJ105" i="91"/>
  <c r="BJ100" i="91"/>
  <c r="BJ99" i="91"/>
  <c r="BJ98" i="91"/>
  <c r="BG99" i="91"/>
  <c r="BG100" i="91" s="1"/>
  <c r="BG101" i="91" s="1"/>
  <c r="BG102" i="91" s="1"/>
  <c r="BG103" i="91" s="1"/>
  <c r="BG104" i="91" s="1"/>
  <c r="BG105" i="91" s="1"/>
  <c r="BG106" i="91" s="1"/>
  <c r="BJ101" i="91"/>
  <c r="BL98" i="91"/>
  <c r="BE106" i="91"/>
  <c r="BM106" i="91" s="1"/>
  <c r="BC99" i="91"/>
  <c r="BC100" i="91" s="1"/>
  <c r="BC101" i="91" s="1"/>
  <c r="BC102" i="91" s="1"/>
  <c r="BC103" i="91" s="1"/>
  <c r="BC104" i="91" s="1"/>
  <c r="BC105" i="91" s="1"/>
  <c r="BC106" i="91" s="1"/>
  <c r="BC82" i="91"/>
  <c r="BC83" i="91" s="1"/>
  <c r="BC84" i="91" s="1"/>
  <c r="BC85" i="91" s="1"/>
  <c r="BC86" i="91" s="1"/>
  <c r="BC87" i="91" s="1"/>
  <c r="BC88" i="91" s="1"/>
  <c r="BC89" i="91" s="1"/>
  <c r="BJ115" i="91" l="1"/>
  <c r="BJ116" i="91"/>
  <c r="BM116" i="91"/>
  <c r="BL102" i="91"/>
  <c r="BJ117" i="91"/>
  <c r="BJ89" i="91"/>
  <c r="BJ123" i="91" s="1"/>
  <c r="BH123" i="91"/>
  <c r="BJ102" i="91"/>
  <c r="BJ103" i="91"/>
  <c r="BJ104" i="91"/>
  <c r="BM102" i="91"/>
  <c r="BL104" i="91"/>
  <c r="BL103" i="91"/>
  <c r="BM103" i="91"/>
  <c r="BF100" i="91"/>
  <c r="BN100" i="91" s="1"/>
  <c r="BF101" i="91"/>
  <c r="BD109" i="91"/>
  <c r="BI109" i="91"/>
  <c r="BL100" i="91"/>
  <c r="BM104" i="91"/>
  <c r="BL101" i="91"/>
  <c r="BF102" i="91"/>
  <c r="BH109" i="91"/>
  <c r="BM105" i="91"/>
  <c r="BF103" i="91"/>
  <c r="BF104" i="91"/>
  <c r="BL106" i="91"/>
  <c r="BF105" i="91"/>
  <c r="BF106" i="91"/>
  <c r="BL99" i="91"/>
  <c r="BE109" i="91"/>
  <c r="BF98" i="91"/>
  <c r="BF99" i="91"/>
  <c r="BJ109" i="91" l="1"/>
  <c r="BM109" i="91"/>
  <c r="BN101" i="91"/>
  <c r="BL109" i="91"/>
  <c r="BN99" i="91"/>
  <c r="BN105" i="91"/>
  <c r="BN103" i="91"/>
  <c r="BN106" i="91"/>
  <c r="BN102" i="91"/>
  <c r="BN104" i="91"/>
  <c r="BN98" i="91"/>
  <c r="BF109" i="91"/>
  <c r="BN109" i="91" l="1"/>
  <c r="D27" i="160"/>
  <c r="M21" i="160"/>
  <c r="S21" i="160"/>
  <c r="D17" i="160"/>
  <c r="C17" i="31" l="1"/>
  <c r="C18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33" i="31"/>
  <c r="C34" i="31"/>
  <c r="C35" i="31"/>
  <c r="E17" i="31"/>
  <c r="E18" i="31"/>
  <c r="E19" i="31"/>
  <c r="E20" i="31"/>
  <c r="B93" i="146"/>
  <c r="A13" i="159"/>
  <c r="A14" i="159" s="1"/>
  <c r="A15" i="159" s="1"/>
  <c r="A16" i="159" s="1"/>
  <c r="A17" i="159" s="1"/>
  <c r="A18" i="159" s="1"/>
  <c r="A19" i="159" s="1"/>
  <c r="A20" i="159" s="1"/>
  <c r="A21" i="159" s="1"/>
  <c r="A22" i="159" s="1"/>
  <c r="A23" i="159" s="1"/>
  <c r="A24" i="159" s="1"/>
  <c r="A25" i="159" s="1"/>
  <c r="A26" i="159" s="1"/>
  <c r="A27" i="159" s="1"/>
  <c r="A28" i="159" s="1"/>
  <c r="A29" i="159" s="1"/>
  <c r="A30" i="159" s="1"/>
  <c r="A31" i="159" s="1"/>
  <c r="A32" i="159" s="1"/>
  <c r="A33" i="159" s="1"/>
  <c r="A34" i="159" s="1"/>
  <c r="A35" i="159" s="1"/>
  <c r="A36" i="159" s="1"/>
  <c r="A37" i="159" s="1"/>
  <c r="A38" i="159" s="1"/>
  <c r="A39" i="159" s="1"/>
  <c r="A40" i="159" s="1"/>
  <c r="A13" i="152"/>
  <c r="A13" i="150"/>
  <c r="A13" i="149"/>
  <c r="A13" i="148"/>
  <c r="A13" i="146"/>
  <c r="A13" i="145"/>
  <c r="A7" i="159"/>
  <c r="A7" i="152"/>
  <c r="A7" i="150"/>
  <c r="A7" i="149"/>
  <c r="A7" i="148"/>
  <c r="A7" i="147"/>
  <c r="A7" i="146"/>
  <c r="A7" i="145"/>
  <c r="P108" i="159"/>
  <c r="O108" i="159" s="1"/>
  <c r="N108" i="159" s="1"/>
  <c r="M108" i="159" s="1"/>
  <c r="L108" i="159" s="1"/>
  <c r="K108" i="159" s="1"/>
  <c r="J108" i="159" s="1"/>
  <c r="I108" i="159" s="1"/>
  <c r="H108" i="159" s="1"/>
  <c r="G108" i="159" s="1"/>
  <c r="F108" i="159" s="1"/>
  <c r="E108" i="159" s="1"/>
  <c r="D108" i="159" s="1"/>
  <c r="C108" i="159" s="1"/>
  <c r="B108" i="159" s="1"/>
  <c r="B93" i="159"/>
  <c r="D98" i="159"/>
  <c r="C87" i="159"/>
  <c r="E100" i="159"/>
  <c r="D86" i="159"/>
  <c r="C86" i="159"/>
  <c r="E85" i="159"/>
  <c r="D85" i="159"/>
  <c r="C85" i="159"/>
  <c r="J84" i="159"/>
  <c r="I84" i="159"/>
  <c r="H84" i="159"/>
  <c r="F84" i="159"/>
  <c r="E84" i="159"/>
  <c r="D84" i="159"/>
  <c r="C84" i="159"/>
  <c r="K83" i="159"/>
  <c r="J83" i="159"/>
  <c r="I83" i="159"/>
  <c r="H83" i="159"/>
  <c r="G83" i="159"/>
  <c r="F83" i="159"/>
  <c r="E83" i="159"/>
  <c r="D83" i="159"/>
  <c r="L82" i="159"/>
  <c r="K82" i="159"/>
  <c r="J82" i="159"/>
  <c r="I82" i="159"/>
  <c r="H82" i="159"/>
  <c r="G82" i="159"/>
  <c r="F82" i="159"/>
  <c r="E82" i="159"/>
  <c r="M81" i="159"/>
  <c r="L81" i="159"/>
  <c r="K81" i="159"/>
  <c r="J81" i="159"/>
  <c r="I81" i="159"/>
  <c r="H81" i="159"/>
  <c r="G81" i="159"/>
  <c r="F81" i="159"/>
  <c r="N80" i="159"/>
  <c r="M80" i="159"/>
  <c r="L80" i="159"/>
  <c r="K80" i="159"/>
  <c r="J80" i="159"/>
  <c r="I80" i="159"/>
  <c r="H80" i="159"/>
  <c r="G80" i="159"/>
  <c r="O79" i="159"/>
  <c r="N79" i="159"/>
  <c r="M79" i="159"/>
  <c r="L79" i="159"/>
  <c r="K79" i="159"/>
  <c r="J79" i="159"/>
  <c r="I79" i="159"/>
  <c r="H79" i="159"/>
  <c r="Q78" i="159"/>
  <c r="P78" i="159"/>
  <c r="O78" i="159"/>
  <c r="N78" i="159"/>
  <c r="M78" i="159"/>
  <c r="L78" i="159"/>
  <c r="K78" i="159"/>
  <c r="J78" i="159"/>
  <c r="I78" i="159"/>
  <c r="Q77" i="159"/>
  <c r="P77" i="159"/>
  <c r="O77" i="159"/>
  <c r="N77" i="159"/>
  <c r="M77" i="159"/>
  <c r="L77" i="159"/>
  <c r="K77" i="159"/>
  <c r="J77" i="159"/>
  <c r="Q76" i="159"/>
  <c r="P76" i="159"/>
  <c r="O76" i="159"/>
  <c r="N76" i="159"/>
  <c r="M76" i="159"/>
  <c r="L76" i="159"/>
  <c r="K76" i="159"/>
  <c r="Q75" i="159"/>
  <c r="P75" i="159"/>
  <c r="O75" i="159"/>
  <c r="N75" i="159"/>
  <c r="M75" i="159"/>
  <c r="L75" i="159"/>
  <c r="Q74" i="159"/>
  <c r="P74" i="159"/>
  <c r="O74" i="159"/>
  <c r="N74" i="159"/>
  <c r="M74" i="159"/>
  <c r="Q73" i="159"/>
  <c r="P73" i="159"/>
  <c r="O73" i="159"/>
  <c r="N73" i="159"/>
  <c r="Q72" i="159"/>
  <c r="P72" i="159"/>
  <c r="O72" i="159"/>
  <c r="Q71" i="159"/>
  <c r="P71" i="159"/>
  <c r="Q70" i="159"/>
  <c r="M102" i="159" l="1"/>
  <c r="A41" i="159"/>
  <c r="B85" i="159"/>
  <c r="G20" i="31"/>
  <c r="G18" i="31"/>
  <c r="F100" i="159"/>
  <c r="J98" i="159"/>
  <c r="I98" i="159"/>
  <c r="K102" i="159"/>
  <c r="M100" i="159"/>
  <c r="E98" i="159"/>
  <c r="L100" i="159"/>
  <c r="O98" i="159"/>
  <c r="K100" i="159"/>
  <c r="O102" i="159"/>
  <c r="K98" i="159"/>
  <c r="G100" i="159"/>
  <c r="D100" i="159"/>
  <c r="F98" i="159"/>
  <c r="G102" i="159"/>
  <c r="I100" i="159"/>
  <c r="D102" i="159"/>
  <c r="P102" i="159"/>
  <c r="P113" i="159" s="1"/>
  <c r="N100" i="159"/>
  <c r="N102" i="159"/>
  <c r="O100" i="159"/>
  <c r="G98" i="159"/>
  <c r="H98" i="159"/>
  <c r="C100" i="159"/>
  <c r="P100" i="159"/>
  <c r="P98" i="159"/>
  <c r="N98" i="159"/>
  <c r="J100" i="159"/>
  <c r="H102" i="159"/>
  <c r="F102" i="159"/>
  <c r="M98" i="159"/>
  <c r="E102" i="159"/>
  <c r="L98" i="159"/>
  <c r="J102" i="159"/>
  <c r="H100" i="159"/>
  <c r="C102" i="159"/>
  <c r="L102" i="159"/>
  <c r="I102" i="159"/>
  <c r="G19" i="31"/>
  <c r="G17" i="31"/>
  <c r="A57" i="159"/>
  <c r="A58" i="159" s="1"/>
  <c r="A59" i="159" s="1"/>
  <c r="A60" i="159" s="1"/>
  <c r="A61" i="159" s="1"/>
  <c r="A62" i="159" s="1"/>
  <c r="A63" i="159" s="1"/>
  <c r="A64" i="159" s="1"/>
  <c r="A65" i="159" s="1"/>
  <c r="A66" i="159" s="1"/>
  <c r="A67" i="159" s="1"/>
  <c r="A68" i="159" s="1"/>
  <c r="A69" i="159" s="1"/>
  <c r="A70" i="159" s="1"/>
  <c r="A71" i="159" s="1"/>
  <c r="A72" i="159" s="1"/>
  <c r="A73" i="159" s="1"/>
  <c r="A74" i="159" s="1"/>
  <c r="A75" i="159" s="1"/>
  <c r="A76" i="159" s="1"/>
  <c r="A77" i="159" s="1"/>
  <c r="A78" i="159" s="1"/>
  <c r="A79" i="159" s="1"/>
  <c r="A80" i="159" s="1"/>
  <c r="A81" i="159" s="1"/>
  <c r="A82" i="159" s="1"/>
  <c r="A83" i="159" s="1"/>
  <c r="A84" i="159" s="1"/>
  <c r="A85" i="159" s="1"/>
  <c r="A86" i="159" s="1"/>
  <c r="A87" i="159" s="1"/>
  <c r="A88" i="159" s="1"/>
  <c r="A89" i="159" s="1"/>
  <c r="A90" i="159" s="1"/>
  <c r="A91" i="159" s="1"/>
  <c r="A92" i="159" s="1"/>
  <c r="A93" i="159" s="1"/>
  <c r="A94" i="159" s="1"/>
  <c r="A42" i="159" l="1"/>
  <c r="B86" i="159"/>
  <c r="O113" i="159"/>
  <c r="N113" i="159" s="1"/>
  <c r="M113" i="159" s="1"/>
  <c r="L113" i="159" s="1"/>
  <c r="K113" i="159" s="1"/>
  <c r="J113" i="159" s="1"/>
  <c r="I113" i="159" s="1"/>
  <c r="H113" i="159" s="1"/>
  <c r="G113" i="159" s="1"/>
  <c r="F113" i="159" s="1"/>
  <c r="E113" i="159" s="1"/>
  <c r="D113" i="159" s="1"/>
  <c r="C113" i="159" s="1"/>
  <c r="R107" i="152"/>
  <c r="Q107" i="152"/>
  <c r="Q108" i="152" s="1"/>
  <c r="P107" i="152"/>
  <c r="O107" i="152"/>
  <c r="N107" i="152"/>
  <c r="M107" i="152"/>
  <c r="L107" i="152"/>
  <c r="K107" i="152"/>
  <c r="J107" i="152"/>
  <c r="I107" i="152"/>
  <c r="H107" i="152"/>
  <c r="G107" i="152"/>
  <c r="F107" i="152"/>
  <c r="E107" i="152"/>
  <c r="D107" i="152"/>
  <c r="C107" i="152"/>
  <c r="B107" i="152"/>
  <c r="C91" i="152"/>
  <c r="B91" i="152"/>
  <c r="B98" i="152" s="1"/>
  <c r="D90" i="152"/>
  <c r="C90" i="152"/>
  <c r="B90" i="152"/>
  <c r="E89" i="152"/>
  <c r="D89" i="152"/>
  <c r="C89" i="152"/>
  <c r="B89" i="152"/>
  <c r="F88" i="152"/>
  <c r="E88" i="152"/>
  <c r="D88" i="152"/>
  <c r="C88" i="152"/>
  <c r="B88" i="152"/>
  <c r="G87" i="152"/>
  <c r="F87" i="152"/>
  <c r="E87" i="152"/>
  <c r="D87" i="152"/>
  <c r="C87" i="152"/>
  <c r="B87" i="152"/>
  <c r="H86" i="152"/>
  <c r="G86" i="152"/>
  <c r="F86" i="152"/>
  <c r="E86" i="152"/>
  <c r="D86" i="152"/>
  <c r="C86" i="152"/>
  <c r="B86" i="152"/>
  <c r="I85" i="152"/>
  <c r="H85" i="152"/>
  <c r="G85" i="152"/>
  <c r="F85" i="152"/>
  <c r="E85" i="152"/>
  <c r="D85" i="152"/>
  <c r="C85" i="152"/>
  <c r="B85" i="152"/>
  <c r="J84" i="152"/>
  <c r="I84" i="152"/>
  <c r="H84" i="152"/>
  <c r="G84" i="152"/>
  <c r="F84" i="152"/>
  <c r="E84" i="152"/>
  <c r="D84" i="152"/>
  <c r="C84" i="152"/>
  <c r="K83" i="152"/>
  <c r="J83" i="152"/>
  <c r="I83" i="152"/>
  <c r="H83" i="152"/>
  <c r="G83" i="152"/>
  <c r="F83" i="152"/>
  <c r="E83" i="152"/>
  <c r="D83" i="152"/>
  <c r="L82" i="152"/>
  <c r="K82" i="152"/>
  <c r="J82" i="152"/>
  <c r="I82" i="152"/>
  <c r="H82" i="152"/>
  <c r="G82" i="152"/>
  <c r="F82" i="152"/>
  <c r="E82" i="152"/>
  <c r="M81" i="152"/>
  <c r="L81" i="152"/>
  <c r="K81" i="152"/>
  <c r="J81" i="152"/>
  <c r="I81" i="152"/>
  <c r="H81" i="152"/>
  <c r="G81" i="152"/>
  <c r="F81" i="152"/>
  <c r="N80" i="152"/>
  <c r="M80" i="152"/>
  <c r="L80" i="152"/>
  <c r="K80" i="152"/>
  <c r="J80" i="152"/>
  <c r="I80" i="152"/>
  <c r="H80" i="152"/>
  <c r="G80" i="152"/>
  <c r="O79" i="152"/>
  <c r="N79" i="152"/>
  <c r="M79" i="152"/>
  <c r="L79" i="152"/>
  <c r="K79" i="152"/>
  <c r="J79" i="152"/>
  <c r="I79" i="152"/>
  <c r="H79" i="152"/>
  <c r="P78" i="152"/>
  <c r="O78" i="152"/>
  <c r="N78" i="152"/>
  <c r="M78" i="152"/>
  <c r="L78" i="152"/>
  <c r="K78" i="152"/>
  <c r="J78" i="152"/>
  <c r="I78" i="152"/>
  <c r="Q77" i="152"/>
  <c r="P77" i="152"/>
  <c r="O77" i="152"/>
  <c r="N77" i="152"/>
  <c r="M77" i="152"/>
  <c r="L77" i="152"/>
  <c r="K77" i="152"/>
  <c r="J77" i="152"/>
  <c r="R76" i="152"/>
  <c r="Q76" i="152"/>
  <c r="P76" i="152"/>
  <c r="O76" i="152"/>
  <c r="N76" i="152"/>
  <c r="M76" i="152"/>
  <c r="L76" i="152"/>
  <c r="K76" i="152"/>
  <c r="R75" i="152"/>
  <c r="Q75" i="152"/>
  <c r="P75" i="152"/>
  <c r="O75" i="152"/>
  <c r="N75" i="152"/>
  <c r="M75" i="152"/>
  <c r="L75" i="152"/>
  <c r="R74" i="152"/>
  <c r="Q74" i="152"/>
  <c r="P74" i="152"/>
  <c r="O74" i="152"/>
  <c r="N74" i="152"/>
  <c r="M74" i="152"/>
  <c r="R73" i="152"/>
  <c r="Q73" i="152"/>
  <c r="P73" i="152"/>
  <c r="O73" i="152"/>
  <c r="N73" i="152"/>
  <c r="R72" i="152"/>
  <c r="Q72" i="152"/>
  <c r="P72" i="152"/>
  <c r="O72" i="152"/>
  <c r="R71" i="152"/>
  <c r="Q71" i="152"/>
  <c r="P71" i="152"/>
  <c r="R70" i="152"/>
  <c r="Q70" i="152"/>
  <c r="R69" i="152"/>
  <c r="A14" i="152"/>
  <c r="A57" i="152"/>
  <c r="A58" i="152" s="1"/>
  <c r="A59" i="152" s="1"/>
  <c r="A60" i="152" s="1"/>
  <c r="A61" i="152" s="1"/>
  <c r="A62" i="152" s="1"/>
  <c r="A63" i="152" s="1"/>
  <c r="A64" i="152" s="1"/>
  <c r="A65" i="152" s="1"/>
  <c r="A66" i="152" s="1"/>
  <c r="A67" i="152" s="1"/>
  <c r="A68" i="152" s="1"/>
  <c r="A69" i="152" s="1"/>
  <c r="A70" i="152" s="1"/>
  <c r="A71" i="152" s="1"/>
  <c r="A72" i="152" s="1"/>
  <c r="A73" i="152" s="1"/>
  <c r="A74" i="152" s="1"/>
  <c r="A75" i="152" s="1"/>
  <c r="A76" i="152" s="1"/>
  <c r="A77" i="152" s="1"/>
  <c r="A78" i="152" s="1"/>
  <c r="A79" i="152" s="1"/>
  <c r="A80" i="152" s="1"/>
  <c r="A81" i="152" s="1"/>
  <c r="A82" i="152" s="1"/>
  <c r="A83" i="152" s="1"/>
  <c r="A84" i="152" s="1"/>
  <c r="A85" i="152" s="1"/>
  <c r="A86" i="152" s="1"/>
  <c r="A87" i="152" s="1"/>
  <c r="A88" i="152" s="1"/>
  <c r="A89" i="152" s="1"/>
  <c r="A90" i="152" s="1"/>
  <c r="A91" i="152" s="1"/>
  <c r="A92" i="152" s="1"/>
  <c r="A93" i="152" s="1"/>
  <c r="A94" i="152" s="1"/>
  <c r="O65" i="150"/>
  <c r="O66" i="150" s="1"/>
  <c r="N65" i="150"/>
  <c r="M65" i="150"/>
  <c r="L65" i="150"/>
  <c r="K65" i="150"/>
  <c r="J65" i="150"/>
  <c r="I65" i="150"/>
  <c r="B65" i="150"/>
  <c r="B51" i="150"/>
  <c r="C50" i="150"/>
  <c r="B50" i="150"/>
  <c r="D49" i="150"/>
  <c r="C49" i="150"/>
  <c r="B49" i="150"/>
  <c r="E48" i="150"/>
  <c r="D48" i="150"/>
  <c r="C48" i="150"/>
  <c r="B48" i="150"/>
  <c r="F47" i="150"/>
  <c r="E47" i="150"/>
  <c r="D47" i="150"/>
  <c r="C47" i="150"/>
  <c r="B47" i="150"/>
  <c r="G46" i="150"/>
  <c r="F46" i="150"/>
  <c r="E46" i="150"/>
  <c r="D46" i="150"/>
  <c r="C46" i="150"/>
  <c r="H45" i="150"/>
  <c r="G45" i="150"/>
  <c r="F45" i="150"/>
  <c r="E45" i="150"/>
  <c r="D45" i="150"/>
  <c r="C45" i="150"/>
  <c r="B45" i="150"/>
  <c r="I44" i="150"/>
  <c r="H44" i="150"/>
  <c r="G44" i="150"/>
  <c r="F44" i="150"/>
  <c r="E44" i="150"/>
  <c r="D44" i="150"/>
  <c r="C44" i="150"/>
  <c r="B44" i="150"/>
  <c r="J43" i="150"/>
  <c r="I43" i="150"/>
  <c r="H43" i="150"/>
  <c r="G43" i="150"/>
  <c r="F43" i="150"/>
  <c r="E43" i="150"/>
  <c r="D43" i="150"/>
  <c r="C43" i="150"/>
  <c r="B43" i="150"/>
  <c r="K42" i="150"/>
  <c r="J42" i="150"/>
  <c r="I42" i="150"/>
  <c r="H42" i="150"/>
  <c r="G42" i="150"/>
  <c r="F42" i="150"/>
  <c r="E42" i="150"/>
  <c r="D42" i="150"/>
  <c r="C42" i="150"/>
  <c r="B42" i="150"/>
  <c r="L41" i="150"/>
  <c r="K41" i="150"/>
  <c r="J41" i="150"/>
  <c r="I41" i="150"/>
  <c r="H41" i="150"/>
  <c r="G41" i="150"/>
  <c r="F41" i="150"/>
  <c r="E41" i="150"/>
  <c r="D41" i="150"/>
  <c r="C41" i="150"/>
  <c r="M40" i="150"/>
  <c r="L40" i="150"/>
  <c r="K40" i="150"/>
  <c r="J40" i="150"/>
  <c r="I40" i="150"/>
  <c r="H40" i="150"/>
  <c r="G40" i="150"/>
  <c r="F40" i="150"/>
  <c r="E40" i="150"/>
  <c r="D40" i="150"/>
  <c r="N39" i="150"/>
  <c r="M39" i="150"/>
  <c r="L39" i="150"/>
  <c r="K39" i="150"/>
  <c r="J39" i="150"/>
  <c r="I39" i="150"/>
  <c r="H39" i="150"/>
  <c r="G39" i="150"/>
  <c r="F39" i="150"/>
  <c r="E39" i="150"/>
  <c r="O38" i="150"/>
  <c r="O56" i="150" s="1"/>
  <c r="O58" i="150" s="1"/>
  <c r="N38" i="150"/>
  <c r="M38" i="150"/>
  <c r="L38" i="150"/>
  <c r="K38" i="150"/>
  <c r="J38" i="150"/>
  <c r="I38" i="150"/>
  <c r="H38" i="150"/>
  <c r="G38" i="150"/>
  <c r="F38" i="150"/>
  <c r="O37" i="150"/>
  <c r="N37" i="150"/>
  <c r="M37" i="150"/>
  <c r="L37" i="150"/>
  <c r="K37" i="150"/>
  <c r="J37" i="150"/>
  <c r="I37" i="150"/>
  <c r="H37" i="150"/>
  <c r="G37" i="150"/>
  <c r="A37" i="150"/>
  <c r="A38" i="150" s="1"/>
  <c r="A39" i="150" s="1"/>
  <c r="A40" i="150" s="1"/>
  <c r="A41" i="150" s="1"/>
  <c r="A42" i="150" s="1"/>
  <c r="A43" i="150" s="1"/>
  <c r="A44" i="150" s="1"/>
  <c r="A45" i="150" s="1"/>
  <c r="A46" i="150" s="1"/>
  <c r="A47" i="150" s="1"/>
  <c r="A48" i="150" s="1"/>
  <c r="A49" i="150" s="1"/>
  <c r="A50" i="150" s="1"/>
  <c r="A51" i="150" s="1"/>
  <c r="A52" i="150" s="1"/>
  <c r="O36" i="150"/>
  <c r="N36" i="150"/>
  <c r="M36" i="150"/>
  <c r="L36" i="150"/>
  <c r="K36" i="150"/>
  <c r="J36" i="150"/>
  <c r="I36" i="150"/>
  <c r="H36" i="150"/>
  <c r="G36" i="150"/>
  <c r="A14" i="150"/>
  <c r="A15" i="150" s="1"/>
  <c r="A16" i="150" s="1"/>
  <c r="A17" i="150" s="1"/>
  <c r="A18" i="150" s="1"/>
  <c r="A19" i="150" s="1"/>
  <c r="A20" i="150" s="1"/>
  <c r="A21" i="150" s="1"/>
  <c r="A22" i="150" s="1"/>
  <c r="A23" i="150" s="1"/>
  <c r="A24" i="150" s="1"/>
  <c r="A25" i="150" s="1"/>
  <c r="A26" i="150" s="1"/>
  <c r="A27" i="150" s="1"/>
  <c r="A28" i="150" s="1"/>
  <c r="A29" i="150" s="1"/>
  <c r="O66" i="149"/>
  <c r="N66" i="149" s="1"/>
  <c r="M66" i="149" s="1"/>
  <c r="L66" i="149" s="1"/>
  <c r="O65" i="149"/>
  <c r="N65" i="149"/>
  <c r="M65" i="149"/>
  <c r="L65" i="149"/>
  <c r="K65" i="149"/>
  <c r="J65" i="149"/>
  <c r="D65" i="149"/>
  <c r="C65" i="149"/>
  <c r="B65" i="149"/>
  <c r="B51" i="149"/>
  <c r="C50" i="149"/>
  <c r="B50" i="149"/>
  <c r="D49" i="149"/>
  <c r="C49" i="149"/>
  <c r="B49" i="149"/>
  <c r="E48" i="149"/>
  <c r="D48" i="149"/>
  <c r="C48" i="149"/>
  <c r="B48" i="149"/>
  <c r="F47" i="149"/>
  <c r="E47" i="149"/>
  <c r="D47" i="149"/>
  <c r="C47" i="149"/>
  <c r="B47" i="149"/>
  <c r="G46" i="149"/>
  <c r="F46" i="149"/>
  <c r="E46" i="149"/>
  <c r="D46" i="149"/>
  <c r="C46" i="149"/>
  <c r="B46" i="149"/>
  <c r="H45" i="149"/>
  <c r="G45" i="149"/>
  <c r="F45" i="149"/>
  <c r="E45" i="149"/>
  <c r="D45" i="149"/>
  <c r="C45" i="149"/>
  <c r="B45" i="149"/>
  <c r="I44" i="149"/>
  <c r="H44" i="149"/>
  <c r="G44" i="149"/>
  <c r="F44" i="149"/>
  <c r="E44" i="149"/>
  <c r="D44" i="149"/>
  <c r="C44" i="149"/>
  <c r="B44" i="149"/>
  <c r="J43" i="149"/>
  <c r="I43" i="149"/>
  <c r="H43" i="149"/>
  <c r="G43" i="149"/>
  <c r="F43" i="149"/>
  <c r="E43" i="149"/>
  <c r="D43" i="149"/>
  <c r="C43" i="149"/>
  <c r="B43" i="149"/>
  <c r="K42" i="149"/>
  <c r="J42" i="149"/>
  <c r="I42" i="149"/>
  <c r="H42" i="149"/>
  <c r="G42" i="149"/>
  <c r="F42" i="149"/>
  <c r="E42" i="149"/>
  <c r="D42" i="149"/>
  <c r="C42" i="149"/>
  <c r="B42" i="149"/>
  <c r="L41" i="149"/>
  <c r="K41" i="149"/>
  <c r="J41" i="149"/>
  <c r="I41" i="149"/>
  <c r="H41" i="149"/>
  <c r="G41" i="149"/>
  <c r="F41" i="149"/>
  <c r="E41" i="149"/>
  <c r="D41" i="149"/>
  <c r="C41" i="149"/>
  <c r="M40" i="149"/>
  <c r="L40" i="149"/>
  <c r="K40" i="149"/>
  <c r="J40" i="149"/>
  <c r="I40" i="149"/>
  <c r="H40" i="149"/>
  <c r="G40" i="149"/>
  <c r="F40" i="149"/>
  <c r="E40" i="149"/>
  <c r="D40" i="149"/>
  <c r="N39" i="149"/>
  <c r="M39" i="149"/>
  <c r="L39" i="149"/>
  <c r="K39" i="149"/>
  <c r="J39" i="149"/>
  <c r="I39" i="149"/>
  <c r="H39" i="149"/>
  <c r="G39" i="149"/>
  <c r="F39" i="149"/>
  <c r="E39" i="149"/>
  <c r="O38" i="149"/>
  <c r="O56" i="149" s="1"/>
  <c r="O58" i="149" s="1"/>
  <c r="N38" i="149"/>
  <c r="M38" i="149"/>
  <c r="L38" i="149"/>
  <c r="K38" i="149"/>
  <c r="J38" i="149"/>
  <c r="I38" i="149"/>
  <c r="H38" i="149"/>
  <c r="G38" i="149"/>
  <c r="F38" i="149"/>
  <c r="O37" i="149"/>
  <c r="N37" i="149"/>
  <c r="M37" i="149"/>
  <c r="L37" i="149"/>
  <c r="K37" i="149"/>
  <c r="J37" i="149"/>
  <c r="I37" i="149"/>
  <c r="H37" i="149"/>
  <c r="G37" i="149"/>
  <c r="O36" i="149"/>
  <c r="N36" i="149"/>
  <c r="M36" i="149"/>
  <c r="L36" i="149"/>
  <c r="K36" i="149"/>
  <c r="J36" i="149"/>
  <c r="I36" i="149"/>
  <c r="H36" i="149"/>
  <c r="G36" i="149"/>
  <c r="A14" i="149"/>
  <c r="A15" i="149" s="1"/>
  <c r="A16" i="149" s="1"/>
  <c r="A17" i="149" s="1"/>
  <c r="A18" i="149" s="1"/>
  <c r="A19" i="149" s="1"/>
  <c r="A20" i="149" s="1"/>
  <c r="A21" i="149" s="1"/>
  <c r="A22" i="149" s="1"/>
  <c r="A23" i="149" s="1"/>
  <c r="A24" i="149" s="1"/>
  <c r="A25" i="149" s="1"/>
  <c r="A26" i="149" s="1"/>
  <c r="A27" i="149" s="1"/>
  <c r="A28" i="149" s="1"/>
  <c r="A29" i="149" s="1"/>
  <c r="A36" i="149"/>
  <c r="A37" i="149" s="1"/>
  <c r="A38" i="149" s="1"/>
  <c r="A39" i="149" s="1"/>
  <c r="A40" i="149" s="1"/>
  <c r="A41" i="149" s="1"/>
  <c r="A42" i="149" s="1"/>
  <c r="A43" i="149" s="1"/>
  <c r="A44" i="149" s="1"/>
  <c r="A45" i="149" s="1"/>
  <c r="A46" i="149" s="1"/>
  <c r="A47" i="149" s="1"/>
  <c r="A48" i="149" s="1"/>
  <c r="A49" i="149" s="1"/>
  <c r="A50" i="149" s="1"/>
  <c r="A51" i="149" s="1"/>
  <c r="A52" i="149" s="1"/>
  <c r="P65" i="148"/>
  <c r="P66" i="148" s="1"/>
  <c r="O66" i="148" s="1"/>
  <c r="O65" i="148"/>
  <c r="N65" i="148"/>
  <c r="M65" i="148"/>
  <c r="L65" i="148"/>
  <c r="K65" i="148"/>
  <c r="J65" i="148"/>
  <c r="I65" i="148"/>
  <c r="H65" i="148"/>
  <c r="G65" i="148"/>
  <c r="F65" i="148"/>
  <c r="E65" i="148"/>
  <c r="D65" i="148"/>
  <c r="C65" i="148"/>
  <c r="B65" i="148"/>
  <c r="B51" i="148"/>
  <c r="C50" i="148"/>
  <c r="B50" i="148"/>
  <c r="D49" i="148"/>
  <c r="C49" i="148"/>
  <c r="B49" i="148"/>
  <c r="E48" i="148"/>
  <c r="D48" i="148"/>
  <c r="C48" i="148"/>
  <c r="B48" i="148"/>
  <c r="F47" i="148"/>
  <c r="E47" i="148"/>
  <c r="D47" i="148"/>
  <c r="C47" i="148"/>
  <c r="B47" i="148"/>
  <c r="G46" i="148"/>
  <c r="F46" i="148"/>
  <c r="E46" i="148"/>
  <c r="D46" i="148"/>
  <c r="C46" i="148"/>
  <c r="B46" i="148"/>
  <c r="H45" i="148"/>
  <c r="G45" i="148"/>
  <c r="F45" i="148"/>
  <c r="E45" i="148"/>
  <c r="D45" i="148"/>
  <c r="C45" i="148"/>
  <c r="B45" i="148"/>
  <c r="I44" i="148"/>
  <c r="H44" i="148"/>
  <c r="G44" i="148"/>
  <c r="F44" i="148"/>
  <c r="E44" i="148"/>
  <c r="D44" i="148"/>
  <c r="C44" i="148"/>
  <c r="B44" i="148"/>
  <c r="J43" i="148"/>
  <c r="I43" i="148"/>
  <c r="H43" i="148"/>
  <c r="G43" i="148"/>
  <c r="F43" i="148"/>
  <c r="E43" i="148"/>
  <c r="D43" i="148"/>
  <c r="C43" i="148"/>
  <c r="B43" i="148"/>
  <c r="K42" i="148"/>
  <c r="J42" i="148"/>
  <c r="I42" i="148"/>
  <c r="H42" i="148"/>
  <c r="G42" i="148"/>
  <c r="F42" i="148"/>
  <c r="E42" i="148"/>
  <c r="D42" i="148"/>
  <c r="C42" i="148"/>
  <c r="B42" i="148"/>
  <c r="L41" i="148"/>
  <c r="K41" i="148"/>
  <c r="J41" i="148"/>
  <c r="I41" i="148"/>
  <c r="H41" i="148"/>
  <c r="G41" i="148"/>
  <c r="F41" i="148"/>
  <c r="E41" i="148"/>
  <c r="D41" i="148"/>
  <c r="C41" i="148"/>
  <c r="M40" i="148"/>
  <c r="L40" i="148"/>
  <c r="K40" i="148"/>
  <c r="J40" i="148"/>
  <c r="I40" i="148"/>
  <c r="H40" i="148"/>
  <c r="G40" i="148"/>
  <c r="F40" i="148"/>
  <c r="E40" i="148"/>
  <c r="D40" i="148"/>
  <c r="N39" i="148"/>
  <c r="M39" i="148"/>
  <c r="L39" i="148"/>
  <c r="K39" i="148"/>
  <c r="J39" i="148"/>
  <c r="I39" i="148"/>
  <c r="H39" i="148"/>
  <c r="G39" i="148"/>
  <c r="F39" i="148"/>
  <c r="E39" i="148"/>
  <c r="O38" i="148"/>
  <c r="O56" i="148" s="1"/>
  <c r="O58" i="148" s="1"/>
  <c r="N38" i="148"/>
  <c r="M38" i="148"/>
  <c r="L38" i="148"/>
  <c r="K38" i="148"/>
  <c r="J38" i="148"/>
  <c r="I38" i="148"/>
  <c r="H38" i="148"/>
  <c r="G38" i="148"/>
  <c r="F38" i="148"/>
  <c r="O37" i="148"/>
  <c r="N37" i="148"/>
  <c r="M37" i="148"/>
  <c r="L37" i="148"/>
  <c r="K37" i="148"/>
  <c r="J37" i="148"/>
  <c r="I37" i="148"/>
  <c r="H37" i="148"/>
  <c r="G37" i="148"/>
  <c r="O36" i="148"/>
  <c r="N36" i="148"/>
  <c r="M36" i="148"/>
  <c r="L36" i="148"/>
  <c r="K36" i="148"/>
  <c r="J36" i="148"/>
  <c r="I36" i="148"/>
  <c r="H36" i="148"/>
  <c r="G36" i="148"/>
  <c r="A36" i="148"/>
  <c r="A37" i="148" s="1"/>
  <c r="A38" i="148" s="1"/>
  <c r="A39" i="148" s="1"/>
  <c r="A40" i="148" s="1"/>
  <c r="A41" i="148" s="1"/>
  <c r="A42" i="148" s="1"/>
  <c r="A43" i="148" s="1"/>
  <c r="A44" i="148" s="1"/>
  <c r="A45" i="148" s="1"/>
  <c r="A46" i="148" s="1"/>
  <c r="A47" i="148" s="1"/>
  <c r="A48" i="148" s="1"/>
  <c r="A49" i="148" s="1"/>
  <c r="A50" i="148" s="1"/>
  <c r="A51" i="148" s="1"/>
  <c r="A52" i="148" s="1"/>
  <c r="A14" i="148"/>
  <c r="A15" i="148" s="1"/>
  <c r="A16" i="148" s="1"/>
  <c r="A17" i="148" s="1"/>
  <c r="A18" i="148" s="1"/>
  <c r="A19" i="148" s="1"/>
  <c r="A20" i="148" s="1"/>
  <c r="A21" i="148" s="1"/>
  <c r="A22" i="148" s="1"/>
  <c r="A23" i="148" s="1"/>
  <c r="A24" i="148" s="1"/>
  <c r="A25" i="148" s="1"/>
  <c r="A26" i="148" s="1"/>
  <c r="A27" i="148" s="1"/>
  <c r="A28" i="148" s="1"/>
  <c r="A29" i="148" s="1"/>
  <c r="O65" i="147"/>
  <c r="N65" i="147" s="1"/>
  <c r="M65" i="147" s="1"/>
  <c r="L65" i="147" s="1"/>
  <c r="K65" i="147" s="1"/>
  <c r="J65" i="147" s="1"/>
  <c r="I65" i="147" s="1"/>
  <c r="H65" i="147" s="1"/>
  <c r="G65" i="147" s="1"/>
  <c r="F65" i="147" s="1"/>
  <c r="E65" i="147" s="1"/>
  <c r="D65" i="147" s="1"/>
  <c r="B51" i="147"/>
  <c r="C50" i="147"/>
  <c r="B50" i="147"/>
  <c r="D49" i="147"/>
  <c r="C49" i="147"/>
  <c r="B49" i="147"/>
  <c r="E48" i="147"/>
  <c r="D48" i="147"/>
  <c r="C48" i="147"/>
  <c r="B48" i="147"/>
  <c r="F47" i="147"/>
  <c r="E47" i="147"/>
  <c r="D47" i="147"/>
  <c r="C47" i="147"/>
  <c r="B47" i="147"/>
  <c r="G46" i="147"/>
  <c r="F46" i="147"/>
  <c r="E46" i="147"/>
  <c r="D46" i="147"/>
  <c r="C46" i="147"/>
  <c r="B46" i="147"/>
  <c r="H45" i="147"/>
  <c r="G45" i="147"/>
  <c r="F45" i="147"/>
  <c r="E45" i="147"/>
  <c r="D45" i="147"/>
  <c r="C45" i="147"/>
  <c r="B45" i="147"/>
  <c r="I44" i="147"/>
  <c r="H44" i="147"/>
  <c r="G44" i="147"/>
  <c r="F44" i="147"/>
  <c r="E44" i="147"/>
  <c r="D44" i="147"/>
  <c r="C44" i="147"/>
  <c r="B44" i="147"/>
  <c r="J43" i="147"/>
  <c r="I43" i="147"/>
  <c r="H43" i="147"/>
  <c r="G43" i="147"/>
  <c r="F43" i="147"/>
  <c r="E43" i="147"/>
  <c r="D43" i="147"/>
  <c r="C43" i="147"/>
  <c r="B43" i="147"/>
  <c r="K42" i="147"/>
  <c r="J42" i="147"/>
  <c r="I42" i="147"/>
  <c r="H42" i="147"/>
  <c r="G42" i="147"/>
  <c r="F42" i="147"/>
  <c r="E42" i="147"/>
  <c r="D42" i="147"/>
  <c r="C42" i="147"/>
  <c r="B42" i="147"/>
  <c r="L41" i="147"/>
  <c r="K41" i="147"/>
  <c r="J41" i="147"/>
  <c r="I41" i="147"/>
  <c r="H41" i="147"/>
  <c r="G41" i="147"/>
  <c r="F41" i="147"/>
  <c r="E41" i="147"/>
  <c r="D41" i="147"/>
  <c r="C41" i="147"/>
  <c r="B41" i="147"/>
  <c r="M40" i="147"/>
  <c r="L40" i="147"/>
  <c r="K40" i="147"/>
  <c r="J40" i="147"/>
  <c r="I40" i="147"/>
  <c r="H40" i="147"/>
  <c r="G40" i="147"/>
  <c r="F40" i="147"/>
  <c r="E40" i="147"/>
  <c r="D40" i="147"/>
  <c r="C40" i="147"/>
  <c r="N39" i="147"/>
  <c r="M39" i="147"/>
  <c r="L39" i="147"/>
  <c r="K39" i="147"/>
  <c r="J39" i="147"/>
  <c r="I39" i="147"/>
  <c r="H39" i="147"/>
  <c r="G39" i="147"/>
  <c r="F39" i="147"/>
  <c r="E39" i="147"/>
  <c r="D39" i="147"/>
  <c r="O38" i="147"/>
  <c r="N38" i="147"/>
  <c r="M38" i="147"/>
  <c r="L38" i="147"/>
  <c r="K38" i="147"/>
  <c r="J38" i="147"/>
  <c r="I38" i="147"/>
  <c r="H38" i="147"/>
  <c r="G38" i="147"/>
  <c r="F38" i="147"/>
  <c r="E38" i="147"/>
  <c r="O37" i="147"/>
  <c r="N37" i="147"/>
  <c r="M37" i="147"/>
  <c r="L37" i="147"/>
  <c r="K37" i="147"/>
  <c r="J37" i="147"/>
  <c r="I37" i="147"/>
  <c r="H37" i="147"/>
  <c r="G37" i="147"/>
  <c r="F37" i="147"/>
  <c r="A37" i="147"/>
  <c r="A38" i="147" s="1"/>
  <c r="A39" i="147" s="1"/>
  <c r="A40" i="147" s="1"/>
  <c r="A41" i="147" s="1"/>
  <c r="A42" i="147" s="1"/>
  <c r="A43" i="147" s="1"/>
  <c r="A44" i="147" s="1"/>
  <c r="A45" i="147" s="1"/>
  <c r="A46" i="147" s="1"/>
  <c r="A47" i="147" s="1"/>
  <c r="A48" i="147" s="1"/>
  <c r="A49" i="147" s="1"/>
  <c r="A50" i="147" s="1"/>
  <c r="A51" i="147" s="1"/>
  <c r="A52" i="147" s="1"/>
  <c r="N36" i="147"/>
  <c r="M36" i="147"/>
  <c r="L36" i="147"/>
  <c r="K36" i="147"/>
  <c r="J36" i="147"/>
  <c r="I36" i="147"/>
  <c r="H36" i="147"/>
  <c r="G36" i="147"/>
  <c r="A36" i="147"/>
  <c r="A14" i="147"/>
  <c r="A15" i="147" s="1"/>
  <c r="A16" i="147" s="1"/>
  <c r="A17" i="147" s="1"/>
  <c r="A18" i="147" s="1"/>
  <c r="A19" i="147" s="1"/>
  <c r="A20" i="147" s="1"/>
  <c r="A21" i="147" s="1"/>
  <c r="A22" i="147" s="1"/>
  <c r="A23" i="147" s="1"/>
  <c r="A24" i="147" s="1"/>
  <c r="A25" i="147" s="1"/>
  <c r="A26" i="147" s="1"/>
  <c r="A27" i="147" s="1"/>
  <c r="A28" i="147" s="1"/>
  <c r="A29" i="147" s="1"/>
  <c r="R107" i="146"/>
  <c r="Q107" i="146"/>
  <c r="Q108" i="146" s="1"/>
  <c r="P107" i="146"/>
  <c r="O107" i="146"/>
  <c r="N107" i="146"/>
  <c r="M107" i="146"/>
  <c r="L107" i="146"/>
  <c r="K107" i="146"/>
  <c r="J107" i="146"/>
  <c r="I107" i="146"/>
  <c r="B107" i="146"/>
  <c r="C92" i="146"/>
  <c r="B92" i="146"/>
  <c r="D91" i="146"/>
  <c r="C91" i="146"/>
  <c r="B91" i="146"/>
  <c r="E90" i="146"/>
  <c r="D90" i="146"/>
  <c r="C90" i="146"/>
  <c r="B90" i="146"/>
  <c r="F89" i="146"/>
  <c r="E89" i="146"/>
  <c r="D89" i="146"/>
  <c r="C89" i="146"/>
  <c r="B89" i="146"/>
  <c r="G88" i="146"/>
  <c r="F88" i="146"/>
  <c r="E88" i="146"/>
  <c r="D88" i="146"/>
  <c r="C88" i="146"/>
  <c r="B88" i="146"/>
  <c r="H87" i="146"/>
  <c r="G87" i="146"/>
  <c r="F87" i="146"/>
  <c r="E87" i="146"/>
  <c r="D87" i="146"/>
  <c r="C87" i="146"/>
  <c r="B87" i="146"/>
  <c r="I86" i="146"/>
  <c r="H86" i="146"/>
  <c r="G86" i="146"/>
  <c r="F86" i="146"/>
  <c r="E86" i="146"/>
  <c r="D86" i="146"/>
  <c r="C86" i="146"/>
  <c r="B86" i="146"/>
  <c r="J85" i="146"/>
  <c r="I85" i="146"/>
  <c r="H85" i="146"/>
  <c r="G85" i="146"/>
  <c r="F85" i="146"/>
  <c r="E85" i="146"/>
  <c r="D85" i="146"/>
  <c r="C85" i="146"/>
  <c r="B85" i="146"/>
  <c r="K84" i="146"/>
  <c r="J84" i="146"/>
  <c r="I84" i="146"/>
  <c r="H84" i="146"/>
  <c r="G84" i="146"/>
  <c r="F84" i="146"/>
  <c r="E84" i="146"/>
  <c r="D84" i="146"/>
  <c r="C84" i="146"/>
  <c r="L83" i="146"/>
  <c r="K83" i="146"/>
  <c r="J83" i="146"/>
  <c r="I83" i="146"/>
  <c r="H83" i="146"/>
  <c r="G83" i="146"/>
  <c r="F83" i="146"/>
  <c r="E83" i="146"/>
  <c r="D83" i="146"/>
  <c r="M82" i="146"/>
  <c r="L82" i="146"/>
  <c r="K82" i="146"/>
  <c r="J82" i="146"/>
  <c r="I82" i="146"/>
  <c r="H82" i="146"/>
  <c r="G82" i="146"/>
  <c r="F82" i="146"/>
  <c r="E82" i="146"/>
  <c r="N81" i="146"/>
  <c r="M81" i="146"/>
  <c r="L81" i="146"/>
  <c r="K81" i="146"/>
  <c r="J81" i="146"/>
  <c r="I81" i="146"/>
  <c r="H81" i="146"/>
  <c r="G81" i="146"/>
  <c r="F81" i="146"/>
  <c r="O80" i="146"/>
  <c r="N80" i="146"/>
  <c r="M80" i="146"/>
  <c r="L80" i="146"/>
  <c r="K80" i="146"/>
  <c r="J80" i="146"/>
  <c r="I80" i="146"/>
  <c r="H80" i="146"/>
  <c r="G80" i="146"/>
  <c r="P79" i="146"/>
  <c r="O79" i="146"/>
  <c r="N79" i="146"/>
  <c r="M79" i="146"/>
  <c r="L79" i="146"/>
  <c r="K79" i="146"/>
  <c r="J79" i="146"/>
  <c r="I79" i="146"/>
  <c r="H79" i="146"/>
  <c r="Q78" i="146"/>
  <c r="P78" i="146"/>
  <c r="O78" i="146"/>
  <c r="N78" i="146"/>
  <c r="M78" i="146"/>
  <c r="L78" i="146"/>
  <c r="K78" i="146"/>
  <c r="J78" i="146"/>
  <c r="I78" i="146"/>
  <c r="R77" i="146"/>
  <c r="Q77" i="146"/>
  <c r="P77" i="146"/>
  <c r="O77" i="146"/>
  <c r="N77" i="146"/>
  <c r="M77" i="146"/>
  <c r="L77" i="146"/>
  <c r="K77" i="146"/>
  <c r="J77" i="146"/>
  <c r="R76" i="146"/>
  <c r="Q76" i="146"/>
  <c r="P76" i="146"/>
  <c r="O76" i="146"/>
  <c r="N76" i="146"/>
  <c r="M76" i="146"/>
  <c r="L76" i="146"/>
  <c r="K76" i="146"/>
  <c r="R75" i="146"/>
  <c r="Q75" i="146"/>
  <c r="P75" i="146"/>
  <c r="O75" i="146"/>
  <c r="N75" i="146"/>
  <c r="M75" i="146"/>
  <c r="L75" i="146"/>
  <c r="R74" i="146"/>
  <c r="Q74" i="146"/>
  <c r="P74" i="146"/>
  <c r="O74" i="146"/>
  <c r="N74" i="146"/>
  <c r="M74" i="146"/>
  <c r="R73" i="146"/>
  <c r="Q73" i="146"/>
  <c r="P73" i="146"/>
  <c r="O73" i="146"/>
  <c r="N73" i="146"/>
  <c r="R72" i="146"/>
  <c r="Q72" i="146"/>
  <c r="P72" i="146"/>
  <c r="O72" i="146"/>
  <c r="R71" i="146"/>
  <c r="Q71" i="146"/>
  <c r="P71" i="146"/>
  <c r="R70" i="146"/>
  <c r="Q70" i="146"/>
  <c r="R69" i="146"/>
  <c r="A14" i="146"/>
  <c r="A15" i="146" s="1"/>
  <c r="A16" i="146" s="1"/>
  <c r="A17" i="146" s="1"/>
  <c r="A18" i="146" s="1"/>
  <c r="A19" i="146" s="1"/>
  <c r="A20" i="146" s="1"/>
  <c r="A21" i="146" s="1"/>
  <c r="A22" i="146" s="1"/>
  <c r="A23" i="146" s="1"/>
  <c r="A24" i="146" s="1"/>
  <c r="A25" i="146" s="1"/>
  <c r="A26" i="146" s="1"/>
  <c r="A27" i="146" s="1"/>
  <c r="A28" i="146" s="1"/>
  <c r="A29" i="146" s="1"/>
  <c r="A30" i="146" s="1"/>
  <c r="A31" i="146" s="1"/>
  <c r="A32" i="146" s="1"/>
  <c r="A33" i="146" s="1"/>
  <c r="A34" i="146" s="1"/>
  <c r="A35" i="146" s="1"/>
  <c r="A36" i="146" s="1"/>
  <c r="A37" i="146" s="1"/>
  <c r="A38" i="146" s="1"/>
  <c r="A39" i="146" s="1"/>
  <c r="A40" i="146" s="1"/>
  <c r="A41" i="146" s="1"/>
  <c r="A42" i="146" s="1"/>
  <c r="A43" i="146" s="1"/>
  <c r="A44" i="146" s="1"/>
  <c r="A45" i="146" s="1"/>
  <c r="A46" i="146" s="1"/>
  <c r="A47" i="146" s="1"/>
  <c r="A48" i="146" s="1"/>
  <c r="A49" i="146" s="1"/>
  <c r="A50" i="146" s="1"/>
  <c r="A57" i="146"/>
  <c r="A58" i="146" s="1"/>
  <c r="A59" i="146" s="1"/>
  <c r="A60" i="146" s="1"/>
  <c r="A61" i="146" s="1"/>
  <c r="A62" i="146" s="1"/>
  <c r="A63" i="146" s="1"/>
  <c r="A64" i="146" s="1"/>
  <c r="A65" i="146" s="1"/>
  <c r="A66" i="146" s="1"/>
  <c r="A67" i="146" s="1"/>
  <c r="A68" i="146" s="1"/>
  <c r="A69" i="146" s="1"/>
  <c r="A70" i="146" s="1"/>
  <c r="A71" i="146" s="1"/>
  <c r="A72" i="146" s="1"/>
  <c r="A73" i="146" s="1"/>
  <c r="A74" i="146" s="1"/>
  <c r="A75" i="146" s="1"/>
  <c r="A76" i="146" s="1"/>
  <c r="A77" i="146" s="1"/>
  <c r="A78" i="146" s="1"/>
  <c r="A79" i="146" s="1"/>
  <c r="A80" i="146" s="1"/>
  <c r="A81" i="146" s="1"/>
  <c r="A82" i="146" s="1"/>
  <c r="A83" i="146" s="1"/>
  <c r="A84" i="146" s="1"/>
  <c r="A85" i="146" s="1"/>
  <c r="A86" i="146" s="1"/>
  <c r="A87" i="146" s="1"/>
  <c r="A88" i="146" s="1"/>
  <c r="A89" i="146" s="1"/>
  <c r="A90" i="146" s="1"/>
  <c r="A91" i="146" s="1"/>
  <c r="A92" i="146" s="1"/>
  <c r="A93" i="146" s="1"/>
  <c r="A94" i="146" s="1"/>
  <c r="R107" i="145"/>
  <c r="Q107" i="145"/>
  <c r="Q108" i="145" s="1"/>
  <c r="P107" i="145"/>
  <c r="O107" i="145"/>
  <c r="N107" i="145"/>
  <c r="M107" i="145"/>
  <c r="L107" i="145"/>
  <c r="K107" i="145"/>
  <c r="J107" i="145"/>
  <c r="I107" i="145"/>
  <c r="H107" i="145"/>
  <c r="F107" i="145"/>
  <c r="E107" i="145"/>
  <c r="D107" i="145"/>
  <c r="C107" i="145"/>
  <c r="B107" i="145"/>
  <c r="B98" i="145"/>
  <c r="B93" i="145"/>
  <c r="C92" i="145"/>
  <c r="B92" i="145"/>
  <c r="D91" i="145"/>
  <c r="C91" i="145"/>
  <c r="B91" i="145"/>
  <c r="E90" i="145"/>
  <c r="D90" i="145"/>
  <c r="C90" i="145"/>
  <c r="B90" i="145"/>
  <c r="F89" i="145"/>
  <c r="E89" i="145"/>
  <c r="D89" i="145"/>
  <c r="C89" i="145"/>
  <c r="B89" i="145"/>
  <c r="G88" i="145"/>
  <c r="F88" i="145"/>
  <c r="E88" i="145"/>
  <c r="D88" i="145"/>
  <c r="C88" i="145"/>
  <c r="B88" i="145"/>
  <c r="H87" i="145"/>
  <c r="G87" i="145"/>
  <c r="F87" i="145"/>
  <c r="E87" i="145"/>
  <c r="D87" i="145"/>
  <c r="C87" i="145"/>
  <c r="B87" i="145"/>
  <c r="I86" i="145"/>
  <c r="H86" i="145"/>
  <c r="G86" i="145"/>
  <c r="F86" i="145"/>
  <c r="E86" i="145"/>
  <c r="D86" i="145"/>
  <c r="C86" i="145"/>
  <c r="B86" i="145"/>
  <c r="J85" i="145"/>
  <c r="I85" i="145"/>
  <c r="H85" i="145"/>
  <c r="G85" i="145"/>
  <c r="F85" i="145"/>
  <c r="E85" i="145"/>
  <c r="D85" i="145"/>
  <c r="C85" i="145"/>
  <c r="B85" i="145"/>
  <c r="K84" i="145"/>
  <c r="J84" i="145"/>
  <c r="I84" i="145"/>
  <c r="H84" i="145"/>
  <c r="G84" i="145"/>
  <c r="F84" i="145"/>
  <c r="E84" i="145"/>
  <c r="D84" i="145"/>
  <c r="C84" i="145"/>
  <c r="L83" i="145"/>
  <c r="K83" i="145"/>
  <c r="J83" i="145"/>
  <c r="I83" i="145"/>
  <c r="H83" i="145"/>
  <c r="G83" i="145"/>
  <c r="F83" i="145"/>
  <c r="E83" i="145"/>
  <c r="D83" i="145"/>
  <c r="M82" i="145"/>
  <c r="L82" i="145"/>
  <c r="K82" i="145"/>
  <c r="J82" i="145"/>
  <c r="I82" i="145"/>
  <c r="H82" i="145"/>
  <c r="G82" i="145"/>
  <c r="F82" i="145"/>
  <c r="E82" i="145"/>
  <c r="N81" i="145"/>
  <c r="M81" i="145"/>
  <c r="L81" i="145"/>
  <c r="K81" i="145"/>
  <c r="J81" i="145"/>
  <c r="I81" i="145"/>
  <c r="H81" i="145"/>
  <c r="G81" i="145"/>
  <c r="F81" i="145"/>
  <c r="O80" i="145"/>
  <c r="N80" i="145"/>
  <c r="M80" i="145"/>
  <c r="L80" i="145"/>
  <c r="K80" i="145"/>
  <c r="J80" i="145"/>
  <c r="I80" i="145"/>
  <c r="H80" i="145"/>
  <c r="G80" i="145"/>
  <c r="P79" i="145"/>
  <c r="O79" i="145"/>
  <c r="N79" i="145"/>
  <c r="M79" i="145"/>
  <c r="L79" i="145"/>
  <c r="K79" i="145"/>
  <c r="J79" i="145"/>
  <c r="I79" i="145"/>
  <c r="H79" i="145"/>
  <c r="Q78" i="145"/>
  <c r="P78" i="145"/>
  <c r="O78" i="145"/>
  <c r="N78" i="145"/>
  <c r="M78" i="145"/>
  <c r="L78" i="145"/>
  <c r="K78" i="145"/>
  <c r="J78" i="145"/>
  <c r="I78" i="145"/>
  <c r="R77" i="145"/>
  <c r="Q77" i="145"/>
  <c r="P77" i="145"/>
  <c r="O77" i="145"/>
  <c r="N77" i="145"/>
  <c r="M77" i="145"/>
  <c r="L77" i="145"/>
  <c r="K77" i="145"/>
  <c r="J77" i="145"/>
  <c r="R76" i="145"/>
  <c r="Q76" i="145"/>
  <c r="P76" i="145"/>
  <c r="O76" i="145"/>
  <c r="N76" i="145"/>
  <c r="M76" i="145"/>
  <c r="L76" i="145"/>
  <c r="K76" i="145"/>
  <c r="R75" i="145"/>
  <c r="Q75" i="145"/>
  <c r="P75" i="145"/>
  <c r="O75" i="145"/>
  <c r="N75" i="145"/>
  <c r="M75" i="145"/>
  <c r="L75" i="145"/>
  <c r="R74" i="145"/>
  <c r="Q74" i="145"/>
  <c r="P74" i="145"/>
  <c r="O74" i="145"/>
  <c r="N74" i="145"/>
  <c r="M74" i="145"/>
  <c r="R73" i="145"/>
  <c r="Q73" i="145"/>
  <c r="P73" i="145"/>
  <c r="O73" i="145"/>
  <c r="N73" i="145"/>
  <c r="R72" i="145"/>
  <c r="Q72" i="145"/>
  <c r="P72" i="145"/>
  <c r="O72" i="145"/>
  <c r="R71" i="145"/>
  <c r="Q71" i="145"/>
  <c r="P71" i="145"/>
  <c r="R70" i="145"/>
  <c r="Q70" i="145"/>
  <c r="R69" i="145"/>
  <c r="A57" i="145"/>
  <c r="A58" i="145" s="1"/>
  <c r="A59" i="145" s="1"/>
  <c r="A60" i="145" s="1"/>
  <c r="A61" i="145" s="1"/>
  <c r="A62" i="145" s="1"/>
  <c r="A63" i="145" s="1"/>
  <c r="A64" i="145" s="1"/>
  <c r="A65" i="145" s="1"/>
  <c r="A66" i="145" s="1"/>
  <c r="A67" i="145" s="1"/>
  <c r="A68" i="145" s="1"/>
  <c r="A69" i="145" s="1"/>
  <c r="A70" i="145" s="1"/>
  <c r="A71" i="145" s="1"/>
  <c r="A72" i="145" s="1"/>
  <c r="A73" i="145" s="1"/>
  <c r="A74" i="145" s="1"/>
  <c r="A75" i="145" s="1"/>
  <c r="A76" i="145" s="1"/>
  <c r="A77" i="145" s="1"/>
  <c r="A78" i="145" s="1"/>
  <c r="A79" i="145" s="1"/>
  <c r="A80" i="145" s="1"/>
  <c r="A81" i="145" s="1"/>
  <c r="A82" i="145" s="1"/>
  <c r="A83" i="145" s="1"/>
  <c r="A84" i="145" s="1"/>
  <c r="A85" i="145" s="1"/>
  <c r="A86" i="145" s="1"/>
  <c r="A87" i="145" s="1"/>
  <c r="A88" i="145" s="1"/>
  <c r="A89" i="145" s="1"/>
  <c r="A90" i="145" s="1"/>
  <c r="A91" i="145" s="1"/>
  <c r="A92" i="145" s="1"/>
  <c r="A93" i="145" s="1"/>
  <c r="A94" i="145" s="1"/>
  <c r="T107" i="144"/>
  <c r="S107" i="144"/>
  <c r="R107" i="144"/>
  <c r="Q107" i="144"/>
  <c r="Q108" i="144" s="1"/>
  <c r="P107" i="144"/>
  <c r="O107" i="144"/>
  <c r="N107" i="144"/>
  <c r="H107" i="144"/>
  <c r="G107" i="144"/>
  <c r="F107" i="144"/>
  <c r="E107" i="144"/>
  <c r="D107" i="144"/>
  <c r="C107" i="144"/>
  <c r="B107" i="144"/>
  <c r="Q105" i="144"/>
  <c r="P105" i="144" s="1"/>
  <c r="O105" i="144" s="1"/>
  <c r="N105" i="144" s="1"/>
  <c r="M105" i="144" s="1"/>
  <c r="L105" i="144" s="1"/>
  <c r="K105" i="144" s="1"/>
  <c r="J105" i="144" s="1"/>
  <c r="I105" i="144" s="1"/>
  <c r="H105" i="144" s="1"/>
  <c r="G105" i="144" s="1"/>
  <c r="F105" i="144" s="1"/>
  <c r="E105" i="144" s="1"/>
  <c r="D105" i="144" s="1"/>
  <c r="C105" i="144" s="1"/>
  <c r="B105" i="144" s="1"/>
  <c r="B93" i="144"/>
  <c r="C92" i="144"/>
  <c r="B92" i="144"/>
  <c r="D91" i="144"/>
  <c r="C91" i="144"/>
  <c r="B91" i="144"/>
  <c r="E90" i="144"/>
  <c r="D90" i="144"/>
  <c r="C90" i="144"/>
  <c r="B90" i="144"/>
  <c r="F89" i="144"/>
  <c r="E89" i="144"/>
  <c r="D89" i="144"/>
  <c r="C89" i="144"/>
  <c r="B89" i="144"/>
  <c r="G88" i="144"/>
  <c r="F88" i="144"/>
  <c r="E88" i="144"/>
  <c r="D88" i="144"/>
  <c r="C88" i="144"/>
  <c r="B88" i="144"/>
  <c r="H87" i="144"/>
  <c r="G87" i="144"/>
  <c r="F87" i="144"/>
  <c r="E87" i="144"/>
  <c r="D87" i="144"/>
  <c r="C87" i="144"/>
  <c r="B87" i="144"/>
  <c r="I86" i="144"/>
  <c r="H86" i="144"/>
  <c r="G86" i="144"/>
  <c r="F86" i="144"/>
  <c r="E86" i="144"/>
  <c r="D86" i="144"/>
  <c r="C86" i="144"/>
  <c r="B86" i="144"/>
  <c r="J85" i="144"/>
  <c r="I85" i="144"/>
  <c r="H85" i="144"/>
  <c r="G85" i="144"/>
  <c r="F85" i="144"/>
  <c r="E85" i="144"/>
  <c r="D85" i="144"/>
  <c r="C85" i="144"/>
  <c r="B85" i="144"/>
  <c r="K84" i="144"/>
  <c r="J84" i="144"/>
  <c r="I84" i="144"/>
  <c r="H84" i="144"/>
  <c r="G84" i="144"/>
  <c r="F84" i="144"/>
  <c r="E84" i="144"/>
  <c r="D84" i="144"/>
  <c r="C84" i="144"/>
  <c r="L83" i="144"/>
  <c r="K83" i="144"/>
  <c r="J83" i="144"/>
  <c r="I83" i="144"/>
  <c r="H83" i="144"/>
  <c r="G83" i="144"/>
  <c r="F83" i="144"/>
  <c r="E83" i="144"/>
  <c r="D83" i="144"/>
  <c r="M82" i="144"/>
  <c r="L82" i="144"/>
  <c r="K82" i="144"/>
  <c r="J82" i="144"/>
  <c r="I82" i="144"/>
  <c r="H82" i="144"/>
  <c r="G82" i="144"/>
  <c r="F82" i="144"/>
  <c r="E82" i="144"/>
  <c r="N81" i="144"/>
  <c r="M81" i="144"/>
  <c r="L81" i="144"/>
  <c r="K81" i="144"/>
  <c r="J81" i="144"/>
  <c r="I81" i="144"/>
  <c r="H81" i="144"/>
  <c r="G81" i="144"/>
  <c r="F81" i="144"/>
  <c r="O80" i="144"/>
  <c r="N80" i="144"/>
  <c r="M80" i="144"/>
  <c r="L80" i="144"/>
  <c r="K80" i="144"/>
  <c r="J80" i="144"/>
  <c r="I80" i="144"/>
  <c r="H80" i="144"/>
  <c r="G80" i="144"/>
  <c r="P79" i="144"/>
  <c r="O79" i="144"/>
  <c r="N79" i="144"/>
  <c r="M79" i="144"/>
  <c r="L79" i="144"/>
  <c r="K79" i="144"/>
  <c r="J79" i="144"/>
  <c r="I79" i="144"/>
  <c r="H79" i="144"/>
  <c r="Q78" i="144"/>
  <c r="P78" i="144"/>
  <c r="O78" i="144"/>
  <c r="N78" i="144"/>
  <c r="M78" i="144"/>
  <c r="L78" i="144"/>
  <c r="K78" i="144"/>
  <c r="J78" i="144"/>
  <c r="I78" i="144"/>
  <c r="R77" i="144"/>
  <c r="Q77" i="144"/>
  <c r="P77" i="144"/>
  <c r="O77" i="144"/>
  <c r="N77" i="144"/>
  <c r="M77" i="144"/>
  <c r="L77" i="144"/>
  <c r="K77" i="144"/>
  <c r="J77" i="144"/>
  <c r="R76" i="144"/>
  <c r="Q76" i="144"/>
  <c r="P76" i="144"/>
  <c r="O76" i="144"/>
  <c r="N76" i="144"/>
  <c r="M76" i="144"/>
  <c r="L76" i="144"/>
  <c r="K76" i="144"/>
  <c r="R75" i="144"/>
  <c r="Q75" i="144"/>
  <c r="P75" i="144"/>
  <c r="O75" i="144"/>
  <c r="N75" i="144"/>
  <c r="M75" i="144"/>
  <c r="L75" i="144"/>
  <c r="R74" i="144"/>
  <c r="Q74" i="144"/>
  <c r="P74" i="144"/>
  <c r="O74" i="144"/>
  <c r="N74" i="144"/>
  <c r="M74" i="144"/>
  <c r="R73" i="144"/>
  <c r="Q73" i="144"/>
  <c r="P73" i="144"/>
  <c r="O73" i="144"/>
  <c r="N73" i="144"/>
  <c r="R72" i="144"/>
  <c r="Q72" i="144"/>
  <c r="P72" i="144"/>
  <c r="O72" i="144"/>
  <c r="R71" i="144"/>
  <c r="Q71" i="144"/>
  <c r="P71" i="144"/>
  <c r="R70" i="144"/>
  <c r="Q70" i="144"/>
  <c r="R69" i="144"/>
  <c r="A57" i="144"/>
  <c r="A58" i="144" s="1"/>
  <c r="A59" i="144" s="1"/>
  <c r="A60" i="144" s="1"/>
  <c r="A61" i="144" s="1"/>
  <c r="A62" i="144" s="1"/>
  <c r="A63" i="144" s="1"/>
  <c r="A64" i="144" s="1"/>
  <c r="A65" i="144" s="1"/>
  <c r="A66" i="144" s="1"/>
  <c r="A67" i="144" s="1"/>
  <c r="A68" i="144" s="1"/>
  <c r="A69" i="144" s="1"/>
  <c r="A70" i="144" s="1"/>
  <c r="A71" i="144" s="1"/>
  <c r="A72" i="144" s="1"/>
  <c r="A73" i="144" s="1"/>
  <c r="A74" i="144" s="1"/>
  <c r="A75" i="144" s="1"/>
  <c r="A76" i="144" s="1"/>
  <c r="A77" i="144" s="1"/>
  <c r="A78" i="144" s="1"/>
  <c r="A79" i="144" s="1"/>
  <c r="A80" i="144" s="1"/>
  <c r="A81" i="144" s="1"/>
  <c r="A82" i="144" s="1"/>
  <c r="A83" i="144" s="1"/>
  <c r="A84" i="144" s="1"/>
  <c r="A85" i="144" s="1"/>
  <c r="A86" i="144" s="1"/>
  <c r="A87" i="144" s="1"/>
  <c r="A88" i="144" s="1"/>
  <c r="A89" i="144" s="1"/>
  <c r="A90" i="144" s="1"/>
  <c r="A91" i="144" s="1"/>
  <c r="A92" i="144" s="1"/>
  <c r="A93" i="144" s="1"/>
  <c r="A94" i="144" s="1"/>
  <c r="R107" i="143"/>
  <c r="Q107" i="143"/>
  <c r="Q108" i="143" s="1"/>
  <c r="P107" i="143"/>
  <c r="O107" i="143"/>
  <c r="N107" i="143"/>
  <c r="M107" i="143"/>
  <c r="L107" i="143"/>
  <c r="K107" i="143"/>
  <c r="J107" i="143"/>
  <c r="I107" i="143"/>
  <c r="H107" i="143"/>
  <c r="G107" i="143"/>
  <c r="F107" i="143"/>
  <c r="E107" i="143"/>
  <c r="D107" i="143"/>
  <c r="C107" i="143"/>
  <c r="Q105" i="143"/>
  <c r="P105" i="143" s="1"/>
  <c r="O105" i="143" s="1"/>
  <c r="N105" i="143" s="1"/>
  <c r="M105" i="143" s="1"/>
  <c r="L105" i="143" s="1"/>
  <c r="K105" i="143" s="1"/>
  <c r="J105" i="143" s="1"/>
  <c r="I105" i="143" s="1"/>
  <c r="H105" i="143" s="1"/>
  <c r="G105" i="143" s="1"/>
  <c r="F105" i="143" s="1"/>
  <c r="E105" i="143" s="1"/>
  <c r="D105" i="143" s="1"/>
  <c r="C105" i="143" s="1"/>
  <c r="B105" i="143" s="1"/>
  <c r="C91" i="143"/>
  <c r="B91" i="143"/>
  <c r="B98" i="143" s="1"/>
  <c r="D90" i="143"/>
  <c r="C90" i="143"/>
  <c r="C98" i="143" s="1"/>
  <c r="B90" i="143"/>
  <c r="E89" i="143"/>
  <c r="D89" i="143"/>
  <c r="D98" i="143" s="1"/>
  <c r="C89" i="143"/>
  <c r="B89" i="143"/>
  <c r="B100" i="143" s="1"/>
  <c r="F88" i="143"/>
  <c r="E88" i="143"/>
  <c r="D88" i="143"/>
  <c r="C88" i="143"/>
  <c r="B88" i="143"/>
  <c r="G87" i="143"/>
  <c r="F87" i="143"/>
  <c r="E87" i="143"/>
  <c r="D87" i="143"/>
  <c r="D100" i="143" s="1"/>
  <c r="C87" i="143"/>
  <c r="B87" i="143"/>
  <c r="B102" i="143" s="1"/>
  <c r="H86" i="143"/>
  <c r="G86" i="143"/>
  <c r="G98" i="143" s="1"/>
  <c r="F86" i="143"/>
  <c r="E86" i="143"/>
  <c r="D86" i="143"/>
  <c r="C86" i="143"/>
  <c r="B86" i="143"/>
  <c r="I85" i="143"/>
  <c r="H85" i="143"/>
  <c r="G85" i="143"/>
  <c r="F85" i="143"/>
  <c r="F100" i="143" s="1"/>
  <c r="E85" i="143"/>
  <c r="D85" i="143"/>
  <c r="C85" i="143"/>
  <c r="B85" i="143"/>
  <c r="J84" i="143"/>
  <c r="I84" i="143"/>
  <c r="H84" i="143"/>
  <c r="G84" i="143"/>
  <c r="F84" i="143"/>
  <c r="E84" i="143"/>
  <c r="D84" i="143"/>
  <c r="C84" i="143"/>
  <c r="B84" i="143"/>
  <c r="K83" i="143"/>
  <c r="J83" i="143"/>
  <c r="J98" i="143" s="1"/>
  <c r="I83" i="143"/>
  <c r="H83" i="143"/>
  <c r="H100" i="143" s="1"/>
  <c r="G83" i="143"/>
  <c r="F83" i="143"/>
  <c r="E83" i="143"/>
  <c r="D83" i="143"/>
  <c r="C83" i="143"/>
  <c r="L82" i="143"/>
  <c r="K82" i="143"/>
  <c r="K98" i="143" s="1"/>
  <c r="J82" i="143"/>
  <c r="I82" i="143"/>
  <c r="I100" i="143" s="1"/>
  <c r="H82" i="143"/>
  <c r="G82" i="143"/>
  <c r="F82" i="143"/>
  <c r="E82" i="143"/>
  <c r="D82" i="143"/>
  <c r="M81" i="143"/>
  <c r="L81" i="143"/>
  <c r="K81" i="143"/>
  <c r="J81" i="143"/>
  <c r="J100" i="143" s="1"/>
  <c r="I81" i="143"/>
  <c r="H81" i="143"/>
  <c r="H102" i="143" s="1"/>
  <c r="G81" i="143"/>
  <c r="F81" i="143"/>
  <c r="E81" i="143"/>
  <c r="N80" i="143"/>
  <c r="M80" i="143"/>
  <c r="M98" i="143" s="1"/>
  <c r="L80" i="143"/>
  <c r="K80" i="143"/>
  <c r="J80" i="143"/>
  <c r="I80" i="143"/>
  <c r="H80" i="143"/>
  <c r="G80" i="143"/>
  <c r="F80" i="143"/>
  <c r="O79" i="143"/>
  <c r="N79" i="143"/>
  <c r="N98" i="143" s="1"/>
  <c r="M79" i="143"/>
  <c r="L79" i="143"/>
  <c r="K79" i="143"/>
  <c r="J79" i="143"/>
  <c r="I79" i="143"/>
  <c r="H79" i="143"/>
  <c r="G79" i="143"/>
  <c r="P78" i="143"/>
  <c r="O78" i="143"/>
  <c r="O98" i="143" s="1"/>
  <c r="N78" i="143"/>
  <c r="M78" i="143"/>
  <c r="M100" i="143" s="1"/>
  <c r="L78" i="143"/>
  <c r="K78" i="143"/>
  <c r="J78" i="143"/>
  <c r="I78" i="143"/>
  <c r="H78" i="143"/>
  <c r="Q77" i="143"/>
  <c r="P77" i="143"/>
  <c r="O77" i="143"/>
  <c r="N77" i="143"/>
  <c r="N100" i="143" s="1"/>
  <c r="M77" i="143"/>
  <c r="L77" i="143"/>
  <c r="K77" i="143"/>
  <c r="J77" i="143"/>
  <c r="I77" i="143"/>
  <c r="R76" i="143"/>
  <c r="Q76" i="143"/>
  <c r="Q98" i="143" s="1"/>
  <c r="P76" i="143"/>
  <c r="O76" i="143"/>
  <c r="N76" i="143"/>
  <c r="M76" i="143"/>
  <c r="L76" i="143"/>
  <c r="K76" i="143"/>
  <c r="J76" i="143"/>
  <c r="R75" i="143"/>
  <c r="Q75" i="143"/>
  <c r="P75" i="143"/>
  <c r="O75" i="143"/>
  <c r="N75" i="143"/>
  <c r="M75" i="143"/>
  <c r="L75" i="143"/>
  <c r="K75" i="143"/>
  <c r="R74" i="143"/>
  <c r="Q74" i="143"/>
  <c r="Q100" i="143" s="1"/>
  <c r="P74" i="143"/>
  <c r="O74" i="143"/>
  <c r="O102" i="143" s="1"/>
  <c r="N74" i="143"/>
  <c r="M74" i="143"/>
  <c r="L74" i="143"/>
  <c r="R73" i="143"/>
  <c r="Q73" i="143"/>
  <c r="P73" i="143"/>
  <c r="O73" i="143"/>
  <c r="N73" i="143"/>
  <c r="M73" i="143"/>
  <c r="R72" i="143"/>
  <c r="Q72" i="143"/>
  <c r="P72" i="143"/>
  <c r="O72" i="143"/>
  <c r="N72" i="143"/>
  <c r="R71" i="143"/>
  <c r="Q71" i="143"/>
  <c r="P71" i="143"/>
  <c r="O71" i="143"/>
  <c r="R70" i="143"/>
  <c r="Q70" i="143"/>
  <c r="P70" i="143"/>
  <c r="R69" i="143"/>
  <c r="Q69" i="143"/>
  <c r="R68" i="143"/>
  <c r="A57" i="143"/>
  <c r="A58" i="143" s="1"/>
  <c r="A59" i="143" s="1"/>
  <c r="A60" i="143" s="1"/>
  <c r="A61" i="143" s="1"/>
  <c r="A62" i="143" s="1"/>
  <c r="A63" i="143" s="1"/>
  <c r="A64" i="143" s="1"/>
  <c r="A65" i="143" s="1"/>
  <c r="A66" i="143" s="1"/>
  <c r="A67" i="143" s="1"/>
  <c r="A68" i="143" s="1"/>
  <c r="A69" i="143" s="1"/>
  <c r="A70" i="143" s="1"/>
  <c r="A71" i="143" s="1"/>
  <c r="A72" i="143" s="1"/>
  <c r="A73" i="143" s="1"/>
  <c r="A74" i="143" s="1"/>
  <c r="A75" i="143" s="1"/>
  <c r="A76" i="143" s="1"/>
  <c r="A77" i="143" s="1"/>
  <c r="A78" i="143" s="1"/>
  <c r="A79" i="143" s="1"/>
  <c r="A80" i="143" s="1"/>
  <c r="A81" i="143" s="1"/>
  <c r="A82" i="143" s="1"/>
  <c r="A83" i="143" s="1"/>
  <c r="A84" i="143" s="1"/>
  <c r="A85" i="143" s="1"/>
  <c r="A86" i="143" s="1"/>
  <c r="A87" i="143" s="1"/>
  <c r="A88" i="143" s="1"/>
  <c r="A89" i="143" s="1"/>
  <c r="A90" i="143" s="1"/>
  <c r="A91" i="143" s="1"/>
  <c r="A92" i="143" s="1"/>
  <c r="A93" i="143" s="1"/>
  <c r="A94" i="143" s="1"/>
  <c r="A15" i="143"/>
  <c r="A16" i="143" s="1"/>
  <c r="A17" i="143" s="1"/>
  <c r="A18" i="143" s="1"/>
  <c r="A19" i="143" s="1"/>
  <c r="A20" i="143" s="1"/>
  <c r="A21" i="143" s="1"/>
  <c r="A22" i="143" s="1"/>
  <c r="A23" i="143" s="1"/>
  <c r="A24" i="143" s="1"/>
  <c r="A25" i="143" s="1"/>
  <c r="A26" i="143" s="1"/>
  <c r="A27" i="143" s="1"/>
  <c r="A28" i="143" s="1"/>
  <c r="A29" i="143" s="1"/>
  <c r="A30" i="143" s="1"/>
  <c r="A31" i="143" s="1"/>
  <c r="A32" i="143" s="1"/>
  <c r="A33" i="143" s="1"/>
  <c r="A34" i="143" s="1"/>
  <c r="A35" i="143" s="1"/>
  <c r="A36" i="143" s="1"/>
  <c r="A37" i="143" s="1"/>
  <c r="A38" i="143" s="1"/>
  <c r="A39" i="143" s="1"/>
  <c r="A40" i="143" s="1"/>
  <c r="A41" i="143" s="1"/>
  <c r="A42" i="143" s="1"/>
  <c r="A43" i="143" s="1"/>
  <c r="A44" i="143" s="1"/>
  <c r="A45" i="143" s="1"/>
  <c r="A46" i="143" s="1"/>
  <c r="A47" i="143" s="1"/>
  <c r="A48" i="143" s="1"/>
  <c r="A49" i="143" s="1"/>
  <c r="A50" i="143" s="1"/>
  <c r="A14" i="143"/>
  <c r="P108" i="152" l="1"/>
  <c r="E21" i="31"/>
  <c r="G21" i="31" s="1"/>
  <c r="P108" i="146"/>
  <c r="C122" i="146"/>
  <c r="C20" i="45" s="1"/>
  <c r="Q102" i="143"/>
  <c r="P108" i="143"/>
  <c r="C122" i="143"/>
  <c r="C20" i="18" s="1"/>
  <c r="N66" i="148"/>
  <c r="M66" i="148" s="1"/>
  <c r="L66" i="148" s="1"/>
  <c r="K66" i="148" s="1"/>
  <c r="J66" i="148" s="1"/>
  <c r="I66" i="148" s="1"/>
  <c r="H66" i="148" s="1"/>
  <c r="G66" i="148" s="1"/>
  <c r="F66" i="148" s="1"/>
  <c r="E66" i="148" s="1"/>
  <c r="D66" i="148" s="1"/>
  <c r="C66" i="148" s="1"/>
  <c r="B66" i="148" s="1"/>
  <c r="M102" i="143"/>
  <c r="I102" i="143"/>
  <c r="E102" i="143"/>
  <c r="H98" i="143"/>
  <c r="O100" i="143"/>
  <c r="K100" i="143"/>
  <c r="G100" i="143"/>
  <c r="P108" i="145"/>
  <c r="C122" i="145"/>
  <c r="C20" i="19" s="1"/>
  <c r="F98" i="143"/>
  <c r="P102" i="143"/>
  <c r="J102" i="143"/>
  <c r="F102" i="143"/>
  <c r="C102" i="143"/>
  <c r="P98" i="143"/>
  <c r="L98" i="143"/>
  <c r="N102" i="143"/>
  <c r="I98" i="143"/>
  <c r="C100" i="143"/>
  <c r="H102" i="145"/>
  <c r="K66" i="149"/>
  <c r="J66" i="149" s="1"/>
  <c r="I66" i="149" s="1"/>
  <c r="H66" i="149" s="1"/>
  <c r="G66" i="149" s="1"/>
  <c r="F66" i="149" s="1"/>
  <c r="E66" i="149" s="1"/>
  <c r="D66" i="149" s="1"/>
  <c r="C66" i="149" s="1"/>
  <c r="B66" i="149" s="1"/>
  <c r="B102" i="152"/>
  <c r="L100" i="143"/>
  <c r="E100" i="143"/>
  <c r="P100" i="143"/>
  <c r="K102" i="143"/>
  <c r="G102" i="143"/>
  <c r="E98" i="143"/>
  <c r="N66" i="150"/>
  <c r="M66" i="150" s="1"/>
  <c r="L66" i="150" s="1"/>
  <c r="K66" i="150" s="1"/>
  <c r="J66" i="150" s="1"/>
  <c r="I66" i="150" s="1"/>
  <c r="H66" i="150" s="1"/>
  <c r="G66" i="150" s="1"/>
  <c r="F66" i="150" s="1"/>
  <c r="E66" i="150" s="1"/>
  <c r="D66" i="150" s="1"/>
  <c r="C66" i="150" s="1"/>
  <c r="B66" i="150" s="1"/>
  <c r="D102" i="143"/>
  <c r="L102" i="143"/>
  <c r="P108" i="144"/>
  <c r="C122" i="144"/>
  <c r="C20" i="44" s="1"/>
  <c r="J102" i="145"/>
  <c r="H100" i="145"/>
  <c r="M56" i="147"/>
  <c r="E60" i="147"/>
  <c r="E56" i="147"/>
  <c r="J98" i="145"/>
  <c r="N56" i="150"/>
  <c r="N58" i="150" s="1"/>
  <c r="A43" i="159"/>
  <c r="B87" i="159"/>
  <c r="N100" i="146"/>
  <c r="M100" i="146"/>
  <c r="C60" i="147"/>
  <c r="E58" i="147"/>
  <c r="Q102" i="145"/>
  <c r="D102" i="145"/>
  <c r="C65" i="147"/>
  <c r="B65" i="147" s="1"/>
  <c r="B98" i="146"/>
  <c r="B102" i="146"/>
  <c r="K98" i="145"/>
  <c r="C102" i="145"/>
  <c r="I102" i="145"/>
  <c r="I98" i="145"/>
  <c r="L56" i="147"/>
  <c r="F100" i="145"/>
  <c r="E98" i="146"/>
  <c r="D102" i="146"/>
  <c r="I100" i="145"/>
  <c r="O100" i="145"/>
  <c r="C98" i="145"/>
  <c r="C56" i="147"/>
  <c r="B98" i="144"/>
  <c r="L100" i="145"/>
  <c r="N56" i="148"/>
  <c r="N58" i="148" s="1"/>
  <c r="F98" i="144"/>
  <c r="G56" i="147"/>
  <c r="O102" i="145"/>
  <c r="K102" i="146"/>
  <c r="D100" i="146"/>
  <c r="C58" i="147"/>
  <c r="N56" i="149"/>
  <c r="N58" i="149" s="1"/>
  <c r="B102" i="145"/>
  <c r="C100" i="145"/>
  <c r="F100" i="146"/>
  <c r="E100" i="146"/>
  <c r="M100" i="145"/>
  <c r="N98" i="144"/>
  <c r="L98" i="145"/>
  <c r="F98" i="146"/>
  <c r="M56" i="150" a="1"/>
  <c r="M56" i="150" s="1"/>
  <c r="M60" i="150" s="1"/>
  <c r="L56" i="150" a="1"/>
  <c r="L56" i="150" s="1"/>
  <c r="L58" i="150"/>
  <c r="L60" i="150" s="1"/>
  <c r="K58" i="150"/>
  <c r="K60" i="150" s="1"/>
  <c r="K56" i="150" a="1"/>
  <c r="K56" i="150" s="1"/>
  <c r="J60" i="150"/>
  <c r="J58" i="150"/>
  <c r="J56" i="150" a="1"/>
  <c r="J56" i="150" s="1"/>
  <c r="I60" i="150"/>
  <c r="I58" i="150"/>
  <c r="I56" i="150" a="1"/>
  <c r="I56" i="150" s="1"/>
  <c r="H60" i="150"/>
  <c r="H58" i="150"/>
  <c r="H56" i="150" a="1"/>
  <c r="H56" i="150" s="1"/>
  <c r="G56" i="150" a="1"/>
  <c r="G56" i="150" s="1"/>
  <c r="G60" i="150"/>
  <c r="G58" i="150"/>
  <c r="F56" i="150" a="1"/>
  <c r="F56" i="150" s="1"/>
  <c r="F60" i="150"/>
  <c r="F58" i="150"/>
  <c r="E56" i="150"/>
  <c r="E60" i="150"/>
  <c r="E58" i="150"/>
  <c r="D56" i="150"/>
  <c r="D58" i="150"/>
  <c r="D60" i="150"/>
  <c r="C58" i="150"/>
  <c r="C56" i="150"/>
  <c r="C60" i="150"/>
  <c r="B60" i="150"/>
  <c r="B58" i="150"/>
  <c r="B56" i="150"/>
  <c r="M56" i="149" a="1"/>
  <c r="M56" i="149" s="1"/>
  <c r="N60" i="149" s="1"/>
  <c r="L58" i="149"/>
  <c r="L60" i="149" s="1"/>
  <c r="L56" i="149" a="1"/>
  <c r="L56" i="149" s="1"/>
  <c r="K58" i="149"/>
  <c r="K60" i="149" s="1"/>
  <c r="K56" i="149" a="1"/>
  <c r="K56" i="149" s="1"/>
  <c r="J56" i="149" a="1"/>
  <c r="J56" i="149" s="1"/>
  <c r="J60" i="149"/>
  <c r="J58" i="149"/>
  <c r="I60" i="149"/>
  <c r="I58" i="149"/>
  <c r="I56" i="149" a="1"/>
  <c r="I56" i="149" s="1"/>
  <c r="H56" i="149" a="1"/>
  <c r="H56" i="149" s="1"/>
  <c r="H60" i="149"/>
  <c r="H58" i="149"/>
  <c r="G56" i="149" a="1"/>
  <c r="G56" i="149" s="1"/>
  <c r="G58" i="149"/>
  <c r="G60" i="149"/>
  <c r="F58" i="149"/>
  <c r="F60" i="149"/>
  <c r="F56" i="149" a="1"/>
  <c r="F56" i="149" s="1"/>
  <c r="E60" i="149"/>
  <c r="E58" i="149"/>
  <c r="E56" i="149"/>
  <c r="D60" i="149"/>
  <c r="D58" i="149"/>
  <c r="D56" i="149"/>
  <c r="C60" i="149"/>
  <c r="C58" i="149"/>
  <c r="C56" i="149"/>
  <c r="B56" i="149"/>
  <c r="B60" i="149"/>
  <c r="B58" i="149"/>
  <c r="M56" i="148" a="1"/>
  <c r="M56" i="148" s="1"/>
  <c r="M60" i="148" s="1"/>
  <c r="L58" i="148"/>
  <c r="L60" i="148" s="1"/>
  <c r="L56" i="148" a="1"/>
  <c r="L56" i="148" s="1"/>
  <c r="K58" i="148"/>
  <c r="K60" i="148" s="1"/>
  <c r="K56" i="148" a="1"/>
  <c r="K56" i="148" s="1"/>
  <c r="J56" i="148" a="1"/>
  <c r="J56" i="148" s="1"/>
  <c r="J60" i="148"/>
  <c r="J58" i="148"/>
  <c r="I58" i="148"/>
  <c r="I56" i="148" a="1"/>
  <c r="I56" i="148" s="1"/>
  <c r="I60" i="148"/>
  <c r="H56" i="148" a="1"/>
  <c r="H56" i="148" s="1"/>
  <c r="H58" i="148"/>
  <c r="H60" i="148"/>
  <c r="G58" i="148"/>
  <c r="G56" i="148" a="1"/>
  <c r="G56" i="148" s="1"/>
  <c r="G60" i="148"/>
  <c r="F60" i="148"/>
  <c r="F58" i="148"/>
  <c r="F56" i="148" a="1"/>
  <c r="F56" i="148" s="1"/>
  <c r="E60" i="148"/>
  <c r="E58" i="148"/>
  <c r="E56" i="148"/>
  <c r="D60" i="148"/>
  <c r="D58" i="148"/>
  <c r="D56" i="148"/>
  <c r="C56" i="148"/>
  <c r="C60" i="148"/>
  <c r="C58" i="148"/>
  <c r="B58" i="148"/>
  <c r="B56" i="148"/>
  <c r="B60" i="148"/>
  <c r="O56" i="147"/>
  <c r="O58" i="147" s="1"/>
  <c r="K58" i="147"/>
  <c r="K60" i="147" s="1"/>
  <c r="K56" i="147"/>
  <c r="J58" i="147"/>
  <c r="D56" i="147"/>
  <c r="D60" i="147"/>
  <c r="B56" i="147"/>
  <c r="B60" i="147"/>
  <c r="B58" i="147"/>
  <c r="Q102" i="146"/>
  <c r="Q98" i="146"/>
  <c r="O100" i="146"/>
  <c r="P98" i="146"/>
  <c r="O98" i="146"/>
  <c r="K98" i="146"/>
  <c r="K100" i="146"/>
  <c r="C98" i="146"/>
  <c r="J98" i="146"/>
  <c r="I102" i="146"/>
  <c r="N100" i="145"/>
  <c r="E102" i="145"/>
  <c r="E98" i="145"/>
  <c r="E100" i="145"/>
  <c r="Q98" i="145"/>
  <c r="M98" i="145"/>
  <c r="P98" i="145"/>
  <c r="G98" i="145"/>
  <c r="G100" i="145"/>
  <c r="J56" i="147"/>
  <c r="G58" i="147"/>
  <c r="D58" i="147"/>
  <c r="G60" i="147"/>
  <c r="F58" i="147"/>
  <c r="F56" i="147"/>
  <c r="I60" i="147"/>
  <c r="I58" i="147"/>
  <c r="H56" i="147"/>
  <c r="N56" i="147"/>
  <c r="N58" i="147" s="1"/>
  <c r="F60" i="147"/>
  <c r="I56" i="147"/>
  <c r="J60" i="147"/>
  <c r="L58" i="147"/>
  <c r="L60" i="147" s="1"/>
  <c r="H60" i="147"/>
  <c r="H58" i="147"/>
  <c r="O102" i="146"/>
  <c r="P100" i="146"/>
  <c r="I98" i="146"/>
  <c r="L100" i="146"/>
  <c r="H102" i="146"/>
  <c r="L98" i="146"/>
  <c r="H100" i="146"/>
  <c r="G98" i="146"/>
  <c r="Q100" i="146"/>
  <c r="G102" i="146"/>
  <c r="H98" i="146"/>
  <c r="P102" i="146"/>
  <c r="N98" i="146"/>
  <c r="J100" i="146"/>
  <c r="F102" i="146"/>
  <c r="D98" i="146"/>
  <c r="M98" i="146"/>
  <c r="I100" i="146"/>
  <c r="E102" i="146"/>
  <c r="C100" i="146"/>
  <c r="M102" i="146"/>
  <c r="L102" i="146"/>
  <c r="C102" i="146"/>
  <c r="N102" i="146"/>
  <c r="G100" i="146"/>
  <c r="N98" i="145"/>
  <c r="J100" i="145"/>
  <c r="F102" i="145"/>
  <c r="D100" i="145"/>
  <c r="M102" i="145"/>
  <c r="L102" i="145"/>
  <c r="N102" i="145"/>
  <c r="K102" i="145"/>
  <c r="P100" i="145"/>
  <c r="F98" i="145"/>
  <c r="Q100" i="145"/>
  <c r="O98" i="145"/>
  <c r="K100" i="145"/>
  <c r="G102" i="145"/>
  <c r="H98" i="145"/>
  <c r="F102" i="144"/>
  <c r="D98" i="144"/>
  <c r="Q98" i="144"/>
  <c r="P98" i="144"/>
  <c r="L100" i="144"/>
  <c r="H102" i="144"/>
  <c r="H98" i="144"/>
  <c r="K102" i="144"/>
  <c r="I102" i="144"/>
  <c r="D100" i="144"/>
  <c r="K98" i="144"/>
  <c r="Q100" i="144"/>
  <c r="G98" i="144"/>
  <c r="J100" i="144"/>
  <c r="L102" i="144"/>
  <c r="G100" i="144"/>
  <c r="E98" i="144"/>
  <c r="Q102" i="144"/>
  <c r="N100" i="144"/>
  <c r="J98" i="144"/>
  <c r="F100" i="144"/>
  <c r="N102" i="144"/>
  <c r="M100" i="144"/>
  <c r="O100" i="144"/>
  <c r="E100" i="144"/>
  <c r="C98" i="144"/>
  <c r="O102" i="144"/>
  <c r="P100" i="144"/>
  <c r="I98" i="144"/>
  <c r="J102" i="144"/>
  <c r="O98" i="144"/>
  <c r="K100" i="144"/>
  <c r="G102" i="144"/>
  <c r="P102" i="144"/>
  <c r="M98" i="144"/>
  <c r="I100" i="144"/>
  <c r="E102" i="144"/>
  <c r="B102" i="144"/>
  <c r="C100" i="144"/>
  <c r="M102" i="144"/>
  <c r="L98" i="144"/>
  <c r="H100" i="144"/>
  <c r="D102" i="144"/>
  <c r="C102" i="144"/>
  <c r="A15" i="152"/>
  <c r="N60" i="147"/>
  <c r="M60" i="147"/>
  <c r="M58" i="147"/>
  <c r="O60" i="147"/>
  <c r="O61" i="147" s="1"/>
  <c r="J102" i="146"/>
  <c r="B100" i="146"/>
  <c r="P102" i="145"/>
  <c r="A14" i="145"/>
  <c r="A15" i="145" s="1"/>
  <c r="A16" i="145" s="1"/>
  <c r="A17" i="145" s="1"/>
  <c r="A18" i="145" s="1"/>
  <c r="A19" i="145" s="1"/>
  <c r="A20" i="145" s="1"/>
  <c r="A21" i="145" s="1"/>
  <c r="A22" i="145" s="1"/>
  <c r="A23" i="145" s="1"/>
  <c r="A24" i="145" s="1"/>
  <c r="A25" i="145" s="1"/>
  <c r="A26" i="145" s="1"/>
  <c r="A27" i="145" s="1"/>
  <c r="A28" i="145" s="1"/>
  <c r="A29" i="145" s="1"/>
  <c r="A30" i="145" s="1"/>
  <c r="A31" i="145" s="1"/>
  <c r="A32" i="145" s="1"/>
  <c r="A33" i="145" s="1"/>
  <c r="A34" i="145" s="1"/>
  <c r="A35" i="145" s="1"/>
  <c r="A36" i="145" s="1"/>
  <c r="A37" i="145" s="1"/>
  <c r="A38" i="145" s="1"/>
  <c r="A39" i="145" s="1"/>
  <c r="A40" i="145" s="1"/>
  <c r="A41" i="145" s="1"/>
  <c r="A42" i="145" s="1"/>
  <c r="A43" i="145" s="1"/>
  <c r="A44" i="145" s="1"/>
  <c r="A45" i="145" s="1"/>
  <c r="A46" i="145" s="1"/>
  <c r="A47" i="145" s="1"/>
  <c r="A48" i="145" s="1"/>
  <c r="A49" i="145" s="1"/>
  <c r="A50" i="145" s="1"/>
  <c r="D98" i="145"/>
  <c r="B100" i="144"/>
  <c r="A14" i="144"/>
  <c r="A15" i="144" s="1"/>
  <c r="A16" i="144" s="1"/>
  <c r="A17" i="144" s="1"/>
  <c r="A18" i="144" s="1"/>
  <c r="A19" i="144" s="1"/>
  <c r="A20" i="144" s="1"/>
  <c r="A21" i="144" s="1"/>
  <c r="A22" i="144" s="1"/>
  <c r="A23" i="144" s="1"/>
  <c r="A24" i="144" s="1"/>
  <c r="A25" i="144" s="1"/>
  <c r="A26" i="144" s="1"/>
  <c r="A27" i="144" s="1"/>
  <c r="A28" i="144" s="1"/>
  <c r="A29" i="144" s="1"/>
  <c r="A30" i="144" s="1"/>
  <c r="A31" i="144" s="1"/>
  <c r="A32" i="144" s="1"/>
  <c r="A33" i="144" s="1"/>
  <c r="A34" i="144" s="1"/>
  <c r="A35" i="144" s="1"/>
  <c r="A36" i="144" s="1"/>
  <c r="A37" i="144" s="1"/>
  <c r="A38" i="144" s="1"/>
  <c r="A39" i="144" s="1"/>
  <c r="A40" i="144" s="1"/>
  <c r="A41" i="144" s="1"/>
  <c r="A42" i="144" s="1"/>
  <c r="A43" i="144" s="1"/>
  <c r="A44" i="144" s="1"/>
  <c r="A45" i="144" s="1"/>
  <c r="A46" i="144" s="1"/>
  <c r="A47" i="144" s="1"/>
  <c r="A48" i="144" s="1"/>
  <c r="A49" i="144" s="1"/>
  <c r="A50" i="144" s="1"/>
  <c r="O108" i="143" l="1"/>
  <c r="C123" i="143"/>
  <c r="C21" i="18" s="1"/>
  <c r="O108" i="144"/>
  <c r="C123" i="144"/>
  <c r="C21" i="44" s="1"/>
  <c r="O108" i="145"/>
  <c r="C123" i="145"/>
  <c r="C21" i="19" s="1"/>
  <c r="O108" i="146"/>
  <c r="C123" i="146"/>
  <c r="C21" i="45" s="1"/>
  <c r="O108" i="152"/>
  <c r="E22" i="31"/>
  <c r="G22" i="31" s="1"/>
  <c r="O60" i="150"/>
  <c r="A44" i="159"/>
  <c r="B88" i="159"/>
  <c r="M58" i="150"/>
  <c r="N60" i="150"/>
  <c r="N61" i="147"/>
  <c r="O60" i="149"/>
  <c r="M58" i="149"/>
  <c r="M60" i="149"/>
  <c r="O60" i="148"/>
  <c r="N60" i="148"/>
  <c r="M58" i="148"/>
  <c r="A16" i="152"/>
  <c r="N108" i="152" l="1"/>
  <c r="E23" i="31"/>
  <c r="G23" i="31" s="1"/>
  <c r="N108" i="145"/>
  <c r="C124" i="145"/>
  <c r="C22" i="19" s="1"/>
  <c r="N108" i="144"/>
  <c r="C124" i="144"/>
  <c r="C22" i="44" s="1"/>
  <c r="N108" i="146"/>
  <c r="C124" i="146"/>
  <c r="C22" i="45" s="1"/>
  <c r="N108" i="143"/>
  <c r="C124" i="143"/>
  <c r="C22" i="18" s="1"/>
  <c r="A45" i="159"/>
  <c r="B89" i="159"/>
  <c r="A17" i="152"/>
  <c r="M108" i="143" l="1"/>
  <c r="C125" i="143"/>
  <c r="C23" i="18" s="1"/>
  <c r="M108" i="146"/>
  <c r="C125" i="146"/>
  <c r="C23" i="45" s="1"/>
  <c r="C125" i="144"/>
  <c r="C23" i="44" s="1"/>
  <c r="M108" i="144"/>
  <c r="M108" i="145"/>
  <c r="C125" i="145"/>
  <c r="C23" i="19" s="1"/>
  <c r="M108" i="152"/>
  <c r="E24" i="31"/>
  <c r="G24" i="31" s="1"/>
  <c r="A46" i="159"/>
  <c r="B90" i="159"/>
  <c r="A18" i="152"/>
  <c r="L108" i="144" l="1"/>
  <c r="C126" i="144"/>
  <c r="C24" i="44" s="1"/>
  <c r="L108" i="152"/>
  <c r="E25" i="31"/>
  <c r="G25" i="31" s="1"/>
  <c r="L108" i="145"/>
  <c r="C126" i="145"/>
  <c r="C24" i="19" s="1"/>
  <c r="L108" i="146"/>
  <c r="C126" i="146"/>
  <c r="C24" i="45" s="1"/>
  <c r="L108" i="143"/>
  <c r="C126" i="143"/>
  <c r="C24" i="18" s="1"/>
  <c r="A47" i="159"/>
  <c r="B91" i="159"/>
  <c r="A19" i="152"/>
  <c r="K108" i="143" l="1"/>
  <c r="C127" i="143"/>
  <c r="C25" i="18" s="1"/>
  <c r="K108" i="145"/>
  <c r="C127" i="145"/>
  <c r="C25" i="19" s="1"/>
  <c r="K108" i="146"/>
  <c r="C127" i="146"/>
  <c r="C25" i="45" s="1"/>
  <c r="K108" i="152"/>
  <c r="E26" i="31"/>
  <c r="G26" i="31" s="1"/>
  <c r="K108" i="144"/>
  <c r="C127" i="144"/>
  <c r="C25" i="44" s="1"/>
  <c r="A48" i="159"/>
  <c r="A49" i="159" s="1"/>
  <c r="A50" i="159" s="1"/>
  <c r="B92" i="159"/>
  <c r="B102" i="159" s="1"/>
  <c r="B113" i="159" s="1"/>
  <c r="A20" i="152"/>
  <c r="J108" i="144" l="1"/>
  <c r="C128" i="144"/>
  <c r="C26" i="44" s="1"/>
  <c r="J108" i="152"/>
  <c r="I108" i="152" s="1"/>
  <c r="E27" i="31"/>
  <c r="G27" i="31" s="1"/>
  <c r="J108" i="146"/>
  <c r="C128" i="146"/>
  <c r="C26" i="45" s="1"/>
  <c r="J108" i="145"/>
  <c r="C128" i="145"/>
  <c r="C26" i="19" s="1"/>
  <c r="J108" i="143"/>
  <c r="C128" i="143"/>
  <c r="C26" i="18" s="1"/>
  <c r="A21" i="152"/>
  <c r="I108" i="143" l="1"/>
  <c r="C129" i="143"/>
  <c r="C27" i="18" s="1"/>
  <c r="I108" i="145"/>
  <c r="C129" i="145"/>
  <c r="C27" i="19" s="1"/>
  <c r="I108" i="146"/>
  <c r="C129" i="146"/>
  <c r="C27" i="45" s="1"/>
  <c r="H108" i="152"/>
  <c r="E28" i="31"/>
  <c r="G28" i="31" s="1"/>
  <c r="I108" i="144"/>
  <c r="C129" i="144"/>
  <c r="C27" i="44" s="1"/>
  <c r="A22" i="152"/>
  <c r="H108" i="144" l="1"/>
  <c r="C130" i="144"/>
  <c r="C28" i="44" s="1"/>
  <c r="G108" i="152"/>
  <c r="E29" i="31"/>
  <c r="G29" i="31" s="1"/>
  <c r="H108" i="146"/>
  <c r="C130" i="146"/>
  <c r="C28" i="45" s="1"/>
  <c r="H108" i="145"/>
  <c r="C130" i="145"/>
  <c r="C28" i="19" s="1"/>
  <c r="H108" i="143"/>
  <c r="C130" i="143"/>
  <c r="C28" i="18" s="1"/>
  <c r="A23" i="152"/>
  <c r="BQ14" i="92"/>
  <c r="BS14" i="92" s="1"/>
  <c r="BT14" i="92" s="1"/>
  <c r="BN67" i="92"/>
  <c r="BM67" i="92"/>
  <c r="BL67" i="92"/>
  <c r="BK67" i="92"/>
  <c r="BJ67" i="92"/>
  <c r="BN66" i="92"/>
  <c r="BM66" i="92"/>
  <c r="BL66" i="92"/>
  <c r="BK66" i="92"/>
  <c r="BJ66" i="92"/>
  <c r="BN65" i="92"/>
  <c r="BM65" i="92"/>
  <c r="BL65" i="92"/>
  <c r="BK65" i="92"/>
  <c r="BJ65" i="92"/>
  <c r="BN64" i="92"/>
  <c r="BM64" i="92"/>
  <c r="BL64" i="92"/>
  <c r="BK64" i="92"/>
  <c r="BJ64" i="92"/>
  <c r="BN63" i="92"/>
  <c r="BM63" i="92"/>
  <c r="BL63" i="92"/>
  <c r="BK63" i="92"/>
  <c r="BJ63" i="92"/>
  <c r="BN62" i="92"/>
  <c r="BM62" i="92"/>
  <c r="BL62" i="92"/>
  <c r="BK62" i="92"/>
  <c r="BJ62" i="92"/>
  <c r="BN61" i="92"/>
  <c r="BM61" i="92"/>
  <c r="BL61" i="92"/>
  <c r="BK61" i="92"/>
  <c r="BJ61" i="92"/>
  <c r="BN60" i="92"/>
  <c r="BM60" i="92"/>
  <c r="BL60" i="92"/>
  <c r="BK60" i="92"/>
  <c r="BJ60" i="92"/>
  <c r="BN59" i="92"/>
  <c r="BM59" i="92"/>
  <c r="BL59" i="92"/>
  <c r="BK59" i="92"/>
  <c r="BJ59" i="92"/>
  <c r="BN56" i="92"/>
  <c r="BM56" i="92"/>
  <c r="BL56" i="92"/>
  <c r="BK56" i="92"/>
  <c r="BJ56" i="92"/>
  <c r="BN42" i="92"/>
  <c r="BM42" i="92"/>
  <c r="BL42" i="92"/>
  <c r="BK42" i="92"/>
  <c r="BJ42" i="92"/>
  <c r="BO28" i="92"/>
  <c r="BN28" i="92"/>
  <c r="BM28" i="92"/>
  <c r="BL28" i="92"/>
  <c r="BK28" i="92"/>
  <c r="BJ28" i="92"/>
  <c r="C131" i="145" l="1"/>
  <c r="C29" i="19" s="1"/>
  <c r="G108" i="145"/>
  <c r="G108" i="146"/>
  <c r="C131" i="146"/>
  <c r="C29" i="45" s="1"/>
  <c r="F108" i="152"/>
  <c r="E30" i="31"/>
  <c r="G30" i="31" s="1"/>
  <c r="G108" i="143"/>
  <c r="C131" i="143"/>
  <c r="C29" i="18" s="1"/>
  <c r="G108" i="144"/>
  <c r="C131" i="144"/>
  <c r="C29" i="44" s="1"/>
  <c r="A24" i="152"/>
  <c r="BJ70" i="92"/>
  <c r="BM70" i="92"/>
  <c r="BN70" i="92"/>
  <c r="BK70" i="92"/>
  <c r="BL70" i="92"/>
  <c r="F108" i="144" l="1"/>
  <c r="C132" i="144"/>
  <c r="C30" i="44" s="1"/>
  <c r="F108" i="143"/>
  <c r="C132" i="143"/>
  <c r="C30" i="18" s="1"/>
  <c r="E108" i="152"/>
  <c r="E31" i="31"/>
  <c r="G31" i="31" s="1"/>
  <c r="F108" i="146"/>
  <c r="C132" i="146"/>
  <c r="C30" i="45" s="1"/>
  <c r="C132" i="145"/>
  <c r="C30" i="19" s="1"/>
  <c r="F108" i="145"/>
  <c r="A25" i="152"/>
  <c r="E108" i="145" l="1"/>
  <c r="C133" i="145"/>
  <c r="C31" i="19" s="1"/>
  <c r="E108" i="146"/>
  <c r="C133" i="146"/>
  <c r="C31" i="45" s="1"/>
  <c r="D108" i="152"/>
  <c r="E32" i="31"/>
  <c r="G32" i="31" s="1"/>
  <c r="E108" i="143"/>
  <c r="C133" i="143"/>
  <c r="C31" i="18" s="1"/>
  <c r="E108" i="144"/>
  <c r="C133" i="144"/>
  <c r="C31" i="44" s="1"/>
  <c r="A26" i="152"/>
  <c r="D108" i="144" l="1"/>
  <c r="C134" i="144"/>
  <c r="C32" i="44" s="1"/>
  <c r="D108" i="143"/>
  <c r="C134" i="143"/>
  <c r="C32" i="18" s="1"/>
  <c r="C108" i="152"/>
  <c r="E33" i="31"/>
  <c r="G33" i="31" s="1"/>
  <c r="D108" i="146"/>
  <c r="C134" i="146"/>
  <c r="C32" i="45" s="1"/>
  <c r="D108" i="145"/>
  <c r="C134" i="145"/>
  <c r="C32" i="19" s="1"/>
  <c r="A27" i="152"/>
  <c r="C108" i="145" l="1"/>
  <c r="C135" i="145"/>
  <c r="C33" i="19" s="1"/>
  <c r="C108" i="146"/>
  <c r="C135" i="146"/>
  <c r="C33" i="45" s="1"/>
  <c r="B108" i="152"/>
  <c r="E35" i="31" s="1"/>
  <c r="G35" i="31" s="1"/>
  <c r="E34" i="31"/>
  <c r="G34" i="31" s="1"/>
  <c r="C108" i="143"/>
  <c r="C135" i="143"/>
  <c r="C33" i="18" s="1"/>
  <c r="C108" i="144"/>
  <c r="C135" i="144"/>
  <c r="C33" i="44" s="1"/>
  <c r="A28" i="152"/>
  <c r="AQ33" i="111"/>
  <c r="B108" i="144" l="1"/>
  <c r="C137" i="144" s="1"/>
  <c r="C35" i="44" s="1"/>
  <c r="C136" i="144"/>
  <c r="C34" i="44" s="1"/>
  <c r="B108" i="143"/>
  <c r="C137" i="143" s="1"/>
  <c r="C35" i="18" s="1"/>
  <c r="C136" i="143"/>
  <c r="C34" i="18" s="1"/>
  <c r="B108" i="146"/>
  <c r="C137" i="146" s="1"/>
  <c r="C35" i="45" s="1"/>
  <c r="C136" i="146"/>
  <c r="C34" i="45" s="1"/>
  <c r="B108" i="145"/>
  <c r="C137" i="145" s="1"/>
  <c r="C35" i="19" s="1"/>
  <c r="C136" i="145"/>
  <c r="C34" i="19" s="1"/>
  <c r="A29" i="152"/>
  <c r="A30" i="152" l="1"/>
  <c r="A31" i="152" l="1"/>
  <c r="A32" i="152" l="1"/>
  <c r="A33" i="152" l="1"/>
  <c r="A34" i="152" l="1"/>
  <c r="R77" i="152"/>
  <c r="A35" i="152" l="1"/>
  <c r="Q78" i="152"/>
  <c r="AQ91" i="92"/>
  <c r="AQ92" i="92" s="1"/>
  <c r="AQ93" i="92" s="1"/>
  <c r="AQ94" i="92" s="1"/>
  <c r="AQ95" i="92" s="1"/>
  <c r="AQ96" i="92" s="1"/>
  <c r="Q102" i="152" l="1"/>
  <c r="Q100" i="152"/>
  <c r="Q98" i="152"/>
  <c r="A36" i="152"/>
  <c r="P79" i="152"/>
  <c r="P100" i="152" l="1"/>
  <c r="P98" i="152"/>
  <c r="P102" i="152"/>
  <c r="A37" i="152"/>
  <c r="O80" i="152"/>
  <c r="AH32" i="41"/>
  <c r="AH31" i="41"/>
  <c r="AH30" i="41"/>
  <c r="AH29" i="41"/>
  <c r="AJ29" i="41" s="1"/>
  <c r="AH28" i="41"/>
  <c r="AJ28" i="41" s="1"/>
  <c r="AG31" i="41"/>
  <c r="AG30" i="41"/>
  <c r="AG29" i="41"/>
  <c r="AG28" i="41"/>
  <c r="AJ30" i="41" l="1"/>
  <c r="AJ31" i="41"/>
  <c r="O102" i="152"/>
  <c r="O100" i="152"/>
  <c r="O98" i="152"/>
  <c r="A38" i="152"/>
  <c r="N81" i="152"/>
  <c r="AK30" i="41"/>
  <c r="AK31" i="41"/>
  <c r="AK29" i="41"/>
  <c r="AK28" i="41"/>
  <c r="N100" i="152" l="1"/>
  <c r="N102" i="152"/>
  <c r="N98" i="152"/>
  <c r="A39" i="152"/>
  <c r="M82" i="152"/>
  <c r="M100" i="152" l="1"/>
  <c r="M102" i="152"/>
  <c r="M98" i="152"/>
  <c r="A40" i="152"/>
  <c r="L83" i="152"/>
  <c r="L98" i="152" l="1"/>
  <c r="L102" i="152"/>
  <c r="L100" i="152"/>
  <c r="A41" i="152"/>
  <c r="K84" i="152"/>
  <c r="K98" i="152" l="1"/>
  <c r="K102" i="152"/>
  <c r="K100" i="152"/>
  <c r="A42" i="152"/>
  <c r="J85" i="152"/>
  <c r="J100" i="152" l="1"/>
  <c r="J102" i="152"/>
  <c r="J98" i="152"/>
  <c r="A43" i="152"/>
  <c r="I86" i="152"/>
  <c r="I98" i="152" l="1"/>
  <c r="I102" i="152"/>
  <c r="I100" i="152"/>
  <c r="A44" i="152"/>
  <c r="H87" i="152"/>
  <c r="H98" i="152" l="1"/>
  <c r="H102" i="152"/>
  <c r="H100" i="152"/>
  <c r="A45" i="152"/>
  <c r="G88" i="152"/>
  <c r="A46" i="152" l="1"/>
  <c r="F89" i="152"/>
  <c r="G102" i="152"/>
  <c r="G100" i="152"/>
  <c r="G98" i="152"/>
  <c r="F100" i="152" l="1"/>
  <c r="F102" i="152"/>
  <c r="F98" i="152"/>
  <c r="A47" i="152"/>
  <c r="E90" i="152"/>
  <c r="AB43" i="131"/>
  <c r="AG30" i="105"/>
  <c r="AF30" i="105"/>
  <c r="AF29" i="105"/>
  <c r="M17" i="31"/>
  <c r="M18" i="31" s="1"/>
  <c r="M19" i="31" s="1"/>
  <c r="M20" i="31" s="1"/>
  <c r="M21" i="31" s="1"/>
  <c r="M22" i="31" s="1"/>
  <c r="M23" i="31" s="1"/>
  <c r="M24" i="31" s="1"/>
  <c r="M25" i="31" s="1"/>
  <c r="M26" i="31" s="1"/>
  <c r="M27" i="31" s="1"/>
  <c r="M28" i="31" s="1"/>
  <c r="M29" i="31" s="1"/>
  <c r="M30" i="31" s="1"/>
  <c r="M31" i="31" s="1"/>
  <c r="M32" i="31" s="1"/>
  <c r="M33" i="31" s="1"/>
  <c r="M34" i="31" s="1"/>
  <c r="M35" i="31" s="1"/>
  <c r="K17" i="3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AI158" i="158"/>
  <c r="AE158" i="158"/>
  <c r="AD158" i="158"/>
  <c r="AI157" i="158"/>
  <c r="AE157" i="158"/>
  <c r="AD157" i="158"/>
  <c r="AI156" i="158"/>
  <c r="AE156" i="158"/>
  <c r="AD156" i="158"/>
  <c r="AI155" i="158"/>
  <c r="AE155" i="158"/>
  <c r="AD155" i="158"/>
  <c r="AI154" i="158"/>
  <c r="AD154" i="158"/>
  <c r="AI153" i="158"/>
  <c r="AE153" i="158"/>
  <c r="AD153" i="158"/>
  <c r="AI152" i="158"/>
  <c r="AE152" i="158"/>
  <c r="AD152" i="158"/>
  <c r="AC152" i="158"/>
  <c r="AB152" i="158"/>
  <c r="AA152" i="158"/>
  <c r="Z152" i="158"/>
  <c r="AI151" i="158"/>
  <c r="AE151" i="158"/>
  <c r="AD151" i="158"/>
  <c r="AC151" i="158"/>
  <c r="AB151" i="158"/>
  <c r="AA151" i="158"/>
  <c r="Z151" i="158"/>
  <c r="AI150" i="158"/>
  <c r="AE150" i="158"/>
  <c r="AD150" i="158"/>
  <c r="AC150" i="158"/>
  <c r="AB150" i="158"/>
  <c r="AA150" i="158"/>
  <c r="Z150" i="158"/>
  <c r="AI149" i="158"/>
  <c r="AE149" i="158"/>
  <c r="AD149" i="158"/>
  <c r="AC149" i="158"/>
  <c r="AB149" i="158"/>
  <c r="AA149" i="158"/>
  <c r="Z149" i="158"/>
  <c r="AI148" i="158"/>
  <c r="AE148" i="158"/>
  <c r="AD148" i="158"/>
  <c r="AC148" i="158"/>
  <c r="AB148" i="158"/>
  <c r="AA148" i="158"/>
  <c r="Z148" i="158"/>
  <c r="AI147" i="158"/>
  <c r="AE147" i="158"/>
  <c r="AD147" i="158"/>
  <c r="AC147" i="158"/>
  <c r="AB147" i="158"/>
  <c r="AA147" i="158"/>
  <c r="Z147" i="158"/>
  <c r="AI146" i="158"/>
  <c r="AE146" i="158"/>
  <c r="AD146" i="158"/>
  <c r="AC146" i="158"/>
  <c r="AB146" i="158"/>
  <c r="AA146" i="158"/>
  <c r="Z146" i="158"/>
  <c r="AI145" i="158"/>
  <c r="AE145" i="158"/>
  <c r="AD145" i="158"/>
  <c r="AC145" i="158"/>
  <c r="AB145" i="158"/>
  <c r="AA145" i="158"/>
  <c r="Z145" i="158"/>
  <c r="AI144" i="158"/>
  <c r="AE144" i="158"/>
  <c r="AD144" i="158"/>
  <c r="AC144" i="158"/>
  <c r="AB144" i="158"/>
  <c r="AA144" i="158"/>
  <c r="Z144" i="158"/>
  <c r="AI143" i="158"/>
  <c r="AE143" i="158"/>
  <c r="AD143" i="158"/>
  <c r="AC143" i="158"/>
  <c r="AB143" i="158"/>
  <c r="AA143" i="158"/>
  <c r="Z143" i="158"/>
  <c r="AI142" i="158"/>
  <c r="AE142" i="158"/>
  <c r="AD142" i="158"/>
  <c r="AC142" i="158"/>
  <c r="AB142" i="158"/>
  <c r="AA142" i="158"/>
  <c r="Z142" i="158"/>
  <c r="AI141" i="158"/>
  <c r="AE141" i="158"/>
  <c r="AD141" i="158"/>
  <c r="AC141" i="158"/>
  <c r="AB141" i="158"/>
  <c r="AA141" i="158"/>
  <c r="Z141" i="158"/>
  <c r="U149" i="158"/>
  <c r="AH116" i="158"/>
  <c r="AG116" i="158"/>
  <c r="AH115" i="158"/>
  <c r="AG115" i="158"/>
  <c r="AI115" i="158" s="1"/>
  <c r="AG114" i="158"/>
  <c r="AG112" i="158"/>
  <c r="AG111" i="158"/>
  <c r="AG110" i="158"/>
  <c r="AH109" i="158"/>
  <c r="AH108" i="158"/>
  <c r="AG106" i="158"/>
  <c r="AG105" i="158"/>
  <c r="AH104" i="158"/>
  <c r="AG104" i="158"/>
  <c r="AI104" i="158" s="1"/>
  <c r="AG103" i="158"/>
  <c r="AG100" i="158"/>
  <c r="AG99" i="158"/>
  <c r="AH98" i="158"/>
  <c r="AG98" i="158"/>
  <c r="AI98" i="158" s="1"/>
  <c r="U141" i="158"/>
  <c r="V157" i="158"/>
  <c r="V155" i="158"/>
  <c r="V153" i="158"/>
  <c r="J152" i="158"/>
  <c r="V152" i="158" s="1"/>
  <c r="I152" i="158"/>
  <c r="K152" i="158" s="1"/>
  <c r="J151" i="158"/>
  <c r="V151" i="158" s="1"/>
  <c r="I151" i="158"/>
  <c r="U151" i="158" s="1"/>
  <c r="J150" i="158"/>
  <c r="V150" i="158" s="1"/>
  <c r="I150" i="158"/>
  <c r="U150" i="158" s="1"/>
  <c r="J149" i="158"/>
  <c r="V149" i="158" s="1"/>
  <c r="I149" i="158"/>
  <c r="J148" i="158"/>
  <c r="V148" i="158" s="1"/>
  <c r="I148" i="158"/>
  <c r="U148" i="158" s="1"/>
  <c r="J147" i="158"/>
  <c r="V147" i="158" s="1"/>
  <c r="I147" i="158"/>
  <c r="U147" i="158" s="1"/>
  <c r="J146" i="158"/>
  <c r="V146" i="158" s="1"/>
  <c r="I146" i="158"/>
  <c r="U146" i="158" s="1"/>
  <c r="J145" i="158"/>
  <c r="V145" i="158" s="1"/>
  <c r="I145" i="158"/>
  <c r="U145" i="158" s="1"/>
  <c r="J144" i="158"/>
  <c r="V144" i="158" s="1"/>
  <c r="I144" i="158"/>
  <c r="U144" i="158" s="1"/>
  <c r="J143" i="158"/>
  <c r="V143" i="158" s="1"/>
  <c r="I143" i="158"/>
  <c r="U143" i="158" s="1"/>
  <c r="J142" i="158"/>
  <c r="V142" i="158" s="1"/>
  <c r="I142" i="158"/>
  <c r="U142" i="158" s="1"/>
  <c r="J141" i="158"/>
  <c r="V141" i="158" s="1"/>
  <c r="I141" i="158"/>
  <c r="W117" i="158"/>
  <c r="W116" i="158"/>
  <c r="W115" i="158"/>
  <c r="W114" i="158"/>
  <c r="W113" i="158"/>
  <c r="W112" i="158"/>
  <c r="W111" i="158"/>
  <c r="W110" i="158"/>
  <c r="W109" i="158"/>
  <c r="W108" i="158"/>
  <c r="W107" i="158"/>
  <c r="W106" i="158"/>
  <c r="W105" i="158"/>
  <c r="W104" i="158"/>
  <c r="W103" i="158"/>
  <c r="W102" i="158"/>
  <c r="W101" i="158"/>
  <c r="W100" i="158"/>
  <c r="W99" i="158"/>
  <c r="W98" i="158"/>
  <c r="K116" i="158"/>
  <c r="K115" i="158"/>
  <c r="K109" i="158"/>
  <c r="K104" i="158"/>
  <c r="K103" i="158"/>
  <c r="W48" i="158"/>
  <c r="S74" i="158"/>
  <c r="S117" i="158" s="1"/>
  <c r="R74" i="158"/>
  <c r="R117" i="158" s="1"/>
  <c r="S73" i="158"/>
  <c r="AE73" i="158" s="1"/>
  <c r="R73" i="158"/>
  <c r="AD73" i="158" s="1"/>
  <c r="S72" i="158"/>
  <c r="AE72" i="158" s="1"/>
  <c r="R72" i="158"/>
  <c r="AD72" i="158" s="1"/>
  <c r="S71" i="158"/>
  <c r="S114" i="158" s="1"/>
  <c r="R71" i="158"/>
  <c r="R114" i="158" s="1"/>
  <c r="S70" i="158"/>
  <c r="AE70" i="158" s="1"/>
  <c r="R70" i="158"/>
  <c r="AD70" i="158" s="1"/>
  <c r="S69" i="158"/>
  <c r="S112" i="158" s="1"/>
  <c r="R69" i="158"/>
  <c r="AD69" i="158" s="1"/>
  <c r="S68" i="158"/>
  <c r="AE68" i="158" s="1"/>
  <c r="R68" i="158"/>
  <c r="R111" i="158" s="1"/>
  <c r="Q68" i="158"/>
  <c r="Q111" i="158" s="1"/>
  <c r="P68" i="158"/>
  <c r="P111" i="158" s="1"/>
  <c r="S67" i="158"/>
  <c r="S110" i="158" s="1"/>
  <c r="R67" i="158"/>
  <c r="R110" i="158" s="1"/>
  <c r="Q67" i="158"/>
  <c r="Q110" i="158" s="1"/>
  <c r="P67" i="158"/>
  <c r="AB67" i="158" s="1"/>
  <c r="S66" i="158"/>
  <c r="S109" i="158" s="1"/>
  <c r="R66" i="158"/>
  <c r="R109" i="158" s="1"/>
  <c r="Q66" i="158"/>
  <c r="Q109" i="158" s="1"/>
  <c r="P66" i="158"/>
  <c r="P109" i="158" s="1"/>
  <c r="S65" i="158"/>
  <c r="S108" i="158" s="1"/>
  <c r="R65" i="158"/>
  <c r="R108" i="158" s="1"/>
  <c r="Q65" i="158"/>
  <c r="Q108" i="158" s="1"/>
  <c r="P65" i="158"/>
  <c r="P108" i="158" s="1"/>
  <c r="S64" i="158"/>
  <c r="AE64" i="158" s="1"/>
  <c r="R64" i="158"/>
  <c r="AD64" i="158" s="1"/>
  <c r="Q64" i="158"/>
  <c r="Q107" i="158" s="1"/>
  <c r="P64" i="158"/>
  <c r="P107" i="158" s="1"/>
  <c r="S63" i="158"/>
  <c r="S106" i="158" s="1"/>
  <c r="R63" i="158"/>
  <c r="R106" i="158" s="1"/>
  <c r="Q63" i="158"/>
  <c r="Q106" i="158" s="1"/>
  <c r="P63" i="158"/>
  <c r="AB63" i="158" s="1"/>
  <c r="S62" i="158"/>
  <c r="AE62" i="158" s="1"/>
  <c r="R62" i="158"/>
  <c r="AD62" i="158" s="1"/>
  <c r="Q62" i="158"/>
  <c r="Q105" i="158" s="1"/>
  <c r="P62" i="158"/>
  <c r="P105" i="158" s="1"/>
  <c r="S61" i="158"/>
  <c r="S104" i="158" s="1"/>
  <c r="R61" i="158"/>
  <c r="R104" i="158" s="1"/>
  <c r="Q61" i="158"/>
  <c r="Q104" i="158" s="1"/>
  <c r="P61" i="158"/>
  <c r="AB61" i="158" s="1"/>
  <c r="S60" i="158"/>
  <c r="AE60" i="158" s="1"/>
  <c r="R60" i="158"/>
  <c r="R103" i="158" s="1"/>
  <c r="Q60" i="158"/>
  <c r="Q103" i="158" s="1"/>
  <c r="P60" i="158"/>
  <c r="P103" i="158" s="1"/>
  <c r="S59" i="158"/>
  <c r="S102" i="158" s="1"/>
  <c r="R59" i="158"/>
  <c r="R102" i="158" s="1"/>
  <c r="Q59" i="158"/>
  <c r="Q102" i="158" s="1"/>
  <c r="P59" i="158"/>
  <c r="AB59" i="158" s="1"/>
  <c r="S58" i="158"/>
  <c r="S101" i="158" s="1"/>
  <c r="R58" i="158"/>
  <c r="R101" i="158" s="1"/>
  <c r="Q58" i="158"/>
  <c r="Q101" i="158" s="1"/>
  <c r="P58" i="158"/>
  <c r="P101" i="158" s="1"/>
  <c r="S57" i="158"/>
  <c r="AE57" i="158" s="1"/>
  <c r="R57" i="158"/>
  <c r="AD57" i="158" s="1"/>
  <c r="Q57" i="158"/>
  <c r="Q100" i="158" s="1"/>
  <c r="P57" i="158"/>
  <c r="AB57" i="158" s="1"/>
  <c r="S56" i="158"/>
  <c r="AE56" i="158" s="1"/>
  <c r="R56" i="158"/>
  <c r="AD56" i="158" s="1"/>
  <c r="Q56" i="158"/>
  <c r="Q99" i="158" s="1"/>
  <c r="P56" i="158"/>
  <c r="P99" i="158" s="1"/>
  <c r="S55" i="158"/>
  <c r="S98" i="158" s="1"/>
  <c r="R55" i="158"/>
  <c r="R98" i="158" s="1"/>
  <c r="Q55" i="158"/>
  <c r="Q98" i="158" s="1"/>
  <c r="P55" i="158"/>
  <c r="AB55" i="158" s="1"/>
  <c r="AH73" i="158"/>
  <c r="AG73" i="158"/>
  <c r="AH72" i="158"/>
  <c r="AG72" i="158"/>
  <c r="AH71" i="158"/>
  <c r="AH114" i="158" s="1"/>
  <c r="AG71" i="158"/>
  <c r="AI71" i="158" s="1"/>
  <c r="AH70" i="158"/>
  <c r="AH113" i="158" s="1"/>
  <c r="AG70" i="158"/>
  <c r="AI70" i="158" s="1"/>
  <c r="AH69" i="158"/>
  <c r="AH112" i="158" s="1"/>
  <c r="AG69" i="158"/>
  <c r="AH68" i="158"/>
  <c r="AI68" i="158" s="1"/>
  <c r="AG68" i="158"/>
  <c r="AH67" i="158"/>
  <c r="AH110" i="158" s="1"/>
  <c r="AG67" i="158"/>
  <c r="AH66" i="158"/>
  <c r="AG66" i="158"/>
  <c r="AG109" i="158" s="1"/>
  <c r="AI109" i="158" s="1"/>
  <c r="AH65" i="158"/>
  <c r="AG65" i="158"/>
  <c r="AG108" i="158" s="1"/>
  <c r="AI108" i="158" s="1"/>
  <c r="AH64" i="158"/>
  <c r="AH107" i="158" s="1"/>
  <c r="AG64" i="158"/>
  <c r="AG107" i="158" s="1"/>
  <c r="AH63" i="158"/>
  <c r="AH106" i="158" s="1"/>
  <c r="AG63" i="158"/>
  <c r="AH62" i="158"/>
  <c r="AI62" i="158" s="1"/>
  <c r="AG62" i="158"/>
  <c r="AH61" i="158"/>
  <c r="AG61" i="158"/>
  <c r="AH60" i="158"/>
  <c r="AG60" i="158"/>
  <c r="AH59" i="158"/>
  <c r="AH102" i="158" s="1"/>
  <c r="AG59" i="158"/>
  <c r="AG102" i="158" s="1"/>
  <c r="AI102" i="158" s="1"/>
  <c r="AH58" i="158"/>
  <c r="AH101" i="158" s="1"/>
  <c r="AG58" i="158"/>
  <c r="AI58" i="158" s="1"/>
  <c r="AH57" i="158"/>
  <c r="AH100" i="158" s="1"/>
  <c r="AG57" i="158"/>
  <c r="AH56" i="158"/>
  <c r="AI56" i="158" s="1"/>
  <c r="AG56" i="158"/>
  <c r="AH55" i="158"/>
  <c r="AG55" i="158"/>
  <c r="V138" i="158"/>
  <c r="W138" i="158" s="1"/>
  <c r="U138" i="158"/>
  <c r="U95" i="158"/>
  <c r="V95" i="158" s="1"/>
  <c r="W95" i="158" s="1"/>
  <c r="W74" i="158"/>
  <c r="W73" i="158"/>
  <c r="W72" i="158"/>
  <c r="W71" i="158"/>
  <c r="W70" i="158"/>
  <c r="W69" i="158"/>
  <c r="W68" i="158"/>
  <c r="W67" i="158"/>
  <c r="W66" i="158"/>
  <c r="W65" i="158"/>
  <c r="W64" i="158"/>
  <c r="W63" i="158"/>
  <c r="W62" i="158"/>
  <c r="W61" i="158"/>
  <c r="W60" i="158"/>
  <c r="W59" i="158"/>
  <c r="W58" i="158"/>
  <c r="W57" i="158"/>
  <c r="W56" i="158"/>
  <c r="W55" i="158"/>
  <c r="AG138" i="158"/>
  <c r="AH138" i="158" s="1"/>
  <c r="AI138" i="158" s="1"/>
  <c r="AI73" i="158"/>
  <c r="AI61" i="158"/>
  <c r="AI59" i="158"/>
  <c r="K151" i="158"/>
  <c r="K149" i="158"/>
  <c r="K147" i="158"/>
  <c r="K141" i="158"/>
  <c r="I52" i="158"/>
  <c r="J52" i="158" s="1"/>
  <c r="K117" i="158"/>
  <c r="K114" i="158"/>
  <c r="K113" i="158"/>
  <c r="K112" i="158"/>
  <c r="K111" i="158"/>
  <c r="K110" i="158"/>
  <c r="K108" i="158"/>
  <c r="K107" i="158"/>
  <c r="K106" i="158"/>
  <c r="K105" i="158"/>
  <c r="K102" i="158"/>
  <c r="K101" i="158"/>
  <c r="K100" i="158"/>
  <c r="K99" i="158"/>
  <c r="K98" i="158"/>
  <c r="K60" i="158"/>
  <c r="K59" i="158"/>
  <c r="K58" i="158"/>
  <c r="K57" i="158"/>
  <c r="K56" i="158"/>
  <c r="K55" i="158"/>
  <c r="AI30" i="158"/>
  <c r="AI29" i="158"/>
  <c r="AI28" i="158"/>
  <c r="AI27" i="158"/>
  <c r="AI26" i="158"/>
  <c r="AI25" i="158"/>
  <c r="AI24" i="158"/>
  <c r="AI23" i="158"/>
  <c r="AI22" i="158"/>
  <c r="AI21" i="158"/>
  <c r="AI20" i="158"/>
  <c r="AI19" i="158"/>
  <c r="AI18" i="158"/>
  <c r="AI17" i="158"/>
  <c r="AI16" i="158"/>
  <c r="AI15" i="158"/>
  <c r="AI14" i="158"/>
  <c r="AI13" i="158"/>
  <c r="AI12" i="158"/>
  <c r="W31" i="158"/>
  <c r="W30" i="158"/>
  <c r="W29" i="158"/>
  <c r="W28" i="158"/>
  <c r="W27" i="158"/>
  <c r="W26" i="158"/>
  <c r="W25" i="158"/>
  <c r="W24" i="158"/>
  <c r="W23" i="158"/>
  <c r="W22" i="158"/>
  <c r="W21" i="158"/>
  <c r="W20" i="158"/>
  <c r="W19" i="158"/>
  <c r="W18" i="158"/>
  <c r="W17" i="158"/>
  <c r="W16" i="158"/>
  <c r="W15" i="158"/>
  <c r="W14" i="158"/>
  <c r="W13" i="158"/>
  <c r="W12" i="158"/>
  <c r="K30" i="158"/>
  <c r="K29" i="158"/>
  <c r="K28" i="158"/>
  <c r="K27" i="158"/>
  <c r="K26" i="158"/>
  <c r="K25" i="158"/>
  <c r="K24" i="158"/>
  <c r="K23" i="158"/>
  <c r="K22" i="158"/>
  <c r="K21" i="158"/>
  <c r="K20" i="158"/>
  <c r="K19" i="158"/>
  <c r="K18" i="158"/>
  <c r="K17" i="158"/>
  <c r="K16" i="158"/>
  <c r="K15" i="158"/>
  <c r="K14" i="158"/>
  <c r="K13" i="158"/>
  <c r="K12" i="158"/>
  <c r="AD30" i="158"/>
  <c r="Y142" i="158"/>
  <c r="Y143" i="158" s="1"/>
  <c r="Y144" i="158" s="1"/>
  <c r="Y145" i="158" s="1"/>
  <c r="Y146" i="158" s="1"/>
  <c r="Y147" i="158" s="1"/>
  <c r="Y148" i="158" s="1"/>
  <c r="Y149" i="158" s="1"/>
  <c r="Y150" i="158" s="1"/>
  <c r="Y151" i="158" s="1"/>
  <c r="Y152" i="158" s="1"/>
  <c r="Y153" i="158" s="1"/>
  <c r="Y154" i="158" s="1"/>
  <c r="Y155" i="158" s="1"/>
  <c r="Y156" i="158" s="1"/>
  <c r="Y157" i="158" s="1"/>
  <c r="Y158" i="158" s="1"/>
  <c r="Y159" i="158" s="1"/>
  <c r="Y160" i="158" s="1"/>
  <c r="Y161" i="158" s="1"/>
  <c r="Y162" i="158" s="1"/>
  <c r="Y163" i="158" s="1"/>
  <c r="Y164" i="158" s="1"/>
  <c r="Y165" i="158" s="1"/>
  <c r="Y166" i="158" s="1"/>
  <c r="Y167" i="158" s="1"/>
  <c r="Y168" i="158" s="1"/>
  <c r="Y169" i="158" s="1"/>
  <c r="Z138" i="158"/>
  <c r="AA138" i="158" s="1"/>
  <c r="AB138" i="158" s="1"/>
  <c r="AC138" i="158" s="1"/>
  <c r="AD138" i="158" s="1"/>
  <c r="AE138" i="158" s="1"/>
  <c r="AF138" i="158" s="1"/>
  <c r="Y99" i="158"/>
  <c r="Y100" i="158" s="1"/>
  <c r="Y101" i="158" s="1"/>
  <c r="Y102" i="158" s="1"/>
  <c r="Y103" i="158" s="1"/>
  <c r="Y104" i="158" s="1"/>
  <c r="Y105" i="158" s="1"/>
  <c r="Y106" i="158" s="1"/>
  <c r="Y107" i="158" s="1"/>
  <c r="Y108" i="158" s="1"/>
  <c r="Y109" i="158" s="1"/>
  <c r="Y110" i="158" s="1"/>
  <c r="Y111" i="158" s="1"/>
  <c r="Y112" i="158" s="1"/>
  <c r="Y113" i="158" s="1"/>
  <c r="Y114" i="158" s="1"/>
  <c r="Y115" i="158" s="1"/>
  <c r="Y116" i="158" s="1"/>
  <c r="Y117" i="158" s="1"/>
  <c r="Y118" i="158" s="1"/>
  <c r="Y119" i="158" s="1"/>
  <c r="Y120" i="158" s="1"/>
  <c r="Y121" i="158" s="1"/>
  <c r="Y122" i="158" s="1"/>
  <c r="Y123" i="158" s="1"/>
  <c r="Y124" i="158" s="1"/>
  <c r="Y125" i="158" s="1"/>
  <c r="Y126" i="158" s="1"/>
  <c r="Z95" i="158"/>
  <c r="AA95" i="158" s="1"/>
  <c r="AB95" i="158" s="1"/>
  <c r="AC95" i="158" s="1"/>
  <c r="AD95" i="158" s="1"/>
  <c r="AE95" i="158" s="1"/>
  <c r="AF95" i="158" s="1"/>
  <c r="AG95" i="158" s="1"/>
  <c r="AH95" i="158" s="1"/>
  <c r="AI95" i="158" s="1"/>
  <c r="Y56" i="158"/>
  <c r="Y57" i="158" s="1"/>
  <c r="Y58" i="158" s="1"/>
  <c r="Y59" i="158" s="1"/>
  <c r="Y60" i="158" s="1"/>
  <c r="Y61" i="158" s="1"/>
  <c r="Y62" i="158" s="1"/>
  <c r="Y63" i="158" s="1"/>
  <c r="Y64" i="158" s="1"/>
  <c r="Y65" i="158" s="1"/>
  <c r="Y66" i="158" s="1"/>
  <c r="Y67" i="158" s="1"/>
  <c r="Y68" i="158" s="1"/>
  <c r="Y69" i="158" s="1"/>
  <c r="Y70" i="158" s="1"/>
  <c r="Y71" i="158" s="1"/>
  <c r="Y72" i="158" s="1"/>
  <c r="Y73" i="158" s="1"/>
  <c r="Y74" i="158" s="1"/>
  <c r="Y75" i="158" s="1"/>
  <c r="Y76" i="158" s="1"/>
  <c r="Y77" i="158" s="1"/>
  <c r="Y78" i="158" s="1"/>
  <c r="Y79" i="158" s="1"/>
  <c r="Y80" i="158" s="1"/>
  <c r="Y81" i="158" s="1"/>
  <c r="Y82" i="158" s="1"/>
  <c r="Y83" i="158" s="1"/>
  <c r="Z52" i="158"/>
  <c r="AA52" i="158" s="1"/>
  <c r="AB52" i="158" s="1"/>
  <c r="AC52" i="158" s="1"/>
  <c r="AD52" i="158" s="1"/>
  <c r="AE52" i="158" s="1"/>
  <c r="AF52" i="158" s="1"/>
  <c r="AG52" i="158" s="1"/>
  <c r="AH52" i="158" s="1"/>
  <c r="AI52" i="158" s="1"/>
  <c r="Y13" i="158"/>
  <c r="Y14" i="158" s="1"/>
  <c r="Y15" i="158" s="1"/>
  <c r="Y16" i="158" s="1"/>
  <c r="Y17" i="158" s="1"/>
  <c r="Y18" i="158" s="1"/>
  <c r="Y19" i="158" s="1"/>
  <c r="Y20" i="158" s="1"/>
  <c r="Y21" i="158" s="1"/>
  <c r="Y22" i="158" s="1"/>
  <c r="Y23" i="158" s="1"/>
  <c r="Y24" i="158" s="1"/>
  <c r="Y25" i="158" s="1"/>
  <c r="Y26" i="158" s="1"/>
  <c r="Y27" i="158" s="1"/>
  <c r="Y28" i="158" s="1"/>
  <c r="Y29" i="158" s="1"/>
  <c r="Y30" i="158" s="1"/>
  <c r="Y31" i="158" s="1"/>
  <c r="Y32" i="158" s="1"/>
  <c r="Y33" i="158" s="1"/>
  <c r="Y34" i="158" s="1"/>
  <c r="Y35" i="158" s="1"/>
  <c r="Y36" i="158" s="1"/>
  <c r="Y37" i="158" s="1"/>
  <c r="Y38" i="158" s="1"/>
  <c r="Y39" i="158" s="1"/>
  <c r="Y40" i="158" s="1"/>
  <c r="Z9" i="158"/>
  <c r="AA9" i="158" s="1"/>
  <c r="AB9" i="158" s="1"/>
  <c r="AC9" i="158" s="1"/>
  <c r="AD9" i="158" s="1"/>
  <c r="AE9" i="158" s="1"/>
  <c r="AF9" i="158" s="1"/>
  <c r="AG9" i="158" s="1"/>
  <c r="AH9" i="158" s="1"/>
  <c r="AI9" i="158" s="1"/>
  <c r="M142" i="158"/>
  <c r="M143" i="158" s="1"/>
  <c r="M144" i="158" s="1"/>
  <c r="M145" i="158" s="1"/>
  <c r="M146" i="158" s="1"/>
  <c r="M147" i="158" s="1"/>
  <c r="M148" i="158" s="1"/>
  <c r="M149" i="158" s="1"/>
  <c r="M150" i="158" s="1"/>
  <c r="M151" i="158" s="1"/>
  <c r="M152" i="158" s="1"/>
  <c r="M153" i="158" s="1"/>
  <c r="M154" i="158" s="1"/>
  <c r="M155" i="158" s="1"/>
  <c r="M156" i="158" s="1"/>
  <c r="M157" i="158" s="1"/>
  <c r="M158" i="158" s="1"/>
  <c r="M159" i="158" s="1"/>
  <c r="M160" i="158" s="1"/>
  <c r="M161" i="158" s="1"/>
  <c r="M162" i="158" s="1"/>
  <c r="M163" i="158" s="1"/>
  <c r="M164" i="158" s="1"/>
  <c r="M165" i="158" s="1"/>
  <c r="M166" i="158" s="1"/>
  <c r="M167" i="158" s="1"/>
  <c r="M168" i="158" s="1"/>
  <c r="M169" i="158" s="1"/>
  <c r="N138" i="158"/>
  <c r="O138" i="158" s="1"/>
  <c r="P138" i="158" s="1"/>
  <c r="Q138" i="158" s="1"/>
  <c r="R138" i="158" s="1"/>
  <c r="S138" i="158" s="1"/>
  <c r="T138" i="158" s="1"/>
  <c r="M99" i="158"/>
  <c r="M100" i="158" s="1"/>
  <c r="M101" i="158" s="1"/>
  <c r="M102" i="158" s="1"/>
  <c r="M103" i="158" s="1"/>
  <c r="M104" i="158" s="1"/>
  <c r="M105" i="158" s="1"/>
  <c r="M106" i="158" s="1"/>
  <c r="M107" i="158" s="1"/>
  <c r="M108" i="158" s="1"/>
  <c r="M109" i="158" s="1"/>
  <c r="M110" i="158" s="1"/>
  <c r="M111" i="158" s="1"/>
  <c r="M112" i="158" s="1"/>
  <c r="M113" i="158" s="1"/>
  <c r="M114" i="158" s="1"/>
  <c r="M115" i="158" s="1"/>
  <c r="M116" i="158" s="1"/>
  <c r="M117" i="158" s="1"/>
  <c r="M118" i="158" s="1"/>
  <c r="M119" i="158" s="1"/>
  <c r="M120" i="158" s="1"/>
  <c r="M121" i="158" s="1"/>
  <c r="M122" i="158" s="1"/>
  <c r="M123" i="158" s="1"/>
  <c r="M124" i="158" s="1"/>
  <c r="M125" i="158" s="1"/>
  <c r="M126" i="158" s="1"/>
  <c r="N95" i="158"/>
  <c r="O95" i="158" s="1"/>
  <c r="P95" i="158" s="1"/>
  <c r="Q95" i="158" s="1"/>
  <c r="R95" i="158" s="1"/>
  <c r="S95" i="158" s="1"/>
  <c r="T95" i="158" s="1"/>
  <c r="M56" i="158"/>
  <c r="M57" i="158" s="1"/>
  <c r="M58" i="158" s="1"/>
  <c r="M59" i="158" s="1"/>
  <c r="M60" i="158" s="1"/>
  <c r="M61" i="158" s="1"/>
  <c r="M62" i="158" s="1"/>
  <c r="M63" i="158" s="1"/>
  <c r="M64" i="158" s="1"/>
  <c r="M65" i="158" s="1"/>
  <c r="M66" i="158" s="1"/>
  <c r="M67" i="158" s="1"/>
  <c r="M68" i="158" s="1"/>
  <c r="M69" i="158" s="1"/>
  <c r="M70" i="158" s="1"/>
  <c r="M71" i="158" s="1"/>
  <c r="M72" i="158" s="1"/>
  <c r="M73" i="158" s="1"/>
  <c r="M74" i="158" s="1"/>
  <c r="M75" i="158" s="1"/>
  <c r="M76" i="158" s="1"/>
  <c r="M77" i="158" s="1"/>
  <c r="M78" i="158" s="1"/>
  <c r="M79" i="158" s="1"/>
  <c r="M80" i="158" s="1"/>
  <c r="M81" i="158" s="1"/>
  <c r="M82" i="158" s="1"/>
  <c r="M83" i="158" s="1"/>
  <c r="N52" i="158"/>
  <c r="O52" i="158" s="1"/>
  <c r="P52" i="158" s="1"/>
  <c r="Q52" i="158" s="1"/>
  <c r="R52" i="158" s="1"/>
  <c r="S52" i="158" s="1"/>
  <c r="T52" i="158" s="1"/>
  <c r="U52" i="158" s="1"/>
  <c r="V52" i="158" s="1"/>
  <c r="W52" i="158" s="1"/>
  <c r="M13" i="158"/>
  <c r="M14" i="158" s="1"/>
  <c r="M15" i="158" s="1"/>
  <c r="M16" i="158" s="1"/>
  <c r="M17" i="158" s="1"/>
  <c r="M18" i="158" s="1"/>
  <c r="M19" i="158" s="1"/>
  <c r="M20" i="158" s="1"/>
  <c r="M21" i="158" s="1"/>
  <c r="M22" i="158" s="1"/>
  <c r="M23" i="158" s="1"/>
  <c r="M24" i="158" s="1"/>
  <c r="M25" i="158" s="1"/>
  <c r="M26" i="158" s="1"/>
  <c r="M27" i="158" s="1"/>
  <c r="M28" i="158" s="1"/>
  <c r="M29" i="158" s="1"/>
  <c r="M30" i="158" s="1"/>
  <c r="M31" i="158" s="1"/>
  <c r="M32" i="158" s="1"/>
  <c r="M33" i="158" s="1"/>
  <c r="M34" i="158" s="1"/>
  <c r="M35" i="158" s="1"/>
  <c r="M36" i="158" s="1"/>
  <c r="M37" i="158" s="1"/>
  <c r="M38" i="158" s="1"/>
  <c r="M39" i="158" s="1"/>
  <c r="M40" i="158" s="1"/>
  <c r="N9" i="158"/>
  <c r="O9" i="158" s="1"/>
  <c r="P9" i="158" s="1"/>
  <c r="Q9" i="158" s="1"/>
  <c r="R9" i="158" s="1"/>
  <c r="S9" i="158" s="1"/>
  <c r="T9" i="158" s="1"/>
  <c r="U9" i="158" s="1"/>
  <c r="V9" i="158" s="1"/>
  <c r="W9" i="158" s="1"/>
  <c r="W43" i="131"/>
  <c r="Q43" i="131"/>
  <c r="V55" i="99"/>
  <c r="W55" i="99" s="1"/>
  <c r="X55" i="99" s="1"/>
  <c r="Y55" i="99" s="1"/>
  <c r="Z55" i="99" s="1"/>
  <c r="AE154" i="158"/>
  <c r="A142" i="158"/>
  <c r="A143" i="158" s="1"/>
  <c r="A144" i="158" s="1"/>
  <c r="A145" i="158" s="1"/>
  <c r="A146" i="158" s="1"/>
  <c r="A147" i="158" s="1"/>
  <c r="A148" i="158" s="1"/>
  <c r="A149" i="158" s="1"/>
  <c r="A150" i="158" s="1"/>
  <c r="A151" i="158" s="1"/>
  <c r="A152" i="158" s="1"/>
  <c r="A153" i="158" s="1"/>
  <c r="A154" i="158" s="1"/>
  <c r="A155" i="158" s="1"/>
  <c r="A156" i="158" s="1"/>
  <c r="A157" i="158" s="1"/>
  <c r="A158" i="158" s="1"/>
  <c r="A159" i="158" s="1"/>
  <c r="A160" i="158" s="1"/>
  <c r="A161" i="158" s="1"/>
  <c r="A162" i="158" s="1"/>
  <c r="A163" i="158" s="1"/>
  <c r="A164" i="158" s="1"/>
  <c r="A165" i="158" s="1"/>
  <c r="A166" i="158" s="1"/>
  <c r="A167" i="158" s="1"/>
  <c r="A168" i="158" s="1"/>
  <c r="A169" i="158" s="1"/>
  <c r="B138" i="158"/>
  <c r="C138" i="158" s="1"/>
  <c r="D138" i="158" s="1"/>
  <c r="E138" i="158" s="1"/>
  <c r="F138" i="158" s="1"/>
  <c r="G138" i="158" s="1"/>
  <c r="H138" i="158" s="1"/>
  <c r="I138" i="158" s="1"/>
  <c r="J138" i="158" s="1"/>
  <c r="K138" i="158" s="1"/>
  <c r="A99" i="158"/>
  <c r="A100" i="158" s="1"/>
  <c r="A101" i="158" s="1"/>
  <c r="A102" i="158" s="1"/>
  <c r="A103" i="158" s="1"/>
  <c r="A104" i="158" s="1"/>
  <c r="A105" i="158" s="1"/>
  <c r="A106" i="158" s="1"/>
  <c r="A107" i="158" s="1"/>
  <c r="A108" i="158" s="1"/>
  <c r="A109" i="158" s="1"/>
  <c r="A110" i="158" s="1"/>
  <c r="A111" i="158" s="1"/>
  <c r="A112" i="158" s="1"/>
  <c r="A113" i="158" s="1"/>
  <c r="A114" i="158" s="1"/>
  <c r="A115" i="158" s="1"/>
  <c r="A116" i="158" s="1"/>
  <c r="A117" i="158" s="1"/>
  <c r="A118" i="158" s="1"/>
  <c r="A119" i="158" s="1"/>
  <c r="A120" i="158" s="1"/>
  <c r="A121" i="158" s="1"/>
  <c r="A122" i="158" s="1"/>
  <c r="A123" i="158" s="1"/>
  <c r="A124" i="158" s="1"/>
  <c r="A125" i="158" s="1"/>
  <c r="A126" i="158" s="1"/>
  <c r="B95" i="158"/>
  <c r="C95" i="158" s="1"/>
  <c r="D95" i="158" s="1"/>
  <c r="E95" i="158" s="1"/>
  <c r="F95" i="158" s="1"/>
  <c r="G95" i="158" s="1"/>
  <c r="H95" i="158" s="1"/>
  <c r="I95" i="158" s="1"/>
  <c r="J95" i="158" s="1"/>
  <c r="A56" i="158"/>
  <c r="A57" i="158" s="1"/>
  <c r="A58" i="158" s="1"/>
  <c r="A59" i="158" s="1"/>
  <c r="A60" i="158" s="1"/>
  <c r="A61" i="158" s="1"/>
  <c r="A62" i="158" s="1"/>
  <c r="A63" i="158" s="1"/>
  <c r="A64" i="158" s="1"/>
  <c r="A65" i="158" s="1"/>
  <c r="A66" i="158" s="1"/>
  <c r="A67" i="158" s="1"/>
  <c r="A68" i="158" s="1"/>
  <c r="A69" i="158" s="1"/>
  <c r="A70" i="158" s="1"/>
  <c r="A71" i="158" s="1"/>
  <c r="A72" i="158" s="1"/>
  <c r="A73" i="158" s="1"/>
  <c r="A74" i="158" s="1"/>
  <c r="A75" i="158" s="1"/>
  <c r="A76" i="158" s="1"/>
  <c r="A77" i="158" s="1"/>
  <c r="A78" i="158" s="1"/>
  <c r="A79" i="158" s="1"/>
  <c r="A80" i="158" s="1"/>
  <c r="A81" i="158" s="1"/>
  <c r="A82" i="158" s="1"/>
  <c r="A83" i="158" s="1"/>
  <c r="B52" i="158"/>
  <c r="C52" i="158" s="1"/>
  <c r="D52" i="158" s="1"/>
  <c r="E52" i="158" s="1"/>
  <c r="F52" i="158" s="1"/>
  <c r="G52" i="158" s="1"/>
  <c r="H52" i="158" s="1"/>
  <c r="B9" i="158"/>
  <c r="C9" i="158" s="1"/>
  <c r="D9" i="158" s="1"/>
  <c r="E9" i="158" s="1"/>
  <c r="F9" i="158" s="1"/>
  <c r="G9" i="158" s="1"/>
  <c r="H9" i="158" s="1"/>
  <c r="I9" i="158" s="1"/>
  <c r="J9" i="158" s="1"/>
  <c r="K9" i="158" s="1"/>
  <c r="A13" i="158"/>
  <c r="A14" i="158" s="1"/>
  <c r="A15" i="158" s="1"/>
  <c r="A16" i="158" s="1"/>
  <c r="A17" i="158" s="1"/>
  <c r="A18" i="158" s="1"/>
  <c r="A19" i="158" s="1"/>
  <c r="A20" i="158" s="1"/>
  <c r="A21" i="158" s="1"/>
  <c r="A22" i="158" s="1"/>
  <c r="A23" i="158" s="1"/>
  <c r="A24" i="158" s="1"/>
  <c r="A25" i="158" s="1"/>
  <c r="A26" i="158" s="1"/>
  <c r="A27" i="158" s="1"/>
  <c r="A28" i="158" s="1"/>
  <c r="A29" i="158" s="1"/>
  <c r="A30" i="158" s="1"/>
  <c r="A31" i="158" s="1"/>
  <c r="A32" i="158" s="1"/>
  <c r="A33" i="158" s="1"/>
  <c r="A34" i="158" s="1"/>
  <c r="A35" i="158" s="1"/>
  <c r="A36" i="158" s="1"/>
  <c r="A37" i="158" s="1"/>
  <c r="A38" i="158" s="1"/>
  <c r="A39" i="158" s="1"/>
  <c r="A40" i="158" s="1"/>
  <c r="AY125" i="105"/>
  <c r="AY124" i="105"/>
  <c r="AY123" i="105"/>
  <c r="AY122" i="105"/>
  <c r="AY121" i="105"/>
  <c r="AY120" i="105"/>
  <c r="AY119" i="105"/>
  <c r="AY118" i="105"/>
  <c r="AY117" i="105"/>
  <c r="AY116" i="105"/>
  <c r="BA115" i="105"/>
  <c r="AZ115" i="105"/>
  <c r="AY115" i="105"/>
  <c r="BA114" i="105"/>
  <c r="AY114" i="105"/>
  <c r="BA113" i="105"/>
  <c r="AZ113" i="105"/>
  <c r="AY113" i="105"/>
  <c r="BA112" i="105"/>
  <c r="AZ112" i="105"/>
  <c r="AY112" i="105"/>
  <c r="BA111" i="105"/>
  <c r="AZ111" i="105"/>
  <c r="AY111" i="105"/>
  <c r="BA110" i="105"/>
  <c r="AZ110" i="105"/>
  <c r="AY110" i="105"/>
  <c r="BA109" i="105"/>
  <c r="AZ109" i="105"/>
  <c r="AY109" i="105"/>
  <c r="AX109" i="105"/>
  <c r="BA108" i="105"/>
  <c r="AZ108" i="105"/>
  <c r="AY108" i="105"/>
  <c r="AX108" i="105"/>
  <c r="AW108" i="105"/>
  <c r="BA107" i="105"/>
  <c r="AZ107" i="105"/>
  <c r="AY107" i="105"/>
  <c r="AX107" i="105"/>
  <c r="AW107" i="105"/>
  <c r="BA106" i="105"/>
  <c r="AZ106" i="105"/>
  <c r="AY106" i="105"/>
  <c r="AX106" i="105"/>
  <c r="AW106" i="105"/>
  <c r="BA105" i="105"/>
  <c r="AZ105" i="105"/>
  <c r="AY105" i="105"/>
  <c r="AX105" i="105"/>
  <c r="AW105" i="105"/>
  <c r="BA104" i="105"/>
  <c r="AZ104" i="105"/>
  <c r="AY104" i="105"/>
  <c r="AX104" i="105"/>
  <c r="AW104" i="105"/>
  <c r="BA103" i="105"/>
  <c r="AZ103" i="105"/>
  <c r="AY103" i="105"/>
  <c r="AX103" i="105"/>
  <c r="AW103" i="105"/>
  <c r="BA102" i="105"/>
  <c r="AZ102" i="105"/>
  <c r="AY102" i="105"/>
  <c r="AX102" i="105"/>
  <c r="AW102" i="105"/>
  <c r="BA101" i="105"/>
  <c r="AZ101" i="105"/>
  <c r="AY101" i="105"/>
  <c r="AX101" i="105"/>
  <c r="AW101" i="105"/>
  <c r="BA100" i="105"/>
  <c r="AZ100" i="105"/>
  <c r="AY100" i="105"/>
  <c r="AX100" i="105"/>
  <c r="AW100" i="105"/>
  <c r="BA99" i="105"/>
  <c r="AZ99" i="105"/>
  <c r="AY99" i="105"/>
  <c r="AX99" i="105"/>
  <c r="AW99" i="105"/>
  <c r="BA98" i="105"/>
  <c r="AZ98" i="105"/>
  <c r="AY98" i="105"/>
  <c r="AX98" i="105"/>
  <c r="AW98" i="105"/>
  <c r="BA97" i="105"/>
  <c r="AZ97" i="105"/>
  <c r="AY97" i="105"/>
  <c r="AX97" i="105"/>
  <c r="AW97" i="105"/>
  <c r="AR133" i="105"/>
  <c r="AR97" i="105"/>
  <c r="AR98" i="105" s="1"/>
  <c r="AR99" i="105" s="1"/>
  <c r="AR100" i="105" s="1"/>
  <c r="AR101" i="105" s="1"/>
  <c r="AR102" i="105" s="1"/>
  <c r="AR103" i="105" s="1"/>
  <c r="AR104" i="105" s="1"/>
  <c r="AR105" i="105" s="1"/>
  <c r="AR106" i="105" s="1"/>
  <c r="AR107" i="105" s="1"/>
  <c r="AR108" i="105" s="1"/>
  <c r="AR109" i="105" s="1"/>
  <c r="AR110" i="105" s="1"/>
  <c r="AR111" i="105" s="1"/>
  <c r="AR112" i="105" s="1"/>
  <c r="AR113" i="105" s="1"/>
  <c r="AR114" i="105" s="1"/>
  <c r="AR115" i="105" s="1"/>
  <c r="AR116" i="105" s="1"/>
  <c r="AR117" i="105" s="1"/>
  <c r="AR118" i="105" s="1"/>
  <c r="AR119" i="105" s="1"/>
  <c r="AR120" i="105" s="1"/>
  <c r="AR121" i="105" s="1"/>
  <c r="AR122" i="105" s="1"/>
  <c r="AR123" i="105" s="1"/>
  <c r="AR124" i="105" s="1"/>
  <c r="AR125" i="105" s="1"/>
  <c r="AI107" i="158" l="1"/>
  <c r="W141" i="158"/>
  <c r="W144" i="158"/>
  <c r="AI110" i="158"/>
  <c r="AH99" i="158"/>
  <c r="AI99" i="158" s="1"/>
  <c r="AI116" i="158"/>
  <c r="AH105" i="158"/>
  <c r="AI105" i="158" s="1"/>
  <c r="AI111" i="158"/>
  <c r="AI106" i="158"/>
  <c r="AH111" i="158"/>
  <c r="AI64" i="158"/>
  <c r="AI60" i="158"/>
  <c r="AI72" i="158"/>
  <c r="AG101" i="158"/>
  <c r="AI101" i="158" s="1"/>
  <c r="AI112" i="158"/>
  <c r="W149" i="158"/>
  <c r="K142" i="158"/>
  <c r="AI65" i="158"/>
  <c r="AI55" i="158"/>
  <c r="AI67" i="158"/>
  <c r="W147" i="158"/>
  <c r="K143" i="158"/>
  <c r="AI66" i="158"/>
  <c r="AG113" i="158"/>
  <c r="AI113" i="158" s="1"/>
  <c r="K145" i="158"/>
  <c r="AI114" i="158"/>
  <c r="K148" i="158"/>
  <c r="AI57" i="158"/>
  <c r="AI63" i="158"/>
  <c r="AI69" i="158"/>
  <c r="W143" i="158"/>
  <c r="AH103" i="158"/>
  <c r="AI103" i="158" s="1"/>
  <c r="AW29" i="105"/>
  <c r="AW109" i="105" s="1"/>
  <c r="R70" i="15"/>
  <c r="AW30" i="105"/>
  <c r="AW110" i="105" s="1"/>
  <c r="R71" i="15"/>
  <c r="AX30" i="105"/>
  <c r="AX110" i="105" s="1"/>
  <c r="S71" i="15"/>
  <c r="AF141" i="158"/>
  <c r="W150" i="158"/>
  <c r="W145" i="158"/>
  <c r="W151" i="158"/>
  <c r="W146" i="158"/>
  <c r="W142" i="158"/>
  <c r="W148" i="158"/>
  <c r="K150" i="158"/>
  <c r="V156" i="158"/>
  <c r="AC103" i="158"/>
  <c r="U152" i="158"/>
  <c r="W152" i="158" s="1"/>
  <c r="K144" i="158"/>
  <c r="AF148" i="158"/>
  <c r="AF143" i="158"/>
  <c r="AF149" i="158"/>
  <c r="AF147" i="158"/>
  <c r="AF145" i="158"/>
  <c r="AF144" i="158"/>
  <c r="AF146" i="158"/>
  <c r="AF151" i="158"/>
  <c r="AF142" i="158"/>
  <c r="AF150" i="158"/>
  <c r="AF152" i="158"/>
  <c r="AY127" i="105"/>
  <c r="E102" i="152"/>
  <c r="E100" i="152"/>
  <c r="E98" i="152"/>
  <c r="A48" i="152"/>
  <c r="D91" i="152"/>
  <c r="AB68" i="158"/>
  <c r="AB62" i="158"/>
  <c r="AC62" i="158"/>
  <c r="S99" i="158"/>
  <c r="AB64" i="158"/>
  <c r="AC64" i="158"/>
  <c r="AB66" i="158"/>
  <c r="R112" i="158"/>
  <c r="AC66" i="158"/>
  <c r="AB56" i="158"/>
  <c r="AC56" i="158"/>
  <c r="AC68" i="158"/>
  <c r="AB58" i="158"/>
  <c r="AC58" i="158"/>
  <c r="AB60" i="158"/>
  <c r="R107" i="158"/>
  <c r="AC60" i="158"/>
  <c r="AC55" i="158"/>
  <c r="AC57" i="158"/>
  <c r="AC59" i="158"/>
  <c r="AC61" i="158"/>
  <c r="AC63" i="158"/>
  <c r="AC65" i="158"/>
  <c r="AC67" i="158"/>
  <c r="R100" i="158"/>
  <c r="S103" i="158"/>
  <c r="S111" i="158"/>
  <c r="R116" i="158"/>
  <c r="AD55" i="158"/>
  <c r="AD59" i="158"/>
  <c r="AD61" i="158"/>
  <c r="AD63" i="158"/>
  <c r="AD65" i="158"/>
  <c r="AD67" i="158"/>
  <c r="AD71" i="158"/>
  <c r="S100" i="158"/>
  <c r="AE100" i="158" s="1"/>
  <c r="S116" i="158"/>
  <c r="AE55" i="158"/>
  <c r="AE59" i="158"/>
  <c r="AE61" i="158"/>
  <c r="AE63" i="158"/>
  <c r="AE65" i="158"/>
  <c r="AE67" i="158"/>
  <c r="AE69" i="158"/>
  <c r="AE71" i="158"/>
  <c r="P102" i="158"/>
  <c r="P110" i="158"/>
  <c r="R113" i="158"/>
  <c r="AD113" i="158" s="1"/>
  <c r="R105" i="158"/>
  <c r="S113" i="158"/>
  <c r="S105" i="158"/>
  <c r="R115" i="158"/>
  <c r="R99" i="158"/>
  <c r="P104" i="158"/>
  <c r="S115" i="158"/>
  <c r="AD58" i="158"/>
  <c r="AD60" i="158"/>
  <c r="AD66" i="158"/>
  <c r="AD68" i="158"/>
  <c r="P98" i="158"/>
  <c r="AB98" i="158" s="1"/>
  <c r="S107" i="158"/>
  <c r="AE58" i="158"/>
  <c r="AE66" i="158"/>
  <c r="P106" i="158"/>
  <c r="P100" i="158"/>
  <c r="AB65" i="158"/>
  <c r="AI100" i="158"/>
  <c r="K146" i="158"/>
  <c r="K95" i="158"/>
  <c r="K52" i="158"/>
  <c r="E99" i="158"/>
  <c r="AC99" i="158" s="1"/>
  <c r="E101" i="158"/>
  <c r="AC101" i="158" s="1"/>
  <c r="E111" i="158"/>
  <c r="AC111" i="158" s="1"/>
  <c r="E109" i="158"/>
  <c r="AC109" i="158" s="1"/>
  <c r="E103" i="158"/>
  <c r="E105" i="158"/>
  <c r="AC105" i="158" s="1"/>
  <c r="E107" i="158"/>
  <c r="AC107" i="158" s="1"/>
  <c r="G100" i="158"/>
  <c r="G102" i="158"/>
  <c r="AE102" i="158" s="1"/>
  <c r="G104" i="158"/>
  <c r="AE104" i="158" s="1"/>
  <c r="G106" i="158"/>
  <c r="AE106" i="158" s="1"/>
  <c r="G108" i="158"/>
  <c r="AE108" i="158" s="1"/>
  <c r="G110" i="158"/>
  <c r="AE110" i="158" s="1"/>
  <c r="G112" i="158"/>
  <c r="AE112" i="158" s="1"/>
  <c r="G114" i="158"/>
  <c r="AE114" i="158" s="1"/>
  <c r="G116" i="158"/>
  <c r="D99" i="158"/>
  <c r="AB99" i="158" s="1"/>
  <c r="D101" i="158"/>
  <c r="AB101" i="158" s="1"/>
  <c r="D103" i="158"/>
  <c r="AB103" i="158" s="1"/>
  <c r="D105" i="158"/>
  <c r="AB105" i="158" s="1"/>
  <c r="D107" i="158"/>
  <c r="AB107" i="158" s="1"/>
  <c r="D109" i="158"/>
  <c r="AB109" i="158" s="1"/>
  <c r="D111" i="158"/>
  <c r="AB111" i="158" s="1"/>
  <c r="F99" i="158"/>
  <c r="F101" i="158"/>
  <c r="AD101" i="158" s="1"/>
  <c r="F103" i="158"/>
  <c r="AD103" i="158" s="1"/>
  <c r="F105" i="158"/>
  <c r="F107" i="158"/>
  <c r="F109" i="158"/>
  <c r="AD109" i="158" s="1"/>
  <c r="F111" i="158"/>
  <c r="AD111" i="158" s="1"/>
  <c r="F113" i="158"/>
  <c r="F115" i="158"/>
  <c r="G99" i="158"/>
  <c r="G101" i="158"/>
  <c r="AE101" i="158" s="1"/>
  <c r="G103" i="158"/>
  <c r="G105" i="158"/>
  <c r="G107" i="158"/>
  <c r="G109" i="158"/>
  <c r="AE109" i="158" s="1"/>
  <c r="G111" i="158"/>
  <c r="G113" i="158"/>
  <c r="G115" i="158"/>
  <c r="D98" i="158"/>
  <c r="D104" i="158"/>
  <c r="D106" i="158"/>
  <c r="D110" i="158"/>
  <c r="E98" i="158"/>
  <c r="AC98" i="158" s="1"/>
  <c r="E102" i="158"/>
  <c r="AC102" i="158" s="1"/>
  <c r="E104" i="158"/>
  <c r="AC104" i="158" s="1"/>
  <c r="E106" i="158"/>
  <c r="AC106" i="158" s="1"/>
  <c r="E108" i="158"/>
  <c r="AC108" i="158" s="1"/>
  <c r="E110" i="158"/>
  <c r="AC110" i="158" s="1"/>
  <c r="F98" i="158"/>
  <c r="AD98" i="158" s="1"/>
  <c r="F102" i="158"/>
  <c r="AD102" i="158" s="1"/>
  <c r="F104" i="158"/>
  <c r="AD104" i="158" s="1"/>
  <c r="F106" i="158"/>
  <c r="AD106" i="158" s="1"/>
  <c r="F108" i="158"/>
  <c r="AD108" i="158" s="1"/>
  <c r="F110" i="158"/>
  <c r="AD110" i="158" s="1"/>
  <c r="F112" i="158"/>
  <c r="F114" i="158"/>
  <c r="AD114" i="158" s="1"/>
  <c r="F116" i="158"/>
  <c r="AD99" i="158" l="1"/>
  <c r="AD115" i="158"/>
  <c r="AB106" i="158"/>
  <c r="AB104" i="158"/>
  <c r="AD116" i="158"/>
  <c r="AE105" i="158"/>
  <c r="AE111" i="158"/>
  <c r="AD107" i="158"/>
  <c r="AE99" i="158"/>
  <c r="AE107" i="158"/>
  <c r="AE113" i="158"/>
  <c r="AE103" i="158"/>
  <c r="AD105" i="158"/>
  <c r="AE116" i="158"/>
  <c r="AE115" i="158"/>
  <c r="AD112" i="158"/>
  <c r="V154" i="158"/>
  <c r="D102" i="152"/>
  <c r="D98" i="152"/>
  <c r="D100" i="152"/>
  <c r="A49" i="152"/>
  <c r="C92" i="152"/>
  <c r="AB110" i="158"/>
  <c r="Q172" i="158"/>
  <c r="S172" i="158"/>
  <c r="R172" i="158"/>
  <c r="G98" i="158"/>
  <c r="AE98" i="158" s="1"/>
  <c r="E100" i="158"/>
  <c r="AC100" i="158" s="1"/>
  <c r="P172" i="158"/>
  <c r="F100" i="158"/>
  <c r="AD100" i="158" s="1"/>
  <c r="D108" i="158"/>
  <c r="AB108" i="158" s="1"/>
  <c r="D102" i="158"/>
  <c r="AB102" i="158" s="1"/>
  <c r="D100" i="158"/>
  <c r="AB100" i="158" s="1"/>
  <c r="C102" i="152" l="1"/>
  <c r="C98" i="152"/>
  <c r="C100" i="152"/>
  <c r="A50" i="152"/>
  <c r="T172" i="158"/>
  <c r="N172" i="158"/>
  <c r="O172" i="158"/>
  <c r="B100" i="152" l="1"/>
  <c r="Q29" i="160"/>
  <c r="O29" i="160"/>
  <c r="K29" i="160"/>
  <c r="I29" i="160"/>
  <c r="G29" i="160"/>
  <c r="E29" i="160"/>
  <c r="P15" i="9" l="1"/>
  <c r="P16" i="9" s="1"/>
  <c r="P17" i="9" s="1"/>
  <c r="P18" i="9" s="1"/>
  <c r="P19" i="9" s="1"/>
  <c r="P20" i="9" s="1"/>
  <c r="P21" i="9" s="1"/>
  <c r="P22" i="9" s="1"/>
  <c r="P23" i="9" s="1"/>
  <c r="P24" i="9" s="1"/>
  <c r="P25" i="9" s="1"/>
  <c r="P26" i="9" s="1"/>
  <c r="P27" i="9" s="1"/>
  <c r="P28" i="9" s="1"/>
  <c r="P29" i="9" s="1"/>
  <c r="P30" i="9" s="1"/>
  <c r="P31" i="9" s="1"/>
  <c r="P32" i="9" s="1"/>
  <c r="P33" i="9" s="1"/>
  <c r="P34" i="9" s="1"/>
  <c r="P35" i="9" s="1"/>
  <c r="P36" i="9" s="1"/>
  <c r="P37" i="9" s="1"/>
  <c r="P38" i="9" s="1"/>
  <c r="P39" i="9" s="1"/>
  <c r="P40" i="9" s="1"/>
  <c r="P41" i="9" s="1"/>
  <c r="P42" i="9" s="1"/>
  <c r="P43" i="9" s="1"/>
  <c r="W16" i="24" l="1"/>
  <c r="AA16" i="24"/>
  <c r="W22" i="24"/>
  <c r="AA22" i="24"/>
  <c r="W17" i="24"/>
  <c r="AA17" i="24"/>
  <c r="W23" i="24"/>
  <c r="AA23" i="24"/>
  <c r="W15" i="24"/>
  <c r="AA15" i="24"/>
  <c r="W18" i="24"/>
  <c r="AA18" i="24"/>
  <c r="W21" i="24"/>
  <c r="AA21" i="24"/>
  <c r="W20" i="24"/>
  <c r="AA20" i="24"/>
  <c r="W13" i="24"/>
  <c r="AA13" i="24"/>
  <c r="W19" i="24"/>
  <c r="AA19" i="24"/>
  <c r="W14" i="24"/>
  <c r="AA14" i="24"/>
  <c r="C76" i="115"/>
  <c r="C77" i="115" s="1"/>
  <c r="C78" i="115" s="1"/>
  <c r="C79" i="115" s="1"/>
  <c r="C80" i="115" s="1"/>
  <c r="C81" i="115" s="1"/>
  <c r="C82" i="115" s="1"/>
  <c r="W25" i="24" l="1"/>
  <c r="V32" i="24" s="1"/>
  <c r="V33" i="24"/>
  <c r="AN93" i="92" l="1"/>
  <c r="AC23" i="11" l="1"/>
  <c r="E23" i="11" s="1"/>
  <c r="AC22" i="11"/>
  <c r="E22" i="11" s="1"/>
  <c r="AC21" i="11"/>
  <c r="E21" i="11" s="1"/>
  <c r="AC20" i="11"/>
  <c r="E20" i="11" s="1"/>
  <c r="AC18" i="11"/>
  <c r="E18" i="11" s="1"/>
  <c r="AC17" i="11"/>
  <c r="E17" i="11" s="1"/>
  <c r="AC16" i="11"/>
  <c r="E16" i="11" s="1"/>
  <c r="AC19" i="11" l="1"/>
  <c r="E19" i="11" s="1"/>
  <c r="AE37" i="11"/>
  <c r="AE23" i="11"/>
  <c r="G23" i="11" s="1"/>
  <c r="AE21" i="11"/>
  <c r="G21" i="11" s="1"/>
  <c r="AE18" i="11"/>
  <c r="G18" i="11" s="1"/>
  <c r="AE44" i="11"/>
  <c r="G44" i="11" s="1"/>
  <c r="AE43" i="11"/>
  <c r="G43" i="11" s="1"/>
  <c r="AE42" i="11"/>
  <c r="AE41" i="11"/>
  <c r="AE40" i="11"/>
  <c r="AE39" i="11"/>
  <c r="AE38" i="11"/>
  <c r="AE22" i="11"/>
  <c r="G22" i="11" s="1"/>
  <c r="AE20" i="11"/>
  <c r="G20" i="11" s="1"/>
  <c r="AE17" i="11"/>
  <c r="G17" i="11" s="1"/>
  <c r="AE14" i="157"/>
  <c r="AG14" i="157" s="1"/>
  <c r="AI14" i="157" s="1"/>
  <c r="AK14" i="157" s="1"/>
  <c r="AM14" i="157" s="1"/>
  <c r="AO14" i="157" s="1"/>
  <c r="AQ14" i="157" s="1"/>
  <c r="AJ14" i="129"/>
  <c r="AL14" i="129" s="1"/>
  <c r="AN14" i="129" s="1"/>
  <c r="AP14" i="129" s="1"/>
  <c r="AR14" i="129" s="1"/>
  <c r="AT14" i="129" s="1"/>
  <c r="AE19" i="11" l="1"/>
  <c r="G19" i="11" s="1"/>
  <c r="G40" i="11"/>
  <c r="G38" i="11"/>
  <c r="G41" i="11"/>
  <c r="G39" i="11"/>
  <c r="G42" i="11"/>
  <c r="G37" i="11"/>
  <c r="AE16" i="11"/>
  <c r="G16" i="11" s="1"/>
  <c r="A18" i="157" l="1"/>
  <c r="A19" i="157" s="1"/>
  <c r="A20" i="157" s="1"/>
  <c r="A21" i="157" s="1"/>
  <c r="A22" i="157" s="1"/>
  <c r="A23" i="157" s="1"/>
  <c r="A24" i="157" s="1"/>
  <c r="A25" i="157" s="1"/>
  <c r="A26" i="157" s="1"/>
  <c r="A27" i="157" s="1"/>
  <c r="A28" i="157" s="1"/>
  <c r="A29" i="157" s="1"/>
  <c r="A30" i="157" s="1"/>
  <c r="A31" i="157" s="1"/>
  <c r="A32" i="157" s="1"/>
  <c r="A33" i="157" s="1"/>
  <c r="A34" i="157" s="1"/>
  <c r="A35" i="157" s="1"/>
  <c r="A36" i="157" s="1"/>
  <c r="A37" i="157" s="1"/>
  <c r="A38" i="157" s="1"/>
  <c r="A39" i="157" s="1"/>
  <c r="A40" i="157" s="1"/>
  <c r="A41" i="157" s="1"/>
  <c r="A42" i="157" s="1"/>
  <c r="A43" i="157" s="1"/>
  <c r="A44" i="157" s="1"/>
  <c r="A45" i="157" s="1"/>
  <c r="R47" i="17" l="1"/>
  <c r="P47" i="17"/>
  <c r="O18" i="17"/>
  <c r="O19" i="17" s="1"/>
  <c r="O20" i="17" s="1"/>
  <c r="O21" i="17" s="1"/>
  <c r="O22" i="17" s="1"/>
  <c r="O23" i="17" s="1"/>
  <c r="O24" i="17" s="1"/>
  <c r="O25" i="17" s="1"/>
  <c r="O26" i="17" s="1"/>
  <c r="O27" i="17" s="1"/>
  <c r="O28" i="17" s="1"/>
  <c r="O29" i="17" s="1"/>
  <c r="O30" i="17" s="1"/>
  <c r="O31" i="17" s="1"/>
  <c r="O32" i="17" s="1"/>
  <c r="O33" i="17" s="1"/>
  <c r="O34" i="17" s="1"/>
  <c r="O35" i="17" s="1"/>
  <c r="O36" i="17" s="1"/>
  <c r="O37" i="17" s="1"/>
  <c r="O38" i="17" s="1"/>
  <c r="O39" i="17" s="1"/>
  <c r="O40" i="17" s="1"/>
  <c r="O41" i="17" s="1"/>
  <c r="O42" i="17" s="1"/>
  <c r="O43" i="17" s="1"/>
  <c r="O44" i="17" s="1"/>
  <c r="O45" i="17" s="1"/>
  <c r="Q42" i="131" l="1"/>
  <c r="Y57" i="131" l="1"/>
  <c r="S57" i="131"/>
  <c r="Y33" i="131"/>
  <c r="S33" i="131"/>
  <c r="P44" i="43" l="1"/>
  <c r="N17" i="43" l="1"/>
  <c r="N18" i="43" s="1"/>
  <c r="N19" i="43" s="1"/>
  <c r="N20" i="43" s="1"/>
  <c r="N21" i="43" s="1"/>
  <c r="N22" i="43" s="1"/>
  <c r="N23" i="43" s="1"/>
  <c r="N24" i="43" s="1"/>
  <c r="N25" i="43" s="1"/>
  <c r="N26" i="43" s="1"/>
  <c r="N27" i="43" s="1"/>
  <c r="N28" i="43" s="1"/>
  <c r="N29" i="43" s="1"/>
  <c r="N30" i="43" s="1"/>
  <c r="N31" i="43" s="1"/>
  <c r="N32" i="43" s="1"/>
  <c r="N33" i="43" s="1"/>
  <c r="N34" i="43" s="1"/>
  <c r="N35" i="43" s="1"/>
  <c r="N36" i="43" s="1"/>
  <c r="N37" i="43" s="1"/>
  <c r="N38" i="43" s="1"/>
  <c r="N39" i="43" s="1"/>
  <c r="N40" i="43" s="1"/>
  <c r="N41" i="43" s="1"/>
  <c r="N42" i="43" s="1"/>
  <c r="N43" i="43" s="1"/>
  <c r="N44" i="43" s="1"/>
  <c r="AN28" i="92" l="1"/>
  <c r="E18" i="83" l="1"/>
  <c r="E17" i="83"/>
  <c r="A17" i="83"/>
  <c r="P46" i="77" l="1"/>
  <c r="O17" i="77"/>
  <c r="O18" i="77" s="1"/>
  <c r="O19" i="77" s="1"/>
  <c r="O20" i="77" s="1"/>
  <c r="O21" i="77" s="1"/>
  <c r="O22" i="77" s="1"/>
  <c r="O23" i="77" s="1"/>
  <c r="O24" i="77" s="1"/>
  <c r="O25" i="77" s="1"/>
  <c r="O26" i="77" s="1"/>
  <c r="O27" i="77" s="1"/>
  <c r="O28" i="77" s="1"/>
  <c r="O29" i="77" s="1"/>
  <c r="O30" i="77" s="1"/>
  <c r="O31" i="77" s="1"/>
  <c r="O32" i="77" s="1"/>
  <c r="O33" i="77" s="1"/>
  <c r="O34" i="77" s="1"/>
  <c r="O35" i="77" s="1"/>
  <c r="O36" i="77" s="1"/>
  <c r="O37" i="77" s="1"/>
  <c r="O38" i="77" s="1"/>
  <c r="O39" i="77" s="1"/>
  <c r="O40" i="77" s="1"/>
  <c r="O41" i="77" s="1"/>
  <c r="O42" i="77" s="1"/>
  <c r="O43" i="77" s="1"/>
  <c r="O44" i="77" s="1"/>
  <c r="P14" i="77"/>
  <c r="P46" i="33"/>
  <c r="O17" i="33"/>
  <c r="O18" i="33" s="1"/>
  <c r="O19" i="33" s="1"/>
  <c r="O20" i="33" s="1"/>
  <c r="O21" i="33" s="1"/>
  <c r="O22" i="33" s="1"/>
  <c r="O23" i="33" s="1"/>
  <c r="O24" i="33" s="1"/>
  <c r="O25" i="33" s="1"/>
  <c r="O26" i="33" s="1"/>
  <c r="O27" i="33" s="1"/>
  <c r="O28" i="33" s="1"/>
  <c r="O29" i="33" s="1"/>
  <c r="O30" i="33" s="1"/>
  <c r="O31" i="33" s="1"/>
  <c r="O32" i="33" s="1"/>
  <c r="O33" i="33" s="1"/>
  <c r="O34" i="33" s="1"/>
  <c r="O35" i="33" s="1"/>
  <c r="O36" i="33" s="1"/>
  <c r="O37" i="33" s="1"/>
  <c r="O38" i="33" s="1"/>
  <c r="O39" i="33" s="1"/>
  <c r="O40" i="33" s="1"/>
  <c r="O41" i="33" s="1"/>
  <c r="O42" i="33" s="1"/>
  <c r="O43" i="33" s="1"/>
  <c r="O44" i="33" s="1"/>
  <c r="P14" i="33"/>
  <c r="P46" i="26"/>
  <c r="O17" i="26"/>
  <c r="O18" i="26" s="1"/>
  <c r="O19" i="26" s="1"/>
  <c r="O20" i="26" s="1"/>
  <c r="O21" i="26" s="1"/>
  <c r="O22" i="26" s="1"/>
  <c r="O23" i="26" s="1"/>
  <c r="O24" i="26" s="1"/>
  <c r="O25" i="26" s="1"/>
  <c r="O26" i="26" s="1"/>
  <c r="O27" i="26" s="1"/>
  <c r="O28" i="26" s="1"/>
  <c r="O29" i="26" s="1"/>
  <c r="O30" i="26" s="1"/>
  <c r="O31" i="26" s="1"/>
  <c r="O32" i="26" s="1"/>
  <c r="O33" i="26" s="1"/>
  <c r="O34" i="26" s="1"/>
  <c r="O35" i="26" s="1"/>
  <c r="O36" i="26" s="1"/>
  <c r="O37" i="26" s="1"/>
  <c r="O38" i="26" s="1"/>
  <c r="O39" i="26" s="1"/>
  <c r="O40" i="26" s="1"/>
  <c r="O41" i="26" s="1"/>
  <c r="O42" i="26" s="1"/>
  <c r="O43" i="26" s="1"/>
  <c r="O44" i="26" s="1"/>
  <c r="P14" i="26"/>
  <c r="Q14" i="26" s="1"/>
  <c r="P46" i="4"/>
  <c r="P14" i="4"/>
  <c r="Q14" i="4" s="1"/>
  <c r="B169" i="136" l="1"/>
  <c r="D95" i="136"/>
  <c r="D167" i="136"/>
  <c r="T30" i="43" l="1"/>
  <c r="T31" i="43" s="1"/>
  <c r="T32" i="43" s="1"/>
  <c r="T33" i="43" s="1"/>
  <c r="T34" i="43" s="1"/>
  <c r="T35" i="43" s="1"/>
  <c r="T36" i="43" s="1"/>
  <c r="T37" i="43" s="1"/>
  <c r="T38" i="43" s="1"/>
  <c r="T39" i="43" s="1"/>
  <c r="T40" i="43" s="1"/>
  <c r="T41" i="43" s="1"/>
  <c r="T42" i="43" s="1"/>
  <c r="T43" i="43" s="1"/>
  <c r="T44" i="43" s="1"/>
  <c r="A31" i="99" l="1"/>
  <c r="A45" i="99" s="1"/>
  <c r="A59" i="99" s="1"/>
  <c r="T58" i="99" l="1"/>
  <c r="T59" i="99" s="1"/>
  <c r="T60" i="99" s="1"/>
  <c r="T61" i="99" s="1"/>
  <c r="T62" i="99" s="1"/>
  <c r="T63" i="99" s="1"/>
  <c r="T64" i="99" s="1"/>
  <c r="T65" i="99" s="1"/>
  <c r="T66" i="99" s="1"/>
  <c r="T67" i="99" s="1"/>
  <c r="A89" i="99"/>
  <c r="W46" i="42"/>
  <c r="W14" i="42"/>
  <c r="X14" i="42" s="1"/>
  <c r="A107" i="99" l="1"/>
  <c r="A108" i="99" s="1"/>
  <c r="A109" i="99" s="1"/>
  <c r="A110" i="99" s="1"/>
  <c r="A111" i="99" s="1"/>
  <c r="A112" i="99" s="1"/>
  <c r="A113" i="99" s="1"/>
  <c r="A114" i="99" s="1"/>
  <c r="A115" i="99" s="1"/>
  <c r="A116" i="99" s="1"/>
  <c r="A90" i="99"/>
  <c r="A91" i="99" s="1"/>
  <c r="A92" i="99" s="1"/>
  <c r="A93" i="99" s="1"/>
  <c r="A94" i="99" s="1"/>
  <c r="A95" i="99" s="1"/>
  <c r="A96" i="99" s="1"/>
  <c r="A97" i="99" s="1"/>
  <c r="A98" i="99" s="1"/>
  <c r="K31" i="24"/>
  <c r="G45" i="68" s="1"/>
  <c r="E43" i="43" s="1"/>
  <c r="K33" i="24" l="1"/>
  <c r="W33" i="24"/>
  <c r="W32" i="24" s="1"/>
  <c r="BC87" i="106"/>
  <c r="BB87" i="106"/>
  <c r="BA87" i="106"/>
  <c r="AZ87" i="106"/>
  <c r="AX87" i="106"/>
  <c r="AW87" i="106"/>
  <c r="AV87" i="106"/>
  <c r="AU87" i="106"/>
  <c r="AT87" i="106"/>
  <c r="AN87" i="106"/>
  <c r="AM87" i="106"/>
  <c r="AL87" i="106"/>
  <c r="AK87" i="106"/>
  <c r="AK89" i="105" s="1"/>
  <c r="AJ87" i="106"/>
  <c r="AI87" i="106"/>
  <c r="AH87" i="106"/>
  <c r="AG87" i="106"/>
  <c r="AF87" i="106"/>
  <c r="AE87" i="106"/>
  <c r="AD87" i="106"/>
  <c r="AC87" i="106"/>
  <c r="AB87" i="106"/>
  <c r="BC47" i="106"/>
  <c r="BB47" i="106"/>
  <c r="BB49" i="105" s="1"/>
  <c r="BA47" i="106"/>
  <c r="AZ47" i="106"/>
  <c r="AY47" i="106"/>
  <c r="AX47" i="106"/>
  <c r="AW47" i="106"/>
  <c r="AV47" i="106"/>
  <c r="AU47" i="106"/>
  <c r="AT47" i="106"/>
  <c r="AS47" i="106"/>
  <c r="AR47" i="106"/>
  <c r="AN47" i="106"/>
  <c r="AM47" i="106"/>
  <c r="AL47" i="106"/>
  <c r="AK47" i="106"/>
  <c r="AK49" i="105" s="1"/>
  <c r="AJ47" i="106"/>
  <c r="AI47" i="106"/>
  <c r="AH47" i="106"/>
  <c r="AG47" i="106"/>
  <c r="AF47" i="106"/>
  <c r="AE47" i="106"/>
  <c r="AD47" i="106"/>
  <c r="AC47" i="106"/>
  <c r="AB47" i="106"/>
  <c r="AB49" i="106" l="1"/>
  <c r="AA57" i="105" l="1"/>
  <c r="G46" i="68" l="1"/>
  <c r="A31" i="117"/>
  <c r="A45" i="117" s="1"/>
  <c r="Q17" i="117"/>
  <c r="Q31" i="117" s="1"/>
  <c r="Q45" i="117" s="1"/>
  <c r="G44" i="68" l="1"/>
  <c r="E42" i="43" s="1"/>
  <c r="E44" i="43"/>
  <c r="G43" i="68"/>
  <c r="E41" i="43" s="1"/>
  <c r="U43" i="9"/>
  <c r="U42" i="9"/>
  <c r="U41" i="9"/>
  <c r="U40" i="9"/>
  <c r="U39" i="9"/>
  <c r="U38" i="9"/>
  <c r="U37" i="9"/>
  <c r="U36" i="9"/>
  <c r="U19" i="9" l="1"/>
  <c r="U25" i="9"/>
  <c r="U20" i="9"/>
  <c r="U16" i="9"/>
  <c r="U22" i="9"/>
  <c r="U18" i="9"/>
  <c r="U24" i="9"/>
  <c r="U15" i="9"/>
  <c r="U17" i="9"/>
  <c r="U23" i="9"/>
  <c r="U21" i="9"/>
  <c r="AO35" i="157" l="1"/>
  <c r="AO34" i="157"/>
  <c r="AO33" i="157"/>
  <c r="AO32" i="157"/>
  <c r="AO31" i="157"/>
  <c r="AO30" i="157"/>
  <c r="AO29" i="157"/>
  <c r="AO28" i="157"/>
  <c r="AO27" i="157"/>
  <c r="AO26" i="157"/>
  <c r="AO25" i="157"/>
  <c r="AO24" i="157"/>
  <c r="AO23" i="157"/>
  <c r="AO22" i="157"/>
  <c r="AO21" i="157"/>
  <c r="AO20" i="157"/>
  <c r="AO19" i="157"/>
  <c r="AO18" i="157"/>
  <c r="AO17" i="157"/>
  <c r="AM35" i="157"/>
  <c r="AM34" i="157"/>
  <c r="AM33" i="157"/>
  <c r="AM32" i="157"/>
  <c r="AM31" i="157"/>
  <c r="AM30" i="157"/>
  <c r="AM29" i="157"/>
  <c r="AM28" i="157"/>
  <c r="AM27" i="157"/>
  <c r="AM26" i="157"/>
  <c r="AM25" i="157"/>
  <c r="AM24" i="157"/>
  <c r="AM23" i="157"/>
  <c r="AM22" i="157"/>
  <c r="AM21" i="157"/>
  <c r="AM20" i="157"/>
  <c r="AM19" i="157"/>
  <c r="AM18" i="157"/>
  <c r="AM17" i="157"/>
  <c r="AK29" i="157"/>
  <c r="AK28" i="157"/>
  <c r="AK27" i="157"/>
  <c r="AK26" i="157"/>
  <c r="AK25" i="157"/>
  <c r="AK24" i="157"/>
  <c r="AK23" i="157"/>
  <c r="AK22" i="157"/>
  <c r="AK21" i="157"/>
  <c r="AK20" i="157"/>
  <c r="AK19" i="157"/>
  <c r="AK18" i="157"/>
  <c r="AK17" i="157"/>
  <c r="AI28" i="157"/>
  <c r="AI27" i="157"/>
  <c r="AI26" i="157"/>
  <c r="AI25" i="157"/>
  <c r="AI24" i="157"/>
  <c r="AI23" i="157"/>
  <c r="AI22" i="157"/>
  <c r="AI21" i="157"/>
  <c r="AI20" i="157"/>
  <c r="AI19" i="157"/>
  <c r="AI18" i="157"/>
  <c r="AI17" i="157"/>
  <c r="M35" i="157"/>
  <c r="M34" i="157"/>
  <c r="AA34" i="157" s="1"/>
  <c r="M33" i="157"/>
  <c r="M32" i="157"/>
  <c r="M31" i="157"/>
  <c r="M30" i="157"/>
  <c r="M29" i="157"/>
  <c r="M28" i="157"/>
  <c r="M27" i="157"/>
  <c r="M26" i="157"/>
  <c r="M25" i="157"/>
  <c r="M24" i="157"/>
  <c r="M23" i="157"/>
  <c r="M22" i="157"/>
  <c r="M21" i="157"/>
  <c r="M20" i="157"/>
  <c r="M19" i="157"/>
  <c r="M18" i="157"/>
  <c r="M17" i="157"/>
  <c r="K35" i="157"/>
  <c r="K34" i="157"/>
  <c r="K33" i="157"/>
  <c r="K32" i="157"/>
  <c r="K31" i="157"/>
  <c r="K30" i="157"/>
  <c r="K29" i="157"/>
  <c r="Y29" i="157" s="1"/>
  <c r="K28" i="157"/>
  <c r="K27" i="157"/>
  <c r="K26" i="157"/>
  <c r="K25" i="157"/>
  <c r="K24" i="157"/>
  <c r="K23" i="157"/>
  <c r="K22" i="157"/>
  <c r="K21" i="157"/>
  <c r="K20" i="157"/>
  <c r="K19" i="157"/>
  <c r="K18" i="157"/>
  <c r="K17" i="157"/>
  <c r="I29" i="157"/>
  <c r="I28" i="157"/>
  <c r="I27" i="157"/>
  <c r="I26" i="157"/>
  <c r="I25" i="157"/>
  <c r="I24" i="157"/>
  <c r="I23" i="157"/>
  <c r="I22" i="157"/>
  <c r="I21" i="157"/>
  <c r="I20" i="157"/>
  <c r="I19" i="157"/>
  <c r="I18" i="157"/>
  <c r="I17" i="157"/>
  <c r="G28" i="157"/>
  <c r="G27" i="157"/>
  <c r="G26" i="157"/>
  <c r="G25" i="157"/>
  <c r="G24" i="157"/>
  <c r="G23" i="157"/>
  <c r="G22" i="157"/>
  <c r="G21" i="157"/>
  <c r="G20" i="157"/>
  <c r="G19" i="157"/>
  <c r="G18" i="157"/>
  <c r="G17" i="157"/>
  <c r="Y27" i="157" l="1"/>
  <c r="AA32" i="157"/>
  <c r="U18" i="157"/>
  <c r="AA22" i="157"/>
  <c r="W28" i="157"/>
  <c r="U26" i="157"/>
  <c r="Y26" i="157"/>
  <c r="AA19" i="157"/>
  <c r="AA31" i="157"/>
  <c r="Y17" i="157"/>
  <c r="Y25" i="157"/>
  <c r="AA18" i="157"/>
  <c r="AA30" i="157"/>
  <c r="W24" i="157"/>
  <c r="W26" i="157"/>
  <c r="Y22" i="157"/>
  <c r="Y34" i="157"/>
  <c r="Y35" i="157"/>
  <c r="U19" i="157"/>
  <c r="W23" i="157"/>
  <c r="Y20" i="157"/>
  <c r="AA25" i="157"/>
  <c r="W22" i="157"/>
  <c r="Y28" i="157"/>
  <c r="AA33" i="157"/>
  <c r="U20" i="157"/>
  <c r="W18" i="157"/>
  <c r="Y21" i="157"/>
  <c r="Y33" i="157"/>
  <c r="AA26" i="157"/>
  <c r="U25" i="157"/>
  <c r="W19" i="157"/>
  <c r="AA17" i="157"/>
  <c r="W17" i="157"/>
  <c r="W25" i="157"/>
  <c r="Y23" i="157"/>
  <c r="AA20" i="157"/>
  <c r="AA28" i="157"/>
  <c r="W29" i="157"/>
  <c r="Y24" i="157"/>
  <c r="Y32" i="157"/>
  <c r="AA21" i="157"/>
  <c r="W27" i="157"/>
  <c r="U17" i="157"/>
  <c r="Y18" i="157"/>
  <c r="Y30" i="157"/>
  <c r="AA23" i="157"/>
  <c r="AA35" i="157"/>
  <c r="U22" i="157"/>
  <c r="W20" i="157"/>
  <c r="U28" i="157"/>
  <c r="U27" i="157"/>
  <c r="Y19" i="157"/>
  <c r="Y31" i="157"/>
  <c r="AA24" i="157"/>
  <c r="U21" i="157"/>
  <c r="W21" i="157"/>
  <c r="U23" i="157"/>
  <c r="U24" i="157"/>
  <c r="AA27" i="157"/>
  <c r="AA29" i="157"/>
  <c r="AI29" i="157"/>
  <c r="G29" i="157"/>
  <c r="U29" i="157" l="1"/>
  <c r="A31" i="116"/>
  <c r="A45" i="116" s="1"/>
  <c r="A59" i="116" s="1"/>
  <c r="A60" i="116" s="1"/>
  <c r="A61" i="116" s="1"/>
  <c r="A62" i="116" s="1"/>
  <c r="A63" i="116" s="1"/>
  <c r="A64" i="116" s="1"/>
  <c r="A65" i="116" s="1"/>
  <c r="A66" i="116" s="1"/>
  <c r="A67" i="116" s="1"/>
  <c r="A68" i="116" s="1"/>
  <c r="Q17" i="116"/>
  <c r="Q31" i="116" l="1"/>
  <c r="AG17" i="116"/>
  <c r="A31" i="98"/>
  <c r="A18" i="98"/>
  <c r="A19" i="98" s="1"/>
  <c r="A20" i="98" s="1"/>
  <c r="A21" i="98" s="1"/>
  <c r="A22" i="98" s="1"/>
  <c r="A23" i="98" s="1"/>
  <c r="A24" i="98" s="1"/>
  <c r="A25" i="98" s="1"/>
  <c r="A26" i="98" s="1"/>
  <c r="A33" i="134"/>
  <c r="A49" i="134" s="1"/>
  <c r="AG31" i="116" l="1"/>
  <c r="AG32" i="116" s="1"/>
  <c r="AG33" i="116" s="1"/>
  <c r="AG34" i="116" s="1"/>
  <c r="AG35" i="116" s="1"/>
  <c r="AG36" i="116" s="1"/>
  <c r="AG37" i="116" s="1"/>
  <c r="AG38" i="116" s="1"/>
  <c r="AG39" i="116" s="1"/>
  <c r="AG40" i="116" s="1"/>
  <c r="AG18" i="116"/>
  <c r="AG19" i="116" s="1"/>
  <c r="AG20" i="116" s="1"/>
  <c r="AG21" i="116" s="1"/>
  <c r="AG22" i="116" s="1"/>
  <c r="AG23" i="116" s="1"/>
  <c r="AG24" i="116" s="1"/>
  <c r="AG25" i="116" s="1"/>
  <c r="AG26" i="116" s="1"/>
  <c r="AR67" i="92"/>
  <c r="AQ67" i="92"/>
  <c r="AO67" i="92"/>
  <c r="AR66" i="92"/>
  <c r="AQ66" i="92"/>
  <c r="AO66" i="92"/>
  <c r="AR65" i="92"/>
  <c r="AQ65" i="92"/>
  <c r="AO65" i="92"/>
  <c r="AR64" i="92"/>
  <c r="AQ64" i="92"/>
  <c r="AO64" i="92"/>
  <c r="AR63" i="92"/>
  <c r="AQ63" i="92"/>
  <c r="AO63" i="92"/>
  <c r="AR62" i="92"/>
  <c r="AQ62" i="92"/>
  <c r="AO62" i="92"/>
  <c r="AR61" i="92"/>
  <c r="AQ61" i="92"/>
  <c r="AO61" i="92"/>
  <c r="AR60" i="92"/>
  <c r="AQ60" i="92"/>
  <c r="AO60" i="92"/>
  <c r="AR59" i="92"/>
  <c r="AQ59" i="92"/>
  <c r="AO59" i="92"/>
  <c r="CI59" i="92" s="1"/>
  <c r="AY67" i="92"/>
  <c r="AX67" i="92"/>
  <c r="AV67" i="92"/>
  <c r="AU67" i="92"/>
  <c r="AY66" i="92"/>
  <c r="AX66" i="92"/>
  <c r="AV66" i="92"/>
  <c r="AU66" i="92"/>
  <c r="AY65" i="92"/>
  <c r="AX65" i="92"/>
  <c r="AV65" i="92"/>
  <c r="AU65" i="92"/>
  <c r="AY64" i="92"/>
  <c r="AX64" i="92"/>
  <c r="AV64" i="92"/>
  <c r="AU64" i="92"/>
  <c r="AY63" i="92"/>
  <c r="AX63" i="92"/>
  <c r="AV63" i="92"/>
  <c r="AU63" i="92"/>
  <c r="AY62" i="92"/>
  <c r="AX62" i="92"/>
  <c r="AV62" i="92"/>
  <c r="AU62" i="92"/>
  <c r="AY61" i="92"/>
  <c r="AX61" i="92"/>
  <c r="AV61" i="92"/>
  <c r="AU61" i="92"/>
  <c r="AY60" i="92"/>
  <c r="AX60" i="92"/>
  <c r="AV60" i="92"/>
  <c r="AU60" i="92"/>
  <c r="AY59" i="92"/>
  <c r="AX59" i="92"/>
  <c r="AV59" i="92"/>
  <c r="AU59" i="92"/>
  <c r="BF67" i="92"/>
  <c r="BE67" i="92"/>
  <c r="BD67" i="92"/>
  <c r="BC67" i="92"/>
  <c r="BF66" i="92"/>
  <c r="BE66" i="92"/>
  <c r="BD66" i="92"/>
  <c r="BC66" i="92"/>
  <c r="BF65" i="92"/>
  <c r="BE65" i="92"/>
  <c r="BD65" i="92"/>
  <c r="BC65" i="92"/>
  <c r="BF64" i="92"/>
  <c r="BE64" i="92"/>
  <c r="BD64" i="92"/>
  <c r="BC64" i="92"/>
  <c r="BF63" i="92"/>
  <c r="BE63" i="92"/>
  <c r="BD63" i="92"/>
  <c r="BC63" i="92"/>
  <c r="BF62" i="92"/>
  <c r="BE62" i="92"/>
  <c r="BD62" i="92"/>
  <c r="BC62" i="92"/>
  <c r="BF61" i="92"/>
  <c r="BE61" i="92"/>
  <c r="BD61" i="92"/>
  <c r="BC61" i="92"/>
  <c r="BF60" i="92"/>
  <c r="BE60" i="92"/>
  <c r="BD60" i="92"/>
  <c r="BC60" i="92"/>
  <c r="BF59" i="92"/>
  <c r="BE59" i="92"/>
  <c r="BD59" i="92"/>
  <c r="BC59" i="92"/>
  <c r="BB67" i="92"/>
  <c r="BB66" i="92"/>
  <c r="BB65" i="92"/>
  <c r="BB64" i="92"/>
  <c r="BB63" i="92"/>
  <c r="BB62" i="92"/>
  <c r="BB61" i="92"/>
  <c r="BB60" i="92"/>
  <c r="BB59" i="92"/>
  <c r="CI60" i="92" l="1"/>
  <c r="CI61" i="92" s="1"/>
  <c r="CI62" i="92" s="1"/>
  <c r="CI63" i="92" s="1"/>
  <c r="CI64" i="92" s="1"/>
  <c r="CI65" i="92" s="1"/>
  <c r="CI66" i="92" s="1"/>
  <c r="CI67" i="92" s="1"/>
  <c r="CI68" i="92" s="1"/>
  <c r="CB60" i="92"/>
  <c r="CB61" i="92" s="1"/>
  <c r="CB62" i="92" s="1"/>
  <c r="CB63" i="92" s="1"/>
  <c r="CB64" i="92" s="1"/>
  <c r="CB65" i="92" s="1"/>
  <c r="CB66" i="92" s="1"/>
  <c r="CB67" i="92" s="1"/>
  <c r="CB68" i="92" s="1"/>
  <c r="CP59" i="92"/>
  <c r="CP60" i="92" s="1"/>
  <c r="CP61" i="92" s="1"/>
  <c r="CP62" i="92" s="1"/>
  <c r="CP63" i="92" s="1"/>
  <c r="CP64" i="92" s="1"/>
  <c r="CP65" i="92" s="1"/>
  <c r="CP66" i="92" s="1"/>
  <c r="CP67" i="92" s="1"/>
  <c r="CP68" i="92" s="1"/>
  <c r="M17" i="115"/>
  <c r="M31" i="115" s="1"/>
  <c r="M45" i="115" s="1"/>
  <c r="AF67" i="84" l="1"/>
  <c r="AE67" i="84"/>
  <c r="AC67" i="84"/>
  <c r="AF66" i="84"/>
  <c r="AE66" i="84"/>
  <c r="AC66" i="84"/>
  <c r="AF65" i="84"/>
  <c r="AE65" i="84"/>
  <c r="AC65" i="84"/>
  <c r="AF64" i="84"/>
  <c r="AE64" i="84"/>
  <c r="AC64" i="84"/>
  <c r="AF63" i="84"/>
  <c r="AE63" i="84"/>
  <c r="AC63" i="84"/>
  <c r="AF62" i="84"/>
  <c r="AE62" i="84"/>
  <c r="AC62" i="84"/>
  <c r="AF61" i="84"/>
  <c r="AE61" i="84"/>
  <c r="AC61" i="84"/>
  <c r="AF60" i="84"/>
  <c r="AE60" i="84"/>
  <c r="AC60" i="84"/>
  <c r="AF59" i="84"/>
  <c r="AE59" i="84"/>
  <c r="AC59" i="84"/>
  <c r="AB39" i="84"/>
  <c r="AC70" i="84" l="1"/>
  <c r="AE70" i="84"/>
  <c r="AF70" i="84"/>
  <c r="O23" i="160"/>
  <c r="V31" i="118" l="1"/>
  <c r="V30" i="118"/>
  <c r="V29" i="118"/>
  <c r="V28" i="118"/>
  <c r="V27" i="118"/>
  <c r="V26" i="118"/>
  <c r="V25" i="118"/>
  <c r="V24" i="118"/>
  <c r="V23" i="118"/>
  <c r="V22" i="118"/>
  <c r="V21" i="118"/>
  <c r="V20" i="118"/>
  <c r="V19" i="118"/>
  <c r="CA70" i="91" l="1"/>
  <c r="M24" i="106"/>
  <c r="I24" i="67" s="1"/>
  <c r="M23" i="106"/>
  <c r="I23" i="67" s="1"/>
  <c r="M22" i="106"/>
  <c r="I22" i="67" s="1"/>
  <c r="M21" i="106"/>
  <c r="I21" i="67" s="1"/>
  <c r="M20" i="106"/>
  <c r="I20" i="67" s="1"/>
  <c r="M19" i="106"/>
  <c r="I19" i="67" s="1"/>
  <c r="M18" i="106"/>
  <c r="I18" i="67" s="1"/>
  <c r="M17" i="106"/>
  <c r="I17" i="67" s="1"/>
  <c r="BQ31" i="92"/>
  <c r="BQ45" i="92" s="1"/>
  <c r="BQ59" i="92" s="1"/>
  <c r="AT31" i="84"/>
  <c r="AT45" i="84" s="1"/>
  <c r="AT59" i="84" s="1"/>
  <c r="AT18" i="84"/>
  <c r="AT32" i="84" s="1"/>
  <c r="AT46" i="84" s="1"/>
  <c r="AT60" i="84" s="1"/>
  <c r="W37" i="56"/>
  <c r="W38" i="56" s="1"/>
  <c r="W39" i="56" s="1"/>
  <c r="W40" i="56" s="1"/>
  <c r="W41" i="56" s="1"/>
  <c r="W42" i="56" s="1"/>
  <c r="W43" i="56" s="1"/>
  <c r="W44" i="56" s="1"/>
  <c r="W45" i="56" s="1"/>
  <c r="W46" i="56" s="1"/>
  <c r="W47" i="56" s="1"/>
  <c r="W48" i="56" s="1"/>
  <c r="W49" i="56" s="1"/>
  <c r="W50" i="56" s="1"/>
  <c r="W18" i="56"/>
  <c r="W19" i="56" s="1"/>
  <c r="W20" i="56" s="1"/>
  <c r="W21" i="56" s="1"/>
  <c r="W22" i="56" s="1"/>
  <c r="W23" i="56" s="1"/>
  <c r="W24" i="56" s="1"/>
  <c r="W25" i="56" s="1"/>
  <c r="W26" i="56" s="1"/>
  <c r="W27" i="56" s="1"/>
  <c r="W28" i="56" s="1"/>
  <c r="W29" i="56" s="1"/>
  <c r="W30" i="56" s="1"/>
  <c r="W31" i="56" s="1"/>
  <c r="AT19" i="84" l="1"/>
  <c r="AT33" i="84" l="1"/>
  <c r="AT47" i="84" s="1"/>
  <c r="AT61" i="84" s="1"/>
  <c r="AT20" i="84"/>
  <c r="R46" i="40"/>
  <c r="AT21" i="84" l="1"/>
  <c r="AT34" i="84"/>
  <c r="AT48" i="84" s="1"/>
  <c r="AT62" i="84" s="1"/>
  <c r="AT22" i="84" l="1"/>
  <c r="AT35" i="84"/>
  <c r="AT49" i="84" s="1"/>
  <c r="AT63" i="84" s="1"/>
  <c r="P16" i="69"/>
  <c r="AN113" i="109"/>
  <c r="AO111" i="109"/>
  <c r="AO110" i="109"/>
  <c r="AP110" i="109" s="1"/>
  <c r="AO109" i="109"/>
  <c r="AP109" i="109" s="1"/>
  <c r="AO108" i="109"/>
  <c r="AP108" i="109" s="1"/>
  <c r="AO107" i="109"/>
  <c r="AP107" i="109" s="1"/>
  <c r="AQ91" i="91"/>
  <c r="AT23" i="84" l="1"/>
  <c r="AT36" i="84"/>
  <c r="AT50" i="84" s="1"/>
  <c r="AT64" i="84" s="1"/>
  <c r="AP113" i="109"/>
  <c r="AO113" i="109"/>
  <c r="AT24" i="84" l="1"/>
  <c r="AT37" i="84"/>
  <c r="AT51" i="84" s="1"/>
  <c r="AT65" i="84" s="1"/>
  <c r="AT25" i="84" l="1"/>
  <c r="AT38" i="84"/>
  <c r="AT52" i="84" s="1"/>
  <c r="AT66" i="84" s="1"/>
  <c r="AT39" i="84" l="1"/>
  <c r="AT53" i="84" s="1"/>
  <c r="AT67" i="84" s="1"/>
  <c r="AT26" i="84"/>
  <c r="AT40" i="84" s="1"/>
  <c r="AT54" i="84" s="1"/>
  <c r="AT68" i="84" s="1"/>
  <c r="A31" i="84" l="1"/>
  <c r="A45" i="84" s="1"/>
  <c r="A59" i="84" s="1"/>
  <c r="AA17" i="84"/>
  <c r="AA31" i="84" s="1"/>
  <c r="AA45" i="84" s="1"/>
  <c r="AA59" i="84" s="1"/>
  <c r="AE58" i="87"/>
  <c r="AB58" i="87"/>
  <c r="AA58" i="87"/>
  <c r="Z58" i="87"/>
  <c r="U143" i="105" l="1"/>
  <c r="U202" i="105" s="1"/>
  <c r="Y202" i="105" s="1"/>
  <c r="I143" i="105"/>
  <c r="I202" i="105" s="1"/>
  <c r="M202" i="105" s="1"/>
  <c r="AB202" i="105" s="1"/>
  <c r="AC58" i="87"/>
  <c r="AD58" i="87"/>
  <c r="A31" i="87"/>
  <c r="A45" i="87" s="1"/>
  <c r="Y17" i="87"/>
  <c r="I154" i="105" l="1"/>
  <c r="M143" i="105"/>
  <c r="M154" i="105" s="1"/>
  <c r="U154" i="105"/>
  <c r="Y143" i="105"/>
  <c r="Y154" i="105" s="1"/>
  <c r="U78" i="131"/>
  <c r="AF58" i="87"/>
  <c r="R78" i="131" s="1"/>
  <c r="AH18" i="131"/>
  <c r="AI18" i="131" s="1"/>
  <c r="AF18" i="131"/>
  <c r="AG18" i="131" s="1"/>
  <c r="T78" i="131"/>
  <c r="A59" i="87"/>
  <c r="Y59" i="87" s="1"/>
  <c r="AL59" i="87" s="1"/>
  <c r="Y45" i="87"/>
  <c r="AL45" i="87" s="1"/>
  <c r="Y31" i="87"/>
  <c r="AL31" i="87" s="1"/>
  <c r="AO17" i="91" l="1"/>
  <c r="A31" i="92"/>
  <c r="AT31" i="92" s="1"/>
  <c r="AT17" i="92"/>
  <c r="AM17" i="92" s="1"/>
  <c r="AW17" i="91" l="1"/>
  <c r="BE17" i="91" s="1"/>
  <c r="A45" i="92"/>
  <c r="AM31" i="92"/>
  <c r="BA31" i="92"/>
  <c r="BA17" i="92"/>
  <c r="BI17" i="92" s="1"/>
  <c r="BI18" i="92" l="1"/>
  <c r="BI19" i="92" s="1"/>
  <c r="BI20" i="92" s="1"/>
  <c r="BI21" i="92" s="1"/>
  <c r="BI22" i="92" s="1"/>
  <c r="BI23" i="92" s="1"/>
  <c r="BI24" i="92" s="1"/>
  <c r="BI25" i="92" s="1"/>
  <c r="BI26" i="92" s="1"/>
  <c r="BI31" i="92"/>
  <c r="BU17" i="91"/>
  <c r="BM17" i="91"/>
  <c r="BM18" i="91" s="1"/>
  <c r="BM19" i="91" s="1"/>
  <c r="BM20" i="91" s="1"/>
  <c r="BM21" i="91" s="1"/>
  <c r="BM22" i="91" s="1"/>
  <c r="BM23" i="91" s="1"/>
  <c r="BM24" i="91" s="1"/>
  <c r="BM25" i="91" s="1"/>
  <c r="BM26" i="91" s="1"/>
  <c r="AT45" i="92"/>
  <c r="A59" i="92"/>
  <c r="AT59" i="92" s="1"/>
  <c r="AO59" i="91"/>
  <c r="AW59" i="91" s="1"/>
  <c r="BE59" i="91" s="1"/>
  <c r="AO45" i="91"/>
  <c r="AW45" i="91" s="1"/>
  <c r="BE45" i="91" s="1"/>
  <c r="BM45" i="91" s="1"/>
  <c r="BM46" i="91" s="1"/>
  <c r="BM47" i="91" s="1"/>
  <c r="BM48" i="91" s="1"/>
  <c r="BM49" i="91" s="1"/>
  <c r="BM50" i="91" s="1"/>
  <c r="BM51" i="91" s="1"/>
  <c r="BM52" i="91" s="1"/>
  <c r="BM53" i="91" s="1"/>
  <c r="BM54" i="91" s="1"/>
  <c r="AO31" i="91"/>
  <c r="AW31" i="91" s="1"/>
  <c r="BE31" i="91" s="1"/>
  <c r="BI32" i="92" l="1"/>
  <c r="BI33" i="92" s="1"/>
  <c r="BI34" i="92" s="1"/>
  <c r="BI35" i="92" s="1"/>
  <c r="BI36" i="92" s="1"/>
  <c r="BI37" i="92" s="1"/>
  <c r="BI38" i="92" s="1"/>
  <c r="BI39" i="92" s="1"/>
  <c r="BI40" i="92" s="1"/>
  <c r="BI45" i="92"/>
  <c r="BU31" i="91"/>
  <c r="BU45" i="91" s="1"/>
  <c r="BM31" i="91"/>
  <c r="BM32" i="91" s="1"/>
  <c r="BM33" i="91" s="1"/>
  <c r="BM34" i="91" s="1"/>
  <c r="BM35" i="91" s="1"/>
  <c r="BM36" i="91" s="1"/>
  <c r="BM37" i="91" s="1"/>
  <c r="BM38" i="91" s="1"/>
  <c r="BM39" i="91" s="1"/>
  <c r="BM40" i="91" s="1"/>
  <c r="BU59" i="91"/>
  <c r="BM59" i="91"/>
  <c r="BM60" i="91" s="1"/>
  <c r="BM61" i="91" s="1"/>
  <c r="BM62" i="91" s="1"/>
  <c r="BM63" i="91" s="1"/>
  <c r="BM64" i="91" s="1"/>
  <c r="BM65" i="91" s="1"/>
  <c r="BM66" i="91" s="1"/>
  <c r="BM67" i="91" s="1"/>
  <c r="BM68" i="91" s="1"/>
  <c r="AM59" i="92"/>
  <c r="BA59" i="92"/>
  <c r="BA45" i="92"/>
  <c r="AM45" i="92"/>
  <c r="BI59" i="92" l="1"/>
  <c r="BI60" i="92" s="1"/>
  <c r="BI61" i="92" s="1"/>
  <c r="BI62" i="92" s="1"/>
  <c r="BI63" i="92" s="1"/>
  <c r="BI64" i="92" s="1"/>
  <c r="BI65" i="92" s="1"/>
  <c r="BI66" i="92" s="1"/>
  <c r="BI67" i="92" s="1"/>
  <c r="BI68" i="92" s="1"/>
  <c r="BI46" i="92"/>
  <c r="BI47" i="92" s="1"/>
  <c r="BI48" i="92" s="1"/>
  <c r="BI49" i="92" s="1"/>
  <c r="BI50" i="92" s="1"/>
  <c r="BI51" i="92" s="1"/>
  <c r="BI52" i="92" s="1"/>
  <c r="BI53" i="92" s="1"/>
  <c r="BI54" i="92" s="1"/>
  <c r="C31" i="111"/>
  <c r="C30" i="111"/>
  <c r="C29" i="111"/>
  <c r="C28" i="111"/>
  <c r="C27" i="111"/>
  <c r="C26" i="111"/>
  <c r="C25" i="111"/>
  <c r="C24" i="111"/>
  <c r="C23" i="111"/>
  <c r="C22" i="111"/>
  <c r="C21" i="111"/>
  <c r="C20" i="111"/>
  <c r="C19" i="111"/>
  <c r="C50" i="111"/>
  <c r="P33" i="107" l="1"/>
  <c r="W47" i="111" l="1"/>
  <c r="W46" i="111"/>
  <c r="W45" i="111"/>
  <c r="W44" i="111"/>
  <c r="W43" i="111"/>
  <c r="W42" i="111"/>
  <c r="W41" i="111"/>
  <c r="W40" i="111"/>
  <c r="W39" i="111"/>
  <c r="W38" i="111"/>
  <c r="W37" i="111"/>
  <c r="W31" i="111"/>
  <c r="W30" i="111"/>
  <c r="W29" i="111"/>
  <c r="W28" i="111"/>
  <c r="W26" i="111"/>
  <c r="W25" i="111"/>
  <c r="W24" i="111"/>
  <c r="W23" i="111"/>
  <c r="W22" i="111"/>
  <c r="W21" i="111"/>
  <c r="W20" i="111"/>
  <c r="W19" i="111"/>
  <c r="W18" i="111"/>
  <c r="W17" i="111"/>
  <c r="U30" i="107"/>
  <c r="I30" i="107" s="1"/>
  <c r="U28" i="107"/>
  <c r="I28" i="107" s="1"/>
  <c r="U26" i="107"/>
  <c r="I26" i="107" s="1"/>
  <c r="U25" i="107"/>
  <c r="I25" i="107" s="1"/>
  <c r="U24" i="107"/>
  <c r="I24" i="107" s="1"/>
  <c r="U23" i="107"/>
  <c r="I23" i="107" s="1"/>
  <c r="U22" i="107"/>
  <c r="I22" i="107" s="1"/>
  <c r="U21" i="107"/>
  <c r="I21" i="107" l="1"/>
  <c r="I49" i="108"/>
  <c r="W50" i="111" l="1"/>
  <c r="S50" i="111"/>
  <c r="Q50" i="111"/>
  <c r="G50" i="111"/>
  <c r="I50" i="111" s="1"/>
  <c r="W49" i="111"/>
  <c r="S49" i="111"/>
  <c r="Q49" i="111"/>
  <c r="G49" i="111"/>
  <c r="C49" i="111"/>
  <c r="W48" i="111"/>
  <c r="S48" i="111"/>
  <c r="Q48" i="111"/>
  <c r="G48" i="111"/>
  <c r="C48" i="111"/>
  <c r="S47" i="111"/>
  <c r="Q47" i="111"/>
  <c r="G47" i="111"/>
  <c r="C47" i="111"/>
  <c r="S46" i="111"/>
  <c r="Q46" i="111"/>
  <c r="G46" i="111"/>
  <c r="C46" i="111"/>
  <c r="S45" i="111"/>
  <c r="Q45" i="111"/>
  <c r="G45" i="111"/>
  <c r="C45" i="111"/>
  <c r="S44" i="111"/>
  <c r="Q44" i="111"/>
  <c r="G44" i="111"/>
  <c r="C44" i="111"/>
  <c r="S43" i="111"/>
  <c r="Q43" i="111"/>
  <c r="G43" i="111"/>
  <c r="C43" i="111"/>
  <c r="S42" i="111"/>
  <c r="Q42" i="111"/>
  <c r="G42" i="111"/>
  <c r="C42" i="111"/>
  <c r="S41" i="111"/>
  <c r="Q41" i="111"/>
  <c r="G41" i="111"/>
  <c r="C41" i="111"/>
  <c r="S40" i="111"/>
  <c r="Q40" i="111"/>
  <c r="G40" i="111"/>
  <c r="C40" i="111"/>
  <c r="S39" i="111"/>
  <c r="Q39" i="111"/>
  <c r="G39" i="111"/>
  <c r="C39" i="111"/>
  <c r="S38" i="111"/>
  <c r="Q38" i="111"/>
  <c r="G38" i="111"/>
  <c r="C38" i="111"/>
  <c r="S37" i="111"/>
  <c r="Q37" i="111"/>
  <c r="G37" i="111"/>
  <c r="C37" i="111"/>
  <c r="I37" i="111" s="1"/>
  <c r="U31" i="111"/>
  <c r="U30" i="111"/>
  <c r="U29" i="111"/>
  <c r="U28" i="111"/>
  <c r="U26" i="111"/>
  <c r="U25" i="111"/>
  <c r="U24" i="111"/>
  <c r="U23" i="111"/>
  <c r="U22" i="111"/>
  <c r="U21" i="111"/>
  <c r="U20" i="111"/>
  <c r="U19" i="111"/>
  <c r="U18" i="111"/>
  <c r="U17" i="111"/>
  <c r="S31" i="111"/>
  <c r="S30" i="111"/>
  <c r="S29" i="111"/>
  <c r="S28" i="111"/>
  <c r="S26" i="111"/>
  <c r="S25" i="111"/>
  <c r="S24" i="111"/>
  <c r="S23" i="111"/>
  <c r="S22" i="111"/>
  <c r="S21" i="111"/>
  <c r="S20" i="111"/>
  <c r="S19" i="111"/>
  <c r="S18" i="111"/>
  <c r="S17" i="111"/>
  <c r="Q31" i="111"/>
  <c r="Q30" i="111"/>
  <c r="Q29" i="111"/>
  <c r="Q28" i="111"/>
  <c r="Q26" i="111"/>
  <c r="Q25" i="111"/>
  <c r="Q24" i="111"/>
  <c r="Q23" i="111"/>
  <c r="Q22" i="111"/>
  <c r="Q21" i="111"/>
  <c r="Q20" i="111"/>
  <c r="Q19" i="111"/>
  <c r="Q18" i="111"/>
  <c r="Q17" i="111"/>
  <c r="Q36" i="111"/>
  <c r="G36" i="111"/>
  <c r="C36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C18" i="111"/>
  <c r="C17" i="111"/>
  <c r="C52" i="111" l="1"/>
  <c r="I39" i="111"/>
  <c r="I40" i="111"/>
  <c r="I49" i="111"/>
  <c r="I42" i="111"/>
  <c r="I47" i="111"/>
  <c r="I38" i="111"/>
  <c r="I48" i="111"/>
  <c r="I45" i="111"/>
  <c r="I44" i="111"/>
  <c r="I41" i="111"/>
  <c r="I43" i="111"/>
  <c r="I46" i="111"/>
  <c r="I36" i="111"/>
  <c r="E52" i="107" l="1"/>
  <c r="M31" i="27"/>
  <c r="M30" i="27"/>
  <c r="M29" i="27"/>
  <c r="M28" i="27"/>
  <c r="M27" i="27"/>
  <c r="M26" i="27"/>
  <c r="M25" i="27"/>
  <c r="M24" i="27"/>
  <c r="M23" i="27"/>
  <c r="M22" i="27"/>
  <c r="M21" i="27"/>
  <c r="M20" i="27"/>
  <c r="M19" i="27"/>
  <c r="M18" i="27"/>
  <c r="K31" i="27"/>
  <c r="K30" i="27"/>
  <c r="K29" i="27"/>
  <c r="K28" i="27"/>
  <c r="K27" i="27"/>
  <c r="K26" i="27"/>
  <c r="K25" i="27"/>
  <c r="K24" i="27"/>
  <c r="K23" i="27"/>
  <c r="K22" i="27"/>
  <c r="K21" i="27"/>
  <c r="K20" i="27"/>
  <c r="K19" i="27"/>
  <c r="K18" i="27"/>
  <c r="AE24" i="27" l="1"/>
  <c r="AE27" i="27"/>
  <c r="AE26" i="27"/>
  <c r="AE29" i="27"/>
  <c r="AE31" i="27"/>
  <c r="AE23" i="27"/>
  <c r="AE28" i="27"/>
  <c r="AE18" i="27"/>
  <c r="AE20" i="27"/>
  <c r="AE30" i="27"/>
  <c r="AE21" i="27"/>
  <c r="AE25" i="27"/>
  <c r="AE19" i="27"/>
  <c r="AE22" i="27"/>
  <c r="I39" i="23"/>
  <c r="K31" i="23"/>
  <c r="K30" i="23"/>
  <c r="K29" i="23"/>
  <c r="K28" i="23"/>
  <c r="K27" i="23"/>
  <c r="K26" i="23"/>
  <c r="K25" i="23"/>
  <c r="K24" i="23"/>
  <c r="K23" i="23"/>
  <c r="K22" i="23"/>
  <c r="K21" i="23"/>
  <c r="K20" i="23"/>
  <c r="K19" i="23"/>
  <c r="K18" i="23"/>
  <c r="K17" i="23"/>
  <c r="I31" i="23"/>
  <c r="I30" i="23"/>
  <c r="I29" i="23"/>
  <c r="I28" i="23"/>
  <c r="I26" i="23"/>
  <c r="I25" i="23"/>
  <c r="I24" i="23"/>
  <c r="I23" i="23"/>
  <c r="I22" i="23"/>
  <c r="I21" i="23"/>
  <c r="I20" i="23"/>
  <c r="I19" i="23"/>
  <c r="I18" i="23"/>
  <c r="I17" i="23"/>
  <c r="G16" i="20" l="1"/>
  <c r="G16" i="73"/>
  <c r="M31" i="28"/>
  <c r="M30" i="28"/>
  <c r="M29" i="28"/>
  <c r="M28" i="28"/>
  <c r="M26" i="28"/>
  <c r="M25" i="28"/>
  <c r="M24" i="28"/>
  <c r="M23" i="28"/>
  <c r="M22" i="28"/>
  <c r="M21" i="28"/>
  <c r="M20" i="28"/>
  <c r="M19" i="28"/>
  <c r="M18" i="28"/>
  <c r="M17" i="28"/>
  <c r="K31" i="28"/>
  <c r="K30" i="28"/>
  <c r="K29" i="28"/>
  <c r="K28" i="28"/>
  <c r="K26" i="28"/>
  <c r="K25" i="28"/>
  <c r="K24" i="28"/>
  <c r="K23" i="28"/>
  <c r="K22" i="28"/>
  <c r="K21" i="28"/>
  <c r="K20" i="28"/>
  <c r="K19" i="28"/>
  <c r="K18" i="28"/>
  <c r="K17" i="28"/>
  <c r="K17" i="54"/>
  <c r="M17" i="54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K31" i="55"/>
  <c r="K30" i="55"/>
  <c r="K29" i="55"/>
  <c r="K28" i="55"/>
  <c r="K27" i="55"/>
  <c r="K26" i="55"/>
  <c r="K25" i="55"/>
  <c r="K24" i="55"/>
  <c r="K23" i="55"/>
  <c r="K22" i="55"/>
  <c r="K21" i="55"/>
  <c r="K20" i="55"/>
  <c r="K19" i="55"/>
  <c r="K18" i="55"/>
  <c r="K50" i="23"/>
  <c r="K49" i="23"/>
  <c r="K48" i="23"/>
  <c r="K47" i="23"/>
  <c r="K46" i="23"/>
  <c r="K45" i="23"/>
  <c r="K44" i="23"/>
  <c r="K43" i="23"/>
  <c r="K42" i="23"/>
  <c r="K41" i="23"/>
  <c r="E16" i="81" s="1"/>
  <c r="K40" i="23"/>
  <c r="K39" i="23"/>
  <c r="K38" i="23"/>
  <c r="K37" i="23"/>
  <c r="K36" i="23"/>
  <c r="I50" i="23"/>
  <c r="I49" i="23"/>
  <c r="I48" i="23"/>
  <c r="I47" i="23"/>
  <c r="I45" i="23"/>
  <c r="I44" i="23"/>
  <c r="I43" i="23"/>
  <c r="I42" i="23"/>
  <c r="I41" i="23"/>
  <c r="E16" i="82" s="1"/>
  <c r="I40" i="23"/>
  <c r="I38" i="23"/>
  <c r="I37" i="23"/>
  <c r="I36" i="23"/>
  <c r="K50" i="54"/>
  <c r="K49" i="54"/>
  <c r="K48" i="54"/>
  <c r="K47" i="54"/>
  <c r="K42" i="54"/>
  <c r="K40" i="54"/>
  <c r="K39" i="54"/>
  <c r="K38" i="54"/>
  <c r="K37" i="54"/>
  <c r="K36" i="54"/>
  <c r="K43" i="54" l="1"/>
  <c r="K44" i="54"/>
  <c r="K45" i="54"/>
  <c r="K41" i="54"/>
  <c r="M42" i="54"/>
  <c r="M48" i="28"/>
  <c r="K43" i="28"/>
  <c r="M41" i="54"/>
  <c r="M44" i="54"/>
  <c r="M45" i="28"/>
  <c r="M47" i="54"/>
  <c r="M40" i="28"/>
  <c r="M37" i="28"/>
  <c r="K37" i="28"/>
  <c r="M37" i="54"/>
  <c r="K42" i="28"/>
  <c r="K39" i="28"/>
  <c r="M39" i="28"/>
  <c r="M39" i="54"/>
  <c r="M36" i="28"/>
  <c r="K36" i="28"/>
  <c r="M36" i="54"/>
  <c r="M44" i="28"/>
  <c r="M38" i="28"/>
  <c r="K38" i="28"/>
  <c r="M38" i="54"/>
  <c r="S36" i="111"/>
  <c r="M42" i="28" l="1"/>
  <c r="K45" i="28"/>
  <c r="M47" i="28"/>
  <c r="M49" i="54"/>
  <c r="M45" i="54"/>
  <c r="M48" i="54"/>
  <c r="K49" i="28"/>
  <c r="M49" i="28"/>
  <c r="K47" i="28"/>
  <c r="M43" i="28"/>
  <c r="M50" i="54"/>
  <c r="M43" i="54"/>
  <c r="K50" i="28"/>
  <c r="M50" i="28"/>
  <c r="K48" i="28"/>
  <c r="M41" i="28"/>
  <c r="K53" i="108"/>
  <c r="K41" i="28"/>
  <c r="K44" i="28"/>
  <c r="W36" i="111"/>
  <c r="M17" i="27"/>
  <c r="K17" i="27"/>
  <c r="K40" i="28"/>
  <c r="M40" i="54"/>
  <c r="M17" i="55"/>
  <c r="K17" i="55"/>
  <c r="N18" i="110"/>
  <c r="N19" i="110" s="1"/>
  <c r="N20" i="110" s="1"/>
  <c r="N21" i="110" s="1"/>
  <c r="N22" i="110" s="1"/>
  <c r="N23" i="110" s="1"/>
  <c r="N24" i="110" s="1"/>
  <c r="N25" i="110" s="1"/>
  <c r="N26" i="110" s="1"/>
  <c r="C38" i="109"/>
  <c r="C37" i="109"/>
  <c r="C36" i="109"/>
  <c r="C35" i="109"/>
  <c r="C34" i="109"/>
  <c r="C33" i="109"/>
  <c r="C32" i="109"/>
  <c r="C31" i="109"/>
  <c r="Q24" i="109"/>
  <c r="Q23" i="109"/>
  <c r="Q22" i="109"/>
  <c r="Q21" i="109"/>
  <c r="Q20" i="109"/>
  <c r="Q19" i="109"/>
  <c r="Q18" i="109"/>
  <c r="Q17" i="109"/>
  <c r="C24" i="109"/>
  <c r="C23" i="109"/>
  <c r="C22" i="109"/>
  <c r="C21" i="109"/>
  <c r="C20" i="109"/>
  <c r="C19" i="109"/>
  <c r="C18" i="109"/>
  <c r="C17" i="109"/>
  <c r="O45" i="109"/>
  <c r="O31" i="109"/>
  <c r="O17" i="109"/>
  <c r="AL107" i="109" s="1"/>
  <c r="AL108" i="109" s="1"/>
  <c r="AL109" i="109" s="1"/>
  <c r="AL110" i="109" s="1"/>
  <c r="AL111" i="109" s="1"/>
  <c r="A45" i="109"/>
  <c r="A31" i="109"/>
  <c r="AE17" i="27" l="1"/>
  <c r="S16" i="79"/>
  <c r="W14" i="71"/>
  <c r="X14" i="71" s="1"/>
  <c r="Y14" i="71" s="1"/>
  <c r="W14" i="70"/>
  <c r="X14" i="70" s="1"/>
  <c r="Y14" i="70" s="1"/>
  <c r="I52" i="107" l="1"/>
  <c r="AC30" i="69"/>
  <c r="AC29" i="69"/>
  <c r="AC28" i="69"/>
  <c r="AB28" i="69"/>
  <c r="AC27" i="69"/>
  <c r="AB27" i="69"/>
  <c r="AC26" i="69"/>
  <c r="AB26" i="69"/>
  <c r="AC25" i="69"/>
  <c r="AB25" i="69"/>
  <c r="O44" i="6" l="1"/>
  <c r="O23" i="6"/>
  <c r="O22" i="6"/>
  <c r="O21" i="6"/>
  <c r="O20" i="6"/>
  <c r="O19" i="6"/>
  <c r="O18" i="6"/>
  <c r="O17" i="6"/>
  <c r="O16" i="6"/>
  <c r="O44" i="5"/>
  <c r="O30" i="5"/>
  <c r="O29" i="5"/>
  <c r="O28" i="5"/>
  <c r="O27" i="5"/>
  <c r="O26" i="5"/>
  <c r="O25" i="5"/>
  <c r="O24" i="5"/>
  <c r="O23" i="5"/>
  <c r="O22" i="5"/>
  <c r="O21" i="5"/>
  <c r="O20" i="5"/>
  <c r="O19" i="5"/>
  <c r="O18" i="5"/>
  <c r="O17" i="5"/>
  <c r="O16" i="5"/>
  <c r="R14" i="26"/>
  <c r="S14" i="26" s="1"/>
  <c r="T14" i="26" s="1"/>
  <c r="U14" i="26" s="1"/>
  <c r="N17" i="5"/>
  <c r="N18" i="5" s="1"/>
  <c r="N19" i="5" s="1"/>
  <c r="N20" i="5" s="1"/>
  <c r="N21" i="5" s="1"/>
  <c r="N22" i="5" s="1"/>
  <c r="N23" i="5" s="1"/>
  <c r="N24" i="5" s="1"/>
  <c r="N25" i="5" s="1"/>
  <c r="N26" i="5" s="1"/>
  <c r="N27" i="5" s="1"/>
  <c r="N28" i="5" s="1"/>
  <c r="N29" i="5" s="1"/>
  <c r="N30" i="5" s="1"/>
  <c r="N31" i="5" s="1"/>
  <c r="N32" i="5" s="1"/>
  <c r="N33" i="5" s="1"/>
  <c r="N34" i="5" s="1"/>
  <c r="N35" i="5" s="1"/>
  <c r="N36" i="5" s="1"/>
  <c r="N37" i="5" s="1"/>
  <c r="N38" i="5" s="1"/>
  <c r="N39" i="5" s="1"/>
  <c r="N40" i="5" s="1"/>
  <c r="N41" i="5" s="1"/>
  <c r="N42" i="5" s="1"/>
  <c r="N43" i="5" s="1"/>
  <c r="N44" i="5" s="1"/>
  <c r="U46" i="40"/>
  <c r="T46" i="40"/>
  <c r="V14" i="26" l="1"/>
  <c r="W14" i="26" s="1"/>
  <c r="E32" i="20"/>
  <c r="A36" i="111" l="1"/>
  <c r="A36" i="107"/>
  <c r="A36" i="27"/>
  <c r="U36" i="27"/>
  <c r="U17" i="27"/>
  <c r="A36" i="55"/>
  <c r="U36" i="55"/>
  <c r="AE36" i="55"/>
  <c r="AE17" i="55"/>
  <c r="U17" i="55"/>
  <c r="A36" i="56" l="1"/>
  <c r="A36" i="28"/>
  <c r="AE36" i="54"/>
  <c r="AE17" i="54"/>
  <c r="A36" i="54"/>
  <c r="U36" i="54"/>
  <c r="U17" i="54"/>
  <c r="P36" i="53"/>
  <c r="A36" i="53"/>
  <c r="P17" i="53"/>
  <c r="A36" i="133"/>
  <c r="A55" i="133" s="1"/>
  <c r="A56" i="133" s="1"/>
  <c r="A57" i="133" s="1"/>
  <c r="A58" i="133" s="1"/>
  <c r="A59" i="133" s="1"/>
  <c r="A60" i="133" s="1"/>
  <c r="A61" i="133" s="1"/>
  <c r="A62" i="133" s="1"/>
  <c r="A63" i="133" s="1"/>
  <c r="A64" i="133" s="1"/>
  <c r="A65" i="133" s="1"/>
  <c r="A66" i="133" s="1"/>
  <c r="A67" i="133" s="1"/>
  <c r="A68" i="133" s="1"/>
  <c r="A69" i="133" s="1"/>
  <c r="A36" i="118"/>
  <c r="A55" i="118" s="1"/>
  <c r="U17" i="118"/>
  <c r="A36" i="23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N17" i="7" l="1"/>
  <c r="N18" i="7" s="1"/>
  <c r="N19" i="7" s="1"/>
  <c r="N20" i="7" s="1"/>
  <c r="N21" i="7" s="1"/>
  <c r="N22" i="7" s="1"/>
  <c r="N23" i="7" s="1"/>
  <c r="N24" i="7" s="1"/>
  <c r="N25" i="7" s="1"/>
  <c r="N26" i="7" s="1"/>
  <c r="N27" i="7" s="1"/>
  <c r="N28" i="7" s="1"/>
  <c r="N29" i="7" s="1"/>
  <c r="N30" i="7" s="1"/>
  <c r="N31" i="7" s="1"/>
  <c r="N32" i="7" s="1"/>
  <c r="N33" i="7" s="1"/>
  <c r="N34" i="7" s="1"/>
  <c r="N35" i="7" s="1"/>
  <c r="N36" i="7" s="1"/>
  <c r="N37" i="7" s="1"/>
  <c r="N38" i="7" s="1"/>
  <c r="N39" i="7" s="1"/>
  <c r="N40" i="7" s="1"/>
  <c r="N41" i="7" s="1"/>
  <c r="N42" i="7" s="1"/>
  <c r="N43" i="7" s="1"/>
  <c r="I30" i="15" l="1"/>
  <c r="R47" i="16"/>
  <c r="O18" i="16"/>
  <c r="O19" i="16" s="1"/>
  <c r="O20" i="16" s="1"/>
  <c r="O21" i="16" s="1"/>
  <c r="O22" i="16" s="1"/>
  <c r="O23" i="16" s="1"/>
  <c r="O24" i="16" s="1"/>
  <c r="O25" i="16" s="1"/>
  <c r="O26" i="16" s="1"/>
  <c r="O27" i="16" s="1"/>
  <c r="O28" i="16" s="1"/>
  <c r="O29" i="16" s="1"/>
  <c r="O30" i="16" s="1"/>
  <c r="O31" i="16" s="1"/>
  <c r="O32" i="16" s="1"/>
  <c r="O33" i="16" s="1"/>
  <c r="O34" i="16" s="1"/>
  <c r="O35" i="16" s="1"/>
  <c r="O36" i="16" s="1"/>
  <c r="O37" i="16" s="1"/>
  <c r="O38" i="16" s="1"/>
  <c r="O39" i="16" s="1"/>
  <c r="O40" i="16" s="1"/>
  <c r="O41" i="16" s="1"/>
  <c r="O42" i="16" s="1"/>
  <c r="O43" i="16" s="1"/>
  <c r="O44" i="16" s="1"/>
  <c r="O45" i="16" s="1"/>
  <c r="C32" i="128" l="1"/>
  <c r="E32" i="128" s="1"/>
  <c r="G32" i="128" s="1"/>
  <c r="I32" i="128" s="1"/>
  <c r="K32" i="128" s="1"/>
  <c r="M32" i="128" s="1"/>
  <c r="O32" i="128" s="1"/>
  <c r="Q32" i="128" s="1"/>
  <c r="S32" i="128" s="1"/>
  <c r="U32" i="128" s="1"/>
  <c r="W32" i="128" s="1"/>
  <c r="Y32" i="128" l="1"/>
  <c r="AA32" i="128" s="1"/>
  <c r="AM52" i="107" l="1"/>
  <c r="AW27" i="56"/>
  <c r="AV22" i="56" l="1"/>
  <c r="AX22" i="56" s="1"/>
  <c r="AV23" i="56"/>
  <c r="AX23" i="56" s="1"/>
  <c r="AV24" i="56"/>
  <c r="AX24" i="56" s="1"/>
  <c r="AV25" i="56"/>
  <c r="AX25" i="56" s="1"/>
  <c r="AV26" i="56"/>
  <c r="AX26" i="56" s="1"/>
  <c r="AV27" i="56"/>
  <c r="AX27" i="56" s="1"/>
  <c r="AV28" i="56"/>
  <c r="AX28" i="56" s="1"/>
  <c r="AV29" i="56"/>
  <c r="AX29" i="56" s="1"/>
  <c r="AV30" i="56"/>
  <c r="AX30" i="56" s="1"/>
  <c r="AV31" i="56"/>
  <c r="AX31" i="56" s="1"/>
  <c r="I23" i="136" l="1"/>
  <c r="I23" i="160" s="1"/>
  <c r="G23" i="136"/>
  <c r="G23" i="160" s="1"/>
  <c r="E23" i="136"/>
  <c r="E23" i="160" s="1"/>
  <c r="G23" i="85" l="1"/>
  <c r="S23" i="85" s="1"/>
  <c r="G22" i="85"/>
  <c r="S22" i="85" s="1"/>
  <c r="G21" i="85"/>
  <c r="S21" i="85" s="1"/>
  <c r="G20" i="85"/>
  <c r="S20" i="85" s="1"/>
  <c r="G19" i="85"/>
  <c r="S19" i="85" s="1"/>
  <c r="G18" i="85"/>
  <c r="S18" i="85" s="1"/>
  <c r="G17" i="85"/>
  <c r="K42" i="90" l="1"/>
  <c r="M42" i="90" l="1"/>
  <c r="M28" i="90"/>
  <c r="K28" i="90"/>
  <c r="AM58" i="87" l="1"/>
  <c r="AN58" i="87" s="1"/>
  <c r="C46" i="83" l="1"/>
  <c r="C45" i="83"/>
  <c r="C44" i="83"/>
  <c r="C43" i="83"/>
  <c r="C42" i="83"/>
  <c r="C41" i="83"/>
  <c r="C40" i="83"/>
  <c r="C39" i="83"/>
  <c r="C38" i="83"/>
  <c r="S25" i="83" l="1"/>
  <c r="S24" i="83"/>
  <c r="S23" i="83"/>
  <c r="S22" i="83"/>
  <c r="S21" i="83"/>
  <c r="S20" i="83"/>
  <c r="S19" i="83"/>
  <c r="S18" i="83"/>
  <c r="S17" i="83"/>
  <c r="S16" i="83"/>
  <c r="R28" i="83"/>
  <c r="E26" i="83" l="1"/>
  <c r="E25" i="83"/>
  <c r="E24" i="83"/>
  <c r="E23" i="83"/>
  <c r="E22" i="83"/>
  <c r="E21" i="83"/>
  <c r="E20" i="83"/>
  <c r="E19" i="83"/>
  <c r="C26" i="83"/>
  <c r="P26" i="83" s="1"/>
  <c r="P28" i="83" s="1"/>
  <c r="C25" i="83"/>
  <c r="C24" i="83"/>
  <c r="C23" i="83"/>
  <c r="C22" i="83"/>
  <c r="C21" i="83"/>
  <c r="C20" i="83"/>
  <c r="C19" i="83"/>
  <c r="C18" i="83"/>
  <c r="C17" i="83"/>
  <c r="I17" i="83" l="1"/>
  <c r="I22" i="83"/>
  <c r="I23" i="83"/>
  <c r="I18" i="83"/>
  <c r="I24" i="83"/>
  <c r="I25" i="83"/>
  <c r="I21" i="83"/>
  <c r="I20" i="83"/>
  <c r="I19" i="83"/>
  <c r="I26" i="83"/>
  <c r="Q26" i="83"/>
  <c r="K25" i="81"/>
  <c r="K24" i="81"/>
  <c r="K23" i="81"/>
  <c r="K22" i="81"/>
  <c r="K38" i="81" s="1"/>
  <c r="K21" i="81"/>
  <c r="K37" i="81" s="1"/>
  <c r="K20" i="81"/>
  <c r="K36" i="81" s="1"/>
  <c r="K19" i="81"/>
  <c r="K35" i="81" s="1"/>
  <c r="K18" i="81"/>
  <c r="K17" i="81"/>
  <c r="K16" i="81"/>
  <c r="K32" i="81" s="1"/>
  <c r="R25" i="73"/>
  <c r="C25" i="73" s="1"/>
  <c r="C41" i="73" s="1"/>
  <c r="R24" i="73"/>
  <c r="C24" i="73" s="1"/>
  <c r="C40" i="73" s="1"/>
  <c r="R23" i="73"/>
  <c r="C23" i="73" s="1"/>
  <c r="C39" i="73" s="1"/>
  <c r="R22" i="73"/>
  <c r="C22" i="73" s="1"/>
  <c r="C38" i="73" s="1"/>
  <c r="R21" i="73"/>
  <c r="C21" i="73" s="1"/>
  <c r="C37" i="73" s="1"/>
  <c r="R20" i="73"/>
  <c r="C20" i="73" s="1"/>
  <c r="C36" i="73" s="1"/>
  <c r="R19" i="73"/>
  <c r="C19" i="73" s="1"/>
  <c r="C35" i="73" s="1"/>
  <c r="R18" i="73"/>
  <c r="C18" i="73" s="1"/>
  <c r="C34" i="73" s="1"/>
  <c r="R17" i="73"/>
  <c r="C17" i="73" s="1"/>
  <c r="C33" i="73" s="1"/>
  <c r="R16" i="73"/>
  <c r="I16" i="73"/>
  <c r="M25" i="73"/>
  <c r="M41" i="73" s="1"/>
  <c r="M24" i="73"/>
  <c r="M40" i="73" s="1"/>
  <c r="M23" i="73"/>
  <c r="M39" i="73" s="1"/>
  <c r="M22" i="73"/>
  <c r="M38" i="73" s="1"/>
  <c r="M21" i="73"/>
  <c r="M37" i="73" s="1"/>
  <c r="M20" i="73"/>
  <c r="M36" i="73" s="1"/>
  <c r="M19" i="73"/>
  <c r="M35" i="73" s="1"/>
  <c r="M18" i="73"/>
  <c r="M34" i="73" s="1"/>
  <c r="M17" i="73"/>
  <c r="M33" i="73" s="1"/>
  <c r="M16" i="73"/>
  <c r="M32" i="73" s="1"/>
  <c r="K41" i="82"/>
  <c r="K38" i="82"/>
  <c r="K37" i="82"/>
  <c r="K33" i="82"/>
  <c r="K32" i="82"/>
  <c r="K25" i="82"/>
  <c r="K24" i="82"/>
  <c r="K40" i="82" s="1"/>
  <c r="K23" i="82"/>
  <c r="K39" i="82" s="1"/>
  <c r="K22" i="82"/>
  <c r="K21" i="82"/>
  <c r="K20" i="82"/>
  <c r="K36" i="82" s="1"/>
  <c r="K19" i="82"/>
  <c r="K35" i="82" s="1"/>
  <c r="K18" i="82"/>
  <c r="K34" i="82" s="1"/>
  <c r="K17" i="82"/>
  <c r="K16" i="82"/>
  <c r="T43" i="82"/>
  <c r="S43" i="82"/>
  <c r="R43" i="82"/>
  <c r="Q43" i="82"/>
  <c r="T27" i="82"/>
  <c r="S27" i="82"/>
  <c r="R27" i="82"/>
  <c r="Q27" i="82"/>
  <c r="M41" i="20"/>
  <c r="M40" i="20"/>
  <c r="M37" i="20"/>
  <c r="M36" i="20"/>
  <c r="M35" i="20"/>
  <c r="M34" i="20"/>
  <c r="M33" i="20"/>
  <c r="M25" i="20"/>
  <c r="M24" i="20"/>
  <c r="M23" i="20"/>
  <c r="M39" i="20" s="1"/>
  <c r="M22" i="20"/>
  <c r="M38" i="20" s="1"/>
  <c r="M21" i="20"/>
  <c r="M20" i="20"/>
  <c r="M19" i="20"/>
  <c r="M18" i="20"/>
  <c r="M17" i="20"/>
  <c r="M16" i="20"/>
  <c r="M32" i="20" s="1"/>
  <c r="V43" i="20"/>
  <c r="U43" i="20"/>
  <c r="T43" i="20"/>
  <c r="S43" i="20"/>
  <c r="V27" i="20"/>
  <c r="U27" i="20"/>
  <c r="T27" i="20"/>
  <c r="S27" i="20"/>
  <c r="C16" i="73" l="1"/>
  <c r="C32" i="73" s="1"/>
  <c r="Q28" i="83"/>
  <c r="S26" i="83"/>
  <c r="S28" i="83" s="1"/>
  <c r="K39" i="81"/>
  <c r="K40" i="81"/>
  <c r="K41" i="81"/>
  <c r="K33" i="81"/>
  <c r="K34" i="81"/>
  <c r="Y44" i="130" l="1"/>
  <c r="W39" i="128"/>
  <c r="D142" i="136"/>
  <c r="D118" i="136"/>
  <c r="D72" i="136"/>
  <c r="D51" i="136"/>
  <c r="K23" i="136"/>
  <c r="M23" i="136" l="1"/>
  <c r="M23" i="160" s="1"/>
  <c r="K23" i="160"/>
  <c r="P47" i="16" l="1"/>
  <c r="R114" i="127" l="1"/>
  <c r="R113" i="127"/>
  <c r="R112" i="127"/>
  <c r="R111" i="127"/>
  <c r="R110" i="127"/>
  <c r="R109" i="127"/>
  <c r="R108" i="127"/>
  <c r="T74" i="127"/>
  <c r="AA40" i="79" l="1"/>
  <c r="AC40" i="79" s="1"/>
  <c r="AA39" i="79"/>
  <c r="AC39" i="79" s="1"/>
  <c r="AA38" i="79"/>
  <c r="X44" i="79" l="1"/>
  <c r="W85" i="126" l="1"/>
  <c r="W123" i="139"/>
  <c r="W122" i="139"/>
  <c r="W121" i="139"/>
  <c r="W120" i="139"/>
  <c r="W119" i="139"/>
  <c r="W118" i="139"/>
  <c r="W117" i="139"/>
  <c r="W116" i="139"/>
  <c r="W115" i="139"/>
  <c r="W114" i="139"/>
  <c r="W113" i="139"/>
  <c r="W112" i="139"/>
  <c r="W111" i="139"/>
  <c r="W110" i="139"/>
  <c r="W109" i="139"/>
  <c r="W108" i="139"/>
  <c r="W107" i="139"/>
  <c r="W106" i="139"/>
  <c r="W105" i="139"/>
  <c r="W104" i="139"/>
  <c r="W103" i="139"/>
  <c r="W102" i="139"/>
  <c r="W101" i="139"/>
  <c r="W100" i="139"/>
  <c r="W99" i="139"/>
  <c r="W98" i="139"/>
  <c r="W97" i="139"/>
  <c r="W96" i="139"/>
  <c r="W95" i="139"/>
  <c r="W83" i="139"/>
  <c r="W82" i="139"/>
  <c r="W81" i="139"/>
  <c r="W80" i="139"/>
  <c r="W79" i="139"/>
  <c r="W78" i="139"/>
  <c r="W77" i="139"/>
  <c r="W76" i="139"/>
  <c r="W75" i="139"/>
  <c r="W74" i="139"/>
  <c r="W73" i="139"/>
  <c r="W72" i="139"/>
  <c r="W71" i="139"/>
  <c r="W70" i="139"/>
  <c r="W69" i="139"/>
  <c r="W68" i="139"/>
  <c r="W67" i="139"/>
  <c r="W66" i="139"/>
  <c r="W65" i="139"/>
  <c r="W64" i="139"/>
  <c r="W63" i="139"/>
  <c r="W62" i="139"/>
  <c r="W61" i="139"/>
  <c r="W60" i="139"/>
  <c r="W59" i="139"/>
  <c r="W58" i="139"/>
  <c r="W57" i="139"/>
  <c r="W56" i="139"/>
  <c r="W55" i="139"/>
  <c r="W45" i="138"/>
  <c r="W45" i="119"/>
  <c r="O84" i="141"/>
  <c r="O34" i="141"/>
  <c r="S34" i="141"/>
  <c r="T125" i="141"/>
  <c r="U125" i="141"/>
  <c r="B125" i="141"/>
  <c r="A96" i="141"/>
  <c r="A97" i="141" s="1"/>
  <c r="A98" i="141" s="1"/>
  <c r="A99" i="141" s="1"/>
  <c r="A100" i="141" s="1"/>
  <c r="A101" i="141" s="1"/>
  <c r="A102" i="141" s="1"/>
  <c r="A103" i="141" s="1"/>
  <c r="A104" i="141" s="1"/>
  <c r="A105" i="141" s="1"/>
  <c r="A106" i="141" s="1"/>
  <c r="A107" i="141" s="1"/>
  <c r="A108" i="141" s="1"/>
  <c r="A109" i="141" s="1"/>
  <c r="A110" i="141" s="1"/>
  <c r="A111" i="141" s="1"/>
  <c r="A112" i="141" s="1"/>
  <c r="A113" i="141" s="1"/>
  <c r="A114" i="141" s="1"/>
  <c r="A115" i="141" s="1"/>
  <c r="A116" i="141" s="1"/>
  <c r="A117" i="141" s="1"/>
  <c r="A118" i="141" s="1"/>
  <c r="A119" i="141" s="1"/>
  <c r="A120" i="141" s="1"/>
  <c r="A121" i="141" s="1"/>
  <c r="A122" i="141" s="1"/>
  <c r="A123" i="141" s="1"/>
  <c r="B93" i="141"/>
  <c r="C93" i="141" s="1"/>
  <c r="D93" i="141" s="1"/>
  <c r="E93" i="141" s="1"/>
  <c r="F93" i="141" s="1"/>
  <c r="G93" i="141" s="1"/>
  <c r="H93" i="141" s="1"/>
  <c r="I93" i="141" s="1"/>
  <c r="J93" i="141" s="1"/>
  <c r="K93" i="141" s="1"/>
  <c r="L93" i="141" s="1"/>
  <c r="M93" i="141" s="1"/>
  <c r="N93" i="141" s="1"/>
  <c r="O93" i="141" s="1"/>
  <c r="P93" i="141" s="1"/>
  <c r="Q93" i="141" s="1"/>
  <c r="R93" i="141" s="1"/>
  <c r="S93" i="141" s="1"/>
  <c r="T93" i="141" s="1"/>
  <c r="U93" i="141" s="1"/>
  <c r="V93" i="141" s="1"/>
  <c r="W93" i="141" s="1"/>
  <c r="F85" i="141"/>
  <c r="E85" i="141"/>
  <c r="D85" i="141"/>
  <c r="C85" i="141"/>
  <c r="B85" i="141"/>
  <c r="T74" i="141"/>
  <c r="T85" i="141" s="1"/>
  <c r="U73" i="141"/>
  <c r="V73" i="141" s="1"/>
  <c r="U72" i="141"/>
  <c r="V72" i="141" s="1"/>
  <c r="U71" i="141"/>
  <c r="V71" i="141" s="1"/>
  <c r="U70" i="141"/>
  <c r="V70" i="141" s="1"/>
  <c r="U69" i="141"/>
  <c r="V69" i="141" s="1"/>
  <c r="U68" i="141"/>
  <c r="V68" i="141" s="1"/>
  <c r="U67" i="141"/>
  <c r="V67" i="141" s="1"/>
  <c r="V66" i="141"/>
  <c r="U66" i="141"/>
  <c r="U65" i="141"/>
  <c r="V65" i="141" s="1"/>
  <c r="U64" i="141"/>
  <c r="V64" i="141" s="1"/>
  <c r="U63" i="141"/>
  <c r="V63" i="141" s="1"/>
  <c r="U62" i="141"/>
  <c r="V62" i="141" s="1"/>
  <c r="U61" i="141"/>
  <c r="V61" i="141" s="1"/>
  <c r="U60" i="141"/>
  <c r="V60" i="141" s="1"/>
  <c r="U59" i="141"/>
  <c r="V59" i="141" s="1"/>
  <c r="U58" i="141"/>
  <c r="V58" i="141" s="1"/>
  <c r="U57" i="141"/>
  <c r="V57" i="141" s="1"/>
  <c r="U56" i="141"/>
  <c r="V56" i="141" s="1"/>
  <c r="A56" i="141"/>
  <c r="A57" i="141" s="1"/>
  <c r="A58" i="141" s="1"/>
  <c r="A59" i="141" s="1"/>
  <c r="A60" i="141" s="1"/>
  <c r="A61" i="141" s="1"/>
  <c r="A62" i="141" s="1"/>
  <c r="A63" i="141" s="1"/>
  <c r="A64" i="141" s="1"/>
  <c r="A65" i="141" s="1"/>
  <c r="A66" i="141" s="1"/>
  <c r="A67" i="141" s="1"/>
  <c r="A68" i="141" s="1"/>
  <c r="A69" i="141" s="1"/>
  <c r="A70" i="141" s="1"/>
  <c r="A71" i="141" s="1"/>
  <c r="A72" i="141" s="1"/>
  <c r="A73" i="141" s="1"/>
  <c r="A74" i="141" s="1"/>
  <c r="A75" i="141" s="1"/>
  <c r="A76" i="141" s="1"/>
  <c r="A77" i="141" s="1"/>
  <c r="A78" i="141" s="1"/>
  <c r="A79" i="141" s="1"/>
  <c r="A80" i="141" s="1"/>
  <c r="A81" i="141" s="1"/>
  <c r="A82" i="141" s="1"/>
  <c r="A83" i="141" s="1"/>
  <c r="U55" i="141"/>
  <c r="B53" i="141"/>
  <c r="C53" i="141" s="1"/>
  <c r="D53" i="141" s="1"/>
  <c r="E53" i="141" s="1"/>
  <c r="F53" i="141" s="1"/>
  <c r="G53" i="141" s="1"/>
  <c r="H53" i="141" s="1"/>
  <c r="I53" i="141" s="1"/>
  <c r="J53" i="141" s="1"/>
  <c r="K53" i="141" s="1"/>
  <c r="L53" i="141" s="1"/>
  <c r="M53" i="141" s="1"/>
  <c r="N53" i="141" s="1"/>
  <c r="O53" i="141" s="1"/>
  <c r="P53" i="141" s="1"/>
  <c r="Q53" i="141" s="1"/>
  <c r="R53" i="141" s="1"/>
  <c r="S53" i="141" s="1"/>
  <c r="T53" i="141" s="1"/>
  <c r="U53" i="141" s="1"/>
  <c r="V53" i="141" s="1"/>
  <c r="W53" i="141" s="1"/>
  <c r="T45" i="141"/>
  <c r="F45" i="141"/>
  <c r="E45" i="141"/>
  <c r="D45" i="141"/>
  <c r="C45" i="141"/>
  <c r="B45" i="141"/>
  <c r="A16" i="141"/>
  <c r="A17" i="141" s="1"/>
  <c r="A18" i="141" s="1"/>
  <c r="A19" i="141" s="1"/>
  <c r="A20" i="141" s="1"/>
  <c r="A21" i="141" s="1"/>
  <c r="A22" i="141" s="1"/>
  <c r="A23" i="141" s="1"/>
  <c r="A24" i="141" s="1"/>
  <c r="A25" i="141" s="1"/>
  <c r="A26" i="141" s="1"/>
  <c r="A27" i="141" s="1"/>
  <c r="A28" i="141" s="1"/>
  <c r="A29" i="141" s="1"/>
  <c r="A30" i="141" s="1"/>
  <c r="A31" i="141" s="1"/>
  <c r="A32" i="141" s="1"/>
  <c r="A33" i="141" s="1"/>
  <c r="A34" i="141" s="1"/>
  <c r="A35" i="141" s="1"/>
  <c r="A36" i="141" s="1"/>
  <c r="A37" i="141" s="1"/>
  <c r="A38" i="141" s="1"/>
  <c r="A39" i="141" s="1"/>
  <c r="A40" i="141" s="1"/>
  <c r="A41" i="141" s="1"/>
  <c r="A42" i="141" s="1"/>
  <c r="A43" i="141" s="1"/>
  <c r="B13" i="141"/>
  <c r="C13" i="141" s="1"/>
  <c r="D13" i="141" s="1"/>
  <c r="E13" i="141" s="1"/>
  <c r="F13" i="141" s="1"/>
  <c r="G13" i="141" s="1"/>
  <c r="H13" i="141" s="1"/>
  <c r="I13" i="141" s="1"/>
  <c r="J13" i="141" s="1"/>
  <c r="K13" i="141" s="1"/>
  <c r="L13" i="141" s="1"/>
  <c r="M13" i="141" s="1"/>
  <c r="N13" i="141" s="1"/>
  <c r="O13" i="141" s="1"/>
  <c r="P13" i="141" s="1"/>
  <c r="Q13" i="141" s="1"/>
  <c r="R13" i="141" s="1"/>
  <c r="S13" i="141" s="1"/>
  <c r="T13" i="141" s="1"/>
  <c r="U13" i="141" s="1"/>
  <c r="V13" i="141" s="1"/>
  <c r="W13" i="141" s="1"/>
  <c r="W85" i="139" l="1"/>
  <c r="W125" i="139"/>
  <c r="W125" i="141"/>
  <c r="U74" i="141"/>
  <c r="V74" i="141" s="1"/>
  <c r="V125" i="141"/>
  <c r="K45" i="141"/>
  <c r="V55" i="141"/>
  <c r="D125" i="141"/>
  <c r="R125" i="141"/>
  <c r="F125" i="141"/>
  <c r="G45" i="141" l="1"/>
  <c r="E125" i="141"/>
  <c r="I45" i="141"/>
  <c r="C125" i="141"/>
  <c r="L45" i="141"/>
  <c r="H45" i="141"/>
  <c r="G125" i="141" l="1"/>
  <c r="J45" i="141"/>
  <c r="I125" i="141"/>
  <c r="K125" i="141"/>
  <c r="K85" i="141"/>
  <c r="G85" i="141"/>
  <c r="H125" i="141"/>
  <c r="L125" i="141" l="1"/>
  <c r="L85" i="141"/>
  <c r="J125" i="141"/>
  <c r="P45" i="141"/>
  <c r="I85" i="141"/>
  <c r="J85" i="141"/>
  <c r="Q45" i="141"/>
  <c r="H85" i="141"/>
  <c r="P125" i="141" l="1"/>
  <c r="P85" i="141"/>
  <c r="R45" i="141"/>
  <c r="U45" i="141"/>
  <c r="U85" i="141"/>
  <c r="V85" i="141" l="1"/>
  <c r="R85" i="141"/>
  <c r="V45" i="141"/>
  <c r="Q125" i="141" l="1"/>
  <c r="Q85" i="141"/>
  <c r="D138" i="140" l="1"/>
  <c r="W83" i="140"/>
  <c r="F83" i="140"/>
  <c r="E83" i="140"/>
  <c r="D83" i="140"/>
  <c r="C83" i="140"/>
  <c r="T74" i="125"/>
  <c r="W82" i="140"/>
  <c r="F82" i="140"/>
  <c r="E82" i="140"/>
  <c r="D82" i="140"/>
  <c r="C82" i="140"/>
  <c r="W81" i="140"/>
  <c r="F81" i="140"/>
  <c r="E81" i="140"/>
  <c r="D81" i="140"/>
  <c r="C81" i="140"/>
  <c r="W80" i="140"/>
  <c r="F80" i="140"/>
  <c r="E80" i="140"/>
  <c r="D80" i="140"/>
  <c r="C80" i="140"/>
  <c r="W79" i="140"/>
  <c r="F79" i="140"/>
  <c r="E79" i="140"/>
  <c r="D79" i="140"/>
  <c r="C79" i="140"/>
  <c r="W78" i="140"/>
  <c r="F78" i="140"/>
  <c r="E78" i="140"/>
  <c r="D78" i="140"/>
  <c r="C78" i="140"/>
  <c r="W77" i="140"/>
  <c r="F77" i="140"/>
  <c r="E77" i="140"/>
  <c r="D77" i="140"/>
  <c r="C77" i="140"/>
  <c r="W76" i="140"/>
  <c r="F76" i="140"/>
  <c r="E76" i="140"/>
  <c r="D76" i="140"/>
  <c r="C76" i="140"/>
  <c r="W75" i="140"/>
  <c r="F75" i="140"/>
  <c r="E75" i="140"/>
  <c r="D75" i="140"/>
  <c r="C75" i="140"/>
  <c r="W74" i="140"/>
  <c r="S74" i="140"/>
  <c r="R74" i="140"/>
  <c r="Q74" i="140"/>
  <c r="P74" i="140"/>
  <c r="O74" i="140"/>
  <c r="N74" i="140"/>
  <c r="M74" i="140"/>
  <c r="L74" i="140"/>
  <c r="K74" i="140"/>
  <c r="J74" i="140"/>
  <c r="I74" i="140"/>
  <c r="H74" i="140"/>
  <c r="G74" i="140"/>
  <c r="F74" i="140"/>
  <c r="E74" i="140"/>
  <c r="D74" i="140"/>
  <c r="C74" i="140"/>
  <c r="B74" i="140"/>
  <c r="W73" i="140"/>
  <c r="T73" i="140"/>
  <c r="S73" i="140"/>
  <c r="R73" i="140"/>
  <c r="Q73" i="140"/>
  <c r="P73" i="140"/>
  <c r="O73" i="140"/>
  <c r="N73" i="140"/>
  <c r="M73" i="140"/>
  <c r="L73" i="140"/>
  <c r="K73" i="140"/>
  <c r="J73" i="140"/>
  <c r="J113" i="140" s="1"/>
  <c r="I73" i="140"/>
  <c r="H73" i="140"/>
  <c r="G73" i="140"/>
  <c r="F73" i="140"/>
  <c r="E73" i="140"/>
  <c r="D73" i="140"/>
  <c r="C73" i="140"/>
  <c r="B73" i="140"/>
  <c r="W72" i="140"/>
  <c r="T72" i="140"/>
  <c r="S72" i="140"/>
  <c r="R72" i="140"/>
  <c r="R112" i="140" s="1"/>
  <c r="Q72" i="140"/>
  <c r="Q112" i="140" s="1"/>
  <c r="P72" i="140"/>
  <c r="O72" i="140"/>
  <c r="N72" i="140"/>
  <c r="M72" i="140"/>
  <c r="L72" i="140"/>
  <c r="K72" i="140"/>
  <c r="J72" i="140"/>
  <c r="I72" i="140"/>
  <c r="H72" i="140"/>
  <c r="G72" i="140"/>
  <c r="F72" i="140"/>
  <c r="E72" i="140"/>
  <c r="D72" i="140"/>
  <c r="C72" i="140"/>
  <c r="B72" i="140"/>
  <c r="W71" i="140"/>
  <c r="T71" i="140"/>
  <c r="S71" i="140"/>
  <c r="R71" i="140"/>
  <c r="Q71" i="140"/>
  <c r="P71" i="140"/>
  <c r="O71" i="140"/>
  <c r="N71" i="140"/>
  <c r="M71" i="140"/>
  <c r="L71" i="140"/>
  <c r="K71" i="140"/>
  <c r="J71" i="140"/>
  <c r="I71" i="140"/>
  <c r="H71" i="140"/>
  <c r="G71" i="140"/>
  <c r="F71" i="140"/>
  <c r="E71" i="140"/>
  <c r="D71" i="140"/>
  <c r="C71" i="140"/>
  <c r="B71" i="140"/>
  <c r="W70" i="140"/>
  <c r="T70" i="140"/>
  <c r="S70" i="140"/>
  <c r="R70" i="140"/>
  <c r="Q70" i="140"/>
  <c r="Q110" i="140" s="1"/>
  <c r="P70" i="140"/>
  <c r="O70" i="140"/>
  <c r="N70" i="140"/>
  <c r="M70" i="140"/>
  <c r="L70" i="140"/>
  <c r="K70" i="140"/>
  <c r="J70" i="140"/>
  <c r="I70" i="140"/>
  <c r="H70" i="140"/>
  <c r="G70" i="140"/>
  <c r="F70" i="140"/>
  <c r="E70" i="140"/>
  <c r="D70" i="140"/>
  <c r="C70" i="140"/>
  <c r="B70" i="140"/>
  <c r="W69" i="140"/>
  <c r="T69" i="140"/>
  <c r="S69" i="140"/>
  <c r="R69" i="140"/>
  <c r="Q69" i="140"/>
  <c r="P69" i="140"/>
  <c r="O69" i="140"/>
  <c r="N69" i="140"/>
  <c r="M69" i="140"/>
  <c r="L69" i="140"/>
  <c r="K69" i="140"/>
  <c r="J69" i="140"/>
  <c r="I69" i="140"/>
  <c r="H69" i="140"/>
  <c r="G69" i="140"/>
  <c r="F69" i="140"/>
  <c r="E69" i="140"/>
  <c r="D69" i="140"/>
  <c r="C69" i="140"/>
  <c r="B69" i="140"/>
  <c r="W68" i="140"/>
  <c r="T68" i="140"/>
  <c r="S68" i="140"/>
  <c r="R68" i="140"/>
  <c r="Q68" i="140"/>
  <c r="P68" i="140"/>
  <c r="O68" i="140"/>
  <c r="N68" i="140"/>
  <c r="M68" i="140"/>
  <c r="L68" i="140"/>
  <c r="K68" i="140"/>
  <c r="J68" i="140"/>
  <c r="J108" i="140" s="1"/>
  <c r="I68" i="140"/>
  <c r="H68" i="140"/>
  <c r="G68" i="140"/>
  <c r="F68" i="140"/>
  <c r="E68" i="140"/>
  <c r="D68" i="140"/>
  <c r="C68" i="140"/>
  <c r="B68" i="140"/>
  <c r="W67" i="140"/>
  <c r="T67" i="140"/>
  <c r="S67" i="140"/>
  <c r="R67" i="140"/>
  <c r="Q67" i="140"/>
  <c r="P67" i="140"/>
  <c r="O67" i="140"/>
  <c r="N67" i="140"/>
  <c r="M67" i="140"/>
  <c r="L67" i="140"/>
  <c r="K67" i="140"/>
  <c r="J67" i="140"/>
  <c r="I67" i="140"/>
  <c r="H67" i="140"/>
  <c r="G67" i="140"/>
  <c r="F67" i="140"/>
  <c r="E67" i="140"/>
  <c r="D67" i="140"/>
  <c r="C67" i="140"/>
  <c r="B67" i="140"/>
  <c r="W66" i="140"/>
  <c r="T66" i="140"/>
  <c r="S66" i="140"/>
  <c r="R66" i="140"/>
  <c r="Q66" i="140"/>
  <c r="P66" i="140"/>
  <c r="O66" i="140"/>
  <c r="N66" i="140"/>
  <c r="M66" i="140"/>
  <c r="L66" i="140"/>
  <c r="K66" i="140"/>
  <c r="J66" i="140"/>
  <c r="I66" i="140"/>
  <c r="H66" i="140"/>
  <c r="G66" i="140"/>
  <c r="F66" i="140"/>
  <c r="E66" i="140"/>
  <c r="D66" i="140"/>
  <c r="C66" i="140"/>
  <c r="B66" i="140"/>
  <c r="W65" i="140"/>
  <c r="T65" i="140"/>
  <c r="S65" i="140"/>
  <c r="R65" i="140"/>
  <c r="Q65" i="140"/>
  <c r="P65" i="140"/>
  <c r="O65" i="140"/>
  <c r="N65" i="140"/>
  <c r="M65" i="140"/>
  <c r="L65" i="140"/>
  <c r="K65" i="140"/>
  <c r="J65" i="140"/>
  <c r="I65" i="140"/>
  <c r="H65" i="140"/>
  <c r="G65" i="140"/>
  <c r="F65" i="140"/>
  <c r="E65" i="140"/>
  <c r="D65" i="140"/>
  <c r="C65" i="140"/>
  <c r="B65" i="140"/>
  <c r="W64" i="140"/>
  <c r="T64" i="140"/>
  <c r="S64" i="140"/>
  <c r="R64" i="140"/>
  <c r="Q64" i="140"/>
  <c r="P64" i="140"/>
  <c r="O64" i="140"/>
  <c r="N64" i="140"/>
  <c r="M64" i="140"/>
  <c r="L64" i="140"/>
  <c r="K64" i="140"/>
  <c r="J64" i="140"/>
  <c r="I64" i="140"/>
  <c r="H64" i="140"/>
  <c r="G64" i="140"/>
  <c r="F64" i="140"/>
  <c r="E64" i="140"/>
  <c r="D64" i="140"/>
  <c r="C64" i="140"/>
  <c r="B64" i="140"/>
  <c r="W63" i="140"/>
  <c r="T63" i="140"/>
  <c r="S63" i="140"/>
  <c r="R63" i="140"/>
  <c r="Q63" i="140"/>
  <c r="P63" i="140"/>
  <c r="O63" i="140"/>
  <c r="N63" i="140"/>
  <c r="M63" i="140"/>
  <c r="L63" i="140"/>
  <c r="K63" i="140"/>
  <c r="J63" i="140"/>
  <c r="I63" i="140"/>
  <c r="H63" i="140"/>
  <c r="G63" i="140"/>
  <c r="F63" i="140"/>
  <c r="E63" i="140"/>
  <c r="D63" i="140"/>
  <c r="C63" i="140"/>
  <c r="B63" i="140"/>
  <c r="W62" i="140"/>
  <c r="T62" i="140"/>
  <c r="S62" i="140"/>
  <c r="R62" i="140"/>
  <c r="Q62" i="140"/>
  <c r="P62" i="140"/>
  <c r="O62" i="140"/>
  <c r="N62" i="140"/>
  <c r="M62" i="140"/>
  <c r="L62" i="140"/>
  <c r="K62" i="140"/>
  <c r="J62" i="140"/>
  <c r="I62" i="140"/>
  <c r="H62" i="140"/>
  <c r="G62" i="140"/>
  <c r="F62" i="140"/>
  <c r="E62" i="140"/>
  <c r="D62" i="140"/>
  <c r="C62" i="140"/>
  <c r="B62" i="140"/>
  <c r="W61" i="140"/>
  <c r="T61" i="140"/>
  <c r="S61" i="140"/>
  <c r="R61" i="140"/>
  <c r="Q61" i="140"/>
  <c r="P61" i="140"/>
  <c r="O61" i="140"/>
  <c r="N61" i="140"/>
  <c r="M61" i="140"/>
  <c r="L61" i="140"/>
  <c r="K61" i="140"/>
  <c r="J61" i="140"/>
  <c r="J101" i="140" s="1"/>
  <c r="I61" i="140"/>
  <c r="H61" i="140"/>
  <c r="G61" i="140"/>
  <c r="F61" i="140"/>
  <c r="E61" i="140"/>
  <c r="D61" i="140"/>
  <c r="C61" i="140"/>
  <c r="B61" i="140"/>
  <c r="W60" i="140"/>
  <c r="T60" i="140"/>
  <c r="S60" i="140"/>
  <c r="R60" i="140"/>
  <c r="R100" i="140" s="1"/>
  <c r="Q60" i="140"/>
  <c r="P60" i="140"/>
  <c r="O60" i="140"/>
  <c r="N60" i="140"/>
  <c r="M60" i="140"/>
  <c r="L60" i="140"/>
  <c r="K60" i="140"/>
  <c r="J60" i="140"/>
  <c r="I60" i="140"/>
  <c r="H60" i="140"/>
  <c r="G60" i="140"/>
  <c r="F60" i="140"/>
  <c r="E60" i="140"/>
  <c r="D60" i="140"/>
  <c r="C60" i="140"/>
  <c r="B60" i="140"/>
  <c r="W59" i="140"/>
  <c r="T59" i="140"/>
  <c r="S59" i="140"/>
  <c r="R59" i="140"/>
  <c r="Q59" i="140"/>
  <c r="P59" i="140"/>
  <c r="O59" i="140"/>
  <c r="N59" i="140"/>
  <c r="M59" i="140"/>
  <c r="L59" i="140"/>
  <c r="K59" i="140"/>
  <c r="J59" i="140"/>
  <c r="I59" i="140"/>
  <c r="H59" i="140"/>
  <c r="G59" i="140"/>
  <c r="F59" i="140"/>
  <c r="E59" i="140"/>
  <c r="D59" i="140"/>
  <c r="C59" i="140"/>
  <c r="B59" i="140"/>
  <c r="W58" i="140"/>
  <c r="T58" i="140"/>
  <c r="S58" i="140"/>
  <c r="R58" i="140"/>
  <c r="Q58" i="140"/>
  <c r="P58" i="140"/>
  <c r="O58" i="140"/>
  <c r="N58" i="140"/>
  <c r="M58" i="140"/>
  <c r="L58" i="140"/>
  <c r="K58" i="140"/>
  <c r="J58" i="140"/>
  <c r="I58" i="140"/>
  <c r="H58" i="140"/>
  <c r="G58" i="140"/>
  <c r="F58" i="140"/>
  <c r="E58" i="140"/>
  <c r="D58" i="140"/>
  <c r="C58" i="140"/>
  <c r="B58" i="140"/>
  <c r="W57" i="140"/>
  <c r="T57" i="140"/>
  <c r="S57" i="140"/>
  <c r="R57" i="140"/>
  <c r="Q57" i="140"/>
  <c r="P57" i="140"/>
  <c r="O57" i="140"/>
  <c r="N57" i="140"/>
  <c r="M57" i="140"/>
  <c r="L57" i="140"/>
  <c r="K57" i="140"/>
  <c r="J57" i="140"/>
  <c r="I57" i="140"/>
  <c r="H57" i="140"/>
  <c r="G57" i="140"/>
  <c r="F57" i="140"/>
  <c r="E57" i="140"/>
  <c r="D57" i="140"/>
  <c r="C57" i="140"/>
  <c r="B57" i="140"/>
  <c r="W56" i="140"/>
  <c r="T56" i="140"/>
  <c r="S56" i="140"/>
  <c r="R56" i="140"/>
  <c r="Q56" i="140"/>
  <c r="P56" i="140"/>
  <c r="O56" i="140"/>
  <c r="N56" i="140"/>
  <c r="M56" i="140"/>
  <c r="L56" i="140"/>
  <c r="K56" i="140"/>
  <c r="J56" i="140"/>
  <c r="I56" i="140"/>
  <c r="H56" i="140"/>
  <c r="G56" i="140"/>
  <c r="F56" i="140"/>
  <c r="E56" i="140"/>
  <c r="D56" i="140"/>
  <c r="C56" i="140"/>
  <c r="B56" i="140"/>
  <c r="W55" i="140"/>
  <c r="T55" i="140"/>
  <c r="S55" i="140"/>
  <c r="R55" i="140"/>
  <c r="Q55" i="140"/>
  <c r="P55" i="140"/>
  <c r="O55" i="140"/>
  <c r="N55" i="140"/>
  <c r="M55" i="140"/>
  <c r="L55" i="140"/>
  <c r="K55" i="140"/>
  <c r="J55" i="140"/>
  <c r="I55" i="140"/>
  <c r="H55" i="140"/>
  <c r="G55" i="140"/>
  <c r="F55" i="140"/>
  <c r="E55" i="140"/>
  <c r="D55" i="140"/>
  <c r="C55" i="140"/>
  <c r="B55" i="140"/>
  <c r="W43" i="140"/>
  <c r="T43" i="140"/>
  <c r="W42" i="140"/>
  <c r="T42" i="140"/>
  <c r="W41" i="140"/>
  <c r="T41" i="140"/>
  <c r="W40" i="140"/>
  <c r="T40" i="140"/>
  <c r="W39" i="140"/>
  <c r="T39" i="140"/>
  <c r="W38" i="140"/>
  <c r="T38" i="140"/>
  <c r="W37" i="140"/>
  <c r="T37" i="140"/>
  <c r="W36" i="140"/>
  <c r="T36" i="140"/>
  <c r="W35" i="140"/>
  <c r="T35" i="140"/>
  <c r="W34" i="140"/>
  <c r="T34" i="140"/>
  <c r="R34" i="140"/>
  <c r="Q34" i="140"/>
  <c r="Q114" i="140" s="1"/>
  <c r="P34" i="140"/>
  <c r="O34" i="140"/>
  <c r="N34" i="140"/>
  <c r="M34" i="140"/>
  <c r="L34" i="140"/>
  <c r="L114" i="140" s="1"/>
  <c r="K34" i="140"/>
  <c r="K114" i="140" s="1"/>
  <c r="J34" i="140"/>
  <c r="I34" i="140"/>
  <c r="H34" i="140"/>
  <c r="G34" i="140"/>
  <c r="G114" i="140" s="1"/>
  <c r="F34" i="140"/>
  <c r="E34" i="140"/>
  <c r="D34" i="140"/>
  <c r="C34" i="140"/>
  <c r="B34" i="140"/>
  <c r="W33" i="140"/>
  <c r="T33" i="140"/>
  <c r="R33" i="140"/>
  <c r="Q33" i="140"/>
  <c r="P33" i="140"/>
  <c r="O33" i="140"/>
  <c r="N33" i="140"/>
  <c r="N113" i="140" s="1"/>
  <c r="M33" i="140"/>
  <c r="L33" i="140"/>
  <c r="K33" i="140"/>
  <c r="J33" i="140"/>
  <c r="I33" i="140"/>
  <c r="H33" i="140"/>
  <c r="H113" i="140" s="1"/>
  <c r="G33" i="140"/>
  <c r="F33" i="140"/>
  <c r="E33" i="140"/>
  <c r="D33" i="140"/>
  <c r="C33" i="140"/>
  <c r="B33" i="140"/>
  <c r="W32" i="140"/>
  <c r="T32" i="140"/>
  <c r="R32" i="140"/>
  <c r="Q32" i="140"/>
  <c r="P32" i="140"/>
  <c r="O32" i="140"/>
  <c r="N32" i="140"/>
  <c r="M32" i="140"/>
  <c r="L32" i="140"/>
  <c r="K32" i="140"/>
  <c r="J32" i="140"/>
  <c r="I32" i="140"/>
  <c r="I112" i="140" s="1"/>
  <c r="H32" i="140"/>
  <c r="H112" i="140" s="1"/>
  <c r="G32" i="140"/>
  <c r="F32" i="140"/>
  <c r="E32" i="140"/>
  <c r="D32" i="140"/>
  <c r="C32" i="140"/>
  <c r="B32" i="140"/>
  <c r="W31" i="140"/>
  <c r="T31" i="140"/>
  <c r="R31" i="140"/>
  <c r="R111" i="140" s="1"/>
  <c r="Q31" i="140"/>
  <c r="Q111" i="140" s="1"/>
  <c r="P31" i="140"/>
  <c r="O31" i="140"/>
  <c r="N31" i="140"/>
  <c r="M31" i="140"/>
  <c r="L31" i="140"/>
  <c r="K31" i="140"/>
  <c r="J31" i="140"/>
  <c r="J111" i="140" s="1"/>
  <c r="I31" i="140"/>
  <c r="H31" i="140"/>
  <c r="G31" i="140"/>
  <c r="F31" i="140"/>
  <c r="E31" i="140"/>
  <c r="D31" i="140"/>
  <c r="C31" i="140"/>
  <c r="B31" i="140"/>
  <c r="W30" i="140"/>
  <c r="T30" i="140"/>
  <c r="R30" i="140"/>
  <c r="Q30" i="140"/>
  <c r="P30" i="140"/>
  <c r="O30" i="140"/>
  <c r="O110" i="140" s="1"/>
  <c r="N30" i="140"/>
  <c r="M30" i="140"/>
  <c r="L30" i="140"/>
  <c r="K30" i="140"/>
  <c r="J30" i="140"/>
  <c r="I30" i="140"/>
  <c r="H30" i="140"/>
  <c r="G30" i="140"/>
  <c r="F30" i="140"/>
  <c r="E30" i="140"/>
  <c r="D30" i="140"/>
  <c r="C30" i="140"/>
  <c r="B30" i="140"/>
  <c r="W29" i="140"/>
  <c r="T29" i="140"/>
  <c r="R29" i="140"/>
  <c r="Q29" i="140"/>
  <c r="Q109" i="140" s="1"/>
  <c r="P29" i="140"/>
  <c r="O29" i="140"/>
  <c r="N29" i="140"/>
  <c r="M29" i="140"/>
  <c r="L29" i="140"/>
  <c r="K29" i="140"/>
  <c r="J29" i="140"/>
  <c r="I29" i="140"/>
  <c r="I109" i="140" s="1"/>
  <c r="H29" i="140"/>
  <c r="G29" i="140"/>
  <c r="F29" i="140"/>
  <c r="E29" i="140"/>
  <c r="D29" i="140"/>
  <c r="C29" i="140"/>
  <c r="B29" i="140"/>
  <c r="W28" i="140"/>
  <c r="T28" i="140"/>
  <c r="R28" i="140"/>
  <c r="Q28" i="140"/>
  <c r="Q108" i="140" s="1"/>
  <c r="P28" i="140"/>
  <c r="P108" i="140" s="1"/>
  <c r="O28" i="140"/>
  <c r="N28" i="140"/>
  <c r="M28" i="140"/>
  <c r="L28" i="140"/>
  <c r="L108" i="140" s="1"/>
  <c r="K28" i="140"/>
  <c r="J28" i="140"/>
  <c r="I28" i="140"/>
  <c r="H28" i="140"/>
  <c r="G28" i="140"/>
  <c r="G108" i="140" s="1"/>
  <c r="F28" i="140"/>
  <c r="E28" i="140"/>
  <c r="D28" i="140"/>
  <c r="C28" i="140"/>
  <c r="B28" i="140"/>
  <c r="W27" i="140"/>
  <c r="T27" i="140"/>
  <c r="R27" i="140"/>
  <c r="Q27" i="140"/>
  <c r="P27" i="140"/>
  <c r="O27" i="140"/>
  <c r="O107" i="140" s="1"/>
  <c r="N27" i="140"/>
  <c r="N107" i="140" s="1"/>
  <c r="M27" i="140"/>
  <c r="L27" i="140"/>
  <c r="K27" i="140"/>
  <c r="K107" i="140" s="1"/>
  <c r="J27" i="140"/>
  <c r="J107" i="140" s="1"/>
  <c r="I27" i="140"/>
  <c r="I107" i="140" s="1"/>
  <c r="H27" i="140"/>
  <c r="H107" i="140" s="1"/>
  <c r="G27" i="140"/>
  <c r="F27" i="140"/>
  <c r="E27" i="140"/>
  <c r="D27" i="140"/>
  <c r="C27" i="140"/>
  <c r="B27" i="140"/>
  <c r="W26" i="140"/>
  <c r="T26" i="140"/>
  <c r="T106" i="140" s="1"/>
  <c r="R26" i="140"/>
  <c r="Q26" i="140"/>
  <c r="P26" i="140"/>
  <c r="O26" i="140"/>
  <c r="O106" i="140" s="1"/>
  <c r="N26" i="140"/>
  <c r="M26" i="140"/>
  <c r="L26" i="140"/>
  <c r="K26" i="140"/>
  <c r="J26" i="140"/>
  <c r="I26" i="140"/>
  <c r="H26" i="140"/>
  <c r="H106" i="140" s="1"/>
  <c r="G26" i="140"/>
  <c r="F26" i="140"/>
  <c r="E26" i="140"/>
  <c r="D26" i="140"/>
  <c r="C26" i="140"/>
  <c r="B26" i="140"/>
  <c r="W25" i="140"/>
  <c r="T25" i="140"/>
  <c r="R25" i="140"/>
  <c r="Q25" i="140"/>
  <c r="Q105" i="140" s="1"/>
  <c r="P25" i="140"/>
  <c r="O25" i="140"/>
  <c r="N25" i="140"/>
  <c r="M25" i="140"/>
  <c r="M105" i="140" s="1"/>
  <c r="L25" i="140"/>
  <c r="K25" i="140"/>
  <c r="K105" i="140" s="1"/>
  <c r="J25" i="140"/>
  <c r="J105" i="140" s="1"/>
  <c r="I25" i="140"/>
  <c r="H25" i="140"/>
  <c r="G25" i="140"/>
  <c r="F25" i="140"/>
  <c r="E25" i="140"/>
  <c r="D25" i="140"/>
  <c r="C25" i="140"/>
  <c r="B25" i="140"/>
  <c r="W24" i="140"/>
  <c r="T24" i="140"/>
  <c r="T104" i="140" s="1"/>
  <c r="R24" i="140"/>
  <c r="Q24" i="140"/>
  <c r="P24" i="140"/>
  <c r="O24" i="140"/>
  <c r="O104" i="140" s="1"/>
  <c r="N24" i="140"/>
  <c r="M24" i="140"/>
  <c r="L24" i="140"/>
  <c r="K24" i="140"/>
  <c r="J24" i="140"/>
  <c r="I24" i="140"/>
  <c r="H24" i="140"/>
  <c r="G24" i="140"/>
  <c r="F24" i="140"/>
  <c r="E24" i="140"/>
  <c r="D24" i="140"/>
  <c r="C24" i="140"/>
  <c r="B24" i="140"/>
  <c r="W23" i="140"/>
  <c r="T23" i="140"/>
  <c r="R23" i="140"/>
  <c r="Q23" i="140"/>
  <c r="P23" i="140"/>
  <c r="O23" i="140"/>
  <c r="O103" i="140" s="1"/>
  <c r="N23" i="140"/>
  <c r="N103" i="140" s="1"/>
  <c r="M23" i="140"/>
  <c r="L23" i="140"/>
  <c r="K23" i="140"/>
  <c r="J23" i="140"/>
  <c r="I23" i="140"/>
  <c r="I103" i="140" s="1"/>
  <c r="H23" i="140"/>
  <c r="G23" i="140"/>
  <c r="F23" i="140"/>
  <c r="E23" i="140"/>
  <c r="D23" i="140"/>
  <c r="C23" i="140"/>
  <c r="B23" i="140"/>
  <c r="W22" i="140"/>
  <c r="T22" i="140"/>
  <c r="R22" i="140"/>
  <c r="Q22" i="140"/>
  <c r="P22" i="140"/>
  <c r="O22" i="140"/>
  <c r="N22" i="140"/>
  <c r="M22" i="140"/>
  <c r="M102" i="140" s="1"/>
  <c r="L22" i="140"/>
  <c r="L102" i="140" s="1"/>
  <c r="K22" i="140"/>
  <c r="K102" i="140" s="1"/>
  <c r="J22" i="140"/>
  <c r="I22" i="140"/>
  <c r="H22" i="140"/>
  <c r="G22" i="140"/>
  <c r="G102" i="140" s="1"/>
  <c r="F22" i="140"/>
  <c r="E22" i="140"/>
  <c r="D22" i="140"/>
  <c r="C22" i="140"/>
  <c r="B22" i="140"/>
  <c r="W21" i="140"/>
  <c r="T21" i="140"/>
  <c r="R21" i="140"/>
  <c r="R101" i="140" s="1"/>
  <c r="Q21" i="140"/>
  <c r="P21" i="140"/>
  <c r="O21" i="140"/>
  <c r="N21" i="140"/>
  <c r="N101" i="140" s="1"/>
  <c r="M21" i="140"/>
  <c r="L21" i="140"/>
  <c r="K21" i="140"/>
  <c r="J21" i="140"/>
  <c r="I21" i="140"/>
  <c r="H21" i="140"/>
  <c r="G21" i="140"/>
  <c r="F21" i="140"/>
  <c r="E21" i="140"/>
  <c r="D21" i="140"/>
  <c r="C21" i="140"/>
  <c r="B21" i="140"/>
  <c r="W20" i="140"/>
  <c r="T20" i="140"/>
  <c r="R20" i="140"/>
  <c r="Q20" i="140"/>
  <c r="P20" i="140"/>
  <c r="O20" i="140"/>
  <c r="N20" i="140"/>
  <c r="M20" i="140"/>
  <c r="L20" i="140"/>
  <c r="K20" i="140"/>
  <c r="J20" i="140"/>
  <c r="I20" i="140"/>
  <c r="H20" i="140"/>
  <c r="G20" i="140"/>
  <c r="F20" i="140"/>
  <c r="E20" i="140"/>
  <c r="D20" i="140"/>
  <c r="C20" i="140"/>
  <c r="B20" i="140"/>
  <c r="W19" i="140"/>
  <c r="T19" i="140"/>
  <c r="R19" i="140"/>
  <c r="R99" i="140" s="1"/>
  <c r="Q19" i="140"/>
  <c r="Q99" i="140" s="1"/>
  <c r="P19" i="140"/>
  <c r="P99" i="140" s="1"/>
  <c r="O19" i="140"/>
  <c r="N19" i="140"/>
  <c r="M19" i="140"/>
  <c r="L19" i="140"/>
  <c r="K19" i="140"/>
  <c r="J19" i="140"/>
  <c r="J99" i="140" s="1"/>
  <c r="I19" i="140"/>
  <c r="H19" i="140"/>
  <c r="G19" i="140"/>
  <c r="G99" i="140" s="1"/>
  <c r="F19" i="140"/>
  <c r="E19" i="140"/>
  <c r="D19" i="140"/>
  <c r="C19" i="140"/>
  <c r="B19" i="140"/>
  <c r="W18" i="140"/>
  <c r="T18" i="140"/>
  <c r="R18" i="140"/>
  <c r="Q18" i="140"/>
  <c r="P18" i="140"/>
  <c r="O18" i="140"/>
  <c r="O98" i="140" s="1"/>
  <c r="N18" i="140"/>
  <c r="N98" i="140" s="1"/>
  <c r="M18" i="140"/>
  <c r="L18" i="140"/>
  <c r="K18" i="140"/>
  <c r="K98" i="140" s="1"/>
  <c r="J18" i="140"/>
  <c r="I18" i="140"/>
  <c r="H18" i="140"/>
  <c r="G18" i="140"/>
  <c r="F18" i="140"/>
  <c r="E18" i="140"/>
  <c r="D18" i="140"/>
  <c r="C18" i="140"/>
  <c r="B18" i="140"/>
  <c r="W17" i="140"/>
  <c r="T17" i="140"/>
  <c r="R17" i="140"/>
  <c r="Q17" i="140"/>
  <c r="P17" i="140"/>
  <c r="O17" i="140"/>
  <c r="N17" i="140"/>
  <c r="M17" i="140"/>
  <c r="L17" i="140"/>
  <c r="K17" i="140"/>
  <c r="J17" i="140"/>
  <c r="I17" i="140"/>
  <c r="I97" i="140" s="1"/>
  <c r="H17" i="140"/>
  <c r="G17" i="140"/>
  <c r="F17" i="140"/>
  <c r="E17" i="140"/>
  <c r="D17" i="140"/>
  <c r="C17" i="140"/>
  <c r="B17" i="140"/>
  <c r="W16" i="140"/>
  <c r="T16" i="140"/>
  <c r="R16" i="140"/>
  <c r="Q16" i="140"/>
  <c r="Q96" i="140" s="1"/>
  <c r="P16" i="140"/>
  <c r="P96" i="140" s="1"/>
  <c r="O16" i="140"/>
  <c r="N16" i="140"/>
  <c r="M16" i="140"/>
  <c r="L16" i="140"/>
  <c r="K16" i="140"/>
  <c r="J16" i="140"/>
  <c r="I16" i="140"/>
  <c r="H16" i="140"/>
  <c r="G16" i="140"/>
  <c r="G96" i="140" s="1"/>
  <c r="F16" i="140"/>
  <c r="E16" i="140"/>
  <c r="D16" i="140"/>
  <c r="C16" i="140"/>
  <c r="B16" i="140"/>
  <c r="W15" i="140"/>
  <c r="T15" i="140"/>
  <c r="R15" i="140"/>
  <c r="Q15" i="140"/>
  <c r="P15" i="140"/>
  <c r="O15" i="140"/>
  <c r="N15" i="140"/>
  <c r="M15" i="140"/>
  <c r="L15" i="140"/>
  <c r="K15" i="140"/>
  <c r="J15" i="140"/>
  <c r="I15" i="140"/>
  <c r="H15" i="140"/>
  <c r="G15" i="140"/>
  <c r="F15" i="140"/>
  <c r="E15" i="140"/>
  <c r="D15" i="140"/>
  <c r="C15" i="140"/>
  <c r="B15" i="140"/>
  <c r="F125" i="140"/>
  <c r="E125" i="140"/>
  <c r="C125" i="140"/>
  <c r="B125" i="140"/>
  <c r="T124" i="140"/>
  <c r="S124" i="140"/>
  <c r="E135" i="140" s="1"/>
  <c r="R124" i="140"/>
  <c r="O124" i="140"/>
  <c r="L124" i="140"/>
  <c r="K124" i="140"/>
  <c r="J124" i="140"/>
  <c r="I124" i="140"/>
  <c r="H124" i="140"/>
  <c r="G124" i="140"/>
  <c r="A96" i="140"/>
  <c r="A97" i="140" s="1"/>
  <c r="A98" i="140" s="1"/>
  <c r="A99" i="140" s="1"/>
  <c r="A100" i="140" s="1"/>
  <c r="A101" i="140" s="1"/>
  <c r="A102" i="140" s="1"/>
  <c r="A103" i="140" s="1"/>
  <c r="A104" i="140" s="1"/>
  <c r="A105" i="140" s="1"/>
  <c r="A106" i="140" s="1"/>
  <c r="A107" i="140" s="1"/>
  <c r="A108" i="140" s="1"/>
  <c r="A109" i="140" s="1"/>
  <c r="A110" i="140" s="1"/>
  <c r="A111" i="140" s="1"/>
  <c r="A112" i="140" s="1"/>
  <c r="A113" i="140" s="1"/>
  <c r="A114" i="140" s="1"/>
  <c r="A115" i="140" s="1"/>
  <c r="A116" i="140" s="1"/>
  <c r="A117" i="140" s="1"/>
  <c r="A118" i="140" s="1"/>
  <c r="A119" i="140" s="1"/>
  <c r="A120" i="140" s="1"/>
  <c r="A121" i="140" s="1"/>
  <c r="A122" i="140" s="1"/>
  <c r="A123" i="140" s="1"/>
  <c r="B93" i="140"/>
  <c r="C93" i="140" s="1"/>
  <c r="D93" i="140" s="1"/>
  <c r="E93" i="140" s="1"/>
  <c r="F93" i="140" s="1"/>
  <c r="G93" i="140" s="1"/>
  <c r="H93" i="140" s="1"/>
  <c r="I93" i="140" s="1"/>
  <c r="J93" i="140" s="1"/>
  <c r="K93" i="140" s="1"/>
  <c r="L93" i="140" s="1"/>
  <c r="M93" i="140" s="1"/>
  <c r="N93" i="140" s="1"/>
  <c r="O93" i="140" s="1"/>
  <c r="P93" i="140" s="1"/>
  <c r="Q93" i="140" s="1"/>
  <c r="R93" i="140" s="1"/>
  <c r="S93" i="140" s="1"/>
  <c r="T93" i="140" s="1"/>
  <c r="U93" i="140" s="1"/>
  <c r="V93" i="140" s="1"/>
  <c r="W93" i="140" s="1"/>
  <c r="U84" i="140"/>
  <c r="V84" i="140" s="1"/>
  <c r="N84" i="140"/>
  <c r="N124" i="140" s="1"/>
  <c r="F84" i="140"/>
  <c r="E84" i="140"/>
  <c r="D84" i="140"/>
  <c r="C84" i="140"/>
  <c r="B84" i="140"/>
  <c r="A56" i="140"/>
  <c r="A57" i="140" s="1"/>
  <c r="A58" i="140" s="1"/>
  <c r="A59" i="140" s="1"/>
  <c r="A60" i="140" s="1"/>
  <c r="A61" i="140" s="1"/>
  <c r="A62" i="140" s="1"/>
  <c r="A63" i="140" s="1"/>
  <c r="A64" i="140" s="1"/>
  <c r="A65" i="140" s="1"/>
  <c r="A66" i="140" s="1"/>
  <c r="A67" i="140" s="1"/>
  <c r="A68" i="140" s="1"/>
  <c r="A69" i="140" s="1"/>
  <c r="A70" i="140" s="1"/>
  <c r="A71" i="140" s="1"/>
  <c r="A72" i="140" s="1"/>
  <c r="A73" i="140" s="1"/>
  <c r="A74" i="140" s="1"/>
  <c r="A75" i="140" s="1"/>
  <c r="A76" i="140" s="1"/>
  <c r="A77" i="140" s="1"/>
  <c r="A78" i="140" s="1"/>
  <c r="A79" i="140" s="1"/>
  <c r="A80" i="140" s="1"/>
  <c r="A81" i="140" s="1"/>
  <c r="A82" i="140" s="1"/>
  <c r="A83" i="140" s="1"/>
  <c r="B53" i="140"/>
  <c r="C53" i="140" s="1"/>
  <c r="D53" i="140" s="1"/>
  <c r="E53" i="140" s="1"/>
  <c r="F53" i="140" s="1"/>
  <c r="G53" i="140" s="1"/>
  <c r="H53" i="140" s="1"/>
  <c r="I53" i="140" s="1"/>
  <c r="J53" i="140" s="1"/>
  <c r="K53" i="140" s="1"/>
  <c r="L53" i="140" s="1"/>
  <c r="M53" i="140" s="1"/>
  <c r="N53" i="140" s="1"/>
  <c r="O53" i="140" s="1"/>
  <c r="P53" i="140" s="1"/>
  <c r="Q53" i="140" s="1"/>
  <c r="R53" i="140" s="1"/>
  <c r="S53" i="140" s="1"/>
  <c r="T53" i="140" s="1"/>
  <c r="U53" i="140" s="1"/>
  <c r="V53" i="140" s="1"/>
  <c r="W53" i="140" s="1"/>
  <c r="M114" i="140"/>
  <c r="J114" i="140"/>
  <c r="K113" i="140"/>
  <c r="I113" i="140"/>
  <c r="P111" i="140"/>
  <c r="G111" i="140"/>
  <c r="N110" i="140"/>
  <c r="O109" i="140"/>
  <c r="N109" i="140"/>
  <c r="M108" i="140"/>
  <c r="R106" i="140"/>
  <c r="I106" i="140"/>
  <c r="G106" i="140"/>
  <c r="R105" i="140"/>
  <c r="P105" i="140"/>
  <c r="G105" i="140"/>
  <c r="N104" i="140"/>
  <c r="J102" i="140"/>
  <c r="K101" i="140"/>
  <c r="H101" i="140"/>
  <c r="I100" i="140"/>
  <c r="H100" i="140"/>
  <c r="O97" i="140"/>
  <c r="N97" i="140"/>
  <c r="M96" i="140"/>
  <c r="L96" i="140"/>
  <c r="J96" i="140"/>
  <c r="A16" i="140"/>
  <c r="A17" i="140" s="1"/>
  <c r="A18" i="140" s="1"/>
  <c r="A19" i="140" s="1"/>
  <c r="A20" i="140" s="1"/>
  <c r="A21" i="140" s="1"/>
  <c r="A22" i="140" s="1"/>
  <c r="A23" i="140" s="1"/>
  <c r="A24" i="140" s="1"/>
  <c r="A25" i="140" s="1"/>
  <c r="A26" i="140" s="1"/>
  <c r="A27" i="140" s="1"/>
  <c r="A28" i="140" s="1"/>
  <c r="A29" i="140" s="1"/>
  <c r="A30" i="140" s="1"/>
  <c r="A31" i="140" s="1"/>
  <c r="A32" i="140" s="1"/>
  <c r="A33" i="140" s="1"/>
  <c r="A34" i="140" s="1"/>
  <c r="A35" i="140" s="1"/>
  <c r="A36" i="140" s="1"/>
  <c r="A37" i="140" s="1"/>
  <c r="A38" i="140" s="1"/>
  <c r="A39" i="140" s="1"/>
  <c r="A40" i="140" s="1"/>
  <c r="A41" i="140" s="1"/>
  <c r="A42" i="140" s="1"/>
  <c r="A43" i="140" s="1"/>
  <c r="B13" i="140"/>
  <c r="C13" i="140" s="1"/>
  <c r="D13" i="140" s="1"/>
  <c r="E13" i="140" s="1"/>
  <c r="F13" i="140" s="1"/>
  <c r="G13" i="140" s="1"/>
  <c r="H13" i="140" s="1"/>
  <c r="I13" i="140" s="1"/>
  <c r="J13" i="140" s="1"/>
  <c r="K13" i="140" s="1"/>
  <c r="L13" i="140" s="1"/>
  <c r="M13" i="140" s="1"/>
  <c r="N13" i="140" s="1"/>
  <c r="O13" i="140" s="1"/>
  <c r="P13" i="140" s="1"/>
  <c r="Q13" i="140" s="1"/>
  <c r="R13" i="140" s="1"/>
  <c r="S13" i="140" s="1"/>
  <c r="T13" i="140" s="1"/>
  <c r="U13" i="140" s="1"/>
  <c r="V13" i="140" s="1"/>
  <c r="W13" i="140" s="1"/>
  <c r="D137" i="139"/>
  <c r="R103" i="140" l="1"/>
  <c r="K96" i="140"/>
  <c r="I98" i="140"/>
  <c r="G100" i="140"/>
  <c r="T100" i="140"/>
  <c r="K108" i="140"/>
  <c r="I110" i="140"/>
  <c r="G112" i="140"/>
  <c r="T112" i="140"/>
  <c r="L97" i="140"/>
  <c r="P98" i="140"/>
  <c r="L103" i="140"/>
  <c r="L109" i="140"/>
  <c r="P110" i="140"/>
  <c r="R97" i="140"/>
  <c r="R109" i="140"/>
  <c r="K110" i="140"/>
  <c r="H104" i="140"/>
  <c r="K104" i="140"/>
  <c r="O112" i="140"/>
  <c r="I101" i="140"/>
  <c r="K111" i="140"/>
  <c r="O100" i="140"/>
  <c r="H98" i="140"/>
  <c r="M99" i="140"/>
  <c r="P102" i="140"/>
  <c r="H110" i="140"/>
  <c r="M111" i="140"/>
  <c r="P114" i="140"/>
  <c r="P104" i="140"/>
  <c r="I96" i="140"/>
  <c r="Q98" i="140"/>
  <c r="I99" i="140"/>
  <c r="I102" i="140"/>
  <c r="Q104" i="140"/>
  <c r="I108" i="140"/>
  <c r="I111" i="140"/>
  <c r="I114" i="140"/>
  <c r="L100" i="140"/>
  <c r="L112" i="140"/>
  <c r="L106" i="140"/>
  <c r="M103" i="140"/>
  <c r="G95" i="140"/>
  <c r="G98" i="140"/>
  <c r="G101" i="140"/>
  <c r="G107" i="140"/>
  <c r="G113" i="140"/>
  <c r="Q101" i="140"/>
  <c r="Q113" i="140"/>
  <c r="Q97" i="140"/>
  <c r="Q100" i="140"/>
  <c r="Q106" i="140"/>
  <c r="O96" i="140"/>
  <c r="O99" i="140"/>
  <c r="O105" i="140"/>
  <c r="O111" i="140"/>
  <c r="O114" i="140"/>
  <c r="M97" i="140"/>
  <c r="M109" i="140"/>
  <c r="M98" i="140"/>
  <c r="M104" i="140"/>
  <c r="M110" i="140"/>
  <c r="M113" i="140"/>
  <c r="Q95" i="140"/>
  <c r="Q107" i="140"/>
  <c r="K97" i="140"/>
  <c r="K103" i="140"/>
  <c r="K109" i="140"/>
  <c r="K112" i="140"/>
  <c r="M106" i="140"/>
  <c r="C135" i="140"/>
  <c r="T101" i="140"/>
  <c r="T107" i="140"/>
  <c r="T113" i="140"/>
  <c r="T98" i="140"/>
  <c r="T110" i="140"/>
  <c r="C85" i="140"/>
  <c r="E85" i="140"/>
  <c r="G97" i="140"/>
  <c r="K99" i="140"/>
  <c r="M100" i="140"/>
  <c r="O101" i="140"/>
  <c r="Q102" i="140"/>
  <c r="G103" i="140"/>
  <c r="I104" i="140"/>
  <c r="G109" i="140"/>
  <c r="M112" i="140"/>
  <c r="O113" i="140"/>
  <c r="M84" i="140"/>
  <c r="M124" i="140" s="1"/>
  <c r="U124" i="140"/>
  <c r="V124" i="140" s="1"/>
  <c r="K100" i="140"/>
  <c r="M101" i="140"/>
  <c r="O102" i="140"/>
  <c r="Q103" i="140"/>
  <c r="G104" i="140"/>
  <c r="I105" i="140"/>
  <c r="K106" i="140"/>
  <c r="M107" i="140"/>
  <c r="O108" i="140"/>
  <c r="G110" i="140"/>
  <c r="T74" i="140"/>
  <c r="T114" i="140" s="1"/>
  <c r="N96" i="140"/>
  <c r="D85" i="140"/>
  <c r="R98" i="140"/>
  <c r="H99" i="140"/>
  <c r="T99" i="140"/>
  <c r="J100" i="140"/>
  <c r="L101" i="140"/>
  <c r="N102" i="140"/>
  <c r="P103" i="140"/>
  <c r="R104" i="140"/>
  <c r="H105" i="140"/>
  <c r="T105" i="140"/>
  <c r="J106" i="140"/>
  <c r="L107" i="140"/>
  <c r="N108" i="140"/>
  <c r="P109" i="140"/>
  <c r="R110" i="140"/>
  <c r="H111" i="140"/>
  <c r="T111" i="140"/>
  <c r="J112" i="140"/>
  <c r="L113" i="140"/>
  <c r="N114" i="140"/>
  <c r="R96" i="140"/>
  <c r="J98" i="140"/>
  <c r="L99" i="140"/>
  <c r="N100" i="140"/>
  <c r="P101" i="140"/>
  <c r="R102" i="140"/>
  <c r="H103" i="140"/>
  <c r="T103" i="140"/>
  <c r="J104" i="140"/>
  <c r="L105" i="140"/>
  <c r="N106" i="140"/>
  <c r="P107" i="140"/>
  <c r="R108" i="140"/>
  <c r="H109" i="140"/>
  <c r="T109" i="140"/>
  <c r="J110" i="140"/>
  <c r="L111" i="140"/>
  <c r="N112" i="140"/>
  <c r="P113" i="140"/>
  <c r="R114" i="140"/>
  <c r="P97" i="140"/>
  <c r="T45" i="140"/>
  <c r="F85" i="140"/>
  <c r="R95" i="140"/>
  <c r="H96" i="140"/>
  <c r="T96" i="140"/>
  <c r="P100" i="140"/>
  <c r="H102" i="140"/>
  <c r="T102" i="140"/>
  <c r="J103" i="140"/>
  <c r="L104" i="140"/>
  <c r="N105" i="140"/>
  <c r="P106" i="140"/>
  <c r="R107" i="140"/>
  <c r="H108" i="140"/>
  <c r="T108" i="140"/>
  <c r="J109" i="140"/>
  <c r="L110" i="140"/>
  <c r="N111" i="140"/>
  <c r="P112" i="140"/>
  <c r="R113" i="140"/>
  <c r="H114" i="140"/>
  <c r="J97" i="140"/>
  <c r="L98" i="140"/>
  <c r="N99" i="140"/>
  <c r="H97" i="140"/>
  <c r="T97" i="140"/>
  <c r="H95" i="140"/>
  <c r="T95" i="140"/>
  <c r="Q84" i="140"/>
  <c r="Q124" i="140" s="1"/>
  <c r="I95" i="140"/>
  <c r="J95" i="140"/>
  <c r="K95" i="140"/>
  <c r="L95" i="140"/>
  <c r="M95" i="140"/>
  <c r="N95" i="140"/>
  <c r="O95" i="140"/>
  <c r="P95" i="140"/>
  <c r="P84" i="140" l="1"/>
  <c r="P124" i="140" s="1"/>
  <c r="C125" i="139"/>
  <c r="B125" i="139"/>
  <c r="T83" i="139"/>
  <c r="S83" i="139"/>
  <c r="T82" i="139"/>
  <c r="S82" i="139"/>
  <c r="T81" i="139"/>
  <c r="S81" i="139"/>
  <c r="T80" i="139"/>
  <c r="S80" i="139"/>
  <c r="T79" i="139"/>
  <c r="S79" i="139"/>
  <c r="T78" i="139"/>
  <c r="S78" i="139"/>
  <c r="T77" i="139"/>
  <c r="S77" i="139"/>
  <c r="T76" i="139"/>
  <c r="S76" i="139"/>
  <c r="T75" i="139"/>
  <c r="S75" i="139"/>
  <c r="T74" i="139"/>
  <c r="S74" i="139"/>
  <c r="T73" i="139"/>
  <c r="S73" i="139"/>
  <c r="T72" i="139"/>
  <c r="S72" i="139"/>
  <c r="T71" i="139"/>
  <c r="S71" i="139"/>
  <c r="T70" i="139"/>
  <c r="S70" i="139"/>
  <c r="T69" i="139"/>
  <c r="S69" i="139"/>
  <c r="T68" i="139"/>
  <c r="S68" i="139"/>
  <c r="T67" i="139"/>
  <c r="S67" i="139"/>
  <c r="T66" i="139"/>
  <c r="S66" i="139"/>
  <c r="T65" i="139"/>
  <c r="S65" i="139"/>
  <c r="T64" i="139"/>
  <c r="S64" i="139"/>
  <c r="T63" i="139"/>
  <c r="S63" i="139"/>
  <c r="T62" i="139"/>
  <c r="S62" i="139"/>
  <c r="T61" i="139"/>
  <c r="S61" i="139"/>
  <c r="T60" i="139"/>
  <c r="S60" i="139"/>
  <c r="T59" i="139"/>
  <c r="S59" i="139"/>
  <c r="T58" i="139"/>
  <c r="S58" i="139"/>
  <c r="T57" i="139"/>
  <c r="S57" i="139"/>
  <c r="T56" i="139"/>
  <c r="S56" i="139"/>
  <c r="T55" i="139"/>
  <c r="S55" i="139"/>
  <c r="W43" i="139"/>
  <c r="T43" i="139"/>
  <c r="W42" i="139"/>
  <c r="T42" i="139"/>
  <c r="W41" i="139"/>
  <c r="T41" i="139"/>
  <c r="W40" i="139"/>
  <c r="T40" i="139"/>
  <c r="W39" i="139"/>
  <c r="T39" i="139"/>
  <c r="W38" i="139"/>
  <c r="T38" i="139"/>
  <c r="W37" i="139"/>
  <c r="T37" i="139"/>
  <c r="W36" i="139"/>
  <c r="T36" i="139"/>
  <c r="W35" i="139"/>
  <c r="T35" i="139"/>
  <c r="W34" i="139"/>
  <c r="T34" i="139"/>
  <c r="W33" i="139"/>
  <c r="T33" i="139"/>
  <c r="W32" i="139"/>
  <c r="T32" i="139"/>
  <c r="T112" i="139" s="1"/>
  <c r="W31" i="139"/>
  <c r="T31" i="139"/>
  <c r="W30" i="139"/>
  <c r="T30" i="139"/>
  <c r="W29" i="139"/>
  <c r="T29" i="139"/>
  <c r="W28" i="139"/>
  <c r="T28" i="139"/>
  <c r="W27" i="139"/>
  <c r="T27" i="139"/>
  <c r="W26" i="139"/>
  <c r="T26" i="139"/>
  <c r="W25" i="139"/>
  <c r="T25" i="139"/>
  <c r="W24" i="139"/>
  <c r="T24" i="139"/>
  <c r="W23" i="139"/>
  <c r="T23" i="139"/>
  <c r="W22" i="139"/>
  <c r="T22" i="139"/>
  <c r="W21" i="139"/>
  <c r="T21" i="139"/>
  <c r="W20" i="139"/>
  <c r="T20" i="139"/>
  <c r="T100" i="139" s="1"/>
  <c r="W19" i="139"/>
  <c r="T19" i="139"/>
  <c r="W18" i="139"/>
  <c r="T18" i="139"/>
  <c r="W17" i="139"/>
  <c r="T17" i="139"/>
  <c r="W16" i="139"/>
  <c r="T16" i="139"/>
  <c r="W15" i="139"/>
  <c r="W45" i="139" s="1"/>
  <c r="T15" i="139"/>
  <c r="T124" i="139"/>
  <c r="O124" i="139"/>
  <c r="A96" i="139"/>
  <c r="A97" i="139" s="1"/>
  <c r="A98" i="139" s="1"/>
  <c r="A99" i="139" s="1"/>
  <c r="A100" i="139" s="1"/>
  <c r="A101" i="139" s="1"/>
  <c r="A102" i="139" s="1"/>
  <c r="A103" i="139" s="1"/>
  <c r="A104" i="139" s="1"/>
  <c r="A105" i="139" s="1"/>
  <c r="A106" i="139" s="1"/>
  <c r="A107" i="139" s="1"/>
  <c r="A108" i="139" s="1"/>
  <c r="A109" i="139" s="1"/>
  <c r="A110" i="139" s="1"/>
  <c r="A111" i="139" s="1"/>
  <c r="A112" i="139" s="1"/>
  <c r="A113" i="139" s="1"/>
  <c r="A114" i="139" s="1"/>
  <c r="A115" i="139" s="1"/>
  <c r="A116" i="139" s="1"/>
  <c r="A117" i="139" s="1"/>
  <c r="A118" i="139" s="1"/>
  <c r="A119" i="139" s="1"/>
  <c r="A120" i="139" s="1"/>
  <c r="A121" i="139" s="1"/>
  <c r="A122" i="139" s="1"/>
  <c r="A123" i="139" s="1"/>
  <c r="B93" i="139"/>
  <c r="C93" i="139" s="1"/>
  <c r="D93" i="139" s="1"/>
  <c r="E93" i="139" s="1"/>
  <c r="F93" i="139" s="1"/>
  <c r="G93" i="139" s="1"/>
  <c r="H93" i="139" s="1"/>
  <c r="I93" i="139" s="1"/>
  <c r="J93" i="139" s="1"/>
  <c r="K93" i="139" s="1"/>
  <c r="L93" i="139" s="1"/>
  <c r="M93" i="139" s="1"/>
  <c r="N93" i="139" s="1"/>
  <c r="O93" i="139" s="1"/>
  <c r="P93" i="139" s="1"/>
  <c r="Q93" i="139" s="1"/>
  <c r="R93" i="139" s="1"/>
  <c r="S93" i="139" s="1"/>
  <c r="T93" i="139" s="1"/>
  <c r="U93" i="139" s="1"/>
  <c r="V93" i="139" s="1"/>
  <c r="W93" i="139" s="1"/>
  <c r="U84" i="139"/>
  <c r="V84" i="139" s="1"/>
  <c r="N84" i="139"/>
  <c r="F84" i="139"/>
  <c r="E84" i="139"/>
  <c r="D84" i="139"/>
  <c r="C84" i="139"/>
  <c r="B84" i="139"/>
  <c r="A56" i="139"/>
  <c r="A57" i="139" s="1"/>
  <c r="A58" i="139" s="1"/>
  <c r="A59" i="139" s="1"/>
  <c r="A60" i="139" s="1"/>
  <c r="A61" i="139" s="1"/>
  <c r="A62" i="139" s="1"/>
  <c r="A63" i="139" s="1"/>
  <c r="A64" i="139" s="1"/>
  <c r="A65" i="139" s="1"/>
  <c r="A66" i="139" s="1"/>
  <c r="A67" i="139" s="1"/>
  <c r="A68" i="139" s="1"/>
  <c r="A69" i="139" s="1"/>
  <c r="A70" i="139" s="1"/>
  <c r="A71" i="139" s="1"/>
  <c r="A72" i="139" s="1"/>
  <c r="A73" i="139" s="1"/>
  <c r="A74" i="139" s="1"/>
  <c r="A75" i="139" s="1"/>
  <c r="A76" i="139" s="1"/>
  <c r="A77" i="139" s="1"/>
  <c r="A78" i="139" s="1"/>
  <c r="A79" i="139" s="1"/>
  <c r="A80" i="139" s="1"/>
  <c r="A81" i="139" s="1"/>
  <c r="A82" i="139" s="1"/>
  <c r="A83" i="139" s="1"/>
  <c r="B53" i="139"/>
  <c r="C53" i="139" s="1"/>
  <c r="D53" i="139" s="1"/>
  <c r="E53" i="139" s="1"/>
  <c r="F53" i="139" s="1"/>
  <c r="G53" i="139" s="1"/>
  <c r="H53" i="139" s="1"/>
  <c r="I53" i="139" s="1"/>
  <c r="J53" i="139" s="1"/>
  <c r="K53" i="139" s="1"/>
  <c r="L53" i="139" s="1"/>
  <c r="M53" i="139" s="1"/>
  <c r="N53" i="139" s="1"/>
  <c r="O53" i="139" s="1"/>
  <c r="P53" i="139" s="1"/>
  <c r="Q53" i="139" s="1"/>
  <c r="R53" i="139" s="1"/>
  <c r="S53" i="139" s="1"/>
  <c r="T53" i="139" s="1"/>
  <c r="U53" i="139" s="1"/>
  <c r="V53" i="139" s="1"/>
  <c r="W53" i="139" s="1"/>
  <c r="S124" i="139"/>
  <c r="L124" i="139"/>
  <c r="K124" i="139"/>
  <c r="J124" i="139"/>
  <c r="I124" i="139"/>
  <c r="H124" i="139"/>
  <c r="G124" i="139"/>
  <c r="A16" i="139"/>
  <c r="A17" i="139" s="1"/>
  <c r="A18" i="139" s="1"/>
  <c r="A19" i="139" s="1"/>
  <c r="A20" i="139" s="1"/>
  <c r="A21" i="139" s="1"/>
  <c r="A22" i="139" s="1"/>
  <c r="A23" i="139" s="1"/>
  <c r="A24" i="139" s="1"/>
  <c r="A25" i="139" s="1"/>
  <c r="A26" i="139" s="1"/>
  <c r="A27" i="139" s="1"/>
  <c r="A28" i="139" s="1"/>
  <c r="A29" i="139" s="1"/>
  <c r="A30" i="139" s="1"/>
  <c r="A31" i="139" s="1"/>
  <c r="A32" i="139" s="1"/>
  <c r="A33" i="139" s="1"/>
  <c r="A34" i="139" s="1"/>
  <c r="A35" i="139" s="1"/>
  <c r="A36" i="139" s="1"/>
  <c r="A37" i="139" s="1"/>
  <c r="A38" i="139" s="1"/>
  <c r="A39" i="139" s="1"/>
  <c r="A40" i="139" s="1"/>
  <c r="A41" i="139" s="1"/>
  <c r="A42" i="139" s="1"/>
  <c r="A43" i="139" s="1"/>
  <c r="B13" i="139"/>
  <c r="C13" i="139" s="1"/>
  <c r="D13" i="139" s="1"/>
  <c r="E13" i="139" s="1"/>
  <c r="F13" i="139" s="1"/>
  <c r="G13" i="139" s="1"/>
  <c r="H13" i="139" s="1"/>
  <c r="I13" i="139" s="1"/>
  <c r="J13" i="139" s="1"/>
  <c r="K13" i="139" s="1"/>
  <c r="L13" i="139" s="1"/>
  <c r="M13" i="139" s="1"/>
  <c r="N13" i="139" s="1"/>
  <c r="O13" i="139" s="1"/>
  <c r="P13" i="139" s="1"/>
  <c r="Q13" i="139" s="1"/>
  <c r="R13" i="139" s="1"/>
  <c r="S13" i="139" s="1"/>
  <c r="T13" i="139" s="1"/>
  <c r="U13" i="139" s="1"/>
  <c r="V13" i="139" s="1"/>
  <c r="W13" i="139" s="1"/>
  <c r="S85" i="139" l="1"/>
  <c r="T104" i="139"/>
  <c r="T113" i="139"/>
  <c r="T96" i="139"/>
  <c r="T114" i="139"/>
  <c r="T120" i="139"/>
  <c r="T97" i="139"/>
  <c r="T103" i="139"/>
  <c r="T109" i="139"/>
  <c r="T115" i="139"/>
  <c r="T121" i="139"/>
  <c r="T116" i="139"/>
  <c r="T99" i="139"/>
  <c r="T105" i="139"/>
  <c r="T123" i="139"/>
  <c r="T85" i="139"/>
  <c r="T111" i="139"/>
  <c r="T117" i="139"/>
  <c r="T101" i="139"/>
  <c r="T102" i="139"/>
  <c r="T108" i="139"/>
  <c r="T110" i="139"/>
  <c r="U124" i="139"/>
  <c r="Q84" i="139"/>
  <c r="Q124" i="139" s="1"/>
  <c r="M84" i="139"/>
  <c r="N124" i="139"/>
  <c r="T45" i="139"/>
  <c r="T107" i="139"/>
  <c r="T119" i="139"/>
  <c r="T122" i="139"/>
  <c r="T106" i="139"/>
  <c r="T118" i="139"/>
  <c r="F125" i="139"/>
  <c r="D125" i="139"/>
  <c r="E125" i="139"/>
  <c r="T98" i="139"/>
  <c r="T95" i="139"/>
  <c r="T125" i="139" l="1"/>
  <c r="P84" i="139"/>
  <c r="P124" i="139" s="1"/>
  <c r="M124" i="139"/>
  <c r="R124" i="139" l="1"/>
  <c r="V124" i="139" s="1"/>
  <c r="F125" i="138" l="1"/>
  <c r="E125" i="138"/>
  <c r="D125" i="138"/>
  <c r="C125" i="138"/>
  <c r="B125" i="138"/>
  <c r="B93" i="138"/>
  <c r="C93" i="138" s="1"/>
  <c r="D93" i="138" s="1"/>
  <c r="E93" i="138" s="1"/>
  <c r="F93" i="138" s="1"/>
  <c r="G93" i="138" s="1"/>
  <c r="H93" i="138" s="1"/>
  <c r="I93" i="138" s="1"/>
  <c r="J93" i="138" s="1"/>
  <c r="K93" i="138" s="1"/>
  <c r="L93" i="138" s="1"/>
  <c r="M93" i="138" s="1"/>
  <c r="N93" i="138" s="1"/>
  <c r="O93" i="138" s="1"/>
  <c r="P93" i="138" s="1"/>
  <c r="Q93" i="138" s="1"/>
  <c r="R93" i="138" s="1"/>
  <c r="S93" i="138" s="1"/>
  <c r="T93" i="138" s="1"/>
  <c r="U93" i="138" s="1"/>
  <c r="V93" i="138" s="1"/>
  <c r="F84" i="138"/>
  <c r="E84" i="138"/>
  <c r="D84" i="138"/>
  <c r="C84" i="138"/>
  <c r="B84" i="138"/>
  <c r="F83" i="138"/>
  <c r="L83" i="138" s="1"/>
  <c r="E83" i="138"/>
  <c r="D83" i="138"/>
  <c r="C83" i="138"/>
  <c r="B83" i="138"/>
  <c r="F82" i="138"/>
  <c r="E82" i="138"/>
  <c r="L82" i="138" s="1"/>
  <c r="D82" i="138"/>
  <c r="C82" i="138"/>
  <c r="B82" i="138"/>
  <c r="F81" i="138"/>
  <c r="E81" i="138"/>
  <c r="K81" i="138" s="1"/>
  <c r="D81" i="138"/>
  <c r="C81" i="138"/>
  <c r="B81" i="138"/>
  <c r="F80" i="138"/>
  <c r="E80" i="138"/>
  <c r="D80" i="138"/>
  <c r="C80" i="138"/>
  <c r="B80" i="138"/>
  <c r="F79" i="138"/>
  <c r="E79" i="138"/>
  <c r="K79" i="138" s="1"/>
  <c r="D79" i="138"/>
  <c r="C79" i="138"/>
  <c r="B79" i="138"/>
  <c r="F78" i="138"/>
  <c r="E78" i="138"/>
  <c r="D78" i="138"/>
  <c r="C78" i="138"/>
  <c r="B78" i="138"/>
  <c r="F77" i="138"/>
  <c r="E77" i="138"/>
  <c r="K77" i="138" s="1"/>
  <c r="D77" i="138"/>
  <c r="C77" i="138"/>
  <c r="B77" i="138"/>
  <c r="F76" i="138"/>
  <c r="E76" i="138"/>
  <c r="D76" i="138"/>
  <c r="C76" i="138"/>
  <c r="B76" i="138"/>
  <c r="F75" i="138"/>
  <c r="E75" i="138"/>
  <c r="K75" i="138" s="1"/>
  <c r="D75" i="138"/>
  <c r="C75" i="138"/>
  <c r="B75" i="138"/>
  <c r="F74" i="138"/>
  <c r="E74" i="138"/>
  <c r="D74" i="138"/>
  <c r="C74" i="138"/>
  <c r="B74" i="138"/>
  <c r="F73" i="138"/>
  <c r="E73" i="138"/>
  <c r="D73" i="138"/>
  <c r="C73" i="138"/>
  <c r="B73" i="138"/>
  <c r="F72" i="138"/>
  <c r="E72" i="138"/>
  <c r="K72" i="138" s="1"/>
  <c r="D72" i="138"/>
  <c r="C72" i="138"/>
  <c r="B72" i="138"/>
  <c r="F71" i="138"/>
  <c r="E71" i="138"/>
  <c r="D71" i="138"/>
  <c r="C71" i="138"/>
  <c r="B71" i="138"/>
  <c r="F70" i="138"/>
  <c r="E70" i="138"/>
  <c r="K70" i="138" s="1"/>
  <c r="D70" i="138"/>
  <c r="C70" i="138"/>
  <c r="B70" i="138"/>
  <c r="F69" i="138"/>
  <c r="E69" i="138"/>
  <c r="K69" i="138" s="1"/>
  <c r="D69" i="138"/>
  <c r="C69" i="138"/>
  <c r="B69" i="138"/>
  <c r="F68" i="138"/>
  <c r="E68" i="138"/>
  <c r="D68" i="138"/>
  <c r="C68" i="138"/>
  <c r="B68" i="138"/>
  <c r="F67" i="138"/>
  <c r="E67" i="138"/>
  <c r="K67" i="138" s="1"/>
  <c r="D67" i="138"/>
  <c r="C67" i="138"/>
  <c r="B67" i="138"/>
  <c r="F66" i="138"/>
  <c r="E66" i="138"/>
  <c r="L66" i="138" s="1"/>
  <c r="D66" i="138"/>
  <c r="C66" i="138"/>
  <c r="B66" i="138"/>
  <c r="F65" i="138"/>
  <c r="E65" i="138"/>
  <c r="K65" i="138" s="1"/>
  <c r="D65" i="138"/>
  <c r="C65" i="138"/>
  <c r="B65" i="138"/>
  <c r="F64" i="138"/>
  <c r="E64" i="138"/>
  <c r="D64" i="138"/>
  <c r="C64" i="138"/>
  <c r="B64" i="138"/>
  <c r="F63" i="138"/>
  <c r="E63" i="138"/>
  <c r="D63" i="138"/>
  <c r="C63" i="138"/>
  <c r="B63" i="138"/>
  <c r="F62" i="138"/>
  <c r="E62" i="138"/>
  <c r="D62" i="138"/>
  <c r="C62" i="138"/>
  <c r="B62" i="138"/>
  <c r="F61" i="138"/>
  <c r="E61" i="138"/>
  <c r="D61" i="138"/>
  <c r="C61" i="138"/>
  <c r="B61" i="138"/>
  <c r="F60" i="138"/>
  <c r="E60" i="138"/>
  <c r="K60" i="138" s="1"/>
  <c r="D60" i="138"/>
  <c r="C60" i="138"/>
  <c r="B60" i="138"/>
  <c r="F59" i="138"/>
  <c r="E59" i="138"/>
  <c r="D59" i="138"/>
  <c r="C59" i="138"/>
  <c r="B59" i="138"/>
  <c r="F58" i="138"/>
  <c r="E58" i="138"/>
  <c r="L58" i="138" s="1"/>
  <c r="D58" i="138"/>
  <c r="C58" i="138"/>
  <c r="B58" i="138"/>
  <c r="F57" i="138"/>
  <c r="E57" i="138"/>
  <c r="K57" i="138" s="1"/>
  <c r="D57" i="138"/>
  <c r="C57" i="138"/>
  <c r="B57" i="138"/>
  <c r="I57" i="138" s="1"/>
  <c r="F56" i="138"/>
  <c r="E56" i="138"/>
  <c r="D56" i="138"/>
  <c r="C56" i="138"/>
  <c r="B56" i="138"/>
  <c r="F55" i="138"/>
  <c r="E55" i="138"/>
  <c r="D55" i="138"/>
  <c r="C55" i="138"/>
  <c r="B55" i="138"/>
  <c r="B53" i="138"/>
  <c r="C53" i="138" s="1"/>
  <c r="D53" i="138" s="1"/>
  <c r="E53" i="138" s="1"/>
  <c r="F53" i="138" s="1"/>
  <c r="G53" i="138" s="1"/>
  <c r="H53" i="138" s="1"/>
  <c r="I53" i="138" s="1"/>
  <c r="J53" i="138" s="1"/>
  <c r="K53" i="138" s="1"/>
  <c r="L53" i="138" s="1"/>
  <c r="M53" i="138" s="1"/>
  <c r="N53" i="138" s="1"/>
  <c r="O53" i="138" s="1"/>
  <c r="P53" i="138" s="1"/>
  <c r="Q53" i="138" s="1"/>
  <c r="R53" i="138" s="1"/>
  <c r="S53" i="138" s="1"/>
  <c r="T53" i="138" s="1"/>
  <c r="U53" i="138" s="1"/>
  <c r="V53" i="138" s="1"/>
  <c r="W53" i="138" s="1"/>
  <c r="F43" i="138"/>
  <c r="L43" i="138" s="1"/>
  <c r="E43" i="138"/>
  <c r="K43" i="138" s="1"/>
  <c r="F42" i="138"/>
  <c r="L42" i="138" s="1"/>
  <c r="E42" i="138"/>
  <c r="K42" i="138" s="1"/>
  <c r="F41" i="138"/>
  <c r="L41" i="138" s="1"/>
  <c r="E41" i="138"/>
  <c r="K41" i="138" s="1"/>
  <c r="F40" i="138"/>
  <c r="L40" i="138" s="1"/>
  <c r="E40" i="138"/>
  <c r="F39" i="138"/>
  <c r="L39" i="138" s="1"/>
  <c r="E39" i="138"/>
  <c r="K39" i="138" s="1"/>
  <c r="F38" i="138"/>
  <c r="L38" i="138" s="1"/>
  <c r="E38" i="138"/>
  <c r="F37" i="138"/>
  <c r="E37" i="138"/>
  <c r="K37" i="138" s="1"/>
  <c r="F36" i="138"/>
  <c r="L36" i="138" s="1"/>
  <c r="E36" i="138"/>
  <c r="F35" i="138"/>
  <c r="E35" i="138"/>
  <c r="K35" i="138" s="1"/>
  <c r="F34" i="138"/>
  <c r="L34" i="138" s="1"/>
  <c r="E34" i="138"/>
  <c r="K34" i="138" s="1"/>
  <c r="F33" i="138"/>
  <c r="L33" i="138" s="1"/>
  <c r="E33" i="138"/>
  <c r="K33" i="138" s="1"/>
  <c r="F32" i="138"/>
  <c r="L32" i="138" s="1"/>
  <c r="E32" i="138"/>
  <c r="K32" i="138" s="1"/>
  <c r="F31" i="138"/>
  <c r="L31" i="138" s="1"/>
  <c r="E31" i="138"/>
  <c r="K31" i="138" s="1"/>
  <c r="F30" i="138"/>
  <c r="L30" i="138" s="1"/>
  <c r="E30" i="138"/>
  <c r="F29" i="138"/>
  <c r="E29" i="138"/>
  <c r="F28" i="138"/>
  <c r="L28" i="138" s="1"/>
  <c r="E28" i="138"/>
  <c r="F27" i="138"/>
  <c r="L27" i="138" s="1"/>
  <c r="E27" i="138"/>
  <c r="K27" i="138" s="1"/>
  <c r="F26" i="138"/>
  <c r="L26" i="138" s="1"/>
  <c r="E26" i="138"/>
  <c r="F25" i="138"/>
  <c r="E25" i="138"/>
  <c r="F24" i="138"/>
  <c r="L24" i="138" s="1"/>
  <c r="E24" i="138"/>
  <c r="F23" i="138"/>
  <c r="E23" i="138"/>
  <c r="K23" i="138" s="1"/>
  <c r="F22" i="138"/>
  <c r="L22" i="138" s="1"/>
  <c r="E22" i="138"/>
  <c r="K22" i="138" s="1"/>
  <c r="D22" i="138"/>
  <c r="C22" i="138"/>
  <c r="F21" i="138"/>
  <c r="L21" i="138" s="1"/>
  <c r="E21" i="138"/>
  <c r="K21" i="138" s="1"/>
  <c r="D21" i="138"/>
  <c r="C21" i="138"/>
  <c r="F20" i="138"/>
  <c r="L20" i="138" s="1"/>
  <c r="E20" i="138"/>
  <c r="K20" i="138" s="1"/>
  <c r="D20" i="138"/>
  <c r="C20" i="138"/>
  <c r="F19" i="138"/>
  <c r="L19" i="138" s="1"/>
  <c r="E19" i="138"/>
  <c r="K19" i="138" s="1"/>
  <c r="D19" i="138"/>
  <c r="C19" i="138"/>
  <c r="F18" i="138"/>
  <c r="E18" i="138"/>
  <c r="D18" i="138"/>
  <c r="C18" i="138"/>
  <c r="F17" i="138"/>
  <c r="E17" i="138"/>
  <c r="K17" i="138" s="1"/>
  <c r="D17" i="138"/>
  <c r="C17" i="138"/>
  <c r="F16" i="138"/>
  <c r="L16" i="138" s="1"/>
  <c r="E16" i="138"/>
  <c r="D16" i="138"/>
  <c r="C16" i="138"/>
  <c r="F15" i="138"/>
  <c r="E15" i="138"/>
  <c r="K15" i="138" s="1"/>
  <c r="D15" i="138"/>
  <c r="C15" i="138"/>
  <c r="T124" i="138"/>
  <c r="T123" i="138"/>
  <c r="T122" i="138"/>
  <c r="T121" i="138"/>
  <c r="T120" i="138"/>
  <c r="T119" i="138"/>
  <c r="T118" i="138"/>
  <c r="T117" i="138"/>
  <c r="T116" i="138"/>
  <c r="T115" i="138"/>
  <c r="T114" i="138"/>
  <c r="T113" i="138"/>
  <c r="T112" i="138"/>
  <c r="T111" i="138"/>
  <c r="T110" i="138"/>
  <c r="T109" i="138"/>
  <c r="T108" i="138"/>
  <c r="T107" i="138"/>
  <c r="T106" i="138"/>
  <c r="T105" i="138"/>
  <c r="T104" i="138"/>
  <c r="T103" i="138"/>
  <c r="T102" i="138"/>
  <c r="T101" i="138"/>
  <c r="T100" i="138"/>
  <c r="T99" i="138"/>
  <c r="T98" i="138"/>
  <c r="T97" i="138"/>
  <c r="T96" i="138"/>
  <c r="A96" i="138"/>
  <c r="A97" i="138" s="1"/>
  <c r="A98" i="138" s="1"/>
  <c r="A99" i="138" s="1"/>
  <c r="A100" i="138" s="1"/>
  <c r="A101" i="138" s="1"/>
  <c r="A102" i="138" s="1"/>
  <c r="A103" i="138" s="1"/>
  <c r="A104" i="138" s="1"/>
  <c r="A105" i="138" s="1"/>
  <c r="A106" i="138" s="1"/>
  <c r="A107" i="138" s="1"/>
  <c r="A108" i="138" s="1"/>
  <c r="A109" i="138" s="1"/>
  <c r="A110" i="138" s="1"/>
  <c r="A111" i="138" s="1"/>
  <c r="A112" i="138" s="1"/>
  <c r="A113" i="138" s="1"/>
  <c r="A114" i="138" s="1"/>
  <c r="A115" i="138" s="1"/>
  <c r="A116" i="138" s="1"/>
  <c r="A117" i="138" s="1"/>
  <c r="A118" i="138" s="1"/>
  <c r="A119" i="138" s="1"/>
  <c r="A120" i="138" s="1"/>
  <c r="A121" i="138" s="1"/>
  <c r="A122" i="138" s="1"/>
  <c r="A123" i="138" s="1"/>
  <c r="T95" i="138"/>
  <c r="T85" i="138"/>
  <c r="S85" i="138"/>
  <c r="U84" i="138"/>
  <c r="V84" i="138" s="1"/>
  <c r="N84" i="138"/>
  <c r="Q84" i="138" s="1"/>
  <c r="U83" i="138"/>
  <c r="K83" i="138"/>
  <c r="U82" i="138"/>
  <c r="K82" i="138"/>
  <c r="U81" i="138"/>
  <c r="U80" i="138"/>
  <c r="U79" i="138"/>
  <c r="U78" i="138"/>
  <c r="U77" i="138"/>
  <c r="U76" i="138"/>
  <c r="U75" i="138"/>
  <c r="U74" i="138"/>
  <c r="U73" i="138"/>
  <c r="I73" i="138"/>
  <c r="U72" i="138"/>
  <c r="U71" i="138"/>
  <c r="U70" i="138"/>
  <c r="U69" i="138"/>
  <c r="U68" i="138"/>
  <c r="U67" i="138"/>
  <c r="U66" i="138"/>
  <c r="U65" i="138"/>
  <c r="U64" i="138"/>
  <c r="U63" i="138"/>
  <c r="K63" i="138"/>
  <c r="U62" i="138"/>
  <c r="U61" i="138"/>
  <c r="L61" i="138"/>
  <c r="U60" i="138"/>
  <c r="U59" i="138"/>
  <c r="U58" i="138"/>
  <c r="U57" i="138"/>
  <c r="U56" i="138"/>
  <c r="K56" i="138"/>
  <c r="L56" i="138"/>
  <c r="A56" i="138"/>
  <c r="A57" i="138" s="1"/>
  <c r="A58" i="138" s="1"/>
  <c r="A59" i="138" s="1"/>
  <c r="A60" i="138" s="1"/>
  <c r="A61" i="138" s="1"/>
  <c r="A62" i="138" s="1"/>
  <c r="A63" i="138" s="1"/>
  <c r="A64" i="138" s="1"/>
  <c r="A65" i="138" s="1"/>
  <c r="A66" i="138" s="1"/>
  <c r="A67" i="138" s="1"/>
  <c r="A68" i="138" s="1"/>
  <c r="A69" i="138" s="1"/>
  <c r="A70" i="138" s="1"/>
  <c r="A71" i="138" s="1"/>
  <c r="A72" i="138" s="1"/>
  <c r="A73" i="138" s="1"/>
  <c r="A74" i="138" s="1"/>
  <c r="A75" i="138" s="1"/>
  <c r="A76" i="138" s="1"/>
  <c r="A77" i="138" s="1"/>
  <c r="A78" i="138" s="1"/>
  <c r="A79" i="138" s="1"/>
  <c r="A80" i="138" s="1"/>
  <c r="A81" i="138" s="1"/>
  <c r="A82" i="138" s="1"/>
  <c r="A83" i="138" s="1"/>
  <c r="U55" i="138"/>
  <c r="T45" i="138"/>
  <c r="L44" i="138"/>
  <c r="K44" i="138"/>
  <c r="K124" i="138" s="1"/>
  <c r="J44" i="138"/>
  <c r="J124" i="138" s="1"/>
  <c r="I44" i="138"/>
  <c r="I124" i="138" s="1"/>
  <c r="H44" i="138"/>
  <c r="H124" i="138" s="1"/>
  <c r="G44" i="138"/>
  <c r="G124" i="138" s="1"/>
  <c r="K38" i="138"/>
  <c r="L37" i="138"/>
  <c r="K30" i="138"/>
  <c r="L29" i="138"/>
  <c r="K29" i="138"/>
  <c r="K26" i="138"/>
  <c r="L25" i="138"/>
  <c r="K25" i="138"/>
  <c r="K18" i="138"/>
  <c r="A16" i="138"/>
  <c r="A17" i="138" s="1"/>
  <c r="A18" i="138" s="1"/>
  <c r="A19" i="138" s="1"/>
  <c r="A20" i="138" s="1"/>
  <c r="A21" i="138" s="1"/>
  <c r="A22" i="138" s="1"/>
  <c r="A23" i="138" s="1"/>
  <c r="A24" i="138" s="1"/>
  <c r="A25" i="138" s="1"/>
  <c r="A26" i="138" s="1"/>
  <c r="A27" i="138" s="1"/>
  <c r="A28" i="138" s="1"/>
  <c r="A29" i="138" s="1"/>
  <c r="A30" i="138" s="1"/>
  <c r="A31" i="138" s="1"/>
  <c r="A32" i="138" s="1"/>
  <c r="A33" i="138" s="1"/>
  <c r="A34" i="138" s="1"/>
  <c r="A35" i="138" s="1"/>
  <c r="A36" i="138" s="1"/>
  <c r="A37" i="138" s="1"/>
  <c r="A38" i="138" s="1"/>
  <c r="A39" i="138" s="1"/>
  <c r="A40" i="138" s="1"/>
  <c r="A41" i="138" s="1"/>
  <c r="A42" i="138" s="1"/>
  <c r="A43" i="138" s="1"/>
  <c r="B13" i="138"/>
  <c r="C13" i="138" s="1"/>
  <c r="D13" i="138" s="1"/>
  <c r="E13" i="138" s="1"/>
  <c r="F13" i="138" s="1"/>
  <c r="G13" i="138" s="1"/>
  <c r="H13" i="138" s="1"/>
  <c r="I13" i="138" s="1"/>
  <c r="J13" i="138" s="1"/>
  <c r="K13" i="138" s="1"/>
  <c r="L13" i="138" s="1"/>
  <c r="M13" i="138" s="1"/>
  <c r="N13" i="138" s="1"/>
  <c r="O13" i="138" s="1"/>
  <c r="P13" i="138" s="1"/>
  <c r="Q13" i="138" s="1"/>
  <c r="R13" i="138" s="1"/>
  <c r="S13" i="138" s="1"/>
  <c r="T13" i="138" s="1"/>
  <c r="U13" i="138" s="1"/>
  <c r="V13" i="138" s="1"/>
  <c r="W13" i="138" s="1"/>
  <c r="U14" i="118"/>
  <c r="V14" i="118" s="1"/>
  <c r="X14" i="118" s="1"/>
  <c r="Z14" i="118" s="1"/>
  <c r="AB14" i="118" s="1"/>
  <c r="AD14" i="118" s="1"/>
  <c r="AF14" i="118" s="1"/>
  <c r="U18" i="118"/>
  <c r="U19" i="118" s="1"/>
  <c r="U20" i="118" s="1"/>
  <c r="U21" i="118" s="1"/>
  <c r="U22" i="118" s="1"/>
  <c r="U23" i="118" s="1"/>
  <c r="U24" i="118" s="1"/>
  <c r="U25" i="118" s="1"/>
  <c r="U26" i="118" s="1"/>
  <c r="U27" i="118" s="1"/>
  <c r="U28" i="118" s="1"/>
  <c r="U29" i="118" s="1"/>
  <c r="U30" i="118" s="1"/>
  <c r="U31" i="118" s="1"/>
  <c r="V18" i="118"/>
  <c r="X30" i="118"/>
  <c r="X29" i="118"/>
  <c r="X28" i="118"/>
  <c r="X27" i="118"/>
  <c r="X26" i="118"/>
  <c r="X25" i="118"/>
  <c r="X24" i="118"/>
  <c r="X23" i="118"/>
  <c r="X22" i="118"/>
  <c r="X21" i="118"/>
  <c r="X20" i="118"/>
  <c r="X19" i="118"/>
  <c r="X18" i="118"/>
  <c r="X17" i="118"/>
  <c r="K58" i="138" l="1"/>
  <c r="L77" i="138"/>
  <c r="L70" i="138"/>
  <c r="I78" i="138"/>
  <c r="G75" i="138"/>
  <c r="H75" i="138" s="1"/>
  <c r="I61" i="138"/>
  <c r="I69" i="138"/>
  <c r="J69" i="138" s="1"/>
  <c r="L65" i="138"/>
  <c r="L105" i="138" s="1"/>
  <c r="I66" i="138"/>
  <c r="J66" i="138" s="1"/>
  <c r="L75" i="138"/>
  <c r="L74" i="138"/>
  <c r="L114" i="138" s="1"/>
  <c r="I63" i="138"/>
  <c r="J63" i="138" s="1"/>
  <c r="L72" i="138"/>
  <c r="L112" i="138" s="1"/>
  <c r="L64" i="138"/>
  <c r="L104" i="138" s="1"/>
  <c r="L79" i="138"/>
  <c r="L119" i="138" s="1"/>
  <c r="I60" i="138"/>
  <c r="J60" i="138" s="1"/>
  <c r="I82" i="138"/>
  <c r="J82" i="138" s="1"/>
  <c r="I70" i="138"/>
  <c r="J70" i="138" s="1"/>
  <c r="I75" i="138"/>
  <c r="J75" i="138" s="1"/>
  <c r="G82" i="138"/>
  <c r="H82" i="138" s="1"/>
  <c r="I72" i="138"/>
  <c r="J72" i="138" s="1"/>
  <c r="G70" i="138"/>
  <c r="H70" i="138" s="1"/>
  <c r="L67" i="138"/>
  <c r="L107" i="138" s="1"/>
  <c r="G63" i="138"/>
  <c r="H63" i="138" s="1"/>
  <c r="I67" i="138"/>
  <c r="J67" i="138" s="1"/>
  <c r="L55" i="138"/>
  <c r="I58" i="138"/>
  <c r="J58" i="138" s="1"/>
  <c r="L76" i="138"/>
  <c r="L116" i="138" s="1"/>
  <c r="L62" i="138"/>
  <c r="L102" i="138" s="1"/>
  <c r="G58" i="138"/>
  <c r="H58" i="138" s="1"/>
  <c r="K55" i="138"/>
  <c r="K95" i="138" s="1"/>
  <c r="I79" i="138"/>
  <c r="J79" i="138" s="1"/>
  <c r="K74" i="138"/>
  <c r="K114" i="138" s="1"/>
  <c r="K62" i="138"/>
  <c r="K102" i="138" s="1"/>
  <c r="Z21" i="118"/>
  <c r="Z23" i="118"/>
  <c r="L18" i="138"/>
  <c r="L98" i="138" s="1"/>
  <c r="L17" i="138"/>
  <c r="G67" i="138"/>
  <c r="K28" i="138"/>
  <c r="Z22" i="118"/>
  <c r="K64" i="138"/>
  <c r="G79" i="138"/>
  <c r="D85" i="138"/>
  <c r="G64" i="138"/>
  <c r="L106" i="138"/>
  <c r="K119" i="138"/>
  <c r="J61" i="138"/>
  <c r="K76" i="138"/>
  <c r="K98" i="138"/>
  <c r="K121" i="138"/>
  <c r="J73" i="138"/>
  <c r="K100" i="138"/>
  <c r="K109" i="138"/>
  <c r="K115" i="138"/>
  <c r="K122" i="138"/>
  <c r="G55" i="138"/>
  <c r="H55" i="138" s="1"/>
  <c r="F45" i="138"/>
  <c r="Z19" i="118"/>
  <c r="Z29" i="118"/>
  <c r="K36" i="138"/>
  <c r="I55" i="138"/>
  <c r="J55" i="138" s="1"/>
  <c r="I64" i="138"/>
  <c r="J64" i="138" s="1"/>
  <c r="L68" i="138"/>
  <c r="L108" i="138" s="1"/>
  <c r="L73" i="138"/>
  <c r="L113" i="138" s="1"/>
  <c r="L80" i="138"/>
  <c r="L120" i="138" s="1"/>
  <c r="Z18" i="118"/>
  <c r="Z30" i="118"/>
  <c r="K103" i="138"/>
  <c r="K110" i="138"/>
  <c r="L23" i="138"/>
  <c r="L35" i="138"/>
  <c r="K66" i="138"/>
  <c r="K106" i="138" s="1"/>
  <c r="K78" i="138"/>
  <c r="K118" i="138" s="1"/>
  <c r="I81" i="138"/>
  <c r="K97" i="138"/>
  <c r="K24" i="138"/>
  <c r="K117" i="138"/>
  <c r="K71" i="138"/>
  <c r="K111" i="138" s="1"/>
  <c r="E45" i="138"/>
  <c r="C85" i="138"/>
  <c r="Z20" i="118"/>
  <c r="Z25" i="118"/>
  <c r="M84" i="138"/>
  <c r="P84" i="138" s="1"/>
  <c r="Z24" i="118"/>
  <c r="Z26" i="118"/>
  <c r="Z27" i="118"/>
  <c r="F85" i="138"/>
  <c r="G61" i="138"/>
  <c r="I76" i="138"/>
  <c r="Z28" i="118"/>
  <c r="T125" i="138"/>
  <c r="B85" i="138"/>
  <c r="E85" i="138"/>
  <c r="K107" i="138"/>
  <c r="G73" i="138"/>
  <c r="K112" i="138"/>
  <c r="K16" i="138"/>
  <c r="K40" i="138"/>
  <c r="L96" i="138"/>
  <c r="L101" i="138"/>
  <c r="L71" i="138"/>
  <c r="L111" i="138" s="1"/>
  <c r="K73" i="138"/>
  <c r="J78" i="138"/>
  <c r="K61" i="138"/>
  <c r="G76" i="138"/>
  <c r="H76" i="138" s="1"/>
  <c r="L15" i="138"/>
  <c r="L110" i="138"/>
  <c r="L59" i="138"/>
  <c r="K59" i="138"/>
  <c r="I62" i="138"/>
  <c r="G62" i="138"/>
  <c r="K105" i="138"/>
  <c r="L57" i="138"/>
  <c r="I80" i="138"/>
  <c r="G80" i="138"/>
  <c r="G72" i="138"/>
  <c r="L78" i="138"/>
  <c r="J57" i="138"/>
  <c r="I59" i="138"/>
  <c r="G59" i="138"/>
  <c r="I68" i="138"/>
  <c r="G68" i="138"/>
  <c r="G81" i="138"/>
  <c r="U85" i="138"/>
  <c r="K123" i="138"/>
  <c r="L122" i="138"/>
  <c r="G60" i="138"/>
  <c r="G69" i="138"/>
  <c r="I77" i="138"/>
  <c r="G77" i="138"/>
  <c r="I56" i="138"/>
  <c r="G56" i="138"/>
  <c r="I65" i="138"/>
  <c r="G65" i="138"/>
  <c r="G78" i="138"/>
  <c r="K80" i="138"/>
  <c r="L117" i="138"/>
  <c r="L124" i="138"/>
  <c r="L63" i="138"/>
  <c r="I83" i="138"/>
  <c r="G83" i="138"/>
  <c r="G57" i="138"/>
  <c r="G66" i="138"/>
  <c r="K68" i="138"/>
  <c r="I74" i="138"/>
  <c r="G74" i="138"/>
  <c r="L123" i="138"/>
  <c r="L81" i="138"/>
  <c r="L60" i="138"/>
  <c r="L69" i="138"/>
  <c r="I71" i="138"/>
  <c r="G71" i="138"/>
  <c r="L115" i="138" l="1"/>
  <c r="K104" i="138"/>
  <c r="J65" i="138"/>
  <c r="J68" i="138"/>
  <c r="J62" i="138"/>
  <c r="K108" i="138"/>
  <c r="K45" i="138"/>
  <c r="K96" i="138"/>
  <c r="H71" i="138"/>
  <c r="J83" i="138"/>
  <c r="H77" i="138"/>
  <c r="J59" i="138"/>
  <c r="H68" i="138"/>
  <c r="H56" i="138"/>
  <c r="J77" i="138"/>
  <c r="K101" i="138"/>
  <c r="H73" i="138"/>
  <c r="J76" i="138"/>
  <c r="H66" i="138"/>
  <c r="H83" i="138"/>
  <c r="H69" i="138"/>
  <c r="H61" i="138"/>
  <c r="H79" i="138"/>
  <c r="H57" i="138"/>
  <c r="H59" i="138"/>
  <c r="H80" i="138"/>
  <c r="K99" i="138"/>
  <c r="K113" i="138"/>
  <c r="J80" i="138"/>
  <c r="H64" i="138"/>
  <c r="H62" i="138"/>
  <c r="H67" i="138"/>
  <c r="J56" i="138"/>
  <c r="J71" i="138"/>
  <c r="H60" i="138"/>
  <c r="H72" i="138"/>
  <c r="H74" i="138"/>
  <c r="H78" i="138"/>
  <c r="J74" i="138"/>
  <c r="H65" i="138"/>
  <c r="H81" i="138"/>
  <c r="J81" i="138"/>
  <c r="K116" i="138"/>
  <c r="L85" i="138"/>
  <c r="K120" i="138"/>
  <c r="L99" i="138"/>
  <c r="L109" i="138"/>
  <c r="I85" i="138"/>
  <c r="K85" i="138"/>
  <c r="G85" i="138"/>
  <c r="L118" i="138"/>
  <c r="L103" i="138"/>
  <c r="L121" i="138"/>
  <c r="L97" i="138"/>
  <c r="L45" i="138"/>
  <c r="L95" i="138"/>
  <c r="L100" i="138"/>
  <c r="H85" i="138" l="1"/>
  <c r="J85" i="138"/>
  <c r="K125" i="138"/>
  <c r="L125" i="138"/>
  <c r="Q19" i="94" l="1"/>
  <c r="A32" i="95" l="1"/>
  <c r="A33" i="95" s="1"/>
  <c r="A34" i="95" s="1"/>
  <c r="A35" i="95" s="1"/>
  <c r="A36" i="95" s="1"/>
  <c r="A37" i="95" s="1"/>
  <c r="A38" i="95" s="1"/>
  <c r="A39" i="95" s="1"/>
  <c r="A40" i="95" s="1"/>
  <c r="B40" i="138" l="1"/>
  <c r="B40" i="119"/>
  <c r="B37" i="138"/>
  <c r="B37" i="119"/>
  <c r="B41" i="138"/>
  <c r="B41" i="119"/>
  <c r="B39" i="119"/>
  <c r="B39" i="138"/>
  <c r="B42" i="119"/>
  <c r="B42" i="138"/>
  <c r="B38" i="119"/>
  <c r="B38" i="138"/>
  <c r="B43" i="119"/>
  <c r="B43" i="138"/>
  <c r="B23" i="119"/>
  <c r="B23" i="138"/>
  <c r="B33" i="138"/>
  <c r="B33" i="119"/>
  <c r="B28" i="138"/>
  <c r="B28" i="119"/>
  <c r="B22" i="119"/>
  <c r="B22" i="138"/>
  <c r="B24" i="119"/>
  <c r="B24" i="138"/>
  <c r="B26" i="138"/>
  <c r="B26" i="119"/>
  <c r="B29" i="119"/>
  <c r="B29" i="138"/>
  <c r="B21" i="119"/>
  <c r="B21" i="138"/>
  <c r="B36" i="119"/>
  <c r="B36" i="138"/>
  <c r="B18" i="138"/>
  <c r="B18" i="119"/>
  <c r="B30" i="138"/>
  <c r="B30" i="119"/>
  <c r="B34" i="119"/>
  <c r="B34" i="138"/>
  <c r="B25" i="119"/>
  <c r="B25" i="138"/>
  <c r="B15" i="119"/>
  <c r="B15" i="138"/>
  <c r="B16" i="119"/>
  <c r="B16" i="138"/>
  <c r="B19" i="138"/>
  <c r="B19" i="119"/>
  <c r="B31" i="138"/>
  <c r="B31" i="119"/>
  <c r="B35" i="119"/>
  <c r="B35" i="138"/>
  <c r="B27" i="119"/>
  <c r="B27" i="138"/>
  <c r="B17" i="119"/>
  <c r="B17" i="138"/>
  <c r="B20" i="138"/>
  <c r="B20" i="119"/>
  <c r="B32" i="138"/>
  <c r="B32" i="119"/>
  <c r="A84" i="105"/>
  <c r="A85" i="105" s="1"/>
  <c r="A86" i="105" s="1"/>
  <c r="A87" i="105" s="1"/>
  <c r="A88" i="105" s="1"/>
  <c r="A89" i="105" s="1"/>
  <c r="A90" i="105" s="1"/>
  <c r="A91" i="105" s="1"/>
  <c r="A92" i="105" s="1"/>
  <c r="A93" i="105" s="1"/>
  <c r="A94" i="105" s="1"/>
  <c r="A95" i="105" s="1"/>
  <c r="A96" i="105" s="1"/>
  <c r="A97" i="105" s="1"/>
  <c r="A98" i="105" s="1"/>
  <c r="A99" i="105" s="1"/>
  <c r="A100" i="105" s="1"/>
  <c r="A101" i="105" s="1"/>
  <c r="A102" i="105" s="1"/>
  <c r="A103" i="105" s="1"/>
  <c r="A104" i="105" s="1"/>
  <c r="A105" i="105" s="1"/>
  <c r="A106" i="105" s="1"/>
  <c r="A107" i="105" s="1"/>
  <c r="A108" i="105" s="1"/>
  <c r="A109" i="105" s="1"/>
  <c r="A110" i="105" s="1"/>
  <c r="A111" i="105" s="1"/>
  <c r="I22" i="138" l="1"/>
  <c r="I102" i="138" s="1"/>
  <c r="G22" i="138"/>
  <c r="G102" i="138" s="1"/>
  <c r="H22" i="138"/>
  <c r="H102" i="138" s="1"/>
  <c r="J22" i="138"/>
  <c r="J102" i="138" s="1"/>
  <c r="H16" i="138"/>
  <c r="H96" i="138" s="1"/>
  <c r="I16" i="138"/>
  <c r="I96" i="138" s="1"/>
  <c r="J16" i="138"/>
  <c r="J96" i="138" s="1"/>
  <c r="G16" i="138"/>
  <c r="G96" i="138" s="1"/>
  <c r="J18" i="138"/>
  <c r="J98" i="138" s="1"/>
  <c r="H18" i="138"/>
  <c r="H98" i="138" s="1"/>
  <c r="G18" i="138"/>
  <c r="G98" i="138" s="1"/>
  <c r="I18" i="138"/>
  <c r="I98" i="138" s="1"/>
  <c r="H15" i="138"/>
  <c r="H95" i="138" s="1"/>
  <c r="J15" i="138"/>
  <c r="J95" i="138" s="1"/>
  <c r="G15" i="138"/>
  <c r="G95" i="138" s="1"/>
  <c r="I15" i="138"/>
  <c r="I95" i="138" s="1"/>
  <c r="B45" i="138"/>
  <c r="H21" i="138"/>
  <c r="H101" i="138" s="1"/>
  <c r="J21" i="138"/>
  <c r="J101" i="138" s="1"/>
  <c r="G21" i="138"/>
  <c r="G101" i="138" s="1"/>
  <c r="I21" i="138"/>
  <c r="I101" i="138" s="1"/>
  <c r="J20" i="138"/>
  <c r="J100" i="138" s="1"/>
  <c r="I20" i="138"/>
  <c r="I100" i="138" s="1"/>
  <c r="H20" i="138"/>
  <c r="H100" i="138" s="1"/>
  <c r="G20" i="138"/>
  <c r="G100" i="138" s="1"/>
  <c r="G17" i="138"/>
  <c r="G97" i="138" s="1"/>
  <c r="J17" i="138"/>
  <c r="J97" i="138" s="1"/>
  <c r="I17" i="138"/>
  <c r="I97" i="138" s="1"/>
  <c r="H17" i="138"/>
  <c r="H97" i="138" s="1"/>
  <c r="I19" i="138"/>
  <c r="I99" i="138" s="1"/>
  <c r="J19" i="138"/>
  <c r="J99" i="138" s="1"/>
  <c r="H19" i="138"/>
  <c r="H99" i="138" s="1"/>
  <c r="G19" i="138"/>
  <c r="G99" i="138" s="1"/>
  <c r="M21" i="135"/>
  <c r="Q34" i="128" l="1"/>
  <c r="C43" i="49"/>
  <c r="C42" i="49"/>
  <c r="C41" i="49"/>
  <c r="C40" i="49"/>
  <c r="C39" i="49"/>
  <c r="C38" i="49"/>
  <c r="C37" i="49"/>
  <c r="C36" i="49"/>
  <c r="C35" i="49"/>
  <c r="C34" i="49"/>
  <c r="C33" i="49"/>
  <c r="C32" i="49"/>
  <c r="C31" i="49"/>
  <c r="C30" i="49"/>
  <c r="C29" i="49"/>
  <c r="C28" i="49"/>
  <c r="C27" i="49"/>
  <c r="C26" i="49"/>
  <c r="C25" i="49"/>
  <c r="C24" i="49"/>
  <c r="C23" i="49"/>
  <c r="C22" i="49"/>
  <c r="C21" i="49"/>
  <c r="C20" i="49"/>
  <c r="C19" i="49"/>
  <c r="C18" i="49"/>
  <c r="C17" i="49"/>
  <c r="C16" i="49"/>
  <c r="C43" i="50"/>
  <c r="C42" i="50"/>
  <c r="C41" i="50"/>
  <c r="C40" i="50"/>
  <c r="C39" i="50"/>
  <c r="C38" i="50"/>
  <c r="C37" i="50"/>
  <c r="C36" i="50"/>
  <c r="C34" i="50"/>
  <c r="C33" i="50"/>
  <c r="C32" i="50"/>
  <c r="C31" i="50"/>
  <c r="C30" i="50"/>
  <c r="C29" i="50"/>
  <c r="C28" i="50"/>
  <c r="C27" i="50"/>
  <c r="C26" i="50"/>
  <c r="C25" i="50"/>
  <c r="C24" i="50"/>
  <c r="C23" i="50"/>
  <c r="C22" i="50"/>
  <c r="C21" i="50"/>
  <c r="C20" i="50"/>
  <c r="C19" i="50"/>
  <c r="C18" i="50"/>
  <c r="C17" i="50"/>
  <c r="C16" i="50"/>
  <c r="V24" i="136" l="1"/>
  <c r="V24" i="160"/>
  <c r="G16" i="50"/>
  <c r="C35" i="50"/>
  <c r="C45" i="50" s="1"/>
  <c r="N49" i="4"/>
  <c r="P49" i="4" s="1"/>
  <c r="Q16" i="128" l="1"/>
  <c r="J33" i="137"/>
  <c r="J15" i="137" l="1"/>
  <c r="J16" i="137"/>
  <c r="J13" i="137"/>
  <c r="J12" i="137"/>
  <c r="E18" i="137"/>
  <c r="C16" i="137"/>
  <c r="F16" i="137" s="1"/>
  <c r="G16" i="137" s="1"/>
  <c r="C15" i="137"/>
  <c r="F15" i="137" s="1"/>
  <c r="G15" i="137" s="1"/>
  <c r="C13" i="137"/>
  <c r="F13" i="137" s="1"/>
  <c r="G13" i="137" s="1"/>
  <c r="C12" i="137"/>
  <c r="J18" i="137" l="1"/>
  <c r="F12" i="137"/>
  <c r="G12" i="137" s="1"/>
  <c r="F18" i="137"/>
  <c r="F22" i="137" s="1"/>
  <c r="G18" i="137" l="1"/>
  <c r="L22" i="137"/>
  <c r="O18" i="137" s="1"/>
  <c r="AO71" i="130"/>
  <c r="AG71" i="130"/>
  <c r="C76" i="136"/>
  <c r="C75" i="136"/>
  <c r="C74" i="136"/>
  <c r="D19" i="136"/>
  <c r="D19" i="160" s="1"/>
  <c r="D76" i="136" l="1"/>
  <c r="D75" i="136"/>
  <c r="D74" i="136"/>
  <c r="K43" i="123" l="1"/>
  <c r="L43" i="123" s="1"/>
  <c r="K42" i="123"/>
  <c r="L42" i="123" s="1"/>
  <c r="K41" i="123"/>
  <c r="L41" i="123" s="1"/>
  <c r="K40" i="123"/>
  <c r="L40" i="123" s="1"/>
  <c r="K39" i="123"/>
  <c r="K38" i="123"/>
  <c r="L38" i="123" s="1"/>
  <c r="K37" i="123"/>
  <c r="K36" i="123"/>
  <c r="K35" i="123"/>
  <c r="B79" i="124"/>
  <c r="W19" i="115" l="1"/>
  <c r="W18" i="115"/>
  <c r="W17" i="115"/>
  <c r="J22" i="135" l="1"/>
  <c r="I22" i="135"/>
  <c r="I24" i="135"/>
  <c r="J19" i="135"/>
  <c r="K19" i="135" s="1"/>
  <c r="J6" i="135"/>
  <c r="K6" i="135" s="1"/>
  <c r="BH84" i="91" l="1"/>
  <c r="BH118" i="91" s="1"/>
  <c r="W20" i="115"/>
  <c r="K22" i="135"/>
  <c r="K24" i="135" s="1"/>
  <c r="J24" i="135"/>
  <c r="D29" i="135" l="1"/>
  <c r="J29" i="135" s="1"/>
  <c r="D21" i="135"/>
  <c r="D24" i="135" s="1"/>
  <c r="D19" i="135"/>
  <c r="E19" i="135" s="1"/>
  <c r="D6" i="135"/>
  <c r="E6" i="135" s="1"/>
  <c r="E21" i="135" l="1"/>
  <c r="C24" i="135"/>
  <c r="E22" i="135"/>
  <c r="E24" i="135" s="1"/>
  <c r="C69" i="128" l="1"/>
  <c r="AH55" i="131" l="1"/>
  <c r="AF55" i="131"/>
  <c r="I67" i="128" l="1"/>
  <c r="I66" i="128"/>
  <c r="G69" i="128"/>
  <c r="E69" i="128"/>
  <c r="I69" i="128" l="1"/>
  <c r="AI42" i="131" l="1"/>
  <c r="T125" i="126" l="1"/>
  <c r="S125" i="126"/>
  <c r="B125" i="126"/>
  <c r="U124" i="126" l="1"/>
  <c r="U123" i="126"/>
  <c r="U122" i="126"/>
  <c r="U121" i="126"/>
  <c r="U120" i="126"/>
  <c r="U119" i="126"/>
  <c r="U118" i="126"/>
  <c r="U117" i="126"/>
  <c r="U116" i="126"/>
  <c r="U115" i="126"/>
  <c r="U84" i="126"/>
  <c r="O84" i="126"/>
  <c r="N84" i="126"/>
  <c r="M84" i="126"/>
  <c r="K84" i="126"/>
  <c r="J84" i="126"/>
  <c r="I84" i="126"/>
  <c r="H84" i="126"/>
  <c r="G84" i="126"/>
  <c r="T83" i="125"/>
  <c r="T83" i="140" s="1"/>
  <c r="T123" i="140" s="1"/>
  <c r="T82" i="125"/>
  <c r="T82" i="140" s="1"/>
  <c r="T122" i="140" s="1"/>
  <c r="T81" i="125"/>
  <c r="T80" i="125"/>
  <c r="T79" i="125"/>
  <c r="T78" i="125"/>
  <c r="T77" i="125"/>
  <c r="T76" i="125"/>
  <c r="T76" i="140" s="1"/>
  <c r="T116" i="140" s="1"/>
  <c r="T75" i="125"/>
  <c r="T75" i="140" s="1"/>
  <c r="U124" i="125"/>
  <c r="U123" i="125"/>
  <c r="U122" i="125"/>
  <c r="U121" i="125"/>
  <c r="U120" i="125"/>
  <c r="U119" i="125"/>
  <c r="U118" i="125"/>
  <c r="U117" i="125"/>
  <c r="U116" i="125"/>
  <c r="U115" i="125"/>
  <c r="S125" i="125"/>
  <c r="B123" i="125"/>
  <c r="B122" i="125"/>
  <c r="B121" i="125"/>
  <c r="B120" i="125"/>
  <c r="B119" i="125"/>
  <c r="B118" i="125"/>
  <c r="B117" i="125"/>
  <c r="B116" i="125"/>
  <c r="B115" i="125"/>
  <c r="T77" i="140" l="1"/>
  <c r="T117" i="140" s="1"/>
  <c r="T78" i="140"/>
  <c r="T118" i="140" s="1"/>
  <c r="T79" i="140"/>
  <c r="T119" i="140" s="1"/>
  <c r="T115" i="140"/>
  <c r="T80" i="140"/>
  <c r="T120" i="140" s="1"/>
  <c r="T81" i="140"/>
  <c r="T121" i="140" s="1"/>
  <c r="T85" i="126"/>
  <c r="T127" i="126" s="1"/>
  <c r="W127" i="126"/>
  <c r="U125" i="126"/>
  <c r="T85" i="140" l="1"/>
  <c r="T125" i="140"/>
  <c r="O124" i="124"/>
  <c r="O84" i="124" s="1"/>
  <c r="K49" i="134" l="1"/>
  <c r="I55" i="134"/>
  <c r="I49" i="134"/>
  <c r="A51" i="134"/>
  <c r="A52" i="134" s="1"/>
  <c r="A53" i="134" s="1"/>
  <c r="A54" i="134" s="1"/>
  <c r="A55" i="134" s="1"/>
  <c r="A56" i="134" s="1"/>
  <c r="A57" i="134" s="1"/>
  <c r="A58" i="134" s="1"/>
  <c r="A59" i="134" s="1"/>
  <c r="A35" i="134"/>
  <c r="A36" i="134" s="1"/>
  <c r="A37" i="134" s="1"/>
  <c r="A38" i="134" s="1"/>
  <c r="A39" i="134" s="1"/>
  <c r="A40" i="134" s="1"/>
  <c r="A41" i="134" s="1"/>
  <c r="A42" i="134" s="1"/>
  <c r="A43" i="134" s="1"/>
  <c r="A19" i="134"/>
  <c r="A20" i="134" s="1"/>
  <c r="A21" i="134" s="1"/>
  <c r="A22" i="134" s="1"/>
  <c r="A23" i="134" s="1"/>
  <c r="A24" i="134" s="1"/>
  <c r="A25" i="134" s="1"/>
  <c r="A26" i="134" s="1"/>
  <c r="A27" i="134" s="1"/>
  <c r="A37" i="133"/>
  <c r="A38" i="133" s="1"/>
  <c r="A39" i="133" s="1"/>
  <c r="A40" i="133" s="1"/>
  <c r="A41" i="133" s="1"/>
  <c r="A42" i="133" s="1"/>
  <c r="A43" i="133" s="1"/>
  <c r="A44" i="133" s="1"/>
  <c r="A45" i="133" s="1"/>
  <c r="A46" i="133" s="1"/>
  <c r="A47" i="133" s="1"/>
  <c r="A48" i="133" s="1"/>
  <c r="A49" i="133" s="1"/>
  <c r="A50" i="133" s="1"/>
  <c r="A18" i="133"/>
  <c r="A19" i="133" s="1"/>
  <c r="A20" i="133" s="1"/>
  <c r="A21" i="133" s="1"/>
  <c r="A22" i="133" s="1"/>
  <c r="A23" i="133" s="1"/>
  <c r="A24" i="133" s="1"/>
  <c r="A25" i="133" s="1"/>
  <c r="A26" i="133" s="1"/>
  <c r="A27" i="133" s="1"/>
  <c r="A28" i="133" s="1"/>
  <c r="A29" i="133" s="1"/>
  <c r="A30" i="133" s="1"/>
  <c r="A31" i="133" s="1"/>
  <c r="M49" i="134" l="1"/>
  <c r="D14" i="132" l="1"/>
  <c r="E14" i="132" s="1"/>
  <c r="G14" i="132" s="1"/>
  <c r="H14" i="132" s="1"/>
  <c r="K14" i="132" s="1"/>
  <c r="L14" i="132" s="1"/>
  <c r="N14" i="132" s="1"/>
  <c r="O14" i="132" s="1"/>
  <c r="A18" i="131" l="1"/>
  <c r="C72" i="91"/>
  <c r="C72" i="87"/>
  <c r="A19" i="131" l="1"/>
  <c r="A20" i="131" s="1"/>
  <c r="A21" i="131" s="1"/>
  <c r="A22" i="131" s="1"/>
  <c r="A23" i="131" s="1"/>
  <c r="A24" i="131" s="1"/>
  <c r="A25" i="131" s="1"/>
  <c r="A26" i="131" s="1"/>
  <c r="A27" i="131" s="1"/>
  <c r="AI43" i="131"/>
  <c r="V43" i="131"/>
  <c r="A45" i="131"/>
  <c r="A46" i="131" s="1"/>
  <c r="A47" i="131" s="1"/>
  <c r="A48" i="131" s="1"/>
  <c r="A49" i="131" s="1"/>
  <c r="A50" i="131" s="1"/>
  <c r="A51" i="131" s="1"/>
  <c r="A52" i="131" s="1"/>
  <c r="A53" i="131" s="1"/>
  <c r="A54" i="131" s="1"/>
  <c r="BB87" i="105"/>
  <c r="BB89" i="105" s="1"/>
  <c r="AY87" i="105"/>
  <c r="AH92" i="105" s="1"/>
  <c r="AU87" i="105"/>
  <c r="AR58" i="105"/>
  <c r="AR59" i="105" s="1"/>
  <c r="AR60" i="105" s="1"/>
  <c r="AR61" i="105" s="1"/>
  <c r="AR62" i="105" s="1"/>
  <c r="AR63" i="105" s="1"/>
  <c r="AR64" i="105" s="1"/>
  <c r="AR65" i="105" s="1"/>
  <c r="AR66" i="105" s="1"/>
  <c r="AR67" i="105" s="1"/>
  <c r="AR68" i="105" s="1"/>
  <c r="AR69" i="105" s="1"/>
  <c r="AR70" i="105" s="1"/>
  <c r="AR71" i="105" s="1"/>
  <c r="AR72" i="105" s="1"/>
  <c r="AR73" i="105" s="1"/>
  <c r="AR74" i="105" s="1"/>
  <c r="AR75" i="105" s="1"/>
  <c r="AR76" i="105" s="1"/>
  <c r="AR77" i="105" s="1"/>
  <c r="AR78" i="105" s="1"/>
  <c r="AR79" i="105" s="1"/>
  <c r="AR80" i="105" s="1"/>
  <c r="AR81" i="105" s="1"/>
  <c r="AR82" i="105" s="1"/>
  <c r="AR83" i="105" s="1"/>
  <c r="AR84" i="105" s="1"/>
  <c r="AR85" i="105" s="1"/>
  <c r="Y46" i="77"/>
  <c r="Q20" i="131" l="1"/>
  <c r="Q44" i="131"/>
  <c r="W20" i="131"/>
  <c r="W44" i="131"/>
  <c r="O33" i="56"/>
  <c r="E17" i="131"/>
  <c r="C17" i="131"/>
  <c r="Z14" i="77"/>
  <c r="Y14" i="77"/>
  <c r="AI45" i="12"/>
  <c r="AR18" i="105"/>
  <c r="AR19" i="105" s="1"/>
  <c r="AR20" i="105" s="1"/>
  <c r="AR21" i="105" s="1"/>
  <c r="AR22" i="105" s="1"/>
  <c r="AR23" i="105" s="1"/>
  <c r="AR24" i="105" s="1"/>
  <c r="AR25" i="105" s="1"/>
  <c r="AR26" i="105" s="1"/>
  <c r="AR27" i="105" s="1"/>
  <c r="AR28" i="105" s="1"/>
  <c r="AR29" i="105" s="1"/>
  <c r="AR30" i="105" s="1"/>
  <c r="AR31" i="105" s="1"/>
  <c r="AR32" i="105" s="1"/>
  <c r="AR33" i="105" s="1"/>
  <c r="AR34" i="105" s="1"/>
  <c r="AR35" i="105" s="1"/>
  <c r="AR36" i="105" s="1"/>
  <c r="AR37" i="105" s="1"/>
  <c r="AR38" i="105" s="1"/>
  <c r="AR39" i="105" s="1"/>
  <c r="AR40" i="105" s="1"/>
  <c r="AR41" i="105" s="1"/>
  <c r="AR42" i="105" s="1"/>
  <c r="AR43" i="105" s="1"/>
  <c r="AR44" i="105" s="1"/>
  <c r="AR45" i="105" s="1"/>
  <c r="G17" i="131" l="1"/>
  <c r="I17" i="131" s="1"/>
  <c r="Q49" i="134"/>
  <c r="E49" i="134"/>
  <c r="W21" i="131"/>
  <c r="W45" i="131"/>
  <c r="Q21" i="131"/>
  <c r="Q45" i="131"/>
  <c r="K17" i="131"/>
  <c r="G49" i="134"/>
  <c r="O49" i="134"/>
  <c r="C49" i="134"/>
  <c r="Q22" i="131" l="1"/>
  <c r="Q46" i="131"/>
  <c r="W22" i="131"/>
  <c r="W46" i="131"/>
  <c r="S49" i="134"/>
  <c r="W23" i="131" l="1"/>
  <c r="W47" i="131"/>
  <c r="Q23" i="131"/>
  <c r="Q47" i="131"/>
  <c r="Y78" i="130"/>
  <c r="S78" i="130"/>
  <c r="Q69" i="130"/>
  <c r="Q70" i="130" s="1"/>
  <c r="Q71" i="130" s="1"/>
  <c r="Q72" i="130" s="1"/>
  <c r="Q73" i="130" s="1"/>
  <c r="Q74" i="130" s="1"/>
  <c r="Q75" i="130" s="1"/>
  <c r="Q76" i="130" s="1"/>
  <c r="AL60" i="87"/>
  <c r="AL61" i="87" s="1"/>
  <c r="AL62" i="87" s="1"/>
  <c r="AL63" i="87" s="1"/>
  <c r="AL64" i="87" s="1"/>
  <c r="AL65" i="87" s="1"/>
  <c r="AL66" i="87" s="1"/>
  <c r="AM67" i="87"/>
  <c r="AM66" i="87"/>
  <c r="AM65" i="87"/>
  <c r="AM64" i="87"/>
  <c r="AM63" i="87"/>
  <c r="AM62" i="87"/>
  <c r="AM61" i="87"/>
  <c r="AM60" i="87"/>
  <c r="AM59" i="87"/>
  <c r="C14" i="130"/>
  <c r="E14" i="130" s="1"/>
  <c r="G14" i="130" s="1"/>
  <c r="I14" i="130" s="1"/>
  <c r="K14" i="130" s="1"/>
  <c r="M14" i="130" s="1"/>
  <c r="O14" i="130" s="1"/>
  <c r="Q14" i="130" s="1"/>
  <c r="S14" i="130" s="1"/>
  <c r="U14" i="130" s="1"/>
  <c r="W14" i="130" s="1"/>
  <c r="Y14" i="130" s="1"/>
  <c r="C35" i="130" s="1"/>
  <c r="E35" i="130" s="1"/>
  <c r="G35" i="130" s="1"/>
  <c r="I35" i="130" s="1"/>
  <c r="K35" i="130" s="1"/>
  <c r="M35" i="130" s="1"/>
  <c r="O35" i="130" s="1"/>
  <c r="Q35" i="130" s="1"/>
  <c r="S35" i="130" s="1"/>
  <c r="U35" i="130" s="1"/>
  <c r="W35" i="130" s="1"/>
  <c r="Y35" i="130" s="1"/>
  <c r="Q24" i="131" l="1"/>
  <c r="Q48" i="131"/>
  <c r="W24" i="131"/>
  <c r="W48" i="131"/>
  <c r="AM70" i="87"/>
  <c r="W25" i="131" l="1"/>
  <c r="W49" i="131"/>
  <c r="Q25" i="131"/>
  <c r="Q49" i="131"/>
  <c r="X31" i="118"/>
  <c r="X33" i="118" s="1"/>
  <c r="Q26" i="131" l="1"/>
  <c r="Q50" i="131"/>
  <c r="W26" i="131"/>
  <c r="W50" i="131"/>
  <c r="Z31" i="118"/>
  <c r="Y34" i="128"/>
  <c r="Y16" i="128"/>
  <c r="O16" i="128"/>
  <c r="W27" i="131" l="1"/>
  <c r="W51" i="131"/>
  <c r="Q27" i="131"/>
  <c r="Q51" i="131"/>
  <c r="AC16" i="128"/>
  <c r="AA16" i="128"/>
  <c r="O34" i="128"/>
  <c r="AA34" i="128" l="1"/>
  <c r="W52" i="131"/>
  <c r="W28" i="131"/>
  <c r="W53" i="131" s="1"/>
  <c r="Q28" i="131"/>
  <c r="Q53" i="131" s="1"/>
  <c r="Q52" i="131"/>
  <c r="V115" i="127"/>
  <c r="W115" i="127"/>
  <c r="I75" i="124"/>
  <c r="J75" i="124" s="1"/>
  <c r="G76" i="124"/>
  <c r="H76" i="124" s="1"/>
  <c r="I77" i="124"/>
  <c r="J77" i="124" s="1"/>
  <c r="G77" i="124"/>
  <c r="H77" i="124" s="1"/>
  <c r="I79" i="124"/>
  <c r="J79" i="124" s="1"/>
  <c r="S85" i="124"/>
  <c r="K83" i="124"/>
  <c r="L83" i="124" s="1"/>
  <c r="I83" i="124"/>
  <c r="J83" i="124" s="1"/>
  <c r="G83" i="124"/>
  <c r="H83" i="124" s="1"/>
  <c r="K82" i="124"/>
  <c r="L82" i="124" s="1"/>
  <c r="I82" i="124"/>
  <c r="J82" i="124" s="1"/>
  <c r="G82" i="124"/>
  <c r="H82" i="124" s="1"/>
  <c r="K81" i="124"/>
  <c r="L81" i="124" s="1"/>
  <c r="I81" i="124"/>
  <c r="J81" i="124" s="1"/>
  <c r="G81" i="124"/>
  <c r="H81" i="124" s="1"/>
  <c r="K80" i="124"/>
  <c r="L80" i="124" s="1"/>
  <c r="I80" i="124"/>
  <c r="J80" i="124" s="1"/>
  <c r="G80" i="124"/>
  <c r="H80" i="124" s="1"/>
  <c r="K79" i="124"/>
  <c r="L79" i="124" s="1"/>
  <c r="K78" i="124"/>
  <c r="L78" i="124" s="1"/>
  <c r="I78" i="124"/>
  <c r="J78" i="124" s="1"/>
  <c r="G78" i="124"/>
  <c r="H78" i="124" s="1"/>
  <c r="K77" i="124"/>
  <c r="L77" i="124" s="1"/>
  <c r="K76" i="124"/>
  <c r="L76" i="124" s="1"/>
  <c r="I76" i="124"/>
  <c r="J76" i="124" s="1"/>
  <c r="L75" i="124"/>
  <c r="K75" i="124"/>
  <c r="U44" i="124"/>
  <c r="S44" i="124"/>
  <c r="O44" i="124"/>
  <c r="N44" i="124"/>
  <c r="M44" i="124"/>
  <c r="K44" i="124"/>
  <c r="J44" i="124"/>
  <c r="I44" i="124"/>
  <c r="H44" i="124"/>
  <c r="G44" i="124"/>
  <c r="G75" i="124" l="1"/>
  <c r="H75" i="124" s="1"/>
  <c r="G79" i="124"/>
  <c r="H79" i="124" s="1"/>
  <c r="I83" i="123" l="1"/>
  <c r="I82" i="123"/>
  <c r="I81" i="123"/>
  <c r="I80" i="123"/>
  <c r="I79" i="123"/>
  <c r="I78" i="123"/>
  <c r="I77" i="123"/>
  <c r="I76" i="123"/>
  <c r="H79" i="123"/>
  <c r="H78" i="123"/>
  <c r="G83" i="123"/>
  <c r="H83" i="123" s="1"/>
  <c r="G82" i="123"/>
  <c r="H82" i="123" s="1"/>
  <c r="G81" i="123"/>
  <c r="H81" i="123" s="1"/>
  <c r="G80" i="123"/>
  <c r="G79" i="123"/>
  <c r="G78" i="123"/>
  <c r="G77" i="123"/>
  <c r="H77" i="123" s="1"/>
  <c r="G76" i="123"/>
  <c r="H76" i="123" s="1"/>
  <c r="O124" i="123"/>
  <c r="U75" i="123"/>
  <c r="L75" i="123"/>
  <c r="K75" i="123"/>
  <c r="I75" i="123"/>
  <c r="G75" i="123"/>
  <c r="H75" i="123" s="1"/>
  <c r="O44" i="126"/>
  <c r="O84" i="125"/>
  <c r="N84" i="125"/>
  <c r="M84" i="125"/>
  <c r="O44" i="125"/>
  <c r="U84" i="125"/>
  <c r="U74" i="125"/>
  <c r="U73" i="125"/>
  <c r="U72" i="125"/>
  <c r="U71" i="125"/>
  <c r="U70" i="125"/>
  <c r="U69" i="125"/>
  <c r="U68" i="125"/>
  <c r="U67" i="125"/>
  <c r="U66" i="125"/>
  <c r="U65" i="125"/>
  <c r="U64" i="125"/>
  <c r="U63" i="125"/>
  <c r="U62" i="125"/>
  <c r="U61" i="125"/>
  <c r="U60" i="125"/>
  <c r="U59" i="125"/>
  <c r="U58" i="125"/>
  <c r="U57" i="125"/>
  <c r="U56" i="125"/>
  <c r="U55" i="125"/>
  <c r="T45" i="125"/>
  <c r="S44" i="125"/>
  <c r="U44" i="125" s="1"/>
  <c r="N68" i="122"/>
  <c r="M68" i="122" s="1"/>
  <c r="M108" i="122" s="1"/>
  <c r="N67" i="122"/>
  <c r="N107" i="122" s="1"/>
  <c r="N66" i="122"/>
  <c r="N106" i="122" s="1"/>
  <c r="N65" i="122"/>
  <c r="M65" i="122" s="1"/>
  <c r="M105" i="122" s="1"/>
  <c r="N64" i="122"/>
  <c r="N104" i="122" s="1"/>
  <c r="N63" i="122"/>
  <c r="M63" i="122" s="1"/>
  <c r="M103" i="122" s="1"/>
  <c r="N62" i="122"/>
  <c r="M62" i="122" s="1"/>
  <c r="M102" i="122" s="1"/>
  <c r="N61" i="122"/>
  <c r="N101" i="122" s="1"/>
  <c r="N60" i="122"/>
  <c r="N100" i="122" s="1"/>
  <c r="N59" i="122"/>
  <c r="M59" i="122" s="1"/>
  <c r="M99" i="122" s="1"/>
  <c r="N58" i="122"/>
  <c r="M58" i="122" s="1"/>
  <c r="M98" i="122" s="1"/>
  <c r="N57" i="122"/>
  <c r="N97" i="122" s="1"/>
  <c r="N56" i="122"/>
  <c r="M56" i="122" s="1"/>
  <c r="M96" i="122" s="1"/>
  <c r="N55" i="122"/>
  <c r="N95" i="122" s="1"/>
  <c r="O124" i="122"/>
  <c r="O44" i="122"/>
  <c r="N68" i="121"/>
  <c r="M68" i="121" s="1"/>
  <c r="N67" i="121"/>
  <c r="M67" i="121" s="1"/>
  <c r="N66" i="121"/>
  <c r="M66" i="121" s="1"/>
  <c r="N65" i="121"/>
  <c r="M65" i="121" s="1"/>
  <c r="N64" i="121"/>
  <c r="M64" i="121" s="1"/>
  <c r="N63" i="121"/>
  <c r="M63" i="121" s="1"/>
  <c r="N62" i="121"/>
  <c r="M62" i="121" s="1"/>
  <c r="N61" i="121"/>
  <c r="M61" i="121" s="1"/>
  <c r="N60" i="121"/>
  <c r="M60" i="121" s="1"/>
  <c r="N59" i="121"/>
  <c r="M59" i="121" s="1"/>
  <c r="N58" i="121"/>
  <c r="M58" i="121" s="1"/>
  <c r="N57" i="121"/>
  <c r="M57" i="121" s="1"/>
  <c r="N56" i="121"/>
  <c r="M56" i="121" s="1"/>
  <c r="N84" i="119"/>
  <c r="M84" i="119" s="1"/>
  <c r="O124" i="121"/>
  <c r="O44" i="121"/>
  <c r="F84" i="120"/>
  <c r="E84" i="120"/>
  <c r="D84" i="120"/>
  <c r="C84" i="120"/>
  <c r="B84" i="120"/>
  <c r="F83" i="120"/>
  <c r="E83" i="120"/>
  <c r="D83" i="120"/>
  <c r="C83" i="120"/>
  <c r="B83" i="120"/>
  <c r="F82" i="120"/>
  <c r="E82" i="120"/>
  <c r="D82" i="120"/>
  <c r="C82" i="120"/>
  <c r="B82" i="120"/>
  <c r="F81" i="120"/>
  <c r="E81" i="120"/>
  <c r="D81" i="120"/>
  <c r="C81" i="120"/>
  <c r="B81" i="120"/>
  <c r="F80" i="120"/>
  <c r="E80" i="120"/>
  <c r="D80" i="120"/>
  <c r="C80" i="120"/>
  <c r="B80" i="120"/>
  <c r="F79" i="120"/>
  <c r="E79" i="120"/>
  <c r="D79" i="120"/>
  <c r="C79" i="120"/>
  <c r="B79" i="120"/>
  <c r="F78" i="120"/>
  <c r="E78" i="120"/>
  <c r="D78" i="120"/>
  <c r="C78" i="120"/>
  <c r="B78" i="120"/>
  <c r="F77" i="120"/>
  <c r="E77" i="120"/>
  <c r="D77" i="120"/>
  <c r="C77" i="120"/>
  <c r="B77" i="120"/>
  <c r="F76" i="120"/>
  <c r="E76" i="120"/>
  <c r="D76" i="120"/>
  <c r="C76" i="120"/>
  <c r="B76" i="120"/>
  <c r="F75" i="120"/>
  <c r="E75" i="120"/>
  <c r="D75" i="120"/>
  <c r="C75" i="120"/>
  <c r="B75" i="120"/>
  <c r="F74" i="120"/>
  <c r="E74" i="120"/>
  <c r="D74" i="120"/>
  <c r="C74" i="120"/>
  <c r="B74" i="120"/>
  <c r="F73" i="120"/>
  <c r="E73" i="120"/>
  <c r="D73" i="120"/>
  <c r="C73" i="120"/>
  <c r="B73" i="120"/>
  <c r="F72" i="120"/>
  <c r="E72" i="120"/>
  <c r="D72" i="120"/>
  <c r="C72" i="120"/>
  <c r="B72" i="120"/>
  <c r="F71" i="120"/>
  <c r="E71" i="120"/>
  <c r="D71" i="120"/>
  <c r="C71" i="120"/>
  <c r="B71" i="120"/>
  <c r="F70" i="120"/>
  <c r="E70" i="120"/>
  <c r="D70" i="120"/>
  <c r="C70" i="120"/>
  <c r="B70" i="120"/>
  <c r="F69" i="120"/>
  <c r="E69" i="120"/>
  <c r="D69" i="120"/>
  <c r="C69" i="120"/>
  <c r="B69" i="120"/>
  <c r="F68" i="120"/>
  <c r="F68" i="139" s="1"/>
  <c r="E68" i="120"/>
  <c r="E68" i="139" s="1"/>
  <c r="D68" i="120"/>
  <c r="D68" i="139" s="1"/>
  <c r="C68" i="120"/>
  <c r="C68" i="139" s="1"/>
  <c r="B68" i="120"/>
  <c r="B68" i="139" s="1"/>
  <c r="F67" i="120"/>
  <c r="F67" i="139" s="1"/>
  <c r="E67" i="120"/>
  <c r="E67" i="139" s="1"/>
  <c r="D67" i="120"/>
  <c r="D67" i="139" s="1"/>
  <c r="C67" i="120"/>
  <c r="C67" i="139" s="1"/>
  <c r="B67" i="120"/>
  <c r="B67" i="139" s="1"/>
  <c r="F66" i="120"/>
  <c r="F66" i="139" s="1"/>
  <c r="E66" i="120"/>
  <c r="E66" i="139" s="1"/>
  <c r="D66" i="120"/>
  <c r="D66" i="139" s="1"/>
  <c r="C66" i="120"/>
  <c r="C66" i="139" s="1"/>
  <c r="B66" i="120"/>
  <c r="B66" i="139" s="1"/>
  <c r="F65" i="120"/>
  <c r="F65" i="139" s="1"/>
  <c r="E65" i="120"/>
  <c r="E65" i="139" s="1"/>
  <c r="D65" i="120"/>
  <c r="D65" i="139" s="1"/>
  <c r="C65" i="120"/>
  <c r="C65" i="139" s="1"/>
  <c r="B65" i="120"/>
  <c r="B65" i="139" s="1"/>
  <c r="F64" i="120"/>
  <c r="F64" i="139" s="1"/>
  <c r="E64" i="120"/>
  <c r="E64" i="139" s="1"/>
  <c r="D64" i="120"/>
  <c r="D64" i="139" s="1"/>
  <c r="C64" i="120"/>
  <c r="C64" i="139" s="1"/>
  <c r="B64" i="120"/>
  <c r="B64" i="139" s="1"/>
  <c r="F63" i="120"/>
  <c r="F63" i="139" s="1"/>
  <c r="E63" i="120"/>
  <c r="E63" i="139" s="1"/>
  <c r="D63" i="120"/>
  <c r="D63" i="139" s="1"/>
  <c r="C63" i="120"/>
  <c r="C63" i="139" s="1"/>
  <c r="B63" i="120"/>
  <c r="B63" i="139" s="1"/>
  <c r="F62" i="120"/>
  <c r="F62" i="139" s="1"/>
  <c r="E62" i="120"/>
  <c r="E62" i="139" s="1"/>
  <c r="D62" i="120"/>
  <c r="D62" i="139" s="1"/>
  <c r="C62" i="120"/>
  <c r="C62" i="139" s="1"/>
  <c r="B62" i="120"/>
  <c r="B62" i="139" s="1"/>
  <c r="F61" i="120"/>
  <c r="F61" i="139" s="1"/>
  <c r="E61" i="120"/>
  <c r="E61" i="139" s="1"/>
  <c r="D61" i="120"/>
  <c r="D61" i="139" s="1"/>
  <c r="C61" i="120"/>
  <c r="C61" i="139" s="1"/>
  <c r="B61" i="120"/>
  <c r="B61" i="139" s="1"/>
  <c r="F60" i="120"/>
  <c r="F60" i="139" s="1"/>
  <c r="E60" i="120"/>
  <c r="E60" i="139" s="1"/>
  <c r="D60" i="120"/>
  <c r="D60" i="139" s="1"/>
  <c r="C60" i="120"/>
  <c r="C60" i="139" s="1"/>
  <c r="B60" i="120"/>
  <c r="B60" i="139" s="1"/>
  <c r="F59" i="120"/>
  <c r="F59" i="139" s="1"/>
  <c r="E59" i="120"/>
  <c r="E59" i="139" s="1"/>
  <c r="D59" i="120"/>
  <c r="D59" i="139" s="1"/>
  <c r="C59" i="120"/>
  <c r="C59" i="139" s="1"/>
  <c r="B59" i="120"/>
  <c r="B59" i="139" s="1"/>
  <c r="F58" i="120"/>
  <c r="F58" i="139" s="1"/>
  <c r="E58" i="120"/>
  <c r="E58" i="139" s="1"/>
  <c r="D58" i="120"/>
  <c r="D58" i="139" s="1"/>
  <c r="C58" i="120"/>
  <c r="C58" i="139" s="1"/>
  <c r="B58" i="120"/>
  <c r="B58" i="139" s="1"/>
  <c r="F57" i="120"/>
  <c r="F57" i="139" s="1"/>
  <c r="E57" i="120"/>
  <c r="E57" i="139" s="1"/>
  <c r="D57" i="120"/>
  <c r="D57" i="139" s="1"/>
  <c r="C57" i="120"/>
  <c r="C57" i="139" s="1"/>
  <c r="B57" i="120"/>
  <c r="B57" i="139" s="1"/>
  <c r="F56" i="120"/>
  <c r="F56" i="139" s="1"/>
  <c r="E56" i="120"/>
  <c r="E56" i="139" s="1"/>
  <c r="D56" i="120"/>
  <c r="D56" i="139" s="1"/>
  <c r="C56" i="120"/>
  <c r="C56" i="139" s="1"/>
  <c r="B56" i="120"/>
  <c r="B56" i="139" s="1"/>
  <c r="F55" i="120"/>
  <c r="F55" i="139" s="1"/>
  <c r="E55" i="120"/>
  <c r="E55" i="139" s="1"/>
  <c r="D55" i="120"/>
  <c r="D55" i="139" s="1"/>
  <c r="C55" i="120"/>
  <c r="C55" i="139" s="1"/>
  <c r="B55" i="120"/>
  <c r="B55" i="139" s="1"/>
  <c r="F44" i="120"/>
  <c r="F43" i="120"/>
  <c r="F42" i="120"/>
  <c r="F41" i="120"/>
  <c r="F40" i="120"/>
  <c r="F39" i="120"/>
  <c r="F38" i="120"/>
  <c r="F37" i="120"/>
  <c r="F36" i="120"/>
  <c r="F35" i="120"/>
  <c r="F34" i="120"/>
  <c r="F33" i="120"/>
  <c r="F32" i="120"/>
  <c r="F31" i="120"/>
  <c r="F30" i="120"/>
  <c r="F29" i="120"/>
  <c r="F28" i="120"/>
  <c r="F28" i="139" s="1"/>
  <c r="F27" i="120"/>
  <c r="F27" i="139" s="1"/>
  <c r="F26" i="120"/>
  <c r="F26" i="139" s="1"/>
  <c r="F25" i="120"/>
  <c r="F25" i="139" s="1"/>
  <c r="F24" i="120"/>
  <c r="F24" i="139" s="1"/>
  <c r="F23" i="120"/>
  <c r="F23" i="139" s="1"/>
  <c r="F22" i="120"/>
  <c r="F22" i="139" s="1"/>
  <c r="F21" i="120"/>
  <c r="F21" i="139" s="1"/>
  <c r="F20" i="120"/>
  <c r="F20" i="139" s="1"/>
  <c r="F19" i="120"/>
  <c r="F19" i="139" s="1"/>
  <c r="F18" i="120"/>
  <c r="F18" i="139" s="1"/>
  <c r="F17" i="120"/>
  <c r="F17" i="139" s="1"/>
  <c r="F16" i="120"/>
  <c r="F16" i="139" s="1"/>
  <c r="F15" i="120"/>
  <c r="F15" i="139" s="1"/>
  <c r="E44" i="120"/>
  <c r="E43" i="120"/>
  <c r="E42" i="120"/>
  <c r="E41" i="120"/>
  <c r="E40" i="120"/>
  <c r="E39" i="120"/>
  <c r="E38" i="120"/>
  <c r="E37" i="120"/>
  <c r="E36" i="120"/>
  <c r="E35" i="120"/>
  <c r="E34" i="120"/>
  <c r="E33" i="120"/>
  <c r="E32" i="120"/>
  <c r="E31" i="120"/>
  <c r="E30" i="120"/>
  <c r="E29" i="120"/>
  <c r="E28" i="120"/>
  <c r="E28" i="139" s="1"/>
  <c r="E27" i="120"/>
  <c r="E27" i="139" s="1"/>
  <c r="E26" i="120"/>
  <c r="E26" i="139" s="1"/>
  <c r="E25" i="120"/>
  <c r="E25" i="139" s="1"/>
  <c r="E24" i="120"/>
  <c r="E24" i="139" s="1"/>
  <c r="E23" i="120"/>
  <c r="E23" i="139" s="1"/>
  <c r="E22" i="120"/>
  <c r="E22" i="139" s="1"/>
  <c r="E21" i="120"/>
  <c r="E21" i="139" s="1"/>
  <c r="E20" i="120"/>
  <c r="E20" i="139" s="1"/>
  <c r="E19" i="120"/>
  <c r="E19" i="139" s="1"/>
  <c r="E18" i="120"/>
  <c r="E18" i="139" s="1"/>
  <c r="E17" i="120"/>
  <c r="E17" i="139" s="1"/>
  <c r="E16" i="120"/>
  <c r="E16" i="139" s="1"/>
  <c r="E15" i="120"/>
  <c r="E15" i="139" s="1"/>
  <c r="D44" i="120"/>
  <c r="D22" i="120"/>
  <c r="D22" i="139" s="1"/>
  <c r="D21" i="120"/>
  <c r="D21" i="139" s="1"/>
  <c r="D20" i="120"/>
  <c r="D20" i="139" s="1"/>
  <c r="D19" i="120"/>
  <c r="D19" i="139" s="1"/>
  <c r="D18" i="120"/>
  <c r="D18" i="139" s="1"/>
  <c r="D17" i="120"/>
  <c r="D17" i="139" s="1"/>
  <c r="D16" i="120"/>
  <c r="D16" i="139" s="1"/>
  <c r="D15" i="120"/>
  <c r="D15" i="139" s="1"/>
  <c r="C44" i="120"/>
  <c r="C22" i="120"/>
  <c r="C22" i="139" s="1"/>
  <c r="C21" i="120"/>
  <c r="C21" i="139" s="1"/>
  <c r="C20" i="120"/>
  <c r="C20" i="139" s="1"/>
  <c r="C19" i="120"/>
  <c r="C19" i="139" s="1"/>
  <c r="C18" i="120"/>
  <c r="C18" i="139" s="1"/>
  <c r="C17" i="120"/>
  <c r="C17" i="139" s="1"/>
  <c r="C16" i="120"/>
  <c r="C16" i="139" s="1"/>
  <c r="C15" i="120"/>
  <c r="C15" i="139" s="1"/>
  <c r="B27" i="120"/>
  <c r="B27" i="139" s="1"/>
  <c r="I85" i="123" l="1"/>
  <c r="V57" i="125"/>
  <c r="V57" i="140" s="1"/>
  <c r="U57" i="140"/>
  <c r="V69" i="125"/>
  <c r="V69" i="140" s="1"/>
  <c r="U69" i="140"/>
  <c r="V58" i="125"/>
  <c r="V58" i="140" s="1"/>
  <c r="U58" i="140"/>
  <c r="V70" i="125"/>
  <c r="V70" i="140" s="1"/>
  <c r="U70" i="140"/>
  <c r="V59" i="125"/>
  <c r="V59" i="140" s="1"/>
  <c r="U59" i="140"/>
  <c r="V71" i="125"/>
  <c r="V71" i="140" s="1"/>
  <c r="U71" i="140"/>
  <c r="V60" i="125"/>
  <c r="V60" i="140" s="1"/>
  <c r="U60" i="140"/>
  <c r="V72" i="125"/>
  <c r="V72" i="140" s="1"/>
  <c r="U72" i="140"/>
  <c r="V61" i="125"/>
  <c r="V61" i="140" s="1"/>
  <c r="U61" i="140"/>
  <c r="V73" i="125"/>
  <c r="V73" i="140" s="1"/>
  <c r="U73" i="140"/>
  <c r="V62" i="125"/>
  <c r="V62" i="140" s="1"/>
  <c r="U62" i="140"/>
  <c r="V63" i="125"/>
  <c r="V63" i="140" s="1"/>
  <c r="U63" i="140"/>
  <c r="V64" i="125"/>
  <c r="V64" i="140" s="1"/>
  <c r="U64" i="140"/>
  <c r="V65" i="125"/>
  <c r="V65" i="140" s="1"/>
  <c r="U65" i="140"/>
  <c r="V66" i="125"/>
  <c r="V66" i="140" s="1"/>
  <c r="U66" i="140"/>
  <c r="V55" i="125"/>
  <c r="V55" i="140" s="1"/>
  <c r="U55" i="140"/>
  <c r="V67" i="125"/>
  <c r="V67" i="140" s="1"/>
  <c r="U67" i="140"/>
  <c r="V56" i="125"/>
  <c r="V56" i="140" s="1"/>
  <c r="U56" i="140"/>
  <c r="V68" i="125"/>
  <c r="V68" i="140" s="1"/>
  <c r="U68" i="140"/>
  <c r="V74" i="125"/>
  <c r="V74" i="140" s="1"/>
  <c r="U74" i="140"/>
  <c r="M60" i="122"/>
  <c r="M100" i="122" s="1"/>
  <c r="M64" i="122"/>
  <c r="M104" i="122" s="1"/>
  <c r="M57" i="122"/>
  <c r="M97" i="122" s="1"/>
  <c r="N96" i="122"/>
  <c r="N98" i="122"/>
  <c r="N102" i="122"/>
  <c r="N108" i="122"/>
  <c r="O84" i="122"/>
  <c r="N84" i="122" s="1"/>
  <c r="Q84" i="122" s="1"/>
  <c r="N103" i="122"/>
  <c r="M66" i="122"/>
  <c r="M106" i="122" s="1"/>
  <c r="M67" i="122"/>
  <c r="M107" i="122" s="1"/>
  <c r="G85" i="123"/>
  <c r="M61" i="122"/>
  <c r="M101" i="122" s="1"/>
  <c r="N99" i="122"/>
  <c r="N105" i="122"/>
  <c r="M55" i="122"/>
  <c r="M95" i="122" s="1"/>
  <c r="J75" i="123"/>
  <c r="H80" i="123"/>
  <c r="H85" i="123" s="1"/>
  <c r="X95" i="126"/>
  <c r="T85" i="125"/>
  <c r="T125" i="125"/>
  <c r="T127" i="140" s="1"/>
  <c r="T127" i="125" l="1"/>
  <c r="M84" i="122"/>
  <c r="P84" i="122" s="1"/>
  <c r="Q84" i="119"/>
  <c r="P84" i="119"/>
  <c r="T124" i="124"/>
  <c r="T123" i="124"/>
  <c r="T122" i="124"/>
  <c r="T121" i="124"/>
  <c r="T120" i="124"/>
  <c r="T119" i="124"/>
  <c r="T118" i="124"/>
  <c r="T117" i="124"/>
  <c r="T116" i="124"/>
  <c r="T115" i="124"/>
  <c r="T114" i="124"/>
  <c r="T113" i="124"/>
  <c r="T112" i="124"/>
  <c r="T111" i="124"/>
  <c r="T110" i="124"/>
  <c r="T109" i="124"/>
  <c r="T108" i="124"/>
  <c r="T107" i="124"/>
  <c r="T106" i="124"/>
  <c r="T105" i="124"/>
  <c r="T104" i="124"/>
  <c r="T103" i="124"/>
  <c r="T102" i="124"/>
  <c r="T101" i="124"/>
  <c r="T100" i="124"/>
  <c r="T99" i="124"/>
  <c r="T98" i="124"/>
  <c r="T97" i="124"/>
  <c r="T96" i="124"/>
  <c r="T95" i="124"/>
  <c r="T85" i="124"/>
  <c r="U84" i="124"/>
  <c r="U83" i="124"/>
  <c r="U82" i="124"/>
  <c r="U81" i="124"/>
  <c r="U80" i="124"/>
  <c r="U79" i="124"/>
  <c r="U78" i="124"/>
  <c r="U77" i="124"/>
  <c r="U76" i="124"/>
  <c r="U75" i="124"/>
  <c r="U74" i="124"/>
  <c r="V74" i="124" s="1"/>
  <c r="U73" i="124"/>
  <c r="V73" i="124" s="1"/>
  <c r="U72" i="124"/>
  <c r="V72" i="124" s="1"/>
  <c r="U71" i="124"/>
  <c r="V71" i="124" s="1"/>
  <c r="U70" i="124"/>
  <c r="V70" i="124" s="1"/>
  <c r="U69" i="124"/>
  <c r="V69" i="124" s="1"/>
  <c r="U68" i="124"/>
  <c r="V68" i="124" s="1"/>
  <c r="U67" i="124"/>
  <c r="V67" i="124" s="1"/>
  <c r="U66" i="124"/>
  <c r="V66" i="124" s="1"/>
  <c r="U65" i="124"/>
  <c r="V65" i="124" s="1"/>
  <c r="U64" i="124"/>
  <c r="V64" i="124" s="1"/>
  <c r="U63" i="124"/>
  <c r="V63" i="124" s="1"/>
  <c r="U62" i="124"/>
  <c r="V62" i="124" s="1"/>
  <c r="U61" i="124"/>
  <c r="V61" i="124" s="1"/>
  <c r="U60" i="124"/>
  <c r="V60" i="124" s="1"/>
  <c r="U59" i="124"/>
  <c r="V59" i="124" s="1"/>
  <c r="U58" i="124"/>
  <c r="V58" i="124" s="1"/>
  <c r="U57" i="124"/>
  <c r="V57" i="124" s="1"/>
  <c r="U56" i="124"/>
  <c r="V56" i="124" s="1"/>
  <c r="U55" i="124"/>
  <c r="T45" i="124"/>
  <c r="S124" i="124"/>
  <c r="T124" i="123"/>
  <c r="T123" i="123"/>
  <c r="T122" i="123"/>
  <c r="T121" i="123"/>
  <c r="T120" i="123"/>
  <c r="T119" i="123"/>
  <c r="T118" i="123"/>
  <c r="T117" i="123"/>
  <c r="T116" i="123"/>
  <c r="T115" i="123"/>
  <c r="T114" i="123"/>
  <c r="T113" i="123"/>
  <c r="T112" i="123"/>
  <c r="T111" i="123"/>
  <c r="T110" i="123"/>
  <c r="T109" i="123"/>
  <c r="T108" i="123"/>
  <c r="T107" i="123"/>
  <c r="T106" i="123"/>
  <c r="T105" i="123"/>
  <c r="T104" i="123"/>
  <c r="T103" i="123"/>
  <c r="T102" i="123"/>
  <c r="T101" i="123"/>
  <c r="T100" i="123"/>
  <c r="T99" i="123"/>
  <c r="T98" i="123"/>
  <c r="T97" i="123"/>
  <c r="T96" i="123"/>
  <c r="T95" i="123"/>
  <c r="T85" i="123"/>
  <c r="S85" i="123"/>
  <c r="U84" i="123"/>
  <c r="U83" i="123"/>
  <c r="U82" i="123"/>
  <c r="U81" i="123"/>
  <c r="U80" i="123"/>
  <c r="U79" i="123"/>
  <c r="U78" i="123"/>
  <c r="U77" i="123"/>
  <c r="U76" i="123"/>
  <c r="U74" i="123"/>
  <c r="V74" i="123" s="1"/>
  <c r="U73" i="123"/>
  <c r="V73" i="123" s="1"/>
  <c r="U72" i="123"/>
  <c r="V72" i="123" s="1"/>
  <c r="U71" i="123"/>
  <c r="V71" i="123" s="1"/>
  <c r="U70" i="123"/>
  <c r="V70" i="123" s="1"/>
  <c r="U69" i="123"/>
  <c r="V69" i="123" s="1"/>
  <c r="U68" i="123"/>
  <c r="V68" i="123" s="1"/>
  <c r="U67" i="123"/>
  <c r="V67" i="123" s="1"/>
  <c r="U66" i="123"/>
  <c r="V66" i="123" s="1"/>
  <c r="U65" i="123"/>
  <c r="V65" i="123" s="1"/>
  <c r="U64" i="123"/>
  <c r="V64" i="123" s="1"/>
  <c r="U63" i="123"/>
  <c r="V63" i="123" s="1"/>
  <c r="U62" i="123"/>
  <c r="V62" i="123" s="1"/>
  <c r="U61" i="123"/>
  <c r="V61" i="123" s="1"/>
  <c r="U60" i="123"/>
  <c r="V60" i="123" s="1"/>
  <c r="U59" i="123"/>
  <c r="V59" i="123" s="1"/>
  <c r="U58" i="123"/>
  <c r="V58" i="123" s="1"/>
  <c r="U57" i="123"/>
  <c r="V57" i="123" s="1"/>
  <c r="U56" i="123"/>
  <c r="V56" i="123" s="1"/>
  <c r="U55" i="123"/>
  <c r="T45" i="123"/>
  <c r="S124" i="123"/>
  <c r="S44" i="122"/>
  <c r="S124" i="122" s="1"/>
  <c r="T124" i="122"/>
  <c r="T123" i="122"/>
  <c r="T122" i="122"/>
  <c r="T121" i="122"/>
  <c r="T120" i="122"/>
  <c r="T119" i="122"/>
  <c r="T118" i="122"/>
  <c r="T117" i="122"/>
  <c r="T116" i="122"/>
  <c r="T115" i="122"/>
  <c r="T114" i="122"/>
  <c r="T113" i="122"/>
  <c r="T112" i="122"/>
  <c r="T111" i="122"/>
  <c r="T110" i="122"/>
  <c r="T109" i="122"/>
  <c r="T108" i="122"/>
  <c r="T107" i="122"/>
  <c r="T106" i="122"/>
  <c r="T105" i="122"/>
  <c r="T104" i="122"/>
  <c r="T103" i="122"/>
  <c r="T102" i="122"/>
  <c r="T101" i="122"/>
  <c r="T100" i="122"/>
  <c r="T99" i="122"/>
  <c r="T98" i="122"/>
  <c r="T97" i="122"/>
  <c r="T96" i="122"/>
  <c r="T95" i="122"/>
  <c r="T85" i="122"/>
  <c r="S85" i="122"/>
  <c r="U84" i="122"/>
  <c r="V84" i="122" s="1"/>
  <c r="U83" i="122"/>
  <c r="U82" i="122"/>
  <c r="U81" i="122"/>
  <c r="U80" i="122"/>
  <c r="U79" i="122"/>
  <c r="U78" i="122"/>
  <c r="U77" i="122"/>
  <c r="U76" i="122"/>
  <c r="U75" i="122"/>
  <c r="U74" i="122"/>
  <c r="U73" i="122"/>
  <c r="U72" i="122"/>
  <c r="U71" i="122"/>
  <c r="U70" i="122"/>
  <c r="U69" i="122"/>
  <c r="U68" i="122"/>
  <c r="V68" i="122" s="1"/>
  <c r="U67" i="122"/>
  <c r="V67" i="122" s="1"/>
  <c r="U66" i="122"/>
  <c r="V66" i="122" s="1"/>
  <c r="U65" i="122"/>
  <c r="V65" i="122" s="1"/>
  <c r="U64" i="122"/>
  <c r="V64" i="122" s="1"/>
  <c r="U63" i="122"/>
  <c r="V63" i="122" s="1"/>
  <c r="U62" i="122"/>
  <c r="V62" i="122" s="1"/>
  <c r="U61" i="122"/>
  <c r="V61" i="122" s="1"/>
  <c r="U60" i="122"/>
  <c r="V60" i="122" s="1"/>
  <c r="U59" i="122"/>
  <c r="V59" i="122" s="1"/>
  <c r="U58" i="122"/>
  <c r="V58" i="122" s="1"/>
  <c r="U57" i="122"/>
  <c r="V57" i="122" s="1"/>
  <c r="U56" i="122"/>
  <c r="V56" i="122" s="1"/>
  <c r="U55" i="122"/>
  <c r="T45" i="122"/>
  <c r="T124" i="121"/>
  <c r="T123" i="121"/>
  <c r="T122" i="121"/>
  <c r="T121" i="121"/>
  <c r="T120" i="121"/>
  <c r="T119" i="121"/>
  <c r="T118" i="121"/>
  <c r="T117" i="121"/>
  <c r="T116" i="121"/>
  <c r="T115" i="121"/>
  <c r="T114" i="121"/>
  <c r="T113" i="121"/>
  <c r="T112" i="121"/>
  <c r="T111" i="121"/>
  <c r="T110" i="121"/>
  <c r="T109" i="121"/>
  <c r="T108" i="121"/>
  <c r="T107" i="121"/>
  <c r="T106" i="121"/>
  <c r="T105" i="121"/>
  <c r="T104" i="121"/>
  <c r="T103" i="121"/>
  <c r="T102" i="121"/>
  <c r="T101" i="121"/>
  <c r="T100" i="121"/>
  <c r="T99" i="121"/>
  <c r="T98" i="121"/>
  <c r="T97" i="121"/>
  <c r="T96" i="121"/>
  <c r="T95" i="121"/>
  <c r="T124" i="120"/>
  <c r="T123" i="120"/>
  <c r="T122" i="120"/>
  <c r="T121" i="120"/>
  <c r="T120" i="120"/>
  <c r="T119" i="120"/>
  <c r="T118" i="120"/>
  <c r="T117" i="120"/>
  <c r="T116" i="120"/>
  <c r="T115" i="120"/>
  <c r="T114" i="120"/>
  <c r="T113" i="120"/>
  <c r="T112" i="120"/>
  <c r="T111" i="120"/>
  <c r="T110" i="120"/>
  <c r="T109" i="120"/>
  <c r="T108" i="120"/>
  <c r="T107" i="120"/>
  <c r="T106" i="120"/>
  <c r="T105" i="120"/>
  <c r="T104" i="120"/>
  <c r="T103" i="120"/>
  <c r="T102" i="120"/>
  <c r="T101" i="120"/>
  <c r="T100" i="120"/>
  <c r="T99" i="120"/>
  <c r="T98" i="120"/>
  <c r="T97" i="120"/>
  <c r="T96" i="120"/>
  <c r="T95" i="120"/>
  <c r="S44" i="121"/>
  <c r="S124" i="121" s="1"/>
  <c r="U124" i="121" s="1"/>
  <c r="T85" i="121"/>
  <c r="S85" i="121"/>
  <c r="U84" i="121"/>
  <c r="V84" i="121" s="1"/>
  <c r="U83" i="121"/>
  <c r="U82" i="121"/>
  <c r="U81" i="121"/>
  <c r="U80" i="121"/>
  <c r="U79" i="121"/>
  <c r="U78" i="121"/>
  <c r="U77" i="121"/>
  <c r="U76" i="121"/>
  <c r="U75" i="121"/>
  <c r="U74" i="121"/>
  <c r="U73" i="121"/>
  <c r="U72" i="121"/>
  <c r="U71" i="121"/>
  <c r="U70" i="121"/>
  <c r="U69" i="121"/>
  <c r="U68" i="121"/>
  <c r="V68" i="121" s="1"/>
  <c r="U67" i="121"/>
  <c r="V67" i="121" s="1"/>
  <c r="U66" i="121"/>
  <c r="V66" i="121" s="1"/>
  <c r="U65" i="121"/>
  <c r="V65" i="121" s="1"/>
  <c r="U64" i="121"/>
  <c r="V64" i="121" s="1"/>
  <c r="U63" i="121"/>
  <c r="V63" i="121" s="1"/>
  <c r="U62" i="121"/>
  <c r="V62" i="121" s="1"/>
  <c r="U61" i="121"/>
  <c r="V61" i="121" s="1"/>
  <c r="U60" i="121"/>
  <c r="V60" i="121" s="1"/>
  <c r="U59" i="121"/>
  <c r="V59" i="121" s="1"/>
  <c r="U58" i="121"/>
  <c r="V58" i="121" s="1"/>
  <c r="U57" i="121"/>
  <c r="V57" i="121" s="1"/>
  <c r="U56" i="121"/>
  <c r="V56" i="121" s="1"/>
  <c r="U55" i="121"/>
  <c r="T45" i="121"/>
  <c r="S44" i="120"/>
  <c r="U44" i="120" s="1"/>
  <c r="S44" i="119"/>
  <c r="S124" i="119" s="1"/>
  <c r="U124" i="119" s="1"/>
  <c r="T85" i="120"/>
  <c r="S85" i="120"/>
  <c r="U84" i="120"/>
  <c r="V84" i="120" s="1"/>
  <c r="U83" i="120"/>
  <c r="U82" i="120"/>
  <c r="U81" i="120"/>
  <c r="U80" i="120"/>
  <c r="U79" i="120"/>
  <c r="U79" i="139" s="1"/>
  <c r="U78" i="120"/>
  <c r="U77" i="120"/>
  <c r="U76" i="120"/>
  <c r="U75" i="120"/>
  <c r="U74" i="120"/>
  <c r="U73" i="120"/>
  <c r="U73" i="139" s="1"/>
  <c r="U72" i="120"/>
  <c r="U71" i="120"/>
  <c r="U70" i="120"/>
  <c r="U69" i="120"/>
  <c r="U68" i="120"/>
  <c r="U67" i="120"/>
  <c r="U67" i="139" s="1"/>
  <c r="U66" i="120"/>
  <c r="U65" i="120"/>
  <c r="U65" i="139" s="1"/>
  <c r="U64" i="120"/>
  <c r="U63" i="120"/>
  <c r="U62" i="120"/>
  <c r="U61" i="120"/>
  <c r="U61" i="139" s="1"/>
  <c r="U60" i="120"/>
  <c r="U60" i="139" s="1"/>
  <c r="U59" i="120"/>
  <c r="U58" i="120"/>
  <c r="U58" i="139" s="1"/>
  <c r="U57" i="120"/>
  <c r="U56" i="120"/>
  <c r="U55" i="120"/>
  <c r="U55" i="139" s="1"/>
  <c r="T45" i="120"/>
  <c r="T124" i="119"/>
  <c r="T123" i="119"/>
  <c r="T122" i="119"/>
  <c r="T121" i="119"/>
  <c r="T120" i="119"/>
  <c r="T119" i="119"/>
  <c r="T118" i="119"/>
  <c r="T117" i="119"/>
  <c r="T116" i="119"/>
  <c r="T115" i="119"/>
  <c r="T114" i="119"/>
  <c r="T113" i="119"/>
  <c r="T112" i="119"/>
  <c r="T111" i="119"/>
  <c r="T110" i="119"/>
  <c r="T109" i="119"/>
  <c r="T108" i="119"/>
  <c r="T107" i="119"/>
  <c r="T106" i="119"/>
  <c r="T105" i="119"/>
  <c r="T104" i="119"/>
  <c r="T103" i="119"/>
  <c r="T102" i="119"/>
  <c r="T101" i="119"/>
  <c r="T100" i="119"/>
  <c r="T99" i="119"/>
  <c r="T98" i="119"/>
  <c r="T97" i="119"/>
  <c r="T96" i="119"/>
  <c r="T95" i="119"/>
  <c r="T45" i="119"/>
  <c r="T85" i="119"/>
  <c r="U84" i="119"/>
  <c r="V84" i="119" s="1"/>
  <c r="U83" i="119"/>
  <c r="U82" i="119"/>
  <c r="U81" i="119"/>
  <c r="U80" i="119"/>
  <c r="U79" i="119"/>
  <c r="U78" i="119"/>
  <c r="U77" i="119"/>
  <c r="U76" i="119"/>
  <c r="U75" i="119"/>
  <c r="U74" i="119"/>
  <c r="U73" i="119"/>
  <c r="U72" i="119"/>
  <c r="U71" i="119"/>
  <c r="U70" i="119"/>
  <c r="U69" i="119"/>
  <c r="U68" i="119"/>
  <c r="U67" i="119"/>
  <c r="U66" i="119"/>
  <c r="U65" i="119"/>
  <c r="U64" i="119"/>
  <c r="U63" i="119"/>
  <c r="U62" i="119"/>
  <c r="U61" i="119"/>
  <c r="U60" i="119"/>
  <c r="U59" i="119"/>
  <c r="U58" i="119"/>
  <c r="U57" i="119"/>
  <c r="U56" i="119"/>
  <c r="U55" i="119"/>
  <c r="O17" i="15"/>
  <c r="O18" i="15" s="1"/>
  <c r="O19" i="15" s="1"/>
  <c r="O20" i="15" s="1"/>
  <c r="O21" i="15" s="1"/>
  <c r="O22" i="15" s="1"/>
  <c r="O23" i="15" s="1"/>
  <c r="O24" i="15" s="1"/>
  <c r="O25" i="15" s="1"/>
  <c r="O26" i="15" s="1"/>
  <c r="O27" i="15" s="1"/>
  <c r="O28" i="15" s="1"/>
  <c r="O29" i="15" s="1"/>
  <c r="O30" i="15" s="1"/>
  <c r="O31" i="15" s="1"/>
  <c r="O32" i="15" s="1"/>
  <c r="O33" i="15" s="1"/>
  <c r="O34" i="15" s="1"/>
  <c r="O35" i="15" s="1"/>
  <c r="O36" i="15" s="1"/>
  <c r="O37" i="15" s="1"/>
  <c r="O38" i="15" s="1"/>
  <c r="O39" i="15" s="1"/>
  <c r="O40" i="15" s="1"/>
  <c r="O41" i="15" s="1"/>
  <c r="O42" i="15" s="1"/>
  <c r="O43" i="15" s="1"/>
  <c r="O44" i="15" s="1"/>
  <c r="O124" i="120"/>
  <c r="O44" i="120"/>
  <c r="O124" i="119"/>
  <c r="O44" i="119"/>
  <c r="U14" i="129"/>
  <c r="W14" i="129" s="1"/>
  <c r="Y14" i="129" s="1"/>
  <c r="AA14" i="129" s="1"/>
  <c r="AC14" i="129" s="1"/>
  <c r="AE14" i="129" s="1"/>
  <c r="A17" i="129"/>
  <c r="A18" i="129" s="1"/>
  <c r="A19" i="129" s="1"/>
  <c r="A20" i="129" s="1"/>
  <c r="A21" i="129" s="1"/>
  <c r="A22" i="129" s="1"/>
  <c r="A23" i="129" s="1"/>
  <c r="A24" i="129" s="1"/>
  <c r="A25" i="129" s="1"/>
  <c r="A26" i="129" s="1"/>
  <c r="A27" i="129" s="1"/>
  <c r="A28" i="129" s="1"/>
  <c r="A29" i="129" s="1"/>
  <c r="A30" i="129" s="1"/>
  <c r="A31" i="129" s="1"/>
  <c r="A32" i="129" s="1"/>
  <c r="A33" i="129" s="1"/>
  <c r="A34" i="129" s="1"/>
  <c r="A35" i="129" s="1"/>
  <c r="A36" i="129" s="1"/>
  <c r="A37" i="129" s="1"/>
  <c r="A38" i="129" s="1"/>
  <c r="A39" i="129" s="1"/>
  <c r="A40" i="129" s="1"/>
  <c r="A41" i="129" s="1"/>
  <c r="A42" i="129" s="1"/>
  <c r="A43" i="129" s="1"/>
  <c r="A44" i="129" s="1"/>
  <c r="C14" i="128"/>
  <c r="E14" i="128" s="1"/>
  <c r="G14" i="128" s="1"/>
  <c r="I14" i="128" s="1"/>
  <c r="K14" i="128" s="1"/>
  <c r="M14" i="128" s="1"/>
  <c r="O14" i="128" s="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S46" i="33"/>
  <c r="R46" i="33"/>
  <c r="Q46" i="33"/>
  <c r="U81" i="139" l="1"/>
  <c r="U57" i="139"/>
  <c r="U69" i="139"/>
  <c r="U59" i="139"/>
  <c r="U71" i="139"/>
  <c r="U83" i="139"/>
  <c r="O84" i="120"/>
  <c r="N84" i="120" s="1"/>
  <c r="Q84" i="120" s="1"/>
  <c r="U62" i="139"/>
  <c r="U74" i="139"/>
  <c r="U64" i="139"/>
  <c r="U76" i="139"/>
  <c r="U75" i="139"/>
  <c r="U77" i="139"/>
  <c r="U44" i="121"/>
  <c r="U63" i="139"/>
  <c r="U66" i="139"/>
  <c r="U78" i="139"/>
  <c r="U44" i="122"/>
  <c r="U56" i="139"/>
  <c r="U68" i="139"/>
  <c r="U80" i="139"/>
  <c r="U70" i="139"/>
  <c r="U82" i="139"/>
  <c r="U72" i="139"/>
  <c r="U44" i="119"/>
  <c r="S44" i="138"/>
  <c r="U124" i="123"/>
  <c r="U124" i="122"/>
  <c r="Q14" i="128"/>
  <c r="S14" i="128" s="1"/>
  <c r="U14" i="128" s="1"/>
  <c r="W14" i="128" s="1"/>
  <c r="AA14" i="128" s="1"/>
  <c r="U85" i="124"/>
  <c r="U85" i="119"/>
  <c r="V55" i="124"/>
  <c r="U85" i="123"/>
  <c r="U85" i="122"/>
  <c r="V55" i="123"/>
  <c r="T125" i="122"/>
  <c r="T125" i="119"/>
  <c r="T125" i="121"/>
  <c r="S124" i="120"/>
  <c r="U124" i="120" s="1"/>
  <c r="T125" i="124"/>
  <c r="T125" i="120"/>
  <c r="U124" i="124"/>
  <c r="T125" i="123"/>
  <c r="U44" i="123"/>
  <c r="V55" i="122"/>
  <c r="U85" i="121"/>
  <c r="U85" i="120"/>
  <c r="S85" i="119"/>
  <c r="U85" i="139" l="1"/>
  <c r="M84" i="120"/>
  <c r="P84" i="120" s="1"/>
  <c r="T127" i="139"/>
  <c r="U44" i="138"/>
  <c r="S124" i="138"/>
  <c r="U124" i="138" s="1"/>
  <c r="Y14" i="128"/>
  <c r="AC14" i="128" s="1"/>
  <c r="N17" i="39" l="1"/>
  <c r="N18" i="39" s="1"/>
  <c r="N19" i="39" s="1"/>
  <c r="N20" i="39" s="1"/>
  <c r="N21" i="39" s="1"/>
  <c r="N22" i="39" s="1"/>
  <c r="N23" i="39" s="1"/>
  <c r="N24" i="39" s="1"/>
  <c r="N25" i="39" s="1"/>
  <c r="N26" i="39" s="1"/>
  <c r="N27" i="39" s="1"/>
  <c r="N28" i="39" s="1"/>
  <c r="N29" i="39" s="1"/>
  <c r="N30" i="39" s="1"/>
  <c r="N31" i="39" s="1"/>
  <c r="N32" i="39" s="1"/>
  <c r="N33" i="39" s="1"/>
  <c r="N34" i="39" s="1"/>
  <c r="N35" i="39" s="1"/>
  <c r="N36" i="39" s="1"/>
  <c r="N37" i="39" s="1"/>
  <c r="N38" i="39" s="1"/>
  <c r="N39" i="39" s="1"/>
  <c r="N40" i="39" s="1"/>
  <c r="N41" i="39" s="1"/>
  <c r="N42" i="39" s="1"/>
  <c r="N43" i="39" s="1"/>
  <c r="N44" i="39" s="1"/>
  <c r="D43" i="120"/>
  <c r="C43" i="120"/>
  <c r="D42" i="120"/>
  <c r="C42" i="120"/>
  <c r="D41" i="120"/>
  <c r="C41" i="120"/>
  <c r="D40" i="120"/>
  <c r="C40" i="120"/>
  <c r="D39" i="120"/>
  <c r="C39" i="120"/>
  <c r="D38" i="120"/>
  <c r="C38" i="120"/>
  <c r="D37" i="120"/>
  <c r="C37" i="120"/>
  <c r="D36" i="120"/>
  <c r="C36" i="120"/>
  <c r="D35" i="120"/>
  <c r="C35" i="120"/>
  <c r="D34" i="120"/>
  <c r="C34" i="120"/>
  <c r="D33" i="120"/>
  <c r="C33" i="120"/>
  <c r="D32" i="120"/>
  <c r="C32" i="120"/>
  <c r="D31" i="120"/>
  <c r="C31" i="120"/>
  <c r="D30" i="120"/>
  <c r="C30" i="120"/>
  <c r="D29" i="120"/>
  <c r="C29" i="120"/>
  <c r="D28" i="120"/>
  <c r="C28" i="120"/>
  <c r="D27" i="120"/>
  <c r="C27" i="120"/>
  <c r="D26" i="120"/>
  <c r="C26" i="120"/>
  <c r="D25" i="120"/>
  <c r="C25" i="120"/>
  <c r="D24" i="120"/>
  <c r="C24" i="120"/>
  <c r="D23" i="120"/>
  <c r="C23" i="120"/>
  <c r="C43" i="138"/>
  <c r="C42" i="138"/>
  <c r="D41" i="138"/>
  <c r="C41" i="138"/>
  <c r="D40" i="138"/>
  <c r="C40" i="138"/>
  <c r="D39" i="138"/>
  <c r="C39" i="138"/>
  <c r="C38" i="138"/>
  <c r="C37" i="138"/>
  <c r="D36" i="138"/>
  <c r="C36" i="138"/>
  <c r="D35" i="138"/>
  <c r="C35" i="138"/>
  <c r="D34" i="138"/>
  <c r="C34" i="138"/>
  <c r="C33" i="138"/>
  <c r="C32" i="138"/>
  <c r="C31" i="138"/>
  <c r="C30" i="138"/>
  <c r="D29" i="138"/>
  <c r="C29" i="138"/>
  <c r="D28" i="138"/>
  <c r="C28" i="138"/>
  <c r="D27" i="138"/>
  <c r="C27" i="138"/>
  <c r="C26" i="138"/>
  <c r="C26" i="139" s="1"/>
  <c r="C25" i="138"/>
  <c r="C25" i="139" s="1"/>
  <c r="D24" i="138"/>
  <c r="C24" i="138"/>
  <c r="C23" i="138"/>
  <c r="D28" i="139" l="1"/>
  <c r="B40" i="120"/>
  <c r="B43" i="120"/>
  <c r="B20" i="120"/>
  <c r="B20" i="139" s="1"/>
  <c r="B33" i="120"/>
  <c r="B41" i="120"/>
  <c r="B34" i="120"/>
  <c r="G18" i="164"/>
  <c r="B35" i="120"/>
  <c r="B36" i="120"/>
  <c r="B26" i="120"/>
  <c r="B26" i="139" s="1"/>
  <c r="C27" i="139"/>
  <c r="C28" i="139"/>
  <c r="D27" i="139"/>
  <c r="C23" i="139"/>
  <c r="C24" i="139"/>
  <c r="D24" i="139"/>
  <c r="I27" i="138"/>
  <c r="G27" i="138"/>
  <c r="G33" i="138"/>
  <c r="I33" i="138"/>
  <c r="I39" i="138"/>
  <c r="G39" i="138"/>
  <c r="J27" i="138"/>
  <c r="H27" i="138"/>
  <c r="D33" i="138"/>
  <c r="J39" i="138"/>
  <c r="H39" i="138"/>
  <c r="I28" i="138"/>
  <c r="G28" i="138"/>
  <c r="G34" i="138"/>
  <c r="I34" i="138"/>
  <c r="I40" i="138"/>
  <c r="G40" i="138"/>
  <c r="J28" i="138"/>
  <c r="H28" i="138"/>
  <c r="J34" i="138"/>
  <c r="H34" i="138"/>
  <c r="J40" i="138"/>
  <c r="H40" i="138"/>
  <c r="D23" i="138"/>
  <c r="D23" i="139" s="1"/>
  <c r="I29" i="138"/>
  <c r="G29" i="138"/>
  <c r="I35" i="138"/>
  <c r="G35" i="138"/>
  <c r="I41" i="138"/>
  <c r="G41" i="138"/>
  <c r="I23" i="138"/>
  <c r="G23" i="138"/>
  <c r="C45" i="138"/>
  <c r="H29" i="138"/>
  <c r="J29" i="138"/>
  <c r="J35" i="138"/>
  <c r="H35" i="138"/>
  <c r="J41" i="138"/>
  <c r="H41" i="138"/>
  <c r="I24" i="138"/>
  <c r="G24" i="138"/>
  <c r="G30" i="138"/>
  <c r="I30" i="138"/>
  <c r="G36" i="138"/>
  <c r="I36" i="138"/>
  <c r="G42" i="138"/>
  <c r="I42" i="138"/>
  <c r="H24" i="138"/>
  <c r="J24" i="138"/>
  <c r="D30" i="138"/>
  <c r="J36" i="138"/>
  <c r="H36" i="138"/>
  <c r="E40" i="20"/>
  <c r="D42" i="138"/>
  <c r="G25" i="138"/>
  <c r="I25" i="138"/>
  <c r="I31" i="138"/>
  <c r="G31" i="138"/>
  <c r="I37" i="138"/>
  <c r="G37" i="138"/>
  <c r="I43" i="138"/>
  <c r="G43" i="138"/>
  <c r="D25" i="138"/>
  <c r="D25" i="139" s="1"/>
  <c r="D31" i="138"/>
  <c r="E35" i="20"/>
  <c r="D37" i="138"/>
  <c r="E41" i="20"/>
  <c r="D43" i="138"/>
  <c r="I26" i="138"/>
  <c r="G26" i="138"/>
  <c r="I32" i="138"/>
  <c r="G32" i="138"/>
  <c r="G38" i="138"/>
  <c r="I38" i="138"/>
  <c r="D26" i="138"/>
  <c r="D26" i="139" s="1"/>
  <c r="D32" i="138"/>
  <c r="E36" i="20"/>
  <c r="D38" i="138"/>
  <c r="B15" i="120"/>
  <c r="B15" i="139" s="1"/>
  <c r="B39" i="120"/>
  <c r="B16" i="120"/>
  <c r="B16" i="139" s="1"/>
  <c r="B17" i="120"/>
  <c r="B17" i="139" s="1"/>
  <c r="B29" i="120"/>
  <c r="B18" i="120"/>
  <c r="B18" i="139" s="1"/>
  <c r="B30" i="120"/>
  <c r="B42" i="120"/>
  <c r="B19" i="120"/>
  <c r="B19" i="139" s="1"/>
  <c r="B31" i="120"/>
  <c r="B32" i="120"/>
  <c r="B21" i="120"/>
  <c r="B21" i="139" s="1"/>
  <c r="B22" i="120"/>
  <c r="B22" i="139" s="1"/>
  <c r="B28" i="120"/>
  <c r="B28" i="139" s="1"/>
  <c r="B23" i="120"/>
  <c r="B23" i="139" s="1"/>
  <c r="B24" i="120"/>
  <c r="B24" i="139" s="1"/>
  <c r="B25" i="120"/>
  <c r="B25" i="139" s="1"/>
  <c r="B37" i="120"/>
  <c r="B38" i="120"/>
  <c r="E33" i="20"/>
  <c r="E34" i="20"/>
  <c r="E37" i="20"/>
  <c r="E38" i="20"/>
  <c r="E39" i="20"/>
  <c r="T46" i="69"/>
  <c r="U46" i="69"/>
  <c r="S18" i="164" l="1"/>
  <c r="E32" i="73"/>
  <c r="G118" i="138"/>
  <c r="J116" i="138"/>
  <c r="I104" i="138"/>
  <c r="G115" i="138"/>
  <c r="G120" i="138"/>
  <c r="G119" i="138"/>
  <c r="G112" i="138"/>
  <c r="G123" i="138"/>
  <c r="H121" i="138"/>
  <c r="I115" i="138"/>
  <c r="I120" i="138"/>
  <c r="I119" i="138"/>
  <c r="I112" i="138"/>
  <c r="I123" i="138"/>
  <c r="J121" i="138"/>
  <c r="G109" i="138"/>
  <c r="I114" i="138"/>
  <c r="I113" i="138"/>
  <c r="G106" i="138"/>
  <c r="G117" i="138"/>
  <c r="J104" i="138"/>
  <c r="H115" i="138"/>
  <c r="I109" i="138"/>
  <c r="G114" i="138"/>
  <c r="G113" i="138"/>
  <c r="I106" i="138"/>
  <c r="I117" i="138"/>
  <c r="H104" i="138"/>
  <c r="J115" i="138"/>
  <c r="G108" i="138"/>
  <c r="G107" i="138"/>
  <c r="G111" i="138"/>
  <c r="I122" i="138"/>
  <c r="J109" i="138"/>
  <c r="I108" i="138"/>
  <c r="I107" i="138"/>
  <c r="I111" i="138"/>
  <c r="G122" i="138"/>
  <c r="H109" i="138"/>
  <c r="H120" i="138"/>
  <c r="H119" i="138"/>
  <c r="I105" i="138"/>
  <c r="I116" i="138"/>
  <c r="J120" i="138"/>
  <c r="J119" i="138"/>
  <c r="G105" i="138"/>
  <c r="G116" i="138"/>
  <c r="H114" i="138"/>
  <c r="I110" i="138"/>
  <c r="J114" i="138"/>
  <c r="G110" i="138"/>
  <c r="G121" i="138"/>
  <c r="H108" i="138"/>
  <c r="H107" i="138"/>
  <c r="I118" i="138"/>
  <c r="H116" i="138"/>
  <c r="G104" i="138"/>
  <c r="I121" i="138"/>
  <c r="J108" i="138"/>
  <c r="J107" i="138"/>
  <c r="H32" i="138"/>
  <c r="J32" i="138"/>
  <c r="J37" i="138"/>
  <c r="H37" i="138"/>
  <c r="G103" i="138"/>
  <c r="G45" i="138"/>
  <c r="J33" i="138"/>
  <c r="H33" i="138"/>
  <c r="H26" i="138"/>
  <c r="J26" i="138"/>
  <c r="J31" i="138"/>
  <c r="H31" i="138"/>
  <c r="J42" i="138"/>
  <c r="H42" i="138"/>
  <c r="I103" i="138"/>
  <c r="I45" i="138"/>
  <c r="H25" i="138"/>
  <c r="J25" i="138"/>
  <c r="J30" i="138"/>
  <c r="H30" i="138"/>
  <c r="J23" i="138"/>
  <c r="D45" i="138"/>
  <c r="H23" i="138"/>
  <c r="J38" i="138"/>
  <c r="H38" i="138"/>
  <c r="H43" i="138"/>
  <c r="J43" i="138"/>
  <c r="I125" i="138" l="1"/>
  <c r="J117" i="138"/>
  <c r="H122" i="138"/>
  <c r="J118" i="138"/>
  <c r="J111" i="138"/>
  <c r="H111" i="138"/>
  <c r="J106" i="138"/>
  <c r="H112" i="138"/>
  <c r="H123" i="138"/>
  <c r="H113" i="138"/>
  <c r="J112" i="138"/>
  <c r="H110" i="138"/>
  <c r="J110" i="138"/>
  <c r="J113" i="138"/>
  <c r="H106" i="138"/>
  <c r="J105" i="138"/>
  <c r="J123" i="138"/>
  <c r="J122" i="138"/>
  <c r="H105" i="138"/>
  <c r="G125" i="138"/>
  <c r="H118" i="138"/>
  <c r="H117" i="138"/>
  <c r="H103" i="138"/>
  <c r="H45" i="138"/>
  <c r="J45" i="138"/>
  <c r="J103" i="138"/>
  <c r="H125" i="138" l="1"/>
  <c r="J125" i="138"/>
  <c r="S31" i="129" l="1"/>
  <c r="S30" i="129"/>
  <c r="S29" i="129"/>
  <c r="S28" i="129"/>
  <c r="S27" i="129"/>
  <c r="S26" i="129"/>
  <c r="S25" i="129"/>
  <c r="S24" i="129"/>
  <c r="S23" i="129"/>
  <c r="S22" i="129"/>
  <c r="S21" i="129"/>
  <c r="S20" i="129"/>
  <c r="S19" i="129"/>
  <c r="S18" i="129"/>
  <c r="S17" i="129"/>
  <c r="S16" i="129"/>
  <c r="T18" i="24" l="1"/>
  <c r="C39" i="43"/>
  <c r="I39" i="50"/>
  <c r="T19" i="24"/>
  <c r="C40" i="43"/>
  <c r="I40" i="50"/>
  <c r="C16" i="43"/>
  <c r="I16" i="50"/>
  <c r="T20" i="24"/>
  <c r="C41" i="43"/>
  <c r="I41" i="50"/>
  <c r="C29" i="43"/>
  <c r="I29" i="50"/>
  <c r="T21" i="24"/>
  <c r="C42" i="43"/>
  <c r="I42" i="50"/>
  <c r="T22" i="24"/>
  <c r="C43" i="43"/>
  <c r="I43" i="50"/>
  <c r="C27" i="43"/>
  <c r="I27" i="50"/>
  <c r="C31" i="43"/>
  <c r="I31" i="50"/>
  <c r="C20" i="43"/>
  <c r="I20" i="50"/>
  <c r="C32" i="43"/>
  <c r="I32" i="50"/>
  <c r="C21" i="43"/>
  <c r="I21" i="50"/>
  <c r="C33" i="43"/>
  <c r="I33" i="50"/>
  <c r="C19" i="43"/>
  <c r="I19" i="50"/>
  <c r="T13" i="24"/>
  <c r="C34" i="43"/>
  <c r="I34" i="50"/>
  <c r="C18" i="43"/>
  <c r="I18" i="50"/>
  <c r="C23" i="43"/>
  <c r="I23" i="50"/>
  <c r="T14" i="24"/>
  <c r="C35" i="43"/>
  <c r="I35" i="50"/>
  <c r="C28" i="43"/>
  <c r="I28" i="50"/>
  <c r="C24" i="43"/>
  <c r="I24" i="50"/>
  <c r="T15" i="24"/>
  <c r="C36" i="43"/>
  <c r="I36" i="50"/>
  <c r="C30" i="43"/>
  <c r="I30" i="50"/>
  <c r="C25" i="43"/>
  <c r="I25" i="50"/>
  <c r="T16" i="24"/>
  <c r="C37" i="43"/>
  <c r="I37" i="50"/>
  <c r="C17" i="43"/>
  <c r="I17" i="50"/>
  <c r="C22" i="43"/>
  <c r="I22" i="50"/>
  <c r="C26" i="43"/>
  <c r="I26" i="50"/>
  <c r="T17" i="24"/>
  <c r="C38" i="43"/>
  <c r="I38" i="50"/>
  <c r="S35" i="129"/>
  <c r="S36" i="129"/>
  <c r="E33" i="73"/>
  <c r="S37" i="129"/>
  <c r="E34" i="73"/>
  <c r="S38" i="129"/>
  <c r="E35" i="73"/>
  <c r="S39" i="129"/>
  <c r="E36" i="73"/>
  <c r="S40" i="129"/>
  <c r="E37" i="73"/>
  <c r="S41" i="129"/>
  <c r="E38" i="73"/>
  <c r="S42" i="129"/>
  <c r="E39" i="73"/>
  <c r="S43" i="129"/>
  <c r="E40" i="73"/>
  <c r="S44" i="129"/>
  <c r="E41" i="73"/>
  <c r="S34" i="129"/>
  <c r="S32" i="129"/>
  <c r="S33" i="129"/>
  <c r="M55" i="72" l="1"/>
  <c r="U15" i="24"/>
  <c r="U13" i="24"/>
  <c r="U16" i="24"/>
  <c r="U20" i="24"/>
  <c r="U17" i="24"/>
  <c r="U19" i="24"/>
  <c r="U14" i="24"/>
  <c r="U22" i="24"/>
  <c r="T23" i="24"/>
  <c r="Y21" i="24" s="1"/>
  <c r="U21" i="24"/>
  <c r="U18" i="24"/>
  <c r="S46" i="129"/>
  <c r="S47" i="129" s="1"/>
  <c r="Y19" i="24" l="1"/>
  <c r="Y17" i="24"/>
  <c r="Y20" i="24"/>
  <c r="Y18" i="24"/>
  <c r="Y16" i="24"/>
  <c r="Y22" i="24"/>
  <c r="Y23" i="24"/>
  <c r="C44" i="43"/>
  <c r="U23" i="24"/>
  <c r="U25" i="24" s="1"/>
  <c r="Y14" i="24"/>
  <c r="Y15" i="24"/>
  <c r="Y13" i="24"/>
  <c r="I51" i="108"/>
  <c r="AF52" i="55"/>
  <c r="AJ33" i="55"/>
  <c r="AI33" i="55"/>
  <c r="AF33" i="55"/>
  <c r="AA33" i="55"/>
  <c r="Z33" i="55"/>
  <c r="Y33" i="55"/>
  <c r="X33" i="55"/>
  <c r="W33" i="55"/>
  <c r="V33" i="55"/>
  <c r="I42" i="108"/>
  <c r="I41" i="108"/>
  <c r="I40" i="108"/>
  <c r="I39" i="108"/>
  <c r="I38" i="108"/>
  <c r="I37" i="108"/>
  <c r="I32" i="108"/>
  <c r="I22" i="108"/>
  <c r="I21" i="108"/>
  <c r="I20" i="108"/>
  <c r="I19" i="108"/>
  <c r="I18" i="108"/>
  <c r="AB33" i="55" l="1"/>
  <c r="AC33" i="55"/>
  <c r="F83" i="122" l="1"/>
  <c r="E83" i="122"/>
  <c r="D83" i="122"/>
  <c r="C83" i="122"/>
  <c r="B83" i="122"/>
  <c r="F82" i="122"/>
  <c r="E82" i="122"/>
  <c r="D82" i="122"/>
  <c r="C82" i="122"/>
  <c r="B82" i="122"/>
  <c r="F81" i="122"/>
  <c r="E81" i="122"/>
  <c r="D81" i="122"/>
  <c r="C81" i="122"/>
  <c r="B81" i="122"/>
  <c r="F80" i="122"/>
  <c r="E80" i="122"/>
  <c r="D80" i="122"/>
  <c r="C80" i="122"/>
  <c r="B80" i="122"/>
  <c r="F79" i="122"/>
  <c r="E79" i="122"/>
  <c r="D79" i="122"/>
  <c r="C79" i="122"/>
  <c r="B79" i="122"/>
  <c r="F78" i="122"/>
  <c r="E78" i="122"/>
  <c r="D78" i="122"/>
  <c r="C78" i="122"/>
  <c r="B78" i="122"/>
  <c r="F77" i="122"/>
  <c r="E77" i="122"/>
  <c r="D77" i="122"/>
  <c r="C77" i="122"/>
  <c r="B77" i="122"/>
  <c r="F76" i="122"/>
  <c r="E76" i="122"/>
  <c r="D76" i="122"/>
  <c r="C76" i="122"/>
  <c r="B76" i="122"/>
  <c r="F75" i="122"/>
  <c r="E75" i="122"/>
  <c r="D75" i="122"/>
  <c r="C75" i="122"/>
  <c r="B75" i="122"/>
  <c r="F74" i="122"/>
  <c r="E74" i="122"/>
  <c r="D74" i="122"/>
  <c r="C74" i="122"/>
  <c r="B74" i="122"/>
  <c r="F73" i="122"/>
  <c r="E73" i="122"/>
  <c r="D73" i="122"/>
  <c r="C73" i="122"/>
  <c r="B73" i="122"/>
  <c r="F72" i="122"/>
  <c r="E72" i="122"/>
  <c r="D72" i="122"/>
  <c r="C72" i="122"/>
  <c r="B72" i="122"/>
  <c r="F71" i="122"/>
  <c r="E71" i="122"/>
  <c r="D71" i="122"/>
  <c r="C71" i="122"/>
  <c r="B71" i="122"/>
  <c r="F70" i="122"/>
  <c r="E70" i="122"/>
  <c r="D70" i="122"/>
  <c r="C70" i="122"/>
  <c r="B70" i="122"/>
  <c r="F43" i="122"/>
  <c r="E43" i="122"/>
  <c r="D43" i="122"/>
  <c r="C43" i="122"/>
  <c r="B43" i="122"/>
  <c r="F42" i="122"/>
  <c r="E42" i="122"/>
  <c r="D42" i="122"/>
  <c r="C42" i="122"/>
  <c r="B42" i="122"/>
  <c r="F41" i="122"/>
  <c r="E41" i="122"/>
  <c r="D41" i="122"/>
  <c r="C41" i="122"/>
  <c r="B41" i="122"/>
  <c r="F40" i="122"/>
  <c r="E40" i="122"/>
  <c r="D40" i="122"/>
  <c r="C40" i="122"/>
  <c r="B40" i="122"/>
  <c r="F39" i="122"/>
  <c r="E39" i="122"/>
  <c r="D39" i="122"/>
  <c r="C39" i="122"/>
  <c r="B39" i="122"/>
  <c r="F38" i="122"/>
  <c r="E38" i="122"/>
  <c r="D38" i="122"/>
  <c r="C38" i="122"/>
  <c r="B38" i="122"/>
  <c r="F37" i="122"/>
  <c r="E37" i="122"/>
  <c r="D37" i="122"/>
  <c r="C37" i="122"/>
  <c r="B37" i="122"/>
  <c r="F36" i="122"/>
  <c r="E36" i="122"/>
  <c r="D36" i="122"/>
  <c r="C36" i="122"/>
  <c r="B36" i="122"/>
  <c r="F35" i="122"/>
  <c r="E35" i="122"/>
  <c r="D35" i="122"/>
  <c r="C35" i="122"/>
  <c r="B35" i="122"/>
  <c r="F34" i="122"/>
  <c r="E34" i="122"/>
  <c r="D34" i="122"/>
  <c r="C34" i="122"/>
  <c r="B34" i="122"/>
  <c r="F33" i="122"/>
  <c r="E33" i="122"/>
  <c r="D33" i="122"/>
  <c r="C33" i="122"/>
  <c r="B33" i="122"/>
  <c r="F32" i="122"/>
  <c r="E32" i="122"/>
  <c r="D32" i="122"/>
  <c r="C32" i="122"/>
  <c r="B32" i="122"/>
  <c r="F31" i="122"/>
  <c r="E31" i="122"/>
  <c r="D31" i="122"/>
  <c r="C31" i="122"/>
  <c r="B31" i="122"/>
  <c r="F30" i="122"/>
  <c r="E30" i="122"/>
  <c r="D30" i="122"/>
  <c r="C30" i="122"/>
  <c r="B30" i="122"/>
  <c r="B29" i="122"/>
  <c r="AP51" i="56"/>
  <c r="AP33" i="56"/>
  <c r="AD33" i="27"/>
  <c r="AK50" i="55"/>
  <c r="AK49" i="55"/>
  <c r="AK48" i="55"/>
  <c r="AK47" i="55"/>
  <c r="AK46" i="55"/>
  <c r="AK45" i="55"/>
  <c r="AK44" i="55"/>
  <c r="AK43" i="55"/>
  <c r="AK42" i="55"/>
  <c r="AK41" i="55"/>
  <c r="AK40" i="55"/>
  <c r="AK39" i="55"/>
  <c r="AK38" i="55"/>
  <c r="AK37" i="55"/>
  <c r="AO18" i="84"/>
  <c r="AO19" i="84" s="1"/>
  <c r="AO20" i="84" s="1"/>
  <c r="AO21" i="84" s="1"/>
  <c r="AO22" i="84" s="1"/>
  <c r="AO23" i="84" s="1"/>
  <c r="AO24" i="84" s="1"/>
  <c r="AK52" i="55" l="1"/>
  <c r="I21" i="27" l="1"/>
  <c r="I40" i="27" s="1"/>
  <c r="I20" i="27"/>
  <c r="I39" i="27" s="1"/>
  <c r="I19" i="27"/>
  <c r="I38" i="27" s="1"/>
  <c r="I18" i="27"/>
  <c r="I37" i="27" s="1"/>
  <c r="I17" i="27"/>
  <c r="I36" i="27" s="1"/>
  <c r="I40" i="55"/>
  <c r="I39" i="55"/>
  <c r="I38" i="55"/>
  <c r="I37" i="55"/>
  <c r="I36" i="55"/>
  <c r="I40" i="28"/>
  <c r="I39" i="28"/>
  <c r="I38" i="28"/>
  <c r="I37" i="28"/>
  <c r="I36" i="28"/>
  <c r="AM37" i="56"/>
  <c r="AM38" i="56" s="1"/>
  <c r="AM39" i="56" s="1"/>
  <c r="AM40" i="56" s="1"/>
  <c r="AM41" i="56" s="1"/>
  <c r="AM42" i="56" s="1"/>
  <c r="AM43" i="56" s="1"/>
  <c r="AM44" i="56" s="1"/>
  <c r="AM45" i="56" s="1"/>
  <c r="AM46" i="56" s="1"/>
  <c r="AM47" i="56" s="1"/>
  <c r="AM48" i="56" s="1"/>
  <c r="AM49" i="56" s="1"/>
  <c r="AM50" i="56" s="1"/>
  <c r="AM18" i="56"/>
  <c r="AM19" i="56" s="1"/>
  <c r="AM20" i="56" s="1"/>
  <c r="AM21" i="56" s="1"/>
  <c r="AM22" i="56" s="1"/>
  <c r="AM23" i="56" s="1"/>
  <c r="AM24" i="56" s="1"/>
  <c r="AM25" i="56" s="1"/>
  <c r="AM26" i="56" s="1"/>
  <c r="AM27" i="56" s="1"/>
  <c r="AM28" i="56" s="1"/>
  <c r="AM29" i="56" s="1"/>
  <c r="AM30" i="56" s="1"/>
  <c r="AM31" i="56" s="1"/>
  <c r="P37" i="53"/>
  <c r="P38" i="53" s="1"/>
  <c r="P39" i="53" s="1"/>
  <c r="P40" i="53" s="1"/>
  <c r="P41" i="53" s="1"/>
  <c r="P42" i="53" s="1"/>
  <c r="P43" i="53" s="1"/>
  <c r="P44" i="53" s="1"/>
  <c r="P45" i="53" s="1"/>
  <c r="P46" i="53" s="1"/>
  <c r="P47" i="53" s="1"/>
  <c r="P48" i="53" s="1"/>
  <c r="P49" i="53" s="1"/>
  <c r="P50" i="53" s="1"/>
  <c r="P18" i="53"/>
  <c r="P19" i="53" s="1"/>
  <c r="P20" i="53" s="1"/>
  <c r="P21" i="53" s="1"/>
  <c r="P22" i="53" s="1"/>
  <c r="P23" i="53" s="1"/>
  <c r="P24" i="53" s="1"/>
  <c r="P25" i="53" s="1"/>
  <c r="P26" i="53" s="1"/>
  <c r="P27" i="53" s="1"/>
  <c r="P28" i="53" s="1"/>
  <c r="P29" i="53" s="1"/>
  <c r="P30" i="53" s="1"/>
  <c r="P31" i="53" s="1"/>
  <c r="I40" i="54"/>
  <c r="I39" i="54"/>
  <c r="I38" i="54"/>
  <c r="I37" i="54"/>
  <c r="I36" i="54"/>
  <c r="I50" i="54"/>
  <c r="I50" i="28" l="1"/>
  <c r="AR56" i="91" l="1"/>
  <c r="BH59" i="91" l="1"/>
  <c r="BJ67" i="91"/>
  <c r="BI67" i="91"/>
  <c r="BH67" i="91"/>
  <c r="BG67" i="91"/>
  <c r="BF67" i="91"/>
  <c r="BJ66" i="91"/>
  <c r="BI66" i="91"/>
  <c r="BH66" i="91"/>
  <c r="BG66" i="91"/>
  <c r="BF66" i="91"/>
  <c r="BJ65" i="91"/>
  <c r="BI65" i="91"/>
  <c r="BH65" i="91"/>
  <c r="BG65" i="91"/>
  <c r="BF65" i="91"/>
  <c r="BJ64" i="91"/>
  <c r="BI64" i="91"/>
  <c r="BH64" i="91"/>
  <c r="BG64" i="91"/>
  <c r="BF64" i="91"/>
  <c r="BJ63" i="91"/>
  <c r="BI63" i="91"/>
  <c r="BH63" i="91"/>
  <c r="BG63" i="91"/>
  <c r="BF63" i="91"/>
  <c r="BJ62" i="91"/>
  <c r="BI62" i="91"/>
  <c r="BH62" i="91"/>
  <c r="BG62" i="91"/>
  <c r="BF62" i="91"/>
  <c r="BJ61" i="91"/>
  <c r="BI61" i="91"/>
  <c r="BH61" i="91"/>
  <c r="BG61" i="91"/>
  <c r="BF61" i="91"/>
  <c r="BJ60" i="91"/>
  <c r="BI60" i="91"/>
  <c r="BH60" i="91"/>
  <c r="BG60" i="91"/>
  <c r="BF60" i="91"/>
  <c r="BJ59" i="91"/>
  <c r="BI59" i="91"/>
  <c r="BG59" i="91"/>
  <c r="BF59" i="91"/>
  <c r="AU67" i="91" l="1"/>
  <c r="AT67" i="91"/>
  <c r="AS67" i="91"/>
  <c r="AR67" i="91"/>
  <c r="E43" i="126" s="1"/>
  <c r="AQ67" i="91"/>
  <c r="AU66" i="91"/>
  <c r="AT66" i="91"/>
  <c r="AS66" i="91"/>
  <c r="AR66" i="91"/>
  <c r="E42" i="126" s="1"/>
  <c r="AQ66" i="91"/>
  <c r="C24" i="90"/>
  <c r="AU65" i="91"/>
  <c r="AT65" i="91"/>
  <c r="AS65" i="91"/>
  <c r="AR65" i="91"/>
  <c r="E41" i="126" s="1"/>
  <c r="AQ65" i="91"/>
  <c r="C23" i="90"/>
  <c r="AU64" i="91"/>
  <c r="AT64" i="91"/>
  <c r="AS64" i="91"/>
  <c r="AR64" i="91"/>
  <c r="E40" i="126" s="1"/>
  <c r="AQ64" i="91"/>
  <c r="C22" i="90"/>
  <c r="AU63" i="91"/>
  <c r="AT63" i="91"/>
  <c r="AS63" i="91"/>
  <c r="AR63" i="91"/>
  <c r="E39" i="126" s="1"/>
  <c r="AQ63" i="91"/>
  <c r="C21" i="90"/>
  <c r="AU62" i="91"/>
  <c r="AT62" i="91"/>
  <c r="AS62" i="91"/>
  <c r="V80" i="15" s="1"/>
  <c r="AR62" i="91"/>
  <c r="E38" i="126" s="1"/>
  <c r="C38" i="126"/>
  <c r="AU61" i="91"/>
  <c r="AT61" i="91"/>
  <c r="AS61" i="91"/>
  <c r="AR61" i="91"/>
  <c r="E37" i="126" s="1"/>
  <c r="AQ61" i="91"/>
  <c r="C19" i="90"/>
  <c r="AU60" i="91"/>
  <c r="AT60" i="91"/>
  <c r="AS60" i="91"/>
  <c r="AR60" i="91"/>
  <c r="AQ60" i="91"/>
  <c r="C18" i="90"/>
  <c r="AU59" i="91"/>
  <c r="F35" i="126"/>
  <c r="D35" i="126"/>
  <c r="E35" i="126"/>
  <c r="C35" i="126"/>
  <c r="C17" i="90"/>
  <c r="BB67" i="91"/>
  <c r="BA67" i="91"/>
  <c r="AZ67" i="91"/>
  <c r="AY67" i="91"/>
  <c r="BB66" i="91"/>
  <c r="BA66" i="91"/>
  <c r="AZ66" i="91"/>
  <c r="AY66" i="91"/>
  <c r="BB65" i="91"/>
  <c r="BA65" i="91"/>
  <c r="AZ65" i="91"/>
  <c r="AY65" i="91"/>
  <c r="BB64" i="91"/>
  <c r="BA64" i="91"/>
  <c r="AZ64" i="91"/>
  <c r="AY64" i="91"/>
  <c r="BB63" i="91"/>
  <c r="BA63" i="91"/>
  <c r="AZ63" i="91"/>
  <c r="AY63" i="91"/>
  <c r="BB62" i="91"/>
  <c r="BA62" i="91"/>
  <c r="AZ62" i="91"/>
  <c r="AY62" i="91"/>
  <c r="BB61" i="91"/>
  <c r="BA61" i="91"/>
  <c r="AZ61" i="91"/>
  <c r="AY61" i="91"/>
  <c r="BB60" i="91"/>
  <c r="BA60" i="91"/>
  <c r="AZ60" i="91"/>
  <c r="AY60" i="91"/>
  <c r="BB59" i="91"/>
  <c r="BA59" i="91"/>
  <c r="AZ59" i="91"/>
  <c r="AY59" i="91"/>
  <c r="AX67" i="91"/>
  <c r="AX66" i="91"/>
  <c r="AX65" i="91"/>
  <c r="AX64" i="91"/>
  <c r="AX63" i="91"/>
  <c r="AX62" i="91"/>
  <c r="AX61" i="91"/>
  <c r="AX60" i="91"/>
  <c r="AX59" i="91"/>
  <c r="J45" i="100"/>
  <c r="J45" i="44"/>
  <c r="V78" i="15" l="1"/>
  <c r="C40" i="126"/>
  <c r="V82" i="15"/>
  <c r="C42" i="126"/>
  <c r="V84" i="15"/>
  <c r="C43" i="126"/>
  <c r="V85" i="15"/>
  <c r="C39" i="126"/>
  <c r="V81" i="15"/>
  <c r="C41" i="126"/>
  <c r="V83" i="15"/>
  <c r="C37" i="126"/>
  <c r="V79" i="15"/>
  <c r="C36" i="126"/>
  <c r="E36" i="126"/>
  <c r="E116" i="126" s="1"/>
  <c r="K116" i="126" s="1"/>
  <c r="Z82" i="131"/>
  <c r="Z84" i="131"/>
  <c r="Z86" i="131"/>
  <c r="Z80" i="131"/>
  <c r="F38" i="126"/>
  <c r="F118" i="126" s="1"/>
  <c r="AA82" i="131"/>
  <c r="F40" i="126"/>
  <c r="F120" i="126" s="1"/>
  <c r="AA84" i="131"/>
  <c r="F42" i="126"/>
  <c r="F122" i="126" s="1"/>
  <c r="AA86" i="131"/>
  <c r="F36" i="126"/>
  <c r="F116" i="126" s="1"/>
  <c r="AA80" i="131"/>
  <c r="Z83" i="131"/>
  <c r="Z85" i="131"/>
  <c r="Z87" i="131"/>
  <c r="Z81" i="131"/>
  <c r="F39" i="126"/>
  <c r="F119" i="126" s="1"/>
  <c r="AA83" i="131"/>
  <c r="F41" i="126"/>
  <c r="F121" i="126" s="1"/>
  <c r="AA85" i="131"/>
  <c r="F43" i="126"/>
  <c r="F123" i="126" s="1"/>
  <c r="AA87" i="131"/>
  <c r="F37" i="126"/>
  <c r="F117" i="126" s="1"/>
  <c r="AA81" i="131"/>
  <c r="D38" i="126"/>
  <c r="D118" i="126" s="1"/>
  <c r="D40" i="126"/>
  <c r="D120" i="126" s="1"/>
  <c r="D42" i="126"/>
  <c r="D122" i="126" s="1"/>
  <c r="D36" i="126"/>
  <c r="D116" i="126" s="1"/>
  <c r="D39" i="126"/>
  <c r="D119" i="126" s="1"/>
  <c r="D41" i="126"/>
  <c r="D121" i="126" s="1"/>
  <c r="D43" i="126"/>
  <c r="D123" i="126" s="1"/>
  <c r="D37" i="126"/>
  <c r="D117" i="126" s="1"/>
  <c r="BD87" i="91"/>
  <c r="BD121" i="91" s="1"/>
  <c r="C22" i="95"/>
  <c r="O22" i="90"/>
  <c r="BD84" i="91"/>
  <c r="C18" i="95"/>
  <c r="O18" i="90"/>
  <c r="BD81" i="91"/>
  <c r="C21" i="95"/>
  <c r="O21" i="90"/>
  <c r="BD86" i="91"/>
  <c r="C17" i="95"/>
  <c r="O17" i="90"/>
  <c r="BD83" i="91"/>
  <c r="C24" i="95"/>
  <c r="O24" i="90"/>
  <c r="BD88" i="91"/>
  <c r="BD89" i="91"/>
  <c r="BD85" i="91"/>
  <c r="C23" i="95"/>
  <c r="O23" i="90"/>
  <c r="BD82" i="91"/>
  <c r="O19" i="90"/>
  <c r="C19" i="95"/>
  <c r="C20" i="95"/>
  <c r="O20" i="90"/>
  <c r="S23" i="136"/>
  <c r="S23" i="160" s="1"/>
  <c r="Q23" i="160"/>
  <c r="B36" i="126"/>
  <c r="B35" i="126"/>
  <c r="C115" i="126" s="1"/>
  <c r="B37" i="126"/>
  <c r="B43" i="126"/>
  <c r="C123" i="126" s="1"/>
  <c r="C25" i="90"/>
  <c r="C25" i="95" s="1"/>
  <c r="B42" i="126"/>
  <c r="C122" i="126" s="1"/>
  <c r="B38" i="126"/>
  <c r="C118" i="126" s="1"/>
  <c r="B40" i="126"/>
  <c r="C120" i="126" s="1"/>
  <c r="B39" i="126"/>
  <c r="B41" i="126"/>
  <c r="E122" i="126"/>
  <c r="K122" i="126" s="1"/>
  <c r="E118" i="126"/>
  <c r="K118" i="126" s="1"/>
  <c r="B76" i="140"/>
  <c r="B78" i="140"/>
  <c r="B80" i="140"/>
  <c r="B82" i="140"/>
  <c r="E115" i="126"/>
  <c r="K115" i="126" s="1"/>
  <c r="E117" i="126"/>
  <c r="K117" i="126" s="1"/>
  <c r="E119" i="126"/>
  <c r="K119" i="126" s="1"/>
  <c r="E121" i="126"/>
  <c r="K121" i="126" s="1"/>
  <c r="E123" i="126"/>
  <c r="K123" i="126" s="1"/>
  <c r="E120" i="126"/>
  <c r="K120" i="126" s="1"/>
  <c r="D115" i="126"/>
  <c r="F115" i="126"/>
  <c r="B75" i="140"/>
  <c r="B77" i="140"/>
  <c r="B79" i="140"/>
  <c r="B81" i="140"/>
  <c r="B83" i="140"/>
  <c r="C116" i="126" l="1"/>
  <c r="V88" i="15"/>
  <c r="C117" i="126"/>
  <c r="C121" i="126"/>
  <c r="G121" i="126" s="1"/>
  <c r="C119" i="126"/>
  <c r="G119" i="126" s="1"/>
  <c r="Z91" i="131"/>
  <c r="AA91" i="131"/>
  <c r="BL82" i="91"/>
  <c r="BF82" i="91"/>
  <c r="BD92" i="91"/>
  <c r="BD116" i="91"/>
  <c r="BF81" i="91"/>
  <c r="BL81" i="91"/>
  <c r="BD115" i="91"/>
  <c r="BL115" i="91" s="1"/>
  <c r="BD122" i="91"/>
  <c r="BL83" i="91"/>
  <c r="BF83" i="91"/>
  <c r="BD117" i="91"/>
  <c r="BL117" i="91" s="1"/>
  <c r="BD119" i="91"/>
  <c r="BL89" i="91"/>
  <c r="BD123" i="91"/>
  <c r="BL123" i="91" s="1"/>
  <c r="BF84" i="91"/>
  <c r="BF118" i="91" s="1"/>
  <c r="BD118" i="91"/>
  <c r="BL118" i="91" s="1"/>
  <c r="BL84" i="91"/>
  <c r="BD120" i="91"/>
  <c r="G120" i="126"/>
  <c r="G117" i="126"/>
  <c r="G118" i="126"/>
  <c r="G115" i="126"/>
  <c r="G123" i="126"/>
  <c r="G116" i="126"/>
  <c r="G122" i="126"/>
  <c r="E125" i="126"/>
  <c r="D125" i="126"/>
  <c r="L121" i="126"/>
  <c r="F125" i="126"/>
  <c r="L119" i="126"/>
  <c r="H118" i="126"/>
  <c r="B85" i="140"/>
  <c r="L117" i="126"/>
  <c r="L118" i="126"/>
  <c r="L120" i="126"/>
  <c r="L123" i="126"/>
  <c r="L116" i="126"/>
  <c r="L122" i="126"/>
  <c r="K125" i="126"/>
  <c r="L115" i="126"/>
  <c r="P25" i="110"/>
  <c r="P24" i="110"/>
  <c r="P23" i="110"/>
  <c r="P22" i="110"/>
  <c r="P21" i="110"/>
  <c r="P20" i="110"/>
  <c r="P19" i="110"/>
  <c r="P18" i="110"/>
  <c r="P17" i="110"/>
  <c r="C39" i="109"/>
  <c r="AE67" i="87"/>
  <c r="B43" i="125" s="1"/>
  <c r="AD67" i="87"/>
  <c r="AC67" i="87"/>
  <c r="AB67" i="87"/>
  <c r="E43" i="125" s="1"/>
  <c r="AA67" i="87"/>
  <c r="AE66" i="87"/>
  <c r="B42" i="125" s="1"/>
  <c r="AD66" i="87"/>
  <c r="AC66" i="87"/>
  <c r="AB66" i="87"/>
  <c r="E42" i="125" s="1"/>
  <c r="AA66" i="87"/>
  <c r="AE65" i="87"/>
  <c r="B41" i="125" s="1"/>
  <c r="AD65" i="87"/>
  <c r="AC65" i="87"/>
  <c r="AB65" i="87"/>
  <c r="E41" i="125" s="1"/>
  <c r="AA65" i="87"/>
  <c r="AE64" i="87"/>
  <c r="B40" i="125" s="1"/>
  <c r="AD64" i="87"/>
  <c r="AC64" i="87"/>
  <c r="AB64" i="87"/>
  <c r="E40" i="125" s="1"/>
  <c r="AA64" i="87"/>
  <c r="AE63" i="87"/>
  <c r="B39" i="125" s="1"/>
  <c r="AD63" i="87"/>
  <c r="AC63" i="87"/>
  <c r="AB63" i="87"/>
  <c r="E39" i="125" s="1"/>
  <c r="AA63" i="87"/>
  <c r="AE62" i="87"/>
  <c r="B38" i="125" s="1"/>
  <c r="AD62" i="87"/>
  <c r="AC62" i="87"/>
  <c r="AB62" i="87"/>
  <c r="E38" i="125" s="1"/>
  <c r="AA62" i="87"/>
  <c r="AE61" i="87"/>
  <c r="B37" i="125" s="1"/>
  <c r="AD61" i="87"/>
  <c r="AC61" i="87"/>
  <c r="AB61" i="87"/>
  <c r="E37" i="125" s="1"/>
  <c r="AA61" i="87"/>
  <c r="AE60" i="87"/>
  <c r="B36" i="125" s="1"/>
  <c r="AD60" i="87"/>
  <c r="AC60" i="87"/>
  <c r="AB60" i="87"/>
  <c r="E36" i="125" s="1"/>
  <c r="AA60" i="87"/>
  <c r="AE59" i="87"/>
  <c r="B35" i="125" s="1"/>
  <c r="AD59" i="87"/>
  <c r="AC59" i="87"/>
  <c r="AB59" i="87"/>
  <c r="E35" i="125" s="1"/>
  <c r="AA59" i="87"/>
  <c r="C25" i="109"/>
  <c r="AA28" i="87"/>
  <c r="C37" i="125" l="1"/>
  <c r="U79" i="15"/>
  <c r="C42" i="125"/>
  <c r="U84" i="15"/>
  <c r="C35" i="125"/>
  <c r="C35" i="140" s="1"/>
  <c r="U77" i="15"/>
  <c r="C38" i="125"/>
  <c r="C118" i="125" s="1"/>
  <c r="U80" i="15"/>
  <c r="C40" i="125"/>
  <c r="C120" i="125" s="1"/>
  <c r="I120" i="125" s="1"/>
  <c r="U82" i="15"/>
  <c r="C43" i="125"/>
  <c r="C43" i="140" s="1"/>
  <c r="U85" i="15"/>
  <c r="C36" i="125"/>
  <c r="U78" i="15"/>
  <c r="C41" i="125"/>
  <c r="C121" i="125" s="1"/>
  <c r="I121" i="125" s="1"/>
  <c r="U83" i="15"/>
  <c r="C39" i="125"/>
  <c r="C119" i="125" s="1"/>
  <c r="U81" i="15"/>
  <c r="D36" i="125"/>
  <c r="D36" i="140" s="1"/>
  <c r="T80" i="131"/>
  <c r="AF20" i="131"/>
  <c r="D38" i="125"/>
  <c r="D38" i="140" s="1"/>
  <c r="T82" i="131"/>
  <c r="AF22" i="131"/>
  <c r="D40" i="125"/>
  <c r="D120" i="125" s="1"/>
  <c r="T84" i="131"/>
  <c r="AF24" i="131"/>
  <c r="D42" i="125"/>
  <c r="D42" i="140" s="1"/>
  <c r="T86" i="131"/>
  <c r="AF26" i="131"/>
  <c r="F38" i="125"/>
  <c r="F38" i="140" s="1"/>
  <c r="U82" i="131"/>
  <c r="AH22" i="131"/>
  <c r="F40" i="125"/>
  <c r="F120" i="125" s="1"/>
  <c r="U84" i="131"/>
  <c r="AH24" i="131"/>
  <c r="F42" i="125"/>
  <c r="F42" i="140" s="1"/>
  <c r="U86" i="131"/>
  <c r="AH26" i="131"/>
  <c r="F36" i="125"/>
  <c r="F36" i="140" s="1"/>
  <c r="U80" i="131"/>
  <c r="AH20" i="131"/>
  <c r="D43" i="125"/>
  <c r="D123" i="125" s="1"/>
  <c r="T87" i="131"/>
  <c r="AF27" i="131"/>
  <c r="D35" i="125"/>
  <c r="D35" i="140" s="1"/>
  <c r="T79" i="131"/>
  <c r="AF19" i="131"/>
  <c r="D37" i="125"/>
  <c r="D37" i="140" s="1"/>
  <c r="T81" i="131"/>
  <c r="AF21" i="131"/>
  <c r="D39" i="125"/>
  <c r="D39" i="140" s="1"/>
  <c r="T83" i="131"/>
  <c r="AF23" i="131"/>
  <c r="D41" i="125"/>
  <c r="D121" i="125" s="1"/>
  <c r="T85" i="131"/>
  <c r="AF25" i="131"/>
  <c r="F43" i="125"/>
  <c r="F123" i="125" s="1"/>
  <c r="U87" i="131"/>
  <c r="AH27" i="131"/>
  <c r="F35" i="125"/>
  <c r="F35" i="140" s="1"/>
  <c r="U79" i="131"/>
  <c r="AH19" i="131"/>
  <c r="F37" i="125"/>
  <c r="F37" i="140" s="1"/>
  <c r="U81" i="131"/>
  <c r="AH21" i="131"/>
  <c r="F39" i="125"/>
  <c r="F39" i="140" s="1"/>
  <c r="U83" i="131"/>
  <c r="AH23" i="131"/>
  <c r="F41" i="125"/>
  <c r="F121" i="125" s="1"/>
  <c r="U85" i="131"/>
  <c r="AH25" i="131"/>
  <c r="BN81" i="91"/>
  <c r="BF115" i="91"/>
  <c r="BN115" i="91" s="1"/>
  <c r="BL116" i="91"/>
  <c r="BD126" i="91"/>
  <c r="BN83" i="91"/>
  <c r="BF117" i="91"/>
  <c r="BN117" i="91" s="1"/>
  <c r="BN82" i="91"/>
  <c r="BF116" i="91"/>
  <c r="I118" i="126"/>
  <c r="J118" i="126" s="1"/>
  <c r="I120" i="126"/>
  <c r="J120" i="126" s="1"/>
  <c r="H120" i="126"/>
  <c r="H122" i="126"/>
  <c r="I122" i="126"/>
  <c r="J122" i="126" s="1"/>
  <c r="C122" i="125"/>
  <c r="I122" i="125" s="1"/>
  <c r="C42" i="140"/>
  <c r="E116" i="125"/>
  <c r="K116" i="125" s="1"/>
  <c r="E36" i="140"/>
  <c r="E118" i="125"/>
  <c r="K118" i="125" s="1"/>
  <c r="E38" i="140"/>
  <c r="E120" i="125"/>
  <c r="K120" i="125" s="1"/>
  <c r="E40" i="140"/>
  <c r="E122" i="125"/>
  <c r="K122" i="125" s="1"/>
  <c r="E42" i="140"/>
  <c r="H119" i="126"/>
  <c r="I119" i="126"/>
  <c r="J119" i="126" s="1"/>
  <c r="B36" i="123"/>
  <c r="I36" i="123" s="1"/>
  <c r="B36" i="140"/>
  <c r="B38" i="123"/>
  <c r="G38" i="123" s="1"/>
  <c r="B38" i="140"/>
  <c r="B40" i="123"/>
  <c r="G40" i="123" s="1"/>
  <c r="H40" i="123" s="1"/>
  <c r="B40" i="140"/>
  <c r="B42" i="123"/>
  <c r="B42" i="140"/>
  <c r="I121" i="126"/>
  <c r="J121" i="126" s="1"/>
  <c r="H121" i="126"/>
  <c r="C115" i="125"/>
  <c r="I115" i="125" s="1"/>
  <c r="C117" i="125"/>
  <c r="I117" i="125" s="1"/>
  <c r="C37" i="140"/>
  <c r="C39" i="140"/>
  <c r="E115" i="125"/>
  <c r="K115" i="125" s="1"/>
  <c r="E35" i="140"/>
  <c r="E117" i="125"/>
  <c r="K117" i="125" s="1"/>
  <c r="E37" i="140"/>
  <c r="E119" i="125"/>
  <c r="K119" i="125" s="1"/>
  <c r="E39" i="140"/>
  <c r="E121" i="125"/>
  <c r="K121" i="125" s="1"/>
  <c r="E41" i="140"/>
  <c r="E123" i="125"/>
  <c r="K123" i="125" s="1"/>
  <c r="E43" i="140"/>
  <c r="I123" i="126"/>
  <c r="J123" i="126" s="1"/>
  <c r="H123" i="126"/>
  <c r="C116" i="125"/>
  <c r="I116" i="125" s="1"/>
  <c r="C36" i="140"/>
  <c r="B35" i="123"/>
  <c r="I35" i="123" s="1"/>
  <c r="B35" i="140"/>
  <c r="B37" i="123"/>
  <c r="I37" i="123" s="1"/>
  <c r="B37" i="140"/>
  <c r="B39" i="123"/>
  <c r="I39" i="123" s="1"/>
  <c r="B39" i="140"/>
  <c r="B41" i="123"/>
  <c r="I41" i="123" s="1"/>
  <c r="J41" i="123" s="1"/>
  <c r="B41" i="140"/>
  <c r="B43" i="123"/>
  <c r="B43" i="140"/>
  <c r="I115" i="126"/>
  <c r="C125" i="126"/>
  <c r="H115" i="126"/>
  <c r="H117" i="126"/>
  <c r="I117" i="126"/>
  <c r="J117" i="126" s="1"/>
  <c r="I116" i="126"/>
  <c r="J116" i="126" s="1"/>
  <c r="H116" i="126"/>
  <c r="L125" i="126"/>
  <c r="D36" i="123"/>
  <c r="D116" i="125"/>
  <c r="M43" i="20"/>
  <c r="F39" i="123" l="1"/>
  <c r="L39" i="123" s="1"/>
  <c r="D43" i="140"/>
  <c r="C41" i="140"/>
  <c r="D41" i="140"/>
  <c r="D35" i="123"/>
  <c r="D118" i="125"/>
  <c r="D38" i="123"/>
  <c r="D115" i="125"/>
  <c r="J115" i="125" s="1"/>
  <c r="F119" i="125"/>
  <c r="F41" i="140"/>
  <c r="C40" i="140"/>
  <c r="C38" i="140"/>
  <c r="W82" i="15"/>
  <c r="W80" i="15"/>
  <c r="W85" i="15"/>
  <c r="C123" i="125"/>
  <c r="I123" i="125" s="1"/>
  <c r="J123" i="125" s="1"/>
  <c r="W81" i="15"/>
  <c r="W77" i="15"/>
  <c r="U88" i="15"/>
  <c r="AB84" i="15" s="1"/>
  <c r="AD84" i="15" s="1"/>
  <c r="C43" i="123"/>
  <c r="I43" i="123" s="1"/>
  <c r="J43" i="123" s="1"/>
  <c r="W83" i="15"/>
  <c r="W84" i="15"/>
  <c r="W78" i="15"/>
  <c r="W79" i="15"/>
  <c r="F115" i="125"/>
  <c r="F35" i="123"/>
  <c r="L35" i="123" s="1"/>
  <c r="F122" i="125"/>
  <c r="L122" i="125" s="1"/>
  <c r="F118" i="125"/>
  <c r="D117" i="125"/>
  <c r="J117" i="125" s="1"/>
  <c r="D37" i="123"/>
  <c r="J37" i="123" s="1"/>
  <c r="D40" i="140"/>
  <c r="D45" i="140" s="1"/>
  <c r="F43" i="140"/>
  <c r="F40" i="140"/>
  <c r="D119" i="125"/>
  <c r="H119" i="125" s="1"/>
  <c r="D122" i="125"/>
  <c r="J122" i="125" s="1"/>
  <c r="F116" i="125"/>
  <c r="H116" i="125" s="1"/>
  <c r="F36" i="123"/>
  <c r="L36" i="123" s="1"/>
  <c r="D39" i="123"/>
  <c r="J39" i="123" s="1"/>
  <c r="F37" i="123"/>
  <c r="L37" i="123" s="1"/>
  <c r="F117" i="125"/>
  <c r="AH31" i="131"/>
  <c r="U91" i="131"/>
  <c r="AF31" i="131"/>
  <c r="T91" i="131"/>
  <c r="G39" i="123"/>
  <c r="G36" i="123"/>
  <c r="H38" i="123"/>
  <c r="BN116" i="91"/>
  <c r="G122" i="125"/>
  <c r="G37" i="123"/>
  <c r="G119" i="125"/>
  <c r="I38" i="123"/>
  <c r="G42" i="123"/>
  <c r="H42" i="123" s="1"/>
  <c r="J120" i="125"/>
  <c r="G118" i="125"/>
  <c r="I118" i="125"/>
  <c r="J118" i="125" s="1"/>
  <c r="H120" i="125"/>
  <c r="L119" i="125"/>
  <c r="G120" i="125"/>
  <c r="I119" i="125"/>
  <c r="G117" i="125"/>
  <c r="G41" i="123"/>
  <c r="H41" i="123" s="1"/>
  <c r="G116" i="125"/>
  <c r="J121" i="125"/>
  <c r="I40" i="123"/>
  <c r="J40" i="123" s="1"/>
  <c r="H121" i="125"/>
  <c r="B45" i="140"/>
  <c r="G35" i="123"/>
  <c r="L120" i="125"/>
  <c r="L123" i="125"/>
  <c r="L121" i="125"/>
  <c r="J116" i="125"/>
  <c r="C45" i="140"/>
  <c r="G115" i="125"/>
  <c r="G121" i="125"/>
  <c r="I42" i="123"/>
  <c r="J42" i="123" s="1"/>
  <c r="E45" i="140"/>
  <c r="H125" i="126"/>
  <c r="G125" i="126"/>
  <c r="I125" i="126"/>
  <c r="J115" i="126"/>
  <c r="J125" i="126" s="1"/>
  <c r="J36" i="123"/>
  <c r="J35" i="123"/>
  <c r="J38" i="123" l="1"/>
  <c r="H115" i="125"/>
  <c r="H118" i="125"/>
  <c r="F45" i="140"/>
  <c r="L118" i="125"/>
  <c r="H35" i="123"/>
  <c r="G43" i="123"/>
  <c r="H43" i="123" s="1"/>
  <c r="H123" i="125"/>
  <c r="G123" i="125"/>
  <c r="W88" i="15"/>
  <c r="AF84" i="15"/>
  <c r="AB77" i="15"/>
  <c r="AB79" i="15"/>
  <c r="AB81" i="15"/>
  <c r="AB78" i="15"/>
  <c r="AB85" i="15"/>
  <c r="L115" i="125"/>
  <c r="AB86" i="15"/>
  <c r="AC86" i="15"/>
  <c r="AC77" i="15"/>
  <c r="AC80" i="15"/>
  <c r="AC78" i="15"/>
  <c r="AC83" i="15"/>
  <c r="AC81" i="15"/>
  <c r="AC85" i="15"/>
  <c r="AC84" i="15"/>
  <c r="AC79" i="15"/>
  <c r="AC82" i="15"/>
  <c r="AB80" i="15"/>
  <c r="AB83" i="15"/>
  <c r="AB82" i="15"/>
  <c r="H117" i="125"/>
  <c r="H122" i="125"/>
  <c r="L117" i="125"/>
  <c r="J119" i="125"/>
  <c r="L116" i="125"/>
  <c r="H37" i="123"/>
  <c r="H39" i="123"/>
  <c r="H36" i="123"/>
  <c r="AD92" i="131"/>
  <c r="AE92" i="131"/>
  <c r="G17" i="73"/>
  <c r="G18" i="73"/>
  <c r="G19" i="73"/>
  <c r="G20" i="73"/>
  <c r="G21" i="73"/>
  <c r="G22" i="73"/>
  <c r="G23" i="73"/>
  <c r="G24" i="73"/>
  <c r="G25" i="73"/>
  <c r="E35" i="99"/>
  <c r="E37" i="99"/>
  <c r="AA52" i="55"/>
  <c r="G18" i="82"/>
  <c r="G19" i="82"/>
  <c r="G20" i="82"/>
  <c r="G22" i="82"/>
  <c r="G21" i="82"/>
  <c r="G25" i="82"/>
  <c r="G23" i="82"/>
  <c r="AD83" i="15" l="1"/>
  <c r="AF83" i="15" s="1"/>
  <c r="AD80" i="15"/>
  <c r="AF80" i="15" s="1"/>
  <c r="AD85" i="15"/>
  <c r="AF85" i="15" s="1"/>
  <c r="AD82" i="15"/>
  <c r="AF82" i="15"/>
  <c r="AE79" i="15"/>
  <c r="AG79" i="15" s="1"/>
  <c r="AD78" i="15"/>
  <c r="AF78" i="15" s="1"/>
  <c r="AE84" i="15"/>
  <c r="AG84" i="15" s="1"/>
  <c r="AD81" i="15"/>
  <c r="AF81" i="15" s="1"/>
  <c r="AD86" i="15"/>
  <c r="AF86" i="15" s="1"/>
  <c r="AE85" i="15"/>
  <c r="AG85" i="15" s="1"/>
  <c r="AD79" i="15"/>
  <c r="AE77" i="15"/>
  <c r="AC88" i="15"/>
  <c r="AE81" i="15"/>
  <c r="AG81" i="15" s="1"/>
  <c r="AD77" i="15"/>
  <c r="AB88" i="15"/>
  <c r="AE86" i="15"/>
  <c r="AG86" i="15" s="1"/>
  <c r="AE83" i="15"/>
  <c r="AG83" i="15" s="1"/>
  <c r="AE80" i="15"/>
  <c r="AG80" i="15" s="1"/>
  <c r="AE82" i="15"/>
  <c r="AG82" i="15" s="1"/>
  <c r="AE78" i="15"/>
  <c r="AG78" i="15" s="1"/>
  <c r="G24" i="82"/>
  <c r="E26" i="94"/>
  <c r="E25" i="94"/>
  <c r="E24" i="94"/>
  <c r="E23" i="94"/>
  <c r="E22" i="94"/>
  <c r="E21" i="94"/>
  <c r="E20" i="94"/>
  <c r="E27" i="94"/>
  <c r="AE88" i="15" l="1"/>
  <c r="AD88" i="15"/>
  <c r="AF79" i="15"/>
  <c r="AF88" i="15" s="1"/>
  <c r="AG88" i="15"/>
  <c r="M24" i="97"/>
  <c r="M23" i="97"/>
  <c r="M22" i="97"/>
  <c r="M21" i="97"/>
  <c r="M20" i="97"/>
  <c r="M19" i="97"/>
  <c r="M18" i="97"/>
  <c r="M17" i="97"/>
  <c r="V17" i="110"/>
  <c r="I30" i="108" l="1"/>
  <c r="I29" i="108"/>
  <c r="I27" i="108"/>
  <c r="I26" i="108"/>
  <c r="I25" i="108"/>
  <c r="I24" i="108"/>
  <c r="I23" i="108"/>
  <c r="O14" i="115"/>
  <c r="I41" i="55" l="1"/>
  <c r="I22" i="27"/>
  <c r="I41" i="27" s="1"/>
  <c r="I41" i="54"/>
  <c r="I41" i="28"/>
  <c r="I42" i="28"/>
  <c r="I42" i="54"/>
  <c r="I43" i="54"/>
  <c r="I43" i="28"/>
  <c r="I44" i="28"/>
  <c r="I44" i="54"/>
  <c r="I48" i="28"/>
  <c r="I48" i="54"/>
  <c r="I49" i="54"/>
  <c r="I49" i="28"/>
  <c r="E83" i="127"/>
  <c r="F81" i="127"/>
  <c r="E80" i="127"/>
  <c r="F79" i="127"/>
  <c r="F78" i="127"/>
  <c r="E78" i="127"/>
  <c r="C75" i="127"/>
  <c r="F83" i="127"/>
  <c r="D83" i="127"/>
  <c r="C83" i="127"/>
  <c r="B43" i="127"/>
  <c r="B83" i="127" s="1"/>
  <c r="F82" i="127"/>
  <c r="E82" i="127"/>
  <c r="D82" i="127"/>
  <c r="B42" i="127"/>
  <c r="B82" i="127" s="1"/>
  <c r="E81" i="127"/>
  <c r="D81" i="127"/>
  <c r="B41" i="127"/>
  <c r="B81" i="127" s="1"/>
  <c r="F80" i="127"/>
  <c r="D80" i="127"/>
  <c r="B40" i="127"/>
  <c r="B80" i="127" s="1"/>
  <c r="D79" i="127"/>
  <c r="C79" i="127"/>
  <c r="B39" i="127"/>
  <c r="I39" i="127" s="1"/>
  <c r="I79" i="127" s="1"/>
  <c r="D78" i="127"/>
  <c r="C78" i="127"/>
  <c r="B38" i="127"/>
  <c r="B78" i="127" s="1"/>
  <c r="F77" i="127"/>
  <c r="D77" i="127"/>
  <c r="B37" i="127"/>
  <c r="B77" i="127" s="1"/>
  <c r="F76" i="127"/>
  <c r="K36" i="127"/>
  <c r="C45" i="127"/>
  <c r="B36" i="127"/>
  <c r="B76" i="127" s="1"/>
  <c r="K35" i="127"/>
  <c r="E75" i="127"/>
  <c r="D75" i="127"/>
  <c r="B35" i="127"/>
  <c r="I35" i="127" s="1"/>
  <c r="F125" i="127"/>
  <c r="E125" i="127"/>
  <c r="D125" i="127"/>
  <c r="C125" i="127"/>
  <c r="B125" i="127"/>
  <c r="T114" i="127"/>
  <c r="S114" i="127"/>
  <c r="Q114" i="127"/>
  <c r="P114" i="127"/>
  <c r="O114" i="127"/>
  <c r="N114" i="127"/>
  <c r="M114" i="127"/>
  <c r="L114" i="127"/>
  <c r="K114" i="127"/>
  <c r="J114" i="127"/>
  <c r="I114" i="127"/>
  <c r="H114" i="127"/>
  <c r="G114" i="127"/>
  <c r="T113" i="127"/>
  <c r="S113" i="127"/>
  <c r="Q113" i="127"/>
  <c r="P113" i="127"/>
  <c r="O113" i="127"/>
  <c r="N113" i="127"/>
  <c r="M113" i="127"/>
  <c r="L113" i="127"/>
  <c r="K113" i="127"/>
  <c r="J113" i="127"/>
  <c r="I113" i="127"/>
  <c r="H113" i="127"/>
  <c r="G113" i="127"/>
  <c r="T112" i="127"/>
  <c r="S112" i="127"/>
  <c r="Q112" i="127"/>
  <c r="P112" i="127"/>
  <c r="O112" i="127"/>
  <c r="N112" i="127"/>
  <c r="M112" i="127"/>
  <c r="L112" i="127"/>
  <c r="K112" i="127"/>
  <c r="J112" i="127"/>
  <c r="I112" i="127"/>
  <c r="H112" i="127"/>
  <c r="G112" i="127"/>
  <c r="T111" i="127"/>
  <c r="S111" i="127"/>
  <c r="Q111" i="127"/>
  <c r="P111" i="127"/>
  <c r="O111" i="127"/>
  <c r="N111" i="127"/>
  <c r="M111" i="127"/>
  <c r="L111" i="127"/>
  <c r="K111" i="127"/>
  <c r="J111" i="127"/>
  <c r="I111" i="127"/>
  <c r="H111" i="127"/>
  <c r="G111" i="127"/>
  <c r="T110" i="127"/>
  <c r="S110" i="127"/>
  <c r="Q110" i="127"/>
  <c r="P110" i="127"/>
  <c r="O110" i="127"/>
  <c r="N110" i="127"/>
  <c r="M110" i="127"/>
  <c r="L110" i="127"/>
  <c r="K110" i="127"/>
  <c r="J110" i="127"/>
  <c r="I110" i="127"/>
  <c r="H110" i="127"/>
  <c r="G110" i="127"/>
  <c r="T109" i="127"/>
  <c r="S109" i="127"/>
  <c r="Q109" i="127"/>
  <c r="P109" i="127"/>
  <c r="O109" i="127"/>
  <c r="N109" i="127"/>
  <c r="M109" i="127"/>
  <c r="L109" i="127"/>
  <c r="K109" i="127"/>
  <c r="J109" i="127"/>
  <c r="I109" i="127"/>
  <c r="H109" i="127"/>
  <c r="G109" i="127"/>
  <c r="T108" i="127"/>
  <c r="S108" i="127"/>
  <c r="Q108" i="127"/>
  <c r="P108" i="127"/>
  <c r="O108" i="127"/>
  <c r="N108" i="127"/>
  <c r="M108" i="127"/>
  <c r="L108" i="127"/>
  <c r="K108" i="127"/>
  <c r="J108" i="127"/>
  <c r="I108" i="127"/>
  <c r="H108" i="127"/>
  <c r="G108" i="127"/>
  <c r="T107" i="127"/>
  <c r="S107" i="127"/>
  <c r="R107" i="127"/>
  <c r="Q107" i="127"/>
  <c r="P107" i="127"/>
  <c r="O107" i="127"/>
  <c r="N107" i="127"/>
  <c r="M107" i="127"/>
  <c r="L107" i="127"/>
  <c r="K107" i="127"/>
  <c r="J107" i="127"/>
  <c r="I107" i="127"/>
  <c r="H107" i="127"/>
  <c r="G107" i="127"/>
  <c r="T106" i="127"/>
  <c r="S106" i="127"/>
  <c r="R106" i="127"/>
  <c r="Q106" i="127"/>
  <c r="P106" i="127"/>
  <c r="O106" i="127"/>
  <c r="N106" i="127"/>
  <c r="M106" i="127"/>
  <c r="L106" i="127"/>
  <c r="K106" i="127"/>
  <c r="J106" i="127"/>
  <c r="I106" i="127"/>
  <c r="H106" i="127"/>
  <c r="G106" i="127"/>
  <c r="T105" i="127"/>
  <c r="S105" i="127"/>
  <c r="R105" i="127"/>
  <c r="Q105" i="127"/>
  <c r="P105" i="127"/>
  <c r="O105" i="127"/>
  <c r="N105" i="127"/>
  <c r="M105" i="127"/>
  <c r="L105" i="127"/>
  <c r="K105" i="127"/>
  <c r="J105" i="127"/>
  <c r="I105" i="127"/>
  <c r="H105" i="127"/>
  <c r="G105" i="127"/>
  <c r="T104" i="127"/>
  <c r="S104" i="127"/>
  <c r="R104" i="127"/>
  <c r="Q104" i="127"/>
  <c r="P104" i="127"/>
  <c r="O104" i="127"/>
  <c r="N104" i="127"/>
  <c r="M104" i="127"/>
  <c r="L104" i="127"/>
  <c r="K104" i="127"/>
  <c r="J104" i="127"/>
  <c r="I104" i="127"/>
  <c r="H104" i="127"/>
  <c r="G104" i="127"/>
  <c r="T103" i="127"/>
  <c r="S103" i="127"/>
  <c r="R103" i="127"/>
  <c r="Q103" i="127"/>
  <c r="P103" i="127"/>
  <c r="O103" i="127"/>
  <c r="N103" i="127"/>
  <c r="M103" i="127"/>
  <c r="L103" i="127"/>
  <c r="K103" i="127"/>
  <c r="J103" i="127"/>
  <c r="I103" i="127"/>
  <c r="H103" i="127"/>
  <c r="G103" i="127"/>
  <c r="T102" i="127"/>
  <c r="S102" i="127"/>
  <c r="R102" i="127"/>
  <c r="Q102" i="127"/>
  <c r="P102" i="127"/>
  <c r="O102" i="127"/>
  <c r="N102" i="127"/>
  <c r="M102" i="127"/>
  <c r="L102" i="127"/>
  <c r="K102" i="127"/>
  <c r="J102" i="127"/>
  <c r="I102" i="127"/>
  <c r="H102" i="127"/>
  <c r="G102" i="127"/>
  <c r="T101" i="127"/>
  <c r="S101" i="127"/>
  <c r="R101" i="127"/>
  <c r="Q101" i="127"/>
  <c r="P101" i="127"/>
  <c r="O101" i="127"/>
  <c r="N101" i="127"/>
  <c r="M101" i="127"/>
  <c r="L101" i="127"/>
  <c r="K101" i="127"/>
  <c r="J101" i="127"/>
  <c r="I101" i="127"/>
  <c r="H101" i="127"/>
  <c r="G101" i="127"/>
  <c r="T100" i="127"/>
  <c r="S100" i="127"/>
  <c r="R100" i="127"/>
  <c r="Q100" i="127"/>
  <c r="P100" i="127"/>
  <c r="O100" i="127"/>
  <c r="N100" i="127"/>
  <c r="M100" i="127"/>
  <c r="L100" i="127"/>
  <c r="K100" i="127"/>
  <c r="J100" i="127"/>
  <c r="I100" i="127"/>
  <c r="H100" i="127"/>
  <c r="G100" i="127"/>
  <c r="T99" i="127"/>
  <c r="S99" i="127"/>
  <c r="R99" i="127"/>
  <c r="Q99" i="127"/>
  <c r="P99" i="127"/>
  <c r="O99" i="127"/>
  <c r="N99" i="127"/>
  <c r="M99" i="127"/>
  <c r="L99" i="127"/>
  <c r="K99" i="127"/>
  <c r="J99" i="127"/>
  <c r="I99" i="127"/>
  <c r="H99" i="127"/>
  <c r="G99" i="127"/>
  <c r="T98" i="127"/>
  <c r="S98" i="127"/>
  <c r="R98" i="127"/>
  <c r="Q98" i="127"/>
  <c r="P98" i="127"/>
  <c r="O98" i="127"/>
  <c r="N98" i="127"/>
  <c r="M98" i="127"/>
  <c r="L98" i="127"/>
  <c r="K98" i="127"/>
  <c r="J98" i="127"/>
  <c r="I98" i="127"/>
  <c r="H98" i="127"/>
  <c r="G98" i="127"/>
  <c r="T97" i="127"/>
  <c r="S97" i="127"/>
  <c r="R97" i="127"/>
  <c r="Q97" i="127"/>
  <c r="P97" i="127"/>
  <c r="O97" i="127"/>
  <c r="N97" i="127"/>
  <c r="M97" i="127"/>
  <c r="L97" i="127"/>
  <c r="K97" i="127"/>
  <c r="J97" i="127"/>
  <c r="I97" i="127"/>
  <c r="H97" i="127"/>
  <c r="G97" i="127"/>
  <c r="T96" i="127"/>
  <c r="S96" i="127"/>
  <c r="R96" i="127"/>
  <c r="Q96" i="127"/>
  <c r="P96" i="127"/>
  <c r="O96" i="127"/>
  <c r="N96" i="127"/>
  <c r="M96" i="127"/>
  <c r="L96" i="127"/>
  <c r="K96" i="127"/>
  <c r="J96" i="127"/>
  <c r="I96" i="127"/>
  <c r="H96" i="127"/>
  <c r="G96" i="127"/>
  <c r="A96" i="127"/>
  <c r="A97" i="127" s="1"/>
  <c r="A98" i="127" s="1"/>
  <c r="A99" i="127" s="1"/>
  <c r="A100" i="127" s="1"/>
  <c r="A101" i="127" s="1"/>
  <c r="A102" i="127" s="1"/>
  <c r="A103" i="127" s="1"/>
  <c r="A104" i="127" s="1"/>
  <c r="A105" i="127" s="1"/>
  <c r="A106" i="127" s="1"/>
  <c r="A107" i="127" s="1"/>
  <c r="A108" i="127" s="1"/>
  <c r="A109" i="127" s="1"/>
  <c r="A110" i="127" s="1"/>
  <c r="A111" i="127" s="1"/>
  <c r="A112" i="127" s="1"/>
  <c r="A113" i="127" s="1"/>
  <c r="A114" i="127" s="1"/>
  <c r="A115" i="127" s="1"/>
  <c r="A116" i="127" s="1"/>
  <c r="A117" i="127" s="1"/>
  <c r="A118" i="127" s="1"/>
  <c r="A119" i="127" s="1"/>
  <c r="A120" i="127" s="1"/>
  <c r="A121" i="127" s="1"/>
  <c r="A122" i="127" s="1"/>
  <c r="A123" i="127" s="1"/>
  <c r="T95" i="127"/>
  <c r="S95" i="127"/>
  <c r="R95" i="127"/>
  <c r="Q95" i="127"/>
  <c r="P95" i="127"/>
  <c r="O95" i="127"/>
  <c r="N95" i="127"/>
  <c r="M95" i="127"/>
  <c r="L95" i="127"/>
  <c r="K95" i="127"/>
  <c r="J95" i="127"/>
  <c r="I95" i="127"/>
  <c r="H95" i="127"/>
  <c r="G95" i="127"/>
  <c r="B93" i="127"/>
  <c r="C93" i="127" s="1"/>
  <c r="D93" i="127" s="1"/>
  <c r="E93" i="127" s="1"/>
  <c r="F93" i="127" s="1"/>
  <c r="G93" i="127" s="1"/>
  <c r="H93" i="127" s="1"/>
  <c r="I93" i="127" s="1"/>
  <c r="J93" i="127" s="1"/>
  <c r="K93" i="127" s="1"/>
  <c r="L93" i="127" s="1"/>
  <c r="M93" i="127" s="1"/>
  <c r="N93" i="127" s="1"/>
  <c r="O93" i="127" s="1"/>
  <c r="P93" i="127" s="1"/>
  <c r="Q93" i="127" s="1"/>
  <c r="R93" i="127" s="1"/>
  <c r="S93" i="127" s="1"/>
  <c r="T93" i="127" s="1"/>
  <c r="A56" i="127"/>
  <c r="A57" i="127" s="1"/>
  <c r="A58" i="127" s="1"/>
  <c r="A59" i="127" s="1"/>
  <c r="A60" i="127" s="1"/>
  <c r="A61" i="127" s="1"/>
  <c r="A62" i="127" s="1"/>
  <c r="A63" i="127" s="1"/>
  <c r="A64" i="127" s="1"/>
  <c r="A65" i="127" s="1"/>
  <c r="A66" i="127" s="1"/>
  <c r="A67" i="127" s="1"/>
  <c r="A68" i="127" s="1"/>
  <c r="A69" i="127" s="1"/>
  <c r="A70" i="127" s="1"/>
  <c r="A71" i="127" s="1"/>
  <c r="A72" i="127" s="1"/>
  <c r="A73" i="127" s="1"/>
  <c r="A74" i="127" s="1"/>
  <c r="A75" i="127" s="1"/>
  <c r="A76" i="127" s="1"/>
  <c r="A77" i="127" s="1"/>
  <c r="A78" i="127" s="1"/>
  <c r="A79" i="127" s="1"/>
  <c r="A80" i="127" s="1"/>
  <c r="A81" i="127" s="1"/>
  <c r="A82" i="127" s="1"/>
  <c r="A83" i="127" s="1"/>
  <c r="B53" i="127"/>
  <c r="C53" i="127" s="1"/>
  <c r="D53" i="127" s="1"/>
  <c r="E53" i="127" s="1"/>
  <c r="F53" i="127" s="1"/>
  <c r="G53" i="127" s="1"/>
  <c r="H53" i="127" s="1"/>
  <c r="I53" i="127" s="1"/>
  <c r="J53" i="127" s="1"/>
  <c r="K53" i="127" s="1"/>
  <c r="L53" i="127" s="1"/>
  <c r="M53" i="127" s="1"/>
  <c r="N53" i="127" s="1"/>
  <c r="O53" i="127" s="1"/>
  <c r="P53" i="127" s="1"/>
  <c r="Q53" i="127" s="1"/>
  <c r="R53" i="127" s="1"/>
  <c r="S53" i="127" s="1"/>
  <c r="O44" i="127"/>
  <c r="O124" i="127" s="1"/>
  <c r="K44" i="127"/>
  <c r="K124" i="127" s="1"/>
  <c r="I44" i="127"/>
  <c r="I124" i="127" s="1"/>
  <c r="H44" i="127"/>
  <c r="H124" i="127" s="1"/>
  <c r="G44" i="127"/>
  <c r="G124" i="127" s="1"/>
  <c r="K43" i="127"/>
  <c r="K83" i="127" s="1"/>
  <c r="K42" i="127"/>
  <c r="L42" i="127" s="1"/>
  <c r="L82" i="127" s="1"/>
  <c r="K40" i="127"/>
  <c r="K80" i="127" s="1"/>
  <c r="K37" i="127"/>
  <c r="A16" i="127"/>
  <c r="A17" i="127" s="1"/>
  <c r="A18" i="127" s="1"/>
  <c r="A19" i="127" s="1"/>
  <c r="A20" i="127" s="1"/>
  <c r="A21" i="127" s="1"/>
  <c r="A22" i="127" s="1"/>
  <c r="A23" i="127" s="1"/>
  <c r="A24" i="127" s="1"/>
  <c r="A25" i="127" s="1"/>
  <c r="A26" i="127" s="1"/>
  <c r="A27" i="127" s="1"/>
  <c r="A28" i="127" s="1"/>
  <c r="A29" i="127" s="1"/>
  <c r="A30" i="127" s="1"/>
  <c r="A31" i="127" s="1"/>
  <c r="A32" i="127" s="1"/>
  <c r="A33" i="127" s="1"/>
  <c r="A34" i="127" s="1"/>
  <c r="A35" i="127" s="1"/>
  <c r="A36" i="127" s="1"/>
  <c r="A37" i="127" s="1"/>
  <c r="A38" i="127" s="1"/>
  <c r="A39" i="127" s="1"/>
  <c r="A40" i="127" s="1"/>
  <c r="A41" i="127" s="1"/>
  <c r="A42" i="127" s="1"/>
  <c r="A43" i="127" s="1"/>
  <c r="B13" i="127"/>
  <c r="C13" i="127" s="1"/>
  <c r="D13" i="127" s="1"/>
  <c r="E13" i="127" s="1"/>
  <c r="F13" i="127" s="1"/>
  <c r="G13" i="127" s="1"/>
  <c r="H13" i="127" s="1"/>
  <c r="I13" i="127" s="1"/>
  <c r="J13" i="127" s="1"/>
  <c r="K13" i="127" s="1"/>
  <c r="L13" i="127" s="1"/>
  <c r="M13" i="127" s="1"/>
  <c r="N13" i="127" s="1"/>
  <c r="O13" i="127" s="1"/>
  <c r="P13" i="127" s="1"/>
  <c r="Q13" i="127" s="1"/>
  <c r="R13" i="127" s="1"/>
  <c r="S13" i="127" s="1"/>
  <c r="T13" i="127" s="1"/>
  <c r="U13" i="127" s="1"/>
  <c r="A96" i="126"/>
  <c r="A97" i="126" s="1"/>
  <c r="A98" i="126" s="1"/>
  <c r="A99" i="126" s="1"/>
  <c r="A100" i="126" s="1"/>
  <c r="A101" i="126" s="1"/>
  <c r="A102" i="126" s="1"/>
  <c r="A103" i="126" s="1"/>
  <c r="A104" i="126" s="1"/>
  <c r="A105" i="126" s="1"/>
  <c r="A106" i="126" s="1"/>
  <c r="A107" i="126" s="1"/>
  <c r="A108" i="126" s="1"/>
  <c r="A109" i="126" s="1"/>
  <c r="A110" i="126" s="1"/>
  <c r="A111" i="126" s="1"/>
  <c r="A112" i="126" s="1"/>
  <c r="A113" i="126" s="1"/>
  <c r="A114" i="126" s="1"/>
  <c r="A115" i="126" s="1"/>
  <c r="A116" i="126" s="1"/>
  <c r="A117" i="126" s="1"/>
  <c r="A118" i="126" s="1"/>
  <c r="A119" i="126" s="1"/>
  <c r="A120" i="126" s="1"/>
  <c r="A121" i="126" s="1"/>
  <c r="A122" i="126" s="1"/>
  <c r="A123" i="126" s="1"/>
  <c r="B93" i="126"/>
  <c r="C93" i="126" s="1"/>
  <c r="D93" i="126" s="1"/>
  <c r="E93" i="126" s="1"/>
  <c r="F93" i="126" s="1"/>
  <c r="A56" i="126"/>
  <c r="A57" i="126" s="1"/>
  <c r="A58" i="126" s="1"/>
  <c r="A59" i="126" s="1"/>
  <c r="A60" i="126" s="1"/>
  <c r="A61" i="126" s="1"/>
  <c r="A62" i="126" s="1"/>
  <c r="A63" i="126" s="1"/>
  <c r="A64" i="126" s="1"/>
  <c r="A65" i="126" s="1"/>
  <c r="A66" i="126" s="1"/>
  <c r="A67" i="126" s="1"/>
  <c r="A68" i="126" s="1"/>
  <c r="A69" i="126" s="1"/>
  <c r="A70" i="126" s="1"/>
  <c r="A71" i="126" s="1"/>
  <c r="A72" i="126" s="1"/>
  <c r="A73" i="126" s="1"/>
  <c r="A74" i="126" s="1"/>
  <c r="A75" i="126" s="1"/>
  <c r="A76" i="126" s="1"/>
  <c r="A77" i="126" s="1"/>
  <c r="A78" i="126" s="1"/>
  <c r="A79" i="126" s="1"/>
  <c r="A80" i="126" s="1"/>
  <c r="A81" i="126" s="1"/>
  <c r="A82" i="126" s="1"/>
  <c r="A83" i="126" s="1"/>
  <c r="B53" i="126"/>
  <c r="C53" i="126" s="1"/>
  <c r="D53" i="126" s="1"/>
  <c r="E53" i="126" s="1"/>
  <c r="F53" i="126" s="1"/>
  <c r="G53" i="126" s="1"/>
  <c r="H53" i="126" s="1"/>
  <c r="I53" i="126" s="1"/>
  <c r="J53" i="126" s="1"/>
  <c r="K53" i="126" s="1"/>
  <c r="L53" i="126" s="1"/>
  <c r="M53" i="126" s="1"/>
  <c r="N53" i="126" s="1"/>
  <c r="O53" i="126" s="1"/>
  <c r="P53" i="126" s="1"/>
  <c r="Q53" i="126" s="1"/>
  <c r="R53" i="126" s="1"/>
  <c r="K44" i="126"/>
  <c r="I44" i="126"/>
  <c r="H44" i="126"/>
  <c r="H124" i="126" s="1"/>
  <c r="G44" i="126"/>
  <c r="G124" i="126" s="1"/>
  <c r="K43" i="126"/>
  <c r="K42" i="126"/>
  <c r="K41" i="126"/>
  <c r="K40" i="126"/>
  <c r="H40" i="126"/>
  <c r="K38" i="126"/>
  <c r="K37" i="126"/>
  <c r="I37" i="126"/>
  <c r="K36" i="126"/>
  <c r="H36" i="126"/>
  <c r="K35" i="126"/>
  <c r="A16" i="126"/>
  <c r="A17" i="126" s="1"/>
  <c r="A18" i="126" s="1"/>
  <c r="A19" i="126" s="1"/>
  <c r="A20" i="126" s="1"/>
  <c r="A21" i="126" s="1"/>
  <c r="A22" i="126" s="1"/>
  <c r="A23" i="126" s="1"/>
  <c r="A24" i="126" s="1"/>
  <c r="A25" i="126" s="1"/>
  <c r="A26" i="126" s="1"/>
  <c r="A27" i="126" s="1"/>
  <c r="A28" i="126" s="1"/>
  <c r="A29" i="126" s="1"/>
  <c r="A30" i="126" s="1"/>
  <c r="A31" i="126" s="1"/>
  <c r="A32" i="126" s="1"/>
  <c r="A33" i="126" s="1"/>
  <c r="A34" i="126" s="1"/>
  <c r="A35" i="126" s="1"/>
  <c r="A36" i="126" s="1"/>
  <c r="A37" i="126" s="1"/>
  <c r="A38" i="126" s="1"/>
  <c r="A39" i="126" s="1"/>
  <c r="A40" i="126" s="1"/>
  <c r="A41" i="126" s="1"/>
  <c r="A42" i="126" s="1"/>
  <c r="A43" i="126" s="1"/>
  <c r="B13" i="126"/>
  <c r="C13" i="126" s="1"/>
  <c r="D13" i="126" s="1"/>
  <c r="E13" i="126" s="1"/>
  <c r="F13" i="126" s="1"/>
  <c r="G13" i="126" s="1"/>
  <c r="H13" i="126" s="1"/>
  <c r="I13" i="126" s="1"/>
  <c r="J13" i="126" s="1"/>
  <c r="K13" i="126" s="1"/>
  <c r="L13" i="126" s="1"/>
  <c r="M13" i="126" s="1"/>
  <c r="N13" i="126" s="1"/>
  <c r="O13" i="126" s="1"/>
  <c r="P13" i="126" s="1"/>
  <c r="Q13" i="126" s="1"/>
  <c r="R13" i="126" s="1"/>
  <c r="N105" i="124"/>
  <c r="O110" i="124"/>
  <c r="F125" i="124"/>
  <c r="E125" i="124"/>
  <c r="D125" i="124"/>
  <c r="C125" i="124"/>
  <c r="B125" i="124"/>
  <c r="R114" i="124"/>
  <c r="Q114" i="124"/>
  <c r="P114" i="124"/>
  <c r="O114" i="124"/>
  <c r="N114" i="124"/>
  <c r="M114" i="124"/>
  <c r="L114" i="124"/>
  <c r="K114" i="124"/>
  <c r="J114" i="124"/>
  <c r="I114" i="124"/>
  <c r="H114" i="124"/>
  <c r="G114" i="124"/>
  <c r="R113" i="124"/>
  <c r="Q113" i="124"/>
  <c r="P113" i="124"/>
  <c r="O113" i="124"/>
  <c r="N113" i="124"/>
  <c r="M113" i="124"/>
  <c r="L113" i="124"/>
  <c r="K113" i="124"/>
  <c r="J113" i="124"/>
  <c r="I113" i="124"/>
  <c r="H113" i="124"/>
  <c r="G113" i="124"/>
  <c r="R112" i="124"/>
  <c r="Q112" i="124"/>
  <c r="P112" i="124"/>
  <c r="O112" i="124"/>
  <c r="N112" i="124"/>
  <c r="M112" i="124"/>
  <c r="L112" i="124"/>
  <c r="K112" i="124"/>
  <c r="J112" i="124"/>
  <c r="I112" i="124"/>
  <c r="H112" i="124"/>
  <c r="G112" i="124"/>
  <c r="R111" i="124"/>
  <c r="Q111" i="124"/>
  <c r="P111" i="124"/>
  <c r="O111" i="124"/>
  <c r="N111" i="124"/>
  <c r="M111" i="124"/>
  <c r="L111" i="124"/>
  <c r="K111" i="124"/>
  <c r="J111" i="124"/>
  <c r="I111" i="124"/>
  <c r="H111" i="124"/>
  <c r="G111" i="124"/>
  <c r="R110" i="124"/>
  <c r="Q110" i="124"/>
  <c r="P110" i="124"/>
  <c r="N110" i="124"/>
  <c r="M110" i="124"/>
  <c r="L110" i="124"/>
  <c r="K110" i="124"/>
  <c r="J110" i="124"/>
  <c r="I110" i="124"/>
  <c r="H110" i="124"/>
  <c r="G110" i="124"/>
  <c r="R109" i="124"/>
  <c r="Q109" i="124"/>
  <c r="P109" i="124"/>
  <c r="O109" i="124"/>
  <c r="N109" i="124"/>
  <c r="M109" i="124"/>
  <c r="L109" i="124"/>
  <c r="K109" i="124"/>
  <c r="J109" i="124"/>
  <c r="I109" i="124"/>
  <c r="H109" i="124"/>
  <c r="G109" i="124"/>
  <c r="R108" i="124"/>
  <c r="Q108" i="124"/>
  <c r="P108" i="124"/>
  <c r="O108" i="124"/>
  <c r="N108" i="124"/>
  <c r="M108" i="124"/>
  <c r="L108" i="124"/>
  <c r="K108" i="124"/>
  <c r="J108" i="124"/>
  <c r="I108" i="124"/>
  <c r="H108" i="124"/>
  <c r="G108" i="124"/>
  <c r="R107" i="124"/>
  <c r="Q107" i="124"/>
  <c r="P107" i="124"/>
  <c r="O107" i="124"/>
  <c r="N107" i="124"/>
  <c r="M107" i="124"/>
  <c r="L107" i="124"/>
  <c r="K107" i="124"/>
  <c r="J107" i="124"/>
  <c r="I107" i="124"/>
  <c r="H107" i="124"/>
  <c r="G107" i="124"/>
  <c r="R106" i="124"/>
  <c r="Q106" i="124"/>
  <c r="P106" i="124"/>
  <c r="O106" i="124"/>
  <c r="N106" i="124"/>
  <c r="M106" i="124"/>
  <c r="L106" i="124"/>
  <c r="K106" i="124"/>
  <c r="J106" i="124"/>
  <c r="I106" i="124"/>
  <c r="H106" i="124"/>
  <c r="G106" i="124"/>
  <c r="R105" i="124"/>
  <c r="Q105" i="124"/>
  <c r="P105" i="124"/>
  <c r="O105" i="124"/>
  <c r="M105" i="124"/>
  <c r="L105" i="124"/>
  <c r="K105" i="124"/>
  <c r="J105" i="124"/>
  <c r="I105" i="124"/>
  <c r="H105" i="124"/>
  <c r="G105" i="124"/>
  <c r="R104" i="124"/>
  <c r="Q104" i="124"/>
  <c r="P104" i="124"/>
  <c r="O104" i="124"/>
  <c r="N104" i="124"/>
  <c r="M104" i="124"/>
  <c r="L104" i="124"/>
  <c r="K104" i="124"/>
  <c r="J104" i="124"/>
  <c r="I104" i="124"/>
  <c r="H104" i="124"/>
  <c r="G104" i="124"/>
  <c r="R103" i="124"/>
  <c r="Q103" i="124"/>
  <c r="P103" i="124"/>
  <c r="O103" i="124"/>
  <c r="N103" i="124"/>
  <c r="M103" i="124"/>
  <c r="L103" i="124"/>
  <c r="K103" i="124"/>
  <c r="J103" i="124"/>
  <c r="I103" i="124"/>
  <c r="H103" i="124"/>
  <c r="G103" i="124"/>
  <c r="R102" i="124"/>
  <c r="Q102" i="124"/>
  <c r="P102" i="124"/>
  <c r="O102" i="124"/>
  <c r="N102" i="124"/>
  <c r="M102" i="124"/>
  <c r="L102" i="124"/>
  <c r="K102" i="124"/>
  <c r="J102" i="124"/>
  <c r="I102" i="124"/>
  <c r="H102" i="124"/>
  <c r="G102" i="124"/>
  <c r="R101" i="124"/>
  <c r="Q101" i="124"/>
  <c r="P101" i="124"/>
  <c r="O101" i="124"/>
  <c r="N101" i="124"/>
  <c r="M101" i="124"/>
  <c r="L101" i="124"/>
  <c r="K101" i="124"/>
  <c r="J101" i="124"/>
  <c r="I101" i="124"/>
  <c r="H101" i="124"/>
  <c r="G101" i="124"/>
  <c r="R100" i="124"/>
  <c r="Q100" i="124"/>
  <c r="P100" i="124"/>
  <c r="O100" i="124"/>
  <c r="N100" i="124"/>
  <c r="M100" i="124"/>
  <c r="L100" i="124"/>
  <c r="K100" i="124"/>
  <c r="J100" i="124"/>
  <c r="I100" i="124"/>
  <c r="H100" i="124"/>
  <c r="G100" i="124"/>
  <c r="R99" i="124"/>
  <c r="Q99" i="124"/>
  <c r="P99" i="124"/>
  <c r="O99" i="124"/>
  <c r="N99" i="124"/>
  <c r="M99" i="124"/>
  <c r="L99" i="124"/>
  <c r="K99" i="124"/>
  <c r="J99" i="124"/>
  <c r="I99" i="124"/>
  <c r="H99" i="124"/>
  <c r="G99" i="124"/>
  <c r="R98" i="124"/>
  <c r="Q98" i="124"/>
  <c r="P98" i="124"/>
  <c r="O98" i="124"/>
  <c r="N98" i="124"/>
  <c r="M98" i="124"/>
  <c r="L98" i="124"/>
  <c r="K98" i="124"/>
  <c r="J98" i="124"/>
  <c r="I98" i="124"/>
  <c r="H98" i="124"/>
  <c r="G98" i="124"/>
  <c r="R97" i="124"/>
  <c r="Q97" i="124"/>
  <c r="P97" i="124"/>
  <c r="O97" i="124"/>
  <c r="N97" i="124"/>
  <c r="M97" i="124"/>
  <c r="L97" i="124"/>
  <c r="K97" i="124"/>
  <c r="J97" i="124"/>
  <c r="I97" i="124"/>
  <c r="H97" i="124"/>
  <c r="G97" i="124"/>
  <c r="R96" i="124"/>
  <c r="Q96" i="124"/>
  <c r="P96" i="124"/>
  <c r="O96" i="124"/>
  <c r="N96" i="124"/>
  <c r="M96" i="124"/>
  <c r="L96" i="124"/>
  <c r="K96" i="124"/>
  <c r="J96" i="124"/>
  <c r="I96" i="124"/>
  <c r="H96" i="124"/>
  <c r="G96" i="124"/>
  <c r="A96" i="124"/>
  <c r="A97" i="124" s="1"/>
  <c r="A98" i="124" s="1"/>
  <c r="A99" i="124" s="1"/>
  <c r="A100" i="124" s="1"/>
  <c r="A101" i="124" s="1"/>
  <c r="A102" i="124" s="1"/>
  <c r="A103" i="124" s="1"/>
  <c r="A104" i="124" s="1"/>
  <c r="A105" i="124" s="1"/>
  <c r="A106" i="124" s="1"/>
  <c r="A107" i="124" s="1"/>
  <c r="A108" i="124" s="1"/>
  <c r="A109" i="124" s="1"/>
  <c r="A110" i="124" s="1"/>
  <c r="A111" i="124" s="1"/>
  <c r="A112" i="124" s="1"/>
  <c r="A113" i="124" s="1"/>
  <c r="A114" i="124" s="1"/>
  <c r="A115" i="124" s="1"/>
  <c r="A116" i="124" s="1"/>
  <c r="A117" i="124" s="1"/>
  <c r="A118" i="124" s="1"/>
  <c r="A119" i="124" s="1"/>
  <c r="A120" i="124" s="1"/>
  <c r="A121" i="124" s="1"/>
  <c r="A122" i="124" s="1"/>
  <c r="A123" i="124" s="1"/>
  <c r="R95" i="124"/>
  <c r="Q95" i="124"/>
  <c r="P95" i="124"/>
  <c r="O95" i="124"/>
  <c r="N95" i="124"/>
  <c r="M95" i="124"/>
  <c r="L95" i="124"/>
  <c r="K95" i="124"/>
  <c r="J95" i="124"/>
  <c r="I95" i="124"/>
  <c r="H95" i="124"/>
  <c r="G95" i="124"/>
  <c r="B93" i="124"/>
  <c r="C93" i="124" s="1"/>
  <c r="D93" i="124" s="1"/>
  <c r="E93" i="124" s="1"/>
  <c r="F93" i="124" s="1"/>
  <c r="G93" i="124" s="1"/>
  <c r="H93" i="124" s="1"/>
  <c r="I93" i="124" s="1"/>
  <c r="J93" i="124" s="1"/>
  <c r="K93" i="124" s="1"/>
  <c r="L93" i="124" s="1"/>
  <c r="M93" i="124" s="1"/>
  <c r="N93" i="124" s="1"/>
  <c r="O93" i="124" s="1"/>
  <c r="P93" i="124" s="1"/>
  <c r="Q93" i="124" s="1"/>
  <c r="R93" i="124" s="1"/>
  <c r="K84" i="124"/>
  <c r="L84" i="124" s="1"/>
  <c r="I84" i="124"/>
  <c r="I124" i="124" s="1"/>
  <c r="H84" i="124"/>
  <c r="H124" i="124" s="1"/>
  <c r="G84" i="124"/>
  <c r="G124" i="124" s="1"/>
  <c r="A56" i="124"/>
  <c r="A57" i="124" s="1"/>
  <c r="A58" i="124" s="1"/>
  <c r="A59" i="124" s="1"/>
  <c r="A60" i="124" s="1"/>
  <c r="A61" i="124" s="1"/>
  <c r="A62" i="124" s="1"/>
  <c r="A63" i="124" s="1"/>
  <c r="A64" i="124" s="1"/>
  <c r="A65" i="124" s="1"/>
  <c r="A66" i="124" s="1"/>
  <c r="A67" i="124" s="1"/>
  <c r="A68" i="124" s="1"/>
  <c r="A69" i="124" s="1"/>
  <c r="A70" i="124" s="1"/>
  <c r="A71" i="124" s="1"/>
  <c r="A72" i="124" s="1"/>
  <c r="A73" i="124" s="1"/>
  <c r="A74" i="124" s="1"/>
  <c r="A75" i="124" s="1"/>
  <c r="A76" i="124" s="1"/>
  <c r="A77" i="124" s="1"/>
  <c r="A78" i="124" s="1"/>
  <c r="A79" i="124" s="1"/>
  <c r="A80" i="124" s="1"/>
  <c r="A81" i="124" s="1"/>
  <c r="A82" i="124" s="1"/>
  <c r="A83" i="124" s="1"/>
  <c r="B53" i="124"/>
  <c r="C53" i="124" s="1"/>
  <c r="D53" i="124" s="1"/>
  <c r="E53" i="124" s="1"/>
  <c r="F53" i="124" s="1"/>
  <c r="G53" i="124" s="1"/>
  <c r="H53" i="124" s="1"/>
  <c r="I53" i="124" s="1"/>
  <c r="J53" i="124" s="1"/>
  <c r="K53" i="124" s="1"/>
  <c r="L53" i="124" s="1"/>
  <c r="M53" i="124" s="1"/>
  <c r="N53" i="124" s="1"/>
  <c r="O53" i="124" s="1"/>
  <c r="P53" i="124" s="1"/>
  <c r="Q53" i="124" s="1"/>
  <c r="R53" i="124" s="1"/>
  <c r="A16" i="124"/>
  <c r="A17" i="124" s="1"/>
  <c r="A18" i="124" s="1"/>
  <c r="A19" i="124" s="1"/>
  <c r="A20" i="124" s="1"/>
  <c r="A21" i="124" s="1"/>
  <c r="A22" i="124" s="1"/>
  <c r="A23" i="124" s="1"/>
  <c r="A24" i="124" s="1"/>
  <c r="A25" i="124" s="1"/>
  <c r="A26" i="124" s="1"/>
  <c r="A27" i="124" s="1"/>
  <c r="A28" i="124" s="1"/>
  <c r="A29" i="124" s="1"/>
  <c r="A30" i="124" s="1"/>
  <c r="A31" i="124" s="1"/>
  <c r="A32" i="124" s="1"/>
  <c r="A33" i="124" s="1"/>
  <c r="A34" i="124" s="1"/>
  <c r="A35" i="124" s="1"/>
  <c r="A36" i="124" s="1"/>
  <c r="A37" i="124" s="1"/>
  <c r="A38" i="124" s="1"/>
  <c r="A39" i="124" s="1"/>
  <c r="A40" i="124" s="1"/>
  <c r="A41" i="124" s="1"/>
  <c r="A42" i="124" s="1"/>
  <c r="A43" i="124" s="1"/>
  <c r="B13" i="124"/>
  <c r="C13" i="124" s="1"/>
  <c r="D13" i="124" s="1"/>
  <c r="E13" i="124" s="1"/>
  <c r="F13" i="124" s="1"/>
  <c r="G13" i="124" s="1"/>
  <c r="H13" i="124" s="1"/>
  <c r="I13" i="124" s="1"/>
  <c r="J13" i="124" s="1"/>
  <c r="K13" i="124" s="1"/>
  <c r="L13" i="124" s="1"/>
  <c r="M13" i="124" s="1"/>
  <c r="N13" i="124" s="1"/>
  <c r="O13" i="124" s="1"/>
  <c r="P13" i="124" s="1"/>
  <c r="Q13" i="124" s="1"/>
  <c r="R13" i="124" s="1"/>
  <c r="F125" i="125"/>
  <c r="E125" i="125"/>
  <c r="D125" i="125"/>
  <c r="C125" i="125"/>
  <c r="B125" i="125"/>
  <c r="A96" i="125"/>
  <c r="A97" i="125" s="1"/>
  <c r="A98" i="125" s="1"/>
  <c r="A99" i="125" s="1"/>
  <c r="A100" i="125" s="1"/>
  <c r="A101" i="125" s="1"/>
  <c r="A102" i="125" s="1"/>
  <c r="A103" i="125" s="1"/>
  <c r="A104" i="125" s="1"/>
  <c r="A105" i="125" s="1"/>
  <c r="A106" i="125" s="1"/>
  <c r="A107" i="125" s="1"/>
  <c r="A108" i="125" s="1"/>
  <c r="A109" i="125" s="1"/>
  <c r="A110" i="125" s="1"/>
  <c r="A111" i="125" s="1"/>
  <c r="A112" i="125" s="1"/>
  <c r="A113" i="125" s="1"/>
  <c r="A114" i="125" s="1"/>
  <c r="A115" i="125" s="1"/>
  <c r="A116" i="125" s="1"/>
  <c r="A117" i="125" s="1"/>
  <c r="A118" i="125" s="1"/>
  <c r="A119" i="125" s="1"/>
  <c r="A120" i="125" s="1"/>
  <c r="A121" i="125" s="1"/>
  <c r="A122" i="125" s="1"/>
  <c r="A123" i="125" s="1"/>
  <c r="B93" i="125"/>
  <c r="C93" i="125" s="1"/>
  <c r="D93" i="125" s="1"/>
  <c r="E93" i="125" s="1"/>
  <c r="F93" i="125" s="1"/>
  <c r="G93" i="125" s="1"/>
  <c r="H93" i="125" s="1"/>
  <c r="I93" i="125" s="1"/>
  <c r="J93" i="125" s="1"/>
  <c r="K93" i="125" s="1"/>
  <c r="L93" i="125" s="1"/>
  <c r="M93" i="125" s="1"/>
  <c r="N93" i="125" s="1"/>
  <c r="O93" i="125" s="1"/>
  <c r="P93" i="125" s="1"/>
  <c r="Q93" i="125" s="1"/>
  <c r="R93" i="125" s="1"/>
  <c r="A56" i="125"/>
  <c r="A57" i="125" s="1"/>
  <c r="A58" i="125" s="1"/>
  <c r="A59" i="125" s="1"/>
  <c r="A60" i="125" s="1"/>
  <c r="A61" i="125" s="1"/>
  <c r="A62" i="125" s="1"/>
  <c r="A63" i="125" s="1"/>
  <c r="A64" i="125" s="1"/>
  <c r="A65" i="125" s="1"/>
  <c r="A66" i="125" s="1"/>
  <c r="A67" i="125" s="1"/>
  <c r="A68" i="125" s="1"/>
  <c r="A69" i="125" s="1"/>
  <c r="A70" i="125" s="1"/>
  <c r="A71" i="125" s="1"/>
  <c r="A72" i="125" s="1"/>
  <c r="A73" i="125" s="1"/>
  <c r="A74" i="125" s="1"/>
  <c r="A75" i="125" s="1"/>
  <c r="A76" i="125" s="1"/>
  <c r="A77" i="125" s="1"/>
  <c r="A78" i="125" s="1"/>
  <c r="A79" i="125" s="1"/>
  <c r="A80" i="125" s="1"/>
  <c r="A81" i="125" s="1"/>
  <c r="A82" i="125" s="1"/>
  <c r="A83" i="125" s="1"/>
  <c r="B53" i="125"/>
  <c r="C53" i="125" s="1"/>
  <c r="D53" i="125" s="1"/>
  <c r="E53" i="125" s="1"/>
  <c r="F53" i="125" s="1"/>
  <c r="G53" i="125" s="1"/>
  <c r="H53" i="125" s="1"/>
  <c r="I53" i="125" s="1"/>
  <c r="J53" i="125" s="1"/>
  <c r="K53" i="125" s="1"/>
  <c r="L53" i="125" s="1"/>
  <c r="M53" i="125" s="1"/>
  <c r="N53" i="125" s="1"/>
  <c r="O53" i="125" s="1"/>
  <c r="P53" i="125" s="1"/>
  <c r="Q53" i="125" s="1"/>
  <c r="R53" i="125" s="1"/>
  <c r="K44" i="125"/>
  <c r="I44" i="125"/>
  <c r="J44" i="125" s="1"/>
  <c r="H44" i="125"/>
  <c r="G44" i="125"/>
  <c r="K43" i="125"/>
  <c r="K83" i="125" s="1"/>
  <c r="K42" i="125"/>
  <c r="K82" i="125" s="1"/>
  <c r="K41" i="125"/>
  <c r="K81" i="125" s="1"/>
  <c r="K40" i="125"/>
  <c r="K80" i="125" s="1"/>
  <c r="K38" i="125"/>
  <c r="K78" i="125" s="1"/>
  <c r="K37" i="125"/>
  <c r="K77" i="125" s="1"/>
  <c r="I37" i="125"/>
  <c r="I77" i="125" s="1"/>
  <c r="K36" i="125"/>
  <c r="K76" i="125" s="1"/>
  <c r="A16" i="125"/>
  <c r="A17" i="125" s="1"/>
  <c r="A18" i="125" s="1"/>
  <c r="A19" i="125" s="1"/>
  <c r="A20" i="125" s="1"/>
  <c r="A21" i="125" s="1"/>
  <c r="A22" i="125" s="1"/>
  <c r="A23" i="125" s="1"/>
  <c r="A24" i="125" s="1"/>
  <c r="A25" i="125" s="1"/>
  <c r="A26" i="125" s="1"/>
  <c r="A27" i="125" s="1"/>
  <c r="A28" i="125" s="1"/>
  <c r="A29" i="125" s="1"/>
  <c r="A30" i="125" s="1"/>
  <c r="A31" i="125" s="1"/>
  <c r="A32" i="125" s="1"/>
  <c r="A33" i="125" s="1"/>
  <c r="A34" i="125" s="1"/>
  <c r="A35" i="125" s="1"/>
  <c r="A36" i="125" s="1"/>
  <c r="A37" i="125" s="1"/>
  <c r="A38" i="125" s="1"/>
  <c r="A39" i="125" s="1"/>
  <c r="A40" i="125" s="1"/>
  <c r="A41" i="125" s="1"/>
  <c r="A42" i="125" s="1"/>
  <c r="A43" i="125" s="1"/>
  <c r="B13" i="125"/>
  <c r="C13" i="125" s="1"/>
  <c r="D13" i="125" s="1"/>
  <c r="E13" i="125" s="1"/>
  <c r="F13" i="125" s="1"/>
  <c r="G13" i="125" s="1"/>
  <c r="H13" i="125" s="1"/>
  <c r="I13" i="125" s="1"/>
  <c r="J13" i="125" s="1"/>
  <c r="K13" i="125" s="1"/>
  <c r="L13" i="125" s="1"/>
  <c r="M13" i="125" s="1"/>
  <c r="N13" i="125" s="1"/>
  <c r="O13" i="125" s="1"/>
  <c r="P13" i="125" s="1"/>
  <c r="Q13" i="125" s="1"/>
  <c r="R13" i="125" s="1"/>
  <c r="O84" i="123"/>
  <c r="K84" i="123"/>
  <c r="L84" i="123" s="1"/>
  <c r="I84" i="123"/>
  <c r="J84" i="123" s="1"/>
  <c r="H84" i="123"/>
  <c r="G84" i="123"/>
  <c r="F69" i="122"/>
  <c r="F85" i="122" s="1"/>
  <c r="E69" i="122"/>
  <c r="D69" i="122"/>
  <c r="C69" i="122"/>
  <c r="B69" i="122"/>
  <c r="F29" i="122"/>
  <c r="E29" i="122"/>
  <c r="D29" i="122"/>
  <c r="C29" i="122"/>
  <c r="F125" i="122"/>
  <c r="E125" i="122"/>
  <c r="D125" i="122"/>
  <c r="C125" i="122"/>
  <c r="B125" i="122"/>
  <c r="Q108" i="122"/>
  <c r="O108" i="122"/>
  <c r="Q107" i="122"/>
  <c r="O107" i="122"/>
  <c r="Q106" i="122"/>
  <c r="O106" i="122"/>
  <c r="Q105" i="122"/>
  <c r="O105" i="122"/>
  <c r="Q104" i="122"/>
  <c r="O104" i="122"/>
  <c r="Q103" i="122"/>
  <c r="O103" i="122"/>
  <c r="Q102" i="122"/>
  <c r="O102" i="122"/>
  <c r="Q101" i="122"/>
  <c r="O101" i="122"/>
  <c r="Q100" i="122"/>
  <c r="O100" i="122"/>
  <c r="Q99" i="122"/>
  <c r="O99" i="122"/>
  <c r="Q98" i="122"/>
  <c r="O98" i="122"/>
  <c r="Q97" i="122"/>
  <c r="O97" i="122"/>
  <c r="Q96" i="122"/>
  <c r="O96" i="122"/>
  <c r="A96" i="122"/>
  <c r="A97" i="122" s="1"/>
  <c r="A98" i="122" s="1"/>
  <c r="A99" i="122" s="1"/>
  <c r="A100" i="122" s="1"/>
  <c r="A101" i="122" s="1"/>
  <c r="A102" i="122" s="1"/>
  <c r="A103" i="122" s="1"/>
  <c r="A104" i="122" s="1"/>
  <c r="A105" i="122" s="1"/>
  <c r="A106" i="122" s="1"/>
  <c r="A107" i="122" s="1"/>
  <c r="A108" i="122" s="1"/>
  <c r="A109" i="122" s="1"/>
  <c r="A110" i="122" s="1"/>
  <c r="A111" i="122" s="1"/>
  <c r="A112" i="122" s="1"/>
  <c r="A113" i="122" s="1"/>
  <c r="A114" i="122" s="1"/>
  <c r="A115" i="122" s="1"/>
  <c r="A116" i="122" s="1"/>
  <c r="A117" i="122" s="1"/>
  <c r="A118" i="122" s="1"/>
  <c r="A119" i="122" s="1"/>
  <c r="A120" i="122" s="1"/>
  <c r="A121" i="122" s="1"/>
  <c r="A122" i="122" s="1"/>
  <c r="A123" i="122" s="1"/>
  <c r="Q95" i="122"/>
  <c r="O95" i="122"/>
  <c r="B93" i="122"/>
  <c r="C93" i="122" s="1"/>
  <c r="D93" i="122" s="1"/>
  <c r="E93" i="122" s="1"/>
  <c r="F93" i="122" s="1"/>
  <c r="G93" i="122" s="1"/>
  <c r="H93" i="122" s="1"/>
  <c r="I93" i="122" s="1"/>
  <c r="J93" i="122" s="1"/>
  <c r="K93" i="122" s="1"/>
  <c r="L93" i="122" s="1"/>
  <c r="M93" i="122" s="1"/>
  <c r="N93" i="122" s="1"/>
  <c r="O93" i="122" s="1"/>
  <c r="P93" i="122" s="1"/>
  <c r="Q93" i="122" s="1"/>
  <c r="R93" i="122" s="1"/>
  <c r="L82" i="122"/>
  <c r="I82" i="122"/>
  <c r="J82" i="122" s="1"/>
  <c r="L81" i="122"/>
  <c r="L79" i="122"/>
  <c r="L76" i="122"/>
  <c r="L75" i="122"/>
  <c r="L74" i="122"/>
  <c r="I72" i="122"/>
  <c r="J72" i="122" s="1"/>
  <c r="L71" i="122"/>
  <c r="L68" i="122"/>
  <c r="L108" i="122" s="1"/>
  <c r="K68" i="122"/>
  <c r="K108" i="122" s="1"/>
  <c r="I68" i="122"/>
  <c r="G68" i="122"/>
  <c r="G108" i="122" s="1"/>
  <c r="L67" i="122"/>
  <c r="L107" i="122" s="1"/>
  <c r="K67" i="122"/>
  <c r="K107" i="122" s="1"/>
  <c r="I67" i="122"/>
  <c r="G67" i="122"/>
  <c r="G107" i="122" s="1"/>
  <c r="L66" i="122"/>
  <c r="L106" i="122" s="1"/>
  <c r="K66" i="122"/>
  <c r="K106" i="122" s="1"/>
  <c r="I66" i="122"/>
  <c r="G66" i="122"/>
  <c r="G106" i="122" s="1"/>
  <c r="L65" i="122"/>
  <c r="L105" i="122" s="1"/>
  <c r="K65" i="122"/>
  <c r="K105" i="122" s="1"/>
  <c r="I65" i="122"/>
  <c r="G65" i="122"/>
  <c r="H65" i="122" s="1"/>
  <c r="H105" i="122" s="1"/>
  <c r="L64" i="122"/>
  <c r="L104" i="122" s="1"/>
  <c r="K64" i="122"/>
  <c r="K104" i="122" s="1"/>
  <c r="I64" i="122"/>
  <c r="G64" i="122"/>
  <c r="G104" i="122" s="1"/>
  <c r="L63" i="122"/>
  <c r="L103" i="122" s="1"/>
  <c r="K63" i="122"/>
  <c r="K103" i="122" s="1"/>
  <c r="I63" i="122"/>
  <c r="G63" i="122"/>
  <c r="G103" i="122" s="1"/>
  <c r="L62" i="122"/>
  <c r="L102" i="122" s="1"/>
  <c r="K62" i="122"/>
  <c r="K102" i="122" s="1"/>
  <c r="I62" i="122"/>
  <c r="G62" i="122"/>
  <c r="H62" i="122" s="1"/>
  <c r="H102" i="122" s="1"/>
  <c r="L61" i="122"/>
  <c r="L101" i="122" s="1"/>
  <c r="K61" i="122"/>
  <c r="K101" i="122" s="1"/>
  <c r="I61" i="122"/>
  <c r="G61" i="122"/>
  <c r="G101" i="122" s="1"/>
  <c r="L60" i="122"/>
  <c r="L100" i="122" s="1"/>
  <c r="K60" i="122"/>
  <c r="K100" i="122" s="1"/>
  <c r="I60" i="122"/>
  <c r="G60" i="122"/>
  <c r="G100" i="122" s="1"/>
  <c r="L59" i="122"/>
  <c r="L99" i="122" s="1"/>
  <c r="K59" i="122"/>
  <c r="K99" i="122" s="1"/>
  <c r="I59" i="122"/>
  <c r="G59" i="122"/>
  <c r="H59" i="122" s="1"/>
  <c r="H99" i="122" s="1"/>
  <c r="L58" i="122"/>
  <c r="L98" i="122" s="1"/>
  <c r="K58" i="122"/>
  <c r="K98" i="122" s="1"/>
  <c r="I58" i="122"/>
  <c r="G58" i="122"/>
  <c r="G98" i="122" s="1"/>
  <c r="L57" i="122"/>
  <c r="L97" i="122" s="1"/>
  <c r="K57" i="122"/>
  <c r="K97" i="122" s="1"/>
  <c r="I57" i="122"/>
  <c r="G57" i="122"/>
  <c r="G97" i="122" s="1"/>
  <c r="L56" i="122"/>
  <c r="L96" i="122" s="1"/>
  <c r="K56" i="122"/>
  <c r="K96" i="122" s="1"/>
  <c r="I56" i="122"/>
  <c r="G56" i="122"/>
  <c r="G96" i="122" s="1"/>
  <c r="A56" i="122"/>
  <c r="A57" i="122" s="1"/>
  <c r="A58" i="122" s="1"/>
  <c r="A59" i="122" s="1"/>
  <c r="A60" i="122" s="1"/>
  <c r="A61" i="122" s="1"/>
  <c r="A62" i="122" s="1"/>
  <c r="A63" i="122" s="1"/>
  <c r="A64" i="122" s="1"/>
  <c r="A65" i="122" s="1"/>
  <c r="A66" i="122" s="1"/>
  <c r="A67" i="122" s="1"/>
  <c r="A68" i="122" s="1"/>
  <c r="A69" i="122" s="1"/>
  <c r="A70" i="122" s="1"/>
  <c r="A71" i="122" s="1"/>
  <c r="A72" i="122" s="1"/>
  <c r="A73" i="122" s="1"/>
  <c r="A74" i="122" s="1"/>
  <c r="A75" i="122" s="1"/>
  <c r="A76" i="122" s="1"/>
  <c r="A77" i="122" s="1"/>
  <c r="A78" i="122" s="1"/>
  <c r="A79" i="122" s="1"/>
  <c r="A80" i="122" s="1"/>
  <c r="A81" i="122" s="1"/>
  <c r="A82" i="122" s="1"/>
  <c r="A83" i="122" s="1"/>
  <c r="L55" i="122"/>
  <c r="L95" i="122" s="1"/>
  <c r="K55" i="122"/>
  <c r="K95" i="122" s="1"/>
  <c r="I55" i="122"/>
  <c r="G55" i="122"/>
  <c r="G95" i="122" s="1"/>
  <c r="B53" i="122"/>
  <c r="C53" i="122" s="1"/>
  <c r="D53" i="122" s="1"/>
  <c r="E53" i="122" s="1"/>
  <c r="F53" i="122" s="1"/>
  <c r="G53" i="122" s="1"/>
  <c r="H53" i="122" s="1"/>
  <c r="I53" i="122" s="1"/>
  <c r="J53" i="122" s="1"/>
  <c r="K53" i="122" s="1"/>
  <c r="L53" i="122" s="1"/>
  <c r="M53" i="122" s="1"/>
  <c r="N53" i="122" s="1"/>
  <c r="O53" i="122" s="1"/>
  <c r="P53" i="122" s="1"/>
  <c r="Q53" i="122" s="1"/>
  <c r="R53" i="122" s="1"/>
  <c r="L44" i="122"/>
  <c r="L124" i="122" s="1"/>
  <c r="K44" i="122"/>
  <c r="K124" i="122" s="1"/>
  <c r="J44" i="122"/>
  <c r="I44" i="122"/>
  <c r="I124" i="122" s="1"/>
  <c r="H44" i="122"/>
  <c r="H124" i="122" s="1"/>
  <c r="G44" i="122"/>
  <c r="G124" i="122" s="1"/>
  <c r="K43" i="122"/>
  <c r="K42" i="122"/>
  <c r="I42" i="122"/>
  <c r="K41" i="122"/>
  <c r="K40" i="122"/>
  <c r="I40" i="122"/>
  <c r="K39" i="122"/>
  <c r="I39" i="122"/>
  <c r="K38" i="122"/>
  <c r="I37" i="122"/>
  <c r="K37" i="122"/>
  <c r="K36" i="122"/>
  <c r="L36" i="122" s="1"/>
  <c r="K35" i="122"/>
  <c r="K34" i="122"/>
  <c r="K33" i="122"/>
  <c r="K32" i="122"/>
  <c r="I32" i="122"/>
  <c r="K30" i="122"/>
  <c r="L30" i="122" s="1"/>
  <c r="A16" i="122"/>
  <c r="A17" i="122" s="1"/>
  <c r="A18" i="122" s="1"/>
  <c r="A19" i="122" s="1"/>
  <c r="A20" i="122" s="1"/>
  <c r="A21" i="122" s="1"/>
  <c r="A22" i="122" s="1"/>
  <c r="A23" i="122" s="1"/>
  <c r="A24" i="122" s="1"/>
  <c r="A25" i="122" s="1"/>
  <c r="A26" i="122" s="1"/>
  <c r="A27" i="122" s="1"/>
  <c r="A28" i="122" s="1"/>
  <c r="A29" i="122" s="1"/>
  <c r="A30" i="122" s="1"/>
  <c r="A31" i="122" s="1"/>
  <c r="A32" i="122" s="1"/>
  <c r="A33" i="122" s="1"/>
  <c r="A34" i="122" s="1"/>
  <c r="A35" i="122" s="1"/>
  <c r="A36" i="122" s="1"/>
  <c r="A37" i="122" s="1"/>
  <c r="A38" i="122" s="1"/>
  <c r="A39" i="122" s="1"/>
  <c r="A40" i="122" s="1"/>
  <c r="A41" i="122" s="1"/>
  <c r="A42" i="122" s="1"/>
  <c r="A43" i="122" s="1"/>
  <c r="B13" i="122"/>
  <c r="C13" i="122" s="1"/>
  <c r="D13" i="122" s="1"/>
  <c r="E13" i="122" s="1"/>
  <c r="F13" i="122" s="1"/>
  <c r="G13" i="122" s="1"/>
  <c r="H13" i="122" s="1"/>
  <c r="I13" i="122" s="1"/>
  <c r="J13" i="122" s="1"/>
  <c r="K13" i="122" s="1"/>
  <c r="L13" i="122" s="1"/>
  <c r="M13" i="122" s="1"/>
  <c r="N13" i="122" s="1"/>
  <c r="O13" i="122" s="1"/>
  <c r="P13" i="122" s="1"/>
  <c r="Q13" i="122" s="1"/>
  <c r="R13" i="122" s="1"/>
  <c r="O84" i="121"/>
  <c r="F43" i="121"/>
  <c r="F43" i="139" s="1"/>
  <c r="E43" i="121"/>
  <c r="D43" i="121"/>
  <c r="D43" i="139" s="1"/>
  <c r="C43" i="121"/>
  <c r="C43" i="139" s="1"/>
  <c r="B43" i="121"/>
  <c r="B43" i="139" s="1"/>
  <c r="F42" i="121"/>
  <c r="F42" i="139" s="1"/>
  <c r="E42" i="121"/>
  <c r="D42" i="121"/>
  <c r="D42" i="139" s="1"/>
  <c r="C42" i="121"/>
  <c r="C42" i="139" s="1"/>
  <c r="B42" i="121"/>
  <c r="B42" i="139" s="1"/>
  <c r="F41" i="121"/>
  <c r="F41" i="139" s="1"/>
  <c r="E41" i="121"/>
  <c r="D41" i="121"/>
  <c r="D41" i="139" s="1"/>
  <c r="C41" i="121"/>
  <c r="C41" i="139" s="1"/>
  <c r="B41" i="121"/>
  <c r="B41" i="139" s="1"/>
  <c r="F40" i="121"/>
  <c r="F40" i="139" s="1"/>
  <c r="E40" i="121"/>
  <c r="D40" i="121"/>
  <c r="D40" i="139" s="1"/>
  <c r="C40" i="121"/>
  <c r="C40" i="139" s="1"/>
  <c r="B40" i="121"/>
  <c r="B40" i="139" s="1"/>
  <c r="F39" i="121"/>
  <c r="F39" i="139" s="1"/>
  <c r="E39" i="121"/>
  <c r="D39" i="121"/>
  <c r="D39" i="139" s="1"/>
  <c r="C39" i="121"/>
  <c r="C39" i="139" s="1"/>
  <c r="F38" i="121"/>
  <c r="F38" i="139" s="1"/>
  <c r="E38" i="121"/>
  <c r="E38" i="139" s="1"/>
  <c r="D38" i="121"/>
  <c r="D38" i="139" s="1"/>
  <c r="C38" i="121"/>
  <c r="C38" i="139" s="1"/>
  <c r="B38" i="121"/>
  <c r="B38" i="139" s="1"/>
  <c r="F37" i="121"/>
  <c r="F37" i="139" s="1"/>
  <c r="E37" i="121"/>
  <c r="D37" i="121"/>
  <c r="D37" i="139" s="1"/>
  <c r="C37" i="121"/>
  <c r="C37" i="139" s="1"/>
  <c r="B37" i="121"/>
  <c r="B37" i="139" s="1"/>
  <c r="F36" i="121"/>
  <c r="F36" i="139" s="1"/>
  <c r="E36" i="121"/>
  <c r="D36" i="121"/>
  <c r="D36" i="139" s="1"/>
  <c r="C36" i="121"/>
  <c r="C36" i="139" s="1"/>
  <c r="B36" i="121"/>
  <c r="B36" i="139" s="1"/>
  <c r="F35" i="121"/>
  <c r="F35" i="139" s="1"/>
  <c r="E35" i="121"/>
  <c r="D35" i="121"/>
  <c r="D35" i="139" s="1"/>
  <c r="C35" i="121"/>
  <c r="C35" i="139" s="1"/>
  <c r="B35" i="121"/>
  <c r="B35" i="139" s="1"/>
  <c r="F34" i="121"/>
  <c r="F34" i="139" s="1"/>
  <c r="E34" i="121"/>
  <c r="D34" i="121"/>
  <c r="D34" i="139" s="1"/>
  <c r="C34" i="121"/>
  <c r="C34" i="139" s="1"/>
  <c r="B34" i="121"/>
  <c r="F33" i="121"/>
  <c r="F33" i="139" s="1"/>
  <c r="E33" i="121"/>
  <c r="D33" i="121"/>
  <c r="D33" i="139" s="1"/>
  <c r="C33" i="121"/>
  <c r="C33" i="139" s="1"/>
  <c r="B33" i="121"/>
  <c r="B33" i="139" s="1"/>
  <c r="F32" i="121"/>
  <c r="F32" i="139" s="1"/>
  <c r="E32" i="121"/>
  <c r="D32" i="121"/>
  <c r="D32" i="139" s="1"/>
  <c r="C32" i="121"/>
  <c r="C32" i="139" s="1"/>
  <c r="B32" i="121"/>
  <c r="B32" i="139" s="1"/>
  <c r="F31" i="121"/>
  <c r="F31" i="139" s="1"/>
  <c r="E31" i="121"/>
  <c r="D31" i="121"/>
  <c r="D31" i="139" s="1"/>
  <c r="C31" i="121"/>
  <c r="B31" i="121"/>
  <c r="B31" i="139" s="1"/>
  <c r="F30" i="121"/>
  <c r="F30" i="139" s="1"/>
  <c r="E30" i="121"/>
  <c r="D30" i="121"/>
  <c r="D30" i="139" s="1"/>
  <c r="C30" i="121"/>
  <c r="C30" i="139" s="1"/>
  <c r="B30" i="121"/>
  <c r="B30" i="139" s="1"/>
  <c r="F29" i="121"/>
  <c r="D29" i="121"/>
  <c r="F83" i="121"/>
  <c r="F83" i="139" s="1"/>
  <c r="E83" i="121"/>
  <c r="E83" i="139" s="1"/>
  <c r="D83" i="121"/>
  <c r="D83" i="139" s="1"/>
  <c r="C83" i="121"/>
  <c r="C83" i="139" s="1"/>
  <c r="F82" i="121"/>
  <c r="F82" i="139" s="1"/>
  <c r="E82" i="121"/>
  <c r="E82" i="139" s="1"/>
  <c r="D82" i="121"/>
  <c r="D82" i="139" s="1"/>
  <c r="C82" i="121"/>
  <c r="C82" i="139" s="1"/>
  <c r="F81" i="121"/>
  <c r="F81" i="139" s="1"/>
  <c r="E81" i="121"/>
  <c r="E81" i="139" s="1"/>
  <c r="D81" i="121"/>
  <c r="D81" i="139" s="1"/>
  <c r="C81" i="121"/>
  <c r="C81" i="139" s="1"/>
  <c r="F80" i="121"/>
  <c r="F80" i="139" s="1"/>
  <c r="E80" i="121"/>
  <c r="E80" i="139" s="1"/>
  <c r="D80" i="121"/>
  <c r="D80" i="139" s="1"/>
  <c r="C80" i="121"/>
  <c r="C80" i="139" s="1"/>
  <c r="F79" i="121"/>
  <c r="F79" i="139" s="1"/>
  <c r="E79" i="121"/>
  <c r="E79" i="139" s="1"/>
  <c r="D79" i="121"/>
  <c r="D79" i="139" s="1"/>
  <c r="C79" i="121"/>
  <c r="C79" i="139" s="1"/>
  <c r="F78" i="121"/>
  <c r="F78" i="139" s="1"/>
  <c r="E78" i="121"/>
  <c r="E78" i="139" s="1"/>
  <c r="D78" i="121"/>
  <c r="D78" i="139" s="1"/>
  <c r="C78" i="121"/>
  <c r="C78" i="139" s="1"/>
  <c r="F77" i="121"/>
  <c r="F77" i="139" s="1"/>
  <c r="E77" i="121"/>
  <c r="E77" i="139" s="1"/>
  <c r="D77" i="121"/>
  <c r="D77" i="139" s="1"/>
  <c r="C77" i="121"/>
  <c r="C77" i="139" s="1"/>
  <c r="F76" i="121"/>
  <c r="F76" i="139" s="1"/>
  <c r="E76" i="121"/>
  <c r="E76" i="139" s="1"/>
  <c r="D76" i="121"/>
  <c r="D76" i="139" s="1"/>
  <c r="C76" i="121"/>
  <c r="C76" i="139" s="1"/>
  <c r="F75" i="121"/>
  <c r="F75" i="139" s="1"/>
  <c r="E75" i="121"/>
  <c r="E75" i="139" s="1"/>
  <c r="D75" i="121"/>
  <c r="D75" i="139" s="1"/>
  <c r="C75" i="121"/>
  <c r="C75" i="139" s="1"/>
  <c r="F74" i="121"/>
  <c r="F74" i="139" s="1"/>
  <c r="E74" i="121"/>
  <c r="E74" i="139" s="1"/>
  <c r="D74" i="121"/>
  <c r="D74" i="139" s="1"/>
  <c r="C74" i="121"/>
  <c r="C74" i="139" s="1"/>
  <c r="F73" i="121"/>
  <c r="F73" i="139" s="1"/>
  <c r="E73" i="121"/>
  <c r="E73" i="139" s="1"/>
  <c r="D73" i="121"/>
  <c r="D73" i="139" s="1"/>
  <c r="C73" i="121"/>
  <c r="C73" i="139" s="1"/>
  <c r="F72" i="121"/>
  <c r="F72" i="139" s="1"/>
  <c r="E72" i="121"/>
  <c r="E72" i="139" s="1"/>
  <c r="D72" i="121"/>
  <c r="D72" i="139" s="1"/>
  <c r="C72" i="121"/>
  <c r="C72" i="139" s="1"/>
  <c r="F71" i="121"/>
  <c r="F71" i="139" s="1"/>
  <c r="E71" i="121"/>
  <c r="E71" i="139" s="1"/>
  <c r="D71" i="121"/>
  <c r="D71" i="139" s="1"/>
  <c r="C71" i="121"/>
  <c r="C71" i="139" s="1"/>
  <c r="F70" i="121"/>
  <c r="F70" i="139" s="1"/>
  <c r="E70" i="121"/>
  <c r="E70" i="139" s="1"/>
  <c r="D70" i="121"/>
  <c r="D70" i="139" s="1"/>
  <c r="C70" i="121"/>
  <c r="C70" i="139" s="1"/>
  <c r="F69" i="121"/>
  <c r="F69" i="139" s="1"/>
  <c r="E69" i="121"/>
  <c r="E69" i="139" s="1"/>
  <c r="D69" i="121"/>
  <c r="D69" i="139" s="1"/>
  <c r="C69" i="121"/>
  <c r="B83" i="121"/>
  <c r="B83" i="139" s="1"/>
  <c r="B82" i="121"/>
  <c r="B82" i="139" s="1"/>
  <c r="B81" i="121"/>
  <c r="B81" i="139" s="1"/>
  <c r="B80" i="121"/>
  <c r="B80" i="139" s="1"/>
  <c r="B79" i="121"/>
  <c r="B79" i="139" s="1"/>
  <c r="B78" i="121"/>
  <c r="B78" i="139" s="1"/>
  <c r="B77" i="121"/>
  <c r="B77" i="139" s="1"/>
  <c r="B76" i="121"/>
  <c r="B76" i="139" s="1"/>
  <c r="B75" i="121"/>
  <c r="B75" i="139" s="1"/>
  <c r="B74" i="121"/>
  <c r="B74" i="139" s="1"/>
  <c r="B73" i="121"/>
  <c r="B73" i="139" s="1"/>
  <c r="B72" i="121"/>
  <c r="B72" i="139" s="1"/>
  <c r="B71" i="121"/>
  <c r="B71" i="139" s="1"/>
  <c r="B70" i="121"/>
  <c r="B70" i="139" s="1"/>
  <c r="B69" i="121"/>
  <c r="B69" i="139" s="1"/>
  <c r="K44" i="120"/>
  <c r="B44" i="120"/>
  <c r="J44" i="120" s="1"/>
  <c r="K43" i="120"/>
  <c r="L42" i="120"/>
  <c r="L41" i="120"/>
  <c r="I41" i="120"/>
  <c r="K40" i="120"/>
  <c r="J40" i="120"/>
  <c r="J39" i="120"/>
  <c r="L38" i="120"/>
  <c r="J38" i="120"/>
  <c r="K37" i="120"/>
  <c r="I37" i="120"/>
  <c r="H36" i="120"/>
  <c r="G36" i="120"/>
  <c r="K35" i="120"/>
  <c r="L34" i="120"/>
  <c r="K34" i="120"/>
  <c r="G33" i="120"/>
  <c r="K32" i="120"/>
  <c r="J32" i="120"/>
  <c r="I32" i="120"/>
  <c r="K31" i="120"/>
  <c r="L30" i="120"/>
  <c r="L29" i="120"/>
  <c r="I29" i="120"/>
  <c r="K28" i="120"/>
  <c r="K28" i="139" s="1"/>
  <c r="H28" i="120"/>
  <c r="H28" i="139" s="1"/>
  <c r="J27" i="120"/>
  <c r="J27" i="139" s="1"/>
  <c r="L26" i="120"/>
  <c r="L26" i="139" s="1"/>
  <c r="J26" i="120"/>
  <c r="J26" i="139" s="1"/>
  <c r="K25" i="120"/>
  <c r="K25" i="139" s="1"/>
  <c r="I25" i="120"/>
  <c r="I25" i="139" s="1"/>
  <c r="J24" i="120"/>
  <c r="J24" i="139" s="1"/>
  <c r="L23" i="120"/>
  <c r="L23" i="139" s="1"/>
  <c r="K23" i="120"/>
  <c r="K23" i="139" s="1"/>
  <c r="L22" i="120"/>
  <c r="L22" i="139" s="1"/>
  <c r="K22" i="120"/>
  <c r="K22" i="139" s="1"/>
  <c r="L21" i="120"/>
  <c r="L21" i="139" s="1"/>
  <c r="K20" i="120"/>
  <c r="K20" i="139" s="1"/>
  <c r="L19" i="120"/>
  <c r="L19" i="139" s="1"/>
  <c r="K19" i="120"/>
  <c r="K19" i="139" s="1"/>
  <c r="L18" i="120"/>
  <c r="L18" i="139" s="1"/>
  <c r="L17" i="120"/>
  <c r="L17" i="139" s="1"/>
  <c r="I17" i="120"/>
  <c r="I17" i="139" s="1"/>
  <c r="K16" i="120"/>
  <c r="K16" i="139" s="1"/>
  <c r="M44" i="120"/>
  <c r="L44" i="120"/>
  <c r="L43" i="120"/>
  <c r="K42" i="120"/>
  <c r="J42" i="120"/>
  <c r="G42" i="120"/>
  <c r="K41" i="120"/>
  <c r="J41" i="120"/>
  <c r="L40" i="120"/>
  <c r="I40" i="120"/>
  <c r="L39" i="120"/>
  <c r="K39" i="120"/>
  <c r="I39" i="120"/>
  <c r="G39" i="120"/>
  <c r="K38" i="120"/>
  <c r="L37" i="120"/>
  <c r="L36" i="120"/>
  <c r="K36" i="120"/>
  <c r="I36" i="120"/>
  <c r="I35" i="120"/>
  <c r="J34" i="120"/>
  <c r="L33" i="120"/>
  <c r="K33" i="120"/>
  <c r="J33" i="120"/>
  <c r="L32" i="120"/>
  <c r="H32" i="120"/>
  <c r="L31" i="120"/>
  <c r="K30" i="120"/>
  <c r="J30" i="120"/>
  <c r="G30" i="120"/>
  <c r="K29" i="120"/>
  <c r="J29" i="120"/>
  <c r="L28" i="120"/>
  <c r="L28" i="139" s="1"/>
  <c r="I28" i="120"/>
  <c r="I28" i="139" s="1"/>
  <c r="L27" i="120"/>
  <c r="L27" i="139" s="1"/>
  <c r="K27" i="120"/>
  <c r="K27" i="139" s="1"/>
  <c r="I27" i="120"/>
  <c r="I27" i="139" s="1"/>
  <c r="G27" i="120"/>
  <c r="G27" i="139" s="1"/>
  <c r="K26" i="120"/>
  <c r="K26" i="139" s="1"/>
  <c r="L25" i="120"/>
  <c r="L25" i="139" s="1"/>
  <c r="L24" i="120"/>
  <c r="L24" i="139" s="1"/>
  <c r="K24" i="120"/>
  <c r="K24" i="139" s="1"/>
  <c r="I24" i="120"/>
  <c r="I24" i="139" s="1"/>
  <c r="K21" i="120"/>
  <c r="K21" i="139" s="1"/>
  <c r="J21" i="120"/>
  <c r="J21" i="139" s="1"/>
  <c r="L20" i="120"/>
  <c r="L20" i="139" s="1"/>
  <c r="K18" i="120"/>
  <c r="K18" i="139" s="1"/>
  <c r="J18" i="120"/>
  <c r="J18" i="139" s="1"/>
  <c r="K17" i="120"/>
  <c r="K17" i="139" s="1"/>
  <c r="J17" i="120"/>
  <c r="J17" i="139" s="1"/>
  <c r="L16" i="120"/>
  <c r="L16" i="139" s="1"/>
  <c r="AE37" i="54"/>
  <c r="AE38" i="54" s="1"/>
  <c r="AE39" i="54" s="1"/>
  <c r="AE40" i="54" s="1"/>
  <c r="AE41" i="54" s="1"/>
  <c r="AE42" i="54" s="1"/>
  <c r="AE43" i="54" s="1"/>
  <c r="AE44" i="54" s="1"/>
  <c r="AE45" i="54" s="1"/>
  <c r="AE46" i="54" s="1"/>
  <c r="AE47" i="54" s="1"/>
  <c r="AE48" i="54" s="1"/>
  <c r="AE49" i="54" s="1"/>
  <c r="AE50" i="54" s="1"/>
  <c r="AE37" i="55"/>
  <c r="AE38" i="55" s="1"/>
  <c r="AE39" i="55" s="1"/>
  <c r="AE40" i="55" s="1"/>
  <c r="AE41" i="55" s="1"/>
  <c r="AE42" i="55" s="1"/>
  <c r="AE43" i="55" s="1"/>
  <c r="AE44" i="55" s="1"/>
  <c r="AE45" i="55" s="1"/>
  <c r="AE46" i="55" s="1"/>
  <c r="AE47" i="55" s="1"/>
  <c r="AE48" i="55" s="1"/>
  <c r="AE49" i="55" s="1"/>
  <c r="AE50" i="55" s="1"/>
  <c r="I47" i="108"/>
  <c r="AX37" i="105"/>
  <c r="D29" i="139" l="1"/>
  <c r="D45" i="139" s="1"/>
  <c r="AJ52" i="55"/>
  <c r="F29" i="139"/>
  <c r="F45" i="139" s="1"/>
  <c r="B34" i="139"/>
  <c r="C16" i="20"/>
  <c r="F85" i="139"/>
  <c r="H44" i="120"/>
  <c r="C69" i="139"/>
  <c r="C85" i="139" s="1"/>
  <c r="E85" i="139"/>
  <c r="B85" i="139"/>
  <c r="I50" i="108"/>
  <c r="I30" i="27"/>
  <c r="I49" i="27" s="1"/>
  <c r="I49" i="55"/>
  <c r="AW33" i="105"/>
  <c r="AX40" i="105"/>
  <c r="K78" i="126"/>
  <c r="K78" i="140" s="1"/>
  <c r="K38" i="140"/>
  <c r="H80" i="126"/>
  <c r="K80" i="126"/>
  <c r="K80" i="140" s="1"/>
  <c r="K40" i="140"/>
  <c r="K81" i="126"/>
  <c r="K81" i="140" s="1"/>
  <c r="K41" i="140"/>
  <c r="K82" i="126"/>
  <c r="K82" i="140" s="1"/>
  <c r="K42" i="140"/>
  <c r="K83" i="126"/>
  <c r="K83" i="140" s="1"/>
  <c r="K43" i="140"/>
  <c r="K77" i="126"/>
  <c r="K77" i="140" s="1"/>
  <c r="K37" i="140"/>
  <c r="H76" i="126"/>
  <c r="K76" i="126"/>
  <c r="K76" i="140" s="1"/>
  <c r="K36" i="140"/>
  <c r="I77" i="126"/>
  <c r="I77" i="140" s="1"/>
  <c r="I37" i="140"/>
  <c r="K40" i="121"/>
  <c r="L40" i="121" s="1"/>
  <c r="E40" i="139"/>
  <c r="I31" i="121"/>
  <c r="J31" i="121" s="1"/>
  <c r="C31" i="139"/>
  <c r="K33" i="121"/>
  <c r="L33" i="121" s="1"/>
  <c r="E33" i="139"/>
  <c r="K31" i="121"/>
  <c r="L31" i="121" s="1"/>
  <c r="E31" i="139"/>
  <c r="K43" i="121"/>
  <c r="L43" i="121" s="1"/>
  <c r="E43" i="139"/>
  <c r="AW42" i="105"/>
  <c r="K36" i="121"/>
  <c r="L36" i="121" s="1"/>
  <c r="E36" i="139"/>
  <c r="K41" i="121"/>
  <c r="L41" i="121" s="1"/>
  <c r="E41" i="139"/>
  <c r="D85" i="139"/>
  <c r="K34" i="121"/>
  <c r="K34" i="139" s="1"/>
  <c r="E34" i="139"/>
  <c r="K39" i="121"/>
  <c r="E39" i="139"/>
  <c r="K32" i="121"/>
  <c r="K32" i="139" s="1"/>
  <c r="E32" i="139"/>
  <c r="K37" i="121"/>
  <c r="E37" i="139"/>
  <c r="AX43" i="105"/>
  <c r="K30" i="121"/>
  <c r="K30" i="139" s="1"/>
  <c r="E30" i="139"/>
  <c r="K42" i="121"/>
  <c r="L42" i="121" s="1"/>
  <c r="E42" i="139"/>
  <c r="K35" i="121"/>
  <c r="L35" i="121" s="1"/>
  <c r="E35" i="139"/>
  <c r="AW32" i="105"/>
  <c r="AW78" i="105"/>
  <c r="H55" i="122"/>
  <c r="AX77" i="105"/>
  <c r="AX117" i="105" s="1"/>
  <c r="S93" i="125"/>
  <c r="T93" i="125" s="1"/>
  <c r="U93" i="125" s="1"/>
  <c r="V93" i="125" s="1"/>
  <c r="S53" i="122"/>
  <c r="T53" i="122" s="1"/>
  <c r="U53" i="122" s="1"/>
  <c r="V53" i="122" s="1"/>
  <c r="S53" i="124"/>
  <c r="T53" i="124" s="1"/>
  <c r="U53" i="124" s="1"/>
  <c r="V53" i="124" s="1"/>
  <c r="S53" i="125"/>
  <c r="T53" i="125" s="1"/>
  <c r="U53" i="125" s="1"/>
  <c r="V53" i="125" s="1"/>
  <c r="S13" i="125"/>
  <c r="T13" i="125" s="1"/>
  <c r="U13" i="125" s="1"/>
  <c r="V13" i="125" s="1"/>
  <c r="W13" i="125" s="1"/>
  <c r="AW75" i="105"/>
  <c r="AW35" i="105"/>
  <c r="AW84" i="105"/>
  <c r="AW44" i="105"/>
  <c r="L69" i="122"/>
  <c r="AX74" i="105"/>
  <c r="AX34" i="105"/>
  <c r="AW31" i="105"/>
  <c r="S13" i="124"/>
  <c r="T13" i="124" s="1"/>
  <c r="U13" i="124" s="1"/>
  <c r="V13" i="124" s="1"/>
  <c r="W13" i="124" s="1"/>
  <c r="X52" i="55"/>
  <c r="S93" i="124"/>
  <c r="T93" i="124" s="1"/>
  <c r="U93" i="124" s="1"/>
  <c r="V93" i="124" s="1"/>
  <c r="Z52" i="55"/>
  <c r="AX36" i="105"/>
  <c r="E19" i="81"/>
  <c r="AX39" i="105"/>
  <c r="I46" i="108"/>
  <c r="AX42" i="105"/>
  <c r="AX45" i="105"/>
  <c r="AG52" i="55"/>
  <c r="AW36" i="105"/>
  <c r="AW76" i="105"/>
  <c r="AW39" i="105"/>
  <c r="AW79" i="105"/>
  <c r="I34" i="121"/>
  <c r="J34" i="121" s="1"/>
  <c r="S93" i="122"/>
  <c r="T93" i="122" s="1"/>
  <c r="U93" i="122" s="1"/>
  <c r="V93" i="122" s="1"/>
  <c r="AH52" i="55"/>
  <c r="AI52" i="55"/>
  <c r="AX35" i="105"/>
  <c r="AX38" i="105"/>
  <c r="AX41" i="105"/>
  <c r="AX44" i="105"/>
  <c r="S13" i="122"/>
  <c r="T13" i="122" s="1"/>
  <c r="U13" i="122" s="1"/>
  <c r="V13" i="122" s="1"/>
  <c r="W13" i="122" s="1"/>
  <c r="I69" i="122"/>
  <c r="J69" i="122" s="1"/>
  <c r="H63" i="122"/>
  <c r="H103" i="122" s="1"/>
  <c r="H58" i="122"/>
  <c r="H98" i="122" s="1"/>
  <c r="H61" i="122"/>
  <c r="H101" i="122" s="1"/>
  <c r="H64" i="122"/>
  <c r="H104" i="122" s="1"/>
  <c r="H67" i="122"/>
  <c r="H107" i="122" s="1"/>
  <c r="N84" i="121"/>
  <c r="Q84" i="121" s="1"/>
  <c r="G99" i="122"/>
  <c r="H56" i="122"/>
  <c r="H96" i="122" s="1"/>
  <c r="H68" i="122"/>
  <c r="H108" i="122" s="1"/>
  <c r="G102" i="122"/>
  <c r="G105" i="122"/>
  <c r="H66" i="122"/>
  <c r="H106" i="122" s="1"/>
  <c r="H57" i="122"/>
  <c r="H97" i="122" s="1"/>
  <c r="H60" i="122"/>
  <c r="H100" i="122" s="1"/>
  <c r="G93" i="126"/>
  <c r="H93" i="126" s="1"/>
  <c r="I93" i="126" s="1"/>
  <c r="J93" i="126" s="1"/>
  <c r="K93" i="126" s="1"/>
  <c r="L93" i="126" s="1"/>
  <c r="M93" i="126" s="1"/>
  <c r="N93" i="126" s="1"/>
  <c r="O93" i="126" s="1"/>
  <c r="P93" i="126" s="1"/>
  <c r="Q93" i="126" s="1"/>
  <c r="R93" i="126" s="1"/>
  <c r="S93" i="126" s="1"/>
  <c r="T93" i="126" s="1"/>
  <c r="U93" i="126" s="1"/>
  <c r="V93" i="126" s="1"/>
  <c r="X93" i="126" s="1"/>
  <c r="S53" i="126"/>
  <c r="U53" i="126" s="1"/>
  <c r="V53" i="126" s="1"/>
  <c r="S13" i="126"/>
  <c r="T13" i="126" s="1"/>
  <c r="U13" i="126" s="1"/>
  <c r="K75" i="126"/>
  <c r="J44" i="126"/>
  <c r="I124" i="126"/>
  <c r="L44" i="126"/>
  <c r="K124" i="126"/>
  <c r="L43" i="125"/>
  <c r="L83" i="125" s="1"/>
  <c r="I44" i="120"/>
  <c r="J84" i="124"/>
  <c r="L84" i="126"/>
  <c r="L44" i="124" s="1"/>
  <c r="H84" i="125"/>
  <c r="H124" i="125" s="1"/>
  <c r="I84" i="125"/>
  <c r="K84" i="125"/>
  <c r="K124" i="125" s="1"/>
  <c r="L40" i="125"/>
  <c r="L80" i="125" s="1"/>
  <c r="I43" i="125"/>
  <c r="I83" i="125" s="1"/>
  <c r="G36" i="125"/>
  <c r="G76" i="125" s="1"/>
  <c r="I42" i="121"/>
  <c r="J42" i="121" s="1"/>
  <c r="H17" i="120"/>
  <c r="H17" i="139" s="1"/>
  <c r="G37" i="120"/>
  <c r="G25" i="120"/>
  <c r="G25" i="139" s="1"/>
  <c r="J25" i="120"/>
  <c r="J25" i="139" s="1"/>
  <c r="I23" i="120"/>
  <c r="I23" i="139" s="1"/>
  <c r="H20" i="120"/>
  <c r="H20" i="139" s="1"/>
  <c r="H19" i="120"/>
  <c r="H19" i="139" s="1"/>
  <c r="I21" i="120"/>
  <c r="I21" i="139" s="1"/>
  <c r="I20" i="120"/>
  <c r="I20" i="139" s="1"/>
  <c r="G18" i="120"/>
  <c r="G18" i="139" s="1"/>
  <c r="I16" i="120"/>
  <c r="I16" i="139" s="1"/>
  <c r="J16" i="120"/>
  <c r="J16" i="139" s="1"/>
  <c r="G21" i="120"/>
  <c r="G21" i="139" s="1"/>
  <c r="H21" i="120"/>
  <c r="H21" i="139" s="1"/>
  <c r="J20" i="120"/>
  <c r="J20" i="139" s="1"/>
  <c r="Y52" i="55"/>
  <c r="G24" i="120"/>
  <c r="G24" i="139" s="1"/>
  <c r="H23" i="120"/>
  <c r="H23" i="139" s="1"/>
  <c r="J23" i="120"/>
  <c r="J23" i="139" s="1"/>
  <c r="J22" i="120"/>
  <c r="J22" i="139" s="1"/>
  <c r="H33" i="120"/>
  <c r="H24" i="120"/>
  <c r="H24" i="139" s="1"/>
  <c r="H16" i="120"/>
  <c r="H16" i="139" s="1"/>
  <c r="G35" i="120"/>
  <c r="I19" i="120"/>
  <c r="I19" i="139" s="1"/>
  <c r="J19" i="120"/>
  <c r="J19" i="139" s="1"/>
  <c r="G17" i="120"/>
  <c r="G17" i="139" s="1"/>
  <c r="I18" i="120"/>
  <c r="I18" i="139" s="1"/>
  <c r="I22" i="120"/>
  <c r="I22" i="139" s="1"/>
  <c r="I34" i="120"/>
  <c r="J35" i="120"/>
  <c r="H29" i="120"/>
  <c r="H41" i="120"/>
  <c r="H31" i="120"/>
  <c r="H35" i="120"/>
  <c r="H43" i="120"/>
  <c r="H40" i="120"/>
  <c r="H27" i="120"/>
  <c r="H27" i="139" s="1"/>
  <c r="I33" i="120"/>
  <c r="H26" i="120"/>
  <c r="H26" i="139" s="1"/>
  <c r="I31" i="120"/>
  <c r="H38" i="120"/>
  <c r="I43" i="120"/>
  <c r="J31" i="120"/>
  <c r="J43" i="120"/>
  <c r="G29" i="120"/>
  <c r="J36" i="120"/>
  <c r="G41" i="120"/>
  <c r="G26" i="120"/>
  <c r="G26" i="139" s="1"/>
  <c r="I30" i="120"/>
  <c r="J37" i="120"/>
  <c r="H39" i="120"/>
  <c r="I42" i="120"/>
  <c r="G38" i="120"/>
  <c r="M44" i="122"/>
  <c r="M124" i="122" s="1"/>
  <c r="I32" i="121"/>
  <c r="I32" i="139" s="1"/>
  <c r="G35" i="121"/>
  <c r="H29" i="122"/>
  <c r="D85" i="125"/>
  <c r="E85" i="126"/>
  <c r="C85" i="126"/>
  <c r="E17" i="81"/>
  <c r="E20" i="81"/>
  <c r="E23" i="81"/>
  <c r="E22" i="81"/>
  <c r="E18" i="81"/>
  <c r="E21" i="81"/>
  <c r="E24" i="81"/>
  <c r="E25" i="81"/>
  <c r="I48" i="108"/>
  <c r="I44" i="108"/>
  <c r="L80" i="122"/>
  <c r="I83" i="122"/>
  <c r="J83" i="122" s="1"/>
  <c r="H32" i="121"/>
  <c r="L78" i="122"/>
  <c r="L83" i="122"/>
  <c r="G37" i="121"/>
  <c r="H31" i="122"/>
  <c r="F45" i="122"/>
  <c r="I30" i="121"/>
  <c r="J30" i="121" s="1"/>
  <c r="L32" i="121"/>
  <c r="K31" i="122"/>
  <c r="L31" i="122" s="1"/>
  <c r="L111" i="122" s="1"/>
  <c r="I43" i="122"/>
  <c r="J43" i="122" s="1"/>
  <c r="H33" i="121"/>
  <c r="I40" i="121"/>
  <c r="J40" i="121" s="1"/>
  <c r="I34" i="122"/>
  <c r="J34" i="122" s="1"/>
  <c r="K74" i="122"/>
  <c r="K114" i="122" s="1"/>
  <c r="G33" i="121"/>
  <c r="I38" i="121"/>
  <c r="J38" i="121" s="1"/>
  <c r="I30" i="122"/>
  <c r="J30" i="122" s="1"/>
  <c r="D45" i="122"/>
  <c r="L70" i="122"/>
  <c r="I73" i="122"/>
  <c r="J73" i="122" s="1"/>
  <c r="L77" i="122"/>
  <c r="I80" i="122"/>
  <c r="J80" i="122" s="1"/>
  <c r="I36" i="121"/>
  <c r="J36" i="121" s="1"/>
  <c r="G38" i="121"/>
  <c r="I43" i="121"/>
  <c r="J43" i="121" s="1"/>
  <c r="I78" i="122"/>
  <c r="J78" i="122" s="1"/>
  <c r="I41" i="121"/>
  <c r="J41" i="121" s="1"/>
  <c r="K80" i="122"/>
  <c r="K78" i="122"/>
  <c r="K118" i="122" s="1"/>
  <c r="L72" i="122"/>
  <c r="K76" i="122"/>
  <c r="K116" i="122" s="1"/>
  <c r="K72" i="122"/>
  <c r="K70" i="122"/>
  <c r="K110" i="122" s="1"/>
  <c r="L73" i="122"/>
  <c r="K82" i="122"/>
  <c r="K122" i="122" s="1"/>
  <c r="I76" i="122"/>
  <c r="J76" i="122" s="1"/>
  <c r="I74" i="122"/>
  <c r="J74" i="122" s="1"/>
  <c r="D85" i="122"/>
  <c r="G72" i="122"/>
  <c r="H72" i="122" s="1"/>
  <c r="G76" i="122"/>
  <c r="H76" i="122" s="1"/>
  <c r="G78" i="122"/>
  <c r="H78" i="122" s="1"/>
  <c r="G80" i="122"/>
  <c r="H80" i="122" s="1"/>
  <c r="I75" i="122"/>
  <c r="J75" i="122" s="1"/>
  <c r="L42" i="122"/>
  <c r="L122" i="122" s="1"/>
  <c r="L37" i="121"/>
  <c r="G36" i="122"/>
  <c r="H38" i="121"/>
  <c r="L39" i="121"/>
  <c r="G33" i="122"/>
  <c r="J39" i="122"/>
  <c r="H31" i="121"/>
  <c r="H34" i="121"/>
  <c r="H37" i="121"/>
  <c r="I35" i="122"/>
  <c r="J35" i="122" s="1"/>
  <c r="H35" i="122"/>
  <c r="I33" i="122"/>
  <c r="I37" i="121"/>
  <c r="J37" i="121" s="1"/>
  <c r="H30" i="122"/>
  <c r="H43" i="122"/>
  <c r="H30" i="121"/>
  <c r="G36" i="121"/>
  <c r="H35" i="121"/>
  <c r="H40" i="121"/>
  <c r="H42" i="121"/>
  <c r="H33" i="122"/>
  <c r="I35" i="121"/>
  <c r="J35" i="121" s="1"/>
  <c r="H43" i="121"/>
  <c r="H36" i="122"/>
  <c r="K82" i="127"/>
  <c r="I42" i="127"/>
  <c r="J42" i="127" s="1"/>
  <c r="I41" i="127"/>
  <c r="G41" i="127"/>
  <c r="G81" i="127" s="1"/>
  <c r="I40" i="127"/>
  <c r="J40" i="127" s="1"/>
  <c r="J80" i="127" s="1"/>
  <c r="B79" i="127"/>
  <c r="I37" i="127"/>
  <c r="J37" i="127" s="1"/>
  <c r="J77" i="127" s="1"/>
  <c r="G37" i="127"/>
  <c r="G77" i="127" s="1"/>
  <c r="B75" i="127"/>
  <c r="G35" i="127"/>
  <c r="H35" i="127"/>
  <c r="H37" i="127"/>
  <c r="H77" i="127" s="1"/>
  <c r="L35" i="127"/>
  <c r="F75" i="127"/>
  <c r="F85" i="127" s="1"/>
  <c r="J35" i="127"/>
  <c r="H38" i="127"/>
  <c r="H78" i="127" s="1"/>
  <c r="H41" i="127"/>
  <c r="H81" i="127" s="1"/>
  <c r="D45" i="127"/>
  <c r="H42" i="127"/>
  <c r="H82" i="127" s="1"/>
  <c r="D76" i="127"/>
  <c r="D85" i="127" s="1"/>
  <c r="H40" i="127"/>
  <c r="H80" i="127" s="1"/>
  <c r="E76" i="127"/>
  <c r="K76" i="127"/>
  <c r="K116" i="127" s="1"/>
  <c r="E77" i="127"/>
  <c r="K75" i="127"/>
  <c r="K115" i="127" s="1"/>
  <c r="K77" i="127"/>
  <c r="K117" i="127" s="1"/>
  <c r="H36" i="127"/>
  <c r="H76" i="127" s="1"/>
  <c r="C76" i="127"/>
  <c r="C82" i="127"/>
  <c r="G38" i="127"/>
  <c r="G78" i="127" s="1"/>
  <c r="G118" i="127" s="1"/>
  <c r="G42" i="127"/>
  <c r="I75" i="127"/>
  <c r="I115" i="127" s="1"/>
  <c r="C81" i="127"/>
  <c r="C80" i="127"/>
  <c r="I38" i="127"/>
  <c r="I43" i="127"/>
  <c r="C77" i="127"/>
  <c r="I43" i="126"/>
  <c r="I42" i="126"/>
  <c r="J42" i="126" s="1"/>
  <c r="G42" i="125"/>
  <c r="G82" i="125" s="1"/>
  <c r="I40" i="126"/>
  <c r="I39" i="125"/>
  <c r="I79" i="125" s="1"/>
  <c r="I39" i="126"/>
  <c r="I36" i="126"/>
  <c r="H40" i="125"/>
  <c r="H80" i="125" s="1"/>
  <c r="F45" i="125"/>
  <c r="H42" i="126"/>
  <c r="H38" i="126"/>
  <c r="H43" i="126"/>
  <c r="H38" i="125"/>
  <c r="H78" i="125" s="1"/>
  <c r="H36" i="125"/>
  <c r="H76" i="125" s="1"/>
  <c r="I38" i="126"/>
  <c r="I38" i="125"/>
  <c r="I78" i="125" s="1"/>
  <c r="I40" i="125"/>
  <c r="I80" i="125" s="1"/>
  <c r="H37" i="126"/>
  <c r="I41" i="125"/>
  <c r="I81" i="125" s="1"/>
  <c r="H41" i="122"/>
  <c r="K85" i="124"/>
  <c r="E85" i="125"/>
  <c r="H41" i="125"/>
  <c r="H81" i="125" s="1"/>
  <c r="D45" i="125"/>
  <c r="H35" i="125"/>
  <c r="H75" i="125" s="1"/>
  <c r="F45" i="126"/>
  <c r="H41" i="126"/>
  <c r="I41" i="126"/>
  <c r="M44" i="127"/>
  <c r="N44" i="127" s="1"/>
  <c r="N124" i="127" s="1"/>
  <c r="K120" i="127"/>
  <c r="K123" i="127"/>
  <c r="J39" i="127"/>
  <c r="I119" i="127"/>
  <c r="G36" i="127"/>
  <c r="G40" i="127"/>
  <c r="G80" i="127" s="1"/>
  <c r="L43" i="127"/>
  <c r="I36" i="127"/>
  <c r="G43" i="127"/>
  <c r="G83" i="127" s="1"/>
  <c r="H43" i="127"/>
  <c r="L37" i="127"/>
  <c r="J44" i="127"/>
  <c r="J124" i="127" s="1"/>
  <c r="L44" i="127"/>
  <c r="L124" i="127" s="1"/>
  <c r="L40" i="127"/>
  <c r="K41" i="127"/>
  <c r="K81" i="127" s="1"/>
  <c r="L122" i="127"/>
  <c r="B45" i="127"/>
  <c r="K38" i="127"/>
  <c r="K78" i="127" s="1"/>
  <c r="F45" i="127"/>
  <c r="K122" i="127"/>
  <c r="L36" i="127"/>
  <c r="L76" i="127" s="1"/>
  <c r="C45" i="124"/>
  <c r="F45" i="124"/>
  <c r="D45" i="124"/>
  <c r="L43" i="126"/>
  <c r="J37" i="126"/>
  <c r="L40" i="126"/>
  <c r="L37" i="126"/>
  <c r="L42" i="126"/>
  <c r="G37" i="126"/>
  <c r="G40" i="126"/>
  <c r="G43" i="126"/>
  <c r="L35" i="126"/>
  <c r="L38" i="126"/>
  <c r="L41" i="126"/>
  <c r="G36" i="126"/>
  <c r="G42" i="126"/>
  <c r="G38" i="126"/>
  <c r="G41" i="126"/>
  <c r="M44" i="126"/>
  <c r="M124" i="126" s="1"/>
  <c r="L36" i="126"/>
  <c r="B45" i="124"/>
  <c r="M84" i="124"/>
  <c r="P84" i="124" s="1"/>
  <c r="C85" i="124"/>
  <c r="E85" i="124"/>
  <c r="J124" i="124"/>
  <c r="K124" i="124"/>
  <c r="M44" i="125"/>
  <c r="P44" i="125" s="1"/>
  <c r="I124" i="125"/>
  <c r="L44" i="125"/>
  <c r="L42" i="125"/>
  <c r="L82" i="125" s="1"/>
  <c r="L41" i="125"/>
  <c r="L81" i="125" s="1"/>
  <c r="L38" i="125"/>
  <c r="L78" i="125" s="1"/>
  <c r="J37" i="125"/>
  <c r="J77" i="125" s="1"/>
  <c r="L36" i="125"/>
  <c r="L76" i="125" s="1"/>
  <c r="G37" i="125"/>
  <c r="G77" i="125" s="1"/>
  <c r="H42" i="125"/>
  <c r="H82" i="125" s="1"/>
  <c r="H37" i="125"/>
  <c r="H77" i="125" s="1"/>
  <c r="G40" i="125"/>
  <c r="G80" i="125" s="1"/>
  <c r="I42" i="125"/>
  <c r="I82" i="125" s="1"/>
  <c r="G35" i="125"/>
  <c r="G75" i="125" s="1"/>
  <c r="C45" i="125"/>
  <c r="L37" i="125"/>
  <c r="L77" i="125" s="1"/>
  <c r="G43" i="125"/>
  <c r="G83" i="125" s="1"/>
  <c r="B85" i="125"/>
  <c r="K35" i="125"/>
  <c r="K75" i="125" s="1"/>
  <c r="G38" i="125"/>
  <c r="G78" i="125" s="1"/>
  <c r="H43" i="125"/>
  <c r="H83" i="125" s="1"/>
  <c r="C85" i="125"/>
  <c r="G41" i="125"/>
  <c r="G81" i="125" s="1"/>
  <c r="I36" i="125"/>
  <c r="I76" i="125" s="1"/>
  <c r="F85" i="125"/>
  <c r="I35" i="125"/>
  <c r="I75" i="125" s="1"/>
  <c r="B45" i="125"/>
  <c r="P84" i="126"/>
  <c r="P44" i="124" s="1"/>
  <c r="Q84" i="126"/>
  <c r="Q44" i="124" s="1"/>
  <c r="P84" i="123"/>
  <c r="B85" i="122"/>
  <c r="L34" i="122"/>
  <c r="L38" i="122"/>
  <c r="I120" i="122"/>
  <c r="J40" i="122"/>
  <c r="I122" i="122"/>
  <c r="J42" i="122"/>
  <c r="K120" i="122"/>
  <c r="L40" i="122"/>
  <c r="K112" i="122"/>
  <c r="L32" i="122"/>
  <c r="G39" i="122"/>
  <c r="L41" i="122"/>
  <c r="J124" i="122"/>
  <c r="I31" i="122"/>
  <c r="G31" i="122"/>
  <c r="H40" i="122"/>
  <c r="G30" i="122"/>
  <c r="L33" i="122"/>
  <c r="G35" i="122"/>
  <c r="L39" i="122"/>
  <c r="G42" i="122"/>
  <c r="H95" i="122"/>
  <c r="I112" i="122"/>
  <c r="J32" i="122"/>
  <c r="H42" i="122"/>
  <c r="I95" i="122"/>
  <c r="J55" i="122"/>
  <c r="I98" i="122"/>
  <c r="J58" i="122"/>
  <c r="J98" i="122" s="1"/>
  <c r="I101" i="122"/>
  <c r="J61" i="122"/>
  <c r="J101" i="122" s="1"/>
  <c r="I104" i="122"/>
  <c r="J64" i="122"/>
  <c r="J104" i="122" s="1"/>
  <c r="P105" i="122"/>
  <c r="I107" i="122"/>
  <c r="J67" i="122"/>
  <c r="J107" i="122" s="1"/>
  <c r="P108" i="122"/>
  <c r="L43" i="122"/>
  <c r="I71" i="122"/>
  <c r="J71" i="122" s="1"/>
  <c r="I81" i="122"/>
  <c r="J81" i="122" s="1"/>
  <c r="I38" i="122"/>
  <c r="H38" i="122"/>
  <c r="L35" i="122"/>
  <c r="I36" i="122"/>
  <c r="C85" i="122"/>
  <c r="G74" i="122"/>
  <c r="H74" i="122" s="1"/>
  <c r="G82" i="122"/>
  <c r="H82" i="122" s="1"/>
  <c r="B45" i="122"/>
  <c r="G32" i="122"/>
  <c r="G37" i="122"/>
  <c r="H39" i="122"/>
  <c r="I97" i="122"/>
  <c r="J57" i="122"/>
  <c r="J97" i="122" s="1"/>
  <c r="I100" i="122"/>
  <c r="J60" i="122"/>
  <c r="J100" i="122" s="1"/>
  <c r="I103" i="122"/>
  <c r="J63" i="122"/>
  <c r="J103" i="122" s="1"/>
  <c r="I106" i="122"/>
  <c r="J66" i="122"/>
  <c r="J106" i="122" s="1"/>
  <c r="I79" i="122"/>
  <c r="J79" i="122" s="1"/>
  <c r="C45" i="122"/>
  <c r="I29" i="122"/>
  <c r="G29" i="122"/>
  <c r="H32" i="122"/>
  <c r="H34" i="122"/>
  <c r="L116" i="122"/>
  <c r="H37" i="122"/>
  <c r="G70" i="122"/>
  <c r="H70" i="122" s="1"/>
  <c r="G34" i="122"/>
  <c r="J37" i="122"/>
  <c r="G40" i="122"/>
  <c r="I70" i="122"/>
  <c r="J70" i="122" s="1"/>
  <c r="E45" i="122"/>
  <c r="K29" i="122"/>
  <c r="L37" i="122"/>
  <c r="G38" i="122"/>
  <c r="I41" i="122"/>
  <c r="G41" i="122"/>
  <c r="I77" i="122"/>
  <c r="J77" i="122" s="1"/>
  <c r="I96" i="122"/>
  <c r="J56" i="122"/>
  <c r="J96" i="122" s="1"/>
  <c r="P97" i="122"/>
  <c r="I99" i="122"/>
  <c r="J59" i="122"/>
  <c r="J99" i="122" s="1"/>
  <c r="P100" i="122"/>
  <c r="I102" i="122"/>
  <c r="J62" i="122"/>
  <c r="J102" i="122" s="1"/>
  <c r="P103" i="122"/>
  <c r="I105" i="122"/>
  <c r="J65" i="122"/>
  <c r="J105" i="122" s="1"/>
  <c r="P106" i="122"/>
  <c r="I108" i="122"/>
  <c r="J68" i="122"/>
  <c r="J108" i="122" s="1"/>
  <c r="G69" i="122"/>
  <c r="G71" i="122"/>
  <c r="H71" i="122" s="1"/>
  <c r="G73" i="122"/>
  <c r="H73" i="122" s="1"/>
  <c r="G75" i="122"/>
  <c r="H75" i="122" s="1"/>
  <c r="G77" i="122"/>
  <c r="H77" i="122" s="1"/>
  <c r="G79" i="122"/>
  <c r="H79" i="122" s="1"/>
  <c r="G81" i="122"/>
  <c r="H81" i="122" s="1"/>
  <c r="G83" i="122"/>
  <c r="H83" i="122" s="1"/>
  <c r="G43" i="122"/>
  <c r="K69" i="122"/>
  <c r="K71" i="122"/>
  <c r="K73" i="122"/>
  <c r="K113" i="122" s="1"/>
  <c r="K75" i="122"/>
  <c r="K115" i="122" s="1"/>
  <c r="K77" i="122"/>
  <c r="K117" i="122" s="1"/>
  <c r="K79" i="122"/>
  <c r="K119" i="122" s="1"/>
  <c r="K81" i="122"/>
  <c r="K121" i="122" s="1"/>
  <c r="K83" i="122"/>
  <c r="K123" i="122" s="1"/>
  <c r="E85" i="122"/>
  <c r="H36" i="121"/>
  <c r="G34" i="121"/>
  <c r="K38" i="121"/>
  <c r="L38" i="121" s="1"/>
  <c r="G32" i="121"/>
  <c r="G31" i="121"/>
  <c r="I33" i="121"/>
  <c r="J33" i="121" s="1"/>
  <c r="G43" i="121"/>
  <c r="G30" i="121"/>
  <c r="G42" i="121"/>
  <c r="G41" i="121"/>
  <c r="G40" i="121"/>
  <c r="H41" i="121"/>
  <c r="G16" i="120"/>
  <c r="G16" i="139" s="1"/>
  <c r="I26" i="120"/>
  <c r="I26" i="139" s="1"/>
  <c r="G28" i="120"/>
  <c r="G28" i="139" s="1"/>
  <c r="I38" i="120"/>
  <c r="G40" i="120"/>
  <c r="G23" i="120"/>
  <c r="G23" i="139" s="1"/>
  <c r="H18" i="120"/>
  <c r="H18" i="139" s="1"/>
  <c r="J28" i="120"/>
  <c r="J28" i="139" s="1"/>
  <c r="H30" i="120"/>
  <c r="H42" i="120"/>
  <c r="G20" i="120"/>
  <c r="G20" i="139" s="1"/>
  <c r="H25" i="120"/>
  <c r="H25" i="139" s="1"/>
  <c r="G32" i="120"/>
  <c r="H37" i="120"/>
  <c r="G44" i="120"/>
  <c r="G22" i="120"/>
  <c r="G22" i="139" s="1"/>
  <c r="G34" i="120"/>
  <c r="L35" i="120"/>
  <c r="H22" i="120"/>
  <c r="H22" i="139" s="1"/>
  <c r="H34" i="120"/>
  <c r="G19" i="120"/>
  <c r="G19" i="139" s="1"/>
  <c r="G31" i="120"/>
  <c r="G43" i="120"/>
  <c r="P44" i="120"/>
  <c r="N44" i="120"/>
  <c r="Q44" i="120" s="1"/>
  <c r="G112" i="122" l="1"/>
  <c r="AW116" i="105"/>
  <c r="K41" i="124"/>
  <c r="K121" i="124" s="1"/>
  <c r="K42" i="124"/>
  <c r="K122" i="124" s="1"/>
  <c r="I123" i="122"/>
  <c r="H34" i="139"/>
  <c r="G30" i="139"/>
  <c r="AW124" i="105"/>
  <c r="L33" i="139"/>
  <c r="G34" i="139"/>
  <c r="J43" i="125"/>
  <c r="J83" i="125" s="1"/>
  <c r="K36" i="124"/>
  <c r="K116" i="124" s="1"/>
  <c r="AW119" i="105"/>
  <c r="AX114" i="105"/>
  <c r="AW115" i="105"/>
  <c r="K37" i="124"/>
  <c r="K117" i="124" s="1"/>
  <c r="K43" i="124"/>
  <c r="K123" i="124" s="1"/>
  <c r="K117" i="140"/>
  <c r="K40" i="124"/>
  <c r="K120" i="124" s="1"/>
  <c r="I77" i="127"/>
  <c r="I117" i="127" s="1"/>
  <c r="B85" i="127"/>
  <c r="L34" i="121"/>
  <c r="L34" i="139" s="1"/>
  <c r="K38" i="124"/>
  <c r="K118" i="124" s="1"/>
  <c r="I31" i="27"/>
  <c r="I50" i="27" s="1"/>
  <c r="I50" i="55"/>
  <c r="L30" i="121"/>
  <c r="L30" i="139" s="1"/>
  <c r="K33" i="139"/>
  <c r="AW73" i="105"/>
  <c r="AW113" i="105" s="1"/>
  <c r="AW82" i="105"/>
  <c r="AW122" i="105" s="1"/>
  <c r="AW38" i="105"/>
  <c r="AW118" i="105" s="1"/>
  <c r="AW72" i="105"/>
  <c r="AW112" i="105" s="1"/>
  <c r="AX80" i="105"/>
  <c r="AX120" i="105" s="1"/>
  <c r="AX79" i="105"/>
  <c r="AX119" i="105" s="1"/>
  <c r="H30" i="139"/>
  <c r="J34" i="139"/>
  <c r="L31" i="139"/>
  <c r="I113" i="122"/>
  <c r="G31" i="139"/>
  <c r="G32" i="139"/>
  <c r="K41" i="139"/>
  <c r="J32" i="121"/>
  <c r="J32" i="139" s="1"/>
  <c r="I45" i="108"/>
  <c r="I117" i="140"/>
  <c r="K118" i="140"/>
  <c r="K121" i="140"/>
  <c r="K122" i="140"/>
  <c r="I37" i="124"/>
  <c r="I37" i="139" s="1"/>
  <c r="K75" i="140"/>
  <c r="W127" i="140"/>
  <c r="K116" i="140"/>
  <c r="K120" i="140"/>
  <c r="H32" i="139"/>
  <c r="H36" i="140"/>
  <c r="H40" i="140"/>
  <c r="AX83" i="105"/>
  <c r="AX123" i="105" s="1"/>
  <c r="K31" i="139"/>
  <c r="L32" i="139"/>
  <c r="J30" i="139"/>
  <c r="K123" i="140"/>
  <c r="K35" i="140"/>
  <c r="J37" i="140"/>
  <c r="G33" i="139"/>
  <c r="G82" i="126"/>
  <c r="G42" i="140"/>
  <c r="H82" i="126"/>
  <c r="H42" i="140"/>
  <c r="G76" i="126"/>
  <c r="G36" i="140"/>
  <c r="L83" i="126"/>
  <c r="L43" i="124" s="1"/>
  <c r="L43" i="139" s="1"/>
  <c r="L43" i="140"/>
  <c r="L80" i="126"/>
  <c r="L40" i="140"/>
  <c r="L81" i="126"/>
  <c r="L41" i="140"/>
  <c r="L78" i="126"/>
  <c r="L38" i="140"/>
  <c r="I76" i="126"/>
  <c r="I76" i="140" s="1"/>
  <c r="I36" i="140"/>
  <c r="L75" i="126"/>
  <c r="L35" i="124" s="1"/>
  <c r="L35" i="139" s="1"/>
  <c r="H77" i="126"/>
  <c r="H37" i="140"/>
  <c r="I79" i="126"/>
  <c r="I79" i="140" s="1"/>
  <c r="I39" i="140"/>
  <c r="G83" i="126"/>
  <c r="G43" i="124" s="1"/>
  <c r="G43" i="139" s="1"/>
  <c r="G43" i="140"/>
  <c r="I81" i="126"/>
  <c r="I81" i="140" s="1"/>
  <c r="I41" i="140"/>
  <c r="G80" i="126"/>
  <c r="G40" i="140"/>
  <c r="H81" i="126"/>
  <c r="H41" i="140"/>
  <c r="I80" i="126"/>
  <c r="I80" i="140" s="1"/>
  <c r="I40" i="140"/>
  <c r="H36" i="124"/>
  <c r="H36" i="139" s="1"/>
  <c r="H76" i="140"/>
  <c r="G77" i="126"/>
  <c r="G37" i="140"/>
  <c r="I78" i="126"/>
  <c r="I78" i="140" s="1"/>
  <c r="I38" i="140"/>
  <c r="G78" i="126"/>
  <c r="G38" i="140"/>
  <c r="L76" i="126"/>
  <c r="L36" i="140"/>
  <c r="L82" i="126"/>
  <c r="L42" i="140"/>
  <c r="I82" i="126"/>
  <c r="I82" i="140" s="1"/>
  <c r="I42" i="140"/>
  <c r="H40" i="124"/>
  <c r="H120" i="124" s="1"/>
  <c r="H80" i="140"/>
  <c r="H78" i="126"/>
  <c r="H38" i="140"/>
  <c r="L77" i="126"/>
  <c r="L37" i="140"/>
  <c r="I83" i="126"/>
  <c r="I83" i="140" s="1"/>
  <c r="I43" i="140"/>
  <c r="G81" i="126"/>
  <c r="G41" i="140"/>
  <c r="H83" i="126"/>
  <c r="H43" i="124" s="1"/>
  <c r="H123" i="124" s="1"/>
  <c r="H43" i="140"/>
  <c r="H31" i="139"/>
  <c r="H33" i="139"/>
  <c r="K42" i="139"/>
  <c r="I34" i="139"/>
  <c r="I31" i="139"/>
  <c r="I30" i="139"/>
  <c r="I33" i="139"/>
  <c r="AX75" i="105"/>
  <c r="AX115" i="105" s="1"/>
  <c r="AX73" i="105"/>
  <c r="AX33" i="105"/>
  <c r="AW37" i="105"/>
  <c r="AW77" i="105"/>
  <c r="J39" i="126"/>
  <c r="K69" i="133"/>
  <c r="AW74" i="105"/>
  <c r="AW34" i="105"/>
  <c r="K111" i="122"/>
  <c r="J39" i="125"/>
  <c r="J79" i="125" s="1"/>
  <c r="AX85" i="105"/>
  <c r="AX125" i="105" s="1"/>
  <c r="AX76" i="105"/>
  <c r="AX116" i="105" s="1"/>
  <c r="AX72" i="105"/>
  <c r="AX32" i="105"/>
  <c r="AX82" i="105"/>
  <c r="AX122" i="105" s="1"/>
  <c r="AW45" i="105"/>
  <c r="AW85" i="105"/>
  <c r="AW43" i="105"/>
  <c r="AW83" i="105"/>
  <c r="AW71" i="105"/>
  <c r="AW111" i="105" s="1"/>
  <c r="AX84" i="105"/>
  <c r="AX124" i="105" s="1"/>
  <c r="I69" i="133"/>
  <c r="AX81" i="105"/>
  <c r="AX121" i="105" s="1"/>
  <c r="H120" i="122"/>
  <c r="G118" i="122"/>
  <c r="AW80" i="105"/>
  <c r="AW40" i="105"/>
  <c r="AX78" i="105"/>
  <c r="AX118" i="105" s="1"/>
  <c r="J43" i="126"/>
  <c r="I114" i="122"/>
  <c r="J36" i="126"/>
  <c r="G123" i="127"/>
  <c r="H116" i="122"/>
  <c r="M84" i="121"/>
  <c r="P84" i="121" s="1"/>
  <c r="L124" i="126"/>
  <c r="J124" i="126"/>
  <c r="J82" i="126"/>
  <c r="K35" i="124"/>
  <c r="K115" i="124" s="1"/>
  <c r="J77" i="126"/>
  <c r="J77" i="140" s="1"/>
  <c r="V13" i="126"/>
  <c r="W13" i="126" s="1"/>
  <c r="L75" i="127"/>
  <c r="L115" i="127"/>
  <c r="J82" i="127"/>
  <c r="J122" i="127" s="1"/>
  <c r="J75" i="127"/>
  <c r="J115" i="127" s="1"/>
  <c r="H117" i="127"/>
  <c r="H75" i="127"/>
  <c r="H115" i="127" s="1"/>
  <c r="I80" i="127"/>
  <c r="I120" i="127" s="1"/>
  <c r="G75" i="127"/>
  <c r="G115" i="127" s="1"/>
  <c r="I82" i="127"/>
  <c r="I122" i="127" s="1"/>
  <c r="J41" i="125"/>
  <c r="J81" i="125" s="1"/>
  <c r="J40" i="125"/>
  <c r="J80" i="125" s="1"/>
  <c r="J38" i="125"/>
  <c r="J78" i="125" s="1"/>
  <c r="R44" i="120"/>
  <c r="V44" i="120" s="1"/>
  <c r="L84" i="125"/>
  <c r="L124" i="125" s="1"/>
  <c r="J84" i="125"/>
  <c r="J124" i="125" s="1"/>
  <c r="Q84" i="125"/>
  <c r="J40" i="126"/>
  <c r="J41" i="126"/>
  <c r="N44" i="125"/>
  <c r="Q44" i="125" s="1"/>
  <c r="M124" i="125"/>
  <c r="N44" i="122"/>
  <c r="N124" i="122" s="1"/>
  <c r="P44" i="122"/>
  <c r="P124" i="122" s="1"/>
  <c r="P84" i="125"/>
  <c r="G120" i="122"/>
  <c r="J33" i="122"/>
  <c r="J33" i="139" s="1"/>
  <c r="J119" i="122"/>
  <c r="L85" i="122"/>
  <c r="I115" i="122"/>
  <c r="L110" i="122"/>
  <c r="I28" i="27"/>
  <c r="I23" i="27"/>
  <c r="I42" i="27" s="1"/>
  <c r="I42" i="55"/>
  <c r="I43" i="108"/>
  <c r="I54" i="108" s="1"/>
  <c r="I29" i="27"/>
  <c r="I43" i="55"/>
  <c r="I24" i="27"/>
  <c r="I43" i="27" s="1"/>
  <c r="I119" i="122"/>
  <c r="H123" i="122"/>
  <c r="H117" i="122"/>
  <c r="G119" i="122"/>
  <c r="H121" i="122"/>
  <c r="I117" i="122"/>
  <c r="I110" i="122"/>
  <c r="H122" i="122"/>
  <c r="G116" i="122"/>
  <c r="G121" i="127"/>
  <c r="Q44" i="127"/>
  <c r="Q124" i="127" s="1"/>
  <c r="M124" i="127"/>
  <c r="J41" i="127"/>
  <c r="J81" i="127" s="1"/>
  <c r="I81" i="127"/>
  <c r="I121" i="127" s="1"/>
  <c r="G120" i="127"/>
  <c r="G117" i="127"/>
  <c r="L83" i="127"/>
  <c r="L123" i="127" s="1"/>
  <c r="H122" i="127"/>
  <c r="L80" i="127"/>
  <c r="L120" i="127" s="1"/>
  <c r="H120" i="127"/>
  <c r="L77" i="127"/>
  <c r="L117" i="127" s="1"/>
  <c r="H116" i="127"/>
  <c r="G76" i="127"/>
  <c r="G82" i="127"/>
  <c r="G122" i="127" s="1"/>
  <c r="J79" i="127"/>
  <c r="J119" i="127" s="1"/>
  <c r="H83" i="127"/>
  <c r="J43" i="127"/>
  <c r="J83" i="127" s="1"/>
  <c r="I83" i="127"/>
  <c r="I123" i="127" s="1"/>
  <c r="J38" i="127"/>
  <c r="J78" i="127" s="1"/>
  <c r="I78" i="127"/>
  <c r="I118" i="127" s="1"/>
  <c r="C85" i="127"/>
  <c r="J36" i="127"/>
  <c r="I76" i="127"/>
  <c r="I116" i="127" s="1"/>
  <c r="J38" i="126"/>
  <c r="G121" i="122"/>
  <c r="N84" i="124"/>
  <c r="Q84" i="124" s="1"/>
  <c r="R84" i="124" s="1"/>
  <c r="V84" i="124" s="1"/>
  <c r="P44" i="127"/>
  <c r="H118" i="127"/>
  <c r="H121" i="127"/>
  <c r="K118" i="127"/>
  <c r="L38" i="127"/>
  <c r="L78" i="127" s="1"/>
  <c r="K121" i="127"/>
  <c r="L41" i="127"/>
  <c r="L81" i="127" s="1"/>
  <c r="L116" i="127"/>
  <c r="I45" i="127"/>
  <c r="P44" i="126"/>
  <c r="P124" i="126" s="1"/>
  <c r="N44" i="126"/>
  <c r="N124" i="126" s="1"/>
  <c r="P124" i="124"/>
  <c r="L124" i="124"/>
  <c r="M124" i="124"/>
  <c r="I45" i="125"/>
  <c r="J35" i="125"/>
  <c r="J75" i="125" s="1"/>
  <c r="L35" i="125"/>
  <c r="L75" i="125" s="1"/>
  <c r="J36" i="125"/>
  <c r="J76" i="125" s="1"/>
  <c r="J42" i="125"/>
  <c r="J82" i="125" s="1"/>
  <c r="N84" i="123"/>
  <c r="Q84" i="123" s="1"/>
  <c r="R84" i="123" s="1"/>
  <c r="V84" i="123" s="1"/>
  <c r="L114" i="122"/>
  <c r="G123" i="122"/>
  <c r="L117" i="122"/>
  <c r="H114" i="122"/>
  <c r="H119" i="122"/>
  <c r="J112" i="122"/>
  <c r="L120" i="122"/>
  <c r="J120" i="122"/>
  <c r="J123" i="122"/>
  <c r="G110" i="122"/>
  <c r="L118" i="122"/>
  <c r="G114" i="122"/>
  <c r="H112" i="122"/>
  <c r="P104" i="122"/>
  <c r="G117" i="122"/>
  <c r="H111" i="122"/>
  <c r="P96" i="122"/>
  <c r="P107" i="122"/>
  <c r="H113" i="122"/>
  <c r="J85" i="122"/>
  <c r="J95" i="122"/>
  <c r="H110" i="122"/>
  <c r="G111" i="122"/>
  <c r="L121" i="122"/>
  <c r="H45" i="122"/>
  <c r="J115" i="122"/>
  <c r="R103" i="122"/>
  <c r="L115" i="122"/>
  <c r="G85" i="122"/>
  <c r="H69" i="122"/>
  <c r="R106" i="122"/>
  <c r="R105" i="122"/>
  <c r="I111" i="122"/>
  <c r="J31" i="122"/>
  <c r="J31" i="139" s="1"/>
  <c r="K109" i="122"/>
  <c r="K45" i="122"/>
  <c r="L29" i="122"/>
  <c r="G109" i="122"/>
  <c r="G45" i="122"/>
  <c r="P101" i="122"/>
  <c r="G122" i="122"/>
  <c r="P98" i="122"/>
  <c r="L113" i="122"/>
  <c r="J114" i="122"/>
  <c r="R97" i="122"/>
  <c r="I109" i="122"/>
  <c r="I45" i="122"/>
  <c r="J29" i="122"/>
  <c r="I116" i="122"/>
  <c r="J36" i="122"/>
  <c r="L119" i="122"/>
  <c r="J122" i="122"/>
  <c r="J110" i="122"/>
  <c r="G115" i="122"/>
  <c r="P102" i="122"/>
  <c r="L123" i="122"/>
  <c r="G113" i="122"/>
  <c r="L112" i="122"/>
  <c r="I121" i="122"/>
  <c r="J41" i="122"/>
  <c r="P95" i="122"/>
  <c r="H118" i="122"/>
  <c r="P99" i="122"/>
  <c r="K85" i="122"/>
  <c r="I85" i="122"/>
  <c r="R100" i="122"/>
  <c r="J117" i="122"/>
  <c r="I118" i="122"/>
  <c r="J38" i="122"/>
  <c r="R108" i="122"/>
  <c r="H115" i="122"/>
  <c r="K37" i="139" l="1"/>
  <c r="K36" i="139"/>
  <c r="J117" i="140"/>
  <c r="I39" i="124"/>
  <c r="I119" i="124" s="1"/>
  <c r="AW117" i="105"/>
  <c r="AW123" i="105"/>
  <c r="AW114" i="105"/>
  <c r="AW125" i="105"/>
  <c r="I53" i="108"/>
  <c r="K43" i="139"/>
  <c r="K38" i="139"/>
  <c r="AX112" i="105"/>
  <c r="AX113" i="105"/>
  <c r="AW120" i="105"/>
  <c r="G123" i="124"/>
  <c r="I117" i="124"/>
  <c r="L123" i="124"/>
  <c r="I41" i="124"/>
  <c r="I41" i="139" s="1"/>
  <c r="K40" i="139"/>
  <c r="H116" i="124"/>
  <c r="I36" i="124"/>
  <c r="I116" i="124" s="1"/>
  <c r="K115" i="140"/>
  <c r="H120" i="140"/>
  <c r="H43" i="139"/>
  <c r="K125" i="122"/>
  <c r="N124" i="125"/>
  <c r="I44" i="55"/>
  <c r="I44" i="27"/>
  <c r="J38" i="140"/>
  <c r="J41" i="140"/>
  <c r="J40" i="140"/>
  <c r="J113" i="122"/>
  <c r="I122" i="140"/>
  <c r="I40" i="124"/>
  <c r="I40" i="139" s="1"/>
  <c r="I38" i="124"/>
  <c r="I118" i="124" s="1"/>
  <c r="I43" i="124"/>
  <c r="I43" i="139" s="1"/>
  <c r="I121" i="140"/>
  <c r="H83" i="140"/>
  <c r="H123" i="140" s="1"/>
  <c r="H116" i="140"/>
  <c r="I119" i="140"/>
  <c r="I120" i="140"/>
  <c r="I42" i="124"/>
  <c r="I122" i="124" s="1"/>
  <c r="I123" i="140"/>
  <c r="G83" i="140"/>
  <c r="G123" i="140" s="1"/>
  <c r="L35" i="140"/>
  <c r="L75" i="140"/>
  <c r="J42" i="140"/>
  <c r="I116" i="140"/>
  <c r="L83" i="140"/>
  <c r="L123" i="140" s="1"/>
  <c r="J79" i="126"/>
  <c r="J39" i="140"/>
  <c r="I118" i="140"/>
  <c r="G40" i="124"/>
  <c r="G80" i="140"/>
  <c r="G120" i="140" s="1"/>
  <c r="L40" i="124"/>
  <c r="L80" i="140"/>
  <c r="L120" i="140" s="1"/>
  <c r="H40" i="139"/>
  <c r="G41" i="124"/>
  <c r="G81" i="140"/>
  <c r="G121" i="140" s="1"/>
  <c r="J76" i="126"/>
  <c r="J36" i="140"/>
  <c r="G37" i="124"/>
  <c r="G77" i="140"/>
  <c r="G117" i="140" s="1"/>
  <c r="J83" i="126"/>
  <c r="J43" i="140"/>
  <c r="L42" i="124"/>
  <c r="L82" i="140"/>
  <c r="L122" i="140" s="1"/>
  <c r="G36" i="124"/>
  <c r="G76" i="140"/>
  <c r="G116" i="140" s="1"/>
  <c r="J42" i="124"/>
  <c r="J122" i="124" s="1"/>
  <c r="J82" i="140"/>
  <c r="L37" i="124"/>
  <c r="L77" i="140"/>
  <c r="L117" i="140" s="1"/>
  <c r="L36" i="124"/>
  <c r="L76" i="140"/>
  <c r="L116" i="140" s="1"/>
  <c r="H42" i="124"/>
  <c r="H82" i="140"/>
  <c r="H122" i="140" s="1"/>
  <c r="L38" i="124"/>
  <c r="L78" i="140"/>
  <c r="L118" i="140" s="1"/>
  <c r="H41" i="124"/>
  <c r="H81" i="140"/>
  <c r="H121" i="140" s="1"/>
  <c r="H37" i="124"/>
  <c r="H77" i="140"/>
  <c r="H117" i="140" s="1"/>
  <c r="H38" i="124"/>
  <c r="H78" i="140"/>
  <c r="H118" i="140" s="1"/>
  <c r="G38" i="124"/>
  <c r="G78" i="140"/>
  <c r="G118" i="140" s="1"/>
  <c r="L41" i="124"/>
  <c r="L81" i="140"/>
  <c r="L121" i="140" s="1"/>
  <c r="G42" i="124"/>
  <c r="G82" i="140"/>
  <c r="G122" i="140" s="1"/>
  <c r="K35" i="139"/>
  <c r="Q44" i="122"/>
  <c r="Q124" i="122" s="1"/>
  <c r="Q124" i="125"/>
  <c r="M69" i="133"/>
  <c r="R44" i="125"/>
  <c r="V44" i="125" s="1"/>
  <c r="R84" i="126"/>
  <c r="J81" i="126"/>
  <c r="J81" i="140" s="1"/>
  <c r="J80" i="126"/>
  <c r="J80" i="140" s="1"/>
  <c r="J37" i="124"/>
  <c r="J78" i="126"/>
  <c r="J78" i="140" s="1"/>
  <c r="R44" i="127"/>
  <c r="R84" i="125"/>
  <c r="V84" i="125" s="1"/>
  <c r="V44" i="123"/>
  <c r="N124" i="124"/>
  <c r="H123" i="127"/>
  <c r="I85" i="127"/>
  <c r="J76" i="127"/>
  <c r="J85" i="127" s="1"/>
  <c r="J118" i="127"/>
  <c r="G116" i="127"/>
  <c r="I125" i="122"/>
  <c r="P124" i="127"/>
  <c r="J120" i="127"/>
  <c r="L118" i="127"/>
  <c r="J121" i="127"/>
  <c r="J123" i="127"/>
  <c r="J117" i="127"/>
  <c r="J45" i="127"/>
  <c r="I125" i="127"/>
  <c r="L121" i="127"/>
  <c r="Q44" i="126"/>
  <c r="Q124" i="126" s="1"/>
  <c r="J45" i="125"/>
  <c r="P124" i="125"/>
  <c r="R98" i="122"/>
  <c r="R95" i="122"/>
  <c r="J121" i="122"/>
  <c r="R107" i="122"/>
  <c r="R101" i="122"/>
  <c r="R99" i="122"/>
  <c r="J111" i="122"/>
  <c r="R96" i="122"/>
  <c r="G125" i="122"/>
  <c r="J118" i="122"/>
  <c r="J116" i="122"/>
  <c r="L109" i="122"/>
  <c r="L125" i="122" s="1"/>
  <c r="L45" i="122"/>
  <c r="H109" i="122"/>
  <c r="H125" i="122" s="1"/>
  <c r="H85" i="122"/>
  <c r="R102" i="122"/>
  <c r="J45" i="122"/>
  <c r="J109" i="122"/>
  <c r="R104" i="122"/>
  <c r="I121" i="124" l="1"/>
  <c r="I36" i="139"/>
  <c r="I38" i="139"/>
  <c r="J118" i="140"/>
  <c r="J121" i="140"/>
  <c r="J120" i="140"/>
  <c r="I120" i="124"/>
  <c r="L115" i="140"/>
  <c r="J122" i="140"/>
  <c r="R124" i="127"/>
  <c r="I123" i="124"/>
  <c r="I42" i="139"/>
  <c r="J42" i="139"/>
  <c r="J43" i="124"/>
  <c r="J83" i="140"/>
  <c r="J123" i="140" s="1"/>
  <c r="G117" i="124"/>
  <c r="G37" i="139"/>
  <c r="G38" i="139"/>
  <c r="G118" i="124"/>
  <c r="L120" i="124"/>
  <c r="L40" i="139"/>
  <c r="H37" i="139"/>
  <c r="H117" i="124"/>
  <c r="G36" i="139"/>
  <c r="G116" i="124"/>
  <c r="J36" i="124"/>
  <c r="J76" i="140"/>
  <c r="J116" i="140" s="1"/>
  <c r="G120" i="124"/>
  <c r="G40" i="139"/>
  <c r="H41" i="139"/>
  <c r="H121" i="124"/>
  <c r="L36" i="139"/>
  <c r="L116" i="124"/>
  <c r="L122" i="124"/>
  <c r="L42" i="139"/>
  <c r="G122" i="124"/>
  <c r="G42" i="139"/>
  <c r="L118" i="124"/>
  <c r="L38" i="139"/>
  <c r="H118" i="124"/>
  <c r="H38" i="139"/>
  <c r="H122" i="124"/>
  <c r="H42" i="139"/>
  <c r="L117" i="124"/>
  <c r="L37" i="139"/>
  <c r="L121" i="124"/>
  <c r="L41" i="139"/>
  <c r="G121" i="124"/>
  <c r="G41" i="139"/>
  <c r="J39" i="124"/>
  <c r="J79" i="140"/>
  <c r="J119" i="140" s="1"/>
  <c r="J117" i="124"/>
  <c r="J37" i="139"/>
  <c r="R44" i="122"/>
  <c r="V44" i="122" s="1"/>
  <c r="V84" i="126"/>
  <c r="V44" i="124" s="1"/>
  <c r="R44" i="124"/>
  <c r="J40" i="124"/>
  <c r="J38" i="124"/>
  <c r="J41" i="124"/>
  <c r="J116" i="127"/>
  <c r="J125" i="127" s="1"/>
  <c r="J125" i="122"/>
  <c r="R44" i="126"/>
  <c r="R124" i="126" s="1"/>
  <c r="V124" i="126" s="1"/>
  <c r="Q124" i="124"/>
  <c r="R124" i="125"/>
  <c r="V124" i="125" s="1"/>
  <c r="R124" i="122" l="1"/>
  <c r="V124" i="122" s="1"/>
  <c r="J43" i="139"/>
  <c r="J123" i="124"/>
  <c r="J119" i="124"/>
  <c r="J116" i="124"/>
  <c r="J36" i="139"/>
  <c r="J121" i="124"/>
  <c r="J41" i="139"/>
  <c r="J120" i="124"/>
  <c r="J40" i="139"/>
  <c r="J118" i="124"/>
  <c r="J38" i="139"/>
  <c r="R124" i="124"/>
  <c r="V124" i="124" s="1"/>
  <c r="I29" i="15" l="1"/>
  <c r="R124" i="123"/>
  <c r="V124" i="123" s="1"/>
  <c r="Q124" i="123"/>
  <c r="P124" i="123"/>
  <c r="N124" i="123"/>
  <c r="M124" i="123"/>
  <c r="L124" i="123"/>
  <c r="K124" i="123"/>
  <c r="J124" i="123"/>
  <c r="I124" i="123"/>
  <c r="H124" i="123"/>
  <c r="R114" i="123"/>
  <c r="Q114" i="123"/>
  <c r="P114" i="123"/>
  <c r="O114" i="123"/>
  <c r="N114" i="123"/>
  <c r="M114" i="123"/>
  <c r="L114" i="123"/>
  <c r="K114" i="123"/>
  <c r="J114" i="123"/>
  <c r="I114" i="123"/>
  <c r="H114" i="123"/>
  <c r="R113" i="123"/>
  <c r="Q113" i="123"/>
  <c r="P113" i="123"/>
  <c r="O113" i="123"/>
  <c r="N113" i="123"/>
  <c r="M113" i="123"/>
  <c r="L113" i="123"/>
  <c r="K113" i="123"/>
  <c r="J113" i="123"/>
  <c r="I113" i="123"/>
  <c r="H113" i="123"/>
  <c r="R112" i="123"/>
  <c r="Q112" i="123"/>
  <c r="P112" i="123"/>
  <c r="O112" i="123"/>
  <c r="N112" i="123"/>
  <c r="M112" i="123"/>
  <c r="L112" i="123"/>
  <c r="K112" i="123"/>
  <c r="J112" i="123"/>
  <c r="I112" i="123"/>
  <c r="H112" i="123"/>
  <c r="R111" i="123"/>
  <c r="Q111" i="123"/>
  <c r="P111" i="123"/>
  <c r="O111" i="123"/>
  <c r="N111" i="123"/>
  <c r="M111" i="123"/>
  <c r="L111" i="123"/>
  <c r="K111" i="123"/>
  <c r="J111" i="123"/>
  <c r="I111" i="123"/>
  <c r="H111" i="123"/>
  <c r="R110" i="123"/>
  <c r="Q110" i="123"/>
  <c r="P110" i="123"/>
  <c r="O110" i="123"/>
  <c r="N110" i="123"/>
  <c r="M110" i="123"/>
  <c r="L110" i="123"/>
  <c r="K110" i="123"/>
  <c r="J110" i="123"/>
  <c r="I110" i="123"/>
  <c r="H110" i="123"/>
  <c r="R109" i="123"/>
  <c r="Q109" i="123"/>
  <c r="P109" i="123"/>
  <c r="O109" i="123"/>
  <c r="N109" i="123"/>
  <c r="M109" i="123"/>
  <c r="L109" i="123"/>
  <c r="K109" i="123"/>
  <c r="J109" i="123"/>
  <c r="I109" i="123"/>
  <c r="H109" i="123"/>
  <c r="R108" i="123"/>
  <c r="Q108" i="123"/>
  <c r="P108" i="123"/>
  <c r="O108" i="123"/>
  <c r="N108" i="123"/>
  <c r="M108" i="123"/>
  <c r="L108" i="123"/>
  <c r="K108" i="123"/>
  <c r="J108" i="123"/>
  <c r="I108" i="123"/>
  <c r="H108" i="123"/>
  <c r="R107" i="123"/>
  <c r="Q107" i="123"/>
  <c r="P107" i="123"/>
  <c r="O107" i="123"/>
  <c r="N107" i="123"/>
  <c r="M107" i="123"/>
  <c r="L107" i="123"/>
  <c r="K107" i="123"/>
  <c r="J107" i="123"/>
  <c r="I107" i="123"/>
  <c r="H107" i="123"/>
  <c r="R106" i="123"/>
  <c r="Q106" i="123"/>
  <c r="P106" i="123"/>
  <c r="O106" i="123"/>
  <c r="N106" i="123"/>
  <c r="M106" i="123"/>
  <c r="L106" i="123"/>
  <c r="K106" i="123"/>
  <c r="J106" i="123"/>
  <c r="I106" i="123"/>
  <c r="H106" i="123"/>
  <c r="R105" i="123"/>
  <c r="Q105" i="123"/>
  <c r="P105" i="123"/>
  <c r="O105" i="123"/>
  <c r="N105" i="123"/>
  <c r="M105" i="123"/>
  <c r="L105" i="123"/>
  <c r="K105" i="123"/>
  <c r="J105" i="123"/>
  <c r="I105" i="123"/>
  <c r="H105" i="123"/>
  <c r="R104" i="123"/>
  <c r="Q104" i="123"/>
  <c r="P104" i="123"/>
  <c r="O104" i="123"/>
  <c r="N104" i="123"/>
  <c r="M104" i="123"/>
  <c r="L104" i="123"/>
  <c r="K104" i="123"/>
  <c r="J104" i="123"/>
  <c r="I104" i="123"/>
  <c r="H104" i="123"/>
  <c r="R103" i="123"/>
  <c r="Q103" i="123"/>
  <c r="P103" i="123"/>
  <c r="O103" i="123"/>
  <c r="N103" i="123"/>
  <c r="M103" i="123"/>
  <c r="L103" i="123"/>
  <c r="K103" i="123"/>
  <c r="J103" i="123"/>
  <c r="I103" i="123"/>
  <c r="H103" i="123"/>
  <c r="R102" i="123"/>
  <c r="Q102" i="123"/>
  <c r="P102" i="123"/>
  <c r="O102" i="123"/>
  <c r="N102" i="123"/>
  <c r="M102" i="123"/>
  <c r="L102" i="123"/>
  <c r="K102" i="123"/>
  <c r="J102" i="123"/>
  <c r="I102" i="123"/>
  <c r="H102" i="123"/>
  <c r="R101" i="123"/>
  <c r="Q101" i="123"/>
  <c r="P101" i="123"/>
  <c r="O101" i="123"/>
  <c r="N101" i="123"/>
  <c r="M101" i="123"/>
  <c r="L101" i="123"/>
  <c r="K101" i="123"/>
  <c r="J101" i="123"/>
  <c r="I101" i="123"/>
  <c r="H101" i="123"/>
  <c r="R100" i="123"/>
  <c r="Q100" i="123"/>
  <c r="P100" i="123"/>
  <c r="O100" i="123"/>
  <c r="N100" i="123"/>
  <c r="M100" i="123"/>
  <c r="L100" i="123"/>
  <c r="K100" i="123"/>
  <c r="J100" i="123"/>
  <c r="I100" i="123"/>
  <c r="H100" i="123"/>
  <c r="R99" i="123"/>
  <c r="Q99" i="123"/>
  <c r="P99" i="123"/>
  <c r="O99" i="123"/>
  <c r="N99" i="123"/>
  <c r="M99" i="123"/>
  <c r="L99" i="123"/>
  <c r="K99" i="123"/>
  <c r="J99" i="123"/>
  <c r="I99" i="123"/>
  <c r="H99" i="123"/>
  <c r="R98" i="123"/>
  <c r="Q98" i="123"/>
  <c r="P98" i="123"/>
  <c r="O98" i="123"/>
  <c r="N98" i="123"/>
  <c r="M98" i="123"/>
  <c r="L98" i="123"/>
  <c r="K98" i="123"/>
  <c r="J98" i="123"/>
  <c r="I98" i="123"/>
  <c r="H98" i="123"/>
  <c r="R97" i="123"/>
  <c r="Q97" i="123"/>
  <c r="P97" i="123"/>
  <c r="O97" i="123"/>
  <c r="N97" i="123"/>
  <c r="M97" i="123"/>
  <c r="L97" i="123"/>
  <c r="K97" i="123"/>
  <c r="J97" i="123"/>
  <c r="I97" i="123"/>
  <c r="H97" i="123"/>
  <c r="R96" i="123"/>
  <c r="Q96" i="123"/>
  <c r="P96" i="123"/>
  <c r="O96" i="123"/>
  <c r="N96" i="123"/>
  <c r="M96" i="123"/>
  <c r="L96" i="123"/>
  <c r="K96" i="123"/>
  <c r="J96" i="123"/>
  <c r="I96" i="123"/>
  <c r="H96" i="123"/>
  <c r="Q95" i="123"/>
  <c r="O95" i="123"/>
  <c r="N95" i="123"/>
  <c r="M95" i="123"/>
  <c r="L95" i="123"/>
  <c r="K95" i="123"/>
  <c r="G114" i="123"/>
  <c r="G113" i="123"/>
  <c r="G112" i="123"/>
  <c r="G111" i="123"/>
  <c r="G110" i="123"/>
  <c r="G109" i="123"/>
  <c r="G108" i="123"/>
  <c r="G107" i="123"/>
  <c r="G106" i="123"/>
  <c r="G105" i="123"/>
  <c r="G104" i="123"/>
  <c r="G103" i="123"/>
  <c r="G102" i="123"/>
  <c r="G101" i="123"/>
  <c r="G100" i="123"/>
  <c r="G99" i="123"/>
  <c r="G98" i="123"/>
  <c r="G97" i="123"/>
  <c r="G96" i="123"/>
  <c r="BG28" i="92"/>
  <c r="BF28" i="92"/>
  <c r="BE28" i="92"/>
  <c r="BD28" i="92"/>
  <c r="BC28" i="92"/>
  <c r="BB28" i="92"/>
  <c r="BA18" i="92"/>
  <c r="BA19" i="92" s="1"/>
  <c r="BA20" i="92" s="1"/>
  <c r="BA21" i="92" s="1"/>
  <c r="BA22" i="92" s="1"/>
  <c r="BA23" i="92" s="1"/>
  <c r="BA24" i="92" s="1"/>
  <c r="BA25" i="92" s="1"/>
  <c r="BA26" i="92" s="1"/>
  <c r="AZ28" i="92"/>
  <c r="AY28" i="92"/>
  <c r="AX28" i="92"/>
  <c r="AV28" i="92"/>
  <c r="AU28" i="92"/>
  <c r="AT18" i="92"/>
  <c r="AT19" i="92" s="1"/>
  <c r="AT20" i="92" s="1"/>
  <c r="AT21" i="92" s="1"/>
  <c r="AT22" i="92" s="1"/>
  <c r="AT23" i="92" s="1"/>
  <c r="AT24" i="92" s="1"/>
  <c r="AT25" i="92" s="1"/>
  <c r="AT26" i="92" s="1"/>
  <c r="AR28" i="92"/>
  <c r="AQ28" i="92"/>
  <c r="AO28" i="92"/>
  <c r="AM18" i="92"/>
  <c r="AM19" i="92" s="1"/>
  <c r="AM20" i="92" s="1"/>
  <c r="AM21" i="92" s="1"/>
  <c r="AM22" i="92" s="1"/>
  <c r="AM23" i="92" s="1"/>
  <c r="AM24" i="92" s="1"/>
  <c r="AM25" i="92" s="1"/>
  <c r="AM26" i="92" s="1"/>
  <c r="BK70" i="91"/>
  <c r="BK56" i="91"/>
  <c r="BK42" i="91"/>
  <c r="BK28" i="91"/>
  <c r="BC42" i="91"/>
  <c r="AU70" i="91"/>
  <c r="AU56" i="91"/>
  <c r="AU42" i="91"/>
  <c r="AU28" i="91"/>
  <c r="K83" i="123"/>
  <c r="L83" i="123" s="1"/>
  <c r="K82" i="123"/>
  <c r="L82" i="123" s="1"/>
  <c r="K81" i="123"/>
  <c r="L81" i="123" s="1"/>
  <c r="K80" i="123"/>
  <c r="K79" i="123"/>
  <c r="K78" i="123"/>
  <c r="K77" i="123"/>
  <c r="K76" i="123"/>
  <c r="AG42" i="84"/>
  <c r="AF42" i="84"/>
  <c r="AE42" i="84"/>
  <c r="AD42" i="84"/>
  <c r="AC42" i="84"/>
  <c r="AB42" i="84"/>
  <c r="AA32" i="84"/>
  <c r="AA33" i="84" s="1"/>
  <c r="AA34" i="84" s="1"/>
  <c r="AA35" i="84" s="1"/>
  <c r="AA36" i="84" s="1"/>
  <c r="AA37" i="84" s="1"/>
  <c r="AA38" i="84" s="1"/>
  <c r="AA39" i="84" s="1"/>
  <c r="AA40" i="84" s="1"/>
  <c r="AF28" i="84"/>
  <c r="AE28" i="84"/>
  <c r="AC28" i="84"/>
  <c r="AA18" i="84"/>
  <c r="AA19" i="84" s="1"/>
  <c r="AA20" i="84" s="1"/>
  <c r="AA21" i="84" s="1"/>
  <c r="AA22" i="84" s="1"/>
  <c r="AA23" i="84" s="1"/>
  <c r="AA24" i="84" s="1"/>
  <c r="AA25" i="84" s="1"/>
  <c r="AA26" i="84" s="1"/>
  <c r="U37" i="55"/>
  <c r="U38" i="55" s="1"/>
  <c r="U39" i="55" s="1"/>
  <c r="U40" i="55" s="1"/>
  <c r="U41" i="55" s="1"/>
  <c r="U42" i="55" s="1"/>
  <c r="U43" i="55" s="1"/>
  <c r="U44" i="55" s="1"/>
  <c r="U45" i="55" s="1"/>
  <c r="U46" i="55" s="1"/>
  <c r="U47" i="55" s="1"/>
  <c r="U48" i="55" s="1"/>
  <c r="U49" i="55" s="1"/>
  <c r="U50" i="55" s="1"/>
  <c r="Q64" i="91" l="1"/>
  <c r="Q62" i="91"/>
  <c r="Q63" i="91"/>
  <c r="Q67" i="91"/>
  <c r="Q61" i="91"/>
  <c r="U31" i="87"/>
  <c r="U32" i="87"/>
  <c r="C32" i="116" s="1"/>
  <c r="U33" i="87"/>
  <c r="C33" i="116" s="1"/>
  <c r="U34" i="87"/>
  <c r="C34" i="116" s="1"/>
  <c r="U35" i="87"/>
  <c r="C35" i="116" s="1"/>
  <c r="Q66" i="91"/>
  <c r="W52" i="55"/>
  <c r="U36" i="87"/>
  <c r="C36" i="116" s="1"/>
  <c r="L80" i="123"/>
  <c r="K85" i="123"/>
  <c r="K118" i="123"/>
  <c r="L79" i="123"/>
  <c r="O64" i="91"/>
  <c r="Q60" i="91"/>
  <c r="C72" i="128"/>
  <c r="C74" i="128" s="1"/>
  <c r="C76" i="128" s="1"/>
  <c r="Q59" i="91"/>
  <c r="O60" i="91"/>
  <c r="O66" i="91"/>
  <c r="O61" i="91"/>
  <c r="O59" i="91"/>
  <c r="O63" i="91"/>
  <c r="O67" i="91"/>
  <c r="L76" i="123"/>
  <c r="K120" i="123"/>
  <c r="L77" i="123"/>
  <c r="K122" i="123"/>
  <c r="K123" i="123"/>
  <c r="L78" i="123"/>
  <c r="J79" i="123"/>
  <c r="J77" i="123"/>
  <c r="J82" i="123"/>
  <c r="J80" i="123"/>
  <c r="J78" i="123"/>
  <c r="G118" i="123"/>
  <c r="J83" i="123"/>
  <c r="J76" i="123"/>
  <c r="I119" i="123"/>
  <c r="G17" i="82"/>
  <c r="K121" i="123"/>
  <c r="J81" i="123"/>
  <c r="I120" i="123"/>
  <c r="L121" i="123"/>
  <c r="AE70" i="87"/>
  <c r="AE56" i="87"/>
  <c r="AE28" i="87"/>
  <c r="F125" i="123"/>
  <c r="E125" i="123"/>
  <c r="D125" i="123"/>
  <c r="C125" i="123"/>
  <c r="B125" i="123"/>
  <c r="A96" i="123"/>
  <c r="A97" i="123" s="1"/>
  <c r="A98" i="123" s="1"/>
  <c r="A99" i="123" s="1"/>
  <c r="A100" i="123" s="1"/>
  <c r="A101" i="123" s="1"/>
  <c r="A102" i="123" s="1"/>
  <c r="A103" i="123" s="1"/>
  <c r="A104" i="123" s="1"/>
  <c r="A105" i="123" s="1"/>
  <c r="A106" i="123" s="1"/>
  <c r="A107" i="123" s="1"/>
  <c r="A108" i="123" s="1"/>
  <c r="A109" i="123" s="1"/>
  <c r="A110" i="123" s="1"/>
  <c r="A111" i="123" s="1"/>
  <c r="A112" i="123" s="1"/>
  <c r="A113" i="123" s="1"/>
  <c r="A114" i="123" s="1"/>
  <c r="A115" i="123" s="1"/>
  <c r="A116" i="123" s="1"/>
  <c r="A117" i="123" s="1"/>
  <c r="A118" i="123" s="1"/>
  <c r="A119" i="123" s="1"/>
  <c r="A120" i="123" s="1"/>
  <c r="A121" i="123" s="1"/>
  <c r="A122" i="123" s="1"/>
  <c r="A123" i="123" s="1"/>
  <c r="B93" i="123"/>
  <c r="C93" i="123" s="1"/>
  <c r="D93" i="123" s="1"/>
  <c r="E93" i="123" s="1"/>
  <c r="F93" i="123" s="1"/>
  <c r="G93" i="123" s="1"/>
  <c r="H93" i="123" s="1"/>
  <c r="I93" i="123" s="1"/>
  <c r="J93" i="123" s="1"/>
  <c r="K93" i="123" s="1"/>
  <c r="L93" i="123" s="1"/>
  <c r="M93" i="123" s="1"/>
  <c r="N93" i="123" s="1"/>
  <c r="O93" i="123" s="1"/>
  <c r="P93" i="123" s="1"/>
  <c r="Q93" i="123" s="1"/>
  <c r="R93" i="123" s="1"/>
  <c r="F85" i="123"/>
  <c r="E85" i="123"/>
  <c r="D85" i="123"/>
  <c r="C85" i="123"/>
  <c r="B85" i="123"/>
  <c r="A56" i="123"/>
  <c r="A57" i="123" s="1"/>
  <c r="A58" i="123" s="1"/>
  <c r="A59" i="123" s="1"/>
  <c r="A60" i="123" s="1"/>
  <c r="A61" i="123" s="1"/>
  <c r="A62" i="123" s="1"/>
  <c r="A63" i="123" s="1"/>
  <c r="A64" i="123" s="1"/>
  <c r="A65" i="123" s="1"/>
  <c r="A66" i="123" s="1"/>
  <c r="A67" i="123" s="1"/>
  <c r="A68" i="123" s="1"/>
  <c r="A69" i="123" s="1"/>
  <c r="A70" i="123" s="1"/>
  <c r="A71" i="123" s="1"/>
  <c r="A72" i="123" s="1"/>
  <c r="A73" i="123" s="1"/>
  <c r="A74" i="123" s="1"/>
  <c r="A75" i="123" s="1"/>
  <c r="A76" i="123" s="1"/>
  <c r="A77" i="123" s="1"/>
  <c r="A78" i="123" s="1"/>
  <c r="A79" i="123" s="1"/>
  <c r="A80" i="123" s="1"/>
  <c r="A81" i="123" s="1"/>
  <c r="A82" i="123" s="1"/>
  <c r="A83" i="123" s="1"/>
  <c r="H95" i="123"/>
  <c r="B53" i="123"/>
  <c r="C53" i="123" s="1"/>
  <c r="D53" i="123" s="1"/>
  <c r="E53" i="123" s="1"/>
  <c r="F53" i="123" s="1"/>
  <c r="G53" i="123" s="1"/>
  <c r="H53" i="123" s="1"/>
  <c r="I53" i="123" s="1"/>
  <c r="J53" i="123" s="1"/>
  <c r="K53" i="123" s="1"/>
  <c r="L53" i="123" s="1"/>
  <c r="M53" i="123" s="1"/>
  <c r="N53" i="123" s="1"/>
  <c r="O53" i="123" s="1"/>
  <c r="P53" i="123" s="1"/>
  <c r="Q53" i="123" s="1"/>
  <c r="R53" i="123" s="1"/>
  <c r="A16" i="123"/>
  <c r="A17" i="123" s="1"/>
  <c r="A18" i="123" s="1"/>
  <c r="A19" i="123" s="1"/>
  <c r="A20" i="123" s="1"/>
  <c r="A21" i="123" s="1"/>
  <c r="A22" i="123" s="1"/>
  <c r="A23" i="123" s="1"/>
  <c r="A24" i="123" s="1"/>
  <c r="A25" i="123" s="1"/>
  <c r="A26" i="123" s="1"/>
  <c r="A27" i="123" s="1"/>
  <c r="A28" i="123" s="1"/>
  <c r="A29" i="123" s="1"/>
  <c r="A30" i="123" s="1"/>
  <c r="A31" i="123" s="1"/>
  <c r="A32" i="123" s="1"/>
  <c r="A33" i="123" s="1"/>
  <c r="A34" i="123" s="1"/>
  <c r="A35" i="123" s="1"/>
  <c r="A36" i="123" s="1"/>
  <c r="A37" i="123" s="1"/>
  <c r="A38" i="123" s="1"/>
  <c r="A39" i="123" s="1"/>
  <c r="A40" i="123" s="1"/>
  <c r="A41" i="123" s="1"/>
  <c r="A42" i="123" s="1"/>
  <c r="A43" i="123" s="1"/>
  <c r="B13" i="123"/>
  <c r="C13" i="123" s="1"/>
  <c r="D13" i="123" s="1"/>
  <c r="E13" i="123" s="1"/>
  <c r="F13" i="123" s="1"/>
  <c r="G13" i="123" s="1"/>
  <c r="H13" i="123" s="1"/>
  <c r="I13" i="123" s="1"/>
  <c r="J13" i="123" s="1"/>
  <c r="K13" i="123" s="1"/>
  <c r="L13" i="123" s="1"/>
  <c r="M13" i="123" s="1"/>
  <c r="N13" i="123" s="1"/>
  <c r="O13" i="123" s="1"/>
  <c r="P13" i="123" s="1"/>
  <c r="Q13" i="123" s="1"/>
  <c r="R13" i="123" s="1"/>
  <c r="E29" i="121"/>
  <c r="E29" i="139" s="1"/>
  <c r="E45" i="139" s="1"/>
  <c r="C29" i="121"/>
  <c r="C29" i="139" s="1"/>
  <c r="C45" i="139" s="1"/>
  <c r="B29" i="121"/>
  <c r="B29" i="139" s="1"/>
  <c r="K69" i="23"/>
  <c r="K68" i="23"/>
  <c r="K66" i="23"/>
  <c r="K65" i="23"/>
  <c r="K64" i="23"/>
  <c r="K63" i="23"/>
  <c r="K62" i="23"/>
  <c r="K61" i="23"/>
  <c r="K60" i="23"/>
  <c r="K59" i="23"/>
  <c r="K58" i="23"/>
  <c r="K57" i="23"/>
  <c r="K56" i="23"/>
  <c r="E19" i="82"/>
  <c r="K35" i="27"/>
  <c r="F125" i="121"/>
  <c r="E125" i="121"/>
  <c r="D125" i="121"/>
  <c r="C125" i="121"/>
  <c r="B125" i="121"/>
  <c r="A96" i="121"/>
  <c r="A97" i="121" s="1"/>
  <c r="A98" i="121" s="1"/>
  <c r="A99" i="121" s="1"/>
  <c r="A100" i="121" s="1"/>
  <c r="A101" i="121" s="1"/>
  <c r="A102" i="121" s="1"/>
  <c r="A103" i="121" s="1"/>
  <c r="A104" i="121" s="1"/>
  <c r="A105" i="121" s="1"/>
  <c r="A106" i="121" s="1"/>
  <c r="A107" i="121" s="1"/>
  <c r="A108" i="121" s="1"/>
  <c r="A109" i="121" s="1"/>
  <c r="A110" i="121" s="1"/>
  <c r="A111" i="121" s="1"/>
  <c r="A112" i="121" s="1"/>
  <c r="A113" i="121" s="1"/>
  <c r="A114" i="121" s="1"/>
  <c r="A115" i="121" s="1"/>
  <c r="A116" i="121" s="1"/>
  <c r="A117" i="121" s="1"/>
  <c r="A118" i="121" s="1"/>
  <c r="A119" i="121" s="1"/>
  <c r="A120" i="121" s="1"/>
  <c r="A121" i="121" s="1"/>
  <c r="A122" i="121" s="1"/>
  <c r="A123" i="121" s="1"/>
  <c r="B93" i="121"/>
  <c r="C93" i="121" s="1"/>
  <c r="D93" i="121" s="1"/>
  <c r="E93" i="121" s="1"/>
  <c r="F93" i="121" s="1"/>
  <c r="G93" i="121" s="1"/>
  <c r="H93" i="121" s="1"/>
  <c r="I93" i="121" s="1"/>
  <c r="J93" i="121" s="1"/>
  <c r="K93" i="121" s="1"/>
  <c r="L93" i="121" s="1"/>
  <c r="M93" i="121" s="1"/>
  <c r="N93" i="121" s="1"/>
  <c r="O93" i="121" s="1"/>
  <c r="P93" i="121" s="1"/>
  <c r="Q93" i="121" s="1"/>
  <c r="R93" i="121" s="1"/>
  <c r="F85" i="121"/>
  <c r="E85" i="121"/>
  <c r="D85" i="121"/>
  <c r="C85" i="121"/>
  <c r="B85" i="121"/>
  <c r="L83" i="121"/>
  <c r="L123" i="121" s="1"/>
  <c r="K83" i="121"/>
  <c r="K123" i="121" s="1"/>
  <c r="I83" i="121"/>
  <c r="J83" i="121" s="1"/>
  <c r="G83" i="121"/>
  <c r="H83" i="121" s="1"/>
  <c r="L82" i="121"/>
  <c r="K82" i="121"/>
  <c r="I82" i="121"/>
  <c r="J82" i="121" s="1"/>
  <c r="G82" i="121"/>
  <c r="H82" i="121" s="1"/>
  <c r="L81" i="121"/>
  <c r="K81" i="121"/>
  <c r="K121" i="121" s="1"/>
  <c r="I81" i="121"/>
  <c r="J81" i="121" s="1"/>
  <c r="J121" i="121" s="1"/>
  <c r="G81" i="121"/>
  <c r="H81" i="121" s="1"/>
  <c r="H121" i="121" s="1"/>
  <c r="L80" i="121"/>
  <c r="K80" i="121"/>
  <c r="I80" i="121"/>
  <c r="J80" i="121" s="1"/>
  <c r="G80" i="121"/>
  <c r="H80" i="121" s="1"/>
  <c r="H120" i="121" s="1"/>
  <c r="L79" i="121"/>
  <c r="L119" i="121" s="1"/>
  <c r="K79" i="121"/>
  <c r="I79" i="121"/>
  <c r="J79" i="121" s="1"/>
  <c r="G79" i="121"/>
  <c r="H79" i="121" s="1"/>
  <c r="L78" i="121"/>
  <c r="K78" i="121"/>
  <c r="I78" i="121"/>
  <c r="J78" i="121" s="1"/>
  <c r="G78" i="121"/>
  <c r="H78" i="121" s="1"/>
  <c r="L77" i="121"/>
  <c r="L117" i="121" s="1"/>
  <c r="K77" i="121"/>
  <c r="K117" i="121" s="1"/>
  <c r="I77" i="121"/>
  <c r="J77" i="121" s="1"/>
  <c r="J117" i="121" s="1"/>
  <c r="G77" i="121"/>
  <c r="H77" i="121" s="1"/>
  <c r="H117" i="121" s="1"/>
  <c r="L76" i="121"/>
  <c r="L116" i="121" s="1"/>
  <c r="K76" i="121"/>
  <c r="K116" i="121" s="1"/>
  <c r="I76" i="121"/>
  <c r="J76" i="121" s="1"/>
  <c r="G76" i="121"/>
  <c r="H76" i="121" s="1"/>
  <c r="L75" i="121"/>
  <c r="K75" i="121"/>
  <c r="I75" i="121"/>
  <c r="J75" i="121" s="1"/>
  <c r="G75" i="121"/>
  <c r="H75" i="121" s="1"/>
  <c r="L74" i="121"/>
  <c r="K74" i="121"/>
  <c r="I74" i="121"/>
  <c r="J74" i="121" s="1"/>
  <c r="G74" i="121"/>
  <c r="H74" i="121" s="1"/>
  <c r="H114" i="121" s="1"/>
  <c r="L73" i="121"/>
  <c r="K73" i="121"/>
  <c r="I73" i="121"/>
  <c r="J73" i="121" s="1"/>
  <c r="G73" i="121"/>
  <c r="H73" i="121" s="1"/>
  <c r="L72" i="121"/>
  <c r="K72" i="121"/>
  <c r="I72" i="121"/>
  <c r="J72" i="121" s="1"/>
  <c r="G72" i="121"/>
  <c r="H72" i="121" s="1"/>
  <c r="H112" i="121" s="1"/>
  <c r="L71" i="121"/>
  <c r="K71" i="121"/>
  <c r="I71" i="121"/>
  <c r="J71" i="121" s="1"/>
  <c r="G71" i="121"/>
  <c r="H71" i="121" s="1"/>
  <c r="L70" i="121"/>
  <c r="K70" i="121"/>
  <c r="I70" i="121"/>
  <c r="J70" i="121" s="1"/>
  <c r="G70" i="121"/>
  <c r="H70" i="121" s="1"/>
  <c r="L69" i="121"/>
  <c r="K69" i="121"/>
  <c r="I69" i="121"/>
  <c r="J69" i="121" s="1"/>
  <c r="G69" i="121"/>
  <c r="H69" i="121" s="1"/>
  <c r="L68" i="121"/>
  <c r="K68" i="121"/>
  <c r="K108" i="121" s="1"/>
  <c r="I68" i="121"/>
  <c r="J68" i="121" s="1"/>
  <c r="G68" i="121"/>
  <c r="H68" i="121" s="1"/>
  <c r="L67" i="121"/>
  <c r="K67" i="121"/>
  <c r="K107" i="121" s="1"/>
  <c r="I67" i="121"/>
  <c r="J67" i="121" s="1"/>
  <c r="G67" i="121"/>
  <c r="H67" i="121" s="1"/>
  <c r="H107" i="121" s="1"/>
  <c r="N106" i="121"/>
  <c r="L66" i="121"/>
  <c r="L106" i="121" s="1"/>
  <c r="K66" i="121"/>
  <c r="I66" i="121"/>
  <c r="J66" i="121" s="1"/>
  <c r="G66" i="121"/>
  <c r="H66" i="121" s="1"/>
  <c r="M105" i="121"/>
  <c r="L65" i="121"/>
  <c r="K65" i="121"/>
  <c r="K105" i="121" s="1"/>
  <c r="I65" i="121"/>
  <c r="J65" i="121" s="1"/>
  <c r="J105" i="121" s="1"/>
  <c r="G65" i="121"/>
  <c r="H65" i="121" s="1"/>
  <c r="H105" i="121" s="1"/>
  <c r="L64" i="121"/>
  <c r="L104" i="121" s="1"/>
  <c r="K64" i="121"/>
  <c r="K104" i="121" s="1"/>
  <c r="I64" i="121"/>
  <c r="J64" i="121" s="1"/>
  <c r="J104" i="121" s="1"/>
  <c r="G64" i="121"/>
  <c r="H64" i="121" s="1"/>
  <c r="L63" i="121"/>
  <c r="K63" i="121"/>
  <c r="K103" i="121" s="1"/>
  <c r="I63" i="121"/>
  <c r="J63" i="121" s="1"/>
  <c r="G63" i="121"/>
  <c r="H63" i="121" s="1"/>
  <c r="L62" i="121"/>
  <c r="K62" i="121"/>
  <c r="I62" i="121"/>
  <c r="J62" i="121" s="1"/>
  <c r="G62" i="121"/>
  <c r="H62" i="121" s="1"/>
  <c r="L61" i="121"/>
  <c r="K61" i="121"/>
  <c r="K101" i="121" s="1"/>
  <c r="I61" i="121"/>
  <c r="J61" i="121" s="1"/>
  <c r="G61" i="121"/>
  <c r="H61" i="121" s="1"/>
  <c r="L60" i="121"/>
  <c r="L100" i="121" s="1"/>
  <c r="K60" i="121"/>
  <c r="I60" i="121"/>
  <c r="J60" i="121" s="1"/>
  <c r="G60" i="121"/>
  <c r="H60" i="121" s="1"/>
  <c r="L59" i="121"/>
  <c r="K59" i="121"/>
  <c r="I59" i="121"/>
  <c r="J59" i="121" s="1"/>
  <c r="G59" i="121"/>
  <c r="H59" i="121" s="1"/>
  <c r="L58" i="121"/>
  <c r="L98" i="121" s="1"/>
  <c r="K58" i="121"/>
  <c r="K98" i="121" s="1"/>
  <c r="I58" i="121"/>
  <c r="J58" i="121" s="1"/>
  <c r="J98" i="121" s="1"/>
  <c r="G58" i="121"/>
  <c r="H58" i="121" s="1"/>
  <c r="L57" i="121"/>
  <c r="K57" i="121"/>
  <c r="K97" i="121" s="1"/>
  <c r="I57" i="121"/>
  <c r="J57" i="121" s="1"/>
  <c r="G57" i="121"/>
  <c r="H57" i="121" s="1"/>
  <c r="L56" i="121"/>
  <c r="K56" i="121"/>
  <c r="K96" i="121" s="1"/>
  <c r="I56" i="121"/>
  <c r="J56" i="121" s="1"/>
  <c r="J96" i="121" s="1"/>
  <c r="G56" i="121"/>
  <c r="H56" i="121" s="1"/>
  <c r="A56" i="121"/>
  <c r="A57" i="121" s="1"/>
  <c r="A58" i="121" s="1"/>
  <c r="A59" i="121" s="1"/>
  <c r="A60" i="121" s="1"/>
  <c r="A61" i="121" s="1"/>
  <c r="A62" i="121" s="1"/>
  <c r="A63" i="121" s="1"/>
  <c r="A64" i="121" s="1"/>
  <c r="A65" i="121" s="1"/>
  <c r="A66" i="121" s="1"/>
  <c r="A67" i="121" s="1"/>
  <c r="A68" i="121" s="1"/>
  <c r="A69" i="121" s="1"/>
  <c r="A70" i="121" s="1"/>
  <c r="A71" i="121" s="1"/>
  <c r="A72" i="121" s="1"/>
  <c r="A73" i="121" s="1"/>
  <c r="A74" i="121" s="1"/>
  <c r="A75" i="121" s="1"/>
  <c r="A76" i="121" s="1"/>
  <c r="L55" i="121"/>
  <c r="K55" i="121"/>
  <c r="I55" i="121"/>
  <c r="J55" i="121" s="1"/>
  <c r="G55" i="121"/>
  <c r="H55" i="121" s="1"/>
  <c r="B53" i="121"/>
  <c r="C53" i="121" s="1"/>
  <c r="D53" i="121" s="1"/>
  <c r="E53" i="121" s="1"/>
  <c r="F53" i="121" s="1"/>
  <c r="G53" i="121" s="1"/>
  <c r="H53" i="121" s="1"/>
  <c r="I53" i="121" s="1"/>
  <c r="J53" i="121" s="1"/>
  <c r="K53" i="121" s="1"/>
  <c r="L53" i="121" s="1"/>
  <c r="M53" i="121" s="1"/>
  <c r="N53" i="121" s="1"/>
  <c r="O53" i="121" s="1"/>
  <c r="P53" i="121" s="1"/>
  <c r="Q53" i="121" s="1"/>
  <c r="R53" i="121" s="1"/>
  <c r="M44" i="121"/>
  <c r="M124" i="121" s="1"/>
  <c r="L44" i="121"/>
  <c r="L124" i="121" s="1"/>
  <c r="K44" i="121"/>
  <c r="K124" i="121" s="1"/>
  <c r="J44" i="121"/>
  <c r="J124" i="121" s="1"/>
  <c r="I44" i="121"/>
  <c r="I124" i="121" s="1"/>
  <c r="H44" i="121"/>
  <c r="H124" i="121" s="1"/>
  <c r="G44" i="121"/>
  <c r="G124" i="121" s="1"/>
  <c r="J123" i="121"/>
  <c r="I117" i="121"/>
  <c r="I114" i="121"/>
  <c r="K111" i="121"/>
  <c r="M103" i="121"/>
  <c r="L102" i="121"/>
  <c r="M101" i="121"/>
  <c r="M99" i="121"/>
  <c r="K99" i="121"/>
  <c r="M97" i="121"/>
  <c r="A16" i="121"/>
  <c r="A17" i="121" s="1"/>
  <c r="A18" i="121" s="1"/>
  <c r="A19" i="121" s="1"/>
  <c r="A20" i="121" s="1"/>
  <c r="A21" i="121" s="1"/>
  <c r="A22" i="121" s="1"/>
  <c r="A23" i="121" s="1"/>
  <c r="A24" i="121" s="1"/>
  <c r="A25" i="121" s="1"/>
  <c r="A26" i="121" s="1"/>
  <c r="A27" i="121" s="1"/>
  <c r="A28" i="121" s="1"/>
  <c r="A29" i="121" s="1"/>
  <c r="A30" i="121" s="1"/>
  <c r="A31" i="121" s="1"/>
  <c r="A32" i="121" s="1"/>
  <c r="A33" i="121" s="1"/>
  <c r="A34" i="121" s="1"/>
  <c r="A35" i="121" s="1"/>
  <c r="A36" i="121" s="1"/>
  <c r="A37" i="121" s="1"/>
  <c r="A38" i="121" s="1"/>
  <c r="A39" i="121" s="1"/>
  <c r="A40" i="121" s="1"/>
  <c r="A41" i="121" s="1"/>
  <c r="A42" i="121" s="1"/>
  <c r="A43" i="121" s="1"/>
  <c r="B13" i="121"/>
  <c r="C13" i="121" s="1"/>
  <c r="D13" i="121" s="1"/>
  <c r="E13" i="121" s="1"/>
  <c r="F13" i="121" s="1"/>
  <c r="G13" i="121" s="1"/>
  <c r="H13" i="121" s="1"/>
  <c r="I13" i="121" s="1"/>
  <c r="J13" i="121" s="1"/>
  <c r="K13" i="121" s="1"/>
  <c r="L13" i="121" s="1"/>
  <c r="M13" i="121" s="1"/>
  <c r="N13" i="121" s="1"/>
  <c r="O13" i="121" s="1"/>
  <c r="P13" i="121" s="1"/>
  <c r="Q13" i="121" s="1"/>
  <c r="R13" i="121" s="1"/>
  <c r="B93" i="120"/>
  <c r="C93" i="120" s="1"/>
  <c r="D93" i="120" s="1"/>
  <c r="E93" i="120" s="1"/>
  <c r="F93" i="120" s="1"/>
  <c r="G93" i="120" s="1"/>
  <c r="H93" i="120" s="1"/>
  <c r="I93" i="120" s="1"/>
  <c r="J93" i="120" s="1"/>
  <c r="K93" i="120" s="1"/>
  <c r="L93" i="120" s="1"/>
  <c r="M93" i="120" s="1"/>
  <c r="N93" i="120" s="1"/>
  <c r="O93" i="120" s="1"/>
  <c r="P93" i="120" s="1"/>
  <c r="Q93" i="120" s="1"/>
  <c r="R93" i="120" s="1"/>
  <c r="B53" i="120"/>
  <c r="C53" i="120" s="1"/>
  <c r="D53" i="120" s="1"/>
  <c r="E53" i="120" s="1"/>
  <c r="F53" i="120" s="1"/>
  <c r="G53" i="120" s="1"/>
  <c r="H53" i="120" s="1"/>
  <c r="I53" i="120" s="1"/>
  <c r="J53" i="120" s="1"/>
  <c r="K53" i="120" s="1"/>
  <c r="L53" i="120" s="1"/>
  <c r="M53" i="120" s="1"/>
  <c r="N53" i="120" s="1"/>
  <c r="O53" i="120" s="1"/>
  <c r="P53" i="120" s="1"/>
  <c r="Q53" i="120" s="1"/>
  <c r="R53" i="120" s="1"/>
  <c r="B93" i="119"/>
  <c r="C93" i="119" s="1"/>
  <c r="D93" i="119" s="1"/>
  <c r="E93" i="119" s="1"/>
  <c r="F93" i="119" s="1"/>
  <c r="G93" i="119" s="1"/>
  <c r="H93" i="119" s="1"/>
  <c r="I93" i="119" s="1"/>
  <c r="J93" i="119" s="1"/>
  <c r="K93" i="119" s="1"/>
  <c r="L93" i="119" s="1"/>
  <c r="M93" i="119" s="1"/>
  <c r="N93" i="119" s="1"/>
  <c r="O93" i="119" s="1"/>
  <c r="P93" i="119" s="1"/>
  <c r="Q93" i="119" s="1"/>
  <c r="R93" i="119" s="1"/>
  <c r="S93" i="119" s="1"/>
  <c r="T93" i="119" s="1"/>
  <c r="U93" i="119" s="1"/>
  <c r="V93" i="119" s="1"/>
  <c r="B53" i="119"/>
  <c r="C53" i="119" s="1"/>
  <c r="D53" i="119" s="1"/>
  <c r="E53" i="119" s="1"/>
  <c r="F53" i="119" s="1"/>
  <c r="G53" i="119" s="1"/>
  <c r="H53" i="119" s="1"/>
  <c r="I53" i="119" s="1"/>
  <c r="J53" i="119" s="1"/>
  <c r="K53" i="119" s="1"/>
  <c r="L53" i="119" s="1"/>
  <c r="M53" i="119" s="1"/>
  <c r="N53" i="119" s="1"/>
  <c r="O53" i="119" s="1"/>
  <c r="P53" i="119" s="1"/>
  <c r="Q53" i="119" s="1"/>
  <c r="R53" i="119" s="1"/>
  <c r="S53" i="119" s="1"/>
  <c r="T53" i="119" s="1"/>
  <c r="U53" i="119" s="1"/>
  <c r="V53" i="119" s="1"/>
  <c r="W53" i="119" s="1"/>
  <c r="G102" i="121" l="1"/>
  <c r="C45" i="121"/>
  <c r="G104" i="121"/>
  <c r="I108" i="121"/>
  <c r="G105" i="121"/>
  <c r="G25" i="90"/>
  <c r="S25" i="90" s="1"/>
  <c r="M34" i="116"/>
  <c r="K34" i="116"/>
  <c r="M33" i="116"/>
  <c r="K33" i="116"/>
  <c r="M32" i="116"/>
  <c r="K32" i="116"/>
  <c r="C31" i="115"/>
  <c r="C31" i="116"/>
  <c r="M36" i="116"/>
  <c r="K36" i="116"/>
  <c r="M35" i="116"/>
  <c r="K35" i="116"/>
  <c r="C35" i="115"/>
  <c r="AG35" i="87"/>
  <c r="G19" i="90"/>
  <c r="S19" i="90" s="1"/>
  <c r="C34" i="115"/>
  <c r="AG34" i="87"/>
  <c r="C33" i="115"/>
  <c r="AG33" i="87"/>
  <c r="C36" i="115"/>
  <c r="AG36" i="87"/>
  <c r="C32" i="115"/>
  <c r="AG32" i="87"/>
  <c r="G18" i="90"/>
  <c r="S18" i="90" s="1"/>
  <c r="G17" i="90"/>
  <c r="S17" i="90" s="1"/>
  <c r="G21" i="90"/>
  <c r="S21" i="90" s="1"/>
  <c r="G120" i="121"/>
  <c r="G22" i="90"/>
  <c r="S22" i="90" s="1"/>
  <c r="G24" i="90"/>
  <c r="S24" i="90" s="1"/>
  <c r="G31" i="90"/>
  <c r="S31" i="90" s="1"/>
  <c r="G100" i="121"/>
  <c r="I101" i="121"/>
  <c r="E45" i="121"/>
  <c r="K29" i="121"/>
  <c r="K29" i="139" s="1"/>
  <c r="I104" i="121"/>
  <c r="I98" i="121"/>
  <c r="U35" i="117"/>
  <c r="G21" i="81" s="1"/>
  <c r="G121" i="121"/>
  <c r="U34" i="117"/>
  <c r="G29" i="121"/>
  <c r="G29" i="139" s="1"/>
  <c r="G20" i="20"/>
  <c r="E20" i="82"/>
  <c r="G22" i="20"/>
  <c r="E22" i="82"/>
  <c r="G23" i="20"/>
  <c r="E23" i="82"/>
  <c r="G24" i="20"/>
  <c r="E24" i="82"/>
  <c r="G25" i="20"/>
  <c r="E25" i="82"/>
  <c r="G17" i="20"/>
  <c r="E17" i="82"/>
  <c r="G18" i="20"/>
  <c r="E18" i="82"/>
  <c r="I96" i="121"/>
  <c r="Z26" i="131"/>
  <c r="G106" i="121"/>
  <c r="Z19" i="131"/>
  <c r="I103" i="121"/>
  <c r="Z21" i="131"/>
  <c r="Z24" i="131"/>
  <c r="Z27" i="131"/>
  <c r="S53" i="123"/>
  <c r="T53" i="123" s="1"/>
  <c r="U53" i="123" s="1"/>
  <c r="V53" i="123" s="1"/>
  <c r="A77" i="121"/>
  <c r="A78" i="121" s="1"/>
  <c r="A79" i="121" s="1"/>
  <c r="A80" i="121" s="1"/>
  <c r="A81" i="121" s="1"/>
  <c r="A82" i="121" s="1"/>
  <c r="A83" i="121" s="1"/>
  <c r="S93" i="121"/>
  <c r="T93" i="121" s="1"/>
  <c r="U93" i="121" s="1"/>
  <c r="V93" i="121" s="1"/>
  <c r="Z20" i="131"/>
  <c r="G108" i="121"/>
  <c r="J85" i="123"/>
  <c r="S53" i="121"/>
  <c r="T53" i="121" s="1"/>
  <c r="U53" i="121" s="1"/>
  <c r="V53" i="121" s="1"/>
  <c r="E72" i="128"/>
  <c r="E74" i="128" s="1"/>
  <c r="E76" i="128" s="1"/>
  <c r="L85" i="123"/>
  <c r="I100" i="121"/>
  <c r="S93" i="123"/>
  <c r="T93" i="123" s="1"/>
  <c r="U93" i="123" s="1"/>
  <c r="V93" i="123" s="1"/>
  <c r="Z23" i="131"/>
  <c r="I105" i="121"/>
  <c r="S13" i="123"/>
  <c r="T13" i="123" s="1"/>
  <c r="U13" i="123" s="1"/>
  <c r="V13" i="123" s="1"/>
  <c r="W13" i="123" s="1"/>
  <c r="S93" i="120"/>
  <c r="T93" i="120" s="1"/>
  <c r="U93" i="120" s="1"/>
  <c r="V93" i="120" s="1"/>
  <c r="S13" i="121"/>
  <c r="T13" i="121" s="1"/>
  <c r="U13" i="121" s="1"/>
  <c r="V13" i="121" s="1"/>
  <c r="W13" i="121" s="1"/>
  <c r="S53" i="120"/>
  <c r="T53" i="120" s="1"/>
  <c r="U53" i="120" s="1"/>
  <c r="V53" i="120" s="1"/>
  <c r="G117" i="121"/>
  <c r="M46" i="91"/>
  <c r="W46" i="115" s="1"/>
  <c r="AX31" i="105"/>
  <c r="AX47" i="105" s="1"/>
  <c r="AX49" i="105" s="1"/>
  <c r="I43" i="130" s="1"/>
  <c r="AB52" i="55"/>
  <c r="G107" i="121"/>
  <c r="I117" i="123"/>
  <c r="I122" i="123"/>
  <c r="G120" i="123"/>
  <c r="G117" i="123"/>
  <c r="H120" i="123"/>
  <c r="L123" i="123"/>
  <c r="I123" i="123"/>
  <c r="G123" i="123"/>
  <c r="H122" i="123"/>
  <c r="G114" i="121"/>
  <c r="H29" i="121"/>
  <c r="K55" i="23"/>
  <c r="I118" i="123"/>
  <c r="I121" i="123"/>
  <c r="U36" i="117"/>
  <c r="U33" i="117"/>
  <c r="I116" i="121"/>
  <c r="G110" i="121"/>
  <c r="G112" i="121"/>
  <c r="I63" i="23"/>
  <c r="G19" i="20"/>
  <c r="U59" i="91"/>
  <c r="U38" i="117"/>
  <c r="U39" i="117"/>
  <c r="U60" i="91"/>
  <c r="U67" i="91"/>
  <c r="U66" i="91"/>
  <c r="U32" i="117"/>
  <c r="U62" i="91"/>
  <c r="U61" i="91"/>
  <c r="U64" i="91"/>
  <c r="U63" i="91"/>
  <c r="S67" i="91"/>
  <c r="S61" i="91"/>
  <c r="S64" i="91"/>
  <c r="S60" i="91"/>
  <c r="S63" i="91"/>
  <c r="S59" i="91"/>
  <c r="S66" i="91"/>
  <c r="S62" i="91"/>
  <c r="G122" i="123"/>
  <c r="I116" i="123"/>
  <c r="G116" i="123"/>
  <c r="K116" i="123"/>
  <c r="K117" i="123"/>
  <c r="I57" i="23"/>
  <c r="I69" i="23"/>
  <c r="I121" i="121"/>
  <c r="G121" i="123"/>
  <c r="I45" i="123"/>
  <c r="K115" i="123"/>
  <c r="J95" i="123"/>
  <c r="I95" i="123"/>
  <c r="N44" i="121"/>
  <c r="L115" i="121"/>
  <c r="K120" i="121"/>
  <c r="L85" i="121"/>
  <c r="I120" i="121"/>
  <c r="H113" i="121"/>
  <c r="L121" i="121"/>
  <c r="L120" i="121"/>
  <c r="K114" i="121"/>
  <c r="K113" i="121"/>
  <c r="I112" i="121"/>
  <c r="G116" i="121"/>
  <c r="H116" i="121"/>
  <c r="J85" i="121"/>
  <c r="I56" i="23"/>
  <c r="I68" i="23"/>
  <c r="I66" i="23"/>
  <c r="H116" i="123"/>
  <c r="L120" i="123"/>
  <c r="L122" i="123"/>
  <c r="H121" i="123"/>
  <c r="H123" i="123"/>
  <c r="I67" i="23"/>
  <c r="I61" i="23"/>
  <c r="I64" i="23"/>
  <c r="I59" i="23"/>
  <c r="I60" i="23"/>
  <c r="I58" i="23"/>
  <c r="I55" i="23"/>
  <c r="I62" i="23"/>
  <c r="B45" i="123"/>
  <c r="P95" i="123"/>
  <c r="G95" i="123"/>
  <c r="N105" i="121"/>
  <c r="M106" i="121"/>
  <c r="J95" i="121"/>
  <c r="J99" i="121"/>
  <c r="J97" i="121"/>
  <c r="L108" i="121"/>
  <c r="Q108" i="121"/>
  <c r="M108" i="121"/>
  <c r="N108" i="121"/>
  <c r="H104" i="121"/>
  <c r="H108" i="121"/>
  <c r="J100" i="121"/>
  <c r="G96" i="121"/>
  <c r="I111" i="121"/>
  <c r="I95" i="121"/>
  <c r="G97" i="121"/>
  <c r="G98" i="121"/>
  <c r="H99" i="121"/>
  <c r="G103" i="121"/>
  <c r="M107" i="121"/>
  <c r="I97" i="121"/>
  <c r="H98" i="121"/>
  <c r="G99" i="121"/>
  <c r="G101" i="121"/>
  <c r="H102" i="121"/>
  <c r="Q105" i="121"/>
  <c r="L105" i="121"/>
  <c r="N107" i="121"/>
  <c r="I110" i="121"/>
  <c r="L112" i="121"/>
  <c r="L113" i="121"/>
  <c r="J102" i="121"/>
  <c r="L96" i="121"/>
  <c r="H97" i="121"/>
  <c r="H103" i="121"/>
  <c r="H106" i="121"/>
  <c r="J112" i="121"/>
  <c r="H96" i="121"/>
  <c r="H101" i="121"/>
  <c r="P105" i="121"/>
  <c r="H118" i="121"/>
  <c r="M96" i="121"/>
  <c r="N96" i="121"/>
  <c r="I99" i="121"/>
  <c r="H100" i="121"/>
  <c r="K102" i="121"/>
  <c r="L103" i="121"/>
  <c r="Q103" i="121"/>
  <c r="M104" i="121"/>
  <c r="N104" i="121"/>
  <c r="Q106" i="121"/>
  <c r="I29" i="121"/>
  <c r="I29" i="139" s="1"/>
  <c r="J110" i="121"/>
  <c r="I115" i="121"/>
  <c r="G115" i="121"/>
  <c r="J116" i="121"/>
  <c r="L118" i="121"/>
  <c r="D45" i="121"/>
  <c r="Q107" i="121"/>
  <c r="L107" i="121"/>
  <c r="L97" i="121"/>
  <c r="M98" i="121"/>
  <c r="N98" i="121"/>
  <c r="L101" i="121"/>
  <c r="Q101" i="121"/>
  <c r="M102" i="121"/>
  <c r="N102" i="121"/>
  <c r="H111" i="121"/>
  <c r="H115" i="121"/>
  <c r="H122" i="121"/>
  <c r="G95" i="121"/>
  <c r="G111" i="121"/>
  <c r="N97" i="121"/>
  <c r="Q98" i="121"/>
  <c r="N101" i="121"/>
  <c r="I107" i="121"/>
  <c r="J108" i="121"/>
  <c r="L111" i="121"/>
  <c r="L122" i="121"/>
  <c r="L95" i="121"/>
  <c r="L99" i="121"/>
  <c r="Q99" i="121"/>
  <c r="M100" i="121"/>
  <c r="N100" i="121"/>
  <c r="N103" i="121"/>
  <c r="L110" i="121"/>
  <c r="N99" i="121"/>
  <c r="I106" i="121"/>
  <c r="H110" i="121"/>
  <c r="J114" i="121"/>
  <c r="J120" i="121"/>
  <c r="J106" i="121"/>
  <c r="I102" i="121"/>
  <c r="I113" i="121"/>
  <c r="G113" i="121"/>
  <c r="L114" i="121"/>
  <c r="I123" i="121"/>
  <c r="G123" i="121"/>
  <c r="G118" i="121"/>
  <c r="G122" i="121"/>
  <c r="P44" i="121"/>
  <c r="I85" i="121"/>
  <c r="K115" i="121"/>
  <c r="K119" i="121"/>
  <c r="I118" i="121"/>
  <c r="I122" i="121"/>
  <c r="K100" i="121"/>
  <c r="K106" i="121"/>
  <c r="K110" i="121"/>
  <c r="K112" i="121"/>
  <c r="F45" i="121"/>
  <c r="K118" i="121"/>
  <c r="K122" i="121"/>
  <c r="H123" i="121"/>
  <c r="G85" i="121"/>
  <c r="K85" i="121"/>
  <c r="H85" i="121"/>
  <c r="A18" i="3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K109" i="121" l="1"/>
  <c r="K31" i="116"/>
  <c r="M31" i="116"/>
  <c r="AQ33" i="116"/>
  <c r="E19" i="90"/>
  <c r="Q19" i="90" s="1"/>
  <c r="E20" i="90"/>
  <c r="Q20" i="90" s="1"/>
  <c r="E17" i="90"/>
  <c r="Q17" i="90" s="1"/>
  <c r="G109" i="121"/>
  <c r="L29" i="121"/>
  <c r="L45" i="121" s="1"/>
  <c r="E18" i="90"/>
  <c r="Q18" i="90" s="1"/>
  <c r="E24" i="90"/>
  <c r="Q24" i="90" s="1"/>
  <c r="E22" i="90"/>
  <c r="Q22" i="90" s="1"/>
  <c r="E25" i="90"/>
  <c r="E21" i="90"/>
  <c r="Q21" i="90" s="1"/>
  <c r="E35" i="98"/>
  <c r="G18" i="81"/>
  <c r="E32" i="98"/>
  <c r="G20" i="81"/>
  <c r="E34" i="98"/>
  <c r="G25" i="81"/>
  <c r="E39" i="98"/>
  <c r="G19" i="81"/>
  <c r="E33" i="98"/>
  <c r="G24" i="81"/>
  <c r="E38" i="98"/>
  <c r="G22" i="81"/>
  <c r="E36" i="98"/>
  <c r="W127" i="139"/>
  <c r="H109" i="121"/>
  <c r="H29" i="139"/>
  <c r="AA20" i="131"/>
  <c r="AA22" i="131"/>
  <c r="AA24" i="131"/>
  <c r="AA26" i="131"/>
  <c r="AA27" i="131"/>
  <c r="AA21" i="131"/>
  <c r="AX71" i="105"/>
  <c r="AC52" i="55"/>
  <c r="AA19" i="131"/>
  <c r="AA23" i="131"/>
  <c r="I109" i="121"/>
  <c r="J29" i="121"/>
  <c r="J109" i="121" s="1"/>
  <c r="J123" i="123"/>
  <c r="J122" i="123"/>
  <c r="J120" i="123"/>
  <c r="J119" i="123"/>
  <c r="J118" i="123"/>
  <c r="J117" i="123"/>
  <c r="J116" i="123"/>
  <c r="L116" i="123"/>
  <c r="I85" i="125"/>
  <c r="I125" i="125"/>
  <c r="J45" i="123"/>
  <c r="J121" i="123"/>
  <c r="N124" i="121"/>
  <c r="Q44" i="121"/>
  <c r="Q124" i="121" s="1"/>
  <c r="L115" i="123"/>
  <c r="H118" i="123"/>
  <c r="L117" i="123"/>
  <c r="H117" i="123"/>
  <c r="F45" i="123"/>
  <c r="R95" i="123"/>
  <c r="J122" i="121"/>
  <c r="P106" i="121"/>
  <c r="J115" i="121"/>
  <c r="P124" i="121"/>
  <c r="J113" i="121"/>
  <c r="H95" i="121"/>
  <c r="H45" i="121"/>
  <c r="Q102" i="121"/>
  <c r="J101" i="121"/>
  <c r="P100" i="121"/>
  <c r="Q95" i="121"/>
  <c r="J103" i="121"/>
  <c r="P98" i="121"/>
  <c r="K45" i="121"/>
  <c r="K95" i="121"/>
  <c r="K125" i="121" s="1"/>
  <c r="P108" i="121"/>
  <c r="J107" i="121"/>
  <c r="J118" i="121"/>
  <c r="P102" i="121"/>
  <c r="P97" i="121"/>
  <c r="P104" i="121"/>
  <c r="J111" i="121"/>
  <c r="Q96" i="121"/>
  <c r="Q100" i="121"/>
  <c r="Q97" i="121"/>
  <c r="P99" i="121"/>
  <c r="P96" i="121"/>
  <c r="W29" i="129"/>
  <c r="W28" i="129"/>
  <c r="W27" i="129"/>
  <c r="W26" i="129"/>
  <c r="W25" i="129"/>
  <c r="W24" i="129"/>
  <c r="W23" i="129"/>
  <c r="W22" i="129"/>
  <c r="W21" i="129"/>
  <c r="W20" i="129"/>
  <c r="W19" i="129"/>
  <c r="W18" i="129"/>
  <c r="W17" i="129"/>
  <c r="W16" i="129"/>
  <c r="Z34" i="77"/>
  <c r="Z33" i="77"/>
  <c r="Z32" i="77"/>
  <c r="Z31" i="77"/>
  <c r="Z30" i="77"/>
  <c r="Z29" i="77"/>
  <c r="Z28" i="77"/>
  <c r="Z27" i="77"/>
  <c r="Z26" i="77"/>
  <c r="Z25" i="77"/>
  <c r="Z24" i="77"/>
  <c r="Z23" i="77"/>
  <c r="Z22" i="77"/>
  <c r="Z21" i="77"/>
  <c r="Z20" i="77"/>
  <c r="Z19" i="77"/>
  <c r="Z18" i="77"/>
  <c r="Z17" i="77"/>
  <c r="Z16" i="77"/>
  <c r="F84" i="119"/>
  <c r="E84" i="119"/>
  <c r="D84" i="119"/>
  <c r="C84" i="119"/>
  <c r="B84" i="119"/>
  <c r="F83" i="119"/>
  <c r="E83" i="119"/>
  <c r="D83" i="119"/>
  <c r="C83" i="119"/>
  <c r="B83" i="119"/>
  <c r="F82" i="119"/>
  <c r="E82" i="119"/>
  <c r="D82" i="119"/>
  <c r="C82" i="119"/>
  <c r="B82" i="119"/>
  <c r="F81" i="119"/>
  <c r="E81" i="119"/>
  <c r="D81" i="119"/>
  <c r="C81" i="119"/>
  <c r="B81" i="119"/>
  <c r="F80" i="119"/>
  <c r="E80" i="119"/>
  <c r="D80" i="119"/>
  <c r="C80" i="119"/>
  <c r="B80" i="119"/>
  <c r="F79" i="119"/>
  <c r="E79" i="119"/>
  <c r="D79" i="119"/>
  <c r="C79" i="119"/>
  <c r="B79" i="119"/>
  <c r="F78" i="119"/>
  <c r="E78" i="119"/>
  <c r="D78" i="119"/>
  <c r="C78" i="119"/>
  <c r="B78" i="119"/>
  <c r="F77" i="119"/>
  <c r="E77" i="119"/>
  <c r="K77" i="119" s="1"/>
  <c r="D77" i="119"/>
  <c r="C77" i="119"/>
  <c r="B77" i="119"/>
  <c r="F76" i="119"/>
  <c r="E76" i="119"/>
  <c r="K76" i="119" s="1"/>
  <c r="D76" i="119"/>
  <c r="C76" i="119"/>
  <c r="B76" i="119"/>
  <c r="F75" i="119"/>
  <c r="E75" i="119"/>
  <c r="D75" i="119"/>
  <c r="C75" i="119"/>
  <c r="B75" i="119"/>
  <c r="F74" i="119"/>
  <c r="E74" i="119"/>
  <c r="K74" i="119" s="1"/>
  <c r="D74" i="119"/>
  <c r="C74" i="119"/>
  <c r="B74" i="119"/>
  <c r="F73" i="119"/>
  <c r="E73" i="119"/>
  <c r="K73" i="119" s="1"/>
  <c r="D73" i="119"/>
  <c r="C73" i="119"/>
  <c r="B73" i="119"/>
  <c r="F72" i="119"/>
  <c r="E72" i="119"/>
  <c r="D72" i="119"/>
  <c r="C72" i="119"/>
  <c r="B72" i="119"/>
  <c r="F71" i="119"/>
  <c r="E71" i="119"/>
  <c r="D71" i="119"/>
  <c r="C71" i="119"/>
  <c r="B71" i="119"/>
  <c r="F70" i="119"/>
  <c r="E70" i="119"/>
  <c r="D70" i="119"/>
  <c r="C70" i="119"/>
  <c r="B70" i="119"/>
  <c r="F69" i="119"/>
  <c r="E69" i="119"/>
  <c r="K69" i="119" s="1"/>
  <c r="D69" i="119"/>
  <c r="C69" i="119"/>
  <c r="B69" i="119"/>
  <c r="F68" i="119"/>
  <c r="E68" i="119"/>
  <c r="D68" i="119"/>
  <c r="C68" i="119"/>
  <c r="B68" i="119"/>
  <c r="F67" i="119"/>
  <c r="E67" i="119"/>
  <c r="D67" i="119"/>
  <c r="C67" i="119"/>
  <c r="B67" i="119"/>
  <c r="F66" i="119"/>
  <c r="E66" i="119"/>
  <c r="D66" i="119"/>
  <c r="C66" i="119"/>
  <c r="B66" i="119"/>
  <c r="F65" i="119"/>
  <c r="E65" i="119"/>
  <c r="K65" i="119" s="1"/>
  <c r="D65" i="119"/>
  <c r="C65" i="119"/>
  <c r="B65" i="119"/>
  <c r="F64" i="119"/>
  <c r="E64" i="119"/>
  <c r="K64" i="119" s="1"/>
  <c r="D64" i="119"/>
  <c r="C64" i="119"/>
  <c r="B64" i="119"/>
  <c r="F63" i="119"/>
  <c r="E63" i="119"/>
  <c r="K63" i="119" s="1"/>
  <c r="D63" i="119"/>
  <c r="C63" i="119"/>
  <c r="B63" i="119"/>
  <c r="F62" i="119"/>
  <c r="E62" i="119"/>
  <c r="K62" i="119" s="1"/>
  <c r="D62" i="119"/>
  <c r="C62" i="119"/>
  <c r="B62" i="119"/>
  <c r="F61" i="119"/>
  <c r="E61" i="119"/>
  <c r="K61" i="119" s="1"/>
  <c r="D61" i="119"/>
  <c r="C61" i="119"/>
  <c r="B61" i="119"/>
  <c r="F60" i="119"/>
  <c r="E60" i="119"/>
  <c r="D60" i="119"/>
  <c r="C60" i="119"/>
  <c r="B60" i="119"/>
  <c r="F59" i="119"/>
  <c r="E59" i="119"/>
  <c r="K59" i="119" s="1"/>
  <c r="D59" i="119"/>
  <c r="C59" i="119"/>
  <c r="B59" i="119"/>
  <c r="F58" i="119"/>
  <c r="E58" i="119"/>
  <c r="D58" i="119"/>
  <c r="C58" i="119"/>
  <c r="B58" i="119"/>
  <c r="F57" i="119"/>
  <c r="E57" i="119"/>
  <c r="D57" i="119"/>
  <c r="C57" i="119"/>
  <c r="B57" i="119"/>
  <c r="F56" i="119"/>
  <c r="E56" i="119"/>
  <c r="D56" i="119"/>
  <c r="C56" i="119"/>
  <c r="B56" i="119"/>
  <c r="F55" i="119"/>
  <c r="E55" i="119"/>
  <c r="D55" i="119"/>
  <c r="C55" i="119"/>
  <c r="B55" i="119"/>
  <c r="U46" i="77"/>
  <c r="T46" i="77"/>
  <c r="S46" i="77"/>
  <c r="R46" i="77"/>
  <c r="Q46" i="77"/>
  <c r="Q14" i="77"/>
  <c r="R14" i="77" s="1"/>
  <c r="S14" i="77" s="1"/>
  <c r="T14" i="77" s="1"/>
  <c r="U14" i="77" s="1"/>
  <c r="O25" i="82"/>
  <c r="O23" i="82"/>
  <c r="O22" i="82"/>
  <c r="O20" i="82"/>
  <c r="O19" i="82"/>
  <c r="O18" i="82"/>
  <c r="O17" i="82"/>
  <c r="G34" i="35"/>
  <c r="G33" i="35"/>
  <c r="G32" i="35"/>
  <c r="G31" i="35"/>
  <c r="G30" i="35"/>
  <c r="G29" i="35"/>
  <c r="G28" i="35"/>
  <c r="G27" i="35"/>
  <c r="G26" i="35"/>
  <c r="G25" i="35"/>
  <c r="G24" i="35"/>
  <c r="G23" i="35"/>
  <c r="G22" i="35"/>
  <c r="G21" i="35"/>
  <c r="G20" i="35"/>
  <c r="G19" i="35"/>
  <c r="G18" i="35"/>
  <c r="G17" i="35"/>
  <c r="G16" i="35"/>
  <c r="U46" i="33"/>
  <c r="T46" i="33"/>
  <c r="Q14" i="33"/>
  <c r="R14" i="33" s="1"/>
  <c r="S14" i="33" s="1"/>
  <c r="T14" i="33" s="1"/>
  <c r="U14" i="33" s="1"/>
  <c r="E25" i="73"/>
  <c r="E24" i="73"/>
  <c r="E23" i="73"/>
  <c r="E22" i="73"/>
  <c r="E21" i="73"/>
  <c r="E20" i="73"/>
  <c r="E19" i="73"/>
  <c r="E18" i="73"/>
  <c r="E17" i="73"/>
  <c r="E16" i="73"/>
  <c r="S46" i="69"/>
  <c r="R46" i="69"/>
  <c r="Q46" i="69"/>
  <c r="O46" i="69" s="1"/>
  <c r="M46" i="69" s="1"/>
  <c r="M48" i="69" s="1"/>
  <c r="P17" i="69"/>
  <c r="P18" i="69" s="1"/>
  <c r="P19" i="69" s="1"/>
  <c r="P20" i="69" s="1"/>
  <c r="P21" i="69" s="1"/>
  <c r="P22" i="69" s="1"/>
  <c r="P23" i="69" s="1"/>
  <c r="P24" i="69" s="1"/>
  <c r="P25" i="69" s="1"/>
  <c r="P26" i="69" s="1"/>
  <c r="P27" i="69" s="1"/>
  <c r="P28" i="69" s="1"/>
  <c r="P29" i="69" s="1"/>
  <c r="P30" i="69" s="1"/>
  <c r="P31" i="69" s="1"/>
  <c r="P32" i="69" s="1"/>
  <c r="P33" i="69" s="1"/>
  <c r="P34" i="69" s="1"/>
  <c r="P35" i="69" s="1"/>
  <c r="P36" i="69" s="1"/>
  <c r="P37" i="69" s="1"/>
  <c r="P38" i="69" s="1"/>
  <c r="P39" i="69" s="1"/>
  <c r="P40" i="69" s="1"/>
  <c r="P41" i="69" s="1"/>
  <c r="P42" i="69" s="1"/>
  <c r="P43" i="69" s="1"/>
  <c r="P44" i="69" s="1"/>
  <c r="Q14" i="69"/>
  <c r="R14" i="69" s="1"/>
  <c r="S14" i="69" s="1"/>
  <c r="T14" i="69" s="1"/>
  <c r="U14" i="69" s="1"/>
  <c r="V14" i="69" s="1"/>
  <c r="W14" i="69" s="1"/>
  <c r="X14" i="69" s="1"/>
  <c r="AA14" i="69" s="1"/>
  <c r="AB14" i="69" s="1"/>
  <c r="AC14" i="69" s="1"/>
  <c r="U46" i="26"/>
  <c r="T46" i="26"/>
  <c r="S46" i="26"/>
  <c r="R46" i="26"/>
  <c r="Q46" i="26"/>
  <c r="X14" i="26"/>
  <c r="AA14" i="26" s="1"/>
  <c r="AB14" i="26" s="1"/>
  <c r="AC14" i="26" s="1"/>
  <c r="F125" i="120"/>
  <c r="E125" i="120"/>
  <c r="D125" i="120"/>
  <c r="C125" i="120"/>
  <c r="B125" i="120"/>
  <c r="M124" i="120"/>
  <c r="L124" i="120"/>
  <c r="A96" i="120"/>
  <c r="A97" i="120" s="1"/>
  <c r="A98" i="120" s="1"/>
  <c r="A99" i="120" s="1"/>
  <c r="A100" i="120" s="1"/>
  <c r="A101" i="120" s="1"/>
  <c r="A102" i="120" s="1"/>
  <c r="A103" i="120" s="1"/>
  <c r="A104" i="120" s="1"/>
  <c r="A105" i="120" s="1"/>
  <c r="A106" i="120" s="1"/>
  <c r="A107" i="120" s="1"/>
  <c r="A108" i="120" s="1"/>
  <c r="A109" i="120" s="1"/>
  <c r="A110" i="120" s="1"/>
  <c r="A111" i="120" s="1"/>
  <c r="A112" i="120" s="1"/>
  <c r="A113" i="120" s="1"/>
  <c r="A114" i="120" s="1"/>
  <c r="A115" i="120" s="1"/>
  <c r="A116" i="120" s="1"/>
  <c r="A117" i="120" s="1"/>
  <c r="A118" i="120" s="1"/>
  <c r="A119" i="120" s="1"/>
  <c r="A120" i="120" s="1"/>
  <c r="A121" i="120" s="1"/>
  <c r="A122" i="120" s="1"/>
  <c r="A123" i="120" s="1"/>
  <c r="F85" i="120"/>
  <c r="E85" i="120"/>
  <c r="D85" i="120"/>
  <c r="C85" i="120"/>
  <c r="B85" i="120"/>
  <c r="L83" i="120"/>
  <c r="L83" i="139" s="1"/>
  <c r="L123" i="139" s="1"/>
  <c r="K83" i="120"/>
  <c r="K83" i="139" s="1"/>
  <c r="K123" i="139" s="1"/>
  <c r="I83" i="120"/>
  <c r="G83" i="120"/>
  <c r="L82" i="120"/>
  <c r="K82" i="120"/>
  <c r="I82" i="120"/>
  <c r="G82" i="120"/>
  <c r="L81" i="120"/>
  <c r="L81" i="139" s="1"/>
  <c r="L121" i="139" s="1"/>
  <c r="K81" i="120"/>
  <c r="I81" i="120"/>
  <c r="G81" i="120"/>
  <c r="L80" i="120"/>
  <c r="L80" i="139" s="1"/>
  <c r="L120" i="139" s="1"/>
  <c r="K80" i="120"/>
  <c r="K80" i="139" s="1"/>
  <c r="K120" i="139" s="1"/>
  <c r="I80" i="120"/>
  <c r="G80" i="120"/>
  <c r="L79" i="120"/>
  <c r="L79" i="139" s="1"/>
  <c r="K79" i="120"/>
  <c r="K79" i="139" s="1"/>
  <c r="I79" i="120"/>
  <c r="G79" i="120"/>
  <c r="L78" i="120"/>
  <c r="L78" i="139" s="1"/>
  <c r="L118" i="139" s="1"/>
  <c r="K78" i="120"/>
  <c r="I78" i="120"/>
  <c r="G78" i="120"/>
  <c r="L77" i="120"/>
  <c r="L77" i="139" s="1"/>
  <c r="L117" i="139" s="1"/>
  <c r="K77" i="120"/>
  <c r="K77" i="139" s="1"/>
  <c r="K117" i="139" s="1"/>
  <c r="I77" i="120"/>
  <c r="G77" i="120"/>
  <c r="L76" i="120"/>
  <c r="K76" i="120"/>
  <c r="I76" i="120"/>
  <c r="G76" i="120"/>
  <c r="L75" i="120"/>
  <c r="L75" i="139" s="1"/>
  <c r="L115" i="139" s="1"/>
  <c r="K75" i="120"/>
  <c r="K75" i="139" s="1"/>
  <c r="K115" i="139" s="1"/>
  <c r="I75" i="120"/>
  <c r="I115" i="120" s="1"/>
  <c r="G75" i="120"/>
  <c r="L74" i="120"/>
  <c r="L74" i="139" s="1"/>
  <c r="L114" i="139" s="1"/>
  <c r="K74" i="120"/>
  <c r="K74" i="139" s="1"/>
  <c r="K114" i="139" s="1"/>
  <c r="I74" i="120"/>
  <c r="G74" i="120"/>
  <c r="L73" i="120"/>
  <c r="L73" i="139" s="1"/>
  <c r="L113" i="139" s="1"/>
  <c r="K73" i="120"/>
  <c r="I73" i="120"/>
  <c r="G73" i="120"/>
  <c r="L72" i="120"/>
  <c r="L72" i="139" s="1"/>
  <c r="L112" i="139" s="1"/>
  <c r="K72" i="120"/>
  <c r="I72" i="120"/>
  <c r="G72" i="120"/>
  <c r="L71" i="120"/>
  <c r="L71" i="139" s="1"/>
  <c r="L111" i="139" s="1"/>
  <c r="K71" i="120"/>
  <c r="K71" i="139" s="1"/>
  <c r="K111" i="139" s="1"/>
  <c r="I71" i="120"/>
  <c r="G71" i="120"/>
  <c r="L70" i="120"/>
  <c r="L70" i="139" s="1"/>
  <c r="L110" i="139" s="1"/>
  <c r="K70" i="120"/>
  <c r="I70" i="120"/>
  <c r="G70" i="120"/>
  <c r="L69" i="120"/>
  <c r="L69" i="139" s="1"/>
  <c r="K69" i="120"/>
  <c r="I69" i="120"/>
  <c r="G69" i="120"/>
  <c r="L68" i="120"/>
  <c r="L68" i="139" s="1"/>
  <c r="L108" i="139" s="1"/>
  <c r="K68" i="120"/>
  <c r="K68" i="139" s="1"/>
  <c r="K108" i="139" s="1"/>
  <c r="I68" i="120"/>
  <c r="G68" i="120"/>
  <c r="L67" i="120"/>
  <c r="L67" i="139" s="1"/>
  <c r="L107" i="139" s="1"/>
  <c r="K67" i="120"/>
  <c r="K67" i="139" s="1"/>
  <c r="K107" i="139" s="1"/>
  <c r="I67" i="120"/>
  <c r="G67" i="120"/>
  <c r="L66" i="120"/>
  <c r="L66" i="139" s="1"/>
  <c r="L106" i="139" s="1"/>
  <c r="K66" i="120"/>
  <c r="I66" i="120"/>
  <c r="G66" i="120"/>
  <c r="L65" i="120"/>
  <c r="L65" i="139" s="1"/>
  <c r="L105" i="139" s="1"/>
  <c r="K65" i="120"/>
  <c r="K65" i="139" s="1"/>
  <c r="K105" i="139" s="1"/>
  <c r="I65" i="120"/>
  <c r="I105" i="120" s="1"/>
  <c r="G65" i="120"/>
  <c r="L64" i="120"/>
  <c r="L64" i="139" s="1"/>
  <c r="L104" i="139" s="1"/>
  <c r="K64" i="120"/>
  <c r="I64" i="120"/>
  <c r="G64" i="120"/>
  <c r="G104" i="120" s="1"/>
  <c r="L63" i="120"/>
  <c r="L63" i="139" s="1"/>
  <c r="L103" i="139" s="1"/>
  <c r="K63" i="120"/>
  <c r="I63" i="120"/>
  <c r="G63" i="120"/>
  <c r="L62" i="120"/>
  <c r="L62" i="139" s="1"/>
  <c r="L102" i="139" s="1"/>
  <c r="K62" i="120"/>
  <c r="I62" i="120"/>
  <c r="G62" i="120"/>
  <c r="L61" i="120"/>
  <c r="L61" i="139" s="1"/>
  <c r="L101" i="139" s="1"/>
  <c r="K61" i="120"/>
  <c r="I61" i="120"/>
  <c r="G61" i="120"/>
  <c r="L60" i="120"/>
  <c r="L60" i="139" s="1"/>
  <c r="L100" i="139" s="1"/>
  <c r="K60" i="120"/>
  <c r="I60" i="120"/>
  <c r="G60" i="120"/>
  <c r="L59" i="120"/>
  <c r="L59" i="139" s="1"/>
  <c r="L99" i="139" s="1"/>
  <c r="K59" i="120"/>
  <c r="K59" i="139" s="1"/>
  <c r="K99" i="139" s="1"/>
  <c r="I59" i="120"/>
  <c r="I99" i="120" s="1"/>
  <c r="G59" i="120"/>
  <c r="L58" i="120"/>
  <c r="L58" i="139" s="1"/>
  <c r="L98" i="139" s="1"/>
  <c r="K58" i="120"/>
  <c r="I58" i="120"/>
  <c r="G58" i="120"/>
  <c r="L57" i="120"/>
  <c r="L57" i="139" s="1"/>
  <c r="L97" i="139" s="1"/>
  <c r="K57" i="120"/>
  <c r="I57" i="120"/>
  <c r="G57" i="120"/>
  <c r="L56" i="120"/>
  <c r="L56" i="139" s="1"/>
  <c r="L96" i="139" s="1"/>
  <c r="K56" i="120"/>
  <c r="I56" i="120"/>
  <c r="G56" i="120"/>
  <c r="A56" i="120"/>
  <c r="A57" i="120" s="1"/>
  <c r="A58" i="120" s="1"/>
  <c r="A59" i="120" s="1"/>
  <c r="A60" i="120" s="1"/>
  <c r="A61" i="120" s="1"/>
  <c r="A62" i="120" s="1"/>
  <c r="A63" i="120" s="1"/>
  <c r="A64" i="120" s="1"/>
  <c r="A65" i="120" s="1"/>
  <c r="A66" i="120" s="1"/>
  <c r="A67" i="120" s="1"/>
  <c r="A68" i="120" s="1"/>
  <c r="A69" i="120" s="1"/>
  <c r="A70" i="120" s="1"/>
  <c r="A71" i="120" s="1"/>
  <c r="A72" i="120" s="1"/>
  <c r="A73" i="120" s="1"/>
  <c r="A74" i="120" s="1"/>
  <c r="A75" i="120" s="1"/>
  <c r="A76" i="120" s="1"/>
  <c r="A77" i="120" s="1"/>
  <c r="A78" i="120" s="1"/>
  <c r="A79" i="120" s="1"/>
  <c r="A80" i="120" s="1"/>
  <c r="A81" i="120" s="1"/>
  <c r="A82" i="120" s="1"/>
  <c r="A83" i="120" s="1"/>
  <c r="L55" i="120"/>
  <c r="L55" i="139" s="1"/>
  <c r="K55" i="120"/>
  <c r="K55" i="139" s="1"/>
  <c r="I55" i="120"/>
  <c r="I55" i="139" s="1"/>
  <c r="G55" i="120"/>
  <c r="K124" i="120"/>
  <c r="I124" i="120"/>
  <c r="H124" i="120"/>
  <c r="G124" i="120"/>
  <c r="K123" i="120"/>
  <c r="A16" i="120"/>
  <c r="A17" i="120" s="1"/>
  <c r="A18" i="120" s="1"/>
  <c r="A19" i="120" s="1"/>
  <c r="A20" i="120" s="1"/>
  <c r="A21" i="120" s="1"/>
  <c r="A22" i="120" s="1"/>
  <c r="A23" i="120" s="1"/>
  <c r="A24" i="120" s="1"/>
  <c r="A25" i="120" s="1"/>
  <c r="A26" i="120" s="1"/>
  <c r="A27" i="120" s="1"/>
  <c r="A28" i="120" s="1"/>
  <c r="A29" i="120" s="1"/>
  <c r="A30" i="120" s="1"/>
  <c r="A31" i="120" s="1"/>
  <c r="A32" i="120" s="1"/>
  <c r="A33" i="120" s="1"/>
  <c r="A34" i="120" s="1"/>
  <c r="A35" i="120" s="1"/>
  <c r="A36" i="120" s="1"/>
  <c r="A37" i="120" s="1"/>
  <c r="A38" i="120" s="1"/>
  <c r="A39" i="120" s="1"/>
  <c r="A40" i="120" s="1"/>
  <c r="A41" i="120" s="1"/>
  <c r="A42" i="120" s="1"/>
  <c r="A43" i="120" s="1"/>
  <c r="L15" i="120"/>
  <c r="L15" i="139" s="1"/>
  <c r="B13" i="120"/>
  <c r="C13" i="120" s="1"/>
  <c r="D13" i="120" s="1"/>
  <c r="E13" i="120" s="1"/>
  <c r="F13" i="120" s="1"/>
  <c r="G13" i="120" s="1"/>
  <c r="H13" i="120" s="1"/>
  <c r="I13" i="120" s="1"/>
  <c r="J13" i="120" s="1"/>
  <c r="K13" i="120" s="1"/>
  <c r="L13" i="120" s="1"/>
  <c r="M13" i="120" s="1"/>
  <c r="N13" i="120" s="1"/>
  <c r="O13" i="120" s="1"/>
  <c r="P13" i="120" s="1"/>
  <c r="Q13" i="120" s="1"/>
  <c r="R13" i="120" s="1"/>
  <c r="F43" i="119"/>
  <c r="L43" i="119" s="1"/>
  <c r="E43" i="119"/>
  <c r="K43" i="119" s="1"/>
  <c r="D43" i="119"/>
  <c r="C43" i="119"/>
  <c r="C25" i="20"/>
  <c r="C41" i="20" s="1"/>
  <c r="F42" i="119"/>
  <c r="L42" i="119" s="1"/>
  <c r="E42" i="119"/>
  <c r="K42" i="119" s="1"/>
  <c r="D42" i="119"/>
  <c r="C42" i="119"/>
  <c r="F41" i="119"/>
  <c r="L41" i="119" s="1"/>
  <c r="E41" i="119"/>
  <c r="D41" i="119"/>
  <c r="C41" i="119"/>
  <c r="C23" i="20"/>
  <c r="C39" i="20" s="1"/>
  <c r="F40" i="119"/>
  <c r="L40" i="119" s="1"/>
  <c r="E40" i="119"/>
  <c r="K40" i="119" s="1"/>
  <c r="D40" i="119"/>
  <c r="J40" i="119" s="1"/>
  <c r="C40" i="119"/>
  <c r="I40" i="119" s="1"/>
  <c r="C22" i="20"/>
  <c r="C38" i="20" s="1"/>
  <c r="F39" i="119"/>
  <c r="L39" i="119" s="1"/>
  <c r="E39" i="119"/>
  <c r="K39" i="119" s="1"/>
  <c r="D39" i="119"/>
  <c r="C39" i="119"/>
  <c r="F38" i="119"/>
  <c r="L38" i="119" s="1"/>
  <c r="E38" i="119"/>
  <c r="K38" i="119" s="1"/>
  <c r="D38" i="119"/>
  <c r="C38" i="119"/>
  <c r="F37" i="119"/>
  <c r="L37" i="119" s="1"/>
  <c r="E37" i="119"/>
  <c r="K37" i="119" s="1"/>
  <c r="D37" i="119"/>
  <c r="C37" i="119"/>
  <c r="F36" i="119"/>
  <c r="E36" i="119"/>
  <c r="K36" i="119" s="1"/>
  <c r="D36" i="119"/>
  <c r="C36" i="119"/>
  <c r="C18" i="20"/>
  <c r="C34" i="20" s="1"/>
  <c r="F35" i="119"/>
  <c r="L35" i="119" s="1"/>
  <c r="E35" i="119"/>
  <c r="K35" i="119" s="1"/>
  <c r="D35" i="119"/>
  <c r="C35" i="119"/>
  <c r="C17" i="20"/>
  <c r="C33" i="20" s="1"/>
  <c r="F34" i="119"/>
  <c r="L34" i="119" s="1"/>
  <c r="E34" i="119"/>
  <c r="D34" i="119"/>
  <c r="C34" i="119"/>
  <c r="C32" i="20"/>
  <c r="F33" i="119"/>
  <c r="L33" i="119" s="1"/>
  <c r="E33" i="119"/>
  <c r="K33" i="119" s="1"/>
  <c r="D33" i="119"/>
  <c r="C33" i="119"/>
  <c r="F32" i="119"/>
  <c r="L32" i="119" s="1"/>
  <c r="E32" i="119"/>
  <c r="K32" i="119" s="1"/>
  <c r="D32" i="119"/>
  <c r="C32" i="119"/>
  <c r="F31" i="119"/>
  <c r="L31" i="119" s="1"/>
  <c r="E31" i="119"/>
  <c r="K31" i="119" s="1"/>
  <c r="D31" i="119"/>
  <c r="C31" i="119"/>
  <c r="F30" i="119"/>
  <c r="L30" i="119" s="1"/>
  <c r="E30" i="119"/>
  <c r="K30" i="119" s="1"/>
  <c r="D30" i="119"/>
  <c r="C30" i="119"/>
  <c r="F29" i="119"/>
  <c r="L29" i="119" s="1"/>
  <c r="E29" i="119"/>
  <c r="K29" i="119" s="1"/>
  <c r="D29" i="119"/>
  <c r="C29" i="119"/>
  <c r="F28" i="119"/>
  <c r="E28" i="119"/>
  <c r="K28" i="119" s="1"/>
  <c r="D28" i="119"/>
  <c r="C28" i="119"/>
  <c r="I28" i="119" s="1"/>
  <c r="F27" i="119"/>
  <c r="L27" i="119" s="1"/>
  <c r="E27" i="119"/>
  <c r="K27" i="119" s="1"/>
  <c r="D27" i="119"/>
  <c r="J27" i="119" s="1"/>
  <c r="C27" i="119"/>
  <c r="F26" i="119"/>
  <c r="L26" i="119" s="1"/>
  <c r="E26" i="119"/>
  <c r="K26" i="119" s="1"/>
  <c r="D26" i="119"/>
  <c r="C26" i="119"/>
  <c r="F25" i="119"/>
  <c r="L25" i="119" s="1"/>
  <c r="E25" i="119"/>
  <c r="K25" i="119" s="1"/>
  <c r="D25" i="119"/>
  <c r="C25" i="119"/>
  <c r="F24" i="119"/>
  <c r="L24" i="119" s="1"/>
  <c r="E24" i="119"/>
  <c r="K24" i="119" s="1"/>
  <c r="D24" i="119"/>
  <c r="C24" i="119"/>
  <c r="F23" i="119"/>
  <c r="L23" i="119" s="1"/>
  <c r="E23" i="119"/>
  <c r="D23" i="119"/>
  <c r="C23" i="119"/>
  <c r="F22" i="119"/>
  <c r="L22" i="119" s="1"/>
  <c r="E22" i="119"/>
  <c r="D22" i="119"/>
  <c r="C22" i="119"/>
  <c r="F21" i="119"/>
  <c r="L21" i="119" s="1"/>
  <c r="E21" i="119"/>
  <c r="K21" i="119" s="1"/>
  <c r="D21" i="119"/>
  <c r="C21" i="119"/>
  <c r="I21" i="119" s="1"/>
  <c r="F20" i="119"/>
  <c r="L20" i="119" s="1"/>
  <c r="E20" i="119"/>
  <c r="K20" i="119" s="1"/>
  <c r="D20" i="119"/>
  <c r="C20" i="119"/>
  <c r="F19" i="119"/>
  <c r="L19" i="119" s="1"/>
  <c r="E19" i="119"/>
  <c r="K19" i="119" s="1"/>
  <c r="D19" i="119"/>
  <c r="C19" i="119"/>
  <c r="F18" i="119"/>
  <c r="L18" i="119" s="1"/>
  <c r="E18" i="119"/>
  <c r="K18" i="119" s="1"/>
  <c r="D18" i="119"/>
  <c r="C18" i="119"/>
  <c r="F17" i="119"/>
  <c r="L17" i="119" s="1"/>
  <c r="E17" i="119"/>
  <c r="D17" i="119"/>
  <c r="C17" i="119"/>
  <c r="F16" i="119"/>
  <c r="L16" i="119" s="1"/>
  <c r="E16" i="119"/>
  <c r="K16" i="119" s="1"/>
  <c r="D16" i="119"/>
  <c r="J16" i="119" s="1"/>
  <c r="C16" i="119"/>
  <c r="I16" i="119" s="1"/>
  <c r="F15" i="119"/>
  <c r="L15" i="119" s="1"/>
  <c r="E15" i="119"/>
  <c r="K15" i="119" s="1"/>
  <c r="D15" i="119"/>
  <c r="C15" i="119"/>
  <c r="E44" i="38"/>
  <c r="E43" i="38"/>
  <c r="E42" i="38"/>
  <c r="E41" i="38"/>
  <c r="E40" i="38"/>
  <c r="E39" i="38"/>
  <c r="E38" i="38"/>
  <c r="E37" i="38"/>
  <c r="E36" i="38"/>
  <c r="E35" i="38"/>
  <c r="E34" i="38"/>
  <c r="E33" i="38"/>
  <c r="E32" i="38"/>
  <c r="E31" i="38"/>
  <c r="E30" i="38"/>
  <c r="E29" i="38"/>
  <c r="E28" i="38"/>
  <c r="E27" i="38"/>
  <c r="E26" i="38"/>
  <c r="E25" i="38"/>
  <c r="E24" i="38"/>
  <c r="E23" i="38"/>
  <c r="E22" i="38"/>
  <c r="E21" i="38"/>
  <c r="E20" i="38"/>
  <c r="E19" i="38"/>
  <c r="E18" i="38"/>
  <c r="E17" i="38"/>
  <c r="E16" i="38"/>
  <c r="S46" i="40"/>
  <c r="Q46" i="40"/>
  <c r="P17" i="40"/>
  <c r="P18" i="40" s="1"/>
  <c r="P19" i="40" s="1"/>
  <c r="P20" i="40" s="1"/>
  <c r="P21" i="40" s="1"/>
  <c r="P22" i="40" s="1"/>
  <c r="P23" i="40" s="1"/>
  <c r="P24" i="40" s="1"/>
  <c r="P25" i="40" s="1"/>
  <c r="P26" i="40" s="1"/>
  <c r="P27" i="40" s="1"/>
  <c r="P28" i="40" s="1"/>
  <c r="P29" i="40" s="1"/>
  <c r="P30" i="40" s="1"/>
  <c r="P31" i="40" s="1"/>
  <c r="P32" i="40" s="1"/>
  <c r="P33" i="40" s="1"/>
  <c r="P34" i="40" s="1"/>
  <c r="P35" i="40" s="1"/>
  <c r="P36" i="40" s="1"/>
  <c r="P37" i="40" s="1"/>
  <c r="P38" i="40" s="1"/>
  <c r="P39" i="40" s="1"/>
  <c r="P40" i="40" s="1"/>
  <c r="P41" i="40" s="1"/>
  <c r="P42" i="40" s="1"/>
  <c r="P43" i="40" s="1"/>
  <c r="P44" i="40" s="1"/>
  <c r="Q14" i="40"/>
  <c r="R14" i="40" s="1"/>
  <c r="S14" i="40" s="1"/>
  <c r="T14" i="40" s="1"/>
  <c r="U14" i="40" s="1"/>
  <c r="V14" i="40" s="1"/>
  <c r="W14" i="40" s="1"/>
  <c r="X14" i="40" s="1"/>
  <c r="Q44" i="129"/>
  <c r="Q43" i="129"/>
  <c r="Q42" i="129"/>
  <c r="Q41" i="129"/>
  <c r="Q40" i="129"/>
  <c r="Q39" i="129"/>
  <c r="Q38" i="129"/>
  <c r="Q37" i="129"/>
  <c r="Q36" i="129"/>
  <c r="Q35" i="129"/>
  <c r="Q34" i="129"/>
  <c r="Q33" i="129"/>
  <c r="Q32" i="129"/>
  <c r="Q31" i="129"/>
  <c r="Q30" i="129"/>
  <c r="Q29" i="129"/>
  <c r="Q28" i="129"/>
  <c r="Q27" i="129"/>
  <c r="Q26" i="129"/>
  <c r="Q25" i="129"/>
  <c r="Q24" i="129"/>
  <c r="Q23" i="129"/>
  <c r="Q22" i="129"/>
  <c r="Q21" i="129"/>
  <c r="Q20" i="129"/>
  <c r="Q19" i="129"/>
  <c r="Q18" i="129"/>
  <c r="Q17" i="129"/>
  <c r="Q16" i="129"/>
  <c r="U46" i="4"/>
  <c r="T46" i="4"/>
  <c r="S46" i="4"/>
  <c r="R46" i="4"/>
  <c r="Q46" i="4"/>
  <c r="O17" i="4"/>
  <c r="O18" i="4" s="1"/>
  <c r="O19" i="4" s="1"/>
  <c r="O20" i="4" s="1"/>
  <c r="O21" i="4" s="1"/>
  <c r="O22" i="4" s="1"/>
  <c r="O23" i="4" s="1"/>
  <c r="O24" i="4" s="1"/>
  <c r="O25" i="4" s="1"/>
  <c r="O26" i="4" s="1"/>
  <c r="O27" i="4" s="1"/>
  <c r="O28" i="4" s="1"/>
  <c r="O29" i="4" s="1"/>
  <c r="O30" i="4" s="1"/>
  <c r="O31" i="4" s="1"/>
  <c r="O32" i="4" s="1"/>
  <c r="O33" i="4" s="1"/>
  <c r="O34" i="4" s="1"/>
  <c r="O35" i="4" s="1"/>
  <c r="O36" i="4" s="1"/>
  <c r="O37" i="4" s="1"/>
  <c r="O38" i="4" s="1"/>
  <c r="O39" i="4" s="1"/>
  <c r="O40" i="4" s="1"/>
  <c r="O41" i="4" s="1"/>
  <c r="O42" i="4" s="1"/>
  <c r="O43" i="4" s="1"/>
  <c r="O44" i="4" s="1"/>
  <c r="R14" i="4"/>
  <c r="S14" i="4" s="1"/>
  <c r="T14" i="4" s="1"/>
  <c r="U14" i="4" s="1"/>
  <c r="F125" i="119"/>
  <c r="E125" i="119"/>
  <c r="D125" i="119"/>
  <c r="C125" i="119"/>
  <c r="B125" i="119"/>
  <c r="A96" i="119"/>
  <c r="A97" i="119" s="1"/>
  <c r="A98" i="119" s="1"/>
  <c r="A99" i="119" s="1"/>
  <c r="A100" i="119" s="1"/>
  <c r="A101" i="119" s="1"/>
  <c r="A102" i="119" s="1"/>
  <c r="A103" i="119" s="1"/>
  <c r="A104" i="119" s="1"/>
  <c r="A105" i="119" s="1"/>
  <c r="A106" i="119" s="1"/>
  <c r="A107" i="119" s="1"/>
  <c r="A108" i="119" s="1"/>
  <c r="A109" i="119" s="1"/>
  <c r="A110" i="119" s="1"/>
  <c r="A111" i="119" s="1"/>
  <c r="A112" i="119" s="1"/>
  <c r="A113" i="119" s="1"/>
  <c r="A114" i="119" s="1"/>
  <c r="A115" i="119" s="1"/>
  <c r="A116" i="119" s="1"/>
  <c r="A117" i="119" s="1"/>
  <c r="A118" i="119" s="1"/>
  <c r="A119" i="119" s="1"/>
  <c r="A120" i="119" s="1"/>
  <c r="A121" i="119" s="1"/>
  <c r="A122" i="119" s="1"/>
  <c r="A123" i="119" s="1"/>
  <c r="L83" i="119"/>
  <c r="K83" i="119"/>
  <c r="K81" i="119"/>
  <c r="K71" i="119"/>
  <c r="M44" i="119"/>
  <c r="N44" i="119" s="1"/>
  <c r="L44" i="119"/>
  <c r="L124" i="119" s="1"/>
  <c r="K44" i="119"/>
  <c r="K124" i="119" s="1"/>
  <c r="J44" i="119"/>
  <c r="J124" i="119" s="1"/>
  <c r="I44" i="119"/>
  <c r="I124" i="119" s="1"/>
  <c r="H44" i="119"/>
  <c r="H124" i="119" s="1"/>
  <c r="G44" i="119"/>
  <c r="G124" i="119" s="1"/>
  <c r="A56" i="119"/>
  <c r="A57" i="119" s="1"/>
  <c r="A58" i="119" s="1"/>
  <c r="A59" i="119" s="1"/>
  <c r="A60" i="119" s="1"/>
  <c r="A61" i="119" s="1"/>
  <c r="A62" i="119" s="1"/>
  <c r="A63" i="119" s="1"/>
  <c r="A64" i="119" s="1"/>
  <c r="A65" i="119" s="1"/>
  <c r="A66" i="119" s="1"/>
  <c r="A67" i="119" s="1"/>
  <c r="A68" i="119" s="1"/>
  <c r="A69" i="119" s="1"/>
  <c r="A70" i="119" s="1"/>
  <c r="A71" i="119" s="1"/>
  <c r="A72" i="119" s="1"/>
  <c r="A73" i="119" s="1"/>
  <c r="A74" i="119" s="1"/>
  <c r="A75" i="119" s="1"/>
  <c r="A76" i="119" s="1"/>
  <c r="A77" i="119" s="1"/>
  <c r="A78" i="119" s="1"/>
  <c r="A79" i="119" s="1"/>
  <c r="A80" i="119" s="1"/>
  <c r="A81" i="119" s="1"/>
  <c r="A82" i="119" s="1"/>
  <c r="A83" i="119" s="1"/>
  <c r="B13" i="119"/>
  <c r="C13" i="119" s="1"/>
  <c r="V14" i="4" l="1"/>
  <c r="W14" i="4" s="1"/>
  <c r="X14" i="4" s="1"/>
  <c r="I79" i="119"/>
  <c r="J79" i="119" s="1"/>
  <c r="L59" i="119"/>
  <c r="L109" i="121"/>
  <c r="L125" i="121" s="1"/>
  <c r="L29" i="139"/>
  <c r="L109" i="139" s="1"/>
  <c r="I67" i="119"/>
  <c r="J67" i="119" s="1"/>
  <c r="J107" i="119" s="1"/>
  <c r="L56" i="119"/>
  <c r="L96" i="119" s="1"/>
  <c r="I60" i="119"/>
  <c r="J60" i="119" s="1"/>
  <c r="L69" i="119"/>
  <c r="L109" i="119" s="1"/>
  <c r="I72" i="119"/>
  <c r="L60" i="119"/>
  <c r="L100" i="119" s="1"/>
  <c r="L72" i="119"/>
  <c r="L112" i="119" s="1"/>
  <c r="I59" i="119"/>
  <c r="J59" i="119" s="1"/>
  <c r="L68" i="119"/>
  <c r="I71" i="119"/>
  <c r="J71" i="119" s="1"/>
  <c r="I63" i="119"/>
  <c r="J63" i="119" s="1"/>
  <c r="I75" i="119"/>
  <c r="J75" i="119" s="1"/>
  <c r="G60" i="119"/>
  <c r="H60" i="119" s="1"/>
  <c r="K72" i="119"/>
  <c r="K112" i="119" s="1"/>
  <c r="K60" i="119"/>
  <c r="K100" i="119" s="1"/>
  <c r="M51" i="72"/>
  <c r="I58" i="119"/>
  <c r="J58" i="119" s="1"/>
  <c r="L80" i="119"/>
  <c r="L120" i="119" s="1"/>
  <c r="L64" i="119"/>
  <c r="L104" i="119" s="1"/>
  <c r="L66" i="119"/>
  <c r="L106" i="119" s="1"/>
  <c r="L81" i="119"/>
  <c r="L57" i="119"/>
  <c r="L97" i="119" s="1"/>
  <c r="R44" i="121"/>
  <c r="V44" i="121" s="1"/>
  <c r="AQ35" i="116"/>
  <c r="AC32" i="116"/>
  <c r="AS32" i="116" s="1"/>
  <c r="AI32" i="116"/>
  <c r="AQ32" i="116"/>
  <c r="AC36" i="116"/>
  <c r="AS36" i="116" s="1"/>
  <c r="AI36" i="116"/>
  <c r="AQ36" i="116"/>
  <c r="AC33" i="116"/>
  <c r="AS33" i="116" s="1"/>
  <c r="AI33" i="116"/>
  <c r="AC35" i="116"/>
  <c r="AS35" i="116" s="1"/>
  <c r="AI35" i="116"/>
  <c r="AC34" i="116"/>
  <c r="AS34" i="116" s="1"/>
  <c r="AI34" i="116"/>
  <c r="AQ34" i="116"/>
  <c r="L55" i="119"/>
  <c r="L95" i="119" s="1"/>
  <c r="L61" i="119"/>
  <c r="L101" i="119" s="1"/>
  <c r="I64" i="119"/>
  <c r="J64" i="119" s="1"/>
  <c r="I62" i="119"/>
  <c r="J62" i="119" s="1"/>
  <c r="I74" i="119"/>
  <c r="J74" i="119" s="1"/>
  <c r="G72" i="119"/>
  <c r="H72" i="119" s="1"/>
  <c r="G65" i="119"/>
  <c r="H65" i="119" s="1"/>
  <c r="I57" i="119"/>
  <c r="J57" i="119" s="1"/>
  <c r="I83" i="119"/>
  <c r="J83" i="119" s="1"/>
  <c r="L78" i="119"/>
  <c r="L118" i="119" s="1"/>
  <c r="E16" i="20"/>
  <c r="AF28" i="69"/>
  <c r="K57" i="119"/>
  <c r="I69" i="119"/>
  <c r="J69" i="119" s="1"/>
  <c r="L67" i="119"/>
  <c r="L107" i="119" s="1"/>
  <c r="I82" i="119"/>
  <c r="J82" i="119" s="1"/>
  <c r="I70" i="119"/>
  <c r="J70" i="119" s="1"/>
  <c r="L65" i="119"/>
  <c r="L105" i="119" s="1"/>
  <c r="L79" i="119"/>
  <c r="L119" i="119" s="1"/>
  <c r="O24" i="82"/>
  <c r="I68" i="119"/>
  <c r="J68" i="119" s="1"/>
  <c r="G35" i="35"/>
  <c r="O16" i="82"/>
  <c r="C16" i="82"/>
  <c r="AX87" i="105"/>
  <c r="AX89" i="105" s="1"/>
  <c r="AX111" i="105"/>
  <c r="AX127" i="105" s="1"/>
  <c r="W37" i="12"/>
  <c r="W42" i="12"/>
  <c r="C16" i="81"/>
  <c r="G33" i="164"/>
  <c r="C32" i="81"/>
  <c r="C32" i="82"/>
  <c r="W25" i="12"/>
  <c r="W23" i="12"/>
  <c r="W24" i="12"/>
  <c r="W33" i="12"/>
  <c r="W30" i="12"/>
  <c r="G83" i="119"/>
  <c r="H83" i="119" s="1"/>
  <c r="K68" i="119"/>
  <c r="K108" i="119" s="1"/>
  <c r="G56" i="119"/>
  <c r="H56" i="119" s="1"/>
  <c r="K56" i="119"/>
  <c r="K96" i="119" s="1"/>
  <c r="G71" i="119"/>
  <c r="H71" i="119" s="1"/>
  <c r="K80" i="119"/>
  <c r="K120" i="119" s="1"/>
  <c r="G59" i="119"/>
  <c r="H59" i="119" s="1"/>
  <c r="G82" i="119"/>
  <c r="H82" i="119" s="1"/>
  <c r="G41" i="35"/>
  <c r="C22" i="82"/>
  <c r="C33" i="82"/>
  <c r="G42" i="35"/>
  <c r="C23" i="82"/>
  <c r="G43" i="35"/>
  <c r="C24" i="82"/>
  <c r="C35" i="82"/>
  <c r="G44" i="35"/>
  <c r="C25" i="82"/>
  <c r="C36" i="82"/>
  <c r="C37" i="82"/>
  <c r="C38" i="82"/>
  <c r="C39" i="82"/>
  <c r="G36" i="35"/>
  <c r="C17" i="82"/>
  <c r="C40" i="82"/>
  <c r="G37" i="35"/>
  <c r="C18" i="82"/>
  <c r="C41" i="82"/>
  <c r="G38" i="35"/>
  <c r="C19" i="82"/>
  <c r="G39" i="35"/>
  <c r="C20" i="82"/>
  <c r="G40" i="35"/>
  <c r="C21" i="82"/>
  <c r="L105" i="120"/>
  <c r="L112" i="120"/>
  <c r="K114" i="120"/>
  <c r="K117" i="120"/>
  <c r="K120" i="120"/>
  <c r="Z42" i="77"/>
  <c r="C23" i="81"/>
  <c r="Z43" i="77"/>
  <c r="C24" i="81"/>
  <c r="Z44" i="77"/>
  <c r="C25" i="81"/>
  <c r="Z35" i="77"/>
  <c r="W30" i="129"/>
  <c r="Z36" i="77"/>
  <c r="C17" i="81"/>
  <c r="W31" i="129"/>
  <c r="Z37" i="77"/>
  <c r="C18" i="81"/>
  <c r="W32" i="129"/>
  <c r="Z38" i="77"/>
  <c r="C19" i="81"/>
  <c r="W33" i="129"/>
  <c r="Z39" i="77"/>
  <c r="C20" i="81"/>
  <c r="W34" i="129"/>
  <c r="Z40" i="77"/>
  <c r="C21" i="81"/>
  <c r="Z41" i="77"/>
  <c r="C22" i="81"/>
  <c r="H125" i="121"/>
  <c r="U41" i="129"/>
  <c r="W35" i="12"/>
  <c r="U28" i="129"/>
  <c r="U40" i="129"/>
  <c r="U37" i="129"/>
  <c r="U25" i="129"/>
  <c r="U26" i="129"/>
  <c r="U38" i="129"/>
  <c r="U42" i="129"/>
  <c r="U30" i="129"/>
  <c r="E17" i="20"/>
  <c r="E18" i="20"/>
  <c r="E19" i="20"/>
  <c r="E20" i="20"/>
  <c r="E21" i="20"/>
  <c r="E22" i="20"/>
  <c r="E23" i="20"/>
  <c r="E24" i="20"/>
  <c r="E25" i="20"/>
  <c r="W35" i="129"/>
  <c r="W36" i="129"/>
  <c r="C33" i="81"/>
  <c r="W37" i="129"/>
  <c r="C34" i="81"/>
  <c r="W38" i="129"/>
  <c r="C35" i="81"/>
  <c r="W39" i="129"/>
  <c r="C36" i="81"/>
  <c r="W40" i="129"/>
  <c r="C37" i="81"/>
  <c r="W41" i="129"/>
  <c r="C38" i="81"/>
  <c r="W42" i="129"/>
  <c r="C39" i="81"/>
  <c r="W43" i="129"/>
  <c r="C40" i="81"/>
  <c r="W44" i="129"/>
  <c r="C41" i="81"/>
  <c r="I127" i="125"/>
  <c r="U29" i="129"/>
  <c r="I27" i="119"/>
  <c r="K108" i="120"/>
  <c r="L103" i="120"/>
  <c r="L95" i="139"/>
  <c r="K111" i="120"/>
  <c r="K97" i="120"/>
  <c r="K57" i="139"/>
  <c r="K97" i="139" s="1"/>
  <c r="K100" i="120"/>
  <c r="K60" i="139"/>
  <c r="K100" i="139" s="1"/>
  <c r="K103" i="120"/>
  <c r="K63" i="139"/>
  <c r="K103" i="139" s="1"/>
  <c r="K106" i="120"/>
  <c r="K66" i="139"/>
  <c r="K106" i="139" s="1"/>
  <c r="K109" i="120"/>
  <c r="K69" i="139"/>
  <c r="K109" i="139" s="1"/>
  <c r="K112" i="120"/>
  <c r="K72" i="139"/>
  <c r="K112" i="139" s="1"/>
  <c r="K118" i="120"/>
  <c r="K78" i="139"/>
  <c r="K118" i="139" s="1"/>
  <c r="K121" i="120"/>
  <c r="K81" i="139"/>
  <c r="K121" i="139" s="1"/>
  <c r="H55" i="120"/>
  <c r="H55" i="139" s="1"/>
  <c r="G55" i="139"/>
  <c r="J23" i="119"/>
  <c r="H58" i="120"/>
  <c r="H58" i="139" s="1"/>
  <c r="H98" i="139" s="1"/>
  <c r="G58" i="139"/>
  <c r="G98" i="139" s="1"/>
  <c r="H61" i="120"/>
  <c r="H61" i="139" s="1"/>
  <c r="H101" i="139" s="1"/>
  <c r="G61" i="139"/>
  <c r="G101" i="139" s="1"/>
  <c r="H64" i="120"/>
  <c r="H64" i="139" s="1"/>
  <c r="H104" i="139" s="1"/>
  <c r="G64" i="139"/>
  <c r="G104" i="139" s="1"/>
  <c r="H67" i="120"/>
  <c r="H67" i="139" s="1"/>
  <c r="H107" i="139" s="1"/>
  <c r="G67" i="139"/>
  <c r="G107" i="139" s="1"/>
  <c r="H70" i="120"/>
  <c r="H70" i="139" s="1"/>
  <c r="H110" i="139" s="1"/>
  <c r="G70" i="139"/>
  <c r="G110" i="139" s="1"/>
  <c r="H73" i="120"/>
  <c r="H73" i="139" s="1"/>
  <c r="H113" i="139" s="1"/>
  <c r="G73" i="139"/>
  <c r="G113" i="139" s="1"/>
  <c r="H76" i="120"/>
  <c r="G76" i="139"/>
  <c r="G116" i="139" s="1"/>
  <c r="H79" i="120"/>
  <c r="H79" i="139" s="1"/>
  <c r="G79" i="139"/>
  <c r="H82" i="120"/>
  <c r="G82" i="139"/>
  <c r="G122" i="139" s="1"/>
  <c r="K99" i="120"/>
  <c r="J58" i="120"/>
  <c r="J58" i="139" s="1"/>
  <c r="J98" i="139" s="1"/>
  <c r="I58" i="139"/>
  <c r="I98" i="139" s="1"/>
  <c r="J61" i="120"/>
  <c r="J61" i="139" s="1"/>
  <c r="J101" i="139" s="1"/>
  <c r="I61" i="139"/>
  <c r="I101" i="139" s="1"/>
  <c r="J64" i="120"/>
  <c r="J64" i="139" s="1"/>
  <c r="J104" i="139" s="1"/>
  <c r="I64" i="139"/>
  <c r="I104" i="139" s="1"/>
  <c r="J67" i="120"/>
  <c r="J67" i="139" s="1"/>
  <c r="J107" i="139" s="1"/>
  <c r="I67" i="139"/>
  <c r="I107" i="139" s="1"/>
  <c r="J70" i="120"/>
  <c r="J70" i="139" s="1"/>
  <c r="J110" i="139" s="1"/>
  <c r="I70" i="139"/>
  <c r="I110" i="139" s="1"/>
  <c r="J73" i="120"/>
  <c r="J73" i="139" s="1"/>
  <c r="J113" i="139" s="1"/>
  <c r="I73" i="139"/>
  <c r="I113" i="139" s="1"/>
  <c r="J76" i="120"/>
  <c r="J76" i="139" s="1"/>
  <c r="J116" i="139" s="1"/>
  <c r="I76" i="139"/>
  <c r="I116" i="139" s="1"/>
  <c r="J79" i="120"/>
  <c r="J79" i="139" s="1"/>
  <c r="I79" i="139"/>
  <c r="J82" i="120"/>
  <c r="J82" i="139" s="1"/>
  <c r="J122" i="139" s="1"/>
  <c r="I82" i="139"/>
  <c r="I122" i="139" s="1"/>
  <c r="K98" i="120"/>
  <c r="K58" i="139"/>
  <c r="K98" i="139" s="1"/>
  <c r="K101" i="120"/>
  <c r="K61" i="139"/>
  <c r="K101" i="139" s="1"/>
  <c r="K104" i="120"/>
  <c r="K64" i="139"/>
  <c r="K104" i="139" s="1"/>
  <c r="K110" i="120"/>
  <c r="K70" i="139"/>
  <c r="K110" i="139" s="1"/>
  <c r="K113" i="120"/>
  <c r="K73" i="139"/>
  <c r="K113" i="139" s="1"/>
  <c r="K116" i="120"/>
  <c r="K76" i="139"/>
  <c r="K116" i="139" s="1"/>
  <c r="K122" i="120"/>
  <c r="K82" i="139"/>
  <c r="K122" i="139" s="1"/>
  <c r="S22" i="12"/>
  <c r="L116" i="120"/>
  <c r="L76" i="139"/>
  <c r="L116" i="139" s="1"/>
  <c r="L122" i="120"/>
  <c r="L82" i="139"/>
  <c r="L122" i="139" s="1"/>
  <c r="J21" i="119"/>
  <c r="J33" i="119"/>
  <c r="H56" i="120"/>
  <c r="G56" i="139"/>
  <c r="G96" i="139" s="1"/>
  <c r="H59" i="120"/>
  <c r="H59" i="139" s="1"/>
  <c r="H99" i="139" s="1"/>
  <c r="G59" i="139"/>
  <c r="G99" i="139" s="1"/>
  <c r="H62" i="120"/>
  <c r="H62" i="139" s="1"/>
  <c r="H102" i="139" s="1"/>
  <c r="G62" i="139"/>
  <c r="G102" i="139" s="1"/>
  <c r="H65" i="120"/>
  <c r="H65" i="139" s="1"/>
  <c r="H105" i="139" s="1"/>
  <c r="G65" i="139"/>
  <c r="G105" i="139" s="1"/>
  <c r="H68" i="120"/>
  <c r="H68" i="139" s="1"/>
  <c r="H108" i="139" s="1"/>
  <c r="G68" i="139"/>
  <c r="G108" i="139" s="1"/>
  <c r="H71" i="120"/>
  <c r="H71" i="139" s="1"/>
  <c r="H111" i="139" s="1"/>
  <c r="G71" i="139"/>
  <c r="G111" i="139" s="1"/>
  <c r="H74" i="120"/>
  <c r="H74" i="139" s="1"/>
  <c r="H114" i="139" s="1"/>
  <c r="G74" i="139"/>
  <c r="G114" i="139" s="1"/>
  <c r="H77" i="120"/>
  <c r="G77" i="139"/>
  <c r="G117" i="139" s="1"/>
  <c r="H80" i="120"/>
  <c r="G80" i="139"/>
  <c r="G120" i="139" s="1"/>
  <c r="H83" i="120"/>
  <c r="H83" i="139" s="1"/>
  <c r="H123" i="139" s="1"/>
  <c r="G83" i="139"/>
  <c r="G123" i="139" s="1"/>
  <c r="K105" i="120"/>
  <c r="J56" i="120"/>
  <c r="J56" i="139" s="1"/>
  <c r="J96" i="139" s="1"/>
  <c r="I56" i="139"/>
  <c r="I96" i="139" s="1"/>
  <c r="J59" i="120"/>
  <c r="J59" i="139" s="1"/>
  <c r="J99" i="139" s="1"/>
  <c r="I59" i="139"/>
  <c r="I99" i="139" s="1"/>
  <c r="J62" i="120"/>
  <c r="J62" i="139" s="1"/>
  <c r="J102" i="139" s="1"/>
  <c r="I62" i="139"/>
  <c r="I102" i="139" s="1"/>
  <c r="J65" i="120"/>
  <c r="J65" i="139" s="1"/>
  <c r="J105" i="139" s="1"/>
  <c r="I65" i="139"/>
  <c r="I105" i="139" s="1"/>
  <c r="J68" i="120"/>
  <c r="J68" i="139" s="1"/>
  <c r="J108" i="139" s="1"/>
  <c r="I68" i="139"/>
  <c r="I108" i="139" s="1"/>
  <c r="J71" i="120"/>
  <c r="J71" i="139" s="1"/>
  <c r="J111" i="139" s="1"/>
  <c r="I71" i="139"/>
  <c r="I111" i="139" s="1"/>
  <c r="J74" i="120"/>
  <c r="I74" i="139"/>
  <c r="I114" i="139" s="1"/>
  <c r="J77" i="120"/>
  <c r="J77" i="139" s="1"/>
  <c r="J117" i="139" s="1"/>
  <c r="I77" i="139"/>
  <c r="I117" i="139" s="1"/>
  <c r="J80" i="120"/>
  <c r="J80" i="139" s="1"/>
  <c r="J120" i="139" s="1"/>
  <c r="I80" i="139"/>
  <c r="I120" i="139" s="1"/>
  <c r="J83" i="120"/>
  <c r="J83" i="139" s="1"/>
  <c r="J123" i="139" s="1"/>
  <c r="I83" i="139"/>
  <c r="I123" i="139" s="1"/>
  <c r="J45" i="121"/>
  <c r="J29" i="139"/>
  <c r="K96" i="120"/>
  <c r="K56" i="139"/>
  <c r="K96" i="139" s="1"/>
  <c r="K102" i="120"/>
  <c r="K62" i="139"/>
  <c r="K102" i="139" s="1"/>
  <c r="L109" i="120"/>
  <c r="H57" i="120"/>
  <c r="H57" i="139" s="1"/>
  <c r="H97" i="139" s="1"/>
  <c r="G57" i="139"/>
  <c r="G97" i="139" s="1"/>
  <c r="H60" i="120"/>
  <c r="H60" i="139" s="1"/>
  <c r="H100" i="139" s="1"/>
  <c r="G60" i="139"/>
  <c r="G100" i="139" s="1"/>
  <c r="H63" i="120"/>
  <c r="H63" i="139" s="1"/>
  <c r="H103" i="139" s="1"/>
  <c r="G63" i="139"/>
  <c r="G103" i="139" s="1"/>
  <c r="H66" i="120"/>
  <c r="H66" i="139" s="1"/>
  <c r="H106" i="139" s="1"/>
  <c r="G66" i="139"/>
  <c r="G106" i="139" s="1"/>
  <c r="H69" i="120"/>
  <c r="H69" i="139" s="1"/>
  <c r="H109" i="139" s="1"/>
  <c r="G69" i="139"/>
  <c r="G109" i="139" s="1"/>
  <c r="H72" i="120"/>
  <c r="H72" i="139" s="1"/>
  <c r="H112" i="139" s="1"/>
  <c r="G72" i="139"/>
  <c r="G112" i="139" s="1"/>
  <c r="H75" i="120"/>
  <c r="H75" i="139" s="1"/>
  <c r="G75" i="139"/>
  <c r="H78" i="120"/>
  <c r="H78" i="139" s="1"/>
  <c r="H118" i="139" s="1"/>
  <c r="G78" i="139"/>
  <c r="G118" i="139" s="1"/>
  <c r="H81" i="120"/>
  <c r="H81" i="139" s="1"/>
  <c r="H121" i="139" s="1"/>
  <c r="G81" i="139"/>
  <c r="G121" i="139" s="1"/>
  <c r="L111" i="120"/>
  <c r="J57" i="120"/>
  <c r="J57" i="139" s="1"/>
  <c r="J97" i="139" s="1"/>
  <c r="I57" i="139"/>
  <c r="I97" i="139" s="1"/>
  <c r="J60" i="120"/>
  <c r="J60" i="139" s="1"/>
  <c r="J100" i="139" s="1"/>
  <c r="I60" i="139"/>
  <c r="I100" i="139" s="1"/>
  <c r="J63" i="120"/>
  <c r="J63" i="139" s="1"/>
  <c r="J103" i="139" s="1"/>
  <c r="I63" i="139"/>
  <c r="I103" i="139" s="1"/>
  <c r="J66" i="120"/>
  <c r="J66" i="139" s="1"/>
  <c r="J106" i="139" s="1"/>
  <c r="I66" i="139"/>
  <c r="I106" i="139" s="1"/>
  <c r="J69" i="120"/>
  <c r="J69" i="139" s="1"/>
  <c r="I69" i="139"/>
  <c r="I109" i="139" s="1"/>
  <c r="J72" i="120"/>
  <c r="J72" i="139" s="1"/>
  <c r="J112" i="139" s="1"/>
  <c r="I72" i="139"/>
  <c r="I112" i="139" s="1"/>
  <c r="J75" i="120"/>
  <c r="J75" i="139" s="1"/>
  <c r="I75" i="139"/>
  <c r="J78" i="120"/>
  <c r="J78" i="139" s="1"/>
  <c r="J118" i="139" s="1"/>
  <c r="I78" i="139"/>
  <c r="I118" i="139" s="1"/>
  <c r="J81" i="120"/>
  <c r="J81" i="139" s="1"/>
  <c r="J121" i="139" s="1"/>
  <c r="I81" i="139"/>
  <c r="I121" i="139" s="1"/>
  <c r="J17" i="119"/>
  <c r="L73" i="119"/>
  <c r="L113" i="119" s="1"/>
  <c r="I76" i="119"/>
  <c r="J76" i="119" s="1"/>
  <c r="I81" i="119"/>
  <c r="J81" i="119" s="1"/>
  <c r="L76" i="119"/>
  <c r="H28" i="119"/>
  <c r="Q44" i="119"/>
  <c r="Q124" i="119" s="1"/>
  <c r="W36" i="12"/>
  <c r="S17" i="12"/>
  <c r="G103" i="120"/>
  <c r="I66" i="119"/>
  <c r="J66" i="119" s="1"/>
  <c r="G73" i="119"/>
  <c r="H73" i="119" s="1"/>
  <c r="U24" i="129"/>
  <c r="U36" i="129"/>
  <c r="C34" i="82"/>
  <c r="G69" i="119"/>
  <c r="H69" i="119" s="1"/>
  <c r="I18" i="119"/>
  <c r="G30" i="119"/>
  <c r="I97" i="120"/>
  <c r="S18" i="12"/>
  <c r="G81" i="119"/>
  <c r="H81" i="119" s="1"/>
  <c r="S19" i="12"/>
  <c r="G62" i="119"/>
  <c r="H62" i="119" s="1"/>
  <c r="L71" i="119"/>
  <c r="L111" i="119" s="1"/>
  <c r="U27" i="129"/>
  <c r="U39" i="129"/>
  <c r="S20" i="12"/>
  <c r="S21" i="12"/>
  <c r="G76" i="119"/>
  <c r="H76" i="119" s="1"/>
  <c r="L62" i="119"/>
  <c r="L102" i="119" s="1"/>
  <c r="I65" i="119"/>
  <c r="J65" i="119" s="1"/>
  <c r="L74" i="119"/>
  <c r="L114" i="119" s="1"/>
  <c r="I77" i="119"/>
  <c r="J77" i="119" s="1"/>
  <c r="K101" i="119"/>
  <c r="K66" i="119"/>
  <c r="K106" i="119" s="1"/>
  <c r="K78" i="119"/>
  <c r="K118" i="119" s="1"/>
  <c r="S13" i="120"/>
  <c r="T13" i="120" s="1"/>
  <c r="U13" i="120" s="1"/>
  <c r="V13" i="120" s="1"/>
  <c r="W13" i="120" s="1"/>
  <c r="S15" i="12"/>
  <c r="G57" i="119"/>
  <c r="H57" i="119" s="1"/>
  <c r="L123" i="119"/>
  <c r="E16" i="37"/>
  <c r="Q15" i="12"/>
  <c r="S16" i="12"/>
  <c r="U34" i="129"/>
  <c r="L28" i="119"/>
  <c r="I26" i="119"/>
  <c r="G79" i="119"/>
  <c r="H79" i="119" s="1"/>
  <c r="I24" i="119"/>
  <c r="W34" i="12"/>
  <c r="G33" i="119"/>
  <c r="K79" i="119"/>
  <c r="K119" i="119" s="1"/>
  <c r="G67" i="119"/>
  <c r="H67" i="119" s="1"/>
  <c r="H16" i="119"/>
  <c r="K67" i="119"/>
  <c r="K107" i="119" s="1"/>
  <c r="J72" i="119"/>
  <c r="G77" i="119"/>
  <c r="H77" i="119" s="1"/>
  <c r="K55" i="119"/>
  <c r="K95" i="119" s="1"/>
  <c r="G64" i="119"/>
  <c r="H64" i="119" s="1"/>
  <c r="H40" i="119"/>
  <c r="Q20" i="12"/>
  <c r="S33" i="12"/>
  <c r="E22" i="37"/>
  <c r="Q21" i="12"/>
  <c r="S34" i="12"/>
  <c r="I23" i="119"/>
  <c r="E23" i="37"/>
  <c r="Q22" i="12"/>
  <c r="S23" i="12"/>
  <c r="S35" i="12"/>
  <c r="S24" i="12"/>
  <c r="S36" i="12"/>
  <c r="S25" i="12"/>
  <c r="S37" i="12"/>
  <c r="L77" i="119"/>
  <c r="L117" i="119" s="1"/>
  <c r="S26" i="12"/>
  <c r="S38" i="12"/>
  <c r="F85" i="119"/>
  <c r="G75" i="119"/>
  <c r="H75" i="119" s="1"/>
  <c r="I78" i="119"/>
  <c r="J78" i="119" s="1"/>
  <c r="S27" i="12"/>
  <c r="S39" i="12"/>
  <c r="S28" i="12"/>
  <c r="S40" i="12"/>
  <c r="E17" i="37"/>
  <c r="Q16" i="12"/>
  <c r="S29" i="12"/>
  <c r="S41" i="12"/>
  <c r="E18" i="37"/>
  <c r="Q17" i="12"/>
  <c r="S30" i="12"/>
  <c r="S42" i="12"/>
  <c r="Q18" i="12"/>
  <c r="S31" i="12"/>
  <c r="S43" i="12"/>
  <c r="G74" i="119"/>
  <c r="H74" i="119" s="1"/>
  <c r="Q19" i="12"/>
  <c r="S32" i="12"/>
  <c r="U35" i="129"/>
  <c r="U43" i="129"/>
  <c r="U31" i="129"/>
  <c r="U32" i="129"/>
  <c r="U33" i="129"/>
  <c r="U44" i="129"/>
  <c r="I104" i="120"/>
  <c r="I101" i="120"/>
  <c r="I119" i="120"/>
  <c r="W31" i="12"/>
  <c r="W43" i="12"/>
  <c r="I17" i="119"/>
  <c r="I41" i="119"/>
  <c r="E32" i="37"/>
  <c r="Q31" i="12"/>
  <c r="E44" i="37"/>
  <c r="Q43" i="12"/>
  <c r="E31" i="37"/>
  <c r="Q30" i="12"/>
  <c r="G24" i="119"/>
  <c r="J41" i="119"/>
  <c r="E33" i="37"/>
  <c r="Q32" i="12"/>
  <c r="E34" i="37"/>
  <c r="Q33" i="12"/>
  <c r="E43" i="37"/>
  <c r="Q42" i="12"/>
  <c r="E35" i="37"/>
  <c r="Q34" i="12"/>
  <c r="E24" i="37"/>
  <c r="Q23" i="12"/>
  <c r="E36" i="37"/>
  <c r="Q35" i="12"/>
  <c r="E26" i="37"/>
  <c r="Q25" i="12"/>
  <c r="E38" i="37"/>
  <c r="Q37" i="12"/>
  <c r="G35" i="119"/>
  <c r="E27" i="37"/>
  <c r="Q26" i="12"/>
  <c r="E39" i="37"/>
  <c r="Q38" i="12"/>
  <c r="E37" i="37"/>
  <c r="Q36" i="12"/>
  <c r="I35" i="119"/>
  <c r="E28" i="37"/>
  <c r="Q27" i="12"/>
  <c r="E40" i="37"/>
  <c r="Q39" i="12"/>
  <c r="E25" i="37"/>
  <c r="Q24" i="12"/>
  <c r="J35" i="119"/>
  <c r="J19" i="119"/>
  <c r="J31" i="119"/>
  <c r="G38" i="119"/>
  <c r="E29" i="37"/>
  <c r="Q28" i="12"/>
  <c r="E41" i="37"/>
  <c r="Q40" i="12"/>
  <c r="E30" i="37"/>
  <c r="Q29" i="12"/>
  <c r="E42" i="37"/>
  <c r="Q41" i="12"/>
  <c r="L96" i="120"/>
  <c r="L102" i="120"/>
  <c r="L100" i="120"/>
  <c r="L117" i="120"/>
  <c r="L115" i="120"/>
  <c r="L120" i="120"/>
  <c r="L104" i="120"/>
  <c r="G123" i="120"/>
  <c r="P44" i="119"/>
  <c r="H19" i="119"/>
  <c r="G19" i="119"/>
  <c r="H23" i="119"/>
  <c r="L75" i="119"/>
  <c r="L115" i="119" s="1"/>
  <c r="I33" i="119"/>
  <c r="C85" i="119"/>
  <c r="L70" i="119"/>
  <c r="L110" i="119" s="1"/>
  <c r="G80" i="119"/>
  <c r="H80" i="119" s="1"/>
  <c r="I19" i="119"/>
  <c r="G16" i="119"/>
  <c r="L63" i="119"/>
  <c r="L103" i="119" s="1"/>
  <c r="H35" i="119"/>
  <c r="I29" i="119"/>
  <c r="G28" i="119"/>
  <c r="J43" i="119"/>
  <c r="H21" i="119"/>
  <c r="G40" i="119"/>
  <c r="H33" i="119"/>
  <c r="K75" i="119"/>
  <c r="K115" i="119" s="1"/>
  <c r="W15" i="12"/>
  <c r="W17" i="12"/>
  <c r="W18" i="12"/>
  <c r="W19" i="12"/>
  <c r="W20" i="12"/>
  <c r="W21" i="12"/>
  <c r="W22" i="12"/>
  <c r="I22" i="119"/>
  <c r="U23" i="129"/>
  <c r="U16" i="129"/>
  <c r="Q46" i="129"/>
  <c r="Q47" i="129" s="1"/>
  <c r="U17" i="129"/>
  <c r="U18" i="129"/>
  <c r="U19" i="129"/>
  <c r="U20" i="129"/>
  <c r="U21" i="129"/>
  <c r="U22" i="129"/>
  <c r="W16" i="12"/>
  <c r="L58" i="119"/>
  <c r="L98" i="119" s="1"/>
  <c r="I61" i="119"/>
  <c r="J61" i="119" s="1"/>
  <c r="G58" i="119"/>
  <c r="H58" i="119" s="1"/>
  <c r="I96" i="120"/>
  <c r="M124" i="119"/>
  <c r="N124" i="119"/>
  <c r="L82" i="119"/>
  <c r="L122" i="119" s="1"/>
  <c r="K104" i="119"/>
  <c r="K111" i="119"/>
  <c r="K123" i="119"/>
  <c r="I73" i="119"/>
  <c r="J73" i="119" s="1"/>
  <c r="W26" i="12"/>
  <c r="W38" i="12"/>
  <c r="W28" i="12"/>
  <c r="W32" i="12"/>
  <c r="W29" i="12"/>
  <c r="W41" i="12"/>
  <c r="W27" i="12"/>
  <c r="W39" i="12"/>
  <c r="J29" i="119"/>
  <c r="J34" i="119"/>
  <c r="G41" i="119"/>
  <c r="I34" i="119"/>
  <c r="G29" i="119"/>
  <c r="J24" i="119"/>
  <c r="H18" i="119"/>
  <c r="G21" i="119"/>
  <c r="J26" i="119"/>
  <c r="G15" i="119"/>
  <c r="G17" i="119"/>
  <c r="H20" i="119"/>
  <c r="H22" i="119"/>
  <c r="I39" i="119"/>
  <c r="I119" i="119" s="1"/>
  <c r="H15" i="119"/>
  <c r="G22" i="119"/>
  <c r="J25" i="119"/>
  <c r="J18" i="119"/>
  <c r="J20" i="119"/>
  <c r="J30" i="119"/>
  <c r="E19" i="37"/>
  <c r="E20" i="37"/>
  <c r="E21" i="37"/>
  <c r="W40" i="12"/>
  <c r="H29" i="119"/>
  <c r="H42" i="119"/>
  <c r="G34" i="119"/>
  <c r="G27" i="119"/>
  <c r="H36" i="119"/>
  <c r="H27" i="119"/>
  <c r="J37" i="119"/>
  <c r="C19" i="20"/>
  <c r="C35" i="20" s="1"/>
  <c r="H39" i="119"/>
  <c r="G31" i="119"/>
  <c r="G36" i="119"/>
  <c r="J32" i="119"/>
  <c r="J42" i="119"/>
  <c r="C24" i="20"/>
  <c r="C40" i="20" s="1"/>
  <c r="H31" i="119"/>
  <c r="I36" i="119"/>
  <c r="I31" i="119"/>
  <c r="J36" i="119"/>
  <c r="G43" i="119"/>
  <c r="H43" i="119"/>
  <c r="I43" i="119"/>
  <c r="G23" i="119"/>
  <c r="J28" i="119"/>
  <c r="J38" i="119"/>
  <c r="C20" i="20"/>
  <c r="C36" i="20" s="1"/>
  <c r="J85" i="125"/>
  <c r="J125" i="125"/>
  <c r="L118" i="123"/>
  <c r="K85" i="120"/>
  <c r="L85" i="120"/>
  <c r="I100" i="120"/>
  <c r="I111" i="120"/>
  <c r="I107" i="120"/>
  <c r="J125" i="121"/>
  <c r="P103" i="121"/>
  <c r="P107" i="121"/>
  <c r="R97" i="121"/>
  <c r="R108" i="121"/>
  <c r="R106" i="121"/>
  <c r="P101" i="121"/>
  <c r="R99" i="121"/>
  <c r="R105" i="121"/>
  <c r="R124" i="121"/>
  <c r="V124" i="121" s="1"/>
  <c r="R98" i="121"/>
  <c r="Q104" i="121"/>
  <c r="I56" i="119"/>
  <c r="J56" i="119" s="1"/>
  <c r="J96" i="119" s="1"/>
  <c r="G68" i="119"/>
  <c r="H68" i="119" s="1"/>
  <c r="I80" i="119"/>
  <c r="J80" i="119" s="1"/>
  <c r="J120" i="119" s="1"/>
  <c r="K82" i="119"/>
  <c r="K122" i="119" s="1"/>
  <c r="K109" i="119"/>
  <c r="K99" i="119"/>
  <c r="K105" i="119"/>
  <c r="G66" i="119"/>
  <c r="H66" i="119" s="1"/>
  <c r="G78" i="119"/>
  <c r="H78" i="119" s="1"/>
  <c r="G70" i="119"/>
  <c r="L99" i="119"/>
  <c r="K58" i="119"/>
  <c r="K98" i="119" s="1"/>
  <c r="K70" i="119"/>
  <c r="K110" i="119" s="1"/>
  <c r="K116" i="119"/>
  <c r="G63" i="119"/>
  <c r="H63" i="119" s="1"/>
  <c r="D85" i="119"/>
  <c r="E85" i="119"/>
  <c r="G61" i="119"/>
  <c r="H61" i="119" s="1"/>
  <c r="I55" i="119"/>
  <c r="J55" i="119" s="1"/>
  <c r="B85" i="119"/>
  <c r="G55" i="119"/>
  <c r="H55" i="119" s="1"/>
  <c r="C45" i="120"/>
  <c r="G107" i="120"/>
  <c r="L108" i="120"/>
  <c r="K23" i="119"/>
  <c r="K103" i="119" s="1"/>
  <c r="J39" i="119"/>
  <c r="H41" i="119"/>
  <c r="D45" i="120"/>
  <c r="G99" i="120"/>
  <c r="G111" i="120"/>
  <c r="G18" i="119"/>
  <c r="G26" i="119"/>
  <c r="E45" i="120"/>
  <c r="I102" i="120"/>
  <c r="G115" i="120"/>
  <c r="G119" i="120"/>
  <c r="L36" i="119"/>
  <c r="H26" i="119"/>
  <c r="I98" i="120"/>
  <c r="K107" i="120"/>
  <c r="G39" i="119"/>
  <c r="I32" i="119"/>
  <c r="I112" i="119" s="1"/>
  <c r="K17" i="119"/>
  <c r="K41" i="119"/>
  <c r="K121" i="119" s="1"/>
  <c r="I15" i="120"/>
  <c r="H24" i="119"/>
  <c r="H30" i="119"/>
  <c r="H38" i="119"/>
  <c r="K15" i="120"/>
  <c r="K115" i="120"/>
  <c r="K119" i="120"/>
  <c r="J22" i="119"/>
  <c r="I30" i="119"/>
  <c r="H32" i="119"/>
  <c r="H34" i="119"/>
  <c r="I38" i="119"/>
  <c r="G42" i="119"/>
  <c r="I20" i="119"/>
  <c r="I100" i="119" s="1"/>
  <c r="B45" i="120"/>
  <c r="G101" i="120"/>
  <c r="I42" i="119"/>
  <c r="G97" i="120"/>
  <c r="H17" i="119"/>
  <c r="I103" i="120"/>
  <c r="L97" i="120"/>
  <c r="L99" i="120"/>
  <c r="L95" i="120"/>
  <c r="L45" i="120"/>
  <c r="J123" i="120"/>
  <c r="L101" i="120"/>
  <c r="G15" i="120"/>
  <c r="G15" i="139" s="1"/>
  <c r="I108" i="120"/>
  <c r="G108" i="120"/>
  <c r="I112" i="120"/>
  <c r="G112" i="120"/>
  <c r="I116" i="120"/>
  <c r="G116" i="120"/>
  <c r="I120" i="120"/>
  <c r="G120" i="120"/>
  <c r="I123" i="120"/>
  <c r="H15" i="120"/>
  <c r="H15" i="139" s="1"/>
  <c r="L106" i="120"/>
  <c r="L110" i="120"/>
  <c r="L114" i="120"/>
  <c r="L118" i="120"/>
  <c r="J15" i="120"/>
  <c r="J15" i="139" s="1"/>
  <c r="N124" i="120"/>
  <c r="Q124" i="120"/>
  <c r="I122" i="120"/>
  <c r="G122" i="120"/>
  <c r="L113" i="120"/>
  <c r="L121" i="120"/>
  <c r="G96" i="120"/>
  <c r="G98" i="120"/>
  <c r="G100" i="120"/>
  <c r="G102" i="120"/>
  <c r="G105" i="120"/>
  <c r="I106" i="120"/>
  <c r="G106" i="120"/>
  <c r="G109" i="120"/>
  <c r="I110" i="120"/>
  <c r="G110" i="120"/>
  <c r="G113" i="120"/>
  <c r="I114" i="120"/>
  <c r="G114" i="120"/>
  <c r="G117" i="120"/>
  <c r="I118" i="120"/>
  <c r="G118" i="120"/>
  <c r="G121" i="120"/>
  <c r="I109" i="120"/>
  <c r="I113" i="120"/>
  <c r="I117" i="120"/>
  <c r="I121" i="120"/>
  <c r="G85" i="120"/>
  <c r="J124" i="120"/>
  <c r="I85" i="120"/>
  <c r="J55" i="120"/>
  <c r="J55" i="139" s="1"/>
  <c r="L123" i="120"/>
  <c r="L98" i="120"/>
  <c r="L107" i="120"/>
  <c r="L119" i="120"/>
  <c r="F45" i="120"/>
  <c r="K22" i="119"/>
  <c r="K102" i="119" s="1"/>
  <c r="K34" i="119"/>
  <c r="K114" i="119" s="1"/>
  <c r="G25" i="119"/>
  <c r="G37" i="119"/>
  <c r="L121" i="119"/>
  <c r="G20" i="119"/>
  <c r="H25" i="119"/>
  <c r="G32" i="119"/>
  <c r="H37" i="119"/>
  <c r="I25" i="119"/>
  <c r="I37" i="119"/>
  <c r="B45" i="119"/>
  <c r="K117" i="119"/>
  <c r="I15" i="119"/>
  <c r="J15" i="119"/>
  <c r="K113" i="119"/>
  <c r="R44" i="119" l="1"/>
  <c r="V44" i="119" s="1"/>
  <c r="I107" i="119"/>
  <c r="I102" i="119"/>
  <c r="L108" i="119"/>
  <c r="J119" i="119"/>
  <c r="I99" i="119"/>
  <c r="J101" i="119"/>
  <c r="J119" i="120"/>
  <c r="I117" i="119"/>
  <c r="H95" i="119"/>
  <c r="I123" i="119"/>
  <c r="J123" i="119"/>
  <c r="H97" i="120"/>
  <c r="G121" i="119"/>
  <c r="I115" i="119"/>
  <c r="J116" i="119"/>
  <c r="I111" i="119"/>
  <c r="I103" i="119"/>
  <c r="I121" i="119"/>
  <c r="G100" i="119"/>
  <c r="I98" i="119"/>
  <c r="I104" i="119"/>
  <c r="J104" i="119"/>
  <c r="J99" i="120"/>
  <c r="J98" i="119"/>
  <c r="I120" i="119"/>
  <c r="J103" i="120"/>
  <c r="I114" i="119"/>
  <c r="J121" i="120"/>
  <c r="J117" i="120"/>
  <c r="J122" i="119"/>
  <c r="I122" i="119"/>
  <c r="J105" i="119"/>
  <c r="J98" i="120"/>
  <c r="J116" i="120"/>
  <c r="I105" i="119"/>
  <c r="K97" i="119"/>
  <c r="K125" i="119" s="1"/>
  <c r="J120" i="120"/>
  <c r="I110" i="119"/>
  <c r="G112" i="119"/>
  <c r="J104" i="120"/>
  <c r="H98" i="120"/>
  <c r="H105" i="119"/>
  <c r="J106" i="120"/>
  <c r="J102" i="120"/>
  <c r="G105" i="119"/>
  <c r="H99" i="120"/>
  <c r="I116" i="119"/>
  <c r="J97" i="119"/>
  <c r="I97" i="119"/>
  <c r="J109" i="120"/>
  <c r="J118" i="119"/>
  <c r="J112" i="119"/>
  <c r="H101" i="120"/>
  <c r="J107" i="120"/>
  <c r="G111" i="119"/>
  <c r="G119" i="119"/>
  <c r="J105" i="120"/>
  <c r="H100" i="120"/>
  <c r="AQ31" i="116"/>
  <c r="AC31" i="116"/>
  <c r="AS31" i="116" s="1"/>
  <c r="AI31" i="116"/>
  <c r="H119" i="119"/>
  <c r="H97" i="119"/>
  <c r="H118" i="119"/>
  <c r="G104" i="119"/>
  <c r="H116" i="119"/>
  <c r="J112" i="120"/>
  <c r="J108" i="120"/>
  <c r="H104" i="119"/>
  <c r="G116" i="119"/>
  <c r="G99" i="119"/>
  <c r="J97" i="120"/>
  <c r="J115" i="120"/>
  <c r="H111" i="119"/>
  <c r="J111" i="120"/>
  <c r="G122" i="119"/>
  <c r="G120" i="119"/>
  <c r="J114" i="119"/>
  <c r="J99" i="119"/>
  <c r="H107" i="119"/>
  <c r="I109" i="119"/>
  <c r="J109" i="119"/>
  <c r="G113" i="119"/>
  <c r="H112" i="119"/>
  <c r="H120" i="119"/>
  <c r="H115" i="120"/>
  <c r="H112" i="120"/>
  <c r="J103" i="119"/>
  <c r="J111" i="119"/>
  <c r="AF29" i="69"/>
  <c r="H106" i="119"/>
  <c r="J106" i="119"/>
  <c r="G96" i="119"/>
  <c r="L116" i="119"/>
  <c r="L125" i="119" s="1"/>
  <c r="G123" i="119"/>
  <c r="J100" i="119"/>
  <c r="G109" i="119"/>
  <c r="I108" i="119"/>
  <c r="G107" i="119"/>
  <c r="I118" i="119"/>
  <c r="G106" i="119"/>
  <c r="G98" i="119"/>
  <c r="H109" i="119"/>
  <c r="H99" i="119"/>
  <c r="H114" i="119"/>
  <c r="G114" i="119"/>
  <c r="G97" i="119"/>
  <c r="I106" i="119"/>
  <c r="G102" i="119"/>
  <c r="H102" i="119"/>
  <c r="H98" i="119"/>
  <c r="J110" i="120"/>
  <c r="J118" i="120"/>
  <c r="H114" i="120"/>
  <c r="H113" i="120"/>
  <c r="S33" i="164"/>
  <c r="H110" i="120"/>
  <c r="H109" i="120"/>
  <c r="H111" i="120"/>
  <c r="H118" i="120"/>
  <c r="H119" i="120"/>
  <c r="H102" i="120"/>
  <c r="H123" i="120"/>
  <c r="H104" i="120"/>
  <c r="H105" i="120"/>
  <c r="Z46" i="77"/>
  <c r="H103" i="120"/>
  <c r="H121" i="120"/>
  <c r="H108" i="120"/>
  <c r="H107" i="120"/>
  <c r="H115" i="119"/>
  <c r="J113" i="120"/>
  <c r="H106" i="120"/>
  <c r="G115" i="119"/>
  <c r="H122" i="119"/>
  <c r="J115" i="119"/>
  <c r="J113" i="119"/>
  <c r="J96" i="120"/>
  <c r="J100" i="120"/>
  <c r="H85" i="120"/>
  <c r="J101" i="120"/>
  <c r="W46" i="129"/>
  <c r="W47" i="129" s="1"/>
  <c r="J127" i="125"/>
  <c r="H96" i="120"/>
  <c r="H56" i="139"/>
  <c r="H96" i="139" s="1"/>
  <c r="H116" i="120"/>
  <c r="H76" i="139"/>
  <c r="H116" i="139" s="1"/>
  <c r="I85" i="139"/>
  <c r="J74" i="139"/>
  <c r="J114" i="139" s="1"/>
  <c r="J114" i="120"/>
  <c r="G85" i="139"/>
  <c r="G95" i="139"/>
  <c r="K45" i="120"/>
  <c r="K15" i="139"/>
  <c r="J109" i="139"/>
  <c r="K85" i="139"/>
  <c r="J95" i="139"/>
  <c r="H95" i="139"/>
  <c r="H120" i="120"/>
  <c r="H80" i="139"/>
  <c r="H120" i="139" s="1"/>
  <c r="H122" i="120"/>
  <c r="H82" i="139"/>
  <c r="H122" i="139" s="1"/>
  <c r="I95" i="120"/>
  <c r="I125" i="120" s="1"/>
  <c r="I15" i="139"/>
  <c r="H77" i="139"/>
  <c r="H117" i="139" s="1"/>
  <c r="H117" i="120"/>
  <c r="L85" i="139"/>
  <c r="H113" i="119"/>
  <c r="L85" i="119"/>
  <c r="H96" i="119"/>
  <c r="P124" i="119"/>
  <c r="G117" i="119"/>
  <c r="J121" i="119"/>
  <c r="S45" i="12"/>
  <c r="I113" i="119"/>
  <c r="J85" i="119"/>
  <c r="G118" i="119"/>
  <c r="Q45" i="12"/>
  <c r="J85" i="120"/>
  <c r="K95" i="120"/>
  <c r="K125" i="120" s="1"/>
  <c r="R124" i="119"/>
  <c r="V124" i="119" s="1"/>
  <c r="K85" i="119"/>
  <c r="J117" i="119"/>
  <c r="I101" i="119"/>
  <c r="J110" i="119"/>
  <c r="U46" i="129"/>
  <c r="U47" i="129" s="1"/>
  <c r="G101" i="119"/>
  <c r="H101" i="119"/>
  <c r="I96" i="119"/>
  <c r="H123" i="119"/>
  <c r="J102" i="119"/>
  <c r="L45" i="119"/>
  <c r="J45" i="119"/>
  <c r="J108" i="119"/>
  <c r="R96" i="121"/>
  <c r="R104" i="121"/>
  <c r="R107" i="121"/>
  <c r="R100" i="121"/>
  <c r="R101" i="121"/>
  <c r="R102" i="121"/>
  <c r="R103" i="121"/>
  <c r="G103" i="119"/>
  <c r="H108" i="119"/>
  <c r="H100" i="119"/>
  <c r="G108" i="119"/>
  <c r="H117" i="119"/>
  <c r="G110" i="119"/>
  <c r="H70" i="119"/>
  <c r="H103" i="119"/>
  <c r="I85" i="119"/>
  <c r="I95" i="119"/>
  <c r="G85" i="119"/>
  <c r="G95" i="119"/>
  <c r="I45" i="119"/>
  <c r="K45" i="119"/>
  <c r="G45" i="120"/>
  <c r="G95" i="120"/>
  <c r="G125" i="120" s="1"/>
  <c r="H45" i="120"/>
  <c r="H95" i="120"/>
  <c r="I45" i="120"/>
  <c r="L125" i="120"/>
  <c r="P124" i="120"/>
  <c r="J45" i="120"/>
  <c r="J95" i="120"/>
  <c r="J122" i="120"/>
  <c r="J95" i="119"/>
  <c r="H121" i="119"/>
  <c r="AF30" i="69" l="1"/>
  <c r="H85" i="139"/>
  <c r="H125" i="120"/>
  <c r="I95" i="139"/>
  <c r="J85" i="139"/>
  <c r="K95" i="139"/>
  <c r="I125" i="119"/>
  <c r="J125" i="119"/>
  <c r="G125" i="119"/>
  <c r="H85" i="119"/>
  <c r="H110" i="119"/>
  <c r="H125" i="119" s="1"/>
  <c r="J125" i="120"/>
  <c r="R124" i="120"/>
  <c r="V124" i="120" s="1"/>
  <c r="AF31" i="69" l="1"/>
  <c r="H45" i="119"/>
  <c r="G45" i="119"/>
  <c r="F45" i="119"/>
  <c r="E45" i="119"/>
  <c r="D45" i="119"/>
  <c r="C45" i="119"/>
  <c r="A16" i="119"/>
  <c r="A17" i="119" s="1"/>
  <c r="A18" i="119" s="1"/>
  <c r="A19" i="119" s="1"/>
  <c r="A20" i="119" s="1"/>
  <c r="A21" i="119" s="1"/>
  <c r="A22" i="119" s="1"/>
  <c r="A23" i="119" s="1"/>
  <c r="A24" i="119" s="1"/>
  <c r="A25" i="119" s="1"/>
  <c r="A26" i="119" s="1"/>
  <c r="A27" i="119" s="1"/>
  <c r="A28" i="119" s="1"/>
  <c r="A29" i="119" s="1"/>
  <c r="A30" i="119" s="1"/>
  <c r="A31" i="119" s="1"/>
  <c r="A32" i="119" s="1"/>
  <c r="A33" i="119" s="1"/>
  <c r="A34" i="119" s="1"/>
  <c r="A35" i="119" s="1"/>
  <c r="A36" i="119" s="1"/>
  <c r="A37" i="119" s="1"/>
  <c r="A38" i="119" s="1"/>
  <c r="A39" i="119" s="1"/>
  <c r="A40" i="119" s="1"/>
  <c r="A41" i="119" s="1"/>
  <c r="A42" i="119" s="1"/>
  <c r="A43" i="119" s="1"/>
  <c r="D13" i="119"/>
  <c r="E13" i="119" s="1"/>
  <c r="F13" i="119" s="1"/>
  <c r="G13" i="119" s="1"/>
  <c r="H13" i="119" s="1"/>
  <c r="AF32" i="69" l="1"/>
  <c r="I13" i="119"/>
  <c r="J13" i="119" s="1"/>
  <c r="K13" i="119" s="1"/>
  <c r="L13" i="119" s="1"/>
  <c r="M13" i="119" s="1"/>
  <c r="N13" i="119" s="1"/>
  <c r="O13" i="119" s="1"/>
  <c r="P13" i="119" s="1"/>
  <c r="Q13" i="119" s="1"/>
  <c r="R13" i="119" s="1"/>
  <c r="S13" i="119" s="1"/>
  <c r="T13" i="119" s="1"/>
  <c r="U13" i="119" s="1"/>
  <c r="V13" i="119" s="1"/>
  <c r="W13" i="119" s="1"/>
  <c r="AF33" i="69" l="1"/>
  <c r="V31" i="74"/>
  <c r="AB31" i="74"/>
  <c r="X31" i="104"/>
  <c r="Z31" i="104"/>
  <c r="AB31" i="104"/>
  <c r="AD31" i="104"/>
  <c r="Z31" i="74"/>
  <c r="AD31" i="74"/>
  <c r="X31" i="74"/>
  <c r="V31" i="104"/>
  <c r="AF34" i="69" l="1"/>
  <c r="AB21" i="104"/>
  <c r="Z20" i="104" s="1"/>
  <c r="X19" i="104" s="1"/>
  <c r="V18" i="104" s="1"/>
  <c r="T17" i="104" s="1"/>
  <c r="Z21" i="104"/>
  <c r="X20" i="104" s="1"/>
  <c r="V19" i="104" s="1"/>
  <c r="T18" i="104" s="1"/>
  <c r="X21" i="104"/>
  <c r="V20" i="104" s="1"/>
  <c r="T19" i="104" s="1"/>
  <c r="V21" i="104"/>
  <c r="T20" i="104" s="1"/>
  <c r="AD21" i="104"/>
  <c r="T31" i="74"/>
  <c r="AF35" i="69" l="1"/>
  <c r="AD23" i="104"/>
  <c r="AB20" i="104"/>
  <c r="AF20" i="104" s="1"/>
  <c r="T31" i="104"/>
  <c r="T21" i="104" s="1"/>
  <c r="AF21" i="104" s="1"/>
  <c r="AF36" i="69" l="1"/>
  <c r="AB23" i="104"/>
  <c r="Z19" i="104"/>
  <c r="AF37" i="69" l="1"/>
  <c r="Z23" i="104"/>
  <c r="X18" i="104"/>
  <c r="AF19" i="104"/>
  <c r="AF38" i="69" l="1"/>
  <c r="X23" i="104"/>
  <c r="V17" i="104"/>
  <c r="AF18" i="104"/>
  <c r="AF39" i="69" l="1"/>
  <c r="V23" i="104"/>
  <c r="T16" i="104"/>
  <c r="AF17" i="104"/>
  <c r="AF40" i="69" l="1"/>
  <c r="T23" i="104"/>
  <c r="T25" i="104" s="1"/>
  <c r="AF16" i="104"/>
  <c r="AF23" i="104" s="1"/>
  <c r="AF41" i="69" l="1"/>
  <c r="AF42" i="69" l="1"/>
  <c r="AI14" i="117"/>
  <c r="AK14" i="117" s="1"/>
  <c r="AN14" i="117" s="1"/>
  <c r="AO14" i="117" s="1"/>
  <c r="AP14" i="117" s="1"/>
  <c r="AQ14" i="117" s="1"/>
  <c r="AR14" i="117" s="1"/>
  <c r="AH24" i="117"/>
  <c r="AH23" i="117" s="1"/>
  <c r="AH22" i="117" s="1"/>
  <c r="AH21" i="117" s="1"/>
  <c r="AH20" i="117" s="1"/>
  <c r="AH19" i="117" s="1"/>
  <c r="AH18" i="117" s="1"/>
  <c r="AH17" i="117" s="1"/>
  <c r="AH16" i="117" s="1"/>
  <c r="AF44" i="69" l="1"/>
  <c r="AF43" i="69"/>
  <c r="AR33" i="56"/>
  <c r="A37" i="118" l="1"/>
  <c r="A18" i="118"/>
  <c r="A19" i="118" s="1"/>
  <c r="A20" i="118" s="1"/>
  <c r="A21" i="118" s="1"/>
  <c r="A22" i="118" s="1"/>
  <c r="A23" i="118" s="1"/>
  <c r="A24" i="118" s="1"/>
  <c r="A25" i="118" s="1"/>
  <c r="A26" i="118" s="1"/>
  <c r="A27" i="118" s="1"/>
  <c r="A28" i="118" s="1"/>
  <c r="A29" i="118" s="1"/>
  <c r="A30" i="118" s="1"/>
  <c r="A31" i="118" s="1"/>
  <c r="Q46" i="117"/>
  <c r="Q47" i="117" s="1"/>
  <c r="Q48" i="117" s="1"/>
  <c r="Q49" i="117" s="1"/>
  <c r="Q50" i="117" s="1"/>
  <c r="Q51" i="117" s="1"/>
  <c r="Q52" i="117" s="1"/>
  <c r="Q53" i="117" s="1"/>
  <c r="Q54" i="117" s="1"/>
  <c r="A46" i="117"/>
  <c r="A47" i="117" s="1"/>
  <c r="A48" i="117" s="1"/>
  <c r="A49" i="117" s="1"/>
  <c r="A50" i="117" s="1"/>
  <c r="A51" i="117" s="1"/>
  <c r="A52" i="117" s="1"/>
  <c r="A53" i="117" s="1"/>
  <c r="A54" i="117" s="1"/>
  <c r="Q32" i="117"/>
  <c r="Q33" i="117" s="1"/>
  <c r="Q34" i="117" s="1"/>
  <c r="Q35" i="117" s="1"/>
  <c r="Q36" i="117" s="1"/>
  <c r="Q37" i="117" s="1"/>
  <c r="Q38" i="117" s="1"/>
  <c r="Q39" i="117" s="1"/>
  <c r="Q40" i="117" s="1"/>
  <c r="A32" i="117"/>
  <c r="A33" i="117" s="1"/>
  <c r="A34" i="117" s="1"/>
  <c r="A35" i="117" s="1"/>
  <c r="A36" i="117" s="1"/>
  <c r="A37" i="117" s="1"/>
  <c r="A38" i="117" s="1"/>
  <c r="A39" i="117" s="1"/>
  <c r="A40" i="117" s="1"/>
  <c r="Q18" i="117"/>
  <c r="Q19" i="117" s="1"/>
  <c r="Q20" i="117" s="1"/>
  <c r="Q21" i="117" s="1"/>
  <c r="Q22" i="117" s="1"/>
  <c r="Q23" i="117" s="1"/>
  <c r="Q24" i="117" s="1"/>
  <c r="Q25" i="117" s="1"/>
  <c r="Q26" i="117" s="1"/>
  <c r="A18" i="117"/>
  <c r="A19" i="117" s="1"/>
  <c r="A20" i="117" s="1"/>
  <c r="A21" i="117" s="1"/>
  <c r="A22" i="117" s="1"/>
  <c r="A23" i="117" s="1"/>
  <c r="A24" i="117" s="1"/>
  <c r="A25" i="117" s="1"/>
  <c r="A26" i="117" s="1"/>
  <c r="Q46" i="116"/>
  <c r="Q47" i="116" s="1"/>
  <c r="Q48" i="116" s="1"/>
  <c r="Q49" i="116" s="1"/>
  <c r="Q50" i="116" s="1"/>
  <c r="Q51" i="116" s="1"/>
  <c r="Q52" i="116" s="1"/>
  <c r="Q53" i="116" s="1"/>
  <c r="Q54" i="116" s="1"/>
  <c r="A46" i="116"/>
  <c r="A47" i="116" s="1"/>
  <c r="A48" i="116" s="1"/>
  <c r="A49" i="116" s="1"/>
  <c r="A50" i="116" s="1"/>
  <c r="A51" i="116" s="1"/>
  <c r="A52" i="116" s="1"/>
  <c r="A53" i="116" s="1"/>
  <c r="A54" i="116" s="1"/>
  <c r="A32" i="116"/>
  <c r="A33" i="116" s="1"/>
  <c r="A34" i="116" s="1"/>
  <c r="A35" i="116" s="1"/>
  <c r="A36" i="116" s="1"/>
  <c r="A37" i="116" s="1"/>
  <c r="A38" i="116" s="1"/>
  <c r="A39" i="116" s="1"/>
  <c r="A40" i="116" s="1"/>
  <c r="Q32" i="116"/>
  <c r="Q33" i="116" s="1"/>
  <c r="Q34" i="116" s="1"/>
  <c r="Q35" i="116" s="1"/>
  <c r="Q36" i="116" s="1"/>
  <c r="Q37" i="116" s="1"/>
  <c r="Q38" i="116" s="1"/>
  <c r="Q39" i="116" s="1"/>
  <c r="Q40" i="116" s="1"/>
  <c r="Q18" i="116"/>
  <c r="Q19" i="116" s="1"/>
  <c r="Q20" i="116" s="1"/>
  <c r="Q21" i="116" s="1"/>
  <c r="Q22" i="116" s="1"/>
  <c r="Q23" i="116" s="1"/>
  <c r="Q24" i="116" s="1"/>
  <c r="Q25" i="116" s="1"/>
  <c r="Q26" i="116" s="1"/>
  <c r="A18" i="116"/>
  <c r="A19" i="116" s="1"/>
  <c r="A20" i="116" s="1"/>
  <c r="A21" i="116" s="1"/>
  <c r="A22" i="116" s="1"/>
  <c r="A23" i="116" s="1"/>
  <c r="A24" i="116" s="1"/>
  <c r="A25" i="116" s="1"/>
  <c r="A26" i="116" s="1"/>
  <c r="A38" i="118" l="1"/>
  <c r="A56" i="118"/>
  <c r="K67" i="23"/>
  <c r="K71" i="23" s="1"/>
  <c r="A39" i="118" l="1"/>
  <c r="A57" i="118"/>
  <c r="AE42" i="117"/>
  <c r="O42" i="117"/>
  <c r="A40" i="118" l="1"/>
  <c r="A58" i="118"/>
  <c r="K32" i="85"/>
  <c r="K34" i="85"/>
  <c r="K39" i="85"/>
  <c r="K33" i="85"/>
  <c r="M46" i="115"/>
  <c r="M47" i="115" s="1"/>
  <c r="M48" i="115" s="1"/>
  <c r="M49" i="115" s="1"/>
  <c r="M50" i="115" s="1"/>
  <c r="M51" i="115" s="1"/>
  <c r="M52" i="115" s="1"/>
  <c r="M53" i="115" s="1"/>
  <c r="M54" i="115" s="1"/>
  <c r="A46" i="115"/>
  <c r="A47" i="115" s="1"/>
  <c r="A48" i="115" s="1"/>
  <c r="A49" i="115" s="1"/>
  <c r="A50" i="115" s="1"/>
  <c r="A51" i="115" s="1"/>
  <c r="A52" i="115" s="1"/>
  <c r="A53" i="115" s="1"/>
  <c r="A54" i="115" s="1"/>
  <c r="M32" i="115"/>
  <c r="M33" i="115" s="1"/>
  <c r="M34" i="115" s="1"/>
  <c r="M35" i="115" s="1"/>
  <c r="M36" i="115" s="1"/>
  <c r="M37" i="115" s="1"/>
  <c r="M38" i="115" s="1"/>
  <c r="M39" i="115" s="1"/>
  <c r="A32" i="115"/>
  <c r="A33" i="115" s="1"/>
  <c r="A34" i="115" s="1"/>
  <c r="A35" i="115" s="1"/>
  <c r="A36" i="115" s="1"/>
  <c r="A37" i="115" s="1"/>
  <c r="A38" i="115" s="1"/>
  <c r="A39" i="115" s="1"/>
  <c r="A40" i="115" s="1"/>
  <c r="Q27" i="94"/>
  <c r="Q26" i="94"/>
  <c r="Q25" i="94"/>
  <c r="Q24" i="94"/>
  <c r="Q23" i="94"/>
  <c r="Q22" i="94"/>
  <c r="Q21" i="94"/>
  <c r="Q20" i="94"/>
  <c r="M18" i="115"/>
  <c r="M19" i="115" s="1"/>
  <c r="M20" i="115" s="1"/>
  <c r="M21" i="115" s="1"/>
  <c r="M22" i="115" s="1"/>
  <c r="M23" i="115" s="1"/>
  <c r="M24" i="115" s="1"/>
  <c r="M25" i="115" s="1"/>
  <c r="M26" i="115" s="1"/>
  <c r="A18" i="115"/>
  <c r="A19" i="115" s="1"/>
  <c r="A20" i="115" s="1"/>
  <c r="A21" i="115" s="1"/>
  <c r="A22" i="115" s="1"/>
  <c r="A23" i="115" s="1"/>
  <c r="A24" i="115" s="1"/>
  <c r="A25" i="115" s="1"/>
  <c r="A26" i="115" s="1"/>
  <c r="Q14" i="115"/>
  <c r="S14" i="115" s="1"/>
  <c r="U14" i="115" s="1"/>
  <c r="W14" i="115" s="1"/>
  <c r="Y14" i="115" s="1"/>
  <c r="AA14" i="115" s="1"/>
  <c r="A37" i="111"/>
  <c r="A38" i="111" s="1"/>
  <c r="A39" i="111" s="1"/>
  <c r="A40" i="111" s="1"/>
  <c r="A41" i="111" s="1"/>
  <c r="A42" i="111" s="1"/>
  <c r="A43" i="111" s="1"/>
  <c r="A44" i="111" s="1"/>
  <c r="A45" i="111" s="1"/>
  <c r="A46" i="111" s="1"/>
  <c r="A47" i="111" s="1"/>
  <c r="A48" i="111" s="1"/>
  <c r="A49" i="111" s="1"/>
  <c r="A50" i="111" s="1"/>
  <c r="Q52" i="111"/>
  <c r="G33" i="90" l="1"/>
  <c r="S33" i="90" s="1"/>
  <c r="G34" i="90"/>
  <c r="S34" i="90" s="1"/>
  <c r="G32" i="90"/>
  <c r="S32" i="90" s="1"/>
  <c r="G38" i="90"/>
  <c r="S38" i="90" s="1"/>
  <c r="G36" i="90"/>
  <c r="S36" i="90" s="1"/>
  <c r="A41" i="118"/>
  <c r="A59" i="118"/>
  <c r="W39" i="85"/>
  <c r="W32" i="85"/>
  <c r="W33" i="85"/>
  <c r="W34" i="85"/>
  <c r="I21" i="111"/>
  <c r="I20" i="111"/>
  <c r="I18" i="111"/>
  <c r="G33" i="111"/>
  <c r="I19" i="111"/>
  <c r="AC14" i="115"/>
  <c r="I29" i="111"/>
  <c r="I28" i="111"/>
  <c r="I30" i="111"/>
  <c r="I22" i="111"/>
  <c r="I23" i="111"/>
  <c r="I24" i="111"/>
  <c r="I25" i="111"/>
  <c r="I26" i="111"/>
  <c r="I27" i="111"/>
  <c r="G52" i="111"/>
  <c r="G39" i="90"/>
  <c r="K38" i="85"/>
  <c r="K35" i="85"/>
  <c r="K36" i="85"/>
  <c r="K31" i="85"/>
  <c r="G31" i="95" s="1"/>
  <c r="W52" i="111"/>
  <c r="S52" i="111"/>
  <c r="G34" i="95" l="1"/>
  <c r="G33" i="95"/>
  <c r="G32" i="95"/>
  <c r="G35" i="90"/>
  <c r="S35" i="90" s="1"/>
  <c r="A42" i="118"/>
  <c r="A60" i="118"/>
  <c r="G36" i="95"/>
  <c r="W36" i="85"/>
  <c r="G39" i="95"/>
  <c r="W35" i="85"/>
  <c r="G38" i="95"/>
  <c r="W38" i="85"/>
  <c r="U52" i="111"/>
  <c r="I52" i="111"/>
  <c r="G35" i="95" l="1"/>
  <c r="A43" i="118"/>
  <c r="A61" i="118"/>
  <c r="S39" i="90"/>
  <c r="A44" i="118" l="1"/>
  <c r="A62" i="118"/>
  <c r="A18" i="111"/>
  <c r="A19" i="111" s="1"/>
  <c r="A20" i="111" s="1"/>
  <c r="A21" i="111" s="1"/>
  <c r="A22" i="111" s="1"/>
  <c r="A23" i="111" s="1"/>
  <c r="A24" i="111" s="1"/>
  <c r="A25" i="111" s="1"/>
  <c r="A26" i="111" s="1"/>
  <c r="A27" i="111" s="1"/>
  <c r="A28" i="111" s="1"/>
  <c r="A29" i="111" s="1"/>
  <c r="A30" i="111" s="1"/>
  <c r="A31" i="111" s="1"/>
  <c r="C14" i="111"/>
  <c r="G14" i="111" s="1"/>
  <c r="I14" i="111" s="1"/>
  <c r="M14" i="111" s="1"/>
  <c r="O14" i="111" s="1"/>
  <c r="Q14" i="111" s="1"/>
  <c r="S14" i="111" s="1"/>
  <c r="U14" i="111" s="1"/>
  <c r="W14" i="111" s="1"/>
  <c r="Y14" i="111" s="1"/>
  <c r="AA14" i="111" s="1"/>
  <c r="AC14" i="111" s="1"/>
  <c r="AE14" i="111" s="1"/>
  <c r="AG14" i="111" s="1"/>
  <c r="AH14" i="111" s="1"/>
  <c r="AA19" i="94"/>
  <c r="AC19" i="94" s="1"/>
  <c r="BF70" i="92"/>
  <c r="BE70" i="92"/>
  <c r="BD70" i="92"/>
  <c r="BC70" i="92"/>
  <c r="BB70" i="92"/>
  <c r="AY70" i="92"/>
  <c r="AX70" i="92"/>
  <c r="AV70" i="92"/>
  <c r="AU70" i="92"/>
  <c r="AR70" i="92"/>
  <c r="AQ70" i="92"/>
  <c r="AO70" i="92"/>
  <c r="AN70" i="92"/>
  <c r="BQ60" i="92"/>
  <c r="BQ61" i="92" s="1"/>
  <c r="BQ62" i="92" s="1"/>
  <c r="BQ63" i="92" s="1"/>
  <c r="BQ64" i="92" s="1"/>
  <c r="BQ65" i="92" s="1"/>
  <c r="BQ66" i="92" s="1"/>
  <c r="BQ67" i="92" s="1"/>
  <c r="BQ68" i="92" s="1"/>
  <c r="BA60" i="92"/>
  <c r="BA61" i="92" s="1"/>
  <c r="BA62" i="92" s="1"/>
  <c r="BA63" i="92" s="1"/>
  <c r="BA64" i="92" s="1"/>
  <c r="BA65" i="92" s="1"/>
  <c r="BA66" i="92" s="1"/>
  <c r="BA67" i="92" s="1"/>
  <c r="BA68" i="92" s="1"/>
  <c r="AT60" i="92"/>
  <c r="AT61" i="92" s="1"/>
  <c r="AT62" i="92" s="1"/>
  <c r="AT63" i="92" s="1"/>
  <c r="AT64" i="92" s="1"/>
  <c r="AT65" i="92" s="1"/>
  <c r="AT66" i="92" s="1"/>
  <c r="AT67" i="92" s="1"/>
  <c r="AT68" i="92" s="1"/>
  <c r="AM60" i="92"/>
  <c r="AM61" i="92" s="1"/>
  <c r="AM62" i="92" s="1"/>
  <c r="AM63" i="92" s="1"/>
  <c r="AM64" i="92" s="1"/>
  <c r="AM65" i="92" s="1"/>
  <c r="AM66" i="92" s="1"/>
  <c r="AM67" i="92" s="1"/>
  <c r="AM68" i="92" s="1"/>
  <c r="A60" i="92"/>
  <c r="A61" i="92" s="1"/>
  <c r="A62" i="92" s="1"/>
  <c r="A63" i="92" s="1"/>
  <c r="A64" i="92" s="1"/>
  <c r="A65" i="92" s="1"/>
  <c r="A66" i="92" s="1"/>
  <c r="A67" i="92" s="1"/>
  <c r="A68" i="92" s="1"/>
  <c r="BF56" i="92"/>
  <c r="BE56" i="92"/>
  <c r="BD56" i="92"/>
  <c r="BC56" i="92"/>
  <c r="BB56" i="92"/>
  <c r="AY56" i="92"/>
  <c r="AX56" i="92"/>
  <c r="AW56" i="92"/>
  <c r="AV56" i="92"/>
  <c r="AU56" i="92"/>
  <c r="AR56" i="92"/>
  <c r="AQ56" i="92"/>
  <c r="AP56" i="92"/>
  <c r="AO56" i="92"/>
  <c r="AN56" i="92"/>
  <c r="BQ46" i="92"/>
  <c r="BQ47" i="92" s="1"/>
  <c r="BQ48" i="92" s="1"/>
  <c r="BQ49" i="92" s="1"/>
  <c r="BQ50" i="92" s="1"/>
  <c r="BQ51" i="92" s="1"/>
  <c r="BQ52" i="92" s="1"/>
  <c r="BQ53" i="92" s="1"/>
  <c r="BQ54" i="92" s="1"/>
  <c r="BA46" i="92"/>
  <c r="BA47" i="92" s="1"/>
  <c r="BA48" i="92" s="1"/>
  <c r="BA49" i="92" s="1"/>
  <c r="BA50" i="92" s="1"/>
  <c r="BA51" i="92" s="1"/>
  <c r="BA52" i="92" s="1"/>
  <c r="BA53" i="92" s="1"/>
  <c r="BA54" i="92" s="1"/>
  <c r="AT46" i="92"/>
  <c r="AT47" i="92" s="1"/>
  <c r="AT48" i="92" s="1"/>
  <c r="AT49" i="92" s="1"/>
  <c r="AT50" i="92" s="1"/>
  <c r="AT51" i="92" s="1"/>
  <c r="AT52" i="92" s="1"/>
  <c r="AT53" i="92" s="1"/>
  <c r="AT54" i="92" s="1"/>
  <c r="AM46" i="92"/>
  <c r="AM47" i="92" s="1"/>
  <c r="AM48" i="92" s="1"/>
  <c r="AM49" i="92" s="1"/>
  <c r="AM50" i="92" s="1"/>
  <c r="AM51" i="92" s="1"/>
  <c r="AM52" i="92" s="1"/>
  <c r="AM53" i="92" s="1"/>
  <c r="AM54" i="92" s="1"/>
  <c r="A46" i="92"/>
  <c r="A47" i="92" s="1"/>
  <c r="A48" i="92" s="1"/>
  <c r="A49" i="92" s="1"/>
  <c r="A50" i="92" s="1"/>
  <c r="A51" i="92" s="1"/>
  <c r="A52" i="92" s="1"/>
  <c r="A53" i="92" s="1"/>
  <c r="A54" i="92" s="1"/>
  <c r="BF42" i="92"/>
  <c r="BE42" i="92"/>
  <c r="BD42" i="92"/>
  <c r="BC42" i="92"/>
  <c r="BB42" i="92"/>
  <c r="AY42" i="92"/>
  <c r="AX42" i="92"/>
  <c r="AW42" i="92"/>
  <c r="AV42" i="92"/>
  <c r="AU42" i="92"/>
  <c r="AR42" i="92"/>
  <c r="AQ42" i="92"/>
  <c r="AP42" i="92"/>
  <c r="AO42" i="92"/>
  <c r="AN42" i="92"/>
  <c r="BQ32" i="92"/>
  <c r="BQ33" i="92" s="1"/>
  <c r="BQ34" i="92" s="1"/>
  <c r="BQ35" i="92" s="1"/>
  <c r="BQ36" i="92" s="1"/>
  <c r="BQ37" i="92" s="1"/>
  <c r="BQ38" i="92" s="1"/>
  <c r="BQ39" i="92" s="1"/>
  <c r="BQ40" i="92" s="1"/>
  <c r="BA32" i="92"/>
  <c r="BA33" i="92" s="1"/>
  <c r="BA34" i="92" s="1"/>
  <c r="BA35" i="92" s="1"/>
  <c r="BA36" i="92" s="1"/>
  <c r="BA37" i="92" s="1"/>
  <c r="BA38" i="92" s="1"/>
  <c r="BA39" i="92" s="1"/>
  <c r="BA40" i="92" s="1"/>
  <c r="AT32" i="92"/>
  <c r="AT33" i="92" s="1"/>
  <c r="AT34" i="92" s="1"/>
  <c r="AT35" i="92" s="1"/>
  <c r="AT36" i="92" s="1"/>
  <c r="AT37" i="92" s="1"/>
  <c r="AT38" i="92" s="1"/>
  <c r="AT39" i="92" s="1"/>
  <c r="AT40" i="92" s="1"/>
  <c r="AM32" i="92"/>
  <c r="AM33" i="92" s="1"/>
  <c r="AM34" i="92" s="1"/>
  <c r="AM35" i="92" s="1"/>
  <c r="AM36" i="92" s="1"/>
  <c r="AM37" i="92" s="1"/>
  <c r="AM38" i="92" s="1"/>
  <c r="AM39" i="92" s="1"/>
  <c r="AM40" i="92" s="1"/>
  <c r="A32" i="92"/>
  <c r="A33" i="92" s="1"/>
  <c r="A34" i="92" s="1"/>
  <c r="A35" i="92" s="1"/>
  <c r="A36" i="92" s="1"/>
  <c r="A37" i="92" s="1"/>
  <c r="A38" i="92" s="1"/>
  <c r="A39" i="92" s="1"/>
  <c r="A40" i="92" s="1"/>
  <c r="O64" i="92"/>
  <c r="O62" i="92"/>
  <c r="BQ18" i="92"/>
  <c r="BQ19" i="92" s="1"/>
  <c r="BQ20" i="92" s="1"/>
  <c r="BQ21" i="92" s="1"/>
  <c r="BQ22" i="92" s="1"/>
  <c r="BQ23" i="92" s="1"/>
  <c r="BQ24" i="92" s="1"/>
  <c r="BQ25" i="92" s="1"/>
  <c r="BQ26" i="92" s="1"/>
  <c r="A18" i="92"/>
  <c r="A19" i="92" s="1"/>
  <c r="A20" i="92" s="1"/>
  <c r="A21" i="92" s="1"/>
  <c r="A22" i="92" s="1"/>
  <c r="A23" i="92" s="1"/>
  <c r="A24" i="92" s="1"/>
  <c r="A25" i="92" s="1"/>
  <c r="A26" i="92" s="1"/>
  <c r="G53" i="99"/>
  <c r="G52" i="99"/>
  <c r="G51" i="99"/>
  <c r="G50" i="99"/>
  <c r="G49" i="99"/>
  <c r="G48" i="99"/>
  <c r="G47" i="99"/>
  <c r="G46" i="99"/>
  <c r="G45" i="99"/>
  <c r="G39" i="99"/>
  <c r="G38" i="99"/>
  <c r="G37" i="99"/>
  <c r="G36" i="99"/>
  <c r="G35" i="99"/>
  <c r="G34" i="99"/>
  <c r="G33" i="99"/>
  <c r="G32" i="99"/>
  <c r="G31" i="99"/>
  <c r="E53" i="99"/>
  <c r="E52" i="99"/>
  <c r="E51" i="99"/>
  <c r="E50" i="99"/>
  <c r="E49" i="99"/>
  <c r="E48" i="99"/>
  <c r="E47" i="99"/>
  <c r="E46" i="99"/>
  <c r="E45" i="99"/>
  <c r="E39" i="99"/>
  <c r="E38" i="99"/>
  <c r="E36" i="99"/>
  <c r="E33" i="99"/>
  <c r="E32" i="99"/>
  <c r="E31" i="99"/>
  <c r="AJ14" i="111" l="1"/>
  <c r="AK14" i="111" s="1"/>
  <c r="AL14" i="111" s="1"/>
  <c r="AM14" i="111" s="1"/>
  <c r="AN14" i="111" s="1"/>
  <c r="AO14" i="111" s="1"/>
  <c r="AP14" i="111" s="1"/>
  <c r="A45" i="118"/>
  <c r="A63" i="118"/>
  <c r="Q67" i="92"/>
  <c r="O59" i="92"/>
  <c r="O56" i="92"/>
  <c r="O61" i="92"/>
  <c r="O67" i="92"/>
  <c r="S56" i="92"/>
  <c r="O60" i="92"/>
  <c r="O66" i="92"/>
  <c r="Q63" i="92"/>
  <c r="O63" i="92"/>
  <c r="AA60" i="84"/>
  <c r="AA61" i="84" s="1"/>
  <c r="AA62" i="84" s="1"/>
  <c r="AA63" i="84" s="1"/>
  <c r="AA64" i="84" s="1"/>
  <c r="AA65" i="84" s="1"/>
  <c r="AA66" i="84" s="1"/>
  <c r="AA67" i="84" s="1"/>
  <c r="AA68" i="84" s="1"/>
  <c r="A60" i="84"/>
  <c r="A61" i="84" s="1"/>
  <c r="A62" i="84" s="1"/>
  <c r="A63" i="84" s="1"/>
  <c r="A64" i="84" s="1"/>
  <c r="A65" i="84" s="1"/>
  <c r="A66" i="84" s="1"/>
  <c r="A67" i="84" s="1"/>
  <c r="A68" i="84" s="1"/>
  <c r="AF56" i="84"/>
  <c r="AE56" i="84"/>
  <c r="AC56" i="84"/>
  <c r="AB56" i="84"/>
  <c r="M56" i="84"/>
  <c r="AA46" i="84"/>
  <c r="AA47" i="84" s="1"/>
  <c r="AA48" i="84" s="1"/>
  <c r="AA49" i="84" s="1"/>
  <c r="AA50" i="84" s="1"/>
  <c r="AA51" i="84" s="1"/>
  <c r="AA52" i="84" s="1"/>
  <c r="AA53" i="84" s="1"/>
  <c r="AA54" i="84" s="1"/>
  <c r="A46" i="84"/>
  <c r="A47" i="84" s="1"/>
  <c r="A48" i="84" s="1"/>
  <c r="A49" i="84" s="1"/>
  <c r="A50" i="84" s="1"/>
  <c r="A51" i="84" s="1"/>
  <c r="A52" i="84" s="1"/>
  <c r="A53" i="84" s="1"/>
  <c r="A54" i="84" s="1"/>
  <c r="M61" i="84"/>
  <c r="A32" i="84"/>
  <c r="A33" i="84" s="1"/>
  <c r="A34" i="84" s="1"/>
  <c r="A35" i="84" s="1"/>
  <c r="A36" i="84" s="1"/>
  <c r="A37" i="84" s="1"/>
  <c r="A38" i="84" s="1"/>
  <c r="A39" i="84" s="1"/>
  <c r="A40" i="84" s="1"/>
  <c r="M62" i="84"/>
  <c r="M60" i="84"/>
  <c r="A18" i="84"/>
  <c r="A19" i="84" s="1"/>
  <c r="A20" i="84" s="1"/>
  <c r="A21" i="84" s="1"/>
  <c r="A22" i="84" s="1"/>
  <c r="A23" i="84" s="1"/>
  <c r="A24" i="84" s="1"/>
  <c r="A25" i="84" s="1"/>
  <c r="A26" i="84" s="1"/>
  <c r="M59" i="84"/>
  <c r="W27" i="94"/>
  <c r="W26" i="94"/>
  <c r="W24" i="94"/>
  <c r="W23" i="94"/>
  <c r="W22" i="94"/>
  <c r="W21" i="94"/>
  <c r="W20" i="94"/>
  <c r="Q16" i="94"/>
  <c r="S16" i="94" s="1"/>
  <c r="U16" i="94" s="1"/>
  <c r="W16" i="94" s="1"/>
  <c r="Y16" i="94" s="1"/>
  <c r="AA16" i="94" s="1"/>
  <c r="AC16" i="94" s="1"/>
  <c r="AE16" i="94" s="1"/>
  <c r="O42" i="94"/>
  <c r="M46" i="94"/>
  <c r="M47" i="94" s="1"/>
  <c r="M48" i="94" s="1"/>
  <c r="M49" i="94" s="1"/>
  <c r="M50" i="94" s="1"/>
  <c r="M51" i="94" s="1"/>
  <c r="M52" i="94" s="1"/>
  <c r="M53" i="94" s="1"/>
  <c r="A46" i="94"/>
  <c r="A47" i="94" s="1"/>
  <c r="A48" i="94" s="1"/>
  <c r="A49" i="94" s="1"/>
  <c r="A50" i="94" s="1"/>
  <c r="A51" i="94" s="1"/>
  <c r="A52" i="94" s="1"/>
  <c r="A53" i="94" s="1"/>
  <c r="Q42" i="94"/>
  <c r="E42" i="94"/>
  <c r="M33" i="94"/>
  <c r="M34" i="94" s="1"/>
  <c r="M35" i="94" s="1"/>
  <c r="M36" i="94" s="1"/>
  <c r="M37" i="94" s="1"/>
  <c r="M38" i="94" s="1"/>
  <c r="M39" i="94" s="1"/>
  <c r="M40" i="94" s="1"/>
  <c r="A33" i="94"/>
  <c r="A34" i="94" s="1"/>
  <c r="A35" i="94" s="1"/>
  <c r="A36" i="94" s="1"/>
  <c r="A37" i="94" s="1"/>
  <c r="A38" i="94" s="1"/>
  <c r="A39" i="94" s="1"/>
  <c r="A40" i="94" s="1"/>
  <c r="Y27" i="94"/>
  <c r="Y26" i="94"/>
  <c r="Y25" i="94"/>
  <c r="Y24" i="94"/>
  <c r="Y23" i="94"/>
  <c r="Y22" i="94"/>
  <c r="Y21" i="94"/>
  <c r="Y20" i="94"/>
  <c r="M20" i="94"/>
  <c r="M21" i="94" s="1"/>
  <c r="M22" i="94" s="1"/>
  <c r="M23" i="94" s="1"/>
  <c r="M24" i="94" s="1"/>
  <c r="M25" i="94" s="1"/>
  <c r="M26" i="94" s="1"/>
  <c r="M27" i="94" s="1"/>
  <c r="A20" i="94"/>
  <c r="A21" i="94" s="1"/>
  <c r="A22" i="94" s="1"/>
  <c r="A23" i="94" s="1"/>
  <c r="A24" i="94" s="1"/>
  <c r="A25" i="94" s="1"/>
  <c r="A26" i="94" s="1"/>
  <c r="A27" i="94" s="1"/>
  <c r="Y19" i="94"/>
  <c r="A46" i="118" l="1"/>
  <c r="A64" i="118"/>
  <c r="Y29" i="94"/>
  <c r="Q56" i="92"/>
  <c r="Q66" i="92"/>
  <c r="Q64" i="92"/>
  <c r="Q62" i="92"/>
  <c r="O42" i="84"/>
  <c r="U56" i="92"/>
  <c r="Q61" i="92"/>
  <c r="Q60" i="92"/>
  <c r="M42" i="84"/>
  <c r="M67" i="84"/>
  <c r="M66" i="84"/>
  <c r="M64" i="84"/>
  <c r="M63" i="84"/>
  <c r="U42" i="94"/>
  <c r="A47" i="118" l="1"/>
  <c r="A65" i="118"/>
  <c r="A48" i="118" l="1"/>
  <c r="A66" i="118"/>
  <c r="AF28" i="110"/>
  <c r="AJ28" i="110"/>
  <c r="AH28" i="110"/>
  <c r="R28" i="110"/>
  <c r="P28" i="110"/>
  <c r="A49" i="118" l="1"/>
  <c r="A67" i="118"/>
  <c r="AD28" i="110"/>
  <c r="A50" i="118" l="1"/>
  <c r="A69" i="118" s="1"/>
  <c r="A68" i="118"/>
  <c r="P14" i="110" l="1"/>
  <c r="R14" i="110" s="1"/>
  <c r="T14" i="110" s="1"/>
  <c r="V14" i="110" s="1"/>
  <c r="Z14" i="110" s="1"/>
  <c r="AB14" i="110" s="1"/>
  <c r="AD14" i="110" s="1"/>
  <c r="AF14" i="110" s="1"/>
  <c r="AH14" i="110" s="1"/>
  <c r="AJ14" i="110" s="1"/>
  <c r="AL14" i="110" s="1"/>
  <c r="AN14" i="110" l="1"/>
  <c r="AP14" i="110" s="1"/>
  <c r="AR14" i="110" s="1"/>
  <c r="AT14" i="110" l="1"/>
  <c r="AV14" i="110" s="1"/>
  <c r="M67" i="87"/>
  <c r="K25" i="85" s="1"/>
  <c r="M66" i="87"/>
  <c r="K24" i="85" s="1"/>
  <c r="M64" i="87"/>
  <c r="K22" i="85" s="1"/>
  <c r="M63" i="87"/>
  <c r="K21" i="85" s="1"/>
  <c r="M62" i="87"/>
  <c r="K20" i="85" s="1"/>
  <c r="M61" i="87"/>
  <c r="K19" i="85" s="1"/>
  <c r="M60" i="87"/>
  <c r="K18" i="85" s="1"/>
  <c r="M59" i="87"/>
  <c r="K17" i="85" s="1"/>
  <c r="G17" i="95" s="1"/>
  <c r="M56" i="87"/>
  <c r="M42" i="87"/>
  <c r="M65" i="87"/>
  <c r="K23" i="85" s="1"/>
  <c r="AD70" i="87"/>
  <c r="AC70" i="87"/>
  <c r="AB70" i="87"/>
  <c r="AA70" i="87"/>
  <c r="Z70" i="87"/>
  <c r="Y60" i="87"/>
  <c r="Y61" i="87" s="1"/>
  <c r="Y62" i="87" s="1"/>
  <c r="Y63" i="87" s="1"/>
  <c r="Y64" i="87" s="1"/>
  <c r="Y65" i="87" s="1"/>
  <c r="Y66" i="87" s="1"/>
  <c r="Y67" i="87" s="1"/>
  <c r="Y68" i="87" s="1"/>
  <c r="AD56" i="87"/>
  <c r="AC56" i="87"/>
  <c r="AB56" i="87"/>
  <c r="AA56" i="87"/>
  <c r="Z56" i="87"/>
  <c r="Y46" i="87"/>
  <c r="Y47" i="87" s="1"/>
  <c r="Y48" i="87" s="1"/>
  <c r="Y49" i="87" s="1"/>
  <c r="Y50" i="87" s="1"/>
  <c r="Y51" i="87" s="1"/>
  <c r="Y52" i="87" s="1"/>
  <c r="Y53" i="87" s="1"/>
  <c r="Y54" i="87" s="1"/>
  <c r="Y32" i="87"/>
  <c r="Y33" i="87" s="1"/>
  <c r="Y34" i="87" s="1"/>
  <c r="Y35" i="87" s="1"/>
  <c r="Y36" i="87" s="1"/>
  <c r="Y37" i="87" s="1"/>
  <c r="Y38" i="87" s="1"/>
  <c r="Y39" i="87" s="1"/>
  <c r="Y40" i="87" s="1"/>
  <c r="AD28" i="87"/>
  <c r="AC28" i="87"/>
  <c r="AB28" i="87"/>
  <c r="Z28" i="87"/>
  <c r="Y18" i="87"/>
  <c r="Y19" i="87" s="1"/>
  <c r="Y20" i="87" s="1"/>
  <c r="Y21" i="87" s="1"/>
  <c r="Y22" i="87" s="1"/>
  <c r="Y23" i="87" s="1"/>
  <c r="Y24" i="87" s="1"/>
  <c r="Y25" i="87" s="1"/>
  <c r="Y26" i="87" s="1"/>
  <c r="M46" i="92"/>
  <c r="AD73" i="87" l="1"/>
  <c r="W18" i="85"/>
  <c r="G18" i="95"/>
  <c r="W19" i="85"/>
  <c r="G19" i="95"/>
  <c r="W21" i="85"/>
  <c r="G21" i="95"/>
  <c r="S21" i="95" s="1"/>
  <c r="W23" i="85"/>
  <c r="W22" i="85"/>
  <c r="G22" i="95"/>
  <c r="U22" i="130"/>
  <c r="W24" i="85"/>
  <c r="G24" i="95"/>
  <c r="W20" i="85"/>
  <c r="W25" i="85"/>
  <c r="G25" i="95"/>
  <c r="T19" i="131"/>
  <c r="E45" i="131" s="1"/>
  <c r="T20" i="131"/>
  <c r="E46" i="131" s="1"/>
  <c r="T21" i="131"/>
  <c r="E47" i="131" s="1"/>
  <c r="T22" i="131"/>
  <c r="T24" i="131"/>
  <c r="T26" i="131"/>
  <c r="T25" i="131"/>
  <c r="T27" i="131"/>
  <c r="T23" i="131"/>
  <c r="Z82" i="87"/>
  <c r="AA82" i="87" s="1"/>
  <c r="H39" i="127"/>
  <c r="K39" i="127"/>
  <c r="G39" i="127"/>
  <c r="E79" i="127"/>
  <c r="E85" i="127" s="1"/>
  <c r="E45" i="127"/>
  <c r="O59" i="87"/>
  <c r="I17" i="85" s="1"/>
  <c r="E17" i="95" s="1"/>
  <c r="O62" i="87"/>
  <c r="I20" i="85" s="1"/>
  <c r="O64" i="87"/>
  <c r="I22" i="85" s="1"/>
  <c r="O60" i="87"/>
  <c r="I18" i="85" s="1"/>
  <c r="O63" i="87"/>
  <c r="I21" i="85" s="1"/>
  <c r="O61" i="87"/>
  <c r="I19" i="85" s="1"/>
  <c r="G24" i="99"/>
  <c r="G66" i="99" s="1"/>
  <c r="G20" i="99"/>
  <c r="G62" i="99" s="1"/>
  <c r="G25" i="99"/>
  <c r="G67" i="99" s="1"/>
  <c r="G21" i="99"/>
  <c r="G63" i="99" s="1"/>
  <c r="G22" i="99"/>
  <c r="G64" i="99" s="1"/>
  <c r="G18" i="99"/>
  <c r="G60" i="99" s="1"/>
  <c r="O66" i="87"/>
  <c r="I24" i="85" s="1"/>
  <c r="G19" i="99"/>
  <c r="G61" i="99" s="1"/>
  <c r="O67" i="87"/>
  <c r="I25" i="85" s="1"/>
  <c r="M28" i="87"/>
  <c r="E42" i="117"/>
  <c r="M70" i="87"/>
  <c r="O56" i="87"/>
  <c r="O42" i="87"/>
  <c r="E21" i="99"/>
  <c r="E63" i="99" s="1"/>
  <c r="BJ70" i="91"/>
  <c r="BI70" i="91"/>
  <c r="BH70" i="91"/>
  <c r="BG70" i="91"/>
  <c r="BF70" i="91"/>
  <c r="BE60" i="91"/>
  <c r="BE61" i="91" s="1"/>
  <c r="BE62" i="91" s="1"/>
  <c r="BE63" i="91" s="1"/>
  <c r="BE64" i="91" s="1"/>
  <c r="BE65" i="91" s="1"/>
  <c r="BE66" i="91" s="1"/>
  <c r="BE67" i="91" s="1"/>
  <c r="BE68" i="91" s="1"/>
  <c r="BJ56" i="91"/>
  <c r="BI56" i="91"/>
  <c r="BH56" i="91"/>
  <c r="BG56" i="91"/>
  <c r="BF56" i="91"/>
  <c r="BE46" i="91"/>
  <c r="BE47" i="91" s="1"/>
  <c r="BE48" i="91" s="1"/>
  <c r="BE49" i="91" s="1"/>
  <c r="BE50" i="91" s="1"/>
  <c r="BE51" i="91" s="1"/>
  <c r="BE52" i="91" s="1"/>
  <c r="BE53" i="91" s="1"/>
  <c r="BE54" i="91" s="1"/>
  <c r="BJ42" i="91"/>
  <c r="BI42" i="91"/>
  <c r="BH42" i="91"/>
  <c r="BG42" i="91"/>
  <c r="BF42" i="91"/>
  <c r="BE32" i="91"/>
  <c r="BE33" i="91" s="1"/>
  <c r="BE34" i="91" s="1"/>
  <c r="BE35" i="91" s="1"/>
  <c r="BE36" i="91" s="1"/>
  <c r="BE37" i="91" s="1"/>
  <c r="BE38" i="91" s="1"/>
  <c r="BE39" i="91" s="1"/>
  <c r="BE40" i="91" s="1"/>
  <c r="BJ28" i="91"/>
  <c r="BI28" i="91"/>
  <c r="BH28" i="91"/>
  <c r="BG28" i="91"/>
  <c r="BF28" i="91"/>
  <c r="BE18" i="91"/>
  <c r="BE19" i="91" s="1"/>
  <c r="BE20" i="91" s="1"/>
  <c r="BE21" i="91" s="1"/>
  <c r="BE22" i="91" s="1"/>
  <c r="BE23" i="91" s="1"/>
  <c r="BE24" i="91" s="1"/>
  <c r="BE25" i="91" s="1"/>
  <c r="BE26" i="91" s="1"/>
  <c r="BB70" i="91"/>
  <c r="BA70" i="91"/>
  <c r="AZ70" i="91"/>
  <c r="AY70" i="91"/>
  <c r="AT70" i="91"/>
  <c r="AS70" i="91"/>
  <c r="AR70" i="91"/>
  <c r="AQ70" i="91"/>
  <c r="AP70" i="91"/>
  <c r="BB56" i="91"/>
  <c r="BA56" i="91"/>
  <c r="AZ56" i="91"/>
  <c r="AY56" i="91"/>
  <c r="AX56" i="91"/>
  <c r="AS56" i="91"/>
  <c r="AQ56" i="91"/>
  <c r="AP56" i="91"/>
  <c r="AT42" i="91"/>
  <c r="AS42" i="91"/>
  <c r="AR42" i="91"/>
  <c r="AQ42" i="91"/>
  <c r="AP42" i="91"/>
  <c r="BB42" i="91"/>
  <c r="BA42" i="91"/>
  <c r="AZ42" i="91"/>
  <c r="AY42" i="91"/>
  <c r="AX42" i="91"/>
  <c r="AW60" i="91"/>
  <c r="AW61" i="91" s="1"/>
  <c r="AW62" i="91" s="1"/>
  <c r="AW63" i="91" s="1"/>
  <c r="AW64" i="91" s="1"/>
  <c r="AW65" i="91" s="1"/>
  <c r="AW66" i="91" s="1"/>
  <c r="AW67" i="91" s="1"/>
  <c r="AW46" i="91"/>
  <c r="AW47" i="91" s="1"/>
  <c r="AW48" i="91" s="1"/>
  <c r="AW49" i="91" s="1"/>
  <c r="AW50" i="91" s="1"/>
  <c r="AW51" i="91" s="1"/>
  <c r="AW52" i="91" s="1"/>
  <c r="AW53" i="91" s="1"/>
  <c r="AW54" i="91" s="1"/>
  <c r="AW32" i="91"/>
  <c r="AW33" i="91" s="1"/>
  <c r="AW34" i="91" s="1"/>
  <c r="AW35" i="91" s="1"/>
  <c r="AW36" i="91" s="1"/>
  <c r="AW37" i="91" s="1"/>
  <c r="AW38" i="91" s="1"/>
  <c r="AW39" i="91" s="1"/>
  <c r="AW40" i="91" s="1"/>
  <c r="BB28" i="91"/>
  <c r="BA28" i="91"/>
  <c r="AZ28" i="91"/>
  <c r="AY28" i="91"/>
  <c r="AX28" i="91"/>
  <c r="AW18" i="91"/>
  <c r="AW19" i="91" s="1"/>
  <c r="AW20" i="91" s="1"/>
  <c r="AW21" i="91" s="1"/>
  <c r="AW22" i="91" s="1"/>
  <c r="AW23" i="91" s="1"/>
  <c r="AW24" i="91" s="1"/>
  <c r="AW25" i="91" s="1"/>
  <c r="AW26" i="91" s="1"/>
  <c r="AO60" i="91"/>
  <c r="AO61" i="91" s="1"/>
  <c r="AO62" i="91" s="1"/>
  <c r="AO63" i="91" s="1"/>
  <c r="AO64" i="91" s="1"/>
  <c r="AO65" i="91" s="1"/>
  <c r="AO66" i="91" s="1"/>
  <c r="AO67" i="91" s="1"/>
  <c r="AO68" i="91" s="1"/>
  <c r="AO46" i="91"/>
  <c r="AO47" i="91" s="1"/>
  <c r="AO48" i="91" s="1"/>
  <c r="AO49" i="91" s="1"/>
  <c r="AO50" i="91" s="1"/>
  <c r="AO51" i="91" s="1"/>
  <c r="AO52" i="91" s="1"/>
  <c r="AO53" i="91" s="1"/>
  <c r="AO54" i="91" s="1"/>
  <c r="AO32" i="91"/>
  <c r="AO33" i="91" s="1"/>
  <c r="AO34" i="91" s="1"/>
  <c r="AO35" i="91" s="1"/>
  <c r="AO36" i="91" s="1"/>
  <c r="AO37" i="91" s="1"/>
  <c r="AO38" i="91" s="1"/>
  <c r="AO39" i="91" s="1"/>
  <c r="AO40" i="91" s="1"/>
  <c r="AO18" i="91"/>
  <c r="AO19" i="91" s="1"/>
  <c r="AO20" i="91" s="1"/>
  <c r="AO21" i="91" s="1"/>
  <c r="AO22" i="91" s="1"/>
  <c r="AO23" i="91" s="1"/>
  <c r="AO24" i="91" s="1"/>
  <c r="AO25" i="91" s="1"/>
  <c r="AO26" i="91" s="1"/>
  <c r="AT28" i="91"/>
  <c r="AS28" i="91"/>
  <c r="AR28" i="91"/>
  <c r="AQ28" i="91"/>
  <c r="AP28" i="91"/>
  <c r="AP14" i="91"/>
  <c r="AQ14" i="91" s="1"/>
  <c r="AR14" i="91" s="1"/>
  <c r="AS14" i="91" s="1"/>
  <c r="AT14" i="91" s="1"/>
  <c r="E22" i="98" l="1"/>
  <c r="E50" i="131"/>
  <c r="E24" i="98"/>
  <c r="E52" i="131"/>
  <c r="E21" i="98"/>
  <c r="E49" i="131"/>
  <c r="E25" i="98"/>
  <c r="E53" i="131"/>
  <c r="T31" i="131"/>
  <c r="T33" i="131" s="1"/>
  <c r="E72" i="116"/>
  <c r="AA72" i="87"/>
  <c r="AG21" i="131"/>
  <c r="E19" i="98"/>
  <c r="E18" i="98"/>
  <c r="E17" i="98"/>
  <c r="AG19" i="131"/>
  <c r="AG20" i="131"/>
  <c r="U21" i="85"/>
  <c r="E21" i="95"/>
  <c r="U24" i="85"/>
  <c r="E24" i="95"/>
  <c r="U18" i="85"/>
  <c r="E18" i="95"/>
  <c r="J9" i="135"/>
  <c r="J11" i="135" s="1"/>
  <c r="U22" i="85"/>
  <c r="E22" i="95"/>
  <c r="U25" i="85"/>
  <c r="E25" i="95"/>
  <c r="U19" i="85"/>
  <c r="E19" i="95"/>
  <c r="U20" i="85"/>
  <c r="E20" i="95"/>
  <c r="AG27" i="131"/>
  <c r="S22" i="95"/>
  <c r="S19" i="95"/>
  <c r="S25" i="95"/>
  <c r="W17" i="85"/>
  <c r="S18" i="95"/>
  <c r="S17" i="95"/>
  <c r="S24" i="95"/>
  <c r="U27" i="131"/>
  <c r="AG26" i="131"/>
  <c r="AG24" i="131"/>
  <c r="U21" i="131"/>
  <c r="U22" i="131"/>
  <c r="U20" i="131"/>
  <c r="U26" i="131"/>
  <c r="AP82" i="91"/>
  <c r="AQ82" i="91" s="1"/>
  <c r="U23" i="131"/>
  <c r="U19" i="131"/>
  <c r="G17" i="98" s="1"/>
  <c r="AG23" i="131"/>
  <c r="U24" i="131"/>
  <c r="G22" i="98" s="1"/>
  <c r="G79" i="127"/>
  <c r="G85" i="127" s="1"/>
  <c r="G45" i="127"/>
  <c r="K79" i="127"/>
  <c r="K85" i="127" s="1"/>
  <c r="L39" i="127"/>
  <c r="K45" i="127"/>
  <c r="H79" i="127"/>
  <c r="H45" i="127"/>
  <c r="I18" i="116"/>
  <c r="I25" i="116"/>
  <c r="I22" i="116"/>
  <c r="I20" i="116"/>
  <c r="I19" i="116"/>
  <c r="I21" i="116"/>
  <c r="I24" i="116"/>
  <c r="E45" i="123"/>
  <c r="H39" i="125"/>
  <c r="H79" i="125" s="1"/>
  <c r="E45" i="125"/>
  <c r="K39" i="125"/>
  <c r="K79" i="125" s="1"/>
  <c r="G39" i="125"/>
  <c r="G79" i="125" s="1"/>
  <c r="K39" i="126"/>
  <c r="E45" i="126"/>
  <c r="G39" i="126"/>
  <c r="H39" i="126"/>
  <c r="E28" i="116"/>
  <c r="M65" i="84"/>
  <c r="M70" i="84" s="1"/>
  <c r="M28" i="84"/>
  <c r="O65" i="87"/>
  <c r="I23" i="85" s="1"/>
  <c r="E45" i="124"/>
  <c r="E18" i="99"/>
  <c r="E60" i="99" s="1"/>
  <c r="I17" i="116"/>
  <c r="AU14" i="91"/>
  <c r="AX14" i="91" s="1"/>
  <c r="AY14" i="91" s="1"/>
  <c r="AZ14" i="91" s="1"/>
  <c r="BA14" i="91" s="1"/>
  <c r="BB14" i="91" s="1"/>
  <c r="BC14" i="91" s="1"/>
  <c r="Q22" i="130" l="1"/>
  <c r="I17" i="98"/>
  <c r="AI20" i="131"/>
  <c r="G18" i="98"/>
  <c r="AI22" i="131"/>
  <c r="G20" i="98"/>
  <c r="AI21" i="131"/>
  <c r="G19" i="98"/>
  <c r="AI27" i="131"/>
  <c r="G25" i="98"/>
  <c r="AI26" i="131"/>
  <c r="G24" i="98"/>
  <c r="AI23" i="131"/>
  <c r="G21" i="98"/>
  <c r="U23" i="85"/>
  <c r="BU73" i="91"/>
  <c r="G47" i="131"/>
  <c r="U17" i="85"/>
  <c r="G53" i="131"/>
  <c r="K79" i="126"/>
  <c r="K79" i="140" s="1"/>
  <c r="K85" i="140" s="1"/>
  <c r="K39" i="140"/>
  <c r="G79" i="126"/>
  <c r="G39" i="140"/>
  <c r="H79" i="126"/>
  <c r="H39" i="140"/>
  <c r="G52" i="131"/>
  <c r="G46" i="131"/>
  <c r="G49" i="131"/>
  <c r="BF14" i="91"/>
  <c r="BG14" i="91" s="1"/>
  <c r="BH14" i="91" s="1"/>
  <c r="BI14" i="91" s="1"/>
  <c r="AI19" i="131"/>
  <c r="G45" i="131"/>
  <c r="K119" i="127"/>
  <c r="K125" i="127" s="1"/>
  <c r="G119" i="127"/>
  <c r="G125" i="127" s="1"/>
  <c r="K37" i="85"/>
  <c r="O70" i="87"/>
  <c r="U25" i="131"/>
  <c r="U31" i="131" s="1"/>
  <c r="U33" i="131" s="1"/>
  <c r="AI24" i="131"/>
  <c r="G50" i="131"/>
  <c r="H119" i="127"/>
  <c r="H125" i="127" s="1"/>
  <c r="H85" i="127"/>
  <c r="L79" i="127"/>
  <c r="L85" i="127" s="1"/>
  <c r="L45" i="127"/>
  <c r="I34" i="116"/>
  <c r="AO34" i="116" s="1"/>
  <c r="I36" i="116"/>
  <c r="AO36" i="116" s="1"/>
  <c r="I33" i="116"/>
  <c r="AO33" i="116" s="1"/>
  <c r="I39" i="116"/>
  <c r="AO39" i="116" s="1"/>
  <c r="I35" i="116"/>
  <c r="AO35" i="116" s="1"/>
  <c r="I38" i="116"/>
  <c r="AO38" i="116" s="1"/>
  <c r="I32" i="116"/>
  <c r="AO32" i="116" s="1"/>
  <c r="G45" i="125"/>
  <c r="H45" i="125"/>
  <c r="H85" i="125"/>
  <c r="H45" i="123"/>
  <c r="H119" i="123"/>
  <c r="L39" i="126"/>
  <c r="K45" i="126"/>
  <c r="K85" i="125"/>
  <c r="K119" i="123"/>
  <c r="K125" i="123" s="1"/>
  <c r="K45" i="123"/>
  <c r="K45" i="125"/>
  <c r="L39" i="125"/>
  <c r="L79" i="125" s="1"/>
  <c r="G85" i="125"/>
  <c r="G119" i="123"/>
  <c r="G45" i="123"/>
  <c r="I23" i="116"/>
  <c r="G28" i="116"/>
  <c r="E42" i="116"/>
  <c r="W19" i="94"/>
  <c r="G17" i="99"/>
  <c r="G59" i="99" s="1"/>
  <c r="E19" i="99"/>
  <c r="E61" i="99" s="1"/>
  <c r="E22" i="99"/>
  <c r="E64" i="99" s="1"/>
  <c r="E24" i="99"/>
  <c r="E66" i="99" s="1"/>
  <c r="E20" i="99"/>
  <c r="E25" i="99"/>
  <c r="E67" i="99" s="1"/>
  <c r="E17" i="99"/>
  <c r="E59" i="99" s="1"/>
  <c r="V18" i="110"/>
  <c r="AA22" i="94"/>
  <c r="AA21" i="94"/>
  <c r="AA20" i="94"/>
  <c r="E56" i="109"/>
  <c r="O46" i="109"/>
  <c r="O47" i="109" s="1"/>
  <c r="O48" i="109" s="1"/>
  <c r="O49" i="109" s="1"/>
  <c r="O50" i="109" s="1"/>
  <c r="O51" i="109" s="1"/>
  <c r="O52" i="109" s="1"/>
  <c r="O53" i="109" s="1"/>
  <c r="O54" i="109" s="1"/>
  <c r="A46" i="109"/>
  <c r="A47" i="109" s="1"/>
  <c r="A48" i="109" s="1"/>
  <c r="A49" i="109" s="1"/>
  <c r="A50" i="109" s="1"/>
  <c r="A51" i="109" s="1"/>
  <c r="A52" i="109" s="1"/>
  <c r="A53" i="109" s="1"/>
  <c r="A54" i="109" s="1"/>
  <c r="E42" i="109"/>
  <c r="O32" i="109"/>
  <c r="O33" i="109" s="1"/>
  <c r="O34" i="109" s="1"/>
  <c r="O35" i="109" s="1"/>
  <c r="O36" i="109" s="1"/>
  <c r="O37" i="109" s="1"/>
  <c r="O38" i="109" s="1"/>
  <c r="O39" i="109" s="1"/>
  <c r="O40" i="109" s="1"/>
  <c r="A32" i="109"/>
  <c r="A33" i="109" s="1"/>
  <c r="A34" i="109" s="1"/>
  <c r="A35" i="109" s="1"/>
  <c r="A36" i="109" s="1"/>
  <c r="A37" i="109" s="1"/>
  <c r="A38" i="109" s="1"/>
  <c r="A39" i="109" s="1"/>
  <c r="A40" i="109" s="1"/>
  <c r="Q28" i="109"/>
  <c r="O18" i="109"/>
  <c r="O19" i="109" s="1"/>
  <c r="O20" i="109" s="1"/>
  <c r="O21" i="109" s="1"/>
  <c r="O22" i="109" s="1"/>
  <c r="O23" i="109" s="1"/>
  <c r="O24" i="109" s="1"/>
  <c r="O25" i="109" s="1"/>
  <c r="O26" i="109" s="1"/>
  <c r="A18" i="109"/>
  <c r="A19" i="109" s="1"/>
  <c r="A20" i="109" s="1"/>
  <c r="A21" i="109" s="1"/>
  <c r="A22" i="109" s="1"/>
  <c r="A23" i="109" s="1"/>
  <c r="A24" i="109" s="1"/>
  <c r="A25" i="109" s="1"/>
  <c r="A26" i="109" s="1"/>
  <c r="C28" i="109"/>
  <c r="G72" i="116" l="1"/>
  <c r="AB72" i="87"/>
  <c r="I61" i="116"/>
  <c r="Y86" i="116" s="1"/>
  <c r="I64" i="116"/>
  <c r="Y89" i="116" s="1"/>
  <c r="I67" i="116"/>
  <c r="I63" i="116"/>
  <c r="I60" i="116"/>
  <c r="Y85" i="116" s="1"/>
  <c r="I66" i="116"/>
  <c r="I62" i="116"/>
  <c r="Y87" i="116" s="1"/>
  <c r="BN14" i="91"/>
  <c r="BO14" i="91" s="1"/>
  <c r="BP14" i="91" s="1"/>
  <c r="BQ14" i="91" s="1"/>
  <c r="BR14" i="91" s="1"/>
  <c r="BS14" i="91" s="1"/>
  <c r="BJ14" i="91"/>
  <c r="BK14" i="91" s="1"/>
  <c r="I28" i="116"/>
  <c r="W37" i="85"/>
  <c r="K85" i="126"/>
  <c r="K127" i="126" s="1"/>
  <c r="K39" i="124"/>
  <c r="K39" i="139" s="1"/>
  <c r="K119" i="139" s="1"/>
  <c r="K125" i="139" s="1"/>
  <c r="L39" i="140"/>
  <c r="L45" i="140" s="1"/>
  <c r="H39" i="124"/>
  <c r="H79" i="140"/>
  <c r="H119" i="140" s="1"/>
  <c r="G39" i="124"/>
  <c r="G79" i="140"/>
  <c r="G119" i="140" s="1"/>
  <c r="K119" i="140"/>
  <c r="K125" i="140" s="1"/>
  <c r="K45" i="140"/>
  <c r="L119" i="127"/>
  <c r="L125" i="127" s="1"/>
  <c r="G42" i="116"/>
  <c r="E56" i="116"/>
  <c r="AA86" i="84" s="1"/>
  <c r="L79" i="126"/>
  <c r="V20" i="110"/>
  <c r="L45" i="126"/>
  <c r="V23" i="110"/>
  <c r="V25" i="110"/>
  <c r="V24" i="110"/>
  <c r="V22" i="110"/>
  <c r="AT22" i="110" s="1"/>
  <c r="V21" i="110"/>
  <c r="L85" i="125"/>
  <c r="L45" i="123"/>
  <c r="L119" i="123"/>
  <c r="L125" i="123" s="1"/>
  <c r="L45" i="125"/>
  <c r="K125" i="125"/>
  <c r="K127" i="125" s="1"/>
  <c r="H125" i="125"/>
  <c r="H127" i="125" s="1"/>
  <c r="G125" i="125"/>
  <c r="G127" i="125" s="1"/>
  <c r="I37" i="116"/>
  <c r="I65" i="116" s="1"/>
  <c r="AA27" i="94"/>
  <c r="AC27" i="94" s="1"/>
  <c r="AE27" i="94" s="1"/>
  <c r="AC21" i="94"/>
  <c r="AE21" i="94" s="1"/>
  <c r="V19" i="110"/>
  <c r="AC22" i="94"/>
  <c r="AE22" i="94" s="1"/>
  <c r="AC20" i="94"/>
  <c r="AE20" i="94" s="1"/>
  <c r="AE19" i="94"/>
  <c r="I31" i="116"/>
  <c r="C42" i="109"/>
  <c r="V50" i="27"/>
  <c r="V49" i="27"/>
  <c r="V48" i="27"/>
  <c r="V47" i="27"/>
  <c r="V46" i="27"/>
  <c r="V45" i="27"/>
  <c r="V43" i="27"/>
  <c r="V42" i="27"/>
  <c r="V41" i="27"/>
  <c r="V40" i="27"/>
  <c r="V39" i="27"/>
  <c r="V38" i="27"/>
  <c r="V37" i="27"/>
  <c r="V36" i="27"/>
  <c r="V31" i="27"/>
  <c r="V30" i="27"/>
  <c r="V29" i="27"/>
  <c r="V28" i="27"/>
  <c r="V27" i="27"/>
  <c r="V26" i="27"/>
  <c r="V25" i="27"/>
  <c r="V24" i="27"/>
  <c r="V23" i="27"/>
  <c r="V22" i="27"/>
  <c r="V21" i="27"/>
  <c r="V20" i="27"/>
  <c r="V19" i="27"/>
  <c r="V18" i="27"/>
  <c r="V17" i="27"/>
  <c r="U37" i="27"/>
  <c r="U38" i="27" s="1"/>
  <c r="U39" i="27" s="1"/>
  <c r="U40" i="27" s="1"/>
  <c r="U41" i="27" s="1"/>
  <c r="U42" i="27" s="1"/>
  <c r="U43" i="27" s="1"/>
  <c r="U44" i="27" s="1"/>
  <c r="U45" i="27" s="1"/>
  <c r="U46" i="27" s="1"/>
  <c r="U47" i="27" s="1"/>
  <c r="U48" i="27" s="1"/>
  <c r="U49" i="27" s="1"/>
  <c r="U50" i="27" s="1"/>
  <c r="A37" i="27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U18" i="27"/>
  <c r="U19" i="27" s="1"/>
  <c r="U20" i="27" s="1"/>
  <c r="U21" i="27" s="1"/>
  <c r="U22" i="27" s="1"/>
  <c r="U23" i="27" s="1"/>
  <c r="U24" i="27" s="1"/>
  <c r="U25" i="27" s="1"/>
  <c r="U26" i="27" s="1"/>
  <c r="U27" i="27" s="1"/>
  <c r="U28" i="27" s="1"/>
  <c r="U29" i="27" s="1"/>
  <c r="U30" i="27" s="1"/>
  <c r="U31" i="27" s="1"/>
  <c r="A18" i="27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Q36" i="55"/>
  <c r="I36" i="56" s="1"/>
  <c r="M52" i="55"/>
  <c r="K52" i="55"/>
  <c r="A37" i="55"/>
  <c r="A38" i="55" s="1"/>
  <c r="A39" i="55" s="1"/>
  <c r="A40" i="55" s="1"/>
  <c r="A41" i="55" s="1"/>
  <c r="A42" i="55" s="1"/>
  <c r="A43" i="55" s="1"/>
  <c r="A44" i="55" s="1"/>
  <c r="A45" i="55" s="1"/>
  <c r="A46" i="55" s="1"/>
  <c r="A47" i="55" s="1"/>
  <c r="A48" i="55" s="1"/>
  <c r="A49" i="55" s="1"/>
  <c r="A50" i="55" s="1"/>
  <c r="AE18" i="55"/>
  <c r="AE19" i="55" s="1"/>
  <c r="AE20" i="55" s="1"/>
  <c r="AE21" i="55" s="1"/>
  <c r="AE22" i="55" s="1"/>
  <c r="AE23" i="55" s="1"/>
  <c r="AE24" i="55" s="1"/>
  <c r="AE25" i="55" s="1"/>
  <c r="AE26" i="55" s="1"/>
  <c r="AE27" i="55" s="1"/>
  <c r="AE28" i="55" s="1"/>
  <c r="AE29" i="55" s="1"/>
  <c r="AE30" i="55" s="1"/>
  <c r="AE31" i="55" s="1"/>
  <c r="U18" i="55"/>
  <c r="U19" i="55" s="1"/>
  <c r="U20" i="55" s="1"/>
  <c r="U21" i="55" s="1"/>
  <c r="U22" i="55" s="1"/>
  <c r="U23" i="55" s="1"/>
  <c r="U24" i="55" s="1"/>
  <c r="U25" i="55" s="1"/>
  <c r="U26" i="55" s="1"/>
  <c r="U27" i="55" s="1"/>
  <c r="U28" i="55" s="1"/>
  <c r="U29" i="55" s="1"/>
  <c r="U30" i="55" s="1"/>
  <c r="U31" i="55" s="1"/>
  <c r="M33" i="55"/>
  <c r="K33" i="55"/>
  <c r="A18" i="55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S36" i="54"/>
  <c r="A37" i="28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18" i="28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U37" i="54"/>
  <c r="U38" i="54" s="1"/>
  <c r="U39" i="54" s="1"/>
  <c r="U40" i="54" s="1"/>
  <c r="U41" i="54" s="1"/>
  <c r="U42" i="54" s="1"/>
  <c r="U43" i="54" s="1"/>
  <c r="U44" i="54" s="1"/>
  <c r="U45" i="54" s="1"/>
  <c r="U46" i="54" s="1"/>
  <c r="U47" i="54" s="1"/>
  <c r="U48" i="54" s="1"/>
  <c r="U49" i="54" s="1"/>
  <c r="U50" i="54" s="1"/>
  <c r="AE18" i="54"/>
  <c r="AE19" i="54" s="1"/>
  <c r="AE20" i="54" s="1"/>
  <c r="AE21" i="54" s="1"/>
  <c r="AE22" i="54" s="1"/>
  <c r="AE23" i="54" s="1"/>
  <c r="AE24" i="54" s="1"/>
  <c r="AE25" i="54" s="1"/>
  <c r="AE26" i="54" s="1"/>
  <c r="AE27" i="54" s="1"/>
  <c r="AE28" i="54" s="1"/>
  <c r="U18" i="54"/>
  <c r="U19" i="54" s="1"/>
  <c r="U20" i="54" s="1"/>
  <c r="U21" i="54" s="1"/>
  <c r="U22" i="54" s="1"/>
  <c r="U23" i="54" s="1"/>
  <c r="U24" i="54" s="1"/>
  <c r="U25" i="54" s="1"/>
  <c r="U26" i="54" s="1"/>
  <c r="U27" i="54" s="1"/>
  <c r="U28" i="54" s="1"/>
  <c r="Q36" i="54"/>
  <c r="I36" i="53" s="1"/>
  <c r="A19" i="108"/>
  <c r="A20" i="108" s="1"/>
  <c r="A21" i="108" s="1"/>
  <c r="A22" i="108" s="1"/>
  <c r="A23" i="108" s="1"/>
  <c r="A24" i="108" s="1"/>
  <c r="A25" i="108" s="1"/>
  <c r="A26" i="108" s="1"/>
  <c r="A27" i="108" s="1"/>
  <c r="A28" i="108" s="1"/>
  <c r="A29" i="108" s="1"/>
  <c r="A30" i="108" s="1"/>
  <c r="A31" i="108" s="1"/>
  <c r="A32" i="108" s="1"/>
  <c r="A38" i="108"/>
  <c r="A39" i="108" s="1"/>
  <c r="A40" i="108" s="1"/>
  <c r="A41" i="108" s="1"/>
  <c r="A42" i="108" s="1"/>
  <c r="A43" i="108" s="1"/>
  <c r="A44" i="108" s="1"/>
  <c r="A45" i="108" s="1"/>
  <c r="A46" i="108" s="1"/>
  <c r="A47" i="108" s="1"/>
  <c r="A48" i="108" s="1"/>
  <c r="A49" i="108" s="1"/>
  <c r="A50" i="108" s="1"/>
  <c r="A51" i="108" s="1"/>
  <c r="C52" i="107"/>
  <c r="G50" i="107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A37" i="107"/>
  <c r="A38" i="107" s="1"/>
  <c r="A39" i="107" s="1"/>
  <c r="A40" i="107" s="1"/>
  <c r="A41" i="107" s="1"/>
  <c r="A42" i="107" s="1"/>
  <c r="A43" i="107" s="1"/>
  <c r="A44" i="107" s="1"/>
  <c r="A45" i="107" s="1"/>
  <c r="A46" i="107" s="1"/>
  <c r="A47" i="107" s="1"/>
  <c r="A48" i="107" s="1"/>
  <c r="A49" i="107" s="1"/>
  <c r="A50" i="107" s="1"/>
  <c r="G36" i="107"/>
  <c r="A18" i="107"/>
  <c r="A19" i="107" s="1"/>
  <c r="A20" i="107" s="1"/>
  <c r="A21" i="107" s="1"/>
  <c r="A22" i="107" s="1"/>
  <c r="A23" i="107" s="1"/>
  <c r="A24" i="107" s="1"/>
  <c r="A25" i="107" s="1"/>
  <c r="A26" i="107" s="1"/>
  <c r="A27" i="107" s="1"/>
  <c r="A28" i="107" s="1"/>
  <c r="A29" i="107" s="1"/>
  <c r="A30" i="107" s="1"/>
  <c r="A31" i="107" s="1"/>
  <c r="J45" i="103"/>
  <c r="J45" i="45"/>
  <c r="J45" i="102"/>
  <c r="J45" i="19"/>
  <c r="J45" i="101"/>
  <c r="I59" i="116" l="1"/>
  <c r="Y84" i="116" s="1"/>
  <c r="BU14" i="91"/>
  <c r="BV14" i="91" s="1"/>
  <c r="BW14" i="91" s="1"/>
  <c r="BX14" i="91" s="1"/>
  <c r="BY14" i="91" s="1"/>
  <c r="G56" i="116"/>
  <c r="U29" i="54"/>
  <c r="U30" i="54" s="1"/>
  <c r="U31" i="54" s="1"/>
  <c r="G52" i="107"/>
  <c r="K119" i="124"/>
  <c r="K125" i="124" s="1"/>
  <c r="K127" i="139" s="1"/>
  <c r="K45" i="124"/>
  <c r="K45" i="139"/>
  <c r="K127" i="140"/>
  <c r="L85" i="126"/>
  <c r="L127" i="126" s="1"/>
  <c r="L79" i="140"/>
  <c r="G119" i="124"/>
  <c r="H119" i="124"/>
  <c r="AE29" i="54"/>
  <c r="AE30" i="54" s="1"/>
  <c r="AE31" i="54" s="1"/>
  <c r="L39" i="124"/>
  <c r="L45" i="124" s="1"/>
  <c r="I56" i="116"/>
  <c r="AF18" i="27"/>
  <c r="AF21" i="27"/>
  <c r="AF24" i="27"/>
  <c r="AF27" i="27"/>
  <c r="AF31" i="27"/>
  <c r="AF19" i="27"/>
  <c r="AF22" i="27"/>
  <c r="AF25" i="27"/>
  <c r="AF28" i="27"/>
  <c r="V33" i="27"/>
  <c r="AF20" i="27"/>
  <c r="AF23" i="27"/>
  <c r="AF26" i="27"/>
  <c r="AF29" i="27"/>
  <c r="AF30" i="27"/>
  <c r="I28" i="118"/>
  <c r="I17" i="118"/>
  <c r="I26" i="118"/>
  <c r="T28" i="110"/>
  <c r="O62" i="91"/>
  <c r="G20" i="90" s="1"/>
  <c r="L125" i="125"/>
  <c r="L127" i="125" s="1"/>
  <c r="I42" i="116"/>
  <c r="V28" i="110"/>
  <c r="K49" i="118"/>
  <c r="K38" i="118"/>
  <c r="W25" i="115"/>
  <c r="I31" i="108"/>
  <c r="I33" i="55"/>
  <c r="I33" i="27"/>
  <c r="I70" i="116" l="1"/>
  <c r="S20" i="90"/>
  <c r="G20" i="95"/>
  <c r="I31" i="118"/>
  <c r="I19" i="118"/>
  <c r="AF73" i="105" s="1"/>
  <c r="I50" i="118"/>
  <c r="I38" i="118"/>
  <c r="M38" i="118" s="1"/>
  <c r="I37" i="118"/>
  <c r="I21" i="118"/>
  <c r="L119" i="140"/>
  <c r="L125" i="140" s="1"/>
  <c r="L127" i="140" s="1"/>
  <c r="L85" i="140"/>
  <c r="L119" i="124"/>
  <c r="L39" i="139"/>
  <c r="I49" i="118"/>
  <c r="Z22" i="131"/>
  <c r="K18" i="118"/>
  <c r="AG72" i="105" s="1"/>
  <c r="I43" i="118"/>
  <c r="K20" i="118"/>
  <c r="AG74" i="105" s="1"/>
  <c r="K17" i="118"/>
  <c r="AG71" i="105" s="1"/>
  <c r="K19" i="118"/>
  <c r="AG73" i="105" s="1"/>
  <c r="I22" i="118"/>
  <c r="K37" i="118"/>
  <c r="K21" i="118"/>
  <c r="K24" i="118"/>
  <c r="K25" i="118"/>
  <c r="K28" i="118"/>
  <c r="K27" i="118"/>
  <c r="K31" i="118"/>
  <c r="K40" i="118"/>
  <c r="AE33" i="27"/>
  <c r="K50" i="118"/>
  <c r="AF33" i="27"/>
  <c r="K47" i="118"/>
  <c r="M60" i="92"/>
  <c r="M60" i="91"/>
  <c r="BC60" i="91" s="1"/>
  <c r="K23" i="118"/>
  <c r="M33" i="27"/>
  <c r="K26" i="118"/>
  <c r="I29" i="118"/>
  <c r="I24" i="118"/>
  <c r="G36" i="20"/>
  <c r="AF82" i="105"/>
  <c r="G38" i="20"/>
  <c r="K36" i="118"/>
  <c r="K48" i="118"/>
  <c r="K43" i="118"/>
  <c r="M52" i="27"/>
  <c r="M53" i="27" s="1"/>
  <c r="K44" i="118"/>
  <c r="K46" i="118"/>
  <c r="K41" i="118"/>
  <c r="I42" i="118"/>
  <c r="I44" i="118"/>
  <c r="I48" i="118"/>
  <c r="K42" i="118"/>
  <c r="K52" i="27"/>
  <c r="K53" i="27" s="1"/>
  <c r="Q36" i="27"/>
  <c r="E36" i="56" s="1"/>
  <c r="M36" i="56" s="1"/>
  <c r="I40" i="118"/>
  <c r="K39" i="118"/>
  <c r="K45" i="118"/>
  <c r="I45" i="118"/>
  <c r="I20" i="118"/>
  <c r="I23" i="118"/>
  <c r="AF80" i="105"/>
  <c r="I36" i="118"/>
  <c r="I55" i="118" s="1"/>
  <c r="I18" i="118"/>
  <c r="I47" i="118"/>
  <c r="I25" i="118"/>
  <c r="AF71" i="105"/>
  <c r="I39" i="118"/>
  <c r="I41" i="118"/>
  <c r="I30" i="118"/>
  <c r="Q36" i="28"/>
  <c r="E36" i="53" s="1"/>
  <c r="E20" i="98" l="1"/>
  <c r="E48" i="131"/>
  <c r="AB36" i="56"/>
  <c r="Q36" i="56"/>
  <c r="AG75" i="105"/>
  <c r="AF75" i="105"/>
  <c r="AO31" i="116"/>
  <c r="G48" i="131"/>
  <c r="AF85" i="105"/>
  <c r="G41" i="20"/>
  <c r="E41" i="82"/>
  <c r="G32" i="20"/>
  <c r="E32" i="82"/>
  <c r="I32" i="82" s="1"/>
  <c r="O32" i="82"/>
  <c r="I69" i="118"/>
  <c r="M49" i="118"/>
  <c r="E36" i="82"/>
  <c r="E38" i="82"/>
  <c r="W23" i="115"/>
  <c r="BH87" i="91"/>
  <c r="BH121" i="91" s="1"/>
  <c r="BL121" i="91" s="1"/>
  <c r="BH88" i="91"/>
  <c r="BH122" i="91" s="1"/>
  <c r="BL122" i="91" s="1"/>
  <c r="K55" i="118"/>
  <c r="M19" i="118"/>
  <c r="M57" i="118" s="1"/>
  <c r="S20" i="95"/>
  <c r="K58" i="118"/>
  <c r="I57" i="118"/>
  <c r="E34" i="82"/>
  <c r="M37" i="118"/>
  <c r="I59" i="118"/>
  <c r="AG81" i="105"/>
  <c r="E37" i="81"/>
  <c r="G37" i="73"/>
  <c r="AG80" i="105"/>
  <c r="E36" i="81"/>
  <c r="G36" i="73"/>
  <c r="AG82" i="105"/>
  <c r="E38" i="81"/>
  <c r="G38" i="73"/>
  <c r="AG77" i="105"/>
  <c r="E33" i="81"/>
  <c r="G33" i="73"/>
  <c r="AG79" i="105"/>
  <c r="E35" i="81"/>
  <c r="G35" i="73"/>
  <c r="AG78" i="105"/>
  <c r="G34" i="73"/>
  <c r="E34" i="81"/>
  <c r="AG85" i="105"/>
  <c r="G41" i="73"/>
  <c r="E41" i="81"/>
  <c r="M17" i="118"/>
  <c r="E39" i="82"/>
  <c r="E40" i="82"/>
  <c r="E33" i="82"/>
  <c r="AF76" i="105"/>
  <c r="E35" i="82"/>
  <c r="AG22" i="131"/>
  <c r="L119" i="139"/>
  <c r="L125" i="139" s="1"/>
  <c r="L45" i="139"/>
  <c r="K62" i="118"/>
  <c r="M28" i="118"/>
  <c r="K66" i="118"/>
  <c r="M24" i="118"/>
  <c r="I62" i="118"/>
  <c r="G39" i="20"/>
  <c r="AF78" i="105"/>
  <c r="K33" i="27"/>
  <c r="AF83" i="105"/>
  <c r="K56" i="118"/>
  <c r="K57" i="118"/>
  <c r="K65" i="118"/>
  <c r="K63" i="118"/>
  <c r="K59" i="118"/>
  <c r="M21" i="118"/>
  <c r="G34" i="20"/>
  <c r="O34" i="55"/>
  <c r="O34" i="27"/>
  <c r="AA26" i="94"/>
  <c r="AC26" i="94" s="1"/>
  <c r="AE26" i="94" s="1"/>
  <c r="AA25" i="94"/>
  <c r="AC25" i="94" s="1"/>
  <c r="M31" i="118"/>
  <c r="K69" i="118"/>
  <c r="K22" i="118"/>
  <c r="K30" i="118"/>
  <c r="K29" i="118"/>
  <c r="M50" i="118"/>
  <c r="K61" i="118"/>
  <c r="M26" i="118"/>
  <c r="K64" i="118"/>
  <c r="M47" i="118"/>
  <c r="M41" i="118"/>
  <c r="M48" i="118"/>
  <c r="M43" i="118"/>
  <c r="G35" i="20"/>
  <c r="I61" i="118"/>
  <c r="G33" i="20"/>
  <c r="G40" i="20"/>
  <c r="M45" i="118"/>
  <c r="M44" i="118"/>
  <c r="I67" i="118"/>
  <c r="M42" i="118"/>
  <c r="I64" i="118"/>
  <c r="M40" i="118"/>
  <c r="K52" i="118"/>
  <c r="I60" i="118"/>
  <c r="M23" i="118"/>
  <c r="AF77" i="105"/>
  <c r="AF74" i="105"/>
  <c r="M20" i="118"/>
  <c r="I63" i="118"/>
  <c r="AF79" i="105"/>
  <c r="M25" i="118"/>
  <c r="I56" i="118"/>
  <c r="AF72" i="105"/>
  <c r="M18" i="118"/>
  <c r="M39" i="118"/>
  <c r="I58" i="118"/>
  <c r="M36" i="118"/>
  <c r="I68" i="118"/>
  <c r="AF84" i="105"/>
  <c r="I66" i="118"/>
  <c r="G32" i="73" l="1"/>
  <c r="E18" i="164"/>
  <c r="E32" i="81"/>
  <c r="W24" i="115"/>
  <c r="BJ88" i="91"/>
  <c r="BL88" i="91"/>
  <c r="BL87" i="91"/>
  <c r="M66" i="118"/>
  <c r="M59" i="118"/>
  <c r="M30" i="118"/>
  <c r="M68" i="118" s="1"/>
  <c r="G40" i="73"/>
  <c r="E40" i="81"/>
  <c r="E39" i="81"/>
  <c r="G39" i="73"/>
  <c r="M62" i="118"/>
  <c r="M69" i="118"/>
  <c r="K33" i="118"/>
  <c r="AD33" i="118" s="1"/>
  <c r="K67" i="118"/>
  <c r="AG84" i="105"/>
  <c r="K68" i="118"/>
  <c r="AG76" i="105"/>
  <c r="M22" i="118"/>
  <c r="M60" i="118" s="1"/>
  <c r="K60" i="118"/>
  <c r="M29" i="118"/>
  <c r="M67" i="118" s="1"/>
  <c r="AG83" i="105"/>
  <c r="M64" i="118"/>
  <c r="M58" i="118"/>
  <c r="M63" i="118"/>
  <c r="M61" i="118"/>
  <c r="M56" i="118"/>
  <c r="M55" i="118"/>
  <c r="Q18" i="164" l="1"/>
  <c r="E33" i="164"/>
  <c r="BJ122" i="91"/>
  <c r="K71" i="118"/>
  <c r="Q33" i="164" l="1"/>
  <c r="BU60" i="91"/>
  <c r="BU61" i="91" s="1"/>
  <c r="BU62" i="91" s="1"/>
  <c r="BU63" i="91" s="1"/>
  <c r="BU64" i="91" s="1"/>
  <c r="BU65" i="91" s="1"/>
  <c r="BU66" i="91" s="1"/>
  <c r="BU67" i="91" s="1"/>
  <c r="BU68" i="91" s="1"/>
  <c r="BU46" i="91"/>
  <c r="BU47" i="91" s="1"/>
  <c r="BU48" i="91" s="1"/>
  <c r="BU49" i="91" s="1"/>
  <c r="BU50" i="91" s="1"/>
  <c r="BU51" i="91" s="1"/>
  <c r="BU52" i="91" s="1"/>
  <c r="BU53" i="91" s="1"/>
  <c r="BU54" i="91" s="1"/>
  <c r="BU32" i="91"/>
  <c r="BU33" i="91" s="1"/>
  <c r="BU34" i="91" s="1"/>
  <c r="BU35" i="91" s="1"/>
  <c r="BU36" i="91" s="1"/>
  <c r="BU37" i="91" s="1"/>
  <c r="BU38" i="91" s="1"/>
  <c r="BU39" i="91" s="1"/>
  <c r="BU40" i="91" s="1"/>
  <c r="BU18" i="91"/>
  <c r="BU19" i="91" s="1"/>
  <c r="BU20" i="91" s="1"/>
  <c r="BU21" i="91" s="1"/>
  <c r="BU22" i="91" s="1"/>
  <c r="BU23" i="91" s="1"/>
  <c r="BU24" i="91" s="1"/>
  <c r="BU25" i="91" s="1"/>
  <c r="BU26" i="91" s="1"/>
  <c r="AL46" i="87"/>
  <c r="AL47" i="87" s="1"/>
  <c r="AL48" i="87" s="1"/>
  <c r="AL49" i="87" s="1"/>
  <c r="AL50" i="87" s="1"/>
  <c r="AL51" i="87" s="1"/>
  <c r="AL52" i="87" s="1"/>
  <c r="AL32" i="87"/>
  <c r="AL33" i="87" s="1"/>
  <c r="AL34" i="87" s="1"/>
  <c r="AL35" i="87" s="1"/>
  <c r="AL36" i="87" s="1"/>
  <c r="AL37" i="87" s="1"/>
  <c r="AL38" i="87" s="1"/>
  <c r="AJ17" i="89"/>
  <c r="AJ18" i="89" s="1"/>
  <c r="AJ19" i="89" s="1"/>
  <c r="AJ20" i="89" s="1"/>
  <c r="AJ21" i="89" s="1"/>
  <c r="AJ22" i="89" s="1"/>
  <c r="AJ23" i="89" s="1"/>
  <c r="AJ24" i="89" s="1"/>
  <c r="AJ17" i="61"/>
  <c r="AJ18" i="61" s="1"/>
  <c r="AJ19" i="61" s="1"/>
  <c r="AJ20" i="61" s="1"/>
  <c r="AJ21" i="61" s="1"/>
  <c r="AJ22" i="61" s="1"/>
  <c r="AJ23" i="61" s="1"/>
  <c r="AJ24" i="61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N33" i="6" s="1"/>
  <c r="N34" i="6" s="1"/>
  <c r="N35" i="6" s="1"/>
  <c r="N36" i="6" s="1"/>
  <c r="N37" i="6" s="1"/>
  <c r="N38" i="6" s="1"/>
  <c r="N39" i="6" s="1"/>
  <c r="N40" i="6" s="1"/>
  <c r="N41" i="6" s="1"/>
  <c r="N42" i="6" s="1"/>
  <c r="N43" i="6" s="1"/>
  <c r="N44" i="6" s="1"/>
  <c r="N17" i="10"/>
  <c r="N18" i="10" s="1"/>
  <c r="N19" i="10" s="1"/>
  <c r="N20" i="10" s="1"/>
  <c r="N21" i="10" s="1"/>
  <c r="N22" i="10" s="1"/>
  <c r="N23" i="10" s="1"/>
  <c r="N24" i="10" s="1"/>
  <c r="N25" i="10" s="1"/>
  <c r="N26" i="10" s="1"/>
  <c r="N27" i="10" s="1"/>
  <c r="N28" i="10" s="1"/>
  <c r="N29" i="10" s="1"/>
  <c r="N30" i="10" s="1"/>
  <c r="N31" i="10" s="1"/>
  <c r="N32" i="10" s="1"/>
  <c r="N33" i="10" s="1"/>
  <c r="N34" i="10" s="1"/>
  <c r="N35" i="10" s="1"/>
  <c r="N36" i="10" s="1"/>
  <c r="N37" i="10" s="1"/>
  <c r="N38" i="10" s="1"/>
  <c r="N39" i="10" s="1"/>
  <c r="N40" i="10" s="1"/>
  <c r="N41" i="10" s="1"/>
  <c r="N42" i="10" s="1"/>
  <c r="N43" i="10" s="1"/>
  <c r="AD34" i="88" l="1"/>
  <c r="AD33" i="88"/>
  <c r="AD32" i="88"/>
  <c r="W25" i="88"/>
  <c r="W24" i="88"/>
  <c r="W23" i="88"/>
  <c r="W22" i="88"/>
  <c r="W21" i="88"/>
  <c r="AB177" i="105" l="1"/>
  <c r="AG177" i="105"/>
  <c r="AE177" i="105"/>
  <c r="AF177" i="105"/>
  <c r="AI177" i="105"/>
  <c r="AJ177" i="105"/>
  <c r="AH177" i="105"/>
  <c r="AC177" i="105"/>
  <c r="AA148" i="105"/>
  <c r="AA149" i="105" s="1"/>
  <c r="AA150" i="105" s="1"/>
  <c r="AA151" i="105" s="1"/>
  <c r="AA152" i="105" s="1"/>
  <c r="AA153" i="105" s="1"/>
  <c r="AA154" i="105" s="1"/>
  <c r="AA155" i="105" s="1"/>
  <c r="AA156" i="105" s="1"/>
  <c r="AA157" i="105" s="1"/>
  <c r="AA158" i="105" s="1"/>
  <c r="AA159" i="105" s="1"/>
  <c r="AA160" i="105" s="1"/>
  <c r="AA161" i="105" s="1"/>
  <c r="AA162" i="105" s="1"/>
  <c r="AA163" i="105" s="1"/>
  <c r="AA164" i="105" s="1"/>
  <c r="AA165" i="105" s="1"/>
  <c r="AA166" i="105" s="1"/>
  <c r="AA167" i="105" s="1"/>
  <c r="AA168" i="105" s="1"/>
  <c r="AA169" i="105" s="1"/>
  <c r="AA170" i="105" s="1"/>
  <c r="AA171" i="105" s="1"/>
  <c r="AA172" i="105" s="1"/>
  <c r="AA173" i="105" s="1"/>
  <c r="AA174" i="105" s="1"/>
  <c r="AA175" i="105" s="1"/>
  <c r="AK135" i="105"/>
  <c r="AH135" i="105"/>
  <c r="AK134" i="105"/>
  <c r="AH134" i="105"/>
  <c r="AK133" i="105"/>
  <c r="AH133" i="105"/>
  <c r="AK132" i="105"/>
  <c r="AH132" i="105"/>
  <c r="AK131" i="105"/>
  <c r="AH131" i="105"/>
  <c r="AK130" i="105"/>
  <c r="AH130" i="105"/>
  <c r="AK129" i="105"/>
  <c r="AH129" i="105"/>
  <c r="AK128" i="105"/>
  <c r="AH128" i="105"/>
  <c r="AK127" i="105"/>
  <c r="AH127" i="105"/>
  <c r="AK126" i="105"/>
  <c r="AH126" i="105"/>
  <c r="AK125" i="105"/>
  <c r="AJ125" i="105"/>
  <c r="AH125" i="105"/>
  <c r="AK124" i="105"/>
  <c r="AJ124" i="105"/>
  <c r="AH124" i="105"/>
  <c r="AK123" i="105"/>
  <c r="AJ123" i="105"/>
  <c r="AI123" i="105"/>
  <c r="AH123" i="105"/>
  <c r="AK122" i="105"/>
  <c r="AJ122" i="105"/>
  <c r="AI122" i="105"/>
  <c r="AH122" i="105"/>
  <c r="AK121" i="105"/>
  <c r="AJ121" i="105"/>
  <c r="AI121" i="105"/>
  <c r="AH121" i="105"/>
  <c r="AK120" i="105"/>
  <c r="AJ120" i="105"/>
  <c r="AI120" i="105"/>
  <c r="AH120" i="105"/>
  <c r="AF120" i="105"/>
  <c r="AK119" i="105"/>
  <c r="AJ119" i="105"/>
  <c r="AI119" i="105"/>
  <c r="AH119" i="105"/>
  <c r="AG119" i="105"/>
  <c r="AF119" i="105"/>
  <c r="AK118" i="105"/>
  <c r="AJ118" i="105"/>
  <c r="AI118" i="105"/>
  <c r="AH118" i="105"/>
  <c r="AG118" i="105"/>
  <c r="AF118" i="105"/>
  <c r="AK117" i="105"/>
  <c r="AJ117" i="105"/>
  <c r="AI117" i="105"/>
  <c r="AH117" i="105"/>
  <c r="AG117" i="105"/>
  <c r="AF117" i="105"/>
  <c r="AK116" i="105"/>
  <c r="AJ116" i="105"/>
  <c r="AI116" i="105"/>
  <c r="AH116" i="105"/>
  <c r="AG116" i="105"/>
  <c r="AF116" i="105"/>
  <c r="AK115" i="105"/>
  <c r="AJ115" i="105"/>
  <c r="AI115" i="105"/>
  <c r="AH115" i="105"/>
  <c r="AG115" i="105"/>
  <c r="AF115" i="105"/>
  <c r="AK114" i="105"/>
  <c r="AJ114" i="105"/>
  <c r="AI114" i="105"/>
  <c r="AH114" i="105"/>
  <c r="AG114" i="105"/>
  <c r="AF114" i="105"/>
  <c r="AK113" i="105"/>
  <c r="AJ113" i="105"/>
  <c r="AI113" i="105"/>
  <c r="AH113" i="105"/>
  <c r="AG113" i="105"/>
  <c r="AF113" i="105"/>
  <c r="AK112" i="105"/>
  <c r="AJ112" i="105"/>
  <c r="AI112" i="105"/>
  <c r="AH112" i="105"/>
  <c r="AG112" i="105"/>
  <c r="AF112" i="105"/>
  <c r="AK111" i="105"/>
  <c r="AJ111" i="105"/>
  <c r="AI111" i="105"/>
  <c r="AH111" i="105"/>
  <c r="AG111" i="105"/>
  <c r="AF111" i="105"/>
  <c r="AK110" i="105"/>
  <c r="AJ110" i="105"/>
  <c r="AI110" i="105"/>
  <c r="AH110" i="105"/>
  <c r="AG110" i="105"/>
  <c r="AF110" i="105"/>
  <c r="AK109" i="105"/>
  <c r="AJ109" i="105"/>
  <c r="AI109" i="105"/>
  <c r="AH109" i="105"/>
  <c r="AG109" i="105"/>
  <c r="AF109" i="105"/>
  <c r="AK108" i="105"/>
  <c r="AJ108" i="105"/>
  <c r="AI108" i="105"/>
  <c r="AH108" i="105"/>
  <c r="AG108" i="105"/>
  <c r="AF108" i="105"/>
  <c r="AK107" i="105"/>
  <c r="AJ107" i="105"/>
  <c r="AI107" i="105"/>
  <c r="AH107" i="105"/>
  <c r="AG107" i="105"/>
  <c r="AF107" i="105"/>
  <c r="AA108" i="105"/>
  <c r="AA109" i="105" s="1"/>
  <c r="AA110" i="105" s="1"/>
  <c r="AA111" i="105" s="1"/>
  <c r="AA112" i="105" s="1"/>
  <c r="AA113" i="105" s="1"/>
  <c r="AA114" i="105" s="1"/>
  <c r="AA115" i="105" s="1"/>
  <c r="AA116" i="105" s="1"/>
  <c r="AA117" i="105" s="1"/>
  <c r="AA118" i="105" s="1"/>
  <c r="AA119" i="105" s="1"/>
  <c r="AA120" i="105" s="1"/>
  <c r="AA121" i="105" s="1"/>
  <c r="AA122" i="105" s="1"/>
  <c r="AA123" i="105" s="1"/>
  <c r="AA124" i="105" s="1"/>
  <c r="AA125" i="105" s="1"/>
  <c r="AA126" i="105" s="1"/>
  <c r="AA127" i="105" s="1"/>
  <c r="AA128" i="105" s="1"/>
  <c r="AA129" i="105" s="1"/>
  <c r="AA130" i="105" s="1"/>
  <c r="AA131" i="105" s="1"/>
  <c r="AA132" i="105" s="1"/>
  <c r="AA133" i="105" s="1"/>
  <c r="AA134" i="105" s="1"/>
  <c r="AA135" i="105" s="1"/>
  <c r="AH137" i="105" l="1"/>
  <c r="AD177" i="105"/>
  <c r="A18" i="99"/>
  <c r="A19" i="99" s="1"/>
  <c r="A20" i="99" s="1"/>
  <c r="A21" i="99" s="1"/>
  <c r="A22" i="99" s="1"/>
  <c r="A23" i="99" s="1"/>
  <c r="A24" i="99" s="1"/>
  <c r="A25" i="99" s="1"/>
  <c r="A26" i="99" s="1"/>
  <c r="A32" i="99"/>
  <c r="A33" i="99" s="1"/>
  <c r="A34" i="99" s="1"/>
  <c r="A35" i="99" s="1"/>
  <c r="A36" i="99" s="1"/>
  <c r="A37" i="99" s="1"/>
  <c r="A38" i="99" s="1"/>
  <c r="A39" i="99" s="1"/>
  <c r="A40" i="99" s="1"/>
  <c r="A46" i="99"/>
  <c r="A47" i="99" s="1"/>
  <c r="A48" i="99" s="1"/>
  <c r="A49" i="99" s="1"/>
  <c r="A50" i="99" s="1"/>
  <c r="A51" i="99" s="1"/>
  <c r="A52" i="99" s="1"/>
  <c r="A53" i="99" s="1"/>
  <c r="A54" i="99" s="1"/>
  <c r="A60" i="99"/>
  <c r="A61" i="99" s="1"/>
  <c r="A62" i="99" s="1"/>
  <c r="A63" i="99" s="1"/>
  <c r="A64" i="99" s="1"/>
  <c r="A65" i="99" s="1"/>
  <c r="A66" i="99" s="1"/>
  <c r="A67" i="99" s="1"/>
  <c r="A68" i="99" s="1"/>
  <c r="AL177" i="105" l="1"/>
  <c r="O28" i="87"/>
  <c r="A60" i="87"/>
  <c r="A61" i="87" s="1"/>
  <c r="A62" i="87" s="1"/>
  <c r="A63" i="87" s="1"/>
  <c r="A64" i="87" s="1"/>
  <c r="A65" i="87" s="1"/>
  <c r="A66" i="87" s="1"/>
  <c r="A67" i="87" s="1"/>
  <c r="A68" i="87" s="1"/>
  <c r="A46" i="87"/>
  <c r="A47" i="87" s="1"/>
  <c r="A48" i="87" s="1"/>
  <c r="A49" i="87" s="1"/>
  <c r="A50" i="87" s="1"/>
  <c r="A51" i="87" s="1"/>
  <c r="A52" i="87" s="1"/>
  <c r="A53" i="87" s="1"/>
  <c r="A54" i="87" s="1"/>
  <c r="A32" i="87"/>
  <c r="A33" i="87" s="1"/>
  <c r="A34" i="87" s="1"/>
  <c r="A35" i="87" s="1"/>
  <c r="A36" i="87" s="1"/>
  <c r="A37" i="87" s="1"/>
  <c r="A38" i="87" s="1"/>
  <c r="A39" i="87" s="1"/>
  <c r="A40" i="87" s="1"/>
  <c r="A18" i="87"/>
  <c r="A19" i="87" s="1"/>
  <c r="A20" i="87" s="1"/>
  <c r="A21" i="87" s="1"/>
  <c r="A22" i="87" s="1"/>
  <c r="A23" i="87" s="1"/>
  <c r="A24" i="87" s="1"/>
  <c r="A25" i="87" s="1"/>
  <c r="A26" i="87" s="1"/>
  <c r="A60" i="91"/>
  <c r="A61" i="91" s="1"/>
  <c r="A62" i="91" s="1"/>
  <c r="A63" i="91" s="1"/>
  <c r="A64" i="91" s="1"/>
  <c r="A65" i="91" s="1"/>
  <c r="A66" i="91" s="1"/>
  <c r="A67" i="91" s="1"/>
  <c r="A68" i="91" s="1"/>
  <c r="Q56" i="91"/>
  <c r="O56" i="91"/>
  <c r="A46" i="91"/>
  <c r="A47" i="91" s="1"/>
  <c r="A48" i="91" s="1"/>
  <c r="A49" i="91" s="1"/>
  <c r="A50" i="91" s="1"/>
  <c r="A51" i="91" s="1"/>
  <c r="A52" i="91" s="1"/>
  <c r="A53" i="91" s="1"/>
  <c r="A54" i="91" s="1"/>
  <c r="A32" i="91"/>
  <c r="A33" i="91" s="1"/>
  <c r="A34" i="91" s="1"/>
  <c r="A35" i="91" s="1"/>
  <c r="A36" i="91" s="1"/>
  <c r="A37" i="91" s="1"/>
  <c r="A38" i="91" s="1"/>
  <c r="A39" i="91" s="1"/>
  <c r="A40" i="91" s="1"/>
  <c r="A18" i="91"/>
  <c r="A19" i="91" s="1"/>
  <c r="A20" i="91" s="1"/>
  <c r="A21" i="91" s="1"/>
  <c r="A22" i="91" s="1"/>
  <c r="A23" i="91" s="1"/>
  <c r="A24" i="91" s="1"/>
  <c r="A25" i="91" s="1"/>
  <c r="A26" i="91" s="1"/>
  <c r="W31" i="85"/>
  <c r="S17" i="85"/>
  <c r="Q42" i="85"/>
  <c r="O42" i="85"/>
  <c r="A32" i="85"/>
  <c r="A33" i="85" s="1"/>
  <c r="A34" i="85" s="1"/>
  <c r="A35" i="85" s="1"/>
  <c r="A36" i="85" s="1"/>
  <c r="A37" i="85" s="1"/>
  <c r="A38" i="85" s="1"/>
  <c r="A39" i="85" s="1"/>
  <c r="A40" i="85" s="1"/>
  <c r="A18" i="85"/>
  <c r="A19" i="85" s="1"/>
  <c r="A20" i="85" s="1"/>
  <c r="A21" i="85" s="1"/>
  <c r="A22" i="85" s="1"/>
  <c r="A23" i="85" s="1"/>
  <c r="A24" i="85" s="1"/>
  <c r="A25" i="85" s="1"/>
  <c r="A26" i="85" s="1"/>
  <c r="Q28" i="85"/>
  <c r="O28" i="85"/>
  <c r="M28" i="85"/>
  <c r="G28" i="85"/>
  <c r="E28" i="85"/>
  <c r="C28" i="85"/>
  <c r="Q25" i="90"/>
  <c r="O25" i="90"/>
  <c r="I28" i="90"/>
  <c r="C28" i="90"/>
  <c r="A32" i="90"/>
  <c r="A33" i="90" s="1"/>
  <c r="A34" i="90" s="1"/>
  <c r="A35" i="90" s="1"/>
  <c r="A36" i="90" s="1"/>
  <c r="A37" i="90" s="1"/>
  <c r="A38" i="90" s="1"/>
  <c r="A39" i="90" s="1"/>
  <c r="A40" i="90" s="1"/>
  <c r="A19" i="90"/>
  <c r="A20" i="90" s="1"/>
  <c r="A21" i="90" s="1"/>
  <c r="A22" i="90" s="1"/>
  <c r="A23" i="90" s="1"/>
  <c r="A24" i="90" s="1"/>
  <c r="A25" i="90" s="1"/>
  <c r="A26" i="90" s="1"/>
  <c r="O58" i="91" l="1"/>
  <c r="K44" i="131" s="1"/>
  <c r="O28" i="90"/>
  <c r="S28" i="85"/>
  <c r="I28" i="85"/>
  <c r="K42" i="85"/>
  <c r="I47" i="99"/>
  <c r="I48" i="99"/>
  <c r="I50" i="99"/>
  <c r="G56" i="99"/>
  <c r="I45" i="99"/>
  <c r="I51" i="99"/>
  <c r="I53" i="99"/>
  <c r="I49" i="99"/>
  <c r="I46" i="99"/>
  <c r="I52" i="99"/>
  <c r="E56" i="99"/>
  <c r="G42" i="99"/>
  <c r="I32" i="99"/>
  <c r="I36" i="99"/>
  <c r="I38" i="99"/>
  <c r="I31" i="99"/>
  <c r="I33" i="99"/>
  <c r="I35" i="99"/>
  <c r="I39" i="99"/>
  <c r="W42" i="85"/>
  <c r="K28" i="85"/>
  <c r="U28" i="85"/>
  <c r="W28" i="85"/>
  <c r="I56" i="99" l="1"/>
  <c r="S39" i="95" l="1"/>
  <c r="S38" i="95"/>
  <c r="S36" i="95"/>
  <c r="S35" i="95"/>
  <c r="S34" i="95"/>
  <c r="S33" i="95"/>
  <c r="S32" i="95"/>
  <c r="M42" i="95"/>
  <c r="K42" i="95"/>
  <c r="O25" i="95"/>
  <c r="O24" i="95"/>
  <c r="O23" i="95"/>
  <c r="O20" i="95"/>
  <c r="O19" i="95"/>
  <c r="O18" i="95"/>
  <c r="O17" i="95"/>
  <c r="M28" i="95"/>
  <c r="K28" i="95"/>
  <c r="I28" i="95"/>
  <c r="S31" i="95" l="1"/>
  <c r="A18" i="95"/>
  <c r="A19" i="95" s="1"/>
  <c r="A20" i="95" s="1"/>
  <c r="A21" i="95" s="1"/>
  <c r="A22" i="95" s="1"/>
  <c r="A23" i="95" s="1"/>
  <c r="A24" i="95" s="1"/>
  <c r="A25" i="95" s="1"/>
  <c r="A26" i="95" s="1"/>
  <c r="K24" i="93"/>
  <c r="K26" i="93" s="1"/>
  <c r="C32" i="93"/>
  <c r="C33" i="93" s="1"/>
  <c r="C34" i="93" s="1"/>
  <c r="C35" i="93" s="1"/>
  <c r="C36" i="93" s="1"/>
  <c r="C37" i="93" s="1"/>
  <c r="C38" i="93" s="1"/>
  <c r="C18" i="93"/>
  <c r="C19" i="93" s="1"/>
  <c r="C20" i="93" s="1"/>
  <c r="C21" i="93" s="1"/>
  <c r="C22" i="93" s="1"/>
  <c r="C23" i="93" s="1"/>
  <c r="C24" i="93" s="1"/>
  <c r="K27" i="97"/>
  <c r="I27" i="97"/>
  <c r="G27" i="97"/>
  <c r="E27" i="97"/>
  <c r="C27" i="97"/>
  <c r="A18" i="97"/>
  <c r="A19" i="97" s="1"/>
  <c r="A20" i="97" s="1"/>
  <c r="A21" i="97" s="1"/>
  <c r="A22" i="97" s="1"/>
  <c r="A23" i="97" s="1"/>
  <c r="A24" i="97" s="1"/>
  <c r="A25" i="97" s="1"/>
  <c r="M27" i="97" l="1"/>
  <c r="AE85" i="105" l="1"/>
  <c r="AD85" i="105"/>
  <c r="AC85" i="105"/>
  <c r="AB85" i="105"/>
  <c r="AE84" i="105"/>
  <c r="AD84" i="105"/>
  <c r="AC84" i="105"/>
  <c r="AB84" i="105"/>
  <c r="AE83" i="105"/>
  <c r="AD83" i="105"/>
  <c r="AC83" i="105"/>
  <c r="AB83" i="105"/>
  <c r="AE82" i="105"/>
  <c r="AD82" i="105"/>
  <c r="AC82" i="105"/>
  <c r="AB82" i="105"/>
  <c r="AE81" i="105"/>
  <c r="AD81" i="105"/>
  <c r="AC81" i="105"/>
  <c r="AB81" i="105"/>
  <c r="AE80" i="105"/>
  <c r="AD80" i="105"/>
  <c r="AC80" i="105"/>
  <c r="AB80" i="105"/>
  <c r="AE79" i="105"/>
  <c r="AD79" i="105"/>
  <c r="AC79" i="105"/>
  <c r="AB79" i="105"/>
  <c r="AT79" i="105" s="1"/>
  <c r="AE78" i="105"/>
  <c r="AD78" i="105"/>
  <c r="AC78" i="105"/>
  <c r="AB78" i="105"/>
  <c r="AE77" i="105"/>
  <c r="AD77" i="105"/>
  <c r="AV77" i="105" s="1"/>
  <c r="AC77" i="105"/>
  <c r="AB77" i="105"/>
  <c r="AE76" i="105"/>
  <c r="AD76" i="105"/>
  <c r="AC76" i="105"/>
  <c r="AB76" i="105"/>
  <c r="AE75" i="105"/>
  <c r="AD75" i="105"/>
  <c r="AC75" i="105"/>
  <c r="AB75" i="105"/>
  <c r="AE74" i="105"/>
  <c r="AD74" i="105"/>
  <c r="AV74" i="105" s="1"/>
  <c r="AC74" i="105"/>
  <c r="AB74" i="105"/>
  <c r="AE73" i="105"/>
  <c r="AD73" i="105"/>
  <c r="AC73" i="105"/>
  <c r="AB73" i="105"/>
  <c r="AT73" i="105" s="1"/>
  <c r="AE72" i="105"/>
  <c r="AD72" i="105"/>
  <c r="AC72" i="105"/>
  <c r="AB72" i="105"/>
  <c r="AE71" i="105"/>
  <c r="AD71" i="105"/>
  <c r="AV71" i="105" s="1"/>
  <c r="AC71" i="105"/>
  <c r="AB71" i="105"/>
  <c r="AE70" i="105"/>
  <c r="AD70" i="105"/>
  <c r="AC70" i="105"/>
  <c r="AB70" i="105"/>
  <c r="AT70" i="105" s="1"/>
  <c r="AE69" i="105"/>
  <c r="AD69" i="105"/>
  <c r="AC69" i="105"/>
  <c r="AB69" i="105"/>
  <c r="AE68" i="105"/>
  <c r="AD68" i="105"/>
  <c r="AC68" i="105"/>
  <c r="AB68" i="105"/>
  <c r="AE67" i="105"/>
  <c r="AD67" i="105"/>
  <c r="AC67" i="105"/>
  <c r="AB67" i="105"/>
  <c r="AE66" i="105"/>
  <c r="AD66" i="105"/>
  <c r="AC66" i="105"/>
  <c r="AB66" i="105"/>
  <c r="AE65" i="105"/>
  <c r="AD65" i="105"/>
  <c r="AC65" i="105"/>
  <c r="AB65" i="105"/>
  <c r="AE64" i="105"/>
  <c r="AD64" i="105"/>
  <c r="AC64" i="105"/>
  <c r="AB64" i="105"/>
  <c r="AE63" i="105"/>
  <c r="AD63" i="105"/>
  <c r="AC63" i="105"/>
  <c r="AB63" i="105"/>
  <c r="AE62" i="105"/>
  <c r="AD62" i="105"/>
  <c r="AC62" i="105"/>
  <c r="AB62" i="105"/>
  <c r="AE61" i="105"/>
  <c r="AD61" i="105"/>
  <c r="AC61" i="105"/>
  <c r="AB61" i="105"/>
  <c r="AE60" i="105"/>
  <c r="AD60" i="105"/>
  <c r="AC60" i="105"/>
  <c r="AB60" i="105"/>
  <c r="AE59" i="105"/>
  <c r="AD59" i="105"/>
  <c r="AC59" i="105"/>
  <c r="AB59" i="105"/>
  <c r="AE58" i="105"/>
  <c r="AD58" i="105"/>
  <c r="AC58" i="105"/>
  <c r="AB58" i="105"/>
  <c r="AE57" i="105"/>
  <c r="AD57" i="105"/>
  <c r="AC57" i="105"/>
  <c r="AB57" i="105"/>
  <c r="AA58" i="105"/>
  <c r="AA59" i="105" s="1"/>
  <c r="AA60" i="105" s="1"/>
  <c r="AA61" i="105" s="1"/>
  <c r="AA62" i="105" s="1"/>
  <c r="AA63" i="105" s="1"/>
  <c r="AA64" i="105" s="1"/>
  <c r="AA65" i="105" s="1"/>
  <c r="AA66" i="105" s="1"/>
  <c r="AA67" i="105" s="1"/>
  <c r="AA68" i="105" s="1"/>
  <c r="AA69" i="105" s="1"/>
  <c r="AA70" i="105" s="1"/>
  <c r="AA71" i="105" s="1"/>
  <c r="AA72" i="105" s="1"/>
  <c r="AA73" i="105" s="1"/>
  <c r="AA74" i="105" s="1"/>
  <c r="AA75" i="105" s="1"/>
  <c r="AA76" i="105" s="1"/>
  <c r="AA77" i="105" s="1"/>
  <c r="AA78" i="105" s="1"/>
  <c r="AA79" i="105" s="1"/>
  <c r="AA80" i="105" s="1"/>
  <c r="AA81" i="105" s="1"/>
  <c r="AA82" i="105" s="1"/>
  <c r="AA83" i="105" s="1"/>
  <c r="AA84" i="105" s="1"/>
  <c r="AA85" i="105" s="1"/>
  <c r="AT76" i="105" l="1"/>
  <c r="AV83" i="105"/>
  <c r="AT67" i="105"/>
  <c r="AT61" i="105"/>
  <c r="AT82" i="105"/>
  <c r="AT85" i="105"/>
  <c r="AV68" i="105"/>
  <c r="AV59" i="105"/>
  <c r="AV62" i="105"/>
  <c r="AV63" i="105"/>
  <c r="AV69" i="105"/>
  <c r="AV72" i="105"/>
  <c r="AV58" i="105"/>
  <c r="AV64" i="105"/>
  <c r="AV67" i="105"/>
  <c r="BC67" i="105" s="1"/>
  <c r="AV70" i="105"/>
  <c r="BC70" i="105" s="1"/>
  <c r="AV75" i="105"/>
  <c r="AT57" i="105"/>
  <c r="AV65" i="105"/>
  <c r="AV78" i="105"/>
  <c r="AV73" i="105"/>
  <c r="BC73" i="105" s="1"/>
  <c r="AV76" i="105"/>
  <c r="AV79" i="105"/>
  <c r="AV82" i="105"/>
  <c r="AV85" i="105"/>
  <c r="AV81" i="105"/>
  <c r="AV84" i="105"/>
  <c r="AT63" i="105"/>
  <c r="AT66" i="105"/>
  <c r="AV66" i="105"/>
  <c r="AT69" i="105"/>
  <c r="AT64" i="105"/>
  <c r="AT58" i="105"/>
  <c r="AT60" i="105"/>
  <c r="AV60" i="105"/>
  <c r="AV61" i="105"/>
  <c r="AV57" i="105"/>
  <c r="AT75" i="105"/>
  <c r="AT72" i="105"/>
  <c r="AT78" i="105"/>
  <c r="AT81" i="105"/>
  <c r="AV80" i="105"/>
  <c r="AT84" i="105"/>
  <c r="AL64" i="105"/>
  <c r="AT59" i="105"/>
  <c r="AT62" i="105"/>
  <c r="AT65" i="105"/>
  <c r="AT68" i="105"/>
  <c r="AT71" i="105"/>
  <c r="AT74" i="105"/>
  <c r="AT77" i="105"/>
  <c r="AT80" i="105"/>
  <c r="AT83" i="105"/>
  <c r="AL66" i="105"/>
  <c r="AL62" i="105"/>
  <c r="AE87" i="105"/>
  <c r="AE89" i="105" s="1"/>
  <c r="AL59" i="105"/>
  <c r="AD87" i="105"/>
  <c r="AD89" i="105" s="1"/>
  <c r="AL65" i="105"/>
  <c r="AL68" i="105"/>
  <c r="AL58" i="105"/>
  <c r="AL61" i="105"/>
  <c r="AL67" i="105"/>
  <c r="AC87" i="105"/>
  <c r="AC89" i="105" s="1"/>
  <c r="AL70" i="105"/>
  <c r="AL57" i="105"/>
  <c r="AL69" i="105"/>
  <c r="AL60" i="105"/>
  <c r="AL63" i="105"/>
  <c r="AG87" i="105"/>
  <c r="AG89" i="105" s="1"/>
  <c r="AL71" i="105"/>
  <c r="AL72" i="105"/>
  <c r="AL73" i="105"/>
  <c r="AB87" i="105"/>
  <c r="AB89" i="105" s="1"/>
  <c r="BC64" i="105" l="1"/>
  <c r="BC69" i="105"/>
  <c r="BC58" i="105"/>
  <c r="BC66" i="105"/>
  <c r="BC75" i="105"/>
  <c r="BC63" i="105"/>
  <c r="BC71" i="105"/>
  <c r="BC65" i="105"/>
  <c r="BC72" i="105"/>
  <c r="BC62" i="105"/>
  <c r="BC61" i="105"/>
  <c r="BC68" i="105"/>
  <c r="BC59" i="105"/>
  <c r="AV87" i="105"/>
  <c r="AV89" i="105" s="1"/>
  <c r="BC60" i="105"/>
  <c r="BC57" i="105"/>
  <c r="AT87" i="105"/>
  <c r="AT89" i="105" s="1"/>
  <c r="AY27" i="88"/>
  <c r="BA27" i="88"/>
  <c r="AX27" i="88"/>
  <c r="AZ27" i="88" l="1"/>
  <c r="AB45" i="105" l="1"/>
  <c r="AB44" i="105"/>
  <c r="AB43" i="105"/>
  <c r="AB42" i="105"/>
  <c r="AB41" i="105"/>
  <c r="AB40" i="105"/>
  <c r="AB39" i="105"/>
  <c r="AB38" i="105"/>
  <c r="AB37" i="105"/>
  <c r="AB36" i="105"/>
  <c r="AB35" i="105"/>
  <c r="AB34" i="105"/>
  <c r="AB33" i="105"/>
  <c r="AB32" i="105"/>
  <c r="AB31" i="105"/>
  <c r="AB30" i="105"/>
  <c r="AB29" i="105"/>
  <c r="AB28" i="105"/>
  <c r="AB27" i="105"/>
  <c r="AB26" i="105"/>
  <c r="AB25" i="105"/>
  <c r="AB24" i="105"/>
  <c r="AB23" i="105"/>
  <c r="AB22" i="105"/>
  <c r="AB21" i="105"/>
  <c r="AB20" i="105"/>
  <c r="AB19" i="105"/>
  <c r="AB18" i="105"/>
  <c r="AC45" i="105"/>
  <c r="AC135" i="105" s="1"/>
  <c r="AC44" i="105"/>
  <c r="AC134" i="105" s="1"/>
  <c r="AC43" i="105"/>
  <c r="AC133" i="105" s="1"/>
  <c r="AC42" i="105"/>
  <c r="AC132" i="105" s="1"/>
  <c r="AC41" i="105"/>
  <c r="AC131" i="105" s="1"/>
  <c r="AC40" i="105"/>
  <c r="AC130" i="105" s="1"/>
  <c r="AC39" i="105"/>
  <c r="AC129" i="105" s="1"/>
  <c r="AC38" i="105"/>
  <c r="AC128" i="105" s="1"/>
  <c r="AC37" i="105"/>
  <c r="AC127" i="105" s="1"/>
  <c r="AC36" i="105"/>
  <c r="AC126" i="105" s="1"/>
  <c r="AC35" i="105"/>
  <c r="AC125" i="105" s="1"/>
  <c r="AC34" i="105"/>
  <c r="AC124" i="105" s="1"/>
  <c r="AC33" i="105"/>
  <c r="AC123" i="105" s="1"/>
  <c r="AC32" i="105"/>
  <c r="AC122" i="105" s="1"/>
  <c r="AC31" i="105"/>
  <c r="AC121" i="105" s="1"/>
  <c r="AC30" i="105"/>
  <c r="AC120" i="105" s="1"/>
  <c r="AC29" i="105"/>
  <c r="AC119" i="105" s="1"/>
  <c r="AC28" i="105"/>
  <c r="AC118" i="105" s="1"/>
  <c r="AC27" i="105"/>
  <c r="AC117" i="105" s="1"/>
  <c r="AC26" i="105"/>
  <c r="AC116" i="105" s="1"/>
  <c r="AC25" i="105"/>
  <c r="AC115" i="105" s="1"/>
  <c r="AC24" i="105"/>
  <c r="AC114" i="105" s="1"/>
  <c r="AC23" i="105"/>
  <c r="AC22" i="105"/>
  <c r="AC112" i="105" s="1"/>
  <c r="AC21" i="105"/>
  <c r="AC111" i="105" s="1"/>
  <c r="AC20" i="105"/>
  <c r="AC110" i="105" s="1"/>
  <c r="AC19" i="105"/>
  <c r="AC109" i="105" s="1"/>
  <c r="AC18" i="105"/>
  <c r="AC108" i="105" s="1"/>
  <c r="AC17" i="105"/>
  <c r="AD45" i="105"/>
  <c r="AD44" i="105"/>
  <c r="AD43" i="105"/>
  <c r="AD42" i="105"/>
  <c r="AD41" i="105"/>
  <c r="AD40" i="105"/>
  <c r="AD39" i="105"/>
  <c r="AD38" i="105"/>
  <c r="AD37" i="105"/>
  <c r="AD36" i="105"/>
  <c r="AD35" i="105"/>
  <c r="AD34" i="105"/>
  <c r="AD33" i="105"/>
  <c r="Q74" i="15" s="1"/>
  <c r="AD32" i="105"/>
  <c r="Q73" i="15" s="1"/>
  <c r="AD31" i="105"/>
  <c r="Q72" i="15" s="1"/>
  <c r="AD30" i="105"/>
  <c r="AD29" i="105"/>
  <c r="AD28" i="105"/>
  <c r="AD27" i="105"/>
  <c r="AD26" i="105"/>
  <c r="AD25" i="105"/>
  <c r="AD24" i="105"/>
  <c r="AD23" i="105"/>
  <c r="Q64" i="15" s="1"/>
  <c r="Y64" i="15" s="1"/>
  <c r="AD22" i="105"/>
  <c r="AD21" i="105"/>
  <c r="AD20" i="105"/>
  <c r="AD19" i="105"/>
  <c r="AD18" i="105"/>
  <c r="AD17" i="105"/>
  <c r="AE45" i="105"/>
  <c r="AE135" i="105" s="1"/>
  <c r="AE44" i="105"/>
  <c r="AE134" i="105" s="1"/>
  <c r="AE43" i="105"/>
  <c r="AE133" i="105" s="1"/>
  <c r="AE42" i="105"/>
  <c r="AE132" i="105" s="1"/>
  <c r="AE41" i="105"/>
  <c r="AE131" i="105" s="1"/>
  <c r="AE40" i="105"/>
  <c r="AE130" i="105" s="1"/>
  <c r="AE39" i="105"/>
  <c r="AE129" i="105" s="1"/>
  <c r="AE38" i="105"/>
  <c r="AE128" i="105" s="1"/>
  <c r="AE37" i="105"/>
  <c r="AE127" i="105" s="1"/>
  <c r="AE36" i="105"/>
  <c r="AE126" i="105" s="1"/>
  <c r="AE35" i="105"/>
  <c r="AE125" i="105" s="1"/>
  <c r="AE34" i="105"/>
  <c r="AE124" i="105" s="1"/>
  <c r="AE33" i="105"/>
  <c r="AE123" i="105" s="1"/>
  <c r="AE32" i="105"/>
  <c r="AE122" i="105" s="1"/>
  <c r="AE31" i="105"/>
  <c r="AE121" i="105" s="1"/>
  <c r="AE30" i="105"/>
  <c r="AE120" i="105" s="1"/>
  <c r="AE29" i="105"/>
  <c r="AE119" i="105" s="1"/>
  <c r="AE28" i="105"/>
  <c r="AE118" i="105" s="1"/>
  <c r="AE27" i="105"/>
  <c r="AE117" i="105" s="1"/>
  <c r="AE26" i="105"/>
  <c r="AE116" i="105" s="1"/>
  <c r="AE25" i="105"/>
  <c r="AE115" i="105" s="1"/>
  <c r="AE24" i="105"/>
  <c r="AE114" i="105" s="1"/>
  <c r="AE23" i="105"/>
  <c r="AE113" i="105" s="1"/>
  <c r="AE22" i="105"/>
  <c r="AE112" i="105" s="1"/>
  <c r="AE21" i="105"/>
  <c r="AE111" i="105" s="1"/>
  <c r="AE20" i="105"/>
  <c r="AE110" i="105" s="1"/>
  <c r="AE19" i="105"/>
  <c r="AE109" i="105" s="1"/>
  <c r="AE18" i="105"/>
  <c r="AE108" i="105" s="1"/>
  <c r="AE17" i="105"/>
  <c r="AE107" i="105" s="1"/>
  <c r="AA18" i="105"/>
  <c r="AA19" i="105" s="1"/>
  <c r="AA20" i="105" s="1"/>
  <c r="AA21" i="105" s="1"/>
  <c r="AA22" i="105" s="1"/>
  <c r="AA23" i="105" s="1"/>
  <c r="AA24" i="105" s="1"/>
  <c r="AA25" i="105" s="1"/>
  <c r="AA26" i="105" s="1"/>
  <c r="AA27" i="105" s="1"/>
  <c r="AA28" i="105" s="1"/>
  <c r="AA29" i="105" s="1"/>
  <c r="AA30" i="105" s="1"/>
  <c r="AA31" i="105" s="1"/>
  <c r="AA32" i="105" s="1"/>
  <c r="AA33" i="105" s="1"/>
  <c r="AA34" i="105" s="1"/>
  <c r="AA35" i="105" s="1"/>
  <c r="AA36" i="105" s="1"/>
  <c r="AA37" i="105" s="1"/>
  <c r="AA38" i="105" s="1"/>
  <c r="AA39" i="105" s="1"/>
  <c r="AA40" i="105" s="1"/>
  <c r="AA41" i="105" s="1"/>
  <c r="AA42" i="105" s="1"/>
  <c r="AA43" i="105" s="1"/>
  <c r="AA44" i="105" s="1"/>
  <c r="AA45" i="105" s="1"/>
  <c r="A18" i="67"/>
  <c r="A19" i="67" s="1"/>
  <c r="A20" i="67" s="1"/>
  <c r="A21" i="67" s="1"/>
  <c r="A22" i="67" s="1"/>
  <c r="A23" i="67" s="1"/>
  <c r="A24" i="67" s="1"/>
  <c r="A25" i="67" s="1"/>
  <c r="A26" i="67" s="1"/>
  <c r="A27" i="67" s="1"/>
  <c r="A28" i="67" s="1"/>
  <c r="A29" i="67" s="1"/>
  <c r="A30" i="67" s="1"/>
  <c r="A31" i="67" s="1"/>
  <c r="A32" i="67" s="1"/>
  <c r="A33" i="67" s="1"/>
  <c r="A34" i="67" s="1"/>
  <c r="A35" i="67" s="1"/>
  <c r="A36" i="67" s="1"/>
  <c r="A37" i="67" s="1"/>
  <c r="A38" i="67" s="1"/>
  <c r="A39" i="67" s="1"/>
  <c r="A40" i="67" s="1"/>
  <c r="A41" i="67" s="1"/>
  <c r="A42" i="67" s="1"/>
  <c r="A43" i="67" s="1"/>
  <c r="A44" i="67" s="1"/>
  <c r="X32" i="70"/>
  <c r="X31" i="70"/>
  <c r="Y30" i="70"/>
  <c r="X30" i="70"/>
  <c r="Y29" i="70"/>
  <c r="X29" i="70"/>
  <c r="Y28" i="70"/>
  <c r="X28" i="70"/>
  <c r="Y27" i="70"/>
  <c r="X27" i="70"/>
  <c r="Y26" i="70"/>
  <c r="X26" i="70"/>
  <c r="Y25" i="70"/>
  <c r="X25" i="70"/>
  <c r="AC29" i="26"/>
  <c r="AC28" i="26"/>
  <c r="AC27" i="26"/>
  <c r="AC26" i="26"/>
  <c r="AC25" i="26"/>
  <c r="AB28" i="26"/>
  <c r="AB27" i="26"/>
  <c r="AB26" i="26"/>
  <c r="AB25" i="26"/>
  <c r="Y30" i="71"/>
  <c r="Y29" i="71"/>
  <c r="Y28" i="71"/>
  <c r="Y27" i="71"/>
  <c r="Y26" i="71"/>
  <c r="Y25" i="71"/>
  <c r="X32" i="71"/>
  <c r="X31" i="71"/>
  <c r="X30" i="71"/>
  <c r="X29" i="71"/>
  <c r="X28" i="71"/>
  <c r="X27" i="71"/>
  <c r="X26" i="71"/>
  <c r="X25" i="71"/>
  <c r="P63" i="15" l="1"/>
  <c r="P64" i="15"/>
  <c r="P65" i="15"/>
  <c r="Q75" i="15"/>
  <c r="P66" i="15"/>
  <c r="Q60" i="15"/>
  <c r="Q76" i="15"/>
  <c r="Q84" i="15"/>
  <c r="P75" i="15"/>
  <c r="Q61" i="15"/>
  <c r="Y61" i="15" s="1"/>
  <c r="Q85" i="15"/>
  <c r="P76" i="15"/>
  <c r="Q62" i="15"/>
  <c r="Y62" i="15" s="1"/>
  <c r="Q86" i="15"/>
  <c r="P77" i="15"/>
  <c r="Q63" i="15"/>
  <c r="Y63" i="15" s="1"/>
  <c r="P78" i="15"/>
  <c r="X64" i="15"/>
  <c r="T64" i="15"/>
  <c r="X65" i="15"/>
  <c r="X66" i="15"/>
  <c r="P67" i="15"/>
  <c r="P79" i="15"/>
  <c r="Q65" i="15"/>
  <c r="Y65" i="15" s="1"/>
  <c r="Q77" i="15"/>
  <c r="P68" i="15"/>
  <c r="P80" i="15"/>
  <c r="Q66" i="15"/>
  <c r="Y66" i="15" s="1"/>
  <c r="Q78" i="15"/>
  <c r="P69" i="15"/>
  <c r="P81" i="15"/>
  <c r="Q67" i="15"/>
  <c r="Y67" i="15" s="1"/>
  <c r="Q79" i="15"/>
  <c r="P70" i="15"/>
  <c r="P82" i="15"/>
  <c r="Q68" i="15"/>
  <c r="Y68" i="15" s="1"/>
  <c r="Q80" i="15"/>
  <c r="P71" i="15"/>
  <c r="P83" i="15"/>
  <c r="Q69" i="15"/>
  <c r="Y69" i="15" s="1"/>
  <c r="Q81" i="15"/>
  <c r="P72" i="15"/>
  <c r="P84" i="15"/>
  <c r="Q70" i="15"/>
  <c r="Y70" i="15" s="1"/>
  <c r="Q82" i="15"/>
  <c r="P73" i="15"/>
  <c r="P85" i="15"/>
  <c r="Q71" i="15"/>
  <c r="Y71" i="15" s="1"/>
  <c r="Q83" i="15"/>
  <c r="P74" i="15"/>
  <c r="P86" i="15"/>
  <c r="AC107" i="105"/>
  <c r="P58" i="15"/>
  <c r="Y60" i="15"/>
  <c r="X63" i="15"/>
  <c r="T63" i="15"/>
  <c r="P59" i="15"/>
  <c r="P60" i="15"/>
  <c r="X60" i="15" s="1"/>
  <c r="Q58" i="15"/>
  <c r="P61" i="15"/>
  <c r="Q59" i="15"/>
  <c r="Y59" i="15" s="1"/>
  <c r="P62" i="15"/>
  <c r="AC15" i="105"/>
  <c r="AT24" i="105"/>
  <c r="AT22" i="105"/>
  <c r="AT102" i="105" s="1"/>
  <c r="AT23" i="105"/>
  <c r="AT25" i="105"/>
  <c r="AT34" i="105"/>
  <c r="AT35" i="105"/>
  <c r="AT36" i="105"/>
  <c r="AT37" i="105"/>
  <c r="AT26" i="105"/>
  <c r="AT38" i="105"/>
  <c r="AT27" i="105"/>
  <c r="AT39" i="105"/>
  <c r="AT28" i="105"/>
  <c r="AT40" i="105"/>
  <c r="AT17" i="105"/>
  <c r="AT97" i="105" s="1"/>
  <c r="AT29" i="105"/>
  <c r="AT41" i="105"/>
  <c r="AT18" i="105"/>
  <c r="AT98" i="105" s="1"/>
  <c r="AT30" i="105"/>
  <c r="AT42" i="105"/>
  <c r="AT19" i="105"/>
  <c r="AT99" i="105" s="1"/>
  <c r="AT31" i="105"/>
  <c r="AT43" i="105"/>
  <c r="AT20" i="105"/>
  <c r="AT100" i="105" s="1"/>
  <c r="AT32" i="105"/>
  <c r="AT44" i="105"/>
  <c r="AT21" i="105"/>
  <c r="AT101" i="105" s="1"/>
  <c r="AT33" i="105"/>
  <c r="AT45" i="105"/>
  <c r="AD110" i="105"/>
  <c r="AV20" i="105"/>
  <c r="AV100" i="105" s="1"/>
  <c r="AD122" i="105"/>
  <c r="AV32" i="105"/>
  <c r="AV112" i="105" s="1"/>
  <c r="AD134" i="105"/>
  <c r="AV44" i="105"/>
  <c r="AB112" i="105"/>
  <c r="AB124" i="105"/>
  <c r="AD112" i="105"/>
  <c r="AV22" i="105"/>
  <c r="AV102" i="105" s="1"/>
  <c r="AD124" i="105"/>
  <c r="AV34" i="105"/>
  <c r="AB114" i="105"/>
  <c r="AB126" i="105"/>
  <c r="AD113" i="105"/>
  <c r="AV23" i="105"/>
  <c r="AD125" i="105"/>
  <c r="AV35" i="105"/>
  <c r="AV115" i="105" s="1"/>
  <c r="AB115" i="105"/>
  <c r="AB127" i="105"/>
  <c r="AD114" i="105"/>
  <c r="AV24" i="105"/>
  <c r="AD126" i="105"/>
  <c r="AV36" i="105"/>
  <c r="AV116" i="105" s="1"/>
  <c r="AB116" i="105"/>
  <c r="AB128" i="105"/>
  <c r="AD115" i="105"/>
  <c r="AV25" i="105"/>
  <c r="AV105" i="105" s="1"/>
  <c r="AD127" i="105"/>
  <c r="AV37" i="105"/>
  <c r="AV117" i="105" s="1"/>
  <c r="AB117" i="105"/>
  <c r="AB129" i="105"/>
  <c r="AB125" i="105"/>
  <c r="AD116" i="105"/>
  <c r="AV26" i="105"/>
  <c r="AV106" i="105" s="1"/>
  <c r="AD128" i="105"/>
  <c r="AV38" i="105"/>
  <c r="AV118" i="105" s="1"/>
  <c r="AB118" i="105"/>
  <c r="AB130" i="105"/>
  <c r="AD111" i="105"/>
  <c r="AV21" i="105"/>
  <c r="AV101" i="105" s="1"/>
  <c r="AD117" i="105"/>
  <c r="AV27" i="105"/>
  <c r="AV107" i="105" s="1"/>
  <c r="AD129" i="105"/>
  <c r="AV39" i="105"/>
  <c r="AV119" i="105" s="1"/>
  <c r="AB107" i="105"/>
  <c r="AB119" i="105"/>
  <c r="AB131" i="105"/>
  <c r="AB113" i="105"/>
  <c r="AD118" i="105"/>
  <c r="AV28" i="105"/>
  <c r="AV108" i="105" s="1"/>
  <c r="AD130" i="105"/>
  <c r="AV40" i="105"/>
  <c r="AV120" i="105" s="1"/>
  <c r="AB108" i="105"/>
  <c r="AB120" i="105"/>
  <c r="AB132" i="105"/>
  <c r="AD135" i="105"/>
  <c r="AV45" i="105"/>
  <c r="AV125" i="105" s="1"/>
  <c r="AD107" i="105"/>
  <c r="AV17" i="105"/>
  <c r="AV97" i="105" s="1"/>
  <c r="AD119" i="105"/>
  <c r="AV29" i="105"/>
  <c r="AV109" i="105" s="1"/>
  <c r="AD131" i="105"/>
  <c r="AV41" i="105"/>
  <c r="AV121" i="105" s="1"/>
  <c r="AB109" i="105"/>
  <c r="AB121" i="105"/>
  <c r="AB133" i="105"/>
  <c r="AD123" i="105"/>
  <c r="AV33" i="105"/>
  <c r="AV113" i="105" s="1"/>
  <c r="AD108" i="105"/>
  <c r="AV18" i="105"/>
  <c r="AV98" i="105" s="1"/>
  <c r="AD120" i="105"/>
  <c r="AV30" i="105"/>
  <c r="AD132" i="105"/>
  <c r="AV42" i="105"/>
  <c r="AV122" i="105" s="1"/>
  <c r="AB110" i="105"/>
  <c r="AB122" i="105"/>
  <c r="AB134" i="105"/>
  <c r="AD109" i="105"/>
  <c r="AV19" i="105"/>
  <c r="AV99" i="105" s="1"/>
  <c r="AD121" i="105"/>
  <c r="AV31" i="105"/>
  <c r="AV111" i="105" s="1"/>
  <c r="AD133" i="105"/>
  <c r="AV43" i="105"/>
  <c r="AV123" i="105" s="1"/>
  <c r="AB111" i="105"/>
  <c r="AB123" i="105"/>
  <c r="AB135" i="105"/>
  <c r="AE137" i="105"/>
  <c r="AL23" i="105"/>
  <c r="AC113" i="105"/>
  <c r="AL25" i="105"/>
  <c r="AL28" i="105"/>
  <c r="AL26" i="105"/>
  <c r="AL27" i="105"/>
  <c r="AB47" i="105"/>
  <c r="AL29" i="105"/>
  <c r="AL18" i="105"/>
  <c r="AD47" i="105"/>
  <c r="AL20" i="105"/>
  <c r="AL21" i="105"/>
  <c r="AL22" i="105"/>
  <c r="AE47" i="105"/>
  <c r="AE49" i="105" s="1"/>
  <c r="AL24" i="105"/>
  <c r="AL19" i="105"/>
  <c r="AL17" i="105"/>
  <c r="AC47" i="105"/>
  <c r="AC49" i="105" s="1"/>
  <c r="BC102" i="105" l="1"/>
  <c r="AC137" i="105"/>
  <c r="T66" i="15"/>
  <c r="X71" i="15"/>
  <c r="T71" i="15"/>
  <c r="X68" i="15"/>
  <c r="T68" i="15"/>
  <c r="X70" i="15"/>
  <c r="T70" i="15"/>
  <c r="X67" i="15"/>
  <c r="T67" i="15"/>
  <c r="T65" i="15"/>
  <c r="X69" i="15"/>
  <c r="T69" i="15"/>
  <c r="P88" i="15"/>
  <c r="T61" i="15"/>
  <c r="X61" i="15"/>
  <c r="X59" i="15"/>
  <c r="T59" i="15"/>
  <c r="T60" i="15"/>
  <c r="Y58" i="15"/>
  <c r="Q88" i="15"/>
  <c r="X62" i="15"/>
  <c r="T62" i="15"/>
  <c r="T58" i="15"/>
  <c r="X58" i="15"/>
  <c r="AT111" i="105"/>
  <c r="BC111" i="105" s="1"/>
  <c r="AT118" i="105"/>
  <c r="AT106" i="105"/>
  <c r="BC106" i="105" s="1"/>
  <c r="AT107" i="105"/>
  <c r="BC107" i="105" s="1"/>
  <c r="AT122" i="105"/>
  <c r="AT117" i="105"/>
  <c r="AT110" i="105"/>
  <c r="AT116" i="105"/>
  <c r="AT115" i="105"/>
  <c r="BC115" i="105" s="1"/>
  <c r="AT125" i="105"/>
  <c r="AT121" i="105"/>
  <c r="AT114" i="105"/>
  <c r="AT113" i="105"/>
  <c r="BC113" i="105" s="1"/>
  <c r="AT109" i="105"/>
  <c r="BC109" i="105" s="1"/>
  <c r="AT105" i="105"/>
  <c r="BC105" i="105" s="1"/>
  <c r="AT103" i="105"/>
  <c r="AT124" i="105"/>
  <c r="AT120" i="105"/>
  <c r="AT112" i="105"/>
  <c r="BC112" i="105" s="1"/>
  <c r="AT108" i="105"/>
  <c r="BC108" i="105" s="1"/>
  <c r="AT104" i="105"/>
  <c r="AT123" i="105"/>
  <c r="AT119" i="105"/>
  <c r="E23" i="16"/>
  <c r="G23" i="16" s="1"/>
  <c r="BC35" i="105"/>
  <c r="BC99" i="105"/>
  <c r="BC97" i="105"/>
  <c r="BC101" i="105"/>
  <c r="BC100" i="105"/>
  <c r="BC98" i="105"/>
  <c r="BC24" i="105"/>
  <c r="BF24" i="105" s="1"/>
  <c r="AV104" i="105"/>
  <c r="AV124" i="105"/>
  <c r="BC23" i="105"/>
  <c r="BF23" i="105" s="1"/>
  <c r="AV103" i="105"/>
  <c r="AV114" i="105"/>
  <c r="BC30" i="105"/>
  <c r="AV110" i="105"/>
  <c r="AD49" i="105"/>
  <c r="E22" i="130" s="1"/>
  <c r="AB49" i="105"/>
  <c r="AL113" i="105"/>
  <c r="BC33" i="105"/>
  <c r="BC32" i="105"/>
  <c r="BC18" i="105"/>
  <c r="E18" i="17" s="1"/>
  <c r="BC19" i="105"/>
  <c r="BC31" i="105"/>
  <c r="AD137" i="105"/>
  <c r="AB137" i="105"/>
  <c r="BC25" i="105"/>
  <c r="BF25" i="105" s="1"/>
  <c r="AV47" i="105"/>
  <c r="AV49" i="105" s="1"/>
  <c r="E43" i="130" s="1"/>
  <c r="BC26" i="105"/>
  <c r="BF26" i="105" s="1"/>
  <c r="BC21" i="105"/>
  <c r="BC22" i="105"/>
  <c r="BC27" i="105"/>
  <c r="BF27" i="105" s="1"/>
  <c r="BC29" i="105"/>
  <c r="BF29" i="105" s="1"/>
  <c r="BC28" i="105"/>
  <c r="BF28" i="105" s="1"/>
  <c r="BC17" i="105"/>
  <c r="AT47" i="105"/>
  <c r="BC20" i="105"/>
  <c r="E18" i="16"/>
  <c r="AL108" i="105"/>
  <c r="E26" i="16"/>
  <c r="Q26" i="16" s="1"/>
  <c r="AL116" i="105"/>
  <c r="E27" i="16"/>
  <c r="Q27" i="16" s="1"/>
  <c r="AL117" i="105"/>
  <c r="E25" i="16"/>
  <c r="Q25" i="16" s="1"/>
  <c r="AL115" i="105"/>
  <c r="E21" i="16"/>
  <c r="AL111" i="105"/>
  <c r="E19" i="16"/>
  <c r="AL109" i="105"/>
  <c r="E24" i="16"/>
  <c r="Q24" i="16" s="1"/>
  <c r="AL114" i="105"/>
  <c r="E20" i="16"/>
  <c r="AL110" i="105"/>
  <c r="E29" i="16"/>
  <c r="Q29" i="16" s="1"/>
  <c r="AL119" i="105"/>
  <c r="E28" i="16"/>
  <c r="Q28" i="16" s="1"/>
  <c r="AL118" i="105"/>
  <c r="E22" i="16"/>
  <c r="AL112" i="105"/>
  <c r="E17" i="16"/>
  <c r="AL107" i="105"/>
  <c r="I28" i="15"/>
  <c r="I27" i="15"/>
  <c r="I26" i="15"/>
  <c r="I25" i="15"/>
  <c r="I24" i="15"/>
  <c r="I23" i="15"/>
  <c r="I22" i="15"/>
  <c r="I21" i="15"/>
  <c r="I20" i="15"/>
  <c r="I19" i="15"/>
  <c r="I18" i="15"/>
  <c r="I16" i="15"/>
  <c r="G31" i="15"/>
  <c r="C17" i="15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E21" i="103"/>
  <c r="E22" i="103"/>
  <c r="E24" i="103"/>
  <c r="E25" i="103"/>
  <c r="E26" i="103"/>
  <c r="E27" i="103"/>
  <c r="E29" i="103"/>
  <c r="E30" i="103"/>
  <c r="E31" i="103"/>
  <c r="E32" i="103"/>
  <c r="E33" i="103"/>
  <c r="E34" i="103"/>
  <c r="E35" i="103"/>
  <c r="E28" i="103"/>
  <c r="E23" i="103"/>
  <c r="E20" i="103"/>
  <c r="E19" i="103"/>
  <c r="E18" i="103"/>
  <c r="E17" i="103"/>
  <c r="E16" i="103"/>
  <c r="T16" i="103" s="1"/>
  <c r="E21" i="102"/>
  <c r="E22" i="102"/>
  <c r="E23" i="102"/>
  <c r="E24" i="102"/>
  <c r="E25" i="102"/>
  <c r="E26" i="102"/>
  <c r="E27" i="102"/>
  <c r="E28" i="102"/>
  <c r="E30" i="102"/>
  <c r="E31" i="102"/>
  <c r="E32" i="102"/>
  <c r="E33" i="102"/>
  <c r="E34" i="102"/>
  <c r="E35" i="102"/>
  <c r="E29" i="102"/>
  <c r="E20" i="102"/>
  <c r="E19" i="102"/>
  <c r="E18" i="102"/>
  <c r="E17" i="102"/>
  <c r="E16" i="102"/>
  <c r="T16" i="102" s="1"/>
  <c r="E21" i="101"/>
  <c r="E22" i="101"/>
  <c r="E23" i="101"/>
  <c r="E24" i="101"/>
  <c r="E25" i="101"/>
  <c r="E26" i="101"/>
  <c r="E27" i="101"/>
  <c r="E28" i="101"/>
  <c r="E30" i="101"/>
  <c r="E31" i="101"/>
  <c r="E32" i="101"/>
  <c r="E33" i="101"/>
  <c r="E34" i="101"/>
  <c r="E35" i="101"/>
  <c r="E29" i="101"/>
  <c r="E20" i="101"/>
  <c r="E19" i="101"/>
  <c r="E18" i="101"/>
  <c r="E17" i="101"/>
  <c r="E16" i="101"/>
  <c r="T16" i="101" s="1"/>
  <c r="E20" i="100"/>
  <c r="E19" i="100"/>
  <c r="E18" i="100"/>
  <c r="E17" i="100"/>
  <c r="E16" i="100"/>
  <c r="T16" i="100" s="1"/>
  <c r="E21" i="100"/>
  <c r="E22" i="100"/>
  <c r="E23" i="100"/>
  <c r="E24" i="100"/>
  <c r="E25" i="100"/>
  <c r="E26" i="100"/>
  <c r="E27" i="100"/>
  <c r="E28" i="100"/>
  <c r="E29" i="100"/>
  <c r="E30" i="100"/>
  <c r="E31" i="100"/>
  <c r="E32" i="100"/>
  <c r="E33" i="100"/>
  <c r="E34" i="100"/>
  <c r="E35" i="100"/>
  <c r="BC104" i="105" l="1"/>
  <c r="BC110" i="105"/>
  <c r="AT127" i="105"/>
  <c r="BC103" i="105"/>
  <c r="AT49" i="105"/>
  <c r="E35" i="17"/>
  <c r="Q35" i="17" s="1"/>
  <c r="C22" i="130"/>
  <c r="E23" i="17"/>
  <c r="G23" i="17" s="1"/>
  <c r="E24" i="17"/>
  <c r="G24" i="17" s="1"/>
  <c r="E30" i="17"/>
  <c r="Q30" i="17" s="1"/>
  <c r="AV127" i="105"/>
  <c r="E33" i="17"/>
  <c r="Q33" i="17" s="1"/>
  <c r="E32" i="17"/>
  <c r="Q32" i="17" s="1"/>
  <c r="E31" i="17"/>
  <c r="Q31" i="17" s="1"/>
  <c r="AE139" i="105"/>
  <c r="T19" i="100"/>
  <c r="E19" i="17"/>
  <c r="G19" i="17" s="1"/>
  <c r="T35" i="103"/>
  <c r="T17" i="103"/>
  <c r="T17" i="100"/>
  <c r="T18" i="100"/>
  <c r="T17" i="102"/>
  <c r="I16" i="102" s="1"/>
  <c r="T17" i="101"/>
  <c r="I16" i="101" s="1"/>
  <c r="T35" i="100"/>
  <c r="I35" i="100" s="1"/>
  <c r="T23" i="100"/>
  <c r="T24" i="100"/>
  <c r="G29" i="16"/>
  <c r="S29" i="16" s="1"/>
  <c r="G26" i="16"/>
  <c r="G28" i="16"/>
  <c r="G27" i="16"/>
  <c r="G18" i="17"/>
  <c r="E22" i="17"/>
  <c r="E21" i="17"/>
  <c r="E17" i="17"/>
  <c r="E27" i="17"/>
  <c r="Q27" i="17" s="1"/>
  <c r="E20" i="17"/>
  <c r="E25" i="17"/>
  <c r="Q25" i="17" s="1"/>
  <c r="E28" i="17"/>
  <c r="Q28" i="17" s="1"/>
  <c r="E26" i="17"/>
  <c r="Q26" i="17" s="1"/>
  <c r="E29" i="17"/>
  <c r="Q29" i="17" s="1"/>
  <c r="I31" i="15"/>
  <c r="T28" i="100"/>
  <c r="T19" i="103"/>
  <c r="T18" i="102"/>
  <c r="T29" i="103"/>
  <c r="T27" i="100"/>
  <c r="T30" i="102"/>
  <c r="G25" i="16"/>
  <c r="G19" i="16"/>
  <c r="G24" i="16"/>
  <c r="G20" i="16"/>
  <c r="G21" i="16"/>
  <c r="G22" i="16"/>
  <c r="G18" i="16"/>
  <c r="G17" i="16"/>
  <c r="T19" i="101"/>
  <c r="T20" i="103"/>
  <c r="T19" i="102"/>
  <c r="T18" i="103"/>
  <c r="I17" i="103" s="1"/>
  <c r="T32" i="100"/>
  <c r="T20" i="100"/>
  <c r="T30" i="100"/>
  <c r="T20" i="102"/>
  <c r="T18" i="101"/>
  <c r="T20" i="101"/>
  <c r="T34" i="100"/>
  <c r="T22" i="100"/>
  <c r="I16" i="103"/>
  <c r="T21" i="100"/>
  <c r="T31" i="100"/>
  <c r="T29" i="100"/>
  <c r="T33" i="100"/>
  <c r="T25" i="100"/>
  <c r="T26" i="102"/>
  <c r="T23" i="103"/>
  <c r="T26" i="100"/>
  <c r="T34" i="103"/>
  <c r="T33" i="103"/>
  <c r="T32" i="103"/>
  <c r="T31" i="103"/>
  <c r="T30" i="103"/>
  <c r="T28" i="103"/>
  <c r="T27" i="103"/>
  <c r="T26" i="103"/>
  <c r="T25" i="103"/>
  <c r="T24" i="103"/>
  <c r="T21" i="103"/>
  <c r="T22" i="103"/>
  <c r="T35" i="102"/>
  <c r="I35" i="102" s="1"/>
  <c r="T34" i="102"/>
  <c r="T33" i="102"/>
  <c r="T32" i="102"/>
  <c r="T31" i="102"/>
  <c r="T29" i="102"/>
  <c r="T28" i="102"/>
  <c r="T27" i="102"/>
  <c r="T25" i="102"/>
  <c r="T24" i="102"/>
  <c r="T23" i="102"/>
  <c r="T22" i="102"/>
  <c r="T21" i="102"/>
  <c r="T34" i="101"/>
  <c r="T33" i="101"/>
  <c r="T32" i="101"/>
  <c r="T31" i="101"/>
  <c r="T30" i="101"/>
  <c r="T29" i="101"/>
  <c r="T28" i="101"/>
  <c r="T27" i="101"/>
  <c r="T26" i="101"/>
  <c r="T25" i="101"/>
  <c r="T24" i="101"/>
  <c r="T23" i="101"/>
  <c r="T22" i="101"/>
  <c r="T21" i="101"/>
  <c r="T35" i="101"/>
  <c r="C27" i="104"/>
  <c r="C39" i="104" s="1"/>
  <c r="E21" i="104"/>
  <c r="E27" i="104" s="1"/>
  <c r="E20" i="104"/>
  <c r="G21" i="104" s="1"/>
  <c r="G27" i="104" s="1"/>
  <c r="E19" i="104"/>
  <c r="G20" i="104" s="1"/>
  <c r="I21" i="104" s="1"/>
  <c r="I27" i="104" s="1"/>
  <c r="E18" i="104"/>
  <c r="G19" i="104" s="1"/>
  <c r="E17" i="104"/>
  <c r="O16" i="104"/>
  <c r="C23" i="104"/>
  <c r="C27" i="82"/>
  <c r="K43" i="82"/>
  <c r="K27" i="82"/>
  <c r="A32" i="82"/>
  <c r="A33" i="82" s="1"/>
  <c r="A34" i="82" s="1"/>
  <c r="A35" i="82" s="1"/>
  <c r="A36" i="82" s="1"/>
  <c r="A37" i="82" s="1"/>
  <c r="A38" i="82" s="1"/>
  <c r="A39" i="82" s="1"/>
  <c r="A40" i="82" s="1"/>
  <c r="A41" i="82" s="1"/>
  <c r="A16" i="82"/>
  <c r="A17" i="82" s="1"/>
  <c r="A18" i="82" s="1"/>
  <c r="A19" i="82" s="1"/>
  <c r="A20" i="82" s="1"/>
  <c r="A21" i="82" s="1"/>
  <c r="A22" i="82" s="1"/>
  <c r="A23" i="82" s="1"/>
  <c r="A24" i="82" s="1"/>
  <c r="A25" i="82" s="1"/>
  <c r="M27" i="20"/>
  <c r="A32" i="20"/>
  <c r="A33" i="20" s="1"/>
  <c r="A34" i="20" s="1"/>
  <c r="A35" i="20" s="1"/>
  <c r="A36" i="20" s="1"/>
  <c r="A37" i="20" s="1"/>
  <c r="A38" i="20" s="1"/>
  <c r="A39" i="20" s="1"/>
  <c r="A40" i="20" s="1"/>
  <c r="A41" i="20" s="1"/>
  <c r="A16" i="20"/>
  <c r="A17" i="20" s="1"/>
  <c r="A18" i="20" s="1"/>
  <c r="A19" i="20" s="1"/>
  <c r="A20" i="20" s="1"/>
  <c r="A21" i="20" s="1"/>
  <c r="A22" i="20" s="1"/>
  <c r="A23" i="20" s="1"/>
  <c r="A24" i="20" s="1"/>
  <c r="A25" i="20" s="1"/>
  <c r="M43" i="73"/>
  <c r="C43" i="73"/>
  <c r="M27" i="73"/>
  <c r="C27" i="73"/>
  <c r="A32" i="73"/>
  <c r="A33" i="73" s="1"/>
  <c r="A34" i="73" s="1"/>
  <c r="A35" i="73" s="1"/>
  <c r="A36" i="73" s="1"/>
  <c r="A37" i="73" s="1"/>
  <c r="A38" i="73" s="1"/>
  <c r="A39" i="73" s="1"/>
  <c r="A40" i="73" s="1"/>
  <c r="A41" i="73" s="1"/>
  <c r="A16" i="73"/>
  <c r="A17" i="73" s="1"/>
  <c r="A18" i="73" s="1"/>
  <c r="A19" i="73" s="1"/>
  <c r="A20" i="73" s="1"/>
  <c r="A21" i="73" s="1"/>
  <c r="A22" i="73" s="1"/>
  <c r="A23" i="73" s="1"/>
  <c r="A24" i="73" s="1"/>
  <c r="A25" i="73" s="1"/>
  <c r="K43" i="81"/>
  <c r="A32" i="81"/>
  <c r="A33" i="81" s="1"/>
  <c r="A34" i="81" s="1"/>
  <c r="A35" i="81" s="1"/>
  <c r="A36" i="81" s="1"/>
  <c r="A37" i="81" s="1"/>
  <c r="A38" i="81" s="1"/>
  <c r="A39" i="81" s="1"/>
  <c r="A40" i="81" s="1"/>
  <c r="A41" i="81" s="1"/>
  <c r="K27" i="81"/>
  <c r="A16" i="81"/>
  <c r="A17" i="81" s="1"/>
  <c r="A18" i="81" s="1"/>
  <c r="A19" i="81" s="1"/>
  <c r="A20" i="81" s="1"/>
  <c r="A21" i="81" s="1"/>
  <c r="A22" i="81" s="1"/>
  <c r="A23" i="81" s="1"/>
  <c r="A24" i="81" s="1"/>
  <c r="A25" i="81" s="1"/>
  <c r="E46" i="83"/>
  <c r="E45" i="83"/>
  <c r="E44" i="83"/>
  <c r="E43" i="83"/>
  <c r="E42" i="83"/>
  <c r="E41" i="83"/>
  <c r="E40" i="83"/>
  <c r="E39" i="83"/>
  <c r="E38" i="83"/>
  <c r="E37" i="83"/>
  <c r="M46" i="83"/>
  <c r="M45" i="83"/>
  <c r="M44" i="83"/>
  <c r="M43" i="83"/>
  <c r="M42" i="83"/>
  <c r="M41" i="83"/>
  <c r="M40" i="83"/>
  <c r="M39" i="83"/>
  <c r="M38" i="83"/>
  <c r="M37" i="83"/>
  <c r="K48" i="83"/>
  <c r="I48" i="83"/>
  <c r="G48" i="83"/>
  <c r="A37" i="83"/>
  <c r="A38" i="83" s="1"/>
  <c r="A39" i="83" s="1"/>
  <c r="A40" i="83" s="1"/>
  <c r="A41" i="83" s="1"/>
  <c r="A42" i="83" s="1"/>
  <c r="A43" i="83" s="1"/>
  <c r="A44" i="83" s="1"/>
  <c r="A45" i="83" s="1"/>
  <c r="A46" i="83" s="1"/>
  <c r="A18" i="83"/>
  <c r="A19" i="83" s="1"/>
  <c r="A20" i="83" s="1"/>
  <c r="A21" i="83" s="1"/>
  <c r="A22" i="83" s="1"/>
  <c r="A23" i="83" s="1"/>
  <c r="A24" i="83" s="1"/>
  <c r="A25" i="83" s="1"/>
  <c r="A26" i="83" s="1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7"/>
  <c r="G43" i="46"/>
  <c r="G42" i="46"/>
  <c r="G41" i="46"/>
  <c r="G40" i="46"/>
  <c r="G39" i="46"/>
  <c r="G38" i="46"/>
  <c r="G37" i="46"/>
  <c r="G36" i="46"/>
  <c r="G35" i="46"/>
  <c r="G34" i="46"/>
  <c r="G33" i="46"/>
  <c r="G32" i="46"/>
  <c r="G31" i="46"/>
  <c r="G30" i="46"/>
  <c r="G29" i="46"/>
  <c r="K45" i="46"/>
  <c r="E45" i="46"/>
  <c r="H43" i="46"/>
  <c r="H42" i="46"/>
  <c r="H41" i="46"/>
  <c r="H40" i="46"/>
  <c r="H39" i="46"/>
  <c r="H38" i="46"/>
  <c r="H37" i="46"/>
  <c r="H36" i="46"/>
  <c r="H35" i="46"/>
  <c r="H34" i="46"/>
  <c r="H33" i="46"/>
  <c r="H32" i="46"/>
  <c r="H31" i="46"/>
  <c r="H30" i="46"/>
  <c r="H29" i="46"/>
  <c r="M28" i="46"/>
  <c r="H28" i="46"/>
  <c r="G28" i="46"/>
  <c r="M27" i="46"/>
  <c r="H27" i="46"/>
  <c r="G27" i="46"/>
  <c r="M26" i="46"/>
  <c r="H26" i="46"/>
  <c r="G26" i="46"/>
  <c r="M25" i="46"/>
  <c r="H25" i="46"/>
  <c r="G25" i="46"/>
  <c r="M24" i="46"/>
  <c r="H24" i="46"/>
  <c r="G24" i="46"/>
  <c r="M23" i="46"/>
  <c r="H23" i="46"/>
  <c r="G23" i="46"/>
  <c r="M22" i="46"/>
  <c r="H22" i="46"/>
  <c r="G22" i="46"/>
  <c r="M21" i="46"/>
  <c r="H21" i="46"/>
  <c r="G21" i="46"/>
  <c r="M20" i="46"/>
  <c r="H20" i="46"/>
  <c r="G20" i="46"/>
  <c r="M19" i="46"/>
  <c r="H19" i="46"/>
  <c r="G19" i="46"/>
  <c r="M18" i="46"/>
  <c r="H18" i="46"/>
  <c r="G18" i="46"/>
  <c r="M17" i="46"/>
  <c r="H17" i="46"/>
  <c r="G17" i="46"/>
  <c r="M16" i="46"/>
  <c r="H16" i="46"/>
  <c r="G16" i="46"/>
  <c r="A16" i="46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A36" i="46" s="1"/>
  <c r="A37" i="46" s="1"/>
  <c r="A38" i="46" s="1"/>
  <c r="A39" i="46" s="1"/>
  <c r="A40" i="46" s="1"/>
  <c r="A41" i="46" s="1"/>
  <c r="A42" i="46" s="1"/>
  <c r="A43" i="46" s="1"/>
  <c r="M15" i="46"/>
  <c r="G15" i="46"/>
  <c r="M30" i="47"/>
  <c r="M31" i="47"/>
  <c r="M32" i="47"/>
  <c r="M33" i="47"/>
  <c r="M34" i="47"/>
  <c r="M35" i="47"/>
  <c r="M36" i="47"/>
  <c r="M37" i="47"/>
  <c r="M38" i="47"/>
  <c r="M39" i="47"/>
  <c r="M40" i="47"/>
  <c r="M41" i="47"/>
  <c r="M42" i="47"/>
  <c r="M43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C43" i="130" l="1"/>
  <c r="G35" i="17"/>
  <c r="S35" i="17" s="1"/>
  <c r="I19" i="100"/>
  <c r="G30" i="17"/>
  <c r="S30" i="17" s="1"/>
  <c r="I17" i="102"/>
  <c r="I18" i="102"/>
  <c r="I18" i="100"/>
  <c r="G33" i="17"/>
  <c r="S33" i="17" s="1"/>
  <c r="S27" i="16"/>
  <c r="S25" i="16"/>
  <c r="S28" i="16"/>
  <c r="S26" i="16"/>
  <c r="G32" i="17"/>
  <c r="S32" i="17" s="1"/>
  <c r="G31" i="17"/>
  <c r="S31" i="17" s="1"/>
  <c r="I19" i="103"/>
  <c r="I17" i="100"/>
  <c r="I16" i="100"/>
  <c r="I20" i="100"/>
  <c r="I18" i="103"/>
  <c r="I22" i="100"/>
  <c r="I34" i="100"/>
  <c r="I28" i="103"/>
  <c r="I23" i="100"/>
  <c r="I29" i="102"/>
  <c r="I19" i="101"/>
  <c r="I24" i="100"/>
  <c r="E48" i="83"/>
  <c r="I27" i="100"/>
  <c r="M48" i="83"/>
  <c r="I35" i="101"/>
  <c r="I31" i="103"/>
  <c r="E27" i="54" s="1"/>
  <c r="I35" i="103"/>
  <c r="I30" i="100"/>
  <c r="G27" i="17"/>
  <c r="S27" i="17" s="1"/>
  <c r="G25" i="17"/>
  <c r="G29" i="17"/>
  <c r="S29" i="17" s="1"/>
  <c r="G17" i="17"/>
  <c r="G26" i="17"/>
  <c r="S26" i="17" s="1"/>
  <c r="G21" i="17"/>
  <c r="G28" i="17"/>
  <c r="S28" i="17" s="1"/>
  <c r="G20" i="17"/>
  <c r="G22" i="17"/>
  <c r="I26" i="100"/>
  <c r="G27" i="73"/>
  <c r="I18" i="101"/>
  <c r="E31" i="28"/>
  <c r="S31" i="28" s="1"/>
  <c r="S31" i="54" s="1"/>
  <c r="I19" i="102"/>
  <c r="C43" i="82"/>
  <c r="I31" i="100"/>
  <c r="I33" i="100"/>
  <c r="I26" i="101"/>
  <c r="I24" i="102"/>
  <c r="I24" i="103"/>
  <c r="I22" i="103"/>
  <c r="I29" i="100"/>
  <c r="I28" i="100"/>
  <c r="I21" i="100"/>
  <c r="I17" i="101"/>
  <c r="I34" i="102"/>
  <c r="I33" i="103"/>
  <c r="E39" i="104"/>
  <c r="G39" i="104" s="1"/>
  <c r="I39" i="104" s="1"/>
  <c r="E23" i="104"/>
  <c r="C28" i="104" s="1"/>
  <c r="I31" i="101"/>
  <c r="I31" i="102"/>
  <c r="I30" i="103"/>
  <c r="I34" i="103"/>
  <c r="I24" i="101"/>
  <c r="I22" i="102"/>
  <c r="I32" i="100"/>
  <c r="I33" i="102"/>
  <c r="I32" i="103"/>
  <c r="I23" i="101"/>
  <c r="I32" i="101"/>
  <c r="I32" i="102"/>
  <c r="I30" i="101"/>
  <c r="I26" i="102"/>
  <c r="I22" i="101"/>
  <c r="I27" i="101"/>
  <c r="I25" i="103"/>
  <c r="I29" i="101"/>
  <c r="I28" i="102"/>
  <c r="I27" i="103"/>
  <c r="I21" i="101"/>
  <c r="I20" i="101"/>
  <c r="I33" i="101"/>
  <c r="I34" i="101"/>
  <c r="I20" i="102"/>
  <c r="I21" i="102"/>
  <c r="I25" i="101"/>
  <c r="I23" i="102"/>
  <c r="I30" i="102"/>
  <c r="I25" i="102"/>
  <c r="I28" i="101"/>
  <c r="I27" i="102"/>
  <c r="I26" i="103"/>
  <c r="I25" i="100"/>
  <c r="G43" i="73"/>
  <c r="I29" i="103"/>
  <c r="I23" i="103"/>
  <c r="I21" i="103"/>
  <c r="E17" i="54" s="1"/>
  <c r="Q17" i="54" s="1"/>
  <c r="I20" i="103"/>
  <c r="I20" i="104"/>
  <c r="K21" i="104" s="1"/>
  <c r="K27" i="104" s="1"/>
  <c r="O17" i="104"/>
  <c r="G18" i="104"/>
  <c r="C43" i="81"/>
  <c r="C27" i="81"/>
  <c r="C48" i="83"/>
  <c r="I28" i="83"/>
  <c r="G28" i="83"/>
  <c r="C28" i="83"/>
  <c r="I45" i="46"/>
  <c r="M29" i="46"/>
  <c r="M45" i="46" s="1"/>
  <c r="C45" i="46"/>
  <c r="G45" i="46"/>
  <c r="E24" i="54" l="1"/>
  <c r="Q24" i="54" s="1"/>
  <c r="E31" i="54"/>
  <c r="Q31" i="54" s="1"/>
  <c r="E22" i="54"/>
  <c r="Q22" i="54" s="1"/>
  <c r="E23" i="54"/>
  <c r="Q23" i="54" s="1"/>
  <c r="E18" i="54"/>
  <c r="Q18" i="54" s="1"/>
  <c r="E30" i="54"/>
  <c r="Q30" i="54" s="1"/>
  <c r="E26" i="54"/>
  <c r="Q26" i="54" s="1"/>
  <c r="E20" i="54"/>
  <c r="Q20" i="54" s="1"/>
  <c r="E19" i="54"/>
  <c r="Q19" i="54" s="1"/>
  <c r="E28" i="54"/>
  <c r="Q28" i="54" s="1"/>
  <c r="E21" i="54"/>
  <c r="Q21" i="54" s="1"/>
  <c r="E29" i="54"/>
  <c r="Q29" i="54" s="1"/>
  <c r="E25" i="54"/>
  <c r="Q25" i="54" s="1"/>
  <c r="Q31" i="28"/>
  <c r="E31" i="53" s="1"/>
  <c r="O31" i="111"/>
  <c r="AA31" i="111" s="1"/>
  <c r="AC31" i="111" s="1"/>
  <c r="E25" i="28"/>
  <c r="S25" i="28" s="1"/>
  <c r="S25" i="54" s="1"/>
  <c r="E26" i="28"/>
  <c r="S26" i="28" s="1"/>
  <c r="S26" i="54" s="1"/>
  <c r="E20" i="28"/>
  <c r="E19" i="28"/>
  <c r="S19" i="28" s="1"/>
  <c r="S19" i="54" s="1"/>
  <c r="E30" i="28"/>
  <c r="S30" i="28" s="1"/>
  <c r="S30" i="54" s="1"/>
  <c r="E17" i="28"/>
  <c r="E29" i="28"/>
  <c r="S29" i="28" s="1"/>
  <c r="S29" i="54" s="1"/>
  <c r="E24" i="28"/>
  <c r="E22" i="28"/>
  <c r="S22" i="28" s="1"/>
  <c r="S22" i="54" s="1"/>
  <c r="E18" i="28"/>
  <c r="S18" i="28" s="1"/>
  <c r="S18" i="54" s="1"/>
  <c r="E28" i="28"/>
  <c r="S28" i="28" s="1"/>
  <c r="S28" i="54" s="1"/>
  <c r="E23" i="28"/>
  <c r="E27" i="28"/>
  <c r="E21" i="28"/>
  <c r="S21" i="28" s="1"/>
  <c r="S21" i="54" s="1"/>
  <c r="C40" i="104"/>
  <c r="K39" i="104"/>
  <c r="I19" i="104"/>
  <c r="G23" i="104"/>
  <c r="E28" i="104" s="1"/>
  <c r="O18" i="104"/>
  <c r="O17" i="111" l="1"/>
  <c r="AA17" i="111" s="1"/>
  <c r="AC17" i="111" s="1"/>
  <c r="AH17" i="111" s="1"/>
  <c r="S17" i="28"/>
  <c r="S17" i="54" s="1"/>
  <c r="O20" i="111"/>
  <c r="AA20" i="111" s="1"/>
  <c r="AC20" i="111" s="1"/>
  <c r="AE20" i="111" s="1"/>
  <c r="AG20" i="111" s="1"/>
  <c r="AH20" i="111" s="1"/>
  <c r="S20" i="28"/>
  <c r="S20" i="54" s="1"/>
  <c r="O24" i="111"/>
  <c r="AA24" i="111" s="1"/>
  <c r="AC24" i="111" s="1"/>
  <c r="AE24" i="111" s="1"/>
  <c r="AG24" i="111" s="1"/>
  <c r="AH24" i="111" s="1"/>
  <c r="S24" i="28"/>
  <c r="S24" i="54" s="1"/>
  <c r="O23" i="111"/>
  <c r="AA23" i="111" s="1"/>
  <c r="AC23" i="111" s="1"/>
  <c r="AE23" i="111" s="1"/>
  <c r="AG23" i="111" s="1"/>
  <c r="AH23" i="111" s="1"/>
  <c r="K23" i="107" s="1"/>
  <c r="C23" i="54" s="1"/>
  <c r="G23" i="54" s="1"/>
  <c r="O23" i="54" s="1"/>
  <c r="S23" i="28"/>
  <c r="S23" i="54" s="1"/>
  <c r="Q19" i="28"/>
  <c r="E19" i="53" s="1"/>
  <c r="O19" i="111"/>
  <c r="AA19" i="111" s="1"/>
  <c r="AC19" i="111" s="1"/>
  <c r="O21" i="111"/>
  <c r="AA21" i="111" s="1"/>
  <c r="AC21" i="111" s="1"/>
  <c r="AE21" i="111" s="1"/>
  <c r="AG21" i="111" s="1"/>
  <c r="AH21" i="111" s="1"/>
  <c r="Q18" i="28"/>
  <c r="E18" i="53" s="1"/>
  <c r="O18" i="111"/>
  <c r="AA18" i="111" s="1"/>
  <c r="AC18" i="111" s="1"/>
  <c r="Q28" i="28"/>
  <c r="E28" i="53" s="1"/>
  <c r="O28" i="111"/>
  <c r="AA28" i="111" s="1"/>
  <c r="AC28" i="111" s="1"/>
  <c r="AE28" i="111" s="1"/>
  <c r="O29" i="111"/>
  <c r="AA29" i="111" s="1"/>
  <c r="AC29" i="111" s="1"/>
  <c r="AE29" i="111" s="1"/>
  <c r="O22" i="111"/>
  <c r="AA22" i="111" s="1"/>
  <c r="AC22" i="111" s="1"/>
  <c r="AE22" i="111" s="1"/>
  <c r="AG22" i="111" s="1"/>
  <c r="AH22" i="111" s="1"/>
  <c r="O25" i="111"/>
  <c r="AA25" i="111" s="1"/>
  <c r="AC25" i="111" s="1"/>
  <c r="AE25" i="111" s="1"/>
  <c r="AG25" i="111" s="1"/>
  <c r="AH25" i="111" s="1"/>
  <c r="O27" i="111"/>
  <c r="Q26" i="28"/>
  <c r="E26" i="53" s="1"/>
  <c r="O26" i="111"/>
  <c r="AA26" i="111" s="1"/>
  <c r="AC26" i="111" s="1"/>
  <c r="AE26" i="111" s="1"/>
  <c r="Q30" i="28"/>
  <c r="E30" i="53" s="1"/>
  <c r="O30" i="111"/>
  <c r="AA30" i="111" s="1"/>
  <c r="AC30" i="111" s="1"/>
  <c r="AE30" i="111" s="1"/>
  <c r="Q25" i="28"/>
  <c r="E25" i="53" s="1"/>
  <c r="E44" i="28"/>
  <c r="S44" i="28" s="1"/>
  <c r="Q29" i="28"/>
  <c r="E29" i="53" s="1"/>
  <c r="E39" i="28"/>
  <c r="E42" i="28"/>
  <c r="S42" i="28" s="1"/>
  <c r="E38" i="28"/>
  <c r="Q24" i="28"/>
  <c r="E24" i="53" s="1"/>
  <c r="E45" i="28"/>
  <c r="S45" i="28" s="1"/>
  <c r="E37" i="28"/>
  <c r="Q23" i="28"/>
  <c r="E23" i="53" s="1"/>
  <c r="Q21" i="28"/>
  <c r="E21" i="53" s="1"/>
  <c r="E40" i="28"/>
  <c r="S40" i="28" s="1"/>
  <c r="E46" i="28"/>
  <c r="Q22" i="28"/>
  <c r="E22" i="53" s="1"/>
  <c r="E50" i="28"/>
  <c r="S50" i="28" s="1"/>
  <c r="Q17" i="28"/>
  <c r="E17" i="53" s="1"/>
  <c r="E47" i="28"/>
  <c r="S47" i="28" s="1"/>
  <c r="E41" i="28"/>
  <c r="S41" i="28" s="1"/>
  <c r="E43" i="28"/>
  <c r="S43" i="28" s="1"/>
  <c r="Q20" i="28"/>
  <c r="E20" i="53" s="1"/>
  <c r="E48" i="28"/>
  <c r="S48" i="28" s="1"/>
  <c r="E49" i="28"/>
  <c r="S49" i="28" s="1"/>
  <c r="E40" i="104"/>
  <c r="I23" i="104"/>
  <c r="G28" i="104" s="1"/>
  <c r="K20" i="104"/>
  <c r="O19" i="104"/>
  <c r="AE19" i="111" l="1"/>
  <c r="AG19" i="111" s="1"/>
  <c r="AH19" i="111"/>
  <c r="AE18" i="111"/>
  <c r="AG18" i="111" s="1"/>
  <c r="AH18" i="111"/>
  <c r="K18" i="107" s="1"/>
  <c r="C18" i="54" s="1"/>
  <c r="G18" i="54" s="1"/>
  <c r="O18" i="54" s="1"/>
  <c r="Q37" i="28"/>
  <c r="E37" i="53" s="1"/>
  <c r="S37" i="28"/>
  <c r="Q38" i="28"/>
  <c r="E38" i="53" s="1"/>
  <c r="S38" i="28"/>
  <c r="Q39" i="28"/>
  <c r="E39" i="53" s="1"/>
  <c r="S39" i="28"/>
  <c r="K24" i="107"/>
  <c r="C24" i="54" s="1"/>
  <c r="G24" i="54" s="1"/>
  <c r="O24" i="54" s="1"/>
  <c r="K20" i="107"/>
  <c r="C20" i="54" s="1"/>
  <c r="G20" i="54" s="1"/>
  <c r="O20" i="54" s="1"/>
  <c r="K25" i="107"/>
  <c r="C25" i="54" s="1"/>
  <c r="G25" i="54" s="1"/>
  <c r="O25" i="54" s="1"/>
  <c r="K22" i="107"/>
  <c r="C22" i="54" s="1"/>
  <c r="G22" i="54" s="1"/>
  <c r="O22" i="54" s="1"/>
  <c r="M23" i="107"/>
  <c r="C23" i="28"/>
  <c r="G23" i="28" s="1"/>
  <c r="O23" i="28" s="1"/>
  <c r="C23" i="53" s="1"/>
  <c r="AC23" i="23" s="1"/>
  <c r="K21" i="107"/>
  <c r="C21" i="54" s="1"/>
  <c r="G21" i="54" s="1"/>
  <c r="O21" i="54" s="1"/>
  <c r="K19" i="107"/>
  <c r="C19" i="54" s="1"/>
  <c r="G19" i="54" s="1"/>
  <c r="O19" i="54" s="1"/>
  <c r="Q42" i="28"/>
  <c r="E42" i="53" s="1"/>
  <c r="Q40" i="28"/>
  <c r="E40" i="53" s="1"/>
  <c r="Q41" i="28"/>
  <c r="E41" i="53" s="1"/>
  <c r="Q50" i="28"/>
  <c r="E50" i="53" s="1"/>
  <c r="Q49" i="28"/>
  <c r="E49" i="53" s="1"/>
  <c r="G40" i="104"/>
  <c r="M21" i="104"/>
  <c r="M27" i="104" s="1"/>
  <c r="K23" i="104"/>
  <c r="I28" i="104" s="1"/>
  <c r="O20" i="104"/>
  <c r="M20" i="107" l="1"/>
  <c r="C24" i="28"/>
  <c r="G24" i="28" s="1"/>
  <c r="O24" i="28" s="1"/>
  <c r="C24" i="53" s="1"/>
  <c r="AC24" i="23" s="1"/>
  <c r="M24" i="107"/>
  <c r="C20" i="28"/>
  <c r="G20" i="28" s="1"/>
  <c r="O20" i="28" s="1"/>
  <c r="C20" i="53" s="1"/>
  <c r="M22" i="107"/>
  <c r="C22" i="28"/>
  <c r="G22" i="28" s="1"/>
  <c r="O22" i="28" s="1"/>
  <c r="C22" i="53" s="1"/>
  <c r="AC22" i="23" s="1"/>
  <c r="M19" i="107"/>
  <c r="C19" i="28"/>
  <c r="G19" i="28" s="1"/>
  <c r="O19" i="28" s="1"/>
  <c r="C19" i="53" s="1"/>
  <c r="C25" i="28"/>
  <c r="G25" i="28" s="1"/>
  <c r="O25" i="28" s="1"/>
  <c r="C25" i="53" s="1"/>
  <c r="AC25" i="23" s="1"/>
  <c r="M25" i="107"/>
  <c r="M18" i="107"/>
  <c r="C18" i="28"/>
  <c r="G18" i="28" s="1"/>
  <c r="O18" i="28" s="1"/>
  <c r="C18" i="53" s="1"/>
  <c r="M21" i="107"/>
  <c r="C21" i="28"/>
  <c r="G21" i="28" s="1"/>
  <c r="O21" i="28" s="1"/>
  <c r="C21" i="53" s="1"/>
  <c r="AC21" i="23" s="1"/>
  <c r="O27" i="104"/>
  <c r="M39" i="104"/>
  <c r="I40" i="104"/>
  <c r="M23" i="104"/>
  <c r="K28" i="104" s="1"/>
  <c r="O21" i="104"/>
  <c r="O23" i="104" s="1"/>
  <c r="C43" i="104" l="1"/>
  <c r="E43" i="104"/>
  <c r="O28" i="104"/>
  <c r="G43" i="104"/>
  <c r="C31" i="104"/>
  <c r="E31" i="104"/>
  <c r="I31" i="104"/>
  <c r="I94" i="104" s="1"/>
  <c r="I89" i="104" s="1"/>
  <c r="G88" i="104" s="1"/>
  <c r="E87" i="104" s="1"/>
  <c r="C86" i="104" s="1"/>
  <c r="G31" i="104"/>
  <c r="G94" i="104" s="1"/>
  <c r="G89" i="104" s="1"/>
  <c r="E88" i="104" s="1"/>
  <c r="C87" i="104" s="1"/>
  <c r="K31" i="104"/>
  <c r="K94" i="104" s="1"/>
  <c r="K89" i="104" s="1"/>
  <c r="I88" i="104" s="1"/>
  <c r="G87" i="104" s="1"/>
  <c r="E86" i="104" s="1"/>
  <c r="C85" i="104" s="1"/>
  <c r="K40" i="104"/>
  <c r="K43" i="104" s="1"/>
  <c r="I43" i="104"/>
  <c r="M31" i="104"/>
  <c r="M94" i="104" s="1"/>
  <c r="M89" i="104" s="1"/>
  <c r="M45" i="47"/>
  <c r="H43" i="47"/>
  <c r="G43" i="47"/>
  <c r="H42" i="47"/>
  <c r="G42" i="47"/>
  <c r="H41" i="47"/>
  <c r="G41" i="47"/>
  <c r="H40" i="47"/>
  <c r="G40" i="47"/>
  <c r="H39" i="47"/>
  <c r="G39" i="47"/>
  <c r="H38" i="47"/>
  <c r="G38" i="47"/>
  <c r="H37" i="47"/>
  <c r="G37" i="47"/>
  <c r="H36" i="47"/>
  <c r="G36" i="47"/>
  <c r="H35" i="47"/>
  <c r="G35" i="47"/>
  <c r="H34" i="47"/>
  <c r="G34" i="47"/>
  <c r="H33" i="47"/>
  <c r="G33" i="47"/>
  <c r="H32" i="47"/>
  <c r="G32" i="47"/>
  <c r="H31" i="47"/>
  <c r="G31" i="47"/>
  <c r="H30" i="47"/>
  <c r="G30" i="47"/>
  <c r="H29" i="47"/>
  <c r="G29" i="47"/>
  <c r="H28" i="47"/>
  <c r="G28" i="47"/>
  <c r="H27" i="47"/>
  <c r="G27" i="47"/>
  <c r="H26" i="47"/>
  <c r="G26" i="47"/>
  <c r="H25" i="47"/>
  <c r="G25" i="47"/>
  <c r="H24" i="47"/>
  <c r="G24" i="47"/>
  <c r="H23" i="47"/>
  <c r="G23" i="47"/>
  <c r="H22" i="47"/>
  <c r="G22" i="47"/>
  <c r="H21" i="47"/>
  <c r="G21" i="47"/>
  <c r="H20" i="47"/>
  <c r="G20" i="47"/>
  <c r="H19" i="47"/>
  <c r="G19" i="47"/>
  <c r="H18" i="47"/>
  <c r="G18" i="47"/>
  <c r="H17" i="47"/>
  <c r="G17" i="47"/>
  <c r="H16" i="47"/>
  <c r="G16" i="47"/>
  <c r="G15" i="47"/>
  <c r="K45" i="47"/>
  <c r="I45" i="47"/>
  <c r="E45" i="47"/>
  <c r="C45" i="47"/>
  <c r="A16" i="47"/>
  <c r="A17" i="47" s="1"/>
  <c r="A18" i="47" s="1"/>
  <c r="A19" i="47" s="1"/>
  <c r="A20" i="47" s="1"/>
  <c r="A21" i="47" s="1"/>
  <c r="A22" i="47" s="1"/>
  <c r="A23" i="47" s="1"/>
  <c r="A24" i="47" s="1"/>
  <c r="A25" i="47" s="1"/>
  <c r="A26" i="47" s="1"/>
  <c r="A27" i="47" s="1"/>
  <c r="A28" i="47" s="1"/>
  <c r="A29" i="47" s="1"/>
  <c r="A30" i="47" s="1"/>
  <c r="A31" i="47" s="1"/>
  <c r="A32" i="47" s="1"/>
  <c r="A33" i="47" s="1"/>
  <c r="A34" i="47" s="1"/>
  <c r="A35" i="47" s="1"/>
  <c r="A36" i="47" s="1"/>
  <c r="A37" i="47" s="1"/>
  <c r="A38" i="47" s="1"/>
  <c r="A39" i="47" s="1"/>
  <c r="A40" i="47" s="1"/>
  <c r="A41" i="47" s="1"/>
  <c r="A42" i="47" s="1"/>
  <c r="A43" i="47" s="1"/>
  <c r="G24" i="50"/>
  <c r="G23" i="50"/>
  <c r="G19" i="50"/>
  <c r="G18" i="50"/>
  <c r="G17" i="50"/>
  <c r="I16" i="49"/>
  <c r="G22" i="50"/>
  <c r="G21" i="50"/>
  <c r="G20" i="50"/>
  <c r="A17" i="50"/>
  <c r="I42" i="49"/>
  <c r="I41" i="49"/>
  <c r="I40" i="49"/>
  <c r="I39" i="49"/>
  <c r="I38" i="49"/>
  <c r="I37" i="49"/>
  <c r="I36" i="49"/>
  <c r="I35" i="49"/>
  <c r="I34" i="49"/>
  <c r="I33" i="49"/>
  <c r="I32" i="49"/>
  <c r="I31" i="49"/>
  <c r="I30" i="49"/>
  <c r="I29" i="49"/>
  <c r="I28" i="49"/>
  <c r="I27" i="49"/>
  <c r="I26" i="49"/>
  <c r="I25" i="49"/>
  <c r="I24" i="49"/>
  <c r="I23" i="49"/>
  <c r="I22" i="49"/>
  <c r="I21" i="49"/>
  <c r="I20" i="49"/>
  <c r="I19" i="49"/>
  <c r="I18" i="49"/>
  <c r="I17" i="49"/>
  <c r="I43" i="49"/>
  <c r="G24" i="49"/>
  <c r="G23" i="49"/>
  <c r="G22" i="49"/>
  <c r="G21" i="49"/>
  <c r="G20" i="49"/>
  <c r="G19" i="49"/>
  <c r="G18" i="49"/>
  <c r="G17" i="49"/>
  <c r="G16" i="49"/>
  <c r="E25" i="49"/>
  <c r="G25" i="49" s="1"/>
  <c r="A17" i="49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A36" i="49" s="1"/>
  <c r="A37" i="49" s="1"/>
  <c r="A38" i="49" s="1"/>
  <c r="A39" i="49" s="1"/>
  <c r="A40" i="49" s="1"/>
  <c r="A41" i="49" s="1"/>
  <c r="A42" i="49" s="1"/>
  <c r="A43" i="49" s="1"/>
  <c r="AH25" i="30"/>
  <c r="K25" i="30" s="1"/>
  <c r="AH24" i="30"/>
  <c r="K24" i="30" s="1"/>
  <c r="AH23" i="30"/>
  <c r="K23" i="30" s="1"/>
  <c r="AH22" i="30"/>
  <c r="K22" i="30" s="1"/>
  <c r="AH21" i="30"/>
  <c r="K21" i="30" s="1"/>
  <c r="AH20" i="30"/>
  <c r="AH19" i="30"/>
  <c r="K19" i="30" s="1"/>
  <c r="AH18" i="30"/>
  <c r="AH17" i="30"/>
  <c r="AH16" i="30"/>
  <c r="AF25" i="30"/>
  <c r="I25" i="30" s="1"/>
  <c r="AF24" i="30"/>
  <c r="I24" i="30" s="1"/>
  <c r="AF23" i="30"/>
  <c r="I23" i="30" s="1"/>
  <c r="AF22" i="30"/>
  <c r="I22" i="30" s="1"/>
  <c r="AF21" i="30"/>
  <c r="I21" i="30" s="1"/>
  <c r="AF20" i="30"/>
  <c r="I20" i="30" s="1"/>
  <c r="AF19" i="30"/>
  <c r="I19" i="30" s="1"/>
  <c r="AF18" i="30"/>
  <c r="I18" i="30" s="1"/>
  <c r="AF17" i="30"/>
  <c r="AF16" i="30"/>
  <c r="AE24" i="30"/>
  <c r="AE23" i="30" s="1"/>
  <c r="AE22" i="30" s="1"/>
  <c r="AE21" i="30" s="1"/>
  <c r="AE20" i="30" s="1"/>
  <c r="AE19" i="30" s="1"/>
  <c r="AE18" i="30" s="1"/>
  <c r="AE17" i="30" s="1"/>
  <c r="AE16" i="30" s="1"/>
  <c r="O41" i="30"/>
  <c r="M41" i="30"/>
  <c r="G25" i="30"/>
  <c r="G39" i="30" s="1"/>
  <c r="G24" i="30"/>
  <c r="G38" i="30" s="1"/>
  <c r="G23" i="30"/>
  <c r="G37" i="30" s="1"/>
  <c r="G22" i="30"/>
  <c r="G36" i="30" s="1"/>
  <c r="G21" i="30"/>
  <c r="G35" i="30" s="1"/>
  <c r="G20" i="30"/>
  <c r="G34" i="30" s="1"/>
  <c r="G19" i="30"/>
  <c r="G33" i="30" s="1"/>
  <c r="G18" i="30"/>
  <c r="G32" i="30" s="1"/>
  <c r="G17" i="30"/>
  <c r="G31" i="30" s="1"/>
  <c r="O27" i="30"/>
  <c r="M27" i="30"/>
  <c r="C27" i="30"/>
  <c r="A31" i="30"/>
  <c r="A32" i="30" s="1"/>
  <c r="A33" i="30" s="1"/>
  <c r="A34" i="30" s="1"/>
  <c r="A35" i="30" s="1"/>
  <c r="A36" i="30" s="1"/>
  <c r="A37" i="30" s="1"/>
  <c r="A38" i="30" s="1"/>
  <c r="A39" i="30" s="1"/>
  <c r="A17" i="30"/>
  <c r="A18" i="30" s="1"/>
  <c r="A19" i="30" s="1"/>
  <c r="A20" i="30" s="1"/>
  <c r="A21" i="30" s="1"/>
  <c r="A22" i="30" s="1"/>
  <c r="A23" i="30" s="1"/>
  <c r="A24" i="30" s="1"/>
  <c r="A25" i="30" s="1"/>
  <c r="K35" i="102" l="1"/>
  <c r="E31" i="27" s="1"/>
  <c r="S31" i="27" s="1"/>
  <c r="K28" i="102"/>
  <c r="E24" i="27" s="1"/>
  <c r="S24" i="27" s="1"/>
  <c r="K29" i="103"/>
  <c r="K28" i="101"/>
  <c r="K26" i="102"/>
  <c r="E22" i="27" s="1"/>
  <c r="S22" i="27" s="1"/>
  <c r="K33" i="103"/>
  <c r="E29" i="55" s="1"/>
  <c r="K27" i="103"/>
  <c r="E23" i="55" s="1"/>
  <c r="K30" i="103"/>
  <c r="E26" i="55" s="1"/>
  <c r="K33" i="101"/>
  <c r="K30" i="101"/>
  <c r="K34" i="101"/>
  <c r="K35" i="101"/>
  <c r="K33" i="102"/>
  <c r="E29" i="27" s="1"/>
  <c r="S29" i="27" s="1"/>
  <c r="K31" i="101"/>
  <c r="K32" i="102"/>
  <c r="E28" i="27" s="1"/>
  <c r="K29" i="101"/>
  <c r="K34" i="102"/>
  <c r="E30" i="27" s="1"/>
  <c r="S30" i="27" s="1"/>
  <c r="K22" i="100"/>
  <c r="K29" i="102"/>
  <c r="E25" i="27" s="1"/>
  <c r="K31" i="103"/>
  <c r="E27" i="55" s="1"/>
  <c r="K28" i="103"/>
  <c r="E24" i="55" s="1"/>
  <c r="K27" i="101"/>
  <c r="K25" i="102"/>
  <c r="E21" i="27" s="1"/>
  <c r="S21" i="27" s="1"/>
  <c r="K26" i="101"/>
  <c r="K35" i="103"/>
  <c r="E31" i="55" s="1"/>
  <c r="K34" i="103"/>
  <c r="E30" i="55" s="1"/>
  <c r="K32" i="103"/>
  <c r="K32" i="101"/>
  <c r="K31" i="102"/>
  <c r="E27" i="27" s="1"/>
  <c r="K27" i="102"/>
  <c r="E23" i="27" s="1"/>
  <c r="S23" i="27" s="1"/>
  <c r="K30" i="102"/>
  <c r="E26" i="27" s="1"/>
  <c r="K23" i="49"/>
  <c r="K24" i="49"/>
  <c r="A18" i="50"/>
  <c r="S24" i="30"/>
  <c r="U24" i="30" s="1"/>
  <c r="W24" i="30" s="1"/>
  <c r="Q22" i="30"/>
  <c r="S25" i="30"/>
  <c r="U25" i="30" s="1"/>
  <c r="W25" i="30" s="1"/>
  <c r="Q25" i="30"/>
  <c r="Q19" i="30"/>
  <c r="Q23" i="30"/>
  <c r="Q24" i="30"/>
  <c r="G27" i="30"/>
  <c r="G41" i="30"/>
  <c r="S19" i="30"/>
  <c r="U19" i="30" s="1"/>
  <c r="W19" i="30" s="1"/>
  <c r="Q18" i="30"/>
  <c r="S21" i="30"/>
  <c r="U21" i="30" s="1"/>
  <c r="W21" i="30" s="1"/>
  <c r="Q20" i="30"/>
  <c r="S22" i="30"/>
  <c r="U22" i="30" s="1"/>
  <c r="W22" i="30" s="1"/>
  <c r="Q21" i="30"/>
  <c r="S23" i="30"/>
  <c r="U23" i="30" s="1"/>
  <c r="W23" i="30" s="1"/>
  <c r="K16" i="49"/>
  <c r="K19" i="49"/>
  <c r="K17" i="49"/>
  <c r="K20" i="49"/>
  <c r="K21" i="49"/>
  <c r="K22" i="49"/>
  <c r="K18" i="49"/>
  <c r="K18" i="50"/>
  <c r="M18" i="50" s="1"/>
  <c r="K19" i="50"/>
  <c r="K16" i="50"/>
  <c r="M16" i="50" s="1"/>
  <c r="K20" i="50"/>
  <c r="K25" i="49"/>
  <c r="K23" i="50"/>
  <c r="K24" i="50"/>
  <c r="K21" i="50"/>
  <c r="K22" i="50"/>
  <c r="K17" i="50"/>
  <c r="M17" i="50" s="1"/>
  <c r="O31" i="104"/>
  <c r="E94" i="104"/>
  <c r="E89" i="104" s="1"/>
  <c r="C88" i="104" s="1"/>
  <c r="C94" i="104"/>
  <c r="C89" i="104" s="1"/>
  <c r="C35" i="104"/>
  <c r="K30" i="100"/>
  <c r="K27" i="100"/>
  <c r="K32" i="100"/>
  <c r="K28" i="100"/>
  <c r="K33" i="100"/>
  <c r="E28" i="55"/>
  <c r="K26" i="100"/>
  <c r="K35" i="100"/>
  <c r="K31" i="100"/>
  <c r="K34" i="100"/>
  <c r="K29" i="100"/>
  <c r="K24" i="102"/>
  <c r="E20" i="27" s="1"/>
  <c r="S20" i="27" s="1"/>
  <c r="K21" i="100"/>
  <c r="K26" i="103"/>
  <c r="E22" i="55" s="1"/>
  <c r="K25" i="101"/>
  <c r="K25" i="103"/>
  <c r="E21" i="55" s="1"/>
  <c r="K22" i="101"/>
  <c r="K23" i="102"/>
  <c r="E19" i="27" s="1"/>
  <c r="S19" i="27" s="1"/>
  <c r="K25" i="100"/>
  <c r="K21" i="101"/>
  <c r="K23" i="103"/>
  <c r="E19" i="55" s="1"/>
  <c r="K24" i="103"/>
  <c r="E20" i="55" s="1"/>
  <c r="K23" i="101"/>
  <c r="K22" i="103"/>
  <c r="E18" i="55" s="1"/>
  <c r="K21" i="103"/>
  <c r="E17" i="55" s="1"/>
  <c r="K23" i="100"/>
  <c r="E25" i="55"/>
  <c r="K21" i="102"/>
  <c r="E17" i="27" s="1"/>
  <c r="S17" i="27" s="1"/>
  <c r="K22" i="102"/>
  <c r="E18" i="27" s="1"/>
  <c r="S18" i="27" s="1"/>
  <c r="K24" i="101"/>
  <c r="K24" i="100"/>
  <c r="C32" i="104"/>
  <c r="E32" i="104"/>
  <c r="G32" i="104"/>
  <c r="I32" i="104"/>
  <c r="K88" i="104"/>
  <c r="M91" i="104"/>
  <c r="K32" i="104"/>
  <c r="I32" i="30"/>
  <c r="Q32" i="30" s="1"/>
  <c r="I31" i="30"/>
  <c r="Q31" i="30" s="1"/>
  <c r="K33" i="30"/>
  <c r="S33" i="30" s="1"/>
  <c r="U33" i="30" s="1"/>
  <c r="K35" i="30"/>
  <c r="S35" i="30" s="1"/>
  <c r="U35" i="30" s="1"/>
  <c r="W35" i="30" s="1"/>
  <c r="I17" i="30"/>
  <c r="Q17" i="30" s="1"/>
  <c r="I33" i="30"/>
  <c r="Q33" i="30" s="1"/>
  <c r="I34" i="30"/>
  <c r="Q34" i="30" s="1"/>
  <c r="I35" i="30"/>
  <c r="Q35" i="30" s="1"/>
  <c r="I36" i="30"/>
  <c r="Q36" i="30" s="1"/>
  <c r="I37" i="30"/>
  <c r="Q37" i="30" s="1"/>
  <c r="I38" i="30"/>
  <c r="Q38" i="30" s="1"/>
  <c r="I39" i="30"/>
  <c r="Q39" i="30" s="1"/>
  <c r="K31" i="30"/>
  <c r="S31" i="30" s="1"/>
  <c r="U31" i="30" s="1"/>
  <c r="K36" i="30"/>
  <c r="S36" i="30" s="1"/>
  <c r="U36" i="30" s="1"/>
  <c r="K37" i="30"/>
  <c r="S37" i="30" s="1"/>
  <c r="U37" i="30" s="1"/>
  <c r="K38" i="30"/>
  <c r="S38" i="30" s="1"/>
  <c r="U38" i="30" s="1"/>
  <c r="K39" i="30"/>
  <c r="S39" i="30" s="1"/>
  <c r="U39" i="30" s="1"/>
  <c r="K17" i="30"/>
  <c r="S17" i="30" s="1"/>
  <c r="U17" i="30" s="1"/>
  <c r="K18" i="30"/>
  <c r="S18" i="30" s="1"/>
  <c r="U18" i="30" s="1"/>
  <c r="K34" i="30"/>
  <c r="S34" i="30" s="1"/>
  <c r="U34" i="30" s="1"/>
  <c r="K32" i="30"/>
  <c r="S32" i="30" s="1"/>
  <c r="U32" i="30" s="1"/>
  <c r="K20" i="30"/>
  <c r="S20" i="30" s="1"/>
  <c r="U20" i="30" s="1"/>
  <c r="G45" i="47"/>
  <c r="U51" i="61"/>
  <c r="W51" i="61" s="1"/>
  <c r="Y51" i="61" s="1"/>
  <c r="S51" i="61"/>
  <c r="U50" i="61"/>
  <c r="W50" i="61" s="1"/>
  <c r="Y50" i="61" s="1"/>
  <c r="S50" i="61"/>
  <c r="U49" i="61"/>
  <c r="W49" i="61" s="1"/>
  <c r="Y49" i="61" s="1"/>
  <c r="S49" i="61"/>
  <c r="U48" i="61"/>
  <c r="W48" i="61" s="1"/>
  <c r="Y48" i="61" s="1"/>
  <c r="S48" i="61"/>
  <c r="U47" i="61"/>
  <c r="W47" i="61" s="1"/>
  <c r="Y47" i="61" s="1"/>
  <c r="S47" i="61"/>
  <c r="U46" i="61"/>
  <c r="W46" i="61" s="1"/>
  <c r="Y46" i="61" s="1"/>
  <c r="S46" i="61"/>
  <c r="U45" i="61"/>
  <c r="W45" i="61" s="1"/>
  <c r="Y45" i="61" s="1"/>
  <c r="S45" i="61"/>
  <c r="U44" i="61"/>
  <c r="W44" i="61" s="1"/>
  <c r="Y44" i="61" s="1"/>
  <c r="S44" i="61"/>
  <c r="U43" i="61"/>
  <c r="W43" i="61" s="1"/>
  <c r="S43" i="61"/>
  <c r="U38" i="61"/>
  <c r="W38" i="61" s="1"/>
  <c r="Y38" i="61" s="1"/>
  <c r="S38" i="61"/>
  <c r="U37" i="61"/>
  <c r="W37" i="61" s="1"/>
  <c r="Y37" i="61" s="1"/>
  <c r="S37" i="61"/>
  <c r="U36" i="61"/>
  <c r="W36" i="61" s="1"/>
  <c r="Y36" i="61" s="1"/>
  <c r="S36" i="61"/>
  <c r="U35" i="61"/>
  <c r="W35" i="61" s="1"/>
  <c r="Y35" i="61" s="1"/>
  <c r="S35" i="61"/>
  <c r="U34" i="61"/>
  <c r="W34" i="61" s="1"/>
  <c r="Y34" i="61" s="1"/>
  <c r="S34" i="61"/>
  <c r="U33" i="61"/>
  <c r="W33" i="61" s="1"/>
  <c r="Y33" i="61" s="1"/>
  <c r="S33" i="61"/>
  <c r="U32" i="61"/>
  <c r="W32" i="61" s="1"/>
  <c r="Y32" i="61" s="1"/>
  <c r="S32" i="61"/>
  <c r="U31" i="61"/>
  <c r="W31" i="61" s="1"/>
  <c r="Y31" i="61" s="1"/>
  <c r="S31" i="61"/>
  <c r="U30" i="61"/>
  <c r="W30" i="61" s="1"/>
  <c r="S30" i="61"/>
  <c r="AE24" i="61"/>
  <c r="AE23" i="61" s="1"/>
  <c r="AE22" i="61" s="1"/>
  <c r="AE21" i="61" s="1"/>
  <c r="AE20" i="61" s="1"/>
  <c r="AE19" i="61" s="1"/>
  <c r="AE18" i="61" s="1"/>
  <c r="AE17" i="61" s="1"/>
  <c r="AE16" i="61" s="1"/>
  <c r="Q64" i="61"/>
  <c r="O64" i="61"/>
  <c r="I64" i="61"/>
  <c r="C64" i="61"/>
  <c r="Q63" i="61"/>
  <c r="O63" i="61"/>
  <c r="I63" i="61"/>
  <c r="C63" i="61"/>
  <c r="Q62" i="61"/>
  <c r="O62" i="61"/>
  <c r="I62" i="61"/>
  <c r="C62" i="61"/>
  <c r="Q61" i="61"/>
  <c r="O61" i="61"/>
  <c r="I61" i="61"/>
  <c r="C61" i="61"/>
  <c r="Q60" i="61"/>
  <c r="O60" i="61"/>
  <c r="I60" i="61"/>
  <c r="C60" i="61"/>
  <c r="Q59" i="61"/>
  <c r="O59" i="61"/>
  <c r="I59" i="61"/>
  <c r="C59" i="61"/>
  <c r="Q58" i="61"/>
  <c r="O58" i="61"/>
  <c r="I58" i="61"/>
  <c r="C58" i="61"/>
  <c r="Q57" i="61"/>
  <c r="O57" i="61"/>
  <c r="I57" i="61"/>
  <c r="C57" i="61"/>
  <c r="Q56" i="61"/>
  <c r="O56" i="61"/>
  <c r="I56" i="61"/>
  <c r="C56" i="61"/>
  <c r="Q53" i="61"/>
  <c r="O53" i="61"/>
  <c r="I53" i="61"/>
  <c r="Q40" i="61"/>
  <c r="O40" i="61"/>
  <c r="I40" i="61"/>
  <c r="Q27" i="61"/>
  <c r="O27" i="61"/>
  <c r="I27" i="61"/>
  <c r="C27" i="61"/>
  <c r="A56" i="61"/>
  <c r="A57" i="61" s="1"/>
  <c r="A58" i="61" s="1"/>
  <c r="A59" i="61" s="1"/>
  <c r="A60" i="61" s="1"/>
  <c r="A61" i="61" s="1"/>
  <c r="A62" i="61" s="1"/>
  <c r="A63" i="61" s="1"/>
  <c r="A64" i="61" s="1"/>
  <c r="A43" i="61"/>
  <c r="A44" i="61" s="1"/>
  <c r="A45" i="61" s="1"/>
  <c r="A46" i="61" s="1"/>
  <c r="A47" i="61" s="1"/>
  <c r="A48" i="61" s="1"/>
  <c r="A49" i="61" s="1"/>
  <c r="A50" i="61" s="1"/>
  <c r="A51" i="61" s="1"/>
  <c r="A30" i="61"/>
  <c r="A31" i="61" s="1"/>
  <c r="A32" i="61" s="1"/>
  <c r="A33" i="61" s="1"/>
  <c r="A34" i="61" s="1"/>
  <c r="A35" i="61" s="1"/>
  <c r="A36" i="61" s="1"/>
  <c r="A37" i="61" s="1"/>
  <c r="A38" i="61" s="1"/>
  <c r="A17" i="61"/>
  <c r="A18" i="61" s="1"/>
  <c r="A19" i="61" s="1"/>
  <c r="A20" i="61" s="1"/>
  <c r="A21" i="61" s="1"/>
  <c r="A22" i="61" s="1"/>
  <c r="A23" i="61" s="1"/>
  <c r="A24" i="61" s="1"/>
  <c r="A25" i="61" s="1"/>
  <c r="AE24" i="86"/>
  <c r="AE23" i="86" s="1"/>
  <c r="AE22" i="86" s="1"/>
  <c r="AE21" i="86" s="1"/>
  <c r="AE20" i="86" s="1"/>
  <c r="AE19" i="86" s="1"/>
  <c r="AE18" i="86" s="1"/>
  <c r="AE17" i="86" s="1"/>
  <c r="AE16" i="86" s="1"/>
  <c r="G51" i="86"/>
  <c r="G50" i="86"/>
  <c r="G49" i="86"/>
  <c r="G48" i="86"/>
  <c r="G47" i="86"/>
  <c r="G46" i="86"/>
  <c r="G45" i="86"/>
  <c r="G44" i="86"/>
  <c r="G43" i="86"/>
  <c r="C38" i="86"/>
  <c r="G38" i="86" s="1"/>
  <c r="C37" i="86"/>
  <c r="G37" i="86" s="1"/>
  <c r="C36" i="86"/>
  <c r="G36" i="86" s="1"/>
  <c r="C35" i="86"/>
  <c r="G35" i="86" s="1"/>
  <c r="C34" i="86"/>
  <c r="G34" i="86" s="1"/>
  <c r="C33" i="86"/>
  <c r="G33" i="86" s="1"/>
  <c r="C32" i="86"/>
  <c r="G32" i="86" s="1"/>
  <c r="C31" i="86"/>
  <c r="G31" i="86" s="1"/>
  <c r="C30" i="86"/>
  <c r="I51" i="89"/>
  <c r="I64" i="89" s="1"/>
  <c r="I50" i="89"/>
  <c r="I49" i="89"/>
  <c r="C49" i="88" s="1"/>
  <c r="I48" i="89"/>
  <c r="I47" i="89"/>
  <c r="C47" i="88" s="1"/>
  <c r="G47" i="88" s="1"/>
  <c r="I46" i="89"/>
  <c r="I45" i="89"/>
  <c r="I58" i="89" s="1"/>
  <c r="I44" i="89"/>
  <c r="I43" i="89"/>
  <c r="I38" i="89"/>
  <c r="I37" i="89"/>
  <c r="I36" i="89"/>
  <c r="I35" i="89"/>
  <c r="C35" i="88" s="1"/>
  <c r="G35" i="88" s="1"/>
  <c r="I34" i="89"/>
  <c r="C34" i="88" s="1"/>
  <c r="G34" i="88" s="1"/>
  <c r="I33" i="89"/>
  <c r="C33" i="88" s="1"/>
  <c r="G33" i="88" s="1"/>
  <c r="I32" i="89"/>
  <c r="I31" i="89"/>
  <c r="I30" i="89"/>
  <c r="C30" i="88" s="1"/>
  <c r="G30" i="88" s="1"/>
  <c r="G25" i="86"/>
  <c r="G24" i="86"/>
  <c r="G23" i="86"/>
  <c r="G22" i="86"/>
  <c r="C60" i="86"/>
  <c r="G20" i="86"/>
  <c r="G19" i="86"/>
  <c r="G18" i="86"/>
  <c r="G17" i="86"/>
  <c r="M64" i="86"/>
  <c r="M63" i="86"/>
  <c r="M62" i="86"/>
  <c r="M61" i="86"/>
  <c r="M60" i="86"/>
  <c r="M59" i="86"/>
  <c r="M58" i="86"/>
  <c r="M57" i="86"/>
  <c r="M56" i="86"/>
  <c r="O64" i="86"/>
  <c r="O63" i="86"/>
  <c r="O62" i="86"/>
  <c r="O61" i="86"/>
  <c r="O60" i="86"/>
  <c r="O59" i="86"/>
  <c r="O58" i="86"/>
  <c r="O57" i="86"/>
  <c r="O56" i="86"/>
  <c r="O53" i="86"/>
  <c r="M53" i="86"/>
  <c r="O40" i="86"/>
  <c r="M40" i="86"/>
  <c r="O27" i="86"/>
  <c r="M27" i="86"/>
  <c r="A56" i="86"/>
  <c r="A57" i="86" s="1"/>
  <c r="A58" i="86" s="1"/>
  <c r="A59" i="86" s="1"/>
  <c r="A60" i="86" s="1"/>
  <c r="A61" i="86" s="1"/>
  <c r="A62" i="86" s="1"/>
  <c r="A63" i="86" s="1"/>
  <c r="A64" i="86" s="1"/>
  <c r="A43" i="86"/>
  <c r="A44" i="86" s="1"/>
  <c r="A45" i="86" s="1"/>
  <c r="A46" i="86" s="1"/>
  <c r="A47" i="86" s="1"/>
  <c r="A48" i="86" s="1"/>
  <c r="A49" i="86" s="1"/>
  <c r="A50" i="86" s="1"/>
  <c r="A51" i="86" s="1"/>
  <c r="A30" i="86"/>
  <c r="A31" i="86" s="1"/>
  <c r="A32" i="86" s="1"/>
  <c r="A33" i="86" s="1"/>
  <c r="A34" i="86" s="1"/>
  <c r="A35" i="86" s="1"/>
  <c r="A36" i="86" s="1"/>
  <c r="A37" i="86" s="1"/>
  <c r="A38" i="86" s="1"/>
  <c r="A17" i="86"/>
  <c r="A18" i="86" s="1"/>
  <c r="A19" i="86" s="1"/>
  <c r="A20" i="86" s="1"/>
  <c r="A21" i="86" s="1"/>
  <c r="A22" i="86" s="1"/>
  <c r="A23" i="86" s="1"/>
  <c r="A24" i="86" s="1"/>
  <c r="A25" i="86" s="1"/>
  <c r="AE24" i="89"/>
  <c r="AE23" i="89" s="1"/>
  <c r="AE22" i="89" s="1"/>
  <c r="AE21" i="89" s="1"/>
  <c r="AE20" i="89" s="1"/>
  <c r="AE19" i="89" s="1"/>
  <c r="AE18" i="89" s="1"/>
  <c r="AE17" i="89" s="1"/>
  <c r="AE16" i="89" s="1"/>
  <c r="Q64" i="89"/>
  <c r="Q63" i="89"/>
  <c r="Q62" i="89"/>
  <c r="Q61" i="89"/>
  <c r="Q60" i="89"/>
  <c r="Q59" i="89"/>
  <c r="Q58" i="89"/>
  <c r="Q57" i="89"/>
  <c r="Q56" i="89"/>
  <c r="O64" i="89"/>
  <c r="O63" i="89"/>
  <c r="O62" i="89"/>
  <c r="O61" i="89"/>
  <c r="O60" i="89"/>
  <c r="O59" i="89"/>
  <c r="O58" i="89"/>
  <c r="O57" i="89"/>
  <c r="O56" i="89"/>
  <c r="C64" i="89"/>
  <c r="C63" i="89"/>
  <c r="C62" i="89"/>
  <c r="C61" i="89"/>
  <c r="C60" i="89"/>
  <c r="C59" i="89"/>
  <c r="C58" i="89"/>
  <c r="C57" i="89"/>
  <c r="C56" i="89"/>
  <c r="Q53" i="89"/>
  <c r="O53" i="89"/>
  <c r="C53" i="89"/>
  <c r="Q40" i="89"/>
  <c r="O40" i="89"/>
  <c r="C40" i="89"/>
  <c r="Q27" i="89"/>
  <c r="O27" i="89"/>
  <c r="C27" i="89"/>
  <c r="A56" i="89"/>
  <c r="A57" i="89" s="1"/>
  <c r="A58" i="89" s="1"/>
  <c r="A59" i="89" s="1"/>
  <c r="A60" i="89" s="1"/>
  <c r="A61" i="89" s="1"/>
  <c r="A62" i="89" s="1"/>
  <c r="A63" i="89" s="1"/>
  <c r="A64" i="89" s="1"/>
  <c r="A43" i="89"/>
  <c r="A44" i="89" s="1"/>
  <c r="A45" i="89" s="1"/>
  <c r="A46" i="89" s="1"/>
  <c r="A47" i="89" s="1"/>
  <c r="A48" i="89" s="1"/>
  <c r="A49" i="89" s="1"/>
  <c r="A50" i="89" s="1"/>
  <c r="A51" i="89" s="1"/>
  <c r="A30" i="89"/>
  <c r="A31" i="89" s="1"/>
  <c r="A32" i="89" s="1"/>
  <c r="A33" i="89" s="1"/>
  <c r="A34" i="89" s="1"/>
  <c r="A35" i="89" s="1"/>
  <c r="A36" i="89" s="1"/>
  <c r="A37" i="89" s="1"/>
  <c r="A38" i="89" s="1"/>
  <c r="A17" i="89"/>
  <c r="A18" i="89" s="1"/>
  <c r="A19" i="89" s="1"/>
  <c r="A20" i="89" s="1"/>
  <c r="A21" i="89" s="1"/>
  <c r="A22" i="89" s="1"/>
  <c r="A23" i="89" s="1"/>
  <c r="A24" i="89" s="1"/>
  <c r="A25" i="89" s="1"/>
  <c r="C24" i="88"/>
  <c r="I60" i="89"/>
  <c r="C18" i="88"/>
  <c r="I27" i="89"/>
  <c r="AE24" i="88"/>
  <c r="AE23" i="88" s="1"/>
  <c r="AE22" i="88" s="1"/>
  <c r="AE21" i="88" s="1"/>
  <c r="AE20" i="88" s="1"/>
  <c r="AE19" i="88" s="1"/>
  <c r="AE18" i="88" s="1"/>
  <c r="AE17" i="88" s="1"/>
  <c r="AE16" i="88" s="1"/>
  <c r="C46" i="88"/>
  <c r="G46" i="88" s="1"/>
  <c r="C44" i="88"/>
  <c r="G44" i="88" s="1"/>
  <c r="C43" i="88"/>
  <c r="G43" i="88" s="1"/>
  <c r="C38" i="88"/>
  <c r="G38" i="88" s="1"/>
  <c r="C37" i="88"/>
  <c r="G37" i="88" s="1"/>
  <c r="C36" i="88"/>
  <c r="G36" i="88" s="1"/>
  <c r="C32" i="88"/>
  <c r="G32" i="88" s="1"/>
  <c r="C31" i="88"/>
  <c r="G31" i="88" s="1"/>
  <c r="C25" i="88"/>
  <c r="C23" i="88"/>
  <c r="G23" i="88" s="1"/>
  <c r="C22" i="88"/>
  <c r="G22" i="88" s="1"/>
  <c r="C21" i="88"/>
  <c r="C20" i="88"/>
  <c r="G20" i="88" s="1"/>
  <c r="C19" i="88"/>
  <c r="G19" i="88" s="1"/>
  <c r="C17" i="88"/>
  <c r="W64" i="88"/>
  <c r="O64" i="88"/>
  <c r="M64" i="88"/>
  <c r="W63" i="88"/>
  <c r="O63" i="88"/>
  <c r="M63" i="88"/>
  <c r="W62" i="88"/>
  <c r="O62" i="88"/>
  <c r="M62" i="88"/>
  <c r="W61" i="88"/>
  <c r="O61" i="88"/>
  <c r="M61" i="88"/>
  <c r="W60" i="88"/>
  <c r="O60" i="88"/>
  <c r="M60" i="88"/>
  <c r="W59" i="88"/>
  <c r="O59" i="88"/>
  <c r="M59" i="88"/>
  <c r="W58" i="88"/>
  <c r="O58" i="88"/>
  <c r="M58" i="88"/>
  <c r="W57" i="88"/>
  <c r="O57" i="88"/>
  <c r="M57" i="88"/>
  <c r="W56" i="88"/>
  <c r="O56" i="88"/>
  <c r="M56" i="88"/>
  <c r="W53" i="88"/>
  <c r="O53" i="88"/>
  <c r="M53" i="88"/>
  <c r="W40" i="88"/>
  <c r="O40" i="88"/>
  <c r="M40" i="88"/>
  <c r="W27" i="88"/>
  <c r="O27" i="88"/>
  <c r="M27" i="88"/>
  <c r="A56" i="88"/>
  <c r="A57" i="88" s="1"/>
  <c r="A58" i="88" s="1"/>
  <c r="A59" i="88" s="1"/>
  <c r="A60" i="88" s="1"/>
  <c r="A61" i="88" s="1"/>
  <c r="A62" i="88" s="1"/>
  <c r="A63" i="88" s="1"/>
  <c r="A64" i="88" s="1"/>
  <c r="A43" i="88"/>
  <c r="A44" i="88" s="1"/>
  <c r="A45" i="88" s="1"/>
  <c r="A46" i="88" s="1"/>
  <c r="A47" i="88" s="1"/>
  <c r="A48" i="88" s="1"/>
  <c r="A49" i="88" s="1"/>
  <c r="A50" i="88" s="1"/>
  <c r="A51" i="88" s="1"/>
  <c r="A30" i="88"/>
  <c r="A31" i="88" s="1"/>
  <c r="A32" i="88" s="1"/>
  <c r="A33" i="88" s="1"/>
  <c r="A34" i="88" s="1"/>
  <c r="A35" i="88" s="1"/>
  <c r="A36" i="88" s="1"/>
  <c r="A37" i="88" s="1"/>
  <c r="A38" i="88" s="1"/>
  <c r="A17" i="88"/>
  <c r="A18" i="88" s="1"/>
  <c r="A19" i="88" s="1"/>
  <c r="A20" i="88" s="1"/>
  <c r="A21" i="88" s="1"/>
  <c r="A22" i="88" s="1"/>
  <c r="A23" i="88" s="1"/>
  <c r="A24" i="88" s="1"/>
  <c r="A25" i="88" s="1"/>
  <c r="I59" i="89" l="1"/>
  <c r="C45" i="88"/>
  <c r="M36" i="111"/>
  <c r="Y36" i="111" s="1"/>
  <c r="S17" i="55"/>
  <c r="M48" i="111"/>
  <c r="Y48" i="111" s="1"/>
  <c r="S29" i="55"/>
  <c r="M39" i="111"/>
  <c r="Y39" i="111" s="1"/>
  <c r="S20" i="55"/>
  <c r="M41" i="111"/>
  <c r="Y41" i="111" s="1"/>
  <c r="S22" i="55"/>
  <c r="M47" i="111"/>
  <c r="Y47" i="111" s="1"/>
  <c r="S28" i="55"/>
  <c r="AE16" i="107"/>
  <c r="S27" i="27"/>
  <c r="M43" i="111"/>
  <c r="Y43" i="111" s="1"/>
  <c r="S24" i="55"/>
  <c r="M45" i="111"/>
  <c r="Y45" i="111" s="1"/>
  <c r="S26" i="55"/>
  <c r="M40" i="111"/>
  <c r="Y40" i="111" s="1"/>
  <c r="S21" i="55"/>
  <c r="M46" i="111"/>
  <c r="Y46" i="111" s="1"/>
  <c r="S27" i="55"/>
  <c r="M37" i="111"/>
  <c r="Y37" i="111" s="1"/>
  <c r="S18" i="55"/>
  <c r="AE21" i="107"/>
  <c r="S26" i="27"/>
  <c r="M38" i="111"/>
  <c r="Y38" i="111" s="1"/>
  <c r="S19" i="55"/>
  <c r="AE15" i="107"/>
  <c r="S25" i="27"/>
  <c r="AE18" i="107"/>
  <c r="S28" i="27"/>
  <c r="M44" i="111"/>
  <c r="Y44" i="111" s="1"/>
  <c r="S25" i="55"/>
  <c r="M49" i="111"/>
  <c r="Y49" i="111" s="1"/>
  <c r="S30" i="55"/>
  <c r="M42" i="111"/>
  <c r="Y42" i="111" s="1"/>
  <c r="S23" i="55"/>
  <c r="M50" i="111"/>
  <c r="Y50" i="111" s="1"/>
  <c r="S31" i="55"/>
  <c r="M35" i="100"/>
  <c r="M35" i="102"/>
  <c r="M34" i="100"/>
  <c r="M27" i="103"/>
  <c r="M29" i="100"/>
  <c r="M22" i="101"/>
  <c r="M25" i="100"/>
  <c r="M24" i="100"/>
  <c r="M26" i="103"/>
  <c r="M25" i="103"/>
  <c r="M24" i="101"/>
  <c r="M21" i="102"/>
  <c r="M31" i="100"/>
  <c r="M33" i="101"/>
  <c r="M30" i="101"/>
  <c r="M34" i="101"/>
  <c r="M21" i="101"/>
  <c r="M29" i="102"/>
  <c r="M28" i="103"/>
  <c r="M22" i="103"/>
  <c r="M33" i="102"/>
  <c r="M30" i="103"/>
  <c r="M20" i="102"/>
  <c r="M22" i="102"/>
  <c r="M22" i="100"/>
  <c r="M31" i="102"/>
  <c r="M21" i="100"/>
  <c r="M29" i="101"/>
  <c r="M34" i="102"/>
  <c r="M28" i="100"/>
  <c r="M34" i="103"/>
  <c r="M24" i="103"/>
  <c r="M20" i="100"/>
  <c r="M32" i="100"/>
  <c r="M31" i="103"/>
  <c r="M31" i="101"/>
  <c r="M32" i="102"/>
  <c r="M23" i="100"/>
  <c r="M21" i="103"/>
  <c r="M23" i="102"/>
  <c r="M30" i="100"/>
  <c r="M27" i="101"/>
  <c r="M25" i="102"/>
  <c r="M26" i="101"/>
  <c r="M33" i="100"/>
  <c r="M35" i="103"/>
  <c r="M35" i="101"/>
  <c r="M25" i="101"/>
  <c r="M23" i="103"/>
  <c r="M20" i="101"/>
  <c r="M26" i="100"/>
  <c r="M27" i="100"/>
  <c r="M24" i="102"/>
  <c r="M32" i="103"/>
  <c r="M32" i="101"/>
  <c r="M26" i="102"/>
  <c r="M20" i="103"/>
  <c r="M28" i="101"/>
  <c r="M33" i="103"/>
  <c r="M23" i="101"/>
  <c r="M27" i="102"/>
  <c r="M30" i="102"/>
  <c r="M28" i="102"/>
  <c r="M29" i="103"/>
  <c r="M21" i="49"/>
  <c r="P21" i="43"/>
  <c r="M20" i="49"/>
  <c r="P20" i="43"/>
  <c r="M17" i="49"/>
  <c r="P17" i="43"/>
  <c r="M19" i="49"/>
  <c r="P19" i="43"/>
  <c r="M16" i="49"/>
  <c r="P16" i="43"/>
  <c r="M25" i="49"/>
  <c r="P25" i="43"/>
  <c r="M18" i="49"/>
  <c r="P18" i="43"/>
  <c r="M24" i="49"/>
  <c r="P24" i="43"/>
  <c r="M22" i="49"/>
  <c r="P22" i="43"/>
  <c r="M23" i="49"/>
  <c r="P23" i="43"/>
  <c r="C57" i="86"/>
  <c r="O38" i="111"/>
  <c r="AA38" i="111" s="1"/>
  <c r="AC38" i="111" s="1"/>
  <c r="O48" i="111"/>
  <c r="O44" i="111"/>
  <c r="AA44" i="111" s="1"/>
  <c r="AC44" i="111" s="1"/>
  <c r="O46" i="111"/>
  <c r="AA46" i="111" s="1"/>
  <c r="AC46" i="111" s="1"/>
  <c r="O40" i="111"/>
  <c r="AA40" i="111" s="1"/>
  <c r="AC40" i="111" s="1"/>
  <c r="O50" i="111"/>
  <c r="AA50" i="111" s="1"/>
  <c r="AC50" i="111" s="1"/>
  <c r="AE50" i="111" s="1"/>
  <c r="O43" i="111"/>
  <c r="AA43" i="111" s="1"/>
  <c r="AC43" i="111" s="1"/>
  <c r="AE43" i="111" s="1"/>
  <c r="AG43" i="111" s="1"/>
  <c r="AH43" i="111" s="1"/>
  <c r="O45" i="111"/>
  <c r="AA45" i="111" s="1"/>
  <c r="AC45" i="111" s="1"/>
  <c r="O37" i="111"/>
  <c r="AA37" i="111" s="1"/>
  <c r="AC37" i="111" s="1"/>
  <c r="O36" i="111"/>
  <c r="AA36" i="111" s="1"/>
  <c r="O42" i="111"/>
  <c r="AA42" i="111" s="1"/>
  <c r="AC42" i="111" s="1"/>
  <c r="AE42" i="111" s="1"/>
  <c r="AG42" i="111" s="1"/>
  <c r="AH42" i="111" s="1"/>
  <c r="O39" i="111"/>
  <c r="AA39" i="111" s="1"/>
  <c r="AC39" i="111" s="1"/>
  <c r="AE39" i="111" s="1"/>
  <c r="AG39" i="111" s="1"/>
  <c r="AH39" i="111" s="1"/>
  <c r="O41" i="111"/>
  <c r="AA41" i="111" s="1"/>
  <c r="AC41" i="111" s="1"/>
  <c r="O49" i="111"/>
  <c r="O47" i="111"/>
  <c r="AA47" i="111" s="1"/>
  <c r="AC47" i="111" s="1"/>
  <c r="AE47" i="111" s="1"/>
  <c r="A19" i="50"/>
  <c r="M19" i="50" s="1"/>
  <c r="C51" i="88"/>
  <c r="G51" i="88" s="1"/>
  <c r="M66" i="86"/>
  <c r="O89" i="104"/>
  <c r="I66" i="61"/>
  <c r="S53" i="61"/>
  <c r="I40" i="89"/>
  <c r="Q27" i="30"/>
  <c r="M66" i="88"/>
  <c r="I56" i="89"/>
  <c r="I57" i="89"/>
  <c r="C66" i="89"/>
  <c r="C66" i="61"/>
  <c r="O66" i="86"/>
  <c r="S40" i="61"/>
  <c r="G53" i="86"/>
  <c r="C64" i="86"/>
  <c r="G63" i="86"/>
  <c r="Q18" i="27"/>
  <c r="E18" i="56" s="1"/>
  <c r="M18" i="56" s="1"/>
  <c r="E37" i="27"/>
  <c r="E44" i="27"/>
  <c r="Q25" i="27"/>
  <c r="E25" i="56" s="1"/>
  <c r="Q21" i="55"/>
  <c r="I21" i="56" s="1"/>
  <c r="E49" i="27"/>
  <c r="Q30" i="27"/>
  <c r="E30" i="56" s="1"/>
  <c r="E40" i="27"/>
  <c r="Q21" i="27"/>
  <c r="E21" i="56" s="1"/>
  <c r="E47" i="55"/>
  <c r="Q28" i="55"/>
  <c r="I28" i="56" s="1"/>
  <c r="Q31" i="55"/>
  <c r="I31" i="56" s="1"/>
  <c r="E50" i="55"/>
  <c r="S50" i="55" s="1"/>
  <c r="I87" i="104"/>
  <c r="K91" i="104"/>
  <c r="E47" i="27"/>
  <c r="Q28" i="27"/>
  <c r="E28" i="56" s="1"/>
  <c r="E40" i="55"/>
  <c r="Q20" i="55"/>
  <c r="I20" i="56" s="1"/>
  <c r="E39" i="55"/>
  <c r="Q29" i="27"/>
  <c r="E29" i="56" s="1"/>
  <c r="E48" i="27"/>
  <c r="Q18" i="55"/>
  <c r="I18" i="56" s="1"/>
  <c r="E37" i="55"/>
  <c r="S37" i="55" s="1"/>
  <c r="O32" i="104"/>
  <c r="C36" i="104"/>
  <c r="E44" i="55"/>
  <c r="Q25" i="55"/>
  <c r="I25" i="56" s="1"/>
  <c r="E38" i="55"/>
  <c r="Q19" i="55"/>
  <c r="I19" i="56" s="1"/>
  <c r="Q29" i="55"/>
  <c r="I29" i="56" s="1"/>
  <c r="E48" i="55"/>
  <c r="E43" i="55"/>
  <c r="Q24" i="55"/>
  <c r="I24" i="56" s="1"/>
  <c r="E42" i="27"/>
  <c r="Q23" i="27"/>
  <c r="E23" i="56" s="1"/>
  <c r="E41" i="55"/>
  <c r="Q22" i="55"/>
  <c r="I22" i="56" s="1"/>
  <c r="Q30" i="55"/>
  <c r="I30" i="56" s="1"/>
  <c r="E49" i="55"/>
  <c r="S49" i="55" s="1"/>
  <c r="Q31" i="27"/>
  <c r="E31" i="56" s="1"/>
  <c r="E50" i="27"/>
  <c r="Q27" i="27"/>
  <c r="E27" i="56" s="1"/>
  <c r="E46" i="27"/>
  <c r="E35" i="104"/>
  <c r="I21" i="96"/>
  <c r="Q17" i="55"/>
  <c r="I17" i="56" s="1"/>
  <c r="E45" i="55"/>
  <c r="Q26" i="55"/>
  <c r="I26" i="56" s="1"/>
  <c r="Q17" i="27"/>
  <c r="E17" i="56" s="1"/>
  <c r="M17" i="56" s="1"/>
  <c r="Q24" i="27"/>
  <c r="E24" i="56" s="1"/>
  <c r="E43" i="27"/>
  <c r="Q20" i="27"/>
  <c r="E20" i="56" s="1"/>
  <c r="M20" i="56" s="1"/>
  <c r="E39" i="27"/>
  <c r="Q27" i="55"/>
  <c r="I27" i="56" s="1"/>
  <c r="E46" i="55"/>
  <c r="O88" i="104"/>
  <c r="E38" i="27"/>
  <c r="Q19" i="27"/>
  <c r="E19" i="56" s="1"/>
  <c r="M19" i="56" s="1"/>
  <c r="Q22" i="27"/>
  <c r="E22" i="56" s="1"/>
  <c r="E41" i="27"/>
  <c r="Q26" i="27"/>
  <c r="E26" i="56" s="1"/>
  <c r="E45" i="27"/>
  <c r="E42" i="55"/>
  <c r="Q23" i="55"/>
  <c r="I23" i="56" s="1"/>
  <c r="G64" i="86"/>
  <c r="O66" i="61"/>
  <c r="C63" i="86"/>
  <c r="C40" i="86"/>
  <c r="G57" i="86"/>
  <c r="Q66" i="61"/>
  <c r="W33" i="30"/>
  <c r="C58" i="86"/>
  <c r="G21" i="86"/>
  <c r="G27" i="86" s="1"/>
  <c r="G58" i="86"/>
  <c r="C59" i="86"/>
  <c r="G62" i="86"/>
  <c r="I21" i="81"/>
  <c r="M21" i="81" s="1"/>
  <c r="G25" i="88"/>
  <c r="C58" i="88"/>
  <c r="O66" i="89"/>
  <c r="G17" i="88"/>
  <c r="I24" i="81"/>
  <c r="M24" i="81" s="1"/>
  <c r="I25" i="81"/>
  <c r="M25" i="81" s="1"/>
  <c r="Q66" i="89"/>
  <c r="I20" i="81"/>
  <c r="M20" i="81" s="1"/>
  <c r="G21" i="88"/>
  <c r="G18" i="88"/>
  <c r="G24" i="88"/>
  <c r="W34" i="30"/>
  <c r="W20" i="30"/>
  <c r="W32" i="30"/>
  <c r="W39" i="30"/>
  <c r="W18" i="30"/>
  <c r="W38" i="30"/>
  <c r="W37" i="30"/>
  <c r="W36" i="30"/>
  <c r="Q41" i="30"/>
  <c r="S27" i="30"/>
  <c r="S41" i="30"/>
  <c r="U41" i="30"/>
  <c r="W31" i="30"/>
  <c r="W17" i="30"/>
  <c r="U27" i="30"/>
  <c r="Y43" i="61"/>
  <c r="Y53" i="61" s="1"/>
  <c r="W53" i="61"/>
  <c r="W40" i="61"/>
  <c r="Y30" i="61"/>
  <c r="Y40" i="61" s="1"/>
  <c r="U40" i="61"/>
  <c r="U53" i="61"/>
  <c r="C62" i="86"/>
  <c r="G30" i="86"/>
  <c r="G40" i="86" s="1"/>
  <c r="G60" i="86"/>
  <c r="C61" i="86"/>
  <c r="G61" i="86"/>
  <c r="G49" i="88"/>
  <c r="G62" i="88" s="1"/>
  <c r="C62" i="88"/>
  <c r="I62" i="89"/>
  <c r="G45" i="88"/>
  <c r="G58" i="88" s="1"/>
  <c r="C48" i="88"/>
  <c r="G48" i="88" s="1"/>
  <c r="G61" i="88" s="1"/>
  <c r="I63" i="89"/>
  <c r="I53" i="89"/>
  <c r="I61" i="89"/>
  <c r="C50" i="88"/>
  <c r="G50" i="88" s="1"/>
  <c r="G40" i="88"/>
  <c r="C40" i="88"/>
  <c r="C59" i="88"/>
  <c r="G59" i="86"/>
  <c r="C27" i="86"/>
  <c r="C56" i="86"/>
  <c r="W66" i="88"/>
  <c r="G59" i="88"/>
  <c r="C57" i="88"/>
  <c r="C60" i="88"/>
  <c r="C56" i="88"/>
  <c r="C27" i="88"/>
  <c r="O66" i="88"/>
  <c r="M49" i="23"/>
  <c r="M48" i="23"/>
  <c r="M45" i="23"/>
  <c r="M44" i="23"/>
  <c r="M41" i="23"/>
  <c r="M40" i="23"/>
  <c r="M37" i="23"/>
  <c r="AG45" i="105"/>
  <c r="AF45" i="105"/>
  <c r="AG44" i="105"/>
  <c r="AG43" i="105"/>
  <c r="AF43" i="105"/>
  <c r="AG42" i="105"/>
  <c r="AG41" i="105"/>
  <c r="AG40" i="105"/>
  <c r="AG39" i="105"/>
  <c r="AF39" i="105"/>
  <c r="AG38" i="105"/>
  <c r="AG37" i="105"/>
  <c r="AF37" i="105"/>
  <c r="R78" i="15" s="1"/>
  <c r="AG36" i="105"/>
  <c r="AG35" i="105"/>
  <c r="AF35" i="105"/>
  <c r="R76" i="15" s="1"/>
  <c r="AG34" i="105"/>
  <c r="AG33" i="105"/>
  <c r="AF33" i="105"/>
  <c r="R74" i="15" s="1"/>
  <c r="AG32" i="105"/>
  <c r="AG31" i="105"/>
  <c r="S72" i="15" s="1"/>
  <c r="AF31" i="105"/>
  <c r="R72" i="15" s="1"/>
  <c r="A37" i="23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18" i="23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7" i="53"/>
  <c r="A38" i="53" s="1"/>
  <c r="A39" i="53" s="1"/>
  <c r="A40" i="53" s="1"/>
  <c r="A41" i="53" s="1"/>
  <c r="A42" i="53" s="1"/>
  <c r="A43" i="53" s="1"/>
  <c r="A44" i="53" s="1"/>
  <c r="A45" i="53" s="1"/>
  <c r="A46" i="53" s="1"/>
  <c r="A47" i="53" s="1"/>
  <c r="A48" i="53" s="1"/>
  <c r="A49" i="53" s="1"/>
  <c r="A50" i="53" s="1"/>
  <c r="A18" i="53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M30" i="111"/>
  <c r="Y30" i="111" s="1"/>
  <c r="M29" i="111"/>
  <c r="Y29" i="111" s="1"/>
  <c r="M28" i="111"/>
  <c r="Y28" i="111" s="1"/>
  <c r="M27" i="111"/>
  <c r="M26" i="111"/>
  <c r="Y26" i="111" s="1"/>
  <c r="M25" i="111"/>
  <c r="Y25" i="111" s="1"/>
  <c r="M24" i="111"/>
  <c r="Y24" i="111" s="1"/>
  <c r="M23" i="111"/>
  <c r="Y23" i="111" s="1"/>
  <c r="M22" i="111"/>
  <c r="Y22" i="111" s="1"/>
  <c r="M21" i="111"/>
  <c r="Y21" i="111" s="1"/>
  <c r="M20" i="111"/>
  <c r="Y20" i="111" s="1"/>
  <c r="M19" i="111"/>
  <c r="Y19" i="111" s="1"/>
  <c r="M17" i="111"/>
  <c r="Y17" i="111" s="1"/>
  <c r="M31" i="111"/>
  <c r="Y31" i="111" s="1"/>
  <c r="A37" i="54"/>
  <c r="A38" i="54" s="1"/>
  <c r="A39" i="54" s="1"/>
  <c r="A40" i="54" s="1"/>
  <c r="A41" i="54" s="1"/>
  <c r="A42" i="54" s="1"/>
  <c r="A43" i="54" s="1"/>
  <c r="A44" i="54" s="1"/>
  <c r="A45" i="54" s="1"/>
  <c r="A46" i="54" s="1"/>
  <c r="A47" i="54" s="1"/>
  <c r="A48" i="54" s="1"/>
  <c r="A49" i="54" s="1"/>
  <c r="A50" i="54" s="1"/>
  <c r="A18" i="54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K36" i="53"/>
  <c r="A37" i="56"/>
  <c r="A38" i="56" s="1"/>
  <c r="A39" i="56" s="1"/>
  <c r="A40" i="56" s="1"/>
  <c r="A41" i="56" s="1"/>
  <c r="A42" i="56" s="1"/>
  <c r="A43" i="56" s="1"/>
  <c r="A44" i="56" s="1"/>
  <c r="A45" i="56" s="1"/>
  <c r="A46" i="56" s="1"/>
  <c r="A47" i="56" s="1"/>
  <c r="A48" i="56" s="1"/>
  <c r="A49" i="56" s="1"/>
  <c r="A50" i="56" s="1"/>
  <c r="A18" i="56"/>
  <c r="A19" i="56" s="1"/>
  <c r="A20" i="56" s="1"/>
  <c r="A21" i="56" s="1"/>
  <c r="A22" i="56" s="1"/>
  <c r="A23" i="56" s="1"/>
  <c r="A24" i="56" s="1"/>
  <c r="A25" i="56" s="1"/>
  <c r="A26" i="56" s="1"/>
  <c r="A27" i="56" s="1"/>
  <c r="A28" i="56" s="1"/>
  <c r="A29" i="56" s="1"/>
  <c r="A30" i="56" s="1"/>
  <c r="A31" i="56" s="1"/>
  <c r="A18" i="96"/>
  <c r="A19" i="96" s="1"/>
  <c r="A20" i="96" s="1"/>
  <c r="A21" i="96" s="1"/>
  <c r="G64" i="88" l="1"/>
  <c r="Y52" i="111"/>
  <c r="B126" i="136"/>
  <c r="S44" i="55"/>
  <c r="B122" i="136"/>
  <c r="S40" i="55"/>
  <c r="B129" i="136"/>
  <c r="S47" i="55"/>
  <c r="B128" i="136"/>
  <c r="C128" i="136" s="1"/>
  <c r="D128" i="136" s="1"/>
  <c r="S46" i="55"/>
  <c r="B130" i="136"/>
  <c r="S48" i="55"/>
  <c r="B125" i="136"/>
  <c r="S43" i="55"/>
  <c r="AE20" i="107"/>
  <c r="AE22" i="107" s="1"/>
  <c r="AE17" i="107"/>
  <c r="AE19" i="107" s="1"/>
  <c r="B127" i="136"/>
  <c r="C126" i="136" s="1"/>
  <c r="D126" i="136" s="1"/>
  <c r="S45" i="55"/>
  <c r="B123" i="136"/>
  <c r="S41" i="55"/>
  <c r="B120" i="136"/>
  <c r="S38" i="55"/>
  <c r="B124" i="136"/>
  <c r="C123" i="136" s="1"/>
  <c r="D123" i="136" s="1"/>
  <c r="S42" i="55"/>
  <c r="B121" i="136"/>
  <c r="S39" i="55"/>
  <c r="AE38" i="111"/>
  <c r="AG38" i="111" s="1"/>
  <c r="AH38" i="111"/>
  <c r="K38" i="107" s="1"/>
  <c r="C19" i="27" s="1"/>
  <c r="AE37" i="111"/>
  <c r="AG37" i="111" s="1"/>
  <c r="AH37" i="111"/>
  <c r="U20" i="56"/>
  <c r="C40" i="108"/>
  <c r="U17" i="56"/>
  <c r="C37" i="108"/>
  <c r="U19" i="56"/>
  <c r="C39" i="108"/>
  <c r="U18" i="56"/>
  <c r="C38" i="108"/>
  <c r="X76" i="15"/>
  <c r="AG133" i="105"/>
  <c r="S84" i="15"/>
  <c r="Y84" i="15" s="1"/>
  <c r="AG125" i="105"/>
  <c r="S76" i="15"/>
  <c r="Y76" i="15" s="1"/>
  <c r="AG134" i="105"/>
  <c r="S85" i="15"/>
  <c r="Y85" i="15" s="1"/>
  <c r="AG132" i="105"/>
  <c r="S83" i="15"/>
  <c r="Y83" i="15" s="1"/>
  <c r="AG126" i="105"/>
  <c r="S77" i="15"/>
  <c r="Y77" i="15" s="1"/>
  <c r="AF135" i="105"/>
  <c r="R86" i="15"/>
  <c r="X74" i="15"/>
  <c r="X78" i="15"/>
  <c r="AG135" i="105"/>
  <c r="S86" i="15"/>
  <c r="Y86" i="15" s="1"/>
  <c r="AG127" i="105"/>
  <c r="S78" i="15"/>
  <c r="Y78" i="15" s="1"/>
  <c r="AG131" i="105"/>
  <c r="S82" i="15"/>
  <c r="Y82" i="15" s="1"/>
  <c r="AG128" i="105"/>
  <c r="S79" i="15"/>
  <c r="Y79" i="15" s="1"/>
  <c r="AG123" i="105"/>
  <c r="S74" i="15"/>
  <c r="Y74" i="15" s="1"/>
  <c r="X72" i="15"/>
  <c r="T72" i="15"/>
  <c r="AF129" i="105"/>
  <c r="R80" i="15"/>
  <c r="AG124" i="105"/>
  <c r="S75" i="15"/>
  <c r="Y75" i="15" s="1"/>
  <c r="Y72" i="15"/>
  <c r="AG129" i="105"/>
  <c r="S80" i="15"/>
  <c r="Y80" i="15" s="1"/>
  <c r="AF133" i="105"/>
  <c r="R84" i="15"/>
  <c r="AG122" i="105"/>
  <c r="S73" i="15"/>
  <c r="Y73" i="15" s="1"/>
  <c r="AG130" i="105"/>
  <c r="S81" i="15"/>
  <c r="Y81" i="15" s="1"/>
  <c r="AE41" i="111"/>
  <c r="AG41" i="111" s="1"/>
  <c r="AH41" i="111" s="1"/>
  <c r="K41" i="107" s="1"/>
  <c r="AE53" i="111"/>
  <c r="AE40" i="111"/>
  <c r="AG40" i="111" s="1"/>
  <c r="AH40" i="111" s="1"/>
  <c r="K40" i="107" s="1"/>
  <c r="M18" i="111"/>
  <c r="Y18" i="111" s="1"/>
  <c r="E37" i="54"/>
  <c r="AE44" i="111"/>
  <c r="AG44" i="111" s="1"/>
  <c r="AE45" i="111"/>
  <c r="AE46" i="111"/>
  <c r="B131" i="136"/>
  <c r="C130" i="136" s="1"/>
  <c r="D130" i="136" s="1"/>
  <c r="B132" i="136"/>
  <c r="C132" i="136" s="1"/>
  <c r="D132" i="136" s="1"/>
  <c r="C64" i="88"/>
  <c r="K42" i="107"/>
  <c r="K37" i="107"/>
  <c r="M37" i="107" s="1"/>
  <c r="K43" i="107"/>
  <c r="K39" i="107"/>
  <c r="M39" i="107" s="1"/>
  <c r="AC36" i="111"/>
  <c r="AH36" i="111" s="1"/>
  <c r="AA49" i="111"/>
  <c r="AC49" i="111" s="1"/>
  <c r="AE49" i="111" s="1"/>
  <c r="AA48" i="111"/>
  <c r="AC48" i="111" s="1"/>
  <c r="AE48" i="111" s="1"/>
  <c r="A20" i="50"/>
  <c r="M20" i="50" s="1"/>
  <c r="C125" i="136"/>
  <c r="D125" i="136" s="1"/>
  <c r="C122" i="136"/>
  <c r="D122" i="136" s="1"/>
  <c r="C124" i="136"/>
  <c r="D124" i="136" s="1"/>
  <c r="I66" i="89"/>
  <c r="C66" i="86"/>
  <c r="C36" i="133"/>
  <c r="C36" i="118"/>
  <c r="O36" i="118" s="1"/>
  <c r="S33" i="27"/>
  <c r="E36" i="104"/>
  <c r="Q49" i="27"/>
  <c r="E49" i="56" s="1"/>
  <c r="Q39" i="27"/>
  <c r="E39" i="56" s="1"/>
  <c r="M39" i="56" s="1"/>
  <c r="Q37" i="55"/>
  <c r="I37" i="56" s="1"/>
  <c r="S50" i="27"/>
  <c r="Q50" i="27"/>
  <c r="E50" i="56" s="1"/>
  <c r="Q42" i="27"/>
  <c r="E42" i="56" s="1"/>
  <c r="M42" i="56" s="1"/>
  <c r="Q41" i="27"/>
  <c r="E41" i="56" s="1"/>
  <c r="M41" i="56" s="1"/>
  <c r="Q40" i="27"/>
  <c r="E40" i="56" s="1"/>
  <c r="M40" i="56" s="1"/>
  <c r="Q42" i="55"/>
  <c r="I42" i="56" s="1"/>
  <c r="Q33" i="55"/>
  <c r="Q38" i="55"/>
  <c r="I38" i="56" s="1"/>
  <c r="Q38" i="27"/>
  <c r="E38" i="56" s="1"/>
  <c r="M38" i="56" s="1"/>
  <c r="S33" i="55"/>
  <c r="Q49" i="55"/>
  <c r="I49" i="56" s="1"/>
  <c r="G86" i="104"/>
  <c r="I91" i="104"/>
  <c r="O87" i="104"/>
  <c r="Q41" i="55"/>
  <c r="I41" i="56" s="1"/>
  <c r="Q37" i="27"/>
  <c r="E37" i="56" s="1"/>
  <c r="M37" i="56" s="1"/>
  <c r="Q40" i="55"/>
  <c r="I40" i="56" s="1"/>
  <c r="Q33" i="27"/>
  <c r="G35" i="104"/>
  <c r="I20" i="96"/>
  <c r="Q39" i="55"/>
  <c r="I39" i="56" s="1"/>
  <c r="Q50" i="55"/>
  <c r="I50" i="56" s="1"/>
  <c r="I26" i="53"/>
  <c r="I31" i="53"/>
  <c r="I29" i="53"/>
  <c r="I30" i="53"/>
  <c r="I19" i="53"/>
  <c r="I18" i="53"/>
  <c r="I21" i="53"/>
  <c r="I28" i="53"/>
  <c r="I22" i="53"/>
  <c r="I20" i="53"/>
  <c r="I23" i="53"/>
  <c r="I24" i="53"/>
  <c r="I25" i="53"/>
  <c r="AG121" i="105"/>
  <c r="C36" i="23"/>
  <c r="M43" i="23"/>
  <c r="M25" i="23"/>
  <c r="M63" i="23" s="1"/>
  <c r="M21" i="23"/>
  <c r="M59" i="23" s="1"/>
  <c r="M29" i="23"/>
  <c r="M67" i="23" s="1"/>
  <c r="M17" i="23"/>
  <c r="M28" i="23"/>
  <c r="AF42" i="105"/>
  <c r="M18" i="23"/>
  <c r="M56" i="23" s="1"/>
  <c r="AF32" i="105"/>
  <c r="R73" i="15" s="1"/>
  <c r="AF127" i="105"/>
  <c r="M23" i="23"/>
  <c r="M38" i="23"/>
  <c r="M50" i="23"/>
  <c r="AF123" i="105"/>
  <c r="AL33" i="105"/>
  <c r="BF33" i="105" s="1"/>
  <c r="M24" i="23"/>
  <c r="AF38" i="105"/>
  <c r="M30" i="23"/>
  <c r="M68" i="23" s="1"/>
  <c r="AF44" i="105"/>
  <c r="M39" i="23"/>
  <c r="M19" i="23"/>
  <c r="M20" i="23"/>
  <c r="AF34" i="105"/>
  <c r="R75" i="15" s="1"/>
  <c r="M26" i="23"/>
  <c r="M64" i="23" s="1"/>
  <c r="AF40" i="105"/>
  <c r="AF125" i="105"/>
  <c r="AL35" i="105"/>
  <c r="BF35" i="105" s="1"/>
  <c r="M31" i="23"/>
  <c r="M47" i="23"/>
  <c r="AF121" i="105"/>
  <c r="AL31" i="105"/>
  <c r="BF31" i="105" s="1"/>
  <c r="M22" i="23"/>
  <c r="M60" i="23" s="1"/>
  <c r="AF36" i="105"/>
  <c r="R77" i="15" s="1"/>
  <c r="M42" i="23"/>
  <c r="G27" i="82"/>
  <c r="G57" i="88"/>
  <c r="G56" i="88"/>
  <c r="G27" i="88"/>
  <c r="G60" i="88"/>
  <c r="W27" i="30"/>
  <c r="E45" i="54"/>
  <c r="B104" i="136" s="1"/>
  <c r="C61" i="88"/>
  <c r="I18" i="81"/>
  <c r="M18" i="81" s="1"/>
  <c r="G53" i="88"/>
  <c r="K20" i="53"/>
  <c r="C21" i="108" s="1"/>
  <c r="G21" i="108" s="1"/>
  <c r="G22" i="53"/>
  <c r="E41" i="54"/>
  <c r="B100" i="136" s="1"/>
  <c r="K19" i="53"/>
  <c r="C20" i="108" s="1"/>
  <c r="G20" i="108" s="1"/>
  <c r="E40" i="54"/>
  <c r="B99" i="136" s="1"/>
  <c r="E42" i="54"/>
  <c r="B101" i="136" s="1"/>
  <c r="E44" i="54"/>
  <c r="B103" i="136" s="1"/>
  <c r="K24" i="53"/>
  <c r="C25" i="108" s="1"/>
  <c r="E43" i="54"/>
  <c r="B102" i="136" s="1"/>
  <c r="K25" i="53"/>
  <c r="C26" i="108" s="1"/>
  <c r="E46" i="54"/>
  <c r="B105" i="136" s="1"/>
  <c r="E50" i="54"/>
  <c r="B109" i="136" s="1"/>
  <c r="C109" i="136" s="1"/>
  <c r="D109" i="136" s="1"/>
  <c r="E47" i="54"/>
  <c r="B106" i="136" s="1"/>
  <c r="E49" i="54"/>
  <c r="B108" i="136" s="1"/>
  <c r="E48" i="54"/>
  <c r="B107" i="136" s="1"/>
  <c r="E38" i="54"/>
  <c r="B97" i="136" s="1"/>
  <c r="K18" i="53"/>
  <c r="C19" i="108" s="1"/>
  <c r="G19" i="108" s="1"/>
  <c r="E39" i="54"/>
  <c r="B98" i="136" s="1"/>
  <c r="T18" i="56"/>
  <c r="T19" i="56"/>
  <c r="W41" i="30"/>
  <c r="G23" i="53"/>
  <c r="G18" i="53"/>
  <c r="G24" i="53"/>
  <c r="G19" i="53"/>
  <c r="G25" i="53"/>
  <c r="G20" i="53"/>
  <c r="G21" i="53"/>
  <c r="T20" i="56"/>
  <c r="K21" i="53"/>
  <c r="C22" i="108" s="1"/>
  <c r="G22" i="108" s="1"/>
  <c r="K22" i="53"/>
  <c r="C23" i="108" s="1"/>
  <c r="G23" i="108" s="1"/>
  <c r="K42" i="53"/>
  <c r="K23" i="53"/>
  <c r="C24" i="108" s="1"/>
  <c r="G56" i="86"/>
  <c r="G66" i="86" s="1"/>
  <c r="C53" i="88"/>
  <c r="C63" i="88"/>
  <c r="G63" i="88"/>
  <c r="M36" i="23"/>
  <c r="K52" i="23"/>
  <c r="K33" i="23"/>
  <c r="E35" i="18"/>
  <c r="E34" i="18"/>
  <c r="E33" i="18"/>
  <c r="E32" i="18"/>
  <c r="E31" i="18"/>
  <c r="E30" i="18"/>
  <c r="E29" i="18"/>
  <c r="E28" i="18"/>
  <c r="E27" i="18"/>
  <c r="E26" i="18"/>
  <c r="E25" i="18"/>
  <c r="E24" i="18"/>
  <c r="E23" i="18"/>
  <c r="E22" i="18"/>
  <c r="E21" i="18"/>
  <c r="E20" i="18"/>
  <c r="E19" i="18"/>
  <c r="E18" i="18"/>
  <c r="E17" i="18"/>
  <c r="E16" i="18"/>
  <c r="E26" i="44"/>
  <c r="E33" i="44"/>
  <c r="E32" i="44"/>
  <c r="E31" i="44"/>
  <c r="E30" i="44"/>
  <c r="E29" i="44"/>
  <c r="E28" i="44"/>
  <c r="E27" i="44"/>
  <c r="E25" i="44"/>
  <c r="E24" i="44"/>
  <c r="E23" i="44"/>
  <c r="E22" i="44"/>
  <c r="E21" i="44"/>
  <c r="E20" i="44"/>
  <c r="E19" i="44"/>
  <c r="E18" i="44"/>
  <c r="E17" i="44"/>
  <c r="E16" i="44"/>
  <c r="E34" i="44"/>
  <c r="E35" i="44"/>
  <c r="E27" i="45"/>
  <c r="E24" i="78"/>
  <c r="K24" i="78" s="1"/>
  <c r="E24" i="79" s="1"/>
  <c r="K24" i="79" s="1"/>
  <c r="E23" i="78"/>
  <c r="K23" i="78" s="1"/>
  <c r="E23" i="79" s="1"/>
  <c r="K23" i="79" s="1"/>
  <c r="E22" i="78"/>
  <c r="K22" i="78" s="1"/>
  <c r="E22" i="79" s="1"/>
  <c r="K22" i="79" s="1"/>
  <c r="E21" i="78"/>
  <c r="K21" i="78" s="1"/>
  <c r="E21" i="79" s="1"/>
  <c r="K21" i="79" s="1"/>
  <c r="E20" i="78"/>
  <c r="K20" i="78" s="1"/>
  <c r="E20" i="79" s="1"/>
  <c r="K20" i="79" s="1"/>
  <c r="E19" i="78"/>
  <c r="K19" i="78" s="1"/>
  <c r="E19" i="79" s="1"/>
  <c r="K19" i="79" s="1"/>
  <c r="E18" i="78"/>
  <c r="K18" i="78" s="1"/>
  <c r="E18" i="79" s="1"/>
  <c r="K18" i="79" s="1"/>
  <c r="E17" i="78"/>
  <c r="K17" i="78" s="1"/>
  <c r="E17" i="79" s="1"/>
  <c r="K17" i="79" s="1"/>
  <c r="E16" i="78"/>
  <c r="K16" i="78" s="1"/>
  <c r="E16" i="79" s="1"/>
  <c r="K16" i="79" s="1"/>
  <c r="G46" i="78"/>
  <c r="E24" i="77"/>
  <c r="K24" i="77" s="1"/>
  <c r="C24" i="79" s="1"/>
  <c r="E23" i="77"/>
  <c r="K23" i="77" s="1"/>
  <c r="C23" i="79" s="1"/>
  <c r="E22" i="77"/>
  <c r="K22" i="77" s="1"/>
  <c r="C22" i="79" s="1"/>
  <c r="E21" i="77"/>
  <c r="K21" i="77" s="1"/>
  <c r="C21" i="79" s="1"/>
  <c r="E20" i="77"/>
  <c r="K20" i="77" s="1"/>
  <c r="C20" i="79" s="1"/>
  <c r="E19" i="77"/>
  <c r="K19" i="77" s="1"/>
  <c r="C19" i="79" s="1"/>
  <c r="E18" i="77"/>
  <c r="K18" i="77" s="1"/>
  <c r="C18" i="79" s="1"/>
  <c r="E17" i="77"/>
  <c r="K17" i="77" s="1"/>
  <c r="C17" i="79" s="1"/>
  <c r="E16" i="77"/>
  <c r="K16" i="77" s="1"/>
  <c r="C16" i="79" s="1"/>
  <c r="G46" i="77"/>
  <c r="A18" i="17"/>
  <c r="A19" i="17" s="1"/>
  <c r="A20" i="17" s="1"/>
  <c r="A21" i="17" s="1"/>
  <c r="A22" i="17" s="1"/>
  <c r="A23" i="17" s="1"/>
  <c r="A24" i="17" s="1"/>
  <c r="A25" i="17" s="1"/>
  <c r="A18" i="16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18" i="105"/>
  <c r="A19" i="105" s="1"/>
  <c r="A20" i="105" s="1"/>
  <c r="A21" i="105" s="1"/>
  <c r="A22" i="105" s="1"/>
  <c r="A23" i="105" s="1"/>
  <c r="A24" i="105" s="1"/>
  <c r="A25" i="105" s="1"/>
  <c r="A26" i="105" s="1"/>
  <c r="A27" i="105" s="1"/>
  <c r="A28" i="105" s="1"/>
  <c r="A29" i="105" s="1"/>
  <c r="A30" i="105" s="1"/>
  <c r="A31" i="105" s="1"/>
  <c r="A32" i="105" s="1"/>
  <c r="A33" i="105" s="1"/>
  <c r="A34" i="105" s="1"/>
  <c r="A35" i="105" s="1"/>
  <c r="A36" i="105" s="1"/>
  <c r="A37" i="105" s="1"/>
  <c r="A38" i="105" s="1"/>
  <c r="A39" i="105" s="1"/>
  <c r="A40" i="105" s="1"/>
  <c r="A41" i="105" s="1"/>
  <c r="A42" i="105" s="1"/>
  <c r="A43" i="105" s="1"/>
  <c r="A44" i="105" s="1"/>
  <c r="A45" i="105" s="1"/>
  <c r="A18" i="106"/>
  <c r="A19" i="106" s="1"/>
  <c r="A20" i="106" s="1"/>
  <c r="A21" i="106" s="1"/>
  <c r="A22" i="106" s="1"/>
  <c r="A23" i="106" s="1"/>
  <c r="A24" i="106" s="1"/>
  <c r="A25" i="106" s="1"/>
  <c r="A26" i="106" s="1"/>
  <c r="A27" i="106" s="1"/>
  <c r="A28" i="106" s="1"/>
  <c r="A29" i="106" s="1"/>
  <c r="A30" i="106" s="1"/>
  <c r="A31" i="106" s="1"/>
  <c r="A32" i="106" s="1"/>
  <c r="A33" i="106" s="1"/>
  <c r="A34" i="106" s="1"/>
  <c r="A35" i="106" s="1"/>
  <c r="A36" i="106" s="1"/>
  <c r="A37" i="106" s="1"/>
  <c r="A38" i="106" s="1"/>
  <c r="A39" i="106" s="1"/>
  <c r="A40" i="106" s="1"/>
  <c r="A41" i="106" s="1"/>
  <c r="A42" i="106" s="1"/>
  <c r="A43" i="106" s="1"/>
  <c r="A44" i="106" s="1"/>
  <c r="C17" i="13"/>
  <c r="C18" i="13" s="1"/>
  <c r="C19" i="13" s="1"/>
  <c r="C20" i="13" s="1"/>
  <c r="C21" i="13" s="1"/>
  <c r="C22" i="13" s="1"/>
  <c r="C23" i="13" s="1"/>
  <c r="C24" i="13" s="1"/>
  <c r="C25" i="13" s="1"/>
  <c r="C26" i="13" s="1"/>
  <c r="C27" i="13" s="1"/>
  <c r="C28" i="13" s="1"/>
  <c r="C29" i="13" s="1"/>
  <c r="C30" i="13" s="1"/>
  <c r="C31" i="13" s="1"/>
  <c r="C32" i="13" s="1"/>
  <c r="C33" i="13" s="1"/>
  <c r="C34" i="13" s="1"/>
  <c r="C35" i="13" s="1"/>
  <c r="C36" i="13" s="1"/>
  <c r="C37" i="13" s="1"/>
  <c r="C38" i="13" s="1"/>
  <c r="C39" i="13" s="1"/>
  <c r="C40" i="13" s="1"/>
  <c r="C41" i="13" s="1"/>
  <c r="C42" i="13" s="1"/>
  <c r="C43" i="13" s="1"/>
  <c r="C44" i="13" s="1"/>
  <c r="A16" i="12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17" i="79"/>
  <c r="A17" i="78"/>
  <c r="A18" i="78" s="1"/>
  <c r="A19" i="78" s="1"/>
  <c r="A20" i="78" s="1"/>
  <c r="A21" i="78" s="1"/>
  <c r="A22" i="78" s="1"/>
  <c r="A23" i="78" s="1"/>
  <c r="A24" i="78" s="1"/>
  <c r="A25" i="78" s="1"/>
  <c r="A26" i="78" s="1"/>
  <c r="A27" i="78" s="1"/>
  <c r="A28" i="78" s="1"/>
  <c r="A29" i="78" s="1"/>
  <c r="A30" i="78" s="1"/>
  <c r="A31" i="78" s="1"/>
  <c r="A32" i="78" s="1"/>
  <c r="A33" i="78" s="1"/>
  <c r="A34" i="78" s="1"/>
  <c r="A35" i="78" s="1"/>
  <c r="A36" i="78" s="1"/>
  <c r="A37" i="78" s="1"/>
  <c r="A38" i="78" s="1"/>
  <c r="A39" i="78" s="1"/>
  <c r="A40" i="78" s="1"/>
  <c r="A41" i="78" s="1"/>
  <c r="A42" i="78" s="1"/>
  <c r="A43" i="78" s="1"/>
  <c r="A44" i="78" s="1"/>
  <c r="A17" i="77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A36" i="77" s="1"/>
  <c r="A37" i="77" s="1"/>
  <c r="A38" i="77" s="1"/>
  <c r="A39" i="77" s="1"/>
  <c r="A40" i="77" s="1"/>
  <c r="A41" i="77" s="1"/>
  <c r="A42" i="77" s="1"/>
  <c r="A43" i="77" s="1"/>
  <c r="A44" i="77" s="1"/>
  <c r="A17" i="10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I44" i="36"/>
  <c r="G44" i="36"/>
  <c r="I43" i="36"/>
  <c r="G43" i="36"/>
  <c r="I42" i="36"/>
  <c r="G42" i="36"/>
  <c r="I41" i="36"/>
  <c r="G41" i="36"/>
  <c r="I40" i="36"/>
  <c r="G40" i="36"/>
  <c r="I39" i="36"/>
  <c r="G39" i="36"/>
  <c r="I38" i="36"/>
  <c r="G38" i="36"/>
  <c r="I37" i="36"/>
  <c r="G37" i="36"/>
  <c r="I36" i="36"/>
  <c r="G36" i="36"/>
  <c r="I35" i="36"/>
  <c r="G35" i="36"/>
  <c r="I34" i="36"/>
  <c r="G34" i="36"/>
  <c r="I33" i="36"/>
  <c r="G33" i="36"/>
  <c r="I32" i="36"/>
  <c r="G32" i="36"/>
  <c r="I31" i="36"/>
  <c r="G31" i="36"/>
  <c r="I30" i="36"/>
  <c r="G30" i="36"/>
  <c r="I29" i="36"/>
  <c r="G29" i="36"/>
  <c r="I28" i="36"/>
  <c r="G28" i="36"/>
  <c r="I27" i="36"/>
  <c r="G27" i="36"/>
  <c r="I26" i="36"/>
  <c r="G26" i="36"/>
  <c r="I25" i="36"/>
  <c r="G25" i="36"/>
  <c r="I24" i="36"/>
  <c r="G24" i="36"/>
  <c r="I23" i="36"/>
  <c r="G23" i="36"/>
  <c r="I22" i="36"/>
  <c r="G22" i="36"/>
  <c r="I21" i="36"/>
  <c r="G21" i="36"/>
  <c r="I20" i="36"/>
  <c r="G20" i="36"/>
  <c r="I19" i="36"/>
  <c r="G19" i="36"/>
  <c r="I18" i="36"/>
  <c r="G18" i="36"/>
  <c r="I17" i="36"/>
  <c r="G17" i="36"/>
  <c r="I16" i="36"/>
  <c r="G16" i="36"/>
  <c r="A17" i="36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I44" i="35"/>
  <c r="U43" i="12" s="1"/>
  <c r="I43" i="35"/>
  <c r="U42" i="12" s="1"/>
  <c r="I42" i="35"/>
  <c r="U41" i="12" s="1"/>
  <c r="I41" i="35"/>
  <c r="U40" i="12" s="1"/>
  <c r="I40" i="35"/>
  <c r="U39" i="12" s="1"/>
  <c r="I39" i="35"/>
  <c r="U38" i="12" s="1"/>
  <c r="I38" i="35"/>
  <c r="U37" i="12" s="1"/>
  <c r="I37" i="35"/>
  <c r="U36" i="12" s="1"/>
  <c r="I36" i="35"/>
  <c r="U35" i="12" s="1"/>
  <c r="I35" i="35"/>
  <c r="U34" i="12" s="1"/>
  <c r="I34" i="35"/>
  <c r="U33" i="12" s="1"/>
  <c r="I33" i="35"/>
  <c r="U32" i="12" s="1"/>
  <c r="I32" i="35"/>
  <c r="U31" i="12" s="1"/>
  <c r="I31" i="35"/>
  <c r="U30" i="12" s="1"/>
  <c r="I30" i="35"/>
  <c r="U29" i="12" s="1"/>
  <c r="I29" i="35"/>
  <c r="U28" i="12" s="1"/>
  <c r="I28" i="35"/>
  <c r="U27" i="12" s="1"/>
  <c r="I27" i="35"/>
  <c r="U26" i="12" s="1"/>
  <c r="I26" i="35"/>
  <c r="U25" i="12" s="1"/>
  <c r="I25" i="35"/>
  <c r="U24" i="12" s="1"/>
  <c r="I24" i="35"/>
  <c r="U23" i="12" s="1"/>
  <c r="AJ23" i="12" s="1"/>
  <c r="I23" i="35"/>
  <c r="U22" i="12" s="1"/>
  <c r="I22" i="35"/>
  <c r="U21" i="12" s="1"/>
  <c r="I21" i="35"/>
  <c r="U20" i="12" s="1"/>
  <c r="I20" i="35"/>
  <c r="U19" i="12" s="1"/>
  <c r="I19" i="35"/>
  <c r="U18" i="12" s="1"/>
  <c r="I18" i="35"/>
  <c r="U17" i="12" s="1"/>
  <c r="I17" i="35"/>
  <c r="U16" i="12" s="1"/>
  <c r="I16" i="35"/>
  <c r="U15" i="12" s="1"/>
  <c r="A17" i="35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I46" i="34"/>
  <c r="E46" i="34"/>
  <c r="C46" i="34"/>
  <c r="A17" i="34"/>
  <c r="A18" i="34" s="1"/>
  <c r="A19" i="34" s="1"/>
  <c r="A20" i="34" s="1"/>
  <c r="A21" i="34" s="1"/>
  <c r="A22" i="34" s="1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A43" i="34" s="1"/>
  <c r="A44" i="34" s="1"/>
  <c r="I46" i="33"/>
  <c r="E46" i="33"/>
  <c r="C46" i="33"/>
  <c r="A17" i="33"/>
  <c r="A18" i="33" s="1"/>
  <c r="A19" i="33" s="1"/>
  <c r="A20" i="33" s="1"/>
  <c r="A21" i="33" s="1"/>
  <c r="A22" i="33" s="1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A43" i="33" s="1"/>
  <c r="A44" i="33" s="1"/>
  <c r="K27" i="38"/>
  <c r="K26" i="38"/>
  <c r="K25" i="38"/>
  <c r="K24" i="38"/>
  <c r="K23" i="38"/>
  <c r="K22" i="38"/>
  <c r="K21" i="38"/>
  <c r="K20" i="38"/>
  <c r="K19" i="38"/>
  <c r="K18" i="38"/>
  <c r="K17" i="38"/>
  <c r="K16" i="38"/>
  <c r="K23" i="37"/>
  <c r="K21" i="37"/>
  <c r="K19" i="37"/>
  <c r="K17" i="37"/>
  <c r="K22" i="37"/>
  <c r="K18" i="37"/>
  <c r="K16" i="37"/>
  <c r="K24" i="37"/>
  <c r="K20" i="37"/>
  <c r="E19" i="45"/>
  <c r="E18" i="45"/>
  <c r="E17" i="45"/>
  <c r="E16" i="45"/>
  <c r="E16" i="19"/>
  <c r="T16" i="19" s="1"/>
  <c r="E17" i="19"/>
  <c r="E18" i="19"/>
  <c r="E19" i="19"/>
  <c r="E16" i="35" l="1"/>
  <c r="G16" i="33"/>
  <c r="K16" i="33" s="1"/>
  <c r="C129" i="136"/>
  <c r="D129" i="136" s="1"/>
  <c r="C120" i="136"/>
  <c r="C127" i="136"/>
  <c r="D127" i="136" s="1"/>
  <c r="C121" i="136"/>
  <c r="D121" i="136" s="1"/>
  <c r="C41" i="54"/>
  <c r="C41" i="28"/>
  <c r="G41" i="28" s="1"/>
  <c r="O41" i="28" s="1"/>
  <c r="C41" i="53" s="1"/>
  <c r="C40" i="28"/>
  <c r="G40" i="28" s="1"/>
  <c r="O40" i="28" s="1"/>
  <c r="C40" i="53" s="1"/>
  <c r="C40" i="54"/>
  <c r="C37" i="54"/>
  <c r="C37" i="28"/>
  <c r="G37" i="28" s="1"/>
  <c r="O37" i="28" s="1"/>
  <c r="C37" i="53" s="1"/>
  <c r="C38" i="54"/>
  <c r="G38" i="54" s="1"/>
  <c r="O38" i="54" s="1"/>
  <c r="G38" i="53" s="1"/>
  <c r="C38" i="28"/>
  <c r="G38" i="28" s="1"/>
  <c r="O38" i="28" s="1"/>
  <c r="C38" i="53" s="1"/>
  <c r="C39" i="28"/>
  <c r="G39" i="28" s="1"/>
  <c r="O39" i="28" s="1"/>
  <c r="C39" i="53" s="1"/>
  <c r="C39" i="54"/>
  <c r="T80" i="15"/>
  <c r="X80" i="15"/>
  <c r="Y88" i="15"/>
  <c r="AF130" i="105"/>
  <c r="R81" i="15"/>
  <c r="X84" i="15"/>
  <c r="T84" i="15"/>
  <c r="T78" i="15"/>
  <c r="AF132" i="105"/>
  <c r="R83" i="15"/>
  <c r="X75" i="15"/>
  <c r="T75" i="15"/>
  <c r="AF134" i="105"/>
  <c r="R85" i="15"/>
  <c r="T74" i="15"/>
  <c r="X77" i="15"/>
  <c r="T77" i="15"/>
  <c r="X73" i="15"/>
  <c r="T73" i="15"/>
  <c r="T86" i="15"/>
  <c r="X86" i="15"/>
  <c r="T76" i="15"/>
  <c r="AF128" i="105"/>
  <c r="R79" i="15"/>
  <c r="S88" i="15"/>
  <c r="AB40" i="56"/>
  <c r="Q40" i="56"/>
  <c r="AB39" i="56"/>
  <c r="Q39" i="56"/>
  <c r="AB38" i="56"/>
  <c r="Q38" i="56"/>
  <c r="AB37" i="56"/>
  <c r="Q37" i="56"/>
  <c r="AB41" i="56"/>
  <c r="Q41" i="56"/>
  <c r="M43" i="107"/>
  <c r="AB42" i="56"/>
  <c r="Q42" i="56"/>
  <c r="C22" i="27"/>
  <c r="AJ22" i="27" s="1"/>
  <c r="C21" i="55"/>
  <c r="G21" i="55" s="1"/>
  <c r="O21" i="55" s="1"/>
  <c r="G21" i="56" s="1"/>
  <c r="C23" i="55"/>
  <c r="G23" i="55" s="1"/>
  <c r="O23" i="55" s="1"/>
  <c r="G23" i="56" s="1"/>
  <c r="AH44" i="111"/>
  <c r="K44" i="107" s="1"/>
  <c r="AG46" i="111"/>
  <c r="AH46" i="111" s="1"/>
  <c r="AG45" i="111"/>
  <c r="AH45" i="111" s="1"/>
  <c r="AG49" i="111"/>
  <c r="AH49" i="111" s="1"/>
  <c r="AG48" i="111"/>
  <c r="AH48" i="111" s="1"/>
  <c r="AG47" i="111"/>
  <c r="AH47" i="111" s="1"/>
  <c r="AG50" i="111"/>
  <c r="AH50" i="111" s="1"/>
  <c r="AK43" i="111"/>
  <c r="A32" i="35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E21" i="35"/>
  <c r="G21" i="33"/>
  <c r="K21" i="33" s="1"/>
  <c r="C21" i="10" s="1"/>
  <c r="E20" i="35"/>
  <c r="G20" i="33"/>
  <c r="K20" i="33" s="1"/>
  <c r="C20" i="10" s="1"/>
  <c r="G24" i="33"/>
  <c r="K24" i="33" s="1"/>
  <c r="C24" i="10" s="1"/>
  <c r="G23" i="33"/>
  <c r="K23" i="33" s="1"/>
  <c r="C23" i="10" s="1"/>
  <c r="G18" i="33"/>
  <c r="K18" i="33" s="1"/>
  <c r="C18" i="10" s="1"/>
  <c r="G22" i="33"/>
  <c r="K22" i="33" s="1"/>
  <c r="C22" i="10" s="1"/>
  <c r="G17" i="33"/>
  <c r="K17" i="33" s="1"/>
  <c r="C17" i="10" s="1"/>
  <c r="G19" i="33"/>
  <c r="K19" i="33" s="1"/>
  <c r="C19" i="10" s="1"/>
  <c r="E27" i="36"/>
  <c r="G27" i="34"/>
  <c r="K27" i="34" s="1"/>
  <c r="E27" i="10" s="1"/>
  <c r="K27" i="10" s="1"/>
  <c r="E16" i="36"/>
  <c r="G16" i="34"/>
  <c r="K16" i="34" s="1"/>
  <c r="E16" i="10" s="1"/>
  <c r="K16" i="10" s="1"/>
  <c r="P16" i="10" s="1"/>
  <c r="E17" i="36"/>
  <c r="G17" i="34"/>
  <c r="K17" i="34" s="1"/>
  <c r="E17" i="10" s="1"/>
  <c r="K17" i="10" s="1"/>
  <c r="G18" i="34"/>
  <c r="K18" i="34" s="1"/>
  <c r="E18" i="10" s="1"/>
  <c r="K18" i="10" s="1"/>
  <c r="G19" i="34"/>
  <c r="K19" i="34" s="1"/>
  <c r="E19" i="10" s="1"/>
  <c r="K19" i="10" s="1"/>
  <c r="G20" i="34"/>
  <c r="K20" i="34" s="1"/>
  <c r="E20" i="10" s="1"/>
  <c r="K20" i="10" s="1"/>
  <c r="G21" i="34"/>
  <c r="K21" i="34" s="1"/>
  <c r="E21" i="10" s="1"/>
  <c r="K21" i="10" s="1"/>
  <c r="G22" i="34"/>
  <c r="K22" i="34" s="1"/>
  <c r="E22" i="10" s="1"/>
  <c r="K22" i="10" s="1"/>
  <c r="C21" i="12" s="1"/>
  <c r="C22" i="129" s="1"/>
  <c r="E23" i="36"/>
  <c r="G23" i="34"/>
  <c r="K23" i="34" s="1"/>
  <c r="E23" i="10" s="1"/>
  <c r="K23" i="10" s="1"/>
  <c r="E24" i="36"/>
  <c r="G24" i="34"/>
  <c r="K24" i="34" s="1"/>
  <c r="E24" i="10" s="1"/>
  <c r="K24" i="10" s="1"/>
  <c r="E25" i="36"/>
  <c r="G25" i="34"/>
  <c r="K25" i="34" s="1"/>
  <c r="E25" i="10" s="1"/>
  <c r="K25" i="10" s="1"/>
  <c r="E26" i="36"/>
  <c r="G26" i="34"/>
  <c r="K26" i="34" s="1"/>
  <c r="E26" i="10" s="1"/>
  <c r="K26" i="10" s="1"/>
  <c r="A32" i="36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18" i="79"/>
  <c r="S17" i="79"/>
  <c r="O109" i="121"/>
  <c r="C98" i="136"/>
  <c r="D98" i="136" s="1"/>
  <c r="C108" i="136"/>
  <c r="D108" i="136" s="1"/>
  <c r="C131" i="136"/>
  <c r="D131" i="136" s="1"/>
  <c r="D134" i="136" s="1"/>
  <c r="C104" i="136"/>
  <c r="D104" i="136" s="1"/>
  <c r="C107" i="136"/>
  <c r="D107" i="136" s="1"/>
  <c r="C100" i="136"/>
  <c r="D100" i="136" s="1"/>
  <c r="C101" i="136"/>
  <c r="D101" i="136" s="1"/>
  <c r="C97" i="136"/>
  <c r="C99" i="136"/>
  <c r="D99" i="136" s="1"/>
  <c r="D120" i="136"/>
  <c r="C103" i="136"/>
  <c r="D103" i="136" s="1"/>
  <c r="C106" i="136"/>
  <c r="D106" i="136" s="1"/>
  <c r="M42" i="107"/>
  <c r="C105" i="136"/>
  <c r="D105" i="136" s="1"/>
  <c r="C102" i="136"/>
  <c r="D102" i="136" s="1"/>
  <c r="C23" i="27"/>
  <c r="AJ23" i="27" s="1"/>
  <c r="M38" i="107"/>
  <c r="M40" i="107"/>
  <c r="C20" i="55"/>
  <c r="G20" i="55" s="1"/>
  <c r="O20" i="55" s="1"/>
  <c r="G20" i="56" s="1"/>
  <c r="C19" i="55"/>
  <c r="G19" i="55" s="1"/>
  <c r="O19" i="55" s="1"/>
  <c r="G19" i="56" s="1"/>
  <c r="M41" i="107"/>
  <c r="C21" i="27"/>
  <c r="AJ21" i="27" s="1"/>
  <c r="C18" i="55"/>
  <c r="G18" i="55" s="1"/>
  <c r="O18" i="55" s="1"/>
  <c r="G18" i="56" s="1"/>
  <c r="C20" i="27"/>
  <c r="G20" i="27" s="1"/>
  <c r="O20" i="27" s="1"/>
  <c r="C20" i="56" s="1"/>
  <c r="C18" i="27"/>
  <c r="AJ18" i="27" s="1"/>
  <c r="C22" i="55"/>
  <c r="G22" i="55" s="1"/>
  <c r="O22" i="55" s="1"/>
  <c r="G22" i="56" s="1"/>
  <c r="C24" i="27"/>
  <c r="AJ24" i="27" s="1"/>
  <c r="C24" i="55"/>
  <c r="G24" i="55" s="1"/>
  <c r="O24" i="55" s="1"/>
  <c r="G24" i="56" s="1"/>
  <c r="AJ19" i="27"/>
  <c r="G19" i="27"/>
  <c r="O19" i="27" s="1"/>
  <c r="C19" i="56" s="1"/>
  <c r="AC52" i="111"/>
  <c r="AE36" i="111"/>
  <c r="AA52" i="111"/>
  <c r="A21" i="50"/>
  <c r="M21" i="50" s="1"/>
  <c r="T17" i="19"/>
  <c r="I16" i="19" s="1"/>
  <c r="I46" i="36"/>
  <c r="G66" i="88"/>
  <c r="C16" i="10"/>
  <c r="A26" i="17"/>
  <c r="T18" i="19"/>
  <c r="T35" i="18"/>
  <c r="I35" i="18" s="1"/>
  <c r="T23" i="18"/>
  <c r="E22" i="35"/>
  <c r="E18" i="36"/>
  <c r="E23" i="35"/>
  <c r="E19" i="36"/>
  <c r="E24" i="35"/>
  <c r="E20" i="36"/>
  <c r="E21" i="36"/>
  <c r="E22" i="36"/>
  <c r="E17" i="35"/>
  <c r="E18" i="35"/>
  <c r="E19" i="35"/>
  <c r="C66" i="88"/>
  <c r="I46" i="35"/>
  <c r="C22" i="133"/>
  <c r="C24" i="133"/>
  <c r="C21" i="133"/>
  <c r="C18" i="133"/>
  <c r="C19" i="133"/>
  <c r="C20" i="133"/>
  <c r="C23" i="133"/>
  <c r="C25" i="133"/>
  <c r="C42" i="133"/>
  <c r="E31" i="16"/>
  <c r="Q31" i="16" s="1"/>
  <c r="E35" i="16"/>
  <c r="Q35" i="16" s="1"/>
  <c r="E33" i="16"/>
  <c r="Q33" i="16" s="1"/>
  <c r="AH20" i="27"/>
  <c r="AI20" i="27" s="1"/>
  <c r="AH19" i="27"/>
  <c r="AI19" i="27" s="1"/>
  <c r="AH18" i="27"/>
  <c r="AI18" i="27" s="1"/>
  <c r="M62" i="23"/>
  <c r="C42" i="118"/>
  <c r="O42" i="118" s="1"/>
  <c r="G46" i="36"/>
  <c r="C20" i="118"/>
  <c r="AB20" i="118" s="1"/>
  <c r="C18" i="118"/>
  <c r="C19" i="118"/>
  <c r="C24" i="118"/>
  <c r="C23" i="118"/>
  <c r="AB23" i="118" s="1"/>
  <c r="C25" i="118"/>
  <c r="C21" i="118"/>
  <c r="C22" i="118"/>
  <c r="M55" i="23"/>
  <c r="M58" i="23"/>
  <c r="M57" i="23"/>
  <c r="M61" i="23"/>
  <c r="M69" i="23"/>
  <c r="M66" i="23"/>
  <c r="G46" i="35"/>
  <c r="I33" i="56"/>
  <c r="T35" i="44"/>
  <c r="I35" i="44" s="1"/>
  <c r="T29" i="44"/>
  <c r="T22" i="18"/>
  <c r="T34" i="18"/>
  <c r="T19" i="44"/>
  <c r="T20" i="44"/>
  <c r="G36" i="104"/>
  <c r="S52" i="55"/>
  <c r="I35" i="104"/>
  <c r="I19" i="96"/>
  <c r="T17" i="56"/>
  <c r="O86" i="104"/>
  <c r="E85" i="104"/>
  <c r="G91" i="104"/>
  <c r="T25" i="18"/>
  <c r="O36" i="23"/>
  <c r="Q31" i="105"/>
  <c r="T21" i="44"/>
  <c r="T27" i="18"/>
  <c r="T34" i="44"/>
  <c r="T19" i="19"/>
  <c r="T18" i="45"/>
  <c r="T22" i="44"/>
  <c r="T28" i="18"/>
  <c r="T27" i="44"/>
  <c r="T26" i="44"/>
  <c r="S39" i="54"/>
  <c r="Q39" i="54"/>
  <c r="I39" i="53" s="1"/>
  <c r="Q49" i="54"/>
  <c r="I49" i="53" s="1"/>
  <c r="S49" i="54"/>
  <c r="G37" i="54"/>
  <c r="O37" i="54" s="1"/>
  <c r="G37" i="53" s="1"/>
  <c r="Q37" i="54"/>
  <c r="I37" i="53" s="1"/>
  <c r="S37" i="54"/>
  <c r="T17" i="18"/>
  <c r="S43" i="54"/>
  <c r="T24" i="44"/>
  <c r="T18" i="18"/>
  <c r="T30" i="18"/>
  <c r="S44" i="54"/>
  <c r="S41" i="54"/>
  <c r="T29" i="18"/>
  <c r="T25" i="44"/>
  <c r="T19" i="18"/>
  <c r="T31" i="18"/>
  <c r="T19" i="45"/>
  <c r="T20" i="18"/>
  <c r="T32" i="18"/>
  <c r="Q38" i="54"/>
  <c r="I38" i="53" s="1"/>
  <c r="S38" i="54"/>
  <c r="S47" i="54"/>
  <c r="T28" i="44"/>
  <c r="T21" i="18"/>
  <c r="T33" i="18"/>
  <c r="I17" i="53"/>
  <c r="Q50" i="54"/>
  <c r="I50" i="53" s="1"/>
  <c r="S50" i="54"/>
  <c r="S42" i="54"/>
  <c r="Q42" i="54"/>
  <c r="I42" i="53" s="1"/>
  <c r="S45" i="54"/>
  <c r="T18" i="44"/>
  <c r="T24" i="18"/>
  <c r="S46" i="54"/>
  <c r="S40" i="54"/>
  <c r="Q40" i="54"/>
  <c r="I40" i="53" s="1"/>
  <c r="T33" i="44"/>
  <c r="T26" i="18"/>
  <c r="S48" i="54"/>
  <c r="AF126" i="105"/>
  <c r="AL123" i="105"/>
  <c r="AF124" i="105"/>
  <c r="AL121" i="105"/>
  <c r="AF122" i="105"/>
  <c r="AL32" i="105"/>
  <c r="BF32" i="105" s="1"/>
  <c r="T17" i="45"/>
  <c r="T16" i="45"/>
  <c r="T17" i="44"/>
  <c r="T16" i="44"/>
  <c r="T30" i="44"/>
  <c r="T31" i="44"/>
  <c r="T32" i="44"/>
  <c r="T23" i="44"/>
  <c r="C23" i="23"/>
  <c r="C22" i="23"/>
  <c r="C21" i="23"/>
  <c r="C18" i="23"/>
  <c r="C24" i="23"/>
  <c r="C20" i="23"/>
  <c r="C42" i="23"/>
  <c r="C25" i="23"/>
  <c r="C19" i="23"/>
  <c r="Q19" i="56"/>
  <c r="Q20" i="56"/>
  <c r="Q18" i="56"/>
  <c r="K37" i="53"/>
  <c r="K38" i="53"/>
  <c r="G40" i="54"/>
  <c r="O40" i="54" s="1"/>
  <c r="G40" i="53" s="1"/>
  <c r="G39" i="54"/>
  <c r="O39" i="54" s="1"/>
  <c r="G39" i="53" s="1"/>
  <c r="G41" i="54"/>
  <c r="K41" i="53"/>
  <c r="K40" i="53"/>
  <c r="K17" i="53"/>
  <c r="C18" i="108" s="1"/>
  <c r="E20" i="45"/>
  <c r="T20" i="45" s="1"/>
  <c r="E21" i="45"/>
  <c r="E27" i="19"/>
  <c r="T79" i="15" l="1"/>
  <c r="X79" i="15"/>
  <c r="X85" i="15"/>
  <c r="T85" i="15"/>
  <c r="T81" i="15"/>
  <c r="X81" i="15"/>
  <c r="T83" i="15"/>
  <c r="X83" i="15"/>
  <c r="G22" i="27"/>
  <c r="O22" i="27" s="1"/>
  <c r="C22" i="56" s="1"/>
  <c r="AC46" i="23" s="1"/>
  <c r="AI46" i="23" s="1"/>
  <c r="AK26" i="84"/>
  <c r="AP26" i="87"/>
  <c r="AQ26" i="87" s="1"/>
  <c r="E26" i="87" s="1"/>
  <c r="O35" i="102"/>
  <c r="AM26" i="84"/>
  <c r="AR26" i="87"/>
  <c r="M44" i="107"/>
  <c r="C25" i="55"/>
  <c r="G25" i="55" s="1"/>
  <c r="O25" i="55" s="1"/>
  <c r="G25" i="56" s="1"/>
  <c r="C25" i="27"/>
  <c r="AJ25" i="27" s="1"/>
  <c r="I33" i="18"/>
  <c r="C17" i="12"/>
  <c r="C18" i="129" s="1"/>
  <c r="P18" i="10"/>
  <c r="C19" i="12"/>
  <c r="C20" i="129" s="1"/>
  <c r="P20" i="10"/>
  <c r="P21" i="10"/>
  <c r="C20" i="12"/>
  <c r="C21" i="129" s="1"/>
  <c r="C18" i="12"/>
  <c r="C19" i="129" s="1"/>
  <c r="P19" i="10"/>
  <c r="A19" i="79"/>
  <c r="S18" i="79"/>
  <c r="O115" i="121"/>
  <c r="AB32" i="158"/>
  <c r="C134" i="136"/>
  <c r="I32" i="44"/>
  <c r="G23" i="27"/>
  <c r="O23" i="27" s="1"/>
  <c r="C23" i="56" s="1"/>
  <c r="AC47" i="23" s="1"/>
  <c r="AI47" i="23" s="1"/>
  <c r="D97" i="136"/>
  <c r="C111" i="136"/>
  <c r="D111" i="136"/>
  <c r="G18" i="27"/>
  <c r="O18" i="27" s="1"/>
  <c r="C18" i="56" s="1"/>
  <c r="G21" i="27"/>
  <c r="O21" i="27" s="1"/>
  <c r="C21" i="56" s="1"/>
  <c r="AC45" i="23" s="1"/>
  <c r="AI45" i="23" s="1"/>
  <c r="AJ20" i="27"/>
  <c r="G24" i="27"/>
  <c r="O24" i="27" s="1"/>
  <c r="C24" i="56" s="1"/>
  <c r="AC48" i="23" s="1"/>
  <c r="AI48" i="23" s="1"/>
  <c r="AG36" i="111"/>
  <c r="AE52" i="111"/>
  <c r="C22" i="12"/>
  <c r="C23" i="129" s="1"/>
  <c r="P22" i="10"/>
  <c r="P25" i="10"/>
  <c r="C26" i="12"/>
  <c r="C27" i="129" s="1"/>
  <c r="P26" i="10"/>
  <c r="P24" i="10"/>
  <c r="P23" i="10"/>
  <c r="C15" i="12"/>
  <c r="C16" i="129" s="1"/>
  <c r="P17" i="10"/>
  <c r="A22" i="50"/>
  <c r="M22" i="50" s="1"/>
  <c r="C23" i="12"/>
  <c r="C24" i="129" s="1"/>
  <c r="I17" i="19"/>
  <c r="I22" i="18"/>
  <c r="E31" i="49" s="1"/>
  <c r="G31" i="49" s="1"/>
  <c r="K31" i="49" s="1"/>
  <c r="C16" i="12"/>
  <c r="C17" i="129" s="1"/>
  <c r="I28" i="44"/>
  <c r="I21" i="18"/>
  <c r="E30" i="49" s="1"/>
  <c r="G30" i="49" s="1"/>
  <c r="K30" i="49" s="1"/>
  <c r="O20" i="118"/>
  <c r="D29" i="158" s="1"/>
  <c r="D72" i="158" s="1"/>
  <c r="AH25" i="86"/>
  <c r="K25" i="86" s="1"/>
  <c r="S25" i="86" s="1"/>
  <c r="U25" i="86" s="1"/>
  <c r="W25" i="86" s="1"/>
  <c r="I34" i="18"/>
  <c r="I18" i="19"/>
  <c r="O24" i="118"/>
  <c r="D33" i="158" s="1"/>
  <c r="AB24" i="118"/>
  <c r="O19" i="118"/>
  <c r="D28" i="158" s="1"/>
  <c r="D71" i="158" s="1"/>
  <c r="AB19" i="118"/>
  <c r="E18" i="133"/>
  <c r="AQ18" i="56"/>
  <c r="O18" i="118"/>
  <c r="D27" i="158" s="1"/>
  <c r="D70" i="158" s="1"/>
  <c r="AB18" i="118"/>
  <c r="E20" i="133"/>
  <c r="G20" i="133" s="1"/>
  <c r="AQ20" i="56"/>
  <c r="E19" i="133"/>
  <c r="G19" i="133" s="1"/>
  <c r="AQ19" i="56"/>
  <c r="O22" i="118"/>
  <c r="D31" i="158" s="1"/>
  <c r="D74" i="158" s="1"/>
  <c r="AB22" i="118"/>
  <c r="O21" i="118"/>
  <c r="D30" i="158" s="1"/>
  <c r="D73" i="158" s="1"/>
  <c r="AB21" i="118"/>
  <c r="O25" i="118"/>
  <c r="AB25" i="118"/>
  <c r="A27" i="17"/>
  <c r="I33" i="44"/>
  <c r="I24" i="18"/>
  <c r="E33" i="49" s="1"/>
  <c r="G33" i="49" s="1"/>
  <c r="K33" i="49" s="1"/>
  <c r="C24" i="12"/>
  <c r="C25" i="129" s="1"/>
  <c r="C25" i="12"/>
  <c r="C26" i="129" s="1"/>
  <c r="G31" i="16"/>
  <c r="G33" i="16"/>
  <c r="C41" i="133"/>
  <c r="C60" i="133" s="1"/>
  <c r="E39" i="133"/>
  <c r="AQ39" i="56"/>
  <c r="C40" i="133"/>
  <c r="C37" i="133"/>
  <c r="C17" i="133"/>
  <c r="C38" i="133"/>
  <c r="E40" i="133"/>
  <c r="AQ40" i="56"/>
  <c r="C61" i="133"/>
  <c r="E32" i="16"/>
  <c r="Q32" i="16" s="1"/>
  <c r="AH17" i="27"/>
  <c r="I18" i="44"/>
  <c r="E27" i="50" s="1"/>
  <c r="G27" i="50" s="1"/>
  <c r="K27" i="50" s="1"/>
  <c r="O33" i="102"/>
  <c r="I34" i="44"/>
  <c r="C41" i="118"/>
  <c r="C60" i="118" s="1"/>
  <c r="C38" i="118"/>
  <c r="C57" i="118" s="1"/>
  <c r="C37" i="118"/>
  <c r="C56" i="118" s="1"/>
  <c r="C61" i="118"/>
  <c r="C40" i="118"/>
  <c r="C59" i="118" s="1"/>
  <c r="O23" i="118"/>
  <c r="D32" i="158" s="1"/>
  <c r="D75" i="158" s="1"/>
  <c r="E33" i="56"/>
  <c r="E33" i="105"/>
  <c r="E36" i="105"/>
  <c r="E187" i="105" s="1"/>
  <c r="E37" i="105"/>
  <c r="E188" i="105" s="1"/>
  <c r="C61" i="23"/>
  <c r="O22" i="23"/>
  <c r="R35" i="15" s="1"/>
  <c r="W45" i="12"/>
  <c r="U45" i="12"/>
  <c r="I19" i="44"/>
  <c r="E28" i="50" s="1"/>
  <c r="G28" i="50" s="1"/>
  <c r="K28" i="50" s="1"/>
  <c r="I20" i="44"/>
  <c r="E29" i="50" s="1"/>
  <c r="G29" i="50" s="1"/>
  <c r="K29" i="50" s="1"/>
  <c r="I26" i="44"/>
  <c r="I17" i="45"/>
  <c r="I26" i="37" s="1"/>
  <c r="K26" i="37" s="1"/>
  <c r="I23" i="44"/>
  <c r="I21" i="44"/>
  <c r="I28" i="18"/>
  <c r="I26" i="18"/>
  <c r="K35" i="104"/>
  <c r="I18" i="96"/>
  <c r="E91" i="104"/>
  <c r="C84" i="104"/>
  <c r="O85" i="104"/>
  <c r="Q17" i="56"/>
  <c r="I36" i="104"/>
  <c r="I27" i="44"/>
  <c r="I27" i="18"/>
  <c r="O42" i="23"/>
  <c r="Q37" i="105"/>
  <c r="Q188" i="105" s="1"/>
  <c r="O21" i="23"/>
  <c r="R34" i="15" s="1"/>
  <c r="E35" i="105"/>
  <c r="E186" i="105" s="1"/>
  <c r="E19" i="23"/>
  <c r="G19" i="23" s="1"/>
  <c r="E19" i="118"/>
  <c r="AD19" i="118" s="1"/>
  <c r="O20" i="23"/>
  <c r="R33" i="15" s="1"/>
  <c r="E34" i="105"/>
  <c r="E40" i="23"/>
  <c r="S35" i="105" s="1"/>
  <c r="S186" i="105" s="1"/>
  <c r="E40" i="118"/>
  <c r="O24" i="23"/>
  <c r="R37" i="15" s="1"/>
  <c r="E38" i="105"/>
  <c r="E189" i="105" s="1"/>
  <c r="E20" i="23"/>
  <c r="G20" i="23" s="1"/>
  <c r="E20" i="118"/>
  <c r="AD20" i="118" s="1"/>
  <c r="O25" i="23"/>
  <c r="R38" i="15" s="1"/>
  <c r="E39" i="105"/>
  <c r="E190" i="105" s="1"/>
  <c r="O18" i="23"/>
  <c r="R31" i="15" s="1"/>
  <c r="E32" i="105"/>
  <c r="I30" i="44"/>
  <c r="I25" i="18"/>
  <c r="I18" i="18"/>
  <c r="E27" i="49" s="1"/>
  <c r="G27" i="49" s="1"/>
  <c r="K27" i="49" s="1"/>
  <c r="C17" i="118"/>
  <c r="E18" i="23"/>
  <c r="G18" i="23" s="1"/>
  <c r="E18" i="118"/>
  <c r="AD18" i="118" s="1"/>
  <c r="E39" i="23"/>
  <c r="S34" i="105" s="1"/>
  <c r="E39" i="118"/>
  <c r="I17" i="44"/>
  <c r="E26" i="50" s="1"/>
  <c r="G26" i="50" s="1"/>
  <c r="K26" i="50" s="1"/>
  <c r="I24" i="44"/>
  <c r="I32" i="18"/>
  <c r="I16" i="44"/>
  <c r="E25" i="50" s="1"/>
  <c r="G25" i="50" s="1"/>
  <c r="I20" i="18"/>
  <c r="E29" i="49" s="1"/>
  <c r="G29" i="49" s="1"/>
  <c r="K29" i="49" s="1"/>
  <c r="I30" i="18"/>
  <c r="S52" i="54"/>
  <c r="I25" i="44"/>
  <c r="I31" i="44"/>
  <c r="T21" i="45"/>
  <c r="I20" i="45" s="1"/>
  <c r="I29" i="37" s="1"/>
  <c r="K29" i="37" s="1"/>
  <c r="G29" i="33" s="1"/>
  <c r="K29" i="33" s="1"/>
  <c r="I16" i="45"/>
  <c r="I25" i="37" s="1"/>
  <c r="K25" i="37" s="1"/>
  <c r="I29" i="44"/>
  <c r="I22" i="44"/>
  <c r="E31" i="50" s="1"/>
  <c r="G31" i="50" s="1"/>
  <c r="K31" i="50" s="1"/>
  <c r="I19" i="45"/>
  <c r="I28" i="37" s="1"/>
  <c r="K28" i="37" s="1"/>
  <c r="I31" i="18"/>
  <c r="I19" i="18"/>
  <c r="E28" i="49" s="1"/>
  <c r="G28" i="49" s="1"/>
  <c r="K28" i="49" s="1"/>
  <c r="I23" i="18"/>
  <c r="I18" i="45"/>
  <c r="I27" i="37" s="1"/>
  <c r="K27" i="37" s="1"/>
  <c r="G27" i="33" s="1"/>
  <c r="K27" i="33" s="1"/>
  <c r="I29" i="18"/>
  <c r="I17" i="18"/>
  <c r="E26" i="49" s="1"/>
  <c r="G26" i="49" s="1"/>
  <c r="K26" i="49" s="1"/>
  <c r="AL122" i="105"/>
  <c r="O23" i="23"/>
  <c r="R36" i="15" s="1"/>
  <c r="O19" i="23"/>
  <c r="R32" i="15" s="1"/>
  <c r="C38" i="23"/>
  <c r="C57" i="23" s="1"/>
  <c r="C40" i="23"/>
  <c r="C59" i="23" s="1"/>
  <c r="C41" i="23"/>
  <c r="C60" i="23" s="1"/>
  <c r="C37" i="23"/>
  <c r="C56" i="23" s="1"/>
  <c r="AH25" i="61"/>
  <c r="M25" i="61" s="1"/>
  <c r="U25" i="61" s="1"/>
  <c r="W25" i="61" s="1"/>
  <c r="AF25" i="61"/>
  <c r="K25" i="61" s="1"/>
  <c r="S25" i="61" s="1"/>
  <c r="S64" i="61" s="1"/>
  <c r="AF25" i="86"/>
  <c r="I25" i="86" s="1"/>
  <c r="Q25" i="86" s="1"/>
  <c r="C17" i="23"/>
  <c r="E22" i="45"/>
  <c r="T22" i="45" s="1"/>
  <c r="E46" i="37"/>
  <c r="E46" i="38"/>
  <c r="A17" i="38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43" i="38" s="1"/>
  <c r="A44" i="38" s="1"/>
  <c r="E185" i="105" l="1"/>
  <c r="S185" i="105"/>
  <c r="G25" i="27"/>
  <c r="O25" i="27" s="1"/>
  <c r="C25" i="56" s="1"/>
  <c r="AC49" i="23" s="1"/>
  <c r="AM25" i="84"/>
  <c r="AR25" i="87"/>
  <c r="AS25" i="87" s="1"/>
  <c r="G25" i="87" s="1"/>
  <c r="G54" i="87" s="1"/>
  <c r="AM24" i="84"/>
  <c r="AR24" i="87"/>
  <c r="O30" i="102"/>
  <c r="AM21" i="84"/>
  <c r="AR21" i="87"/>
  <c r="O25" i="102"/>
  <c r="AM16" i="84"/>
  <c r="AR16" i="87"/>
  <c r="AK16" i="84"/>
  <c r="AP16" i="87"/>
  <c r="AF20" i="86"/>
  <c r="AK21" i="84"/>
  <c r="AP21" i="87"/>
  <c r="O29" i="102"/>
  <c r="AM20" i="84"/>
  <c r="AN19" i="84" s="1"/>
  <c r="AR20" i="87"/>
  <c r="O31" i="102"/>
  <c r="AM22" i="84"/>
  <c r="AR22" i="87"/>
  <c r="O32" i="102"/>
  <c r="AM23" i="84"/>
  <c r="AR23" i="87"/>
  <c r="AS22" i="87" s="1"/>
  <c r="AK19" i="84"/>
  <c r="AP19" i="87"/>
  <c r="AK25" i="84"/>
  <c r="AL25" i="84" s="1"/>
  <c r="E25" i="84" s="1"/>
  <c r="B62" i="136" s="1"/>
  <c r="C62" i="136" s="1"/>
  <c r="D62" i="136" s="1"/>
  <c r="AP25" i="87"/>
  <c r="AQ25" i="87" s="1"/>
  <c r="AM17" i="84"/>
  <c r="AR17" i="87"/>
  <c r="AS26" i="87"/>
  <c r="G26" i="87" s="1"/>
  <c r="E38" i="50"/>
  <c r="G38" i="50" s="1"/>
  <c r="K38" i="50" s="1"/>
  <c r="AK20" i="84"/>
  <c r="AP20" i="87"/>
  <c r="O28" i="102"/>
  <c r="AM19" i="84"/>
  <c r="AR19" i="87"/>
  <c r="AS18" i="87" s="1"/>
  <c r="AK24" i="84"/>
  <c r="AP24" i="87"/>
  <c r="AQ24" i="87" s="1"/>
  <c r="AN26" i="84"/>
  <c r="G26" i="84" s="1"/>
  <c r="AN25" i="84"/>
  <c r="G25" i="84" s="1"/>
  <c r="AK17" i="84"/>
  <c r="AL16" i="84" s="1"/>
  <c r="AP17" i="87"/>
  <c r="AK23" i="84"/>
  <c r="AP23" i="87"/>
  <c r="O27" i="102"/>
  <c r="AM18" i="84"/>
  <c r="AR18" i="87"/>
  <c r="AK22" i="84"/>
  <c r="AL21" i="84" s="1"/>
  <c r="AP22" i="87"/>
  <c r="AQ21" i="87" s="1"/>
  <c r="AF17" i="61"/>
  <c r="AK18" i="84"/>
  <c r="AP18" i="87"/>
  <c r="AL26" i="84"/>
  <c r="E26" i="84" s="1"/>
  <c r="O34" i="102"/>
  <c r="G26" i="33"/>
  <c r="K26" i="33" s="1"/>
  <c r="C26" i="10" s="1"/>
  <c r="G28" i="33"/>
  <c r="K28" i="33" s="1"/>
  <c r="C28" i="10" s="1"/>
  <c r="E25" i="35"/>
  <c r="G25" i="33"/>
  <c r="K25" i="33" s="1"/>
  <c r="C25" i="10" s="1"/>
  <c r="A20" i="79"/>
  <c r="S19" i="79"/>
  <c r="O31" i="121"/>
  <c r="M31" i="121" s="1"/>
  <c r="N31" i="121" s="1"/>
  <c r="Q31" i="121" s="1"/>
  <c r="P32" i="158"/>
  <c r="D118" i="158"/>
  <c r="O30" i="121"/>
  <c r="M30" i="121" s="1"/>
  <c r="N30" i="121" s="1"/>
  <c r="Q30" i="121" s="1"/>
  <c r="O32" i="121"/>
  <c r="M32" i="121" s="1"/>
  <c r="N32" i="121" s="1"/>
  <c r="Q32" i="121" s="1"/>
  <c r="O34" i="121"/>
  <c r="M34" i="121" s="1"/>
  <c r="N34" i="121" s="1"/>
  <c r="Q34" i="121" s="1"/>
  <c r="O36" i="121"/>
  <c r="M36" i="121" s="1"/>
  <c r="N36" i="121" s="1"/>
  <c r="Q36" i="121" s="1"/>
  <c r="O37" i="121"/>
  <c r="M37" i="121" s="1"/>
  <c r="P37" i="121" s="1"/>
  <c r="D34" i="158"/>
  <c r="O33" i="121"/>
  <c r="M33" i="121" s="1"/>
  <c r="N33" i="121" s="1"/>
  <c r="Q33" i="121" s="1"/>
  <c r="AH16" i="86"/>
  <c r="O26" i="102"/>
  <c r="M28" i="49"/>
  <c r="P28" i="43"/>
  <c r="M33" i="49"/>
  <c r="P33" i="43"/>
  <c r="M29" i="49"/>
  <c r="P29" i="43"/>
  <c r="M31" i="49"/>
  <c r="P31" i="43"/>
  <c r="M30" i="49"/>
  <c r="P30" i="43"/>
  <c r="M26" i="49"/>
  <c r="P26" i="43"/>
  <c r="M27" i="49"/>
  <c r="P27" i="43"/>
  <c r="E42" i="23"/>
  <c r="S37" i="105" s="1"/>
  <c r="S188" i="105" s="1"/>
  <c r="K36" i="107"/>
  <c r="C17" i="55" s="1"/>
  <c r="G17" i="55" s="1"/>
  <c r="O17" i="55" s="1"/>
  <c r="G17" i="56" s="1"/>
  <c r="AH22" i="61"/>
  <c r="E37" i="49"/>
  <c r="G37" i="49" s="1"/>
  <c r="K37" i="49" s="1"/>
  <c r="AF23" i="86"/>
  <c r="E42" i="50"/>
  <c r="G42" i="50" s="1"/>
  <c r="K42" i="50" s="1"/>
  <c r="AI17" i="27"/>
  <c r="AF18" i="61"/>
  <c r="AF18" i="86"/>
  <c r="E37" i="50"/>
  <c r="G37" i="50" s="1"/>
  <c r="K37" i="50" s="1"/>
  <c r="A23" i="50"/>
  <c r="M23" i="50" s="1"/>
  <c r="S33" i="16"/>
  <c r="S31" i="16"/>
  <c r="AF23" i="61"/>
  <c r="K25" i="50"/>
  <c r="E43" i="49"/>
  <c r="G43" i="49" s="1"/>
  <c r="K43" i="49" s="1"/>
  <c r="AH24" i="61"/>
  <c r="M24" i="61" s="1"/>
  <c r="U24" i="61" s="1"/>
  <c r="AH24" i="86"/>
  <c r="K24" i="86" s="1"/>
  <c r="S24" i="86" s="1"/>
  <c r="U24" i="86" s="1"/>
  <c r="E103" i="105"/>
  <c r="G18" i="133"/>
  <c r="AF24" i="86"/>
  <c r="E43" i="50"/>
  <c r="G43" i="50" s="1"/>
  <c r="K43" i="50" s="1"/>
  <c r="E36" i="50"/>
  <c r="G36" i="50" s="1"/>
  <c r="K36" i="50" s="1"/>
  <c r="E17" i="133"/>
  <c r="G17" i="133" s="1"/>
  <c r="AQ17" i="56"/>
  <c r="C55" i="118"/>
  <c r="AH23" i="86"/>
  <c r="AH23" i="61"/>
  <c r="E42" i="49"/>
  <c r="G42" i="49" s="1"/>
  <c r="K42" i="49" s="1"/>
  <c r="AH22" i="86"/>
  <c r="A28" i="17"/>
  <c r="AF24" i="61"/>
  <c r="E41" i="49"/>
  <c r="G41" i="49" s="1"/>
  <c r="K41" i="49" s="1"/>
  <c r="E58" i="133"/>
  <c r="AH18" i="86"/>
  <c r="E42" i="118"/>
  <c r="G32" i="16"/>
  <c r="AH18" i="61"/>
  <c r="C55" i="133"/>
  <c r="G40" i="133"/>
  <c r="E41" i="133"/>
  <c r="G41" i="133" s="1"/>
  <c r="AQ41" i="56"/>
  <c r="C59" i="133"/>
  <c r="C56" i="133"/>
  <c r="E38" i="133"/>
  <c r="G38" i="133" s="1"/>
  <c r="AQ38" i="56"/>
  <c r="C57" i="133"/>
  <c r="O61" i="118"/>
  <c r="O35" i="121"/>
  <c r="E42" i="133"/>
  <c r="AQ42" i="56"/>
  <c r="AH16" i="61"/>
  <c r="E35" i="49"/>
  <c r="G35" i="49" s="1"/>
  <c r="K35" i="49" s="1"/>
  <c r="I22" i="82"/>
  <c r="M22" i="82" s="1"/>
  <c r="I20" i="82"/>
  <c r="M20" i="82" s="1"/>
  <c r="I17" i="82"/>
  <c r="M17" i="82" s="1"/>
  <c r="E39" i="50"/>
  <c r="G39" i="50" s="1"/>
  <c r="K39" i="50" s="1"/>
  <c r="I19" i="82"/>
  <c r="M19" i="82" s="1"/>
  <c r="AF19" i="61"/>
  <c r="O41" i="118"/>
  <c r="AB31" i="158" s="1"/>
  <c r="O38" i="118"/>
  <c r="AB28" i="158" s="1"/>
  <c r="AF20" i="61"/>
  <c r="AF19" i="86"/>
  <c r="I19" i="86" s="1"/>
  <c r="E35" i="50"/>
  <c r="G35" i="50" s="1"/>
  <c r="K35" i="50" s="1"/>
  <c r="E26" i="35"/>
  <c r="AF16" i="86"/>
  <c r="AF16" i="61"/>
  <c r="AI16" i="117"/>
  <c r="O37" i="118"/>
  <c r="AB27" i="158" s="1"/>
  <c r="O40" i="118"/>
  <c r="AB30" i="158" s="1"/>
  <c r="O61" i="23"/>
  <c r="E58" i="23"/>
  <c r="Q39" i="118"/>
  <c r="E58" i="118"/>
  <c r="Q40" i="118"/>
  <c r="S20" i="23"/>
  <c r="S19" i="23"/>
  <c r="E31" i="105"/>
  <c r="C55" i="23"/>
  <c r="S18" i="23"/>
  <c r="E40" i="50"/>
  <c r="G40" i="50" s="1"/>
  <c r="K40" i="50" s="1"/>
  <c r="AK16" i="117"/>
  <c r="E30" i="50"/>
  <c r="G30" i="50" s="1"/>
  <c r="K30" i="50" s="1"/>
  <c r="E34" i="49"/>
  <c r="G34" i="49" s="1"/>
  <c r="K34" i="49" s="1"/>
  <c r="E32" i="50"/>
  <c r="G32" i="50" s="1"/>
  <c r="K32" i="50" s="1"/>
  <c r="E33" i="50"/>
  <c r="G33" i="50" s="1"/>
  <c r="K33" i="50" s="1"/>
  <c r="AF17" i="86"/>
  <c r="G40" i="23"/>
  <c r="E39" i="49"/>
  <c r="G39" i="49" s="1"/>
  <c r="K39" i="49" s="1"/>
  <c r="AH20" i="61"/>
  <c r="AH20" i="86"/>
  <c r="E34" i="50"/>
  <c r="G34" i="50" s="1"/>
  <c r="K34" i="50" s="1"/>
  <c r="AH17" i="86"/>
  <c r="E36" i="49"/>
  <c r="G36" i="49" s="1"/>
  <c r="K36" i="49" s="1"/>
  <c r="M35" i="104"/>
  <c r="I17" i="96"/>
  <c r="K36" i="104"/>
  <c r="E17" i="23"/>
  <c r="G17" i="23" s="1"/>
  <c r="E17" i="118"/>
  <c r="C90" i="104"/>
  <c r="Q90" i="104" s="1"/>
  <c r="O84" i="104"/>
  <c r="O91" i="104" s="1"/>
  <c r="AF21" i="61"/>
  <c r="AF21" i="86"/>
  <c r="I20" i="86" s="1"/>
  <c r="G40" i="118"/>
  <c r="S40" i="118" s="1"/>
  <c r="AH17" i="61"/>
  <c r="E41" i="23"/>
  <c r="S36" i="105" s="1"/>
  <c r="S187" i="105" s="1"/>
  <c r="E41" i="118"/>
  <c r="O40" i="23"/>
  <c r="O59" i="23" s="1"/>
  <c r="Q35" i="105"/>
  <c r="Q186" i="105" s="1"/>
  <c r="Q40" i="23"/>
  <c r="O38" i="23"/>
  <c r="O57" i="23" s="1"/>
  <c r="Q33" i="105"/>
  <c r="Q39" i="23"/>
  <c r="Q19" i="118"/>
  <c r="G19" i="118"/>
  <c r="AF19" i="118" s="1"/>
  <c r="Q18" i="118"/>
  <c r="G18" i="118"/>
  <c r="AF18" i="118" s="1"/>
  <c r="Q19" i="23"/>
  <c r="S32" i="15" s="1"/>
  <c r="G33" i="105"/>
  <c r="Q18" i="23"/>
  <c r="S31" i="15" s="1"/>
  <c r="G32" i="105"/>
  <c r="O37" i="23"/>
  <c r="O56" i="23" s="1"/>
  <c r="Q32" i="105"/>
  <c r="Q20" i="118"/>
  <c r="G20" i="118"/>
  <c r="AF20" i="118" s="1"/>
  <c r="O41" i="23"/>
  <c r="O60" i="23" s="1"/>
  <c r="Q36" i="105"/>
  <c r="Q187" i="105" s="1"/>
  <c r="O17" i="118"/>
  <c r="D26" i="158" s="1"/>
  <c r="D69" i="158" s="1"/>
  <c r="Q20" i="23"/>
  <c r="S33" i="15" s="1"/>
  <c r="G34" i="105"/>
  <c r="E38" i="23"/>
  <c r="S33" i="105" s="1"/>
  <c r="E38" i="118"/>
  <c r="E57" i="118" s="1"/>
  <c r="E38" i="49"/>
  <c r="G38" i="49" s="1"/>
  <c r="K38" i="49" s="1"/>
  <c r="AH19" i="61"/>
  <c r="AH19" i="86"/>
  <c r="AH21" i="86"/>
  <c r="E40" i="49"/>
  <c r="G40" i="49" s="1"/>
  <c r="K40" i="49" s="1"/>
  <c r="E32" i="49"/>
  <c r="G32" i="49" s="1"/>
  <c r="K32" i="49" s="1"/>
  <c r="AH21" i="61"/>
  <c r="E28" i="35"/>
  <c r="C27" i="10"/>
  <c r="E27" i="35"/>
  <c r="E41" i="50"/>
  <c r="G41" i="50" s="1"/>
  <c r="K41" i="50" s="1"/>
  <c r="AF22" i="86"/>
  <c r="AF22" i="61"/>
  <c r="I21" i="45"/>
  <c r="U64" i="61"/>
  <c r="K38" i="86"/>
  <c r="S38" i="86" s="1"/>
  <c r="E29" i="35"/>
  <c r="O17" i="23"/>
  <c r="R30" i="15" s="1"/>
  <c r="K39" i="53"/>
  <c r="W64" i="61"/>
  <c r="Y25" i="61"/>
  <c r="Y64" i="61" s="1"/>
  <c r="E23" i="45"/>
  <c r="T23" i="45" s="1"/>
  <c r="A17" i="37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17" i="1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16" i="9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C17" i="8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C28" i="8" s="1"/>
  <c r="C29" i="8" s="1"/>
  <c r="C30" i="8" s="1"/>
  <c r="C31" i="8" s="1"/>
  <c r="C32" i="8" s="1"/>
  <c r="C33" i="8" s="1"/>
  <c r="C34" i="8" s="1"/>
  <c r="C35" i="8" s="1"/>
  <c r="C36" i="8" s="1"/>
  <c r="C37" i="8" s="1"/>
  <c r="C38" i="8" s="1"/>
  <c r="C39" i="8" s="1"/>
  <c r="C40" i="8" s="1"/>
  <c r="C41" i="8" s="1"/>
  <c r="C42" i="8" s="1"/>
  <c r="C43" i="8" s="1"/>
  <c r="C44" i="8" s="1"/>
  <c r="A17" i="72"/>
  <c r="A18" i="72" s="1"/>
  <c r="A19" i="72" s="1"/>
  <c r="A20" i="72" s="1"/>
  <c r="A21" i="72" s="1"/>
  <c r="A22" i="72" s="1"/>
  <c r="A23" i="72" s="1"/>
  <c r="A24" i="72" s="1"/>
  <c r="A25" i="72" s="1"/>
  <c r="A26" i="72" s="1"/>
  <c r="A27" i="72" s="1"/>
  <c r="A28" i="72" s="1"/>
  <c r="A29" i="72" s="1"/>
  <c r="A30" i="72" s="1"/>
  <c r="A31" i="72" s="1"/>
  <c r="A32" i="72" s="1"/>
  <c r="A33" i="72" s="1"/>
  <c r="A34" i="72" s="1"/>
  <c r="A35" i="72" s="1"/>
  <c r="E24" i="7"/>
  <c r="E23" i="7"/>
  <c r="K23" i="7" s="1"/>
  <c r="E22" i="7"/>
  <c r="K22" i="7" s="1"/>
  <c r="E21" i="7"/>
  <c r="K21" i="7" s="1"/>
  <c r="E20" i="7"/>
  <c r="K20" i="7" s="1"/>
  <c r="E19" i="7"/>
  <c r="K19" i="7" s="1"/>
  <c r="E18" i="7"/>
  <c r="K18" i="7" s="1"/>
  <c r="E17" i="7"/>
  <c r="K17" i="7" s="1"/>
  <c r="E16" i="7"/>
  <c r="C24" i="7"/>
  <c r="C23" i="7"/>
  <c r="C22" i="7"/>
  <c r="C21" i="7"/>
  <c r="C20" i="7"/>
  <c r="C19" i="7"/>
  <c r="C18" i="7"/>
  <c r="C17" i="7"/>
  <c r="C16" i="7"/>
  <c r="A17" i="7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I46" i="70"/>
  <c r="A17" i="70"/>
  <c r="A18" i="70" s="1"/>
  <c r="A19" i="70" s="1"/>
  <c r="A20" i="70" s="1"/>
  <c r="A21" i="70" s="1"/>
  <c r="A22" i="70" s="1"/>
  <c r="A23" i="70" s="1"/>
  <c r="A24" i="70" s="1"/>
  <c r="A25" i="70" s="1"/>
  <c r="A26" i="70" s="1"/>
  <c r="A27" i="70" s="1"/>
  <c r="A28" i="70" s="1"/>
  <c r="K26" i="69"/>
  <c r="G26" i="7" s="1"/>
  <c r="K25" i="69"/>
  <c r="G25" i="7" s="1"/>
  <c r="K24" i="69"/>
  <c r="G24" i="7" s="1"/>
  <c r="K23" i="69"/>
  <c r="G23" i="7" s="1"/>
  <c r="K22" i="69"/>
  <c r="G22" i="7" s="1"/>
  <c r="K21" i="69"/>
  <c r="G21" i="7" s="1"/>
  <c r="K20" i="69"/>
  <c r="G20" i="7" s="1"/>
  <c r="K19" i="69"/>
  <c r="G19" i="7" s="1"/>
  <c r="K18" i="69"/>
  <c r="G18" i="7" s="1"/>
  <c r="K17" i="69"/>
  <c r="G17" i="7" s="1"/>
  <c r="K16" i="69"/>
  <c r="G16" i="7" s="1"/>
  <c r="I46" i="69"/>
  <c r="A17" i="69"/>
  <c r="A18" i="69" s="1"/>
  <c r="A19" i="69" s="1"/>
  <c r="A20" i="69" s="1"/>
  <c r="A21" i="69" s="1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A33" i="69" s="1"/>
  <c r="A34" i="69" s="1"/>
  <c r="A35" i="69" s="1"/>
  <c r="A36" i="69" s="1"/>
  <c r="A37" i="69" s="1"/>
  <c r="A38" i="69" s="1"/>
  <c r="A39" i="69" s="1"/>
  <c r="A40" i="69" s="1"/>
  <c r="A41" i="69" s="1"/>
  <c r="A42" i="69" s="1"/>
  <c r="A43" i="69" s="1"/>
  <c r="A44" i="69" s="1"/>
  <c r="AS20" i="87" l="1"/>
  <c r="AS19" i="87"/>
  <c r="AN20" i="84"/>
  <c r="K17" i="61"/>
  <c r="S17" i="61" s="1"/>
  <c r="S56" i="61" s="1"/>
  <c r="AL22" i="84"/>
  <c r="AS21" i="87"/>
  <c r="AN21" i="84"/>
  <c r="AN17" i="84"/>
  <c r="AN22" i="84"/>
  <c r="AL19" i="84"/>
  <c r="G185" i="105"/>
  <c r="AQ20" i="87"/>
  <c r="AQ19" i="87"/>
  <c r="AQ23" i="87"/>
  <c r="AQ22" i="87"/>
  <c r="AQ17" i="87"/>
  <c r="AQ16" i="87"/>
  <c r="AS16" i="87"/>
  <c r="AL17" i="84"/>
  <c r="AN16" i="84"/>
  <c r="AS23" i="87"/>
  <c r="AL23" i="84"/>
  <c r="AL24" i="84"/>
  <c r="E24" i="84" s="1"/>
  <c r="B61" i="136" s="1"/>
  <c r="C61" i="136" s="1"/>
  <c r="D61" i="136" s="1"/>
  <c r="AN23" i="84"/>
  <c r="AQ18" i="87"/>
  <c r="AL20" i="84"/>
  <c r="AS24" i="87"/>
  <c r="AS17" i="87"/>
  <c r="AN18" i="84"/>
  <c r="AL18" i="84"/>
  <c r="AN24" i="84"/>
  <c r="G24" i="84" s="1"/>
  <c r="A36" i="72"/>
  <c r="A37" i="72" s="1"/>
  <c r="A38" i="72" s="1"/>
  <c r="A39" i="72" s="1"/>
  <c r="A40" i="72" s="1"/>
  <c r="A41" i="72" s="1"/>
  <c r="A42" i="72" s="1"/>
  <c r="A43" i="72" s="1"/>
  <c r="A44" i="72" s="1"/>
  <c r="A48" i="72"/>
  <c r="N37" i="121"/>
  <c r="Q37" i="121" s="1"/>
  <c r="P30" i="121"/>
  <c r="R30" i="121" s="1"/>
  <c r="A29" i="70"/>
  <c r="AF28" i="70"/>
  <c r="A21" i="79"/>
  <c r="S20" i="79"/>
  <c r="P32" i="121"/>
  <c r="R32" i="121" s="1"/>
  <c r="P31" i="121"/>
  <c r="R31" i="121" s="1"/>
  <c r="P34" i="121"/>
  <c r="R34" i="121" s="1"/>
  <c r="P36" i="121"/>
  <c r="R36" i="121" s="1"/>
  <c r="G42" i="23"/>
  <c r="Q42" i="23"/>
  <c r="O30" i="122"/>
  <c r="M30" i="122" s="1"/>
  <c r="E27" i="158"/>
  <c r="E70" i="158" s="1"/>
  <c r="O29" i="121"/>
  <c r="O69" i="121" s="1"/>
  <c r="O31" i="122"/>
  <c r="M31" i="122" s="1"/>
  <c r="N31" i="122" s="1"/>
  <c r="Q31" i="122" s="1"/>
  <c r="E28" i="158"/>
  <c r="E71" i="158" s="1"/>
  <c r="P27" i="158"/>
  <c r="P70" i="158" s="1"/>
  <c r="P113" i="158" s="1"/>
  <c r="P75" i="158"/>
  <c r="AB75" i="158" s="1"/>
  <c r="O32" i="122"/>
  <c r="M32" i="122" s="1"/>
  <c r="E29" i="158"/>
  <c r="E72" i="158" s="1"/>
  <c r="O112" i="122"/>
  <c r="AC29" i="158"/>
  <c r="D114" i="158"/>
  <c r="P28" i="158"/>
  <c r="O113" i="122"/>
  <c r="AC30" i="158"/>
  <c r="P30" i="158"/>
  <c r="D77" i="158"/>
  <c r="D76" i="158"/>
  <c r="P33" i="121"/>
  <c r="R33" i="121" s="1"/>
  <c r="P31" i="158"/>
  <c r="P74" i="158" s="1"/>
  <c r="P117" i="158" s="1"/>
  <c r="E99" i="105"/>
  <c r="E102" i="105"/>
  <c r="E98" i="105"/>
  <c r="E101" i="105"/>
  <c r="I23" i="86"/>
  <c r="I37" i="86" s="1"/>
  <c r="I50" i="86" s="1"/>
  <c r="Q50" i="86" s="1"/>
  <c r="M36" i="49"/>
  <c r="P36" i="43"/>
  <c r="M32" i="49"/>
  <c r="P32" i="43"/>
  <c r="M37" i="49"/>
  <c r="P37" i="43"/>
  <c r="M40" i="49"/>
  <c r="P40" i="43"/>
  <c r="M34" i="49"/>
  <c r="P34" i="43"/>
  <c r="M41" i="49"/>
  <c r="P41" i="43"/>
  <c r="M38" i="49"/>
  <c r="P38" i="43"/>
  <c r="M39" i="49"/>
  <c r="P39" i="43"/>
  <c r="M35" i="49"/>
  <c r="P35" i="43"/>
  <c r="M43" i="49"/>
  <c r="P43" i="43"/>
  <c r="M42" i="49"/>
  <c r="P42" i="43"/>
  <c r="M23" i="61"/>
  <c r="U23" i="61" s="1"/>
  <c r="U62" i="61" s="1"/>
  <c r="M21" i="61"/>
  <c r="U21" i="61" s="1"/>
  <c r="W21" i="61" s="1"/>
  <c r="AL21" i="61" s="1"/>
  <c r="C17" i="27"/>
  <c r="AJ17" i="27" s="1"/>
  <c r="M36" i="107"/>
  <c r="K18" i="61"/>
  <c r="S18" i="61" s="1"/>
  <c r="S57" i="61" s="1"/>
  <c r="G23" i="87"/>
  <c r="G52" i="87" s="1"/>
  <c r="G22" i="87"/>
  <c r="G51" i="87" s="1"/>
  <c r="I17" i="86"/>
  <c r="I31" i="86" s="1"/>
  <c r="I44" i="86" s="1"/>
  <c r="Q44" i="86" s="1"/>
  <c r="K23" i="86"/>
  <c r="S23" i="86" s="1"/>
  <c r="U23" i="86" s="1"/>
  <c r="I24" i="86"/>
  <c r="Q24" i="86" s="1"/>
  <c r="K23" i="61"/>
  <c r="S23" i="61" s="1"/>
  <c r="S62" i="61" s="1"/>
  <c r="M22" i="61"/>
  <c r="U22" i="61" s="1"/>
  <c r="W22" i="61" s="1"/>
  <c r="AL22" i="61" s="1"/>
  <c r="G24" i="87"/>
  <c r="G53" i="87" s="1"/>
  <c r="A24" i="50"/>
  <c r="M24" i="50" s="1"/>
  <c r="S32" i="16"/>
  <c r="E22" i="84"/>
  <c r="B59" i="136" s="1"/>
  <c r="G45" i="50"/>
  <c r="G46" i="50" s="1"/>
  <c r="G23" i="84"/>
  <c r="I18" i="86"/>
  <c r="I32" i="86" s="1"/>
  <c r="I45" i="86" s="1"/>
  <c r="Q45" i="86" s="1"/>
  <c r="K22" i="86"/>
  <c r="K36" i="86" s="1"/>
  <c r="G17" i="87"/>
  <c r="G46" i="87" s="1"/>
  <c r="K24" i="61"/>
  <c r="S24" i="61" s="1"/>
  <c r="S63" i="61" s="1"/>
  <c r="K17" i="86"/>
  <c r="S17" i="86" s="1"/>
  <c r="U17" i="86" s="1"/>
  <c r="W17" i="86" s="1"/>
  <c r="I30" i="86"/>
  <c r="Q30" i="86" s="1"/>
  <c r="Q17" i="118"/>
  <c r="AD17" i="118"/>
  <c r="C91" i="104"/>
  <c r="G100" i="105"/>
  <c r="E97" i="105"/>
  <c r="G99" i="105"/>
  <c r="E23" i="84"/>
  <c r="B60" i="136" s="1"/>
  <c r="G42" i="118"/>
  <c r="S42" i="118" s="1"/>
  <c r="Q42" i="118"/>
  <c r="A29" i="17"/>
  <c r="M17" i="61"/>
  <c r="U17" i="61" s="1"/>
  <c r="U56" i="61" s="1"/>
  <c r="K20" i="86"/>
  <c r="K34" i="86" s="1"/>
  <c r="K47" i="86" s="1"/>
  <c r="S47" i="86" s="1"/>
  <c r="U47" i="86" s="1"/>
  <c r="W47" i="86" s="1"/>
  <c r="K19" i="86"/>
  <c r="K33" i="86" s="1"/>
  <c r="S33" i="86" s="1"/>
  <c r="U33" i="86" s="1"/>
  <c r="W33" i="86" s="1"/>
  <c r="E37" i="23"/>
  <c r="S32" i="105" s="1"/>
  <c r="E37" i="133"/>
  <c r="AQ37" i="56"/>
  <c r="O59" i="118"/>
  <c r="O113" i="121"/>
  <c r="O73" i="121" s="1"/>
  <c r="O56" i="118"/>
  <c r="O110" i="121"/>
  <c r="O70" i="121" s="1"/>
  <c r="G42" i="133"/>
  <c r="C39" i="133"/>
  <c r="O57" i="118"/>
  <c r="O111" i="121"/>
  <c r="O71" i="121" s="1"/>
  <c r="E57" i="133"/>
  <c r="O60" i="118"/>
  <c r="O114" i="121"/>
  <c r="O74" i="121" s="1"/>
  <c r="O75" i="121"/>
  <c r="M35" i="121"/>
  <c r="G57" i="133"/>
  <c r="K24" i="7"/>
  <c r="K16" i="7"/>
  <c r="I21" i="86"/>
  <c r="Q21" i="86" s="1"/>
  <c r="K19" i="61"/>
  <c r="S19" i="61" s="1"/>
  <c r="S58" i="61" s="1"/>
  <c r="I18" i="82"/>
  <c r="M18" i="82" s="1"/>
  <c r="S40" i="23"/>
  <c r="K20" i="61"/>
  <c r="S20" i="61" s="1"/>
  <c r="S59" i="61" s="1"/>
  <c r="E27" i="81"/>
  <c r="I16" i="81"/>
  <c r="M16" i="81" s="1"/>
  <c r="I16" i="82"/>
  <c r="M16" i="82" s="1"/>
  <c r="M19" i="61"/>
  <c r="U19" i="61" s="1"/>
  <c r="W19" i="61" s="1"/>
  <c r="AL19" i="61" s="1"/>
  <c r="G17" i="84"/>
  <c r="Q58" i="23"/>
  <c r="Q58" i="118"/>
  <c r="G20" i="84"/>
  <c r="G41" i="23"/>
  <c r="G38" i="23"/>
  <c r="E57" i="23"/>
  <c r="O55" i="23"/>
  <c r="S19" i="118"/>
  <c r="O55" i="118"/>
  <c r="S18" i="118"/>
  <c r="S20" i="118"/>
  <c r="G18" i="84"/>
  <c r="G19" i="87"/>
  <c r="G48" i="87" s="1"/>
  <c r="E37" i="118"/>
  <c r="E56" i="118" s="1"/>
  <c r="I30" i="37"/>
  <c r="K30" i="37" s="1"/>
  <c r="K19" i="72"/>
  <c r="K18" i="72"/>
  <c r="K20" i="72"/>
  <c r="K21" i="72"/>
  <c r="K23" i="72"/>
  <c r="K22" i="72"/>
  <c r="K21" i="61"/>
  <c r="S21" i="61" s="1"/>
  <c r="S60" i="61" s="1"/>
  <c r="K51" i="86"/>
  <c r="S51" i="86" s="1"/>
  <c r="U51" i="86" s="1"/>
  <c r="W51" i="86" s="1"/>
  <c r="G18" i="87"/>
  <c r="G47" i="87" s="1"/>
  <c r="G21" i="87"/>
  <c r="G50" i="87" s="1"/>
  <c r="K30" i="86"/>
  <c r="K43" i="86" s="1"/>
  <c r="S43" i="86" s="1"/>
  <c r="U43" i="86" s="1"/>
  <c r="W43" i="86" s="1"/>
  <c r="K21" i="86"/>
  <c r="S21" i="86" s="1"/>
  <c r="K18" i="86"/>
  <c r="K32" i="86" s="1"/>
  <c r="S32" i="86" s="1"/>
  <c r="U32" i="86" s="1"/>
  <c r="W32" i="86" s="1"/>
  <c r="E20" i="84"/>
  <c r="B57" i="136" s="1"/>
  <c r="G17" i="118"/>
  <c r="Q17" i="23"/>
  <c r="S30" i="15" s="1"/>
  <c r="G31" i="105"/>
  <c r="K32" i="87"/>
  <c r="S32" i="87" s="1"/>
  <c r="M18" i="61"/>
  <c r="U18" i="61" s="1"/>
  <c r="U57" i="61" s="1"/>
  <c r="AH140" i="105"/>
  <c r="Q38" i="118"/>
  <c r="AC28" i="158" s="1"/>
  <c r="G38" i="118"/>
  <c r="S38" i="118" s="1"/>
  <c r="Q38" i="23"/>
  <c r="Q57" i="23" s="1"/>
  <c r="Q41" i="118"/>
  <c r="AC31" i="158" s="1"/>
  <c r="G41" i="118"/>
  <c r="S41" i="118" s="1"/>
  <c r="Q41" i="23"/>
  <c r="C39" i="118"/>
  <c r="C58" i="118" s="1"/>
  <c r="I38" i="87"/>
  <c r="Q38" i="87" s="1"/>
  <c r="I32" i="87"/>
  <c r="Q32" i="87" s="1"/>
  <c r="K22" i="61"/>
  <c r="S22" i="61" s="1"/>
  <c r="S61" i="61" s="1"/>
  <c r="M20" i="61"/>
  <c r="U20" i="61" s="1"/>
  <c r="I22" i="45"/>
  <c r="I22" i="86"/>
  <c r="U63" i="61"/>
  <c r="W24" i="61"/>
  <c r="C29" i="10"/>
  <c r="C39" i="23"/>
  <c r="S17" i="23"/>
  <c r="Q20" i="86"/>
  <c r="I34" i="86"/>
  <c r="I33" i="86"/>
  <c r="Q19" i="86"/>
  <c r="W24" i="86"/>
  <c r="U38" i="86"/>
  <c r="E24" i="45"/>
  <c r="E24" i="6"/>
  <c r="K24" i="6" s="1"/>
  <c r="E23" i="6"/>
  <c r="K23" i="6" s="1"/>
  <c r="E22" i="6"/>
  <c r="K22" i="6" s="1"/>
  <c r="E21" i="6"/>
  <c r="K21" i="6" s="1"/>
  <c r="E20" i="6"/>
  <c r="K20" i="6" s="1"/>
  <c r="E19" i="6"/>
  <c r="K19" i="6" s="1"/>
  <c r="E18" i="6"/>
  <c r="K18" i="6" s="1"/>
  <c r="E17" i="6"/>
  <c r="K17" i="6" s="1"/>
  <c r="E16" i="6"/>
  <c r="K16" i="6" s="1"/>
  <c r="A17" i="6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8" i="6" s="1"/>
  <c r="C24" i="6"/>
  <c r="C23" i="6"/>
  <c r="C22" i="6"/>
  <c r="C21" i="6"/>
  <c r="C20" i="6"/>
  <c r="C19" i="6"/>
  <c r="C18" i="6"/>
  <c r="C17" i="6"/>
  <c r="C16" i="6"/>
  <c r="K16" i="71"/>
  <c r="I16" i="6" s="1"/>
  <c r="A17" i="71"/>
  <c r="A18" i="71" s="1"/>
  <c r="A19" i="71" s="1"/>
  <c r="A20" i="71" s="1"/>
  <c r="A21" i="71" s="1"/>
  <c r="A22" i="71" s="1"/>
  <c r="A23" i="71" s="1"/>
  <c r="A24" i="71" s="1"/>
  <c r="A25" i="71" s="1"/>
  <c r="A26" i="71" s="1"/>
  <c r="A27" i="71" s="1"/>
  <c r="A28" i="71" s="1"/>
  <c r="A29" i="71" s="1"/>
  <c r="A30" i="71" s="1"/>
  <c r="A31" i="71" s="1"/>
  <c r="A32" i="71" s="1"/>
  <c r="I48" i="71"/>
  <c r="I46" i="71"/>
  <c r="K16" i="26"/>
  <c r="I48" i="26"/>
  <c r="I46" i="26"/>
  <c r="A17" i="26"/>
  <c r="A18" i="26" s="1"/>
  <c r="A19" i="26" s="1"/>
  <c r="A20" i="26" s="1"/>
  <c r="A21" i="26" s="1"/>
  <c r="A22" i="26" s="1"/>
  <c r="A23" i="26" s="1"/>
  <c r="E31" i="5"/>
  <c r="K31" i="5" s="1"/>
  <c r="E30" i="5"/>
  <c r="K30" i="5" s="1"/>
  <c r="P30" i="5" s="1"/>
  <c r="E29" i="5"/>
  <c r="K29" i="5" s="1"/>
  <c r="E28" i="5"/>
  <c r="K28" i="5" s="1"/>
  <c r="P28" i="5" s="1"/>
  <c r="E27" i="5"/>
  <c r="K27" i="5" s="1"/>
  <c r="P27" i="5" s="1"/>
  <c r="E26" i="5"/>
  <c r="K26" i="5" s="1"/>
  <c r="P26" i="5" s="1"/>
  <c r="E25" i="5"/>
  <c r="K25" i="5" s="1"/>
  <c r="P25" i="5" s="1"/>
  <c r="E24" i="5"/>
  <c r="K24" i="5" s="1"/>
  <c r="E23" i="5"/>
  <c r="K23" i="5" s="1"/>
  <c r="P23" i="5" s="1"/>
  <c r="E22" i="5"/>
  <c r="K22" i="5" s="1"/>
  <c r="P22" i="5" s="1"/>
  <c r="E21" i="5"/>
  <c r="K21" i="5" s="1"/>
  <c r="P21" i="5" s="1"/>
  <c r="E20" i="5"/>
  <c r="K20" i="5" s="1"/>
  <c r="P20" i="5" s="1"/>
  <c r="E19" i="5"/>
  <c r="K19" i="5" s="1"/>
  <c r="P19" i="5" s="1"/>
  <c r="E18" i="5"/>
  <c r="K18" i="5" s="1"/>
  <c r="P18" i="5" s="1"/>
  <c r="E17" i="5"/>
  <c r="K17" i="5" s="1"/>
  <c r="P17" i="5" s="1"/>
  <c r="E16" i="5"/>
  <c r="K16" i="5" s="1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A17" i="5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K16" i="41"/>
  <c r="I16" i="5" s="1"/>
  <c r="A17" i="4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I49" i="41"/>
  <c r="I48" i="41"/>
  <c r="I46" i="41"/>
  <c r="K16" i="40"/>
  <c r="I46" i="40"/>
  <c r="I48" i="40"/>
  <c r="I49" i="40"/>
  <c r="A17" i="40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R36" i="127" l="1"/>
  <c r="O36" i="127" s="1"/>
  <c r="G16" i="5"/>
  <c r="X16" i="40"/>
  <c r="G16" i="6"/>
  <c r="X16" i="26"/>
  <c r="A29" i="41"/>
  <c r="AF28" i="41"/>
  <c r="A24" i="26"/>
  <c r="A25" i="26" s="1"/>
  <c r="A26" i="26" s="1"/>
  <c r="A27" i="26" s="1"/>
  <c r="A28" i="26" s="1"/>
  <c r="A29" i="26" s="1"/>
  <c r="A30" i="26" s="1"/>
  <c r="A31" i="26" s="1"/>
  <c r="A32" i="26" s="1"/>
  <c r="A33" i="71"/>
  <c r="A34" i="71" s="1"/>
  <c r="A35" i="71" s="1"/>
  <c r="A36" i="71" s="1"/>
  <c r="A37" i="71" s="1"/>
  <c r="A38" i="71" s="1"/>
  <c r="A39" i="71" s="1"/>
  <c r="A40" i="71" s="1"/>
  <c r="A41" i="71" s="1"/>
  <c r="A42" i="71" s="1"/>
  <c r="A43" i="71" s="1"/>
  <c r="A44" i="71" s="1"/>
  <c r="A48" i="71" s="1"/>
  <c r="S42" i="23"/>
  <c r="E30" i="35"/>
  <c r="G30" i="33"/>
  <c r="K30" i="33" s="1"/>
  <c r="C30" i="10" s="1"/>
  <c r="O72" i="122"/>
  <c r="N72" i="122" s="1"/>
  <c r="M72" i="122" s="1"/>
  <c r="M112" i="122" s="1"/>
  <c r="A38" i="40"/>
  <c r="A39" i="40" s="1"/>
  <c r="P24" i="5"/>
  <c r="P16" i="5"/>
  <c r="P29" i="5"/>
  <c r="A30" i="5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8" i="5" s="1"/>
  <c r="A43" i="6"/>
  <c r="A44" i="6" s="1"/>
  <c r="P16" i="6"/>
  <c r="A30" i="70"/>
  <c r="AF29" i="70"/>
  <c r="A22" i="79"/>
  <c r="S21" i="79"/>
  <c r="M29" i="121"/>
  <c r="Q23" i="86"/>
  <c r="P118" i="158"/>
  <c r="AB118" i="158" s="1"/>
  <c r="Q37" i="86"/>
  <c r="Q63" i="86" s="1"/>
  <c r="O115" i="122"/>
  <c r="AC32" i="158"/>
  <c r="D113" i="158"/>
  <c r="AB113" i="158" s="1"/>
  <c r="AB70" i="158"/>
  <c r="P71" i="158"/>
  <c r="AB71" i="158" s="1"/>
  <c r="D115" i="158"/>
  <c r="O29" i="122"/>
  <c r="M29" i="122" s="1"/>
  <c r="P29" i="122" s="1"/>
  <c r="E26" i="158"/>
  <c r="E69" i="158" s="1"/>
  <c r="Q28" i="158"/>
  <c r="Q71" i="158" s="1"/>
  <c r="Q114" i="158" s="1"/>
  <c r="Q29" i="158"/>
  <c r="Q72" i="158" s="1"/>
  <c r="Q115" i="158" s="1"/>
  <c r="P26" i="158"/>
  <c r="D112" i="158"/>
  <c r="D119" i="158"/>
  <c r="D117" i="158"/>
  <c r="AB117" i="158" s="1"/>
  <c r="AB74" i="158"/>
  <c r="D120" i="158"/>
  <c r="D116" i="158"/>
  <c r="P73" i="158"/>
  <c r="P116" i="158" s="1"/>
  <c r="U61" i="61"/>
  <c r="G98" i="105"/>
  <c r="U60" i="61"/>
  <c r="M47" i="49"/>
  <c r="K14" i="24" s="1"/>
  <c r="M49" i="49"/>
  <c r="K16" i="24" s="1"/>
  <c r="M48" i="49"/>
  <c r="K15" i="24" s="1"/>
  <c r="W23" i="61"/>
  <c r="AL23" i="61" s="1"/>
  <c r="Q17" i="86"/>
  <c r="Q31" i="86"/>
  <c r="K37" i="86"/>
  <c r="S37" i="86" s="1"/>
  <c r="U37" i="86" s="1"/>
  <c r="G17" i="27"/>
  <c r="O17" i="27" s="1"/>
  <c r="C17" i="56" s="1"/>
  <c r="P17" i="6"/>
  <c r="P18" i="6"/>
  <c r="P22" i="6"/>
  <c r="P19" i="6"/>
  <c r="I20" i="72"/>
  <c r="P21" i="6"/>
  <c r="C59" i="136"/>
  <c r="D59" i="136" s="1"/>
  <c r="P23" i="6"/>
  <c r="K31" i="86"/>
  <c r="S31" i="86" s="1"/>
  <c r="U31" i="86" s="1"/>
  <c r="W31" i="86" s="1"/>
  <c r="I38" i="86"/>
  <c r="I51" i="86" s="1"/>
  <c r="Q51" i="86" s="1"/>
  <c r="A25" i="50"/>
  <c r="M25" i="50" s="1"/>
  <c r="Q32" i="86"/>
  <c r="Q58" i="86" s="1"/>
  <c r="S22" i="86"/>
  <c r="U22" i="86" s="1"/>
  <c r="W17" i="61"/>
  <c r="W56" i="61" s="1"/>
  <c r="Q18" i="86"/>
  <c r="K38" i="87"/>
  <c r="S38" i="87" s="1"/>
  <c r="K24" i="72"/>
  <c r="G37" i="23"/>
  <c r="Q37" i="23"/>
  <c r="Q56" i="23" s="1"/>
  <c r="E56" i="23"/>
  <c r="I43" i="86"/>
  <c r="Q43" i="86" s="1"/>
  <c r="S34" i="86"/>
  <c r="U34" i="86" s="1"/>
  <c r="W34" i="86" s="1"/>
  <c r="S20" i="86"/>
  <c r="U20" i="86" s="1"/>
  <c r="W20" i="86" s="1"/>
  <c r="K46" i="86"/>
  <c r="S46" i="86" s="1"/>
  <c r="U46" i="86" s="1"/>
  <c r="W46" i="86" s="1"/>
  <c r="S19" i="86"/>
  <c r="U19" i="86" s="1"/>
  <c r="W19" i="86" s="1"/>
  <c r="A30" i="17"/>
  <c r="U58" i="61"/>
  <c r="E36" i="118"/>
  <c r="Q36" i="118" s="1"/>
  <c r="E36" i="133"/>
  <c r="AQ36" i="56"/>
  <c r="C60" i="136"/>
  <c r="D60" i="136" s="1"/>
  <c r="I35" i="86"/>
  <c r="Q35" i="86" s="1"/>
  <c r="O114" i="122"/>
  <c r="N75" i="121"/>
  <c r="Q75" i="121" s="1"/>
  <c r="N73" i="121"/>
  <c r="M73" i="121" s="1"/>
  <c r="P30" i="122"/>
  <c r="N29" i="121"/>
  <c r="P29" i="121"/>
  <c r="N69" i="121"/>
  <c r="Q69" i="121" s="1"/>
  <c r="N71" i="121"/>
  <c r="M71" i="121" s="1"/>
  <c r="P31" i="122"/>
  <c r="R31" i="122" s="1"/>
  <c r="N74" i="121"/>
  <c r="Q57" i="118"/>
  <c r="O111" i="122"/>
  <c r="O71" i="122" s="1"/>
  <c r="N71" i="122" s="1"/>
  <c r="M71" i="122" s="1"/>
  <c r="P71" i="122" s="1"/>
  <c r="N32" i="122"/>
  <c r="P32" i="122"/>
  <c r="G39" i="133"/>
  <c r="C58" i="133"/>
  <c r="E56" i="133"/>
  <c r="G37" i="133"/>
  <c r="N35" i="121"/>
  <c r="P35" i="121"/>
  <c r="N70" i="121"/>
  <c r="M70" i="121" s="1"/>
  <c r="N30" i="122"/>
  <c r="S64" i="86"/>
  <c r="K16" i="72"/>
  <c r="W58" i="61"/>
  <c r="Y19" i="61"/>
  <c r="Y58" i="61" s="1"/>
  <c r="S41" i="23"/>
  <c r="S38" i="23"/>
  <c r="S57" i="23" s="1"/>
  <c r="K33" i="87"/>
  <c r="K36" i="87"/>
  <c r="I32" i="81"/>
  <c r="M32" i="81" s="1"/>
  <c r="E43" i="81"/>
  <c r="M32" i="82"/>
  <c r="S66" i="61"/>
  <c r="R37" i="121"/>
  <c r="G57" i="23"/>
  <c r="E17" i="84"/>
  <c r="B54" i="136" s="1"/>
  <c r="G37" i="118"/>
  <c r="G56" i="118" s="1"/>
  <c r="Q37" i="118"/>
  <c r="AC27" i="158" s="1"/>
  <c r="Q27" i="158" s="1"/>
  <c r="Q70" i="158" s="1"/>
  <c r="Q113" i="158" s="1"/>
  <c r="S17" i="118"/>
  <c r="G57" i="118"/>
  <c r="Q34" i="105"/>
  <c r="C58" i="23"/>
  <c r="S57" i="118"/>
  <c r="G19" i="84"/>
  <c r="I31" i="37"/>
  <c r="K31" i="37" s="1"/>
  <c r="K17" i="72"/>
  <c r="I17" i="72"/>
  <c r="I23" i="72"/>
  <c r="I18" i="72"/>
  <c r="I19" i="72"/>
  <c r="I22" i="72"/>
  <c r="C23" i="38"/>
  <c r="G23" i="38" s="1"/>
  <c r="C23" i="37"/>
  <c r="G23" i="37" s="1"/>
  <c r="E23" i="72"/>
  <c r="C24" i="37"/>
  <c r="G24" i="37" s="1"/>
  <c r="C24" i="38"/>
  <c r="G24" i="38" s="1"/>
  <c r="E24" i="72"/>
  <c r="C25" i="38"/>
  <c r="G25" i="38" s="1"/>
  <c r="C25" i="37"/>
  <c r="G25" i="37" s="1"/>
  <c r="E25" i="72"/>
  <c r="C20" i="37"/>
  <c r="G20" i="37" s="1"/>
  <c r="C20" i="38"/>
  <c r="G20" i="38" s="1"/>
  <c r="E20" i="72"/>
  <c r="C19" i="37"/>
  <c r="G19" i="37" s="1"/>
  <c r="C19" i="38"/>
  <c r="G19" i="38" s="1"/>
  <c r="E19" i="72"/>
  <c r="C21" i="38"/>
  <c r="G21" i="38" s="1"/>
  <c r="C21" i="37"/>
  <c r="G21" i="37" s="1"/>
  <c r="E21" i="72"/>
  <c r="C31" i="37"/>
  <c r="G31" i="37" s="1"/>
  <c r="C31" i="38"/>
  <c r="G31" i="38" s="1"/>
  <c r="E31" i="72"/>
  <c r="C22" i="37"/>
  <c r="G22" i="37" s="1"/>
  <c r="C22" i="38"/>
  <c r="G22" i="38" s="1"/>
  <c r="E22" i="72"/>
  <c r="C26" i="38"/>
  <c r="G26" i="38" s="1"/>
  <c r="C26" i="37"/>
  <c r="G26" i="37" s="1"/>
  <c r="E26" i="72"/>
  <c r="C28" i="37"/>
  <c r="G28" i="37" s="1"/>
  <c r="C28" i="38"/>
  <c r="G28" i="38" s="1"/>
  <c r="E28" i="72"/>
  <c r="C17" i="37"/>
  <c r="G17" i="37" s="1"/>
  <c r="C17" i="38"/>
  <c r="G17" i="38" s="1"/>
  <c r="E17" i="72"/>
  <c r="C29" i="37"/>
  <c r="G29" i="37" s="1"/>
  <c r="C29" i="38"/>
  <c r="G29" i="38" s="1"/>
  <c r="E29" i="72"/>
  <c r="C27" i="37"/>
  <c r="G27" i="37" s="1"/>
  <c r="C27" i="38"/>
  <c r="G27" i="38" s="1"/>
  <c r="E27" i="72"/>
  <c r="C18" i="37"/>
  <c r="G18" i="37" s="1"/>
  <c r="C18" i="38"/>
  <c r="G18" i="38" s="1"/>
  <c r="E18" i="72"/>
  <c r="C30" i="37"/>
  <c r="G30" i="37" s="1"/>
  <c r="C30" i="38"/>
  <c r="G30" i="38" s="1"/>
  <c r="E30" i="72"/>
  <c r="C16" i="37"/>
  <c r="G16" i="37" s="1"/>
  <c r="C16" i="38"/>
  <c r="G16" i="38" s="1"/>
  <c r="E16" i="72"/>
  <c r="K35" i="86"/>
  <c r="K48" i="86" s="1"/>
  <c r="S48" i="86" s="1"/>
  <c r="U48" i="86" s="1"/>
  <c r="W48" i="86" s="1"/>
  <c r="S30" i="86"/>
  <c r="U30" i="86" s="1"/>
  <c r="W30" i="86" s="1"/>
  <c r="W56" i="86" s="1"/>
  <c r="K45" i="86"/>
  <c r="S45" i="86" s="1"/>
  <c r="U45" i="86" s="1"/>
  <c r="W45" i="86" s="1"/>
  <c r="W18" i="61"/>
  <c r="W57" i="61" s="1"/>
  <c r="S18" i="86"/>
  <c r="U18" i="86" s="1"/>
  <c r="W18" i="86" s="1"/>
  <c r="U27" i="61"/>
  <c r="S27" i="61"/>
  <c r="G39" i="118"/>
  <c r="O39" i="118"/>
  <c r="Y21" i="61"/>
  <c r="Y60" i="61" s="1"/>
  <c r="W60" i="61"/>
  <c r="E19" i="84"/>
  <c r="B56" i="136" s="1"/>
  <c r="C56" i="136" s="1"/>
  <c r="D56" i="136" s="1"/>
  <c r="E18" i="84"/>
  <c r="B55" i="136" s="1"/>
  <c r="K37" i="87"/>
  <c r="S37" i="87" s="1"/>
  <c r="C33" i="94"/>
  <c r="G33" i="94" s="1"/>
  <c r="I33" i="94" s="1"/>
  <c r="G32" i="115"/>
  <c r="I32" i="115" s="1"/>
  <c r="G22" i="84"/>
  <c r="G21" i="84"/>
  <c r="E21" i="84"/>
  <c r="B58" i="136" s="1"/>
  <c r="C58" i="136" s="1"/>
  <c r="D58" i="136" s="1"/>
  <c r="K39" i="87"/>
  <c r="G20" i="87"/>
  <c r="G49" i="87" s="1"/>
  <c r="U59" i="61"/>
  <c r="W20" i="61"/>
  <c r="W32" i="87"/>
  <c r="AN32" i="87"/>
  <c r="I39" i="87"/>
  <c r="Q22" i="86"/>
  <c r="I36" i="86"/>
  <c r="T24" i="45"/>
  <c r="AL24" i="61"/>
  <c r="W63" i="61"/>
  <c r="Y24" i="61"/>
  <c r="Y63" i="61" s="1"/>
  <c r="G39" i="23"/>
  <c r="O39" i="23"/>
  <c r="E36" i="23"/>
  <c r="S31" i="105" s="1"/>
  <c r="W23" i="86"/>
  <c r="S36" i="86"/>
  <c r="K49" i="86"/>
  <c r="S49" i="86" s="1"/>
  <c r="U49" i="86" s="1"/>
  <c r="W49" i="86" s="1"/>
  <c r="U21" i="86"/>
  <c r="I47" i="86"/>
  <c r="Q47" i="86" s="1"/>
  <c r="Q34" i="86"/>
  <c r="Y22" i="61"/>
  <c r="Y61" i="61" s="1"/>
  <c r="W61" i="61"/>
  <c r="U64" i="86"/>
  <c r="W38" i="86"/>
  <c r="W64" i="86" s="1"/>
  <c r="I46" i="86"/>
  <c r="Q46" i="86" s="1"/>
  <c r="Q33" i="86"/>
  <c r="E25" i="45"/>
  <c r="E32" i="39"/>
  <c r="K32" i="39" s="1"/>
  <c r="E31" i="39"/>
  <c r="K31" i="39" s="1"/>
  <c r="E30" i="39"/>
  <c r="K30" i="39" s="1"/>
  <c r="E29" i="39"/>
  <c r="K29" i="39" s="1"/>
  <c r="E28" i="39"/>
  <c r="K28" i="39" s="1"/>
  <c r="E27" i="39"/>
  <c r="K27" i="39" s="1"/>
  <c r="E26" i="39"/>
  <c r="K26" i="39" s="1"/>
  <c r="E25" i="39"/>
  <c r="K25" i="39" s="1"/>
  <c r="E24" i="39"/>
  <c r="E23" i="39"/>
  <c r="K23" i="39" s="1"/>
  <c r="E22" i="39"/>
  <c r="K22" i="39" s="1"/>
  <c r="E21" i="39"/>
  <c r="K21" i="39" s="1"/>
  <c r="E20" i="39"/>
  <c r="E19" i="39"/>
  <c r="E18" i="39"/>
  <c r="E17" i="39"/>
  <c r="E16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A17" i="39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E43" i="42"/>
  <c r="E42" i="42"/>
  <c r="E41" i="42"/>
  <c r="E40" i="42"/>
  <c r="E39" i="42"/>
  <c r="E38" i="42"/>
  <c r="E37" i="42"/>
  <c r="E36" i="42"/>
  <c r="E35" i="42"/>
  <c r="E34" i="42"/>
  <c r="AH34" i="41" s="1"/>
  <c r="E33" i="42"/>
  <c r="AH33" i="41" s="1"/>
  <c r="E44" i="42"/>
  <c r="A17" i="42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A36" i="42" s="1"/>
  <c r="A37" i="42" s="1"/>
  <c r="A38" i="42" s="1"/>
  <c r="A39" i="42" s="1"/>
  <c r="A40" i="42" s="1"/>
  <c r="A41" i="42" s="1"/>
  <c r="A42" i="42" s="1"/>
  <c r="A43" i="42" s="1"/>
  <c r="A44" i="42" s="1"/>
  <c r="I46" i="42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E31" i="4"/>
  <c r="E30" i="4"/>
  <c r="E33" i="4"/>
  <c r="E32" i="4"/>
  <c r="E43" i="4"/>
  <c r="N43" i="4" s="1"/>
  <c r="E42" i="4"/>
  <c r="N42" i="4" s="1"/>
  <c r="E41" i="4"/>
  <c r="N41" i="4" s="1"/>
  <c r="E40" i="4"/>
  <c r="E39" i="4"/>
  <c r="N39" i="4" s="1"/>
  <c r="E38" i="4"/>
  <c r="N38" i="4" s="1"/>
  <c r="E37" i="4"/>
  <c r="N37" i="4" s="1"/>
  <c r="E36" i="4"/>
  <c r="N36" i="4" s="1"/>
  <c r="E35" i="4"/>
  <c r="E34" i="4"/>
  <c r="E44" i="4"/>
  <c r="I46" i="4"/>
  <c r="A17" i="4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17" i="43"/>
  <c r="A18" i="43" s="1"/>
  <c r="A19" i="43" s="1"/>
  <c r="A20" i="43" s="1"/>
  <c r="A21" i="43" s="1"/>
  <c r="A22" i="43" s="1"/>
  <c r="A23" i="43" s="1"/>
  <c r="A24" i="43" s="1"/>
  <c r="A25" i="43" s="1"/>
  <c r="A26" i="43" s="1"/>
  <c r="A27" i="43" s="1"/>
  <c r="A28" i="43" s="1"/>
  <c r="A29" i="43" s="1"/>
  <c r="A30" i="43" s="1"/>
  <c r="A31" i="43" s="1"/>
  <c r="A32" i="43" s="1"/>
  <c r="A33" i="43" s="1"/>
  <c r="A34" i="43" s="1"/>
  <c r="A35" i="43" s="1"/>
  <c r="A36" i="43" s="1"/>
  <c r="A37" i="43" s="1"/>
  <c r="A38" i="43" s="1"/>
  <c r="A39" i="43" s="1"/>
  <c r="A40" i="43" s="1"/>
  <c r="A41" i="43" s="1"/>
  <c r="A42" i="43" s="1"/>
  <c r="A43" i="43" s="1"/>
  <c r="A44" i="43" s="1"/>
  <c r="A19" i="68"/>
  <c r="A20" i="68" s="1"/>
  <c r="A21" i="68" s="1"/>
  <c r="A22" i="68" s="1"/>
  <c r="A23" i="68" s="1"/>
  <c r="A24" i="68" s="1"/>
  <c r="A25" i="68" s="1"/>
  <c r="A26" i="68" s="1"/>
  <c r="A27" i="68" s="1"/>
  <c r="A28" i="68" s="1"/>
  <c r="A29" i="68" s="1"/>
  <c r="A30" i="68" s="1"/>
  <c r="A31" i="68" s="1"/>
  <c r="A32" i="68" s="1"/>
  <c r="A33" i="68" s="1"/>
  <c r="A34" i="68" s="1"/>
  <c r="A35" i="68" s="1"/>
  <c r="A36" i="68" s="1"/>
  <c r="A37" i="68" s="1"/>
  <c r="A38" i="68" s="1"/>
  <c r="A39" i="68" s="1"/>
  <c r="A40" i="68" s="1"/>
  <c r="A41" i="68" s="1"/>
  <c r="A42" i="68" s="1"/>
  <c r="A43" i="68" s="1"/>
  <c r="A44" i="68" s="1"/>
  <c r="A45" i="68" s="1"/>
  <c r="A46" i="68" s="1"/>
  <c r="A17" i="3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Q185" i="105" l="1"/>
  <c r="C32" i="84"/>
  <c r="U38" i="87"/>
  <c r="U37" i="87"/>
  <c r="C37" i="116" s="1"/>
  <c r="A30" i="41"/>
  <c r="AF29" i="41"/>
  <c r="A33" i="26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8" i="26"/>
  <c r="E31" i="35"/>
  <c r="G31" i="33"/>
  <c r="K31" i="33" s="1"/>
  <c r="C31" i="10" s="1"/>
  <c r="A40" i="40"/>
  <c r="A41" i="40" s="1"/>
  <c r="A42" i="40" s="1"/>
  <c r="A43" i="40" s="1"/>
  <c r="A44" i="40" s="1"/>
  <c r="A48" i="40" s="1"/>
  <c r="A31" i="70"/>
  <c r="AF30" i="70"/>
  <c r="A23" i="79"/>
  <c r="S22" i="79"/>
  <c r="P114" i="158"/>
  <c r="AB114" i="158" s="1"/>
  <c r="E44" i="39"/>
  <c r="AH44" i="41"/>
  <c r="E35" i="39"/>
  <c r="K35" i="39" s="1"/>
  <c r="AH35" i="41"/>
  <c r="B184" i="136"/>
  <c r="C184" i="136" s="1"/>
  <c r="D184" i="136" s="1"/>
  <c r="N44" i="4"/>
  <c r="E36" i="39"/>
  <c r="K36" i="39" s="1"/>
  <c r="C36" i="72" s="1"/>
  <c r="AH36" i="41"/>
  <c r="E37" i="39"/>
  <c r="K37" i="39" s="1"/>
  <c r="AH37" i="41"/>
  <c r="E38" i="39"/>
  <c r="K38" i="39" s="1"/>
  <c r="AH38" i="41"/>
  <c r="E39" i="39"/>
  <c r="AH39" i="41"/>
  <c r="E40" i="39"/>
  <c r="K40" i="39" s="1"/>
  <c r="AH40" i="41"/>
  <c r="E41" i="39"/>
  <c r="AH41" i="41"/>
  <c r="E42" i="39"/>
  <c r="AH42" i="41"/>
  <c r="B180" i="136"/>
  <c r="N40" i="4"/>
  <c r="E43" i="39"/>
  <c r="AH43" i="41"/>
  <c r="N29" i="122"/>
  <c r="Q29" i="122" s="1"/>
  <c r="R29" i="122" s="1"/>
  <c r="E113" i="158"/>
  <c r="AC113" i="158" s="1"/>
  <c r="AC70" i="158"/>
  <c r="O112" i="121"/>
  <c r="O72" i="121" s="1"/>
  <c r="N72" i="121" s="1"/>
  <c r="Q72" i="121" s="1"/>
  <c r="Q112" i="121" s="1"/>
  <c r="AB29" i="158"/>
  <c r="P29" i="158" s="1"/>
  <c r="P72" i="158" s="1"/>
  <c r="P69" i="158"/>
  <c r="AB69" i="158" s="1"/>
  <c r="E115" i="158"/>
  <c r="AC115" i="158" s="1"/>
  <c r="AC72" i="158"/>
  <c r="E114" i="158"/>
  <c r="AC114" i="158" s="1"/>
  <c r="AC71" i="158"/>
  <c r="Q26" i="158"/>
  <c r="Q69" i="158" s="1"/>
  <c r="Q112" i="158" s="1"/>
  <c r="AB73" i="158"/>
  <c r="AB116" i="158"/>
  <c r="M18" i="72"/>
  <c r="C18" i="11" s="1"/>
  <c r="I18" i="11" s="1"/>
  <c r="M23" i="72"/>
  <c r="C23" i="11" s="1"/>
  <c r="I23" i="11" s="1"/>
  <c r="M20" i="72"/>
  <c r="C20" i="11" s="1"/>
  <c r="I20" i="11" s="1"/>
  <c r="M22" i="72"/>
  <c r="C22" i="11" s="1"/>
  <c r="I22" i="11" s="1"/>
  <c r="M19" i="72"/>
  <c r="C19" i="11" s="1"/>
  <c r="I19" i="11" s="1"/>
  <c r="K44" i="86"/>
  <c r="S44" i="86" s="1"/>
  <c r="U44" i="86" s="1"/>
  <c r="W44" i="86" s="1"/>
  <c r="W57" i="86" s="1"/>
  <c r="E100" i="105"/>
  <c r="Q38" i="86"/>
  <c r="Q64" i="86" s="1"/>
  <c r="Q56" i="86"/>
  <c r="K50" i="86"/>
  <c r="S50" i="86" s="1"/>
  <c r="U50" i="86" s="1"/>
  <c r="W50" i="86" s="1"/>
  <c r="W62" i="61"/>
  <c r="Y23" i="61"/>
  <c r="Y62" i="61" s="1"/>
  <c r="Q57" i="86"/>
  <c r="C35" i="39"/>
  <c r="B175" i="136"/>
  <c r="C31" i="39"/>
  <c r="B171" i="136"/>
  <c r="C33" i="39"/>
  <c r="B173" i="136"/>
  <c r="C34" i="39"/>
  <c r="B174" i="136"/>
  <c r="C36" i="39"/>
  <c r="B176" i="136"/>
  <c r="C38" i="39"/>
  <c r="B178" i="136"/>
  <c r="C39" i="39"/>
  <c r="B179" i="136"/>
  <c r="C37" i="39"/>
  <c r="B177" i="136"/>
  <c r="C42" i="39"/>
  <c r="B182" i="136"/>
  <c r="C30" i="39"/>
  <c r="B170" i="136"/>
  <c r="C41" i="39"/>
  <c r="B181" i="136"/>
  <c r="C43" i="39"/>
  <c r="B183" i="136"/>
  <c r="C32" i="39"/>
  <c r="B172" i="136"/>
  <c r="P20" i="6"/>
  <c r="I21" i="72"/>
  <c r="Q27" i="86"/>
  <c r="Y17" i="61"/>
  <c r="Y56" i="61" s="1"/>
  <c r="AL17" i="61"/>
  <c r="K34" i="87"/>
  <c r="S34" i="87" s="1"/>
  <c r="S59" i="86"/>
  <c r="G56" i="23"/>
  <c r="A26" i="50"/>
  <c r="M26" i="50" s="1"/>
  <c r="S37" i="23"/>
  <c r="S56" i="23" s="1"/>
  <c r="U58" i="86"/>
  <c r="W58" i="86"/>
  <c r="G36" i="118"/>
  <c r="S36" i="118" s="1"/>
  <c r="S55" i="118" s="1"/>
  <c r="S58" i="86"/>
  <c r="E55" i="118"/>
  <c r="S60" i="86"/>
  <c r="W59" i="86"/>
  <c r="U59" i="86"/>
  <c r="U66" i="61"/>
  <c r="M75" i="121"/>
  <c r="P75" i="121" s="1"/>
  <c r="R75" i="121" s="1"/>
  <c r="V75" i="121" s="1"/>
  <c r="A31" i="17"/>
  <c r="I48" i="86"/>
  <c r="Q48" i="86" s="1"/>
  <c r="Q61" i="86" s="1"/>
  <c r="D8" i="135"/>
  <c r="C54" i="136"/>
  <c r="D54" i="136" s="1"/>
  <c r="C53" i="136"/>
  <c r="C22" i="72"/>
  <c r="C23" i="72"/>
  <c r="Q55" i="118"/>
  <c r="O109" i="122"/>
  <c r="O69" i="122" s="1"/>
  <c r="N69" i="122" s="1"/>
  <c r="M69" i="122" s="1"/>
  <c r="M109" i="122" s="1"/>
  <c r="C21" i="72"/>
  <c r="C57" i="136"/>
  <c r="D57" i="136" s="1"/>
  <c r="I24" i="72"/>
  <c r="C55" i="136"/>
  <c r="D55" i="136" s="1"/>
  <c r="G36" i="133"/>
  <c r="E55" i="133"/>
  <c r="S35" i="86"/>
  <c r="U35" i="86" s="1"/>
  <c r="W35" i="86" s="1"/>
  <c r="P111" i="122"/>
  <c r="Q71" i="122"/>
  <c r="Q111" i="122" s="1"/>
  <c r="M111" i="122"/>
  <c r="Q35" i="121"/>
  <c r="N115" i="121"/>
  <c r="Q74" i="121"/>
  <c r="Q114" i="121" s="1"/>
  <c r="N114" i="121"/>
  <c r="Q56" i="118"/>
  <c r="O110" i="122"/>
  <c r="O70" i="122" s="1"/>
  <c r="G58" i="133"/>
  <c r="M74" i="121"/>
  <c r="N109" i="121"/>
  <c r="Q29" i="121"/>
  <c r="Q109" i="121" s="1"/>
  <c r="Q30" i="122"/>
  <c r="R30" i="122" s="1"/>
  <c r="P70" i="121"/>
  <c r="M110" i="121"/>
  <c r="N112" i="122"/>
  <c r="Q32" i="122"/>
  <c r="R32" i="122" s="1"/>
  <c r="P73" i="121"/>
  <c r="M113" i="121"/>
  <c r="Q70" i="121"/>
  <c r="Q110" i="121" s="1"/>
  <c r="N110" i="121"/>
  <c r="Q73" i="121"/>
  <c r="Q113" i="121" s="1"/>
  <c r="N113" i="121"/>
  <c r="AN37" i="87"/>
  <c r="R41" i="127"/>
  <c r="N111" i="122"/>
  <c r="P71" i="121"/>
  <c r="M111" i="121"/>
  <c r="Q71" i="121"/>
  <c r="Q111" i="121" s="1"/>
  <c r="N111" i="121"/>
  <c r="G56" i="133"/>
  <c r="M69" i="121"/>
  <c r="I16" i="72"/>
  <c r="C27" i="72"/>
  <c r="K16" i="39"/>
  <c r="C28" i="72"/>
  <c r="K17" i="39"/>
  <c r="C29" i="72"/>
  <c r="K18" i="39"/>
  <c r="C30" i="72"/>
  <c r="K19" i="39"/>
  <c r="C31" i="72"/>
  <c r="K20" i="39"/>
  <c r="C32" i="72"/>
  <c r="K24" i="39"/>
  <c r="C25" i="72"/>
  <c r="C26" i="72"/>
  <c r="P72" i="122"/>
  <c r="M17" i="72"/>
  <c r="C17" i="11" s="1"/>
  <c r="I17" i="11" s="1"/>
  <c r="K32" i="84"/>
  <c r="S32" i="84" s="1"/>
  <c r="U32" i="84" s="1"/>
  <c r="AI32" i="84" s="1"/>
  <c r="G58" i="23"/>
  <c r="G44" i="43"/>
  <c r="AL18" i="61"/>
  <c r="W27" i="61"/>
  <c r="Y18" i="61"/>
  <c r="Y57" i="61" s="1"/>
  <c r="S27" i="86"/>
  <c r="S56" i="86"/>
  <c r="S37" i="118"/>
  <c r="S56" i="118" s="1"/>
  <c r="E55" i="23"/>
  <c r="O58" i="118"/>
  <c r="S39" i="118"/>
  <c r="S58" i="118" s="1"/>
  <c r="G58" i="118"/>
  <c r="O58" i="23"/>
  <c r="U56" i="86"/>
  <c r="I35" i="87"/>
  <c r="Q35" i="87" s="1"/>
  <c r="C38" i="94"/>
  <c r="G38" i="94" s="1"/>
  <c r="I38" i="94" s="1"/>
  <c r="W37" i="87"/>
  <c r="I32" i="84"/>
  <c r="Q32" i="84" s="1"/>
  <c r="C35" i="94"/>
  <c r="G35" i="94" s="1"/>
  <c r="I35" i="94" s="1"/>
  <c r="G34" i="115"/>
  <c r="I34" i="115" s="1"/>
  <c r="C34" i="84" s="1"/>
  <c r="I34" i="87"/>
  <c r="I33" i="87"/>
  <c r="K35" i="87"/>
  <c r="Q39" i="87"/>
  <c r="AL20" i="61"/>
  <c r="Y20" i="61"/>
  <c r="Y59" i="61" s="1"/>
  <c r="W59" i="61"/>
  <c r="S36" i="87"/>
  <c r="S39" i="87"/>
  <c r="I36" i="87"/>
  <c r="W34" i="87"/>
  <c r="AN34" i="87"/>
  <c r="S33" i="87"/>
  <c r="I37" i="87"/>
  <c r="T25" i="45"/>
  <c r="I24" i="45" s="1"/>
  <c r="I49" i="86"/>
  <c r="Q49" i="86" s="1"/>
  <c r="Q36" i="86"/>
  <c r="I23" i="45"/>
  <c r="C34" i="99"/>
  <c r="Q34" i="99" s="1"/>
  <c r="C32" i="99"/>
  <c r="Q32" i="99" s="1"/>
  <c r="S39" i="23"/>
  <c r="S58" i="23" s="1"/>
  <c r="Q36" i="23"/>
  <c r="G36" i="23"/>
  <c r="Q60" i="86"/>
  <c r="U60" i="86"/>
  <c r="W21" i="86"/>
  <c r="W60" i="86" s="1"/>
  <c r="U36" i="86"/>
  <c r="S62" i="86"/>
  <c r="W22" i="86"/>
  <c r="U27" i="86"/>
  <c r="W37" i="86"/>
  <c r="Q59" i="86"/>
  <c r="C44" i="39"/>
  <c r="C40" i="39"/>
  <c r="E33" i="39"/>
  <c r="K33" i="39" s="1"/>
  <c r="E34" i="39"/>
  <c r="K34" i="39" s="1"/>
  <c r="E26" i="45"/>
  <c r="A49" i="40" l="1"/>
  <c r="K17" i="12"/>
  <c r="K18" i="129" s="1"/>
  <c r="Q18" i="15"/>
  <c r="K22" i="12"/>
  <c r="AA22" i="12" s="1"/>
  <c r="M40" i="39"/>
  <c r="C38" i="72"/>
  <c r="K37" i="116"/>
  <c r="M37" i="116"/>
  <c r="AG38" i="87"/>
  <c r="C38" i="116"/>
  <c r="C37" i="115"/>
  <c r="G37" i="115" s="1"/>
  <c r="I37" i="115" s="1"/>
  <c r="C37" i="84" s="1"/>
  <c r="K37" i="84" s="1"/>
  <c r="S37" i="84" s="1"/>
  <c r="U37" i="84" s="1"/>
  <c r="AI37" i="84" s="1"/>
  <c r="AG37" i="87"/>
  <c r="R42" i="127"/>
  <c r="O42" i="127" s="1"/>
  <c r="C38" i="115"/>
  <c r="G38" i="115" s="1"/>
  <c r="I38" i="115" s="1"/>
  <c r="C38" i="84" s="1"/>
  <c r="W38" i="87"/>
  <c r="AN38" i="87"/>
  <c r="C39" i="94"/>
  <c r="G39" i="94" s="1"/>
  <c r="I39" i="94" s="1"/>
  <c r="R38" i="127"/>
  <c r="O38" i="127" s="1"/>
  <c r="W32" i="84"/>
  <c r="K19" i="12"/>
  <c r="K20" i="129" s="1"/>
  <c r="Q20" i="15"/>
  <c r="Q22" i="15"/>
  <c r="K21" i="12"/>
  <c r="AA21" i="12" s="1"/>
  <c r="C37" i="72"/>
  <c r="A31" i="41"/>
  <c r="AF30" i="41"/>
  <c r="C35" i="72"/>
  <c r="C180" i="136"/>
  <c r="D180" i="136" s="1"/>
  <c r="Q23" i="15"/>
  <c r="A32" i="70"/>
  <c r="AF31" i="70"/>
  <c r="A24" i="79"/>
  <c r="S23" i="79"/>
  <c r="U63" i="86"/>
  <c r="W63" i="86"/>
  <c r="C179" i="136"/>
  <c r="D179" i="136" s="1"/>
  <c r="C183" i="136"/>
  <c r="D183" i="136" s="1"/>
  <c r="Q40" i="86"/>
  <c r="K18" i="12"/>
  <c r="K19" i="129" s="1"/>
  <c r="C15" i="158"/>
  <c r="AF19" i="11"/>
  <c r="AG19" i="11" s="1"/>
  <c r="C18" i="158"/>
  <c r="AF22" i="11"/>
  <c r="AG22" i="11" s="1"/>
  <c r="C16" i="158"/>
  <c r="AF20" i="11"/>
  <c r="AG20" i="11" s="1"/>
  <c r="C19" i="158"/>
  <c r="AF23" i="11"/>
  <c r="AG23" i="11" s="1"/>
  <c r="C13" i="158"/>
  <c r="AF17" i="11"/>
  <c r="AG17" i="11" s="1"/>
  <c r="C14" i="158"/>
  <c r="AF18" i="11"/>
  <c r="AG18" i="11" s="1"/>
  <c r="U57" i="86"/>
  <c r="P112" i="158"/>
  <c r="AB112" i="158" s="1"/>
  <c r="P115" i="158"/>
  <c r="AB115" i="158" s="1"/>
  <c r="AB72" i="158"/>
  <c r="E112" i="158"/>
  <c r="AC112" i="158" s="1"/>
  <c r="AC69" i="158"/>
  <c r="S63" i="86"/>
  <c r="W53" i="86"/>
  <c r="S57" i="86"/>
  <c r="U53" i="86"/>
  <c r="S53" i="86"/>
  <c r="G28" i="72"/>
  <c r="C27" i="9" s="1"/>
  <c r="M24" i="72"/>
  <c r="C24" i="11" s="1"/>
  <c r="G31" i="72"/>
  <c r="C30" i="9" s="1"/>
  <c r="G27" i="72"/>
  <c r="G21" i="72"/>
  <c r="C20" i="9" s="1"/>
  <c r="M16" i="72"/>
  <c r="C16" i="11" s="1"/>
  <c r="I16" i="11" s="1"/>
  <c r="G30" i="72"/>
  <c r="C29" i="9" s="1"/>
  <c r="G26" i="72"/>
  <c r="C25" i="9" s="1"/>
  <c r="G23" i="72"/>
  <c r="C22" i="9" s="1"/>
  <c r="G25" i="72"/>
  <c r="C24" i="9" s="1"/>
  <c r="G29" i="72"/>
  <c r="C28" i="9" s="1"/>
  <c r="G22" i="72"/>
  <c r="C21" i="9" s="1"/>
  <c r="Q19" i="15"/>
  <c r="M21" i="72"/>
  <c r="C21" i="11" s="1"/>
  <c r="I21" i="11" s="1"/>
  <c r="G97" i="105"/>
  <c r="C177" i="136"/>
  <c r="D177" i="136" s="1"/>
  <c r="C176" i="136"/>
  <c r="D176" i="136" s="1"/>
  <c r="C174" i="136"/>
  <c r="D174" i="136" s="1"/>
  <c r="C182" i="136"/>
  <c r="D182" i="136" s="1"/>
  <c r="W66" i="61"/>
  <c r="C173" i="136"/>
  <c r="D173" i="136" s="1"/>
  <c r="C169" i="136"/>
  <c r="C170" i="136"/>
  <c r="D170" i="136" s="1"/>
  <c r="C172" i="136"/>
  <c r="D172" i="136" s="1"/>
  <c r="C171" i="136"/>
  <c r="D171" i="136" s="1"/>
  <c r="D53" i="136"/>
  <c r="D64" i="136" s="1"/>
  <c r="C64" i="136"/>
  <c r="C181" i="136"/>
  <c r="D181" i="136" s="1"/>
  <c r="C178" i="136"/>
  <c r="D178" i="136" s="1"/>
  <c r="C175" i="136"/>
  <c r="D175" i="136" s="1"/>
  <c r="G41" i="43"/>
  <c r="A27" i="50"/>
  <c r="M27" i="50" s="1"/>
  <c r="G55" i="118"/>
  <c r="M115" i="121"/>
  <c r="Q53" i="86"/>
  <c r="O41" i="127"/>
  <c r="P115" i="121"/>
  <c r="A32" i="17"/>
  <c r="S40" i="86"/>
  <c r="N109" i="122"/>
  <c r="Q69" i="122"/>
  <c r="Q109" i="122" s="1"/>
  <c r="S61" i="86"/>
  <c r="P69" i="122"/>
  <c r="P109" i="122" s="1"/>
  <c r="R71" i="122"/>
  <c r="V71" i="122" s="1"/>
  <c r="U61" i="86"/>
  <c r="W61" i="86"/>
  <c r="C24" i="72"/>
  <c r="C20" i="72"/>
  <c r="C16" i="72"/>
  <c r="C19" i="72"/>
  <c r="C18" i="72"/>
  <c r="G55" i="23"/>
  <c r="G55" i="133"/>
  <c r="C17" i="72"/>
  <c r="R29" i="121"/>
  <c r="R71" i="121"/>
  <c r="P111" i="121"/>
  <c r="N70" i="122"/>
  <c r="M70" i="122" s="1"/>
  <c r="P69" i="121"/>
  <c r="M109" i="121"/>
  <c r="M72" i="121"/>
  <c r="R73" i="121"/>
  <c r="P113" i="121"/>
  <c r="R70" i="121"/>
  <c r="P110" i="121"/>
  <c r="P74" i="121"/>
  <c r="M114" i="121"/>
  <c r="Q115" i="121"/>
  <c r="R35" i="121"/>
  <c r="R115" i="121" s="1"/>
  <c r="K23" i="129"/>
  <c r="G43" i="43"/>
  <c r="G42" i="43"/>
  <c r="Q72" i="122"/>
  <c r="Q112" i="122" s="1"/>
  <c r="K16" i="12"/>
  <c r="Q17" i="15"/>
  <c r="C34" i="72"/>
  <c r="C33" i="72"/>
  <c r="AL27" i="61"/>
  <c r="C44" i="42"/>
  <c r="G44" i="42" s="1"/>
  <c r="K44" i="42" s="1"/>
  <c r="I44" i="39" s="1"/>
  <c r="C71" i="72" s="1"/>
  <c r="C44" i="4"/>
  <c r="G44" i="4" s="1"/>
  <c r="K44" i="4" s="1"/>
  <c r="Y66" i="61"/>
  <c r="N112" i="121"/>
  <c r="P112" i="122"/>
  <c r="Q55" i="23"/>
  <c r="I32" i="37"/>
  <c r="K32" i="37" s="1"/>
  <c r="Y27" i="61"/>
  <c r="Q33" i="87"/>
  <c r="Q34" i="87"/>
  <c r="K34" i="84"/>
  <c r="S34" i="84" s="1"/>
  <c r="U34" i="84" s="1"/>
  <c r="AI34" i="84" s="1"/>
  <c r="I34" i="84"/>
  <c r="Q34" i="84" s="1"/>
  <c r="Q37" i="87"/>
  <c r="R37" i="127"/>
  <c r="U39" i="87"/>
  <c r="C39" i="116" s="1"/>
  <c r="S35" i="87"/>
  <c r="Q36" i="87"/>
  <c r="R40" i="127"/>
  <c r="Q62" i="86"/>
  <c r="Q66" i="86" s="1"/>
  <c r="T26" i="45"/>
  <c r="I25" i="45" s="1"/>
  <c r="T27" i="45"/>
  <c r="I33" i="37"/>
  <c r="K33" i="37" s="1"/>
  <c r="G33" i="33" s="1"/>
  <c r="K33" i="33" s="1"/>
  <c r="E33" i="40"/>
  <c r="C33" i="5" s="1"/>
  <c r="C46" i="39"/>
  <c r="C38" i="99"/>
  <c r="Q38" i="99" s="1"/>
  <c r="M32" i="99"/>
  <c r="K32" i="99"/>
  <c r="C37" i="99"/>
  <c r="Q37" i="99" s="1"/>
  <c r="K34" i="99"/>
  <c r="E46" i="39"/>
  <c r="S36" i="23"/>
  <c r="W27" i="86"/>
  <c r="W36" i="86"/>
  <c r="U62" i="86"/>
  <c r="U40" i="86"/>
  <c r="G42" i="68"/>
  <c r="E40" i="43" s="1"/>
  <c r="E28" i="45"/>
  <c r="T28" i="45" s="1"/>
  <c r="E20" i="19"/>
  <c r="AA17" i="12" l="1"/>
  <c r="S71" i="72"/>
  <c r="AA19" i="12"/>
  <c r="K22" i="129"/>
  <c r="E23" i="157" s="1"/>
  <c r="I37" i="84"/>
  <c r="Q37" i="84" s="1"/>
  <c r="I38" i="84"/>
  <c r="Q38" i="84" s="1"/>
  <c r="K38" i="116"/>
  <c r="M38" i="116"/>
  <c r="K39" i="116"/>
  <c r="M39" i="116"/>
  <c r="C39" i="115"/>
  <c r="G39" i="115" s="1"/>
  <c r="I39" i="115" s="1"/>
  <c r="C39" i="84" s="1"/>
  <c r="AG39" i="87"/>
  <c r="K38" i="84"/>
  <c r="S38" i="84" s="1"/>
  <c r="U38" i="84" s="1"/>
  <c r="AI38" i="84" s="1"/>
  <c r="P21" i="15"/>
  <c r="I21" i="12"/>
  <c r="Y21" i="12" s="1"/>
  <c r="P28" i="15"/>
  <c r="G44" i="39"/>
  <c r="X44" i="4"/>
  <c r="I27" i="12"/>
  <c r="O22" i="72"/>
  <c r="E22" i="8" s="1"/>
  <c r="I22" i="8" s="1"/>
  <c r="C23" i="105" s="1"/>
  <c r="A32" i="41"/>
  <c r="AF31" i="41"/>
  <c r="E32" i="35"/>
  <c r="G32" i="33"/>
  <c r="K32" i="33" s="1"/>
  <c r="C32" i="10" s="1"/>
  <c r="P30" i="15"/>
  <c r="I29" i="12"/>
  <c r="Y29" i="12" s="1"/>
  <c r="A33" i="70"/>
  <c r="AF32" i="70"/>
  <c r="AA18" i="12"/>
  <c r="A25" i="79"/>
  <c r="S24" i="79"/>
  <c r="P27" i="15"/>
  <c r="C26" i="9"/>
  <c r="I20" i="12"/>
  <c r="Y20" i="12" s="1"/>
  <c r="I24" i="12"/>
  <c r="Y24" i="12" s="1"/>
  <c r="B21" i="158"/>
  <c r="B64" i="158" s="1"/>
  <c r="B107" i="158" s="1"/>
  <c r="Y24" i="9"/>
  <c r="B23" i="158"/>
  <c r="B66" i="158" s="1"/>
  <c r="B109" i="158" s="1"/>
  <c r="Y26" i="9"/>
  <c r="P23" i="15"/>
  <c r="T23" i="15" s="1"/>
  <c r="B19" i="158"/>
  <c r="B62" i="158" s="1"/>
  <c r="B105" i="158" s="1"/>
  <c r="Y22" i="9"/>
  <c r="B27" i="158"/>
  <c r="B70" i="158" s="1"/>
  <c r="B113" i="158" s="1"/>
  <c r="Y30" i="9"/>
  <c r="I26" i="12"/>
  <c r="M26" i="12" s="1"/>
  <c r="B22" i="158"/>
  <c r="B65" i="158" s="1"/>
  <c r="B108" i="158" s="1"/>
  <c r="Y25" i="9"/>
  <c r="B26" i="158"/>
  <c r="Y29" i="9"/>
  <c r="B24" i="158"/>
  <c r="Y27" i="9"/>
  <c r="P31" i="15"/>
  <c r="I30" i="12"/>
  <c r="Y30" i="12" s="1"/>
  <c r="P22" i="15"/>
  <c r="T22" i="15" s="1"/>
  <c r="B18" i="158"/>
  <c r="Y21" i="9"/>
  <c r="Z21" i="9" s="1"/>
  <c r="P26" i="15"/>
  <c r="I25" i="12"/>
  <c r="M25" i="12" s="1"/>
  <c r="I28" i="12"/>
  <c r="I29" i="129" s="1"/>
  <c r="B25" i="158"/>
  <c r="B68" i="158" s="1"/>
  <c r="B111" i="158" s="1"/>
  <c r="Y28" i="9"/>
  <c r="B17" i="158"/>
  <c r="B60" i="158" s="1"/>
  <c r="B103" i="158" s="1"/>
  <c r="Y20" i="9"/>
  <c r="C57" i="158"/>
  <c r="C100" i="158" s="1"/>
  <c r="C56" i="158"/>
  <c r="Q24" i="15"/>
  <c r="C20" i="158"/>
  <c r="AF24" i="11"/>
  <c r="C17" i="158"/>
  <c r="AF21" i="11"/>
  <c r="AG21" i="11" s="1"/>
  <c r="C62" i="158"/>
  <c r="C59" i="158"/>
  <c r="C102" i="158" s="1"/>
  <c r="C12" i="158"/>
  <c r="AF16" i="11"/>
  <c r="AG16" i="11" s="1"/>
  <c r="K23" i="12"/>
  <c r="K24" i="129" s="1"/>
  <c r="AA24" i="129" s="1"/>
  <c r="O23" i="120" s="1"/>
  <c r="C61" i="158"/>
  <c r="O21" i="72"/>
  <c r="C58" i="158"/>
  <c r="S66" i="86"/>
  <c r="AA23" i="129"/>
  <c r="O22" i="120" s="1"/>
  <c r="M22" i="120" s="1"/>
  <c r="N22" i="120" s="1"/>
  <c r="Q22" i="120" s="1"/>
  <c r="E24" i="157"/>
  <c r="AA22" i="129"/>
  <c r="O21" i="120" s="1"/>
  <c r="M21" i="120" s="1"/>
  <c r="N21" i="120" s="1"/>
  <c r="Q21" i="120" s="1"/>
  <c r="AA19" i="129"/>
  <c r="O18" i="120" s="1"/>
  <c r="M18" i="120" s="1"/>
  <c r="N18" i="120" s="1"/>
  <c r="Q18" i="120" s="1"/>
  <c r="E20" i="157"/>
  <c r="AA20" i="129"/>
  <c r="O19" i="120" s="1"/>
  <c r="M19" i="120" s="1"/>
  <c r="N19" i="120" s="1"/>
  <c r="Q19" i="120" s="1"/>
  <c r="E21" i="157"/>
  <c r="AA18" i="129"/>
  <c r="O17" i="120" s="1"/>
  <c r="M17" i="120" s="1"/>
  <c r="N17" i="120" s="1"/>
  <c r="Q17" i="120" s="1"/>
  <c r="E19" i="157"/>
  <c r="O23" i="72"/>
  <c r="I22" i="12"/>
  <c r="Y22" i="12" s="1"/>
  <c r="K15" i="12"/>
  <c r="K16" i="129" s="1"/>
  <c r="Q16" i="15"/>
  <c r="P29" i="15"/>
  <c r="G16" i="72"/>
  <c r="G20" i="72"/>
  <c r="C19" i="9" s="1"/>
  <c r="G17" i="72"/>
  <c r="C16" i="9" s="1"/>
  <c r="K20" i="12"/>
  <c r="Q21" i="15"/>
  <c r="G24" i="72"/>
  <c r="C23" i="9" s="1"/>
  <c r="G18" i="72"/>
  <c r="C17" i="9" s="1"/>
  <c r="P25" i="15"/>
  <c r="G19" i="72"/>
  <c r="C43" i="4"/>
  <c r="G43" i="4" s="1"/>
  <c r="K43" i="4" s="1"/>
  <c r="D186" i="136"/>
  <c r="C186" i="136"/>
  <c r="D169" i="136"/>
  <c r="G40" i="43"/>
  <c r="A28" i="50"/>
  <c r="M28" i="50" s="1"/>
  <c r="O37" i="127"/>
  <c r="O40" i="127"/>
  <c r="R69" i="122"/>
  <c r="V69" i="122" s="1"/>
  <c r="R111" i="122"/>
  <c r="A33" i="17"/>
  <c r="R72" i="122"/>
  <c r="V72" i="122" s="1"/>
  <c r="P72" i="121"/>
  <c r="M112" i="121"/>
  <c r="C31" i="99"/>
  <c r="R35" i="127"/>
  <c r="V70" i="121"/>
  <c r="R110" i="121"/>
  <c r="R69" i="121"/>
  <c r="P109" i="121"/>
  <c r="P70" i="122"/>
  <c r="P110" i="122" s="1"/>
  <c r="M110" i="122"/>
  <c r="R74" i="121"/>
  <c r="P114" i="121"/>
  <c r="V73" i="121"/>
  <c r="R113" i="121"/>
  <c r="Q70" i="122"/>
  <c r="N110" i="122"/>
  <c r="V71" i="121"/>
  <c r="R111" i="121"/>
  <c r="R43" i="127"/>
  <c r="C43" i="42"/>
  <c r="G43" i="42" s="1"/>
  <c r="K43" i="42" s="1"/>
  <c r="K17" i="129"/>
  <c r="AA16" i="12"/>
  <c r="I28" i="129"/>
  <c r="Y27" i="12"/>
  <c r="C42" i="42"/>
  <c r="G42" i="42" s="1"/>
  <c r="K42" i="42" s="1"/>
  <c r="C42" i="4"/>
  <c r="G42" i="4" s="1"/>
  <c r="K42" i="4" s="1"/>
  <c r="S55" i="23"/>
  <c r="C32" i="94"/>
  <c r="G32" i="94" s="1"/>
  <c r="I32" i="94" s="1"/>
  <c r="W31" i="87"/>
  <c r="AN31" i="87"/>
  <c r="C37" i="94"/>
  <c r="G37" i="94" s="1"/>
  <c r="I37" i="94" s="1"/>
  <c r="G36" i="115"/>
  <c r="I36" i="115" s="1"/>
  <c r="C36" i="84" s="1"/>
  <c r="C34" i="94"/>
  <c r="G34" i="94" s="1"/>
  <c r="I34" i="94" s="1"/>
  <c r="C40" i="94"/>
  <c r="G40" i="94" s="1"/>
  <c r="I40" i="94" s="1"/>
  <c r="W37" i="84"/>
  <c r="W34" i="84"/>
  <c r="W39" i="87"/>
  <c r="W33" i="87"/>
  <c r="AN33" i="87"/>
  <c r="W36" i="87"/>
  <c r="AN36" i="87"/>
  <c r="C36" i="99"/>
  <c r="S56" i="91"/>
  <c r="I34" i="37"/>
  <c r="K34" i="37" s="1"/>
  <c r="G34" i="33" s="1"/>
  <c r="K34" i="33" s="1"/>
  <c r="E34" i="40"/>
  <c r="C34" i="5" s="1"/>
  <c r="U56" i="91"/>
  <c r="E33" i="35"/>
  <c r="C33" i="10"/>
  <c r="I27" i="45"/>
  <c r="T20" i="19"/>
  <c r="I26" i="45"/>
  <c r="C33" i="99"/>
  <c r="Q33" i="99" s="1"/>
  <c r="K37" i="99"/>
  <c r="C39" i="99"/>
  <c r="Q39" i="99" s="1"/>
  <c r="M38" i="99"/>
  <c r="K38" i="99"/>
  <c r="U66" i="86"/>
  <c r="W62" i="86"/>
  <c r="W66" i="86" s="1"/>
  <c r="W40" i="86"/>
  <c r="C41" i="42"/>
  <c r="G41" i="42" s="1"/>
  <c r="K41" i="42" s="1"/>
  <c r="C41" i="4"/>
  <c r="G41" i="4" s="1"/>
  <c r="K41" i="4" s="1"/>
  <c r="G41" i="68"/>
  <c r="E39" i="43" s="1"/>
  <c r="E29" i="45"/>
  <c r="M21" i="12" l="1"/>
  <c r="AC21" i="12" s="1"/>
  <c r="I22" i="129"/>
  <c r="I39" i="84"/>
  <c r="Q39" i="84" s="1"/>
  <c r="C42" i="115"/>
  <c r="W38" i="84"/>
  <c r="M31" i="99"/>
  <c r="Q31" i="99"/>
  <c r="M36" i="99"/>
  <c r="Q36" i="99"/>
  <c r="T21" i="15"/>
  <c r="AQ37" i="116"/>
  <c r="AC37" i="116"/>
  <c r="AS37" i="116" s="1"/>
  <c r="AI37" i="116"/>
  <c r="S58" i="91"/>
  <c r="I30" i="129"/>
  <c r="Y30" i="129" s="1"/>
  <c r="O29" i="119" s="1"/>
  <c r="M29" i="119" s="1"/>
  <c r="G43" i="39"/>
  <c r="A33" i="41"/>
  <c r="AF32" i="41"/>
  <c r="I23" i="129"/>
  <c r="C24" i="157" s="1"/>
  <c r="I27" i="129"/>
  <c r="Y27" i="129" s="1"/>
  <c r="O26" i="119" s="1"/>
  <c r="M26" i="119" s="1"/>
  <c r="Y28" i="12"/>
  <c r="I21" i="129"/>
  <c r="Y21" i="129" s="1"/>
  <c r="O20" i="119" s="1"/>
  <c r="M20" i="119" s="1"/>
  <c r="P20" i="119" s="1"/>
  <c r="M20" i="12"/>
  <c r="AC20" i="12" s="1"/>
  <c r="I25" i="129"/>
  <c r="Y25" i="129" s="1"/>
  <c r="O24" i="119" s="1"/>
  <c r="M24" i="119" s="1"/>
  <c r="M24" i="12"/>
  <c r="AC24" i="12" s="1"/>
  <c r="P22" i="120"/>
  <c r="R22" i="120" s="1"/>
  <c r="A34" i="70"/>
  <c r="AF33" i="70"/>
  <c r="P21" i="120"/>
  <c r="R21" i="120" s="1"/>
  <c r="A26" i="79"/>
  <c r="S25" i="79"/>
  <c r="I15" i="12"/>
  <c r="Y15" i="12" s="1"/>
  <c r="C15" i="9"/>
  <c r="I31" i="129"/>
  <c r="Y31" i="129" s="1"/>
  <c r="O30" i="119" s="1"/>
  <c r="M30" i="119" s="1"/>
  <c r="I18" i="12"/>
  <c r="Y18" i="12" s="1"/>
  <c r="C18" i="9"/>
  <c r="Y25" i="12"/>
  <c r="I26" i="129"/>
  <c r="C27" i="157" s="1"/>
  <c r="P16" i="15"/>
  <c r="T16" i="15" s="1"/>
  <c r="Y26" i="12"/>
  <c r="H19" i="158"/>
  <c r="P19" i="15"/>
  <c r="T19" i="15" s="1"/>
  <c r="H62" i="158"/>
  <c r="Z22" i="9"/>
  <c r="O18" i="72"/>
  <c r="E18" i="8" s="1"/>
  <c r="I18" i="8" s="1"/>
  <c r="C19" i="105" s="1"/>
  <c r="M19" i="105" s="1"/>
  <c r="C19" i="67" s="1"/>
  <c r="B14" i="158"/>
  <c r="Y17" i="9"/>
  <c r="B61" i="158"/>
  <c r="B104" i="158" s="1"/>
  <c r="B20" i="158"/>
  <c r="B63" i="158" s="1"/>
  <c r="B106" i="158" s="1"/>
  <c r="Y23" i="9"/>
  <c r="O17" i="72"/>
  <c r="E17" i="8" s="1"/>
  <c r="I17" i="8" s="1"/>
  <c r="C18" i="105" s="1"/>
  <c r="M18" i="105" s="1"/>
  <c r="C18" i="67" s="1"/>
  <c r="B13" i="158"/>
  <c r="Y16" i="9"/>
  <c r="B67" i="158"/>
  <c r="B110" i="158" s="1"/>
  <c r="I23" i="12"/>
  <c r="Y23" i="12" s="1"/>
  <c r="O24" i="72"/>
  <c r="E24" i="8" s="1"/>
  <c r="I24" i="8" s="1"/>
  <c r="C25" i="105" s="1"/>
  <c r="I17" i="12"/>
  <c r="Y17" i="12" s="1"/>
  <c r="O19" i="72"/>
  <c r="E19" i="8" s="1"/>
  <c r="I19" i="8" s="1"/>
  <c r="C20" i="105" s="1"/>
  <c r="M20" i="105" s="1"/>
  <c r="C20" i="67" s="1"/>
  <c r="B15" i="158"/>
  <c r="Y18" i="9"/>
  <c r="O20" i="72"/>
  <c r="B16" i="158"/>
  <c r="Y19" i="9"/>
  <c r="Z20" i="9"/>
  <c r="B69" i="158"/>
  <c r="B112" i="158" s="1"/>
  <c r="P24" i="15"/>
  <c r="T24" i="15" s="1"/>
  <c r="B12" i="158"/>
  <c r="B55" i="158" s="1"/>
  <c r="B98" i="158" s="1"/>
  <c r="Y15" i="9"/>
  <c r="H18" i="158"/>
  <c r="E21" i="8"/>
  <c r="I21" i="8" s="1"/>
  <c r="C22" i="105" s="1"/>
  <c r="M22" i="105" s="1"/>
  <c r="C22" i="67" s="1"/>
  <c r="C104" i="158"/>
  <c r="P17" i="120"/>
  <c r="R17" i="120" s="1"/>
  <c r="P19" i="120"/>
  <c r="R19" i="120" s="1"/>
  <c r="C105" i="158"/>
  <c r="H105" i="158" s="1"/>
  <c r="H17" i="158"/>
  <c r="C60" i="158"/>
  <c r="E23" i="8"/>
  <c r="I23" i="8" s="1"/>
  <c r="C24" i="105" s="1"/>
  <c r="M24" i="105" s="1"/>
  <c r="C24" i="67" s="1"/>
  <c r="C63" i="158"/>
  <c r="C55" i="158"/>
  <c r="C99" i="158"/>
  <c r="AA23" i="12"/>
  <c r="C101" i="158"/>
  <c r="P18" i="120"/>
  <c r="R18" i="120" s="1"/>
  <c r="AA16" i="129"/>
  <c r="O15" i="120" s="1"/>
  <c r="M15" i="120" s="1"/>
  <c r="P15" i="120" s="1"/>
  <c r="E17" i="157"/>
  <c r="Y28" i="129"/>
  <c r="O27" i="119" s="1"/>
  <c r="M27" i="119" s="1"/>
  <c r="C29" i="157"/>
  <c r="Y22" i="129"/>
  <c r="O21" i="119" s="1"/>
  <c r="M21" i="119" s="1"/>
  <c r="P21" i="119" s="1"/>
  <c r="C23" i="157"/>
  <c r="M22" i="12"/>
  <c r="AC22" i="12" s="1"/>
  <c r="AA17" i="129"/>
  <c r="O16" i="120" s="1"/>
  <c r="M16" i="120" s="1"/>
  <c r="N16" i="120" s="1"/>
  <c r="Q16" i="120" s="1"/>
  <c r="E18" i="157"/>
  <c r="AA15" i="12"/>
  <c r="Y29" i="129"/>
  <c r="O28" i="119" s="1"/>
  <c r="M28" i="119" s="1"/>
  <c r="C30" i="157"/>
  <c r="I16" i="12"/>
  <c r="Y16" i="12" s="1"/>
  <c r="P20" i="15"/>
  <c r="T20" i="15" s="1"/>
  <c r="P18" i="15"/>
  <c r="T18" i="15" s="1"/>
  <c r="K21" i="129"/>
  <c r="AA20" i="12"/>
  <c r="I19" i="12"/>
  <c r="O16" i="72"/>
  <c r="P17" i="15"/>
  <c r="T17" i="15" s="1"/>
  <c r="I41" i="39"/>
  <c r="C68" i="72" s="1"/>
  <c r="X41" i="42"/>
  <c r="G42" i="39"/>
  <c r="I42" i="39"/>
  <c r="C69" i="72" s="1"/>
  <c r="X42" i="42"/>
  <c r="I43" i="39"/>
  <c r="C70" i="72" s="1"/>
  <c r="S70" i="72" s="1"/>
  <c r="X43" i="42"/>
  <c r="G41" i="39"/>
  <c r="A29" i="50"/>
  <c r="M29" i="50" s="1"/>
  <c r="R109" i="122"/>
  <c r="R112" i="122"/>
  <c r="M23" i="105"/>
  <c r="O35" i="127"/>
  <c r="O43" i="127"/>
  <c r="A34" i="17"/>
  <c r="K31" i="99"/>
  <c r="U20" i="130"/>
  <c r="R70" i="122"/>
  <c r="Q110" i="122"/>
  <c r="V69" i="121"/>
  <c r="R109" i="121"/>
  <c r="V74" i="121"/>
  <c r="R114" i="121"/>
  <c r="G35" i="115"/>
  <c r="I35" i="115" s="1"/>
  <c r="C35" i="84" s="1"/>
  <c r="R39" i="127"/>
  <c r="R72" i="121"/>
  <c r="P112" i="121"/>
  <c r="AC25" i="12"/>
  <c r="M26" i="129"/>
  <c r="AC26" i="12"/>
  <c r="M27" i="129"/>
  <c r="M23" i="120"/>
  <c r="N23" i="120" s="1"/>
  <c r="I36" i="37"/>
  <c r="K36" i="37" s="1"/>
  <c r="I36" i="84"/>
  <c r="Q36" i="84" s="1"/>
  <c r="K36" i="84"/>
  <c r="S36" i="84" s="1"/>
  <c r="U36" i="84" s="1"/>
  <c r="AI36" i="84" s="1"/>
  <c r="K39" i="84"/>
  <c r="S39" i="84" s="1"/>
  <c r="G33" i="115"/>
  <c r="I33" i="115" s="1"/>
  <c r="C35" i="99"/>
  <c r="C36" i="94"/>
  <c r="E35" i="40"/>
  <c r="C35" i="5" s="1"/>
  <c r="I35" i="37"/>
  <c r="K35" i="37" s="1"/>
  <c r="E36" i="40"/>
  <c r="W35" i="87"/>
  <c r="AN35" i="87"/>
  <c r="K36" i="99"/>
  <c r="U42" i="87"/>
  <c r="I19" i="19"/>
  <c r="I28" i="38" s="1"/>
  <c r="K28" i="38" s="1"/>
  <c r="G28" i="34" s="1"/>
  <c r="K28" i="34" s="1"/>
  <c r="T29" i="45"/>
  <c r="E34" i="35"/>
  <c r="C34" i="10"/>
  <c r="M39" i="99"/>
  <c r="K39" i="99"/>
  <c r="M33" i="99"/>
  <c r="K33" i="99"/>
  <c r="C40" i="4"/>
  <c r="G40" i="4" s="1"/>
  <c r="K40" i="4" s="1"/>
  <c r="C40" i="42"/>
  <c r="G40" i="42" s="1"/>
  <c r="K40" i="42" s="1"/>
  <c r="G40" i="68"/>
  <c r="E38" i="43" s="1"/>
  <c r="G39" i="43"/>
  <c r="E30" i="45"/>
  <c r="E21" i="19"/>
  <c r="M22" i="129" l="1"/>
  <c r="C31" i="157"/>
  <c r="S68" i="72"/>
  <c r="S69" i="72"/>
  <c r="M15" i="12"/>
  <c r="AC15" i="12" s="1"/>
  <c r="M35" i="99"/>
  <c r="Q35" i="99"/>
  <c r="Q42" i="99" s="1"/>
  <c r="Y23" i="129"/>
  <c r="O22" i="119" s="1"/>
  <c r="M22" i="119" s="1"/>
  <c r="P22" i="119" s="1"/>
  <c r="Z23" i="158"/>
  <c r="N23" i="158" s="1"/>
  <c r="Z22" i="158"/>
  <c r="N22" i="158" s="1"/>
  <c r="AP26" i="129"/>
  <c r="Z18" i="158"/>
  <c r="N18" i="158" s="1"/>
  <c r="AP22" i="129"/>
  <c r="O23" i="157"/>
  <c r="O24" i="157"/>
  <c r="C28" i="157"/>
  <c r="AC38" i="116"/>
  <c r="AS38" i="116" s="1"/>
  <c r="AI38" i="116"/>
  <c r="AQ38" i="116"/>
  <c r="AC39" i="116"/>
  <c r="AS39" i="116" s="1"/>
  <c r="AI39" i="116"/>
  <c r="AQ39" i="116"/>
  <c r="C33" i="84"/>
  <c r="K33" i="84" s="1"/>
  <c r="I42" i="115"/>
  <c r="G44" i="131"/>
  <c r="I44" i="131" s="1"/>
  <c r="W36" i="84"/>
  <c r="I19" i="129"/>
  <c r="Y19" i="129" s="1"/>
  <c r="O18" i="119" s="1"/>
  <c r="C26" i="157"/>
  <c r="Y26" i="129"/>
  <c r="O25" i="119" s="1"/>
  <c r="M25" i="119" s="1"/>
  <c r="P25" i="119" s="1"/>
  <c r="M18" i="12"/>
  <c r="AC18" i="12" s="1"/>
  <c r="C22" i="157"/>
  <c r="M21" i="129"/>
  <c r="A34" i="41"/>
  <c r="AF33" i="41"/>
  <c r="M25" i="129"/>
  <c r="G36" i="33"/>
  <c r="K36" i="33" s="1"/>
  <c r="C36" i="10" s="1"/>
  <c r="E35" i="35"/>
  <c r="G35" i="33"/>
  <c r="K35" i="33" s="1"/>
  <c r="C35" i="10" s="1"/>
  <c r="I24" i="129"/>
  <c r="Y24" i="129" s="1"/>
  <c r="O23" i="119" s="1"/>
  <c r="M23" i="119" s="1"/>
  <c r="P23" i="119" s="1"/>
  <c r="M23" i="12"/>
  <c r="M24" i="129" s="1"/>
  <c r="H12" i="158"/>
  <c r="M17" i="12"/>
  <c r="AC17" i="12" s="1"/>
  <c r="I18" i="129"/>
  <c r="Y18" i="129" s="1"/>
  <c r="O17" i="119" s="1"/>
  <c r="M17" i="119" s="1"/>
  <c r="P17" i="119" s="1"/>
  <c r="I16" i="129"/>
  <c r="Y16" i="129" s="1"/>
  <c r="O15" i="119" s="1"/>
  <c r="M15" i="119" s="1"/>
  <c r="A35" i="70"/>
  <c r="AF34" i="70"/>
  <c r="H63" i="158"/>
  <c r="A27" i="79"/>
  <c r="S26" i="79"/>
  <c r="N20" i="119"/>
  <c r="Q20" i="119" s="1"/>
  <c r="R20" i="119" s="1"/>
  <c r="H61" i="158"/>
  <c r="H20" i="158"/>
  <c r="Z23" i="9"/>
  <c r="C36" i="5"/>
  <c r="Z16" i="9"/>
  <c r="H104" i="158"/>
  <c r="Z19" i="9"/>
  <c r="E20" i="8"/>
  <c r="I20" i="8" s="1"/>
  <c r="C21" i="105" s="1"/>
  <c r="M21" i="105" s="1"/>
  <c r="C21" i="67" s="1"/>
  <c r="B58" i="158"/>
  <c r="H15" i="158"/>
  <c r="Z18" i="9"/>
  <c r="B57" i="158"/>
  <c r="H14" i="158"/>
  <c r="B59" i="158"/>
  <c r="H59" i="158" s="1"/>
  <c r="H16" i="158"/>
  <c r="B56" i="158"/>
  <c r="H13" i="158"/>
  <c r="Z17" i="9"/>
  <c r="C18" i="16"/>
  <c r="I18" i="16" s="1"/>
  <c r="K18" i="16" s="1"/>
  <c r="C98" i="158"/>
  <c r="H98" i="158" s="1"/>
  <c r="H55" i="158"/>
  <c r="C106" i="158"/>
  <c r="H106" i="158" s="1"/>
  <c r="P16" i="120"/>
  <c r="R16" i="120" s="1"/>
  <c r="C103" i="158"/>
  <c r="H103" i="158" s="1"/>
  <c r="H60" i="158"/>
  <c r="M23" i="129"/>
  <c r="M16" i="12"/>
  <c r="AC16" i="12" s="1"/>
  <c r="AA21" i="129"/>
  <c r="O20" i="120" s="1"/>
  <c r="M20" i="120" s="1"/>
  <c r="P20" i="120" s="1"/>
  <c r="E22" i="157"/>
  <c r="I17" i="129"/>
  <c r="N21" i="119"/>
  <c r="Q21" i="119" s="1"/>
  <c r="R21" i="119" s="1"/>
  <c r="AC27" i="129"/>
  <c r="O106" i="119" s="1"/>
  <c r="O66" i="119" s="1"/>
  <c r="N66" i="119" s="1"/>
  <c r="Q66" i="119" s="1"/>
  <c r="AC26" i="129"/>
  <c r="O105" i="119" s="1"/>
  <c r="AE27" i="157"/>
  <c r="Q27" i="157" s="1"/>
  <c r="AC22" i="129"/>
  <c r="O101" i="119" s="1"/>
  <c r="O61" i="119" s="1"/>
  <c r="N61" i="119" s="1"/>
  <c r="Q61" i="119" s="1"/>
  <c r="AE23" i="157"/>
  <c r="Q23" i="157" s="1"/>
  <c r="Z15" i="9"/>
  <c r="E16" i="8"/>
  <c r="I16" i="8" s="1"/>
  <c r="C17" i="105" s="1"/>
  <c r="Y19" i="12"/>
  <c r="M19" i="12"/>
  <c r="C23" i="16"/>
  <c r="I23" i="16" s="1"/>
  <c r="K23" i="16" s="1"/>
  <c r="C23" i="67"/>
  <c r="I20" i="129"/>
  <c r="I40" i="39"/>
  <c r="C67" i="72" s="1"/>
  <c r="X40" i="42"/>
  <c r="G40" i="39"/>
  <c r="G38" i="43"/>
  <c r="AN42" i="87"/>
  <c r="A30" i="50"/>
  <c r="M30" i="50" s="1"/>
  <c r="O39" i="127"/>
  <c r="C24" i="16"/>
  <c r="I24" i="16" s="1"/>
  <c r="K24" i="16" s="1"/>
  <c r="N15" i="120"/>
  <c r="Q15" i="120" s="1"/>
  <c r="R15" i="120" s="1"/>
  <c r="A35" i="17"/>
  <c r="M25" i="105"/>
  <c r="C25" i="67" s="1"/>
  <c r="C20" i="16"/>
  <c r="I20" i="16" s="1"/>
  <c r="K20" i="16" s="1"/>
  <c r="V72" i="121"/>
  <c r="R112" i="121"/>
  <c r="V70" i="122"/>
  <c r="R110" i="122"/>
  <c r="C22" i="16"/>
  <c r="I22" i="16" s="1"/>
  <c r="K22" i="16" s="1"/>
  <c r="C19" i="16"/>
  <c r="I19" i="16" s="1"/>
  <c r="K19" i="16" s="1"/>
  <c r="N26" i="119"/>
  <c r="P26" i="119"/>
  <c r="N28" i="119"/>
  <c r="P28" i="119"/>
  <c r="N29" i="119"/>
  <c r="P29" i="119"/>
  <c r="N30" i="119"/>
  <c r="P30" i="119"/>
  <c r="N27" i="119"/>
  <c r="P27" i="119"/>
  <c r="N24" i="119"/>
  <c r="P24" i="119"/>
  <c r="Q23" i="120"/>
  <c r="P23" i="120"/>
  <c r="E36" i="35"/>
  <c r="C42" i="99"/>
  <c r="K35" i="99"/>
  <c r="K42" i="99" s="1"/>
  <c r="G36" i="94"/>
  <c r="I36" i="94" s="1"/>
  <c r="C42" i="94"/>
  <c r="U39" i="84"/>
  <c r="AI39" i="84" s="1"/>
  <c r="W42" i="87"/>
  <c r="E28" i="10"/>
  <c r="K28" i="10" s="1"/>
  <c r="E28" i="36"/>
  <c r="I28" i="45"/>
  <c r="T21" i="19"/>
  <c r="T30" i="45"/>
  <c r="I29" i="45" s="1"/>
  <c r="G39" i="68"/>
  <c r="E37" i="43" s="1"/>
  <c r="C40" i="72"/>
  <c r="C39" i="4"/>
  <c r="G39" i="4" s="1"/>
  <c r="K39" i="4" s="1"/>
  <c r="C39" i="42"/>
  <c r="G39" i="42" s="1"/>
  <c r="K39" i="42" s="1"/>
  <c r="E31" i="45"/>
  <c r="T31" i="45" s="1"/>
  <c r="E22" i="19"/>
  <c r="T22" i="19" s="1"/>
  <c r="O22" i="157" l="1"/>
  <c r="S67" i="72"/>
  <c r="M19" i="129"/>
  <c r="M16" i="129"/>
  <c r="Z12" i="158" s="1"/>
  <c r="N12" i="158" s="1"/>
  <c r="N55" i="158" s="1"/>
  <c r="N98" i="158" s="1"/>
  <c r="N22" i="119"/>
  <c r="Q22" i="119" s="1"/>
  <c r="R22" i="119" s="1"/>
  <c r="I33" i="84"/>
  <c r="Q33" i="84" s="1"/>
  <c r="C20" i="157"/>
  <c r="O20" i="157" s="1"/>
  <c r="Z21" i="158"/>
  <c r="N21" i="158" s="1"/>
  <c r="N64" i="158" s="1"/>
  <c r="N107" i="158" s="1"/>
  <c r="AP25" i="129"/>
  <c r="Z19" i="158"/>
  <c r="N19" i="158" s="1"/>
  <c r="N62" i="158" s="1"/>
  <c r="AP23" i="129"/>
  <c r="Z17" i="158"/>
  <c r="N17" i="158" s="1"/>
  <c r="N60" i="158" s="1"/>
  <c r="AP21" i="129"/>
  <c r="Z20" i="158"/>
  <c r="N20" i="158" s="1"/>
  <c r="AP24" i="129"/>
  <c r="Z15" i="158"/>
  <c r="N15" i="158" s="1"/>
  <c r="N58" i="158" s="1"/>
  <c r="AP19" i="129"/>
  <c r="O65" i="119"/>
  <c r="N65" i="119" s="1"/>
  <c r="Q65" i="119" s="1"/>
  <c r="N25" i="119"/>
  <c r="Q25" i="119" s="1"/>
  <c r="AE22" i="157"/>
  <c r="Q22" i="157" s="1"/>
  <c r="AC21" i="129"/>
  <c r="O100" i="119" s="1"/>
  <c r="O60" i="119" s="1"/>
  <c r="N60" i="119" s="1"/>
  <c r="Q60" i="119" s="1"/>
  <c r="Q100" i="119" s="1"/>
  <c r="AE26" i="157"/>
  <c r="Q26" i="157" s="1"/>
  <c r="C17" i="157"/>
  <c r="C25" i="157"/>
  <c r="M17" i="105"/>
  <c r="C17" i="67" s="1"/>
  <c r="AC25" i="129"/>
  <c r="O104" i="119" s="1"/>
  <c r="O64" i="119" s="1"/>
  <c r="N64" i="119" s="1"/>
  <c r="Q64" i="119" s="1"/>
  <c r="A35" i="41"/>
  <c r="AF34" i="41"/>
  <c r="M18" i="129"/>
  <c r="AC23" i="12"/>
  <c r="Q101" i="119"/>
  <c r="C19" i="157"/>
  <c r="A36" i="70"/>
  <c r="AF35" i="70"/>
  <c r="N23" i="119"/>
  <c r="Q23" i="119" s="1"/>
  <c r="R23" i="119" s="1"/>
  <c r="A28" i="79"/>
  <c r="S27" i="79"/>
  <c r="C21" i="16"/>
  <c r="I21" i="16" s="1"/>
  <c r="K21" i="16" s="1"/>
  <c r="B102" i="158"/>
  <c r="H102" i="158" s="1"/>
  <c r="B100" i="158"/>
  <c r="H100" i="158" s="1"/>
  <c r="H57" i="158"/>
  <c r="B101" i="158"/>
  <c r="H101" i="158" s="1"/>
  <c r="H58" i="158"/>
  <c r="B99" i="158"/>
  <c r="H99" i="158" s="1"/>
  <c r="H56" i="158"/>
  <c r="AC23" i="129"/>
  <c r="O102" i="119" s="1"/>
  <c r="O62" i="119" s="1"/>
  <c r="N62" i="119" s="1"/>
  <c r="Q62" i="119" s="1"/>
  <c r="AE24" i="157"/>
  <c r="Q24" i="157" s="1"/>
  <c r="M17" i="129"/>
  <c r="M66" i="119"/>
  <c r="P66" i="119" s="1"/>
  <c r="R66" i="119" s="1"/>
  <c r="V66" i="119" s="1"/>
  <c r="N17" i="119"/>
  <c r="Q17" i="119" s="1"/>
  <c r="R17" i="119" s="1"/>
  <c r="N20" i="120"/>
  <c r="Q20" i="120" s="1"/>
  <c r="R20" i="120" s="1"/>
  <c r="AE17" i="157"/>
  <c r="Y17" i="129"/>
  <c r="O16" i="119" s="1"/>
  <c r="C18" i="157"/>
  <c r="Y20" i="129"/>
  <c r="O19" i="119" s="1"/>
  <c r="M19" i="119" s="1"/>
  <c r="C21" i="157"/>
  <c r="M18" i="119"/>
  <c r="P18" i="119" s="1"/>
  <c r="N61" i="158"/>
  <c r="N104" i="158" s="1"/>
  <c r="N66" i="158"/>
  <c r="N65" i="158"/>
  <c r="M61" i="119"/>
  <c r="M101" i="119" s="1"/>
  <c r="AC24" i="129"/>
  <c r="O103" i="119" s="1"/>
  <c r="O63" i="119" s="1"/>
  <c r="N63" i="119" s="1"/>
  <c r="M63" i="119" s="1"/>
  <c r="AE25" i="157"/>
  <c r="AC19" i="129"/>
  <c r="O98" i="119" s="1"/>
  <c r="O58" i="119" s="1"/>
  <c r="N58" i="119" s="1"/>
  <c r="Q58" i="119" s="1"/>
  <c r="AE20" i="157"/>
  <c r="N101" i="119"/>
  <c r="AC19" i="12"/>
  <c r="M20" i="129"/>
  <c r="I39" i="39"/>
  <c r="C66" i="72" s="1"/>
  <c r="X39" i="42"/>
  <c r="G39" i="39"/>
  <c r="G37" i="43"/>
  <c r="A31" i="50"/>
  <c r="M31" i="50" s="1"/>
  <c r="A36" i="17"/>
  <c r="C25" i="16"/>
  <c r="I25" i="16" s="1"/>
  <c r="K25" i="16" s="1"/>
  <c r="U41" i="130"/>
  <c r="Q28" i="119"/>
  <c r="Q27" i="119"/>
  <c r="Q26" i="119"/>
  <c r="Q106" i="119" s="1"/>
  <c r="N106" i="119"/>
  <c r="Q30" i="119"/>
  <c r="Q29" i="119"/>
  <c r="R29" i="119" s="1"/>
  <c r="Q24" i="119"/>
  <c r="N15" i="119"/>
  <c r="P15" i="119"/>
  <c r="R23" i="120"/>
  <c r="S33" i="84"/>
  <c r="I42" i="94"/>
  <c r="W39" i="84"/>
  <c r="I21" i="19"/>
  <c r="I30" i="38" s="1"/>
  <c r="K30" i="38" s="1"/>
  <c r="G30" i="34" s="1"/>
  <c r="K30" i="34" s="1"/>
  <c r="I20" i="19"/>
  <c r="I29" i="38" s="1"/>
  <c r="K29" i="38" s="1"/>
  <c r="G29" i="34" s="1"/>
  <c r="K29" i="34" s="1"/>
  <c r="I37" i="37"/>
  <c r="K37" i="37" s="1"/>
  <c r="G37" i="33" s="1"/>
  <c r="K37" i="33" s="1"/>
  <c r="E37" i="40"/>
  <c r="E38" i="40"/>
  <c r="I38" i="37"/>
  <c r="K38" i="37" s="1"/>
  <c r="G38" i="33" s="1"/>
  <c r="K38" i="33" s="1"/>
  <c r="C27" i="12"/>
  <c r="I30" i="45"/>
  <c r="C38" i="42"/>
  <c r="G38" i="42" s="1"/>
  <c r="K38" i="42" s="1"/>
  <c r="C38" i="4"/>
  <c r="G38" i="4" s="1"/>
  <c r="K38" i="4" s="1"/>
  <c r="G38" i="68"/>
  <c r="E36" i="43" s="1"/>
  <c r="E32" i="45"/>
  <c r="T32" i="45" s="1"/>
  <c r="E23" i="19"/>
  <c r="T23" i="19" s="1"/>
  <c r="I22" i="19" s="1"/>
  <c r="AC16" i="129" l="1"/>
  <c r="O95" i="119" s="1"/>
  <c r="O55" i="119" s="1"/>
  <c r="S66" i="72"/>
  <c r="Q102" i="119"/>
  <c r="AP16" i="129"/>
  <c r="N105" i="119"/>
  <c r="Q105" i="119"/>
  <c r="M65" i="119"/>
  <c r="M105" i="119" s="1"/>
  <c r="Q20" i="157"/>
  <c r="M60" i="119"/>
  <c r="P60" i="119" s="1"/>
  <c r="R60" i="119" s="1"/>
  <c r="V60" i="119" s="1"/>
  <c r="Z16" i="158"/>
  <c r="N16" i="158" s="1"/>
  <c r="AP20" i="129"/>
  <c r="Z14" i="158"/>
  <c r="N14" i="158" s="1"/>
  <c r="N57" i="158" s="1"/>
  <c r="AP18" i="129"/>
  <c r="Z13" i="158"/>
  <c r="N13" i="158" s="1"/>
  <c r="N56" i="158" s="1"/>
  <c r="AP17" i="129"/>
  <c r="O17" i="157"/>
  <c r="Q17" i="157"/>
  <c r="O21" i="157"/>
  <c r="O19" i="157"/>
  <c r="O18" i="157"/>
  <c r="Q25" i="157"/>
  <c r="N100" i="119"/>
  <c r="M64" i="119"/>
  <c r="P64" i="119" s="1"/>
  <c r="R64" i="119" s="1"/>
  <c r="V64" i="119" s="1"/>
  <c r="N104" i="119"/>
  <c r="Q104" i="119"/>
  <c r="AE19" i="157"/>
  <c r="Q19" i="157" s="1"/>
  <c r="C17" i="16"/>
  <c r="I17" i="16" s="1"/>
  <c r="K17" i="16" s="1"/>
  <c r="AC18" i="129"/>
  <c r="O97" i="119" s="1"/>
  <c r="O57" i="119" s="1"/>
  <c r="N57" i="119" s="1"/>
  <c r="Q57" i="119" s="1"/>
  <c r="Q97" i="119" s="1"/>
  <c r="A36" i="41"/>
  <c r="AF35" i="41"/>
  <c r="A37" i="70"/>
  <c r="AF36" i="70"/>
  <c r="A29" i="79"/>
  <c r="S28" i="79"/>
  <c r="M62" i="119"/>
  <c r="P62" i="119" s="1"/>
  <c r="R62" i="119" s="1"/>
  <c r="N102" i="119"/>
  <c r="AE18" i="157"/>
  <c r="Q18" i="157" s="1"/>
  <c r="AC17" i="129"/>
  <c r="O96" i="119" s="1"/>
  <c r="O56" i="119" s="1"/>
  <c r="N56" i="119" s="1"/>
  <c r="Q56" i="119" s="1"/>
  <c r="M106" i="119"/>
  <c r="P106" i="119"/>
  <c r="C38" i="5"/>
  <c r="C37" i="5"/>
  <c r="P61" i="119"/>
  <c r="R61" i="119" s="1"/>
  <c r="N18" i="119"/>
  <c r="Q18" i="119" s="1"/>
  <c r="R18" i="119" s="1"/>
  <c r="P19" i="119"/>
  <c r="N19" i="119"/>
  <c r="Q19" i="119" s="1"/>
  <c r="M16" i="119"/>
  <c r="P16" i="119" s="1"/>
  <c r="Z104" i="158"/>
  <c r="N101" i="158"/>
  <c r="Z58" i="158"/>
  <c r="Z61" i="158"/>
  <c r="Z98" i="158"/>
  <c r="Z55" i="158"/>
  <c r="N105" i="158"/>
  <c r="Z62" i="158"/>
  <c r="N108" i="158"/>
  <c r="Z65" i="158"/>
  <c r="N63" i="158"/>
  <c r="N109" i="158"/>
  <c r="Z66" i="158"/>
  <c r="Z107" i="158"/>
  <c r="Z64" i="158"/>
  <c r="N103" i="158"/>
  <c r="Z60" i="158"/>
  <c r="M58" i="119"/>
  <c r="P58" i="119" s="1"/>
  <c r="R58" i="119" s="1"/>
  <c r="V58" i="119" s="1"/>
  <c r="AC20" i="129"/>
  <c r="O99" i="119" s="1"/>
  <c r="O59" i="119" s="1"/>
  <c r="N59" i="119" s="1"/>
  <c r="AE21" i="157"/>
  <c r="Q21" i="157" s="1"/>
  <c r="G38" i="39"/>
  <c r="I38" i="39"/>
  <c r="C65" i="72" s="1"/>
  <c r="X38" i="42"/>
  <c r="G36" i="43"/>
  <c r="A32" i="50"/>
  <c r="M32" i="50" s="1"/>
  <c r="A37" i="17"/>
  <c r="P63" i="119"/>
  <c r="M103" i="119"/>
  <c r="Q63" i="119"/>
  <c r="Q103" i="119" s="1"/>
  <c r="N103" i="119"/>
  <c r="M27" i="12"/>
  <c r="AC27" i="12" s="1"/>
  <c r="C28" i="129"/>
  <c r="R25" i="119"/>
  <c r="N55" i="119"/>
  <c r="Q55" i="119" s="1"/>
  <c r="R27" i="119"/>
  <c r="R30" i="119"/>
  <c r="R28" i="119"/>
  <c r="R26" i="119"/>
  <c r="R106" i="119" s="1"/>
  <c r="R24" i="119"/>
  <c r="Q15" i="119"/>
  <c r="I31" i="38"/>
  <c r="K31" i="38" s="1"/>
  <c r="I35" i="84"/>
  <c r="K35" i="84"/>
  <c r="U33" i="84"/>
  <c r="AI33" i="84" s="1"/>
  <c r="C37" i="10"/>
  <c r="E37" i="35"/>
  <c r="I31" i="45"/>
  <c r="E38" i="35"/>
  <c r="C38" i="10"/>
  <c r="I39" i="37"/>
  <c r="K39" i="37" s="1"/>
  <c r="G39" i="33" s="1"/>
  <c r="K39" i="33" s="1"/>
  <c r="E39" i="40"/>
  <c r="E29" i="36"/>
  <c r="E29" i="10"/>
  <c r="K29" i="10" s="1"/>
  <c r="E30" i="36"/>
  <c r="E30" i="10"/>
  <c r="K30" i="10" s="1"/>
  <c r="C37" i="42"/>
  <c r="G37" i="42" s="1"/>
  <c r="K37" i="42" s="1"/>
  <c r="C37" i="4"/>
  <c r="G37" i="4" s="1"/>
  <c r="K37" i="4" s="1"/>
  <c r="G37" i="68"/>
  <c r="E35" i="43" s="1"/>
  <c r="E33" i="45"/>
  <c r="E24" i="19"/>
  <c r="T24" i="19" s="1"/>
  <c r="I23" i="19" s="1"/>
  <c r="P65" i="119" l="1"/>
  <c r="P100" i="119"/>
  <c r="M100" i="119"/>
  <c r="M104" i="119"/>
  <c r="P104" i="119"/>
  <c r="N97" i="119"/>
  <c r="M57" i="119"/>
  <c r="P57" i="119" s="1"/>
  <c r="R57" i="119" s="1"/>
  <c r="A37" i="41"/>
  <c r="AF36" i="41"/>
  <c r="P102" i="119"/>
  <c r="M102" i="119"/>
  <c r="A38" i="70"/>
  <c r="AF37" i="70"/>
  <c r="E31" i="36"/>
  <c r="G31" i="34"/>
  <c r="K31" i="34" s="1"/>
  <c r="E31" i="10" s="1"/>
  <c r="K31" i="10" s="1"/>
  <c r="A30" i="79"/>
  <c r="S29" i="79"/>
  <c r="Q98" i="119"/>
  <c r="N16" i="119"/>
  <c r="Q16" i="119" s="1"/>
  <c r="R16" i="119" s="1"/>
  <c r="N98" i="119"/>
  <c r="R19" i="119"/>
  <c r="M56" i="119"/>
  <c r="P56" i="119" s="1"/>
  <c r="R56" i="119" s="1"/>
  <c r="V56" i="119" s="1"/>
  <c r="P101" i="119"/>
  <c r="C39" i="5"/>
  <c r="Z56" i="158"/>
  <c r="Z63" i="158"/>
  <c r="Z57" i="158"/>
  <c r="N59" i="158"/>
  <c r="N102" i="158" s="1"/>
  <c r="Z108" i="158"/>
  <c r="Z105" i="158"/>
  <c r="Z101" i="158"/>
  <c r="Z103" i="158"/>
  <c r="Z109" i="158"/>
  <c r="N99" i="158"/>
  <c r="N106" i="158"/>
  <c r="N100" i="158"/>
  <c r="R98" i="119"/>
  <c r="P98" i="119"/>
  <c r="M98" i="119"/>
  <c r="Q59" i="119"/>
  <c r="Q99" i="119" s="1"/>
  <c r="N99" i="119"/>
  <c r="M59" i="119"/>
  <c r="M99" i="119" s="1"/>
  <c r="G37" i="39"/>
  <c r="I37" i="39"/>
  <c r="C64" i="72" s="1"/>
  <c r="X37" i="42"/>
  <c r="G35" i="43"/>
  <c r="A33" i="50"/>
  <c r="M33" i="50" s="1"/>
  <c r="A38" i="17"/>
  <c r="R63" i="119"/>
  <c r="P103" i="119"/>
  <c r="M28" i="129"/>
  <c r="M55" i="119"/>
  <c r="P55" i="119" s="1"/>
  <c r="R65" i="119"/>
  <c r="P105" i="119"/>
  <c r="V62" i="119"/>
  <c r="R102" i="119"/>
  <c r="V61" i="119"/>
  <c r="R101" i="119"/>
  <c r="R104" i="119"/>
  <c r="R100" i="119"/>
  <c r="N95" i="119"/>
  <c r="Q95" i="119"/>
  <c r="R15" i="119"/>
  <c r="S35" i="84"/>
  <c r="Q35" i="84"/>
  <c r="W33" i="84"/>
  <c r="C29" i="12"/>
  <c r="I32" i="38"/>
  <c r="K32" i="38" s="1"/>
  <c r="G32" i="34" s="1"/>
  <c r="K32" i="34" s="1"/>
  <c r="E32" i="41"/>
  <c r="I40" i="37"/>
  <c r="K40" i="37" s="1"/>
  <c r="G40" i="33" s="1"/>
  <c r="K40" i="33" s="1"/>
  <c r="E40" i="40"/>
  <c r="T33" i="45"/>
  <c r="C28" i="12"/>
  <c r="C39" i="10"/>
  <c r="E39" i="35"/>
  <c r="G36" i="68"/>
  <c r="E34" i="43" s="1"/>
  <c r="C36" i="42"/>
  <c r="G36" i="42" s="1"/>
  <c r="K36" i="42" s="1"/>
  <c r="C36" i="4"/>
  <c r="G36" i="4" s="1"/>
  <c r="K36" i="4" s="1"/>
  <c r="E35" i="45"/>
  <c r="E34" i="45"/>
  <c r="T34" i="45" s="1"/>
  <c r="E25" i="19"/>
  <c r="T25" i="19" s="1"/>
  <c r="I24" i="19" s="1"/>
  <c r="P97" i="119" l="1"/>
  <c r="M97" i="119"/>
  <c r="Z24" i="158"/>
  <c r="A38" i="41"/>
  <c r="AF37" i="41"/>
  <c r="N96" i="119"/>
  <c r="A39" i="70"/>
  <c r="AF38" i="70"/>
  <c r="Q96" i="119"/>
  <c r="A31" i="79"/>
  <c r="S30" i="79"/>
  <c r="M96" i="119"/>
  <c r="P96" i="119"/>
  <c r="R96" i="119"/>
  <c r="E32" i="5"/>
  <c r="K32" i="5" s="1"/>
  <c r="AG32" i="41"/>
  <c r="AJ32" i="41" s="1"/>
  <c r="AK32" i="41" s="1"/>
  <c r="P59" i="119"/>
  <c r="P99" i="119" s="1"/>
  <c r="Z100" i="158"/>
  <c r="Z99" i="158"/>
  <c r="Z102" i="158"/>
  <c r="Z59" i="158"/>
  <c r="Z106" i="158"/>
  <c r="N24" i="158"/>
  <c r="AC28" i="129"/>
  <c r="O107" i="119" s="1"/>
  <c r="O67" i="119" s="1"/>
  <c r="N67" i="119" s="1"/>
  <c r="Q67" i="119" s="1"/>
  <c r="Q107" i="119" s="1"/>
  <c r="V57" i="119"/>
  <c r="R97" i="119"/>
  <c r="G36" i="39"/>
  <c r="I36" i="39"/>
  <c r="C63" i="72" s="1"/>
  <c r="X36" i="42"/>
  <c r="G34" i="43"/>
  <c r="A34" i="50"/>
  <c r="M34" i="50" s="1"/>
  <c r="M95" i="119"/>
  <c r="A39" i="17"/>
  <c r="V63" i="119"/>
  <c r="R103" i="119"/>
  <c r="C30" i="12"/>
  <c r="M30" i="12" s="1"/>
  <c r="M29" i="12"/>
  <c r="AC29" i="12" s="1"/>
  <c r="C30" i="129"/>
  <c r="M28" i="12"/>
  <c r="M29" i="129" s="1"/>
  <c r="C29" i="129"/>
  <c r="V65" i="119"/>
  <c r="R105" i="119"/>
  <c r="R55" i="119"/>
  <c r="V55" i="119" s="1"/>
  <c r="P95" i="119"/>
  <c r="E33" i="41"/>
  <c r="E32" i="36"/>
  <c r="U35" i="84"/>
  <c r="AI35" i="84" s="1"/>
  <c r="I33" i="38"/>
  <c r="K33" i="38" s="1"/>
  <c r="I33" i="45"/>
  <c r="I32" i="45"/>
  <c r="C40" i="5"/>
  <c r="T35" i="45"/>
  <c r="I35" i="45" s="1"/>
  <c r="E40" i="35"/>
  <c r="C40" i="10"/>
  <c r="E32" i="10"/>
  <c r="K32" i="10" s="1"/>
  <c r="G35" i="68"/>
  <c r="E33" i="43" s="1"/>
  <c r="C35" i="42"/>
  <c r="G35" i="42" s="1"/>
  <c r="K35" i="42" s="1"/>
  <c r="C35" i="4"/>
  <c r="G35" i="4" s="1"/>
  <c r="K35" i="4" s="1"/>
  <c r="E26" i="19"/>
  <c r="Z25" i="158" l="1"/>
  <c r="N25" i="158" s="1"/>
  <c r="A39" i="41"/>
  <c r="AF38" i="41"/>
  <c r="E32" i="72"/>
  <c r="G32" i="72" s="1"/>
  <c r="C31" i="9" s="1"/>
  <c r="C32" i="38"/>
  <c r="G32" i="38" s="1"/>
  <c r="A40" i="70"/>
  <c r="AF39" i="70"/>
  <c r="G33" i="34"/>
  <c r="K33" i="34" s="1"/>
  <c r="E33" i="10" s="1"/>
  <c r="K33" i="10" s="1"/>
  <c r="C32" i="12" s="1"/>
  <c r="C33" i="129" s="1"/>
  <c r="A32" i="79"/>
  <c r="S31" i="79"/>
  <c r="C32" i="37"/>
  <c r="G32" i="37" s="1"/>
  <c r="R59" i="119"/>
  <c r="V59" i="119" s="1"/>
  <c r="E33" i="5"/>
  <c r="K33" i="5" s="1"/>
  <c r="AG33" i="41"/>
  <c r="AJ33" i="41" s="1"/>
  <c r="AK33" i="41" s="1"/>
  <c r="N67" i="158"/>
  <c r="N110" i="158" s="1"/>
  <c r="AC29" i="129"/>
  <c r="O108" i="119" s="1"/>
  <c r="O68" i="119" s="1"/>
  <c r="N68" i="119" s="1"/>
  <c r="M68" i="119" s="1"/>
  <c r="G35" i="39"/>
  <c r="I35" i="39"/>
  <c r="C62" i="72" s="1"/>
  <c r="X35" i="42"/>
  <c r="G33" i="43"/>
  <c r="A35" i="50"/>
  <c r="M35" i="50" s="1"/>
  <c r="N107" i="119"/>
  <c r="M67" i="119"/>
  <c r="P67" i="119" s="1"/>
  <c r="R67" i="119" s="1"/>
  <c r="I34" i="45"/>
  <c r="A40" i="17"/>
  <c r="M30" i="129"/>
  <c r="AC30" i="12"/>
  <c r="M31" i="129"/>
  <c r="C31" i="129"/>
  <c r="AC28" i="12"/>
  <c r="U125" i="125"/>
  <c r="R95" i="119"/>
  <c r="E33" i="36"/>
  <c r="I44" i="37"/>
  <c r="K44" i="37" s="1"/>
  <c r="W35" i="84"/>
  <c r="E44" i="40"/>
  <c r="T26" i="19"/>
  <c r="T27" i="19"/>
  <c r="I41" i="37"/>
  <c r="K41" i="37" s="1"/>
  <c r="G41" i="33" s="1"/>
  <c r="K41" i="33" s="1"/>
  <c r="E41" i="40"/>
  <c r="E42" i="40"/>
  <c r="I42" i="37"/>
  <c r="K42" i="37" s="1"/>
  <c r="G42" i="33" s="1"/>
  <c r="K42" i="33" s="1"/>
  <c r="C31" i="12"/>
  <c r="C32" i="129" s="1"/>
  <c r="G34" i="68"/>
  <c r="E32" i="43" s="1"/>
  <c r="C34" i="4"/>
  <c r="G34" i="4" s="1"/>
  <c r="K34" i="4" s="1"/>
  <c r="C34" i="42"/>
  <c r="G34" i="42" s="1"/>
  <c r="K34" i="42" s="1"/>
  <c r="E28" i="19"/>
  <c r="T28" i="19" s="1"/>
  <c r="Z26" i="158" l="1"/>
  <c r="Z27" i="158"/>
  <c r="N27" i="158" s="1"/>
  <c r="A40" i="41"/>
  <c r="AF39" i="41"/>
  <c r="E44" i="35"/>
  <c r="G44" i="33"/>
  <c r="K44" i="33" s="1"/>
  <c r="C44" i="10" s="1"/>
  <c r="C33" i="38"/>
  <c r="G33" i="38" s="1"/>
  <c r="E33" i="72"/>
  <c r="G33" i="72" s="1"/>
  <c r="C32" i="9" s="1"/>
  <c r="C33" i="37"/>
  <c r="G33" i="37" s="1"/>
  <c r="A41" i="70"/>
  <c r="AF40" i="70"/>
  <c r="R99" i="119"/>
  <c r="A33" i="79"/>
  <c r="S32" i="79"/>
  <c r="Y31" i="9"/>
  <c r="B28" i="158"/>
  <c r="Z110" i="158"/>
  <c r="Z67" i="158"/>
  <c r="N26" i="158"/>
  <c r="N68" i="158"/>
  <c r="AC31" i="129"/>
  <c r="O110" i="119" s="1"/>
  <c r="O70" i="119" s="1"/>
  <c r="N70" i="119" s="1"/>
  <c r="M70" i="119" s="1"/>
  <c r="AC30" i="129"/>
  <c r="O109" i="119" s="1"/>
  <c r="O69" i="119" s="1"/>
  <c r="N69" i="119" s="1"/>
  <c r="Q69" i="119" s="1"/>
  <c r="Q109" i="119" s="1"/>
  <c r="G34" i="39"/>
  <c r="I34" i="39"/>
  <c r="C61" i="72" s="1"/>
  <c r="X34" i="42"/>
  <c r="A36" i="50"/>
  <c r="M36" i="50" s="1"/>
  <c r="P107" i="119"/>
  <c r="M107" i="119"/>
  <c r="P32" i="15"/>
  <c r="A41" i="17"/>
  <c r="Q68" i="119"/>
  <c r="Q108" i="119" s="1"/>
  <c r="N108" i="119"/>
  <c r="P68" i="119"/>
  <c r="M108" i="119"/>
  <c r="V67" i="119"/>
  <c r="R107" i="119"/>
  <c r="C44" i="5"/>
  <c r="C41" i="5"/>
  <c r="C41" i="10"/>
  <c r="E41" i="35"/>
  <c r="I43" i="37"/>
  <c r="K43" i="37" s="1"/>
  <c r="G43" i="33" s="1"/>
  <c r="K43" i="33" s="1"/>
  <c r="E43" i="40"/>
  <c r="C42" i="10"/>
  <c r="E42" i="35"/>
  <c r="I27" i="19"/>
  <c r="C42" i="5"/>
  <c r="I26" i="19"/>
  <c r="I25" i="19"/>
  <c r="I31" i="12"/>
  <c r="C33" i="42"/>
  <c r="G33" i="42" s="1"/>
  <c r="K33" i="42" s="1"/>
  <c r="C33" i="4"/>
  <c r="G33" i="4" s="1"/>
  <c r="K33" i="4" s="1"/>
  <c r="G33" i="68"/>
  <c r="E31" i="43" s="1"/>
  <c r="G32" i="43"/>
  <c r="E29" i="19"/>
  <c r="P33" i="15" l="1"/>
  <c r="I32" i="12"/>
  <c r="M32" i="12" s="1"/>
  <c r="M33" i="129" s="1"/>
  <c r="A41" i="41"/>
  <c r="AF40" i="41"/>
  <c r="Y32" i="9"/>
  <c r="B29" i="158"/>
  <c r="B72" i="158" s="1"/>
  <c r="B115" i="158" s="1"/>
  <c r="A42" i="70"/>
  <c r="AF41" i="70"/>
  <c r="A34" i="79"/>
  <c r="S33" i="79"/>
  <c r="B71" i="158"/>
  <c r="B114" i="158" s="1"/>
  <c r="N70" i="158"/>
  <c r="N111" i="158"/>
  <c r="Z68" i="158"/>
  <c r="N69" i="158"/>
  <c r="N112" i="158" s="1"/>
  <c r="I33" i="39"/>
  <c r="X33" i="42"/>
  <c r="G33" i="39"/>
  <c r="G31" i="43"/>
  <c r="A37" i="50"/>
  <c r="M37" i="50" s="1"/>
  <c r="M69" i="119"/>
  <c r="P69" i="119" s="1"/>
  <c r="R69" i="119" s="1"/>
  <c r="N109" i="119"/>
  <c r="Q70" i="119"/>
  <c r="Q110" i="119" s="1"/>
  <c r="A42" i="17"/>
  <c r="N110" i="119"/>
  <c r="P70" i="119"/>
  <c r="M110" i="119"/>
  <c r="I32" i="129"/>
  <c r="Y31" i="12"/>
  <c r="R68" i="119"/>
  <c r="P108" i="119"/>
  <c r="AC32" i="12"/>
  <c r="I33" i="129"/>
  <c r="E36" i="41"/>
  <c r="I35" i="38"/>
  <c r="K35" i="38" s="1"/>
  <c r="G35" i="34" s="1"/>
  <c r="K35" i="34" s="1"/>
  <c r="I36" i="38"/>
  <c r="K36" i="38" s="1"/>
  <c r="I34" i="38"/>
  <c r="K34" i="38" s="1"/>
  <c r="G34" i="34" s="1"/>
  <c r="K34" i="34" s="1"/>
  <c r="E34" i="41"/>
  <c r="E35" i="41"/>
  <c r="C43" i="5"/>
  <c r="C48" i="5" s="1"/>
  <c r="E43" i="35"/>
  <c r="T29" i="19"/>
  <c r="M31" i="12"/>
  <c r="M32" i="129" s="1"/>
  <c r="C32" i="42"/>
  <c r="G32" i="42" s="1"/>
  <c r="K32" i="42" s="1"/>
  <c r="C32" i="4"/>
  <c r="G32" i="4" s="1"/>
  <c r="K32" i="4" s="1"/>
  <c r="G32" i="68"/>
  <c r="E30" i="43" s="1"/>
  <c r="E30" i="19"/>
  <c r="Z29" i="158" l="1"/>
  <c r="Z28" i="158"/>
  <c r="Y32" i="12"/>
  <c r="A42" i="41"/>
  <c r="AF41" i="41"/>
  <c r="A43" i="70"/>
  <c r="AF42" i="70"/>
  <c r="G36" i="34"/>
  <c r="K36" i="34" s="1"/>
  <c r="E36" i="10" s="1"/>
  <c r="K36" i="10" s="1"/>
  <c r="C35" i="12" s="1"/>
  <c r="C36" i="129" s="1"/>
  <c r="A35" i="79"/>
  <c r="S34" i="79"/>
  <c r="E36" i="5"/>
  <c r="K36" i="5" s="1"/>
  <c r="G63" i="72" s="1"/>
  <c r="K63" i="72" s="1"/>
  <c r="AG36" i="41"/>
  <c r="AJ36" i="41" s="1"/>
  <c r="AK36" i="41" s="1"/>
  <c r="E35" i="5"/>
  <c r="K35" i="5" s="1"/>
  <c r="G62" i="72" s="1"/>
  <c r="K62" i="72" s="1"/>
  <c r="AG35" i="41"/>
  <c r="AJ35" i="41" s="1"/>
  <c r="AK35" i="41" s="1"/>
  <c r="E34" i="5"/>
  <c r="K34" i="5" s="1"/>
  <c r="G61" i="72" s="1"/>
  <c r="AG34" i="41"/>
  <c r="AJ34" i="41" s="1"/>
  <c r="N29" i="158"/>
  <c r="Z69" i="158"/>
  <c r="Z111" i="158"/>
  <c r="Z112" i="158"/>
  <c r="N28" i="158"/>
  <c r="N113" i="158"/>
  <c r="Z70" i="158"/>
  <c r="Y33" i="129"/>
  <c r="O32" i="119" s="1"/>
  <c r="M32" i="119" s="1"/>
  <c r="Y32" i="129"/>
  <c r="O31" i="119" s="1"/>
  <c r="M31" i="119" s="1"/>
  <c r="AC32" i="129"/>
  <c r="O111" i="119" s="1"/>
  <c r="AC33" i="129"/>
  <c r="O112" i="119" s="1"/>
  <c r="I32" i="39"/>
  <c r="X32" i="42"/>
  <c r="G32" i="39"/>
  <c r="R70" i="119"/>
  <c r="V70" i="119" s="1"/>
  <c r="P109" i="119"/>
  <c r="G30" i="43"/>
  <c r="M109" i="119"/>
  <c r="P110" i="119"/>
  <c r="A38" i="50"/>
  <c r="M38" i="50" s="1"/>
  <c r="A43" i="17"/>
  <c r="E35" i="36"/>
  <c r="V69" i="119"/>
  <c r="R109" i="119"/>
  <c r="V68" i="119"/>
  <c r="R108" i="119"/>
  <c r="E27" i="20"/>
  <c r="E36" i="36"/>
  <c r="E34" i="10"/>
  <c r="K34" i="10" s="1"/>
  <c r="E34" i="36"/>
  <c r="C43" i="10"/>
  <c r="K46" i="33"/>
  <c r="T30" i="19"/>
  <c r="I29" i="19" s="1"/>
  <c r="I28" i="19"/>
  <c r="C46" i="5"/>
  <c r="E35" i="10"/>
  <c r="K35" i="10" s="1"/>
  <c r="AC31" i="12"/>
  <c r="C31" i="42"/>
  <c r="G31" i="42" s="1"/>
  <c r="K31" i="42" s="1"/>
  <c r="C31" i="4"/>
  <c r="G31" i="4" s="1"/>
  <c r="K31" i="4" s="1"/>
  <c r="X31" i="4" s="1"/>
  <c r="G31" i="68"/>
  <c r="E29" i="43" s="1"/>
  <c r="E31" i="19"/>
  <c r="T31" i="19" s="1"/>
  <c r="K61" i="72" l="1"/>
  <c r="A43" i="41"/>
  <c r="AF42" i="41"/>
  <c r="C35" i="37"/>
  <c r="G35" i="37" s="1"/>
  <c r="E34" i="72"/>
  <c r="G34" i="72" s="1"/>
  <c r="C33" i="9" s="1"/>
  <c r="E35" i="72"/>
  <c r="G35" i="72" s="1"/>
  <c r="C35" i="38"/>
  <c r="G35" i="38" s="1"/>
  <c r="O71" i="119"/>
  <c r="N71" i="119" s="1"/>
  <c r="Q71" i="119" s="1"/>
  <c r="A44" i="70"/>
  <c r="AF44" i="70" s="1"/>
  <c r="AF43" i="70"/>
  <c r="A36" i="79"/>
  <c r="S35" i="79"/>
  <c r="E36" i="72"/>
  <c r="G36" i="72" s="1"/>
  <c r="C35" i="9" s="1"/>
  <c r="C36" i="37"/>
  <c r="G36" i="37" s="1"/>
  <c r="C36" i="38"/>
  <c r="G36" i="38" s="1"/>
  <c r="C34" i="38"/>
  <c r="G34" i="38" s="1"/>
  <c r="C34" i="37"/>
  <c r="G34" i="37" s="1"/>
  <c r="N71" i="158"/>
  <c r="N114" i="158" s="1"/>
  <c r="Z113" i="158"/>
  <c r="N72" i="158"/>
  <c r="N115" i="158" s="1"/>
  <c r="O72" i="119"/>
  <c r="N72" i="119" s="1"/>
  <c r="Q72" i="119" s="1"/>
  <c r="R110" i="119"/>
  <c r="I31" i="39"/>
  <c r="X31" i="42"/>
  <c r="G31" i="39"/>
  <c r="G29" i="43"/>
  <c r="A39" i="50"/>
  <c r="M39" i="50" s="1"/>
  <c r="A44" i="17"/>
  <c r="N31" i="119"/>
  <c r="P31" i="119"/>
  <c r="N32" i="119"/>
  <c r="P32" i="119"/>
  <c r="I38" i="38"/>
  <c r="K38" i="38" s="1"/>
  <c r="G38" i="34" s="1"/>
  <c r="K38" i="34" s="1"/>
  <c r="E38" i="41"/>
  <c r="AG38" i="41" s="1"/>
  <c r="AJ38" i="41" s="1"/>
  <c r="AK38" i="41" s="1"/>
  <c r="I30" i="19"/>
  <c r="C33" i="12"/>
  <c r="E37" i="41"/>
  <c r="AG37" i="41" s="1"/>
  <c r="AJ37" i="41" s="1"/>
  <c r="AK37" i="41" s="1"/>
  <c r="I37" i="38"/>
  <c r="K37" i="38" s="1"/>
  <c r="G37" i="34" s="1"/>
  <c r="K37" i="34" s="1"/>
  <c r="C34" i="12"/>
  <c r="C35" i="129" s="1"/>
  <c r="C30" i="42"/>
  <c r="G30" i="42" s="1"/>
  <c r="K30" i="42" s="1"/>
  <c r="C30" i="4"/>
  <c r="G30" i="4" s="1"/>
  <c r="K30" i="4" s="1"/>
  <c r="X30" i="4" s="1"/>
  <c r="G30" i="68"/>
  <c r="E28" i="43" s="1"/>
  <c r="E32" i="19"/>
  <c r="T32" i="19" s="1"/>
  <c r="I31" i="19" s="1"/>
  <c r="A44" i="41" l="1"/>
  <c r="AF43" i="41"/>
  <c r="B30" i="158"/>
  <c r="B73" i="158" s="1"/>
  <c r="Y33" i="9"/>
  <c r="P34" i="15"/>
  <c r="I33" i="12"/>
  <c r="I34" i="129" s="1"/>
  <c r="C34" i="9"/>
  <c r="A37" i="79"/>
  <c r="S36" i="79"/>
  <c r="P36" i="15"/>
  <c r="Y35" i="9"/>
  <c r="B32" i="158"/>
  <c r="B75" i="158" s="1"/>
  <c r="B118" i="158" s="1"/>
  <c r="I35" i="12"/>
  <c r="Y35" i="12" s="1"/>
  <c r="Y34" i="9"/>
  <c r="B31" i="158"/>
  <c r="Z115" i="158"/>
  <c r="Z114" i="158"/>
  <c r="Z72" i="158"/>
  <c r="Z71" i="158"/>
  <c r="M72" i="119"/>
  <c r="P72" i="119" s="1"/>
  <c r="P112" i="119" s="1"/>
  <c r="I30" i="39"/>
  <c r="X30" i="42"/>
  <c r="G30" i="39"/>
  <c r="G28" i="43"/>
  <c r="A40" i="50"/>
  <c r="M40" i="50" s="1"/>
  <c r="M71" i="119"/>
  <c r="P71" i="119" s="1"/>
  <c r="R71" i="119" s="1"/>
  <c r="V71" i="119" s="1"/>
  <c r="P35" i="15"/>
  <c r="A45" i="17"/>
  <c r="C34" i="129"/>
  <c r="Q32" i="119"/>
  <c r="Q112" i="119" s="1"/>
  <c r="N112" i="119"/>
  <c r="Q31" i="119"/>
  <c r="Q111" i="119" s="1"/>
  <c r="N111" i="119"/>
  <c r="E40" i="41"/>
  <c r="I40" i="38"/>
  <c r="K40" i="38" s="1"/>
  <c r="E37" i="10"/>
  <c r="K37" i="10" s="1"/>
  <c r="E37" i="36"/>
  <c r="E37" i="5"/>
  <c r="I39" i="38"/>
  <c r="K39" i="38" s="1"/>
  <c r="G39" i="34" s="1"/>
  <c r="K39" i="34" s="1"/>
  <c r="E39" i="41"/>
  <c r="AG39" i="41" s="1"/>
  <c r="AJ39" i="41" s="1"/>
  <c r="AK39" i="41" s="1"/>
  <c r="E38" i="5"/>
  <c r="E38" i="10"/>
  <c r="K38" i="10" s="1"/>
  <c r="E38" i="36"/>
  <c r="I34" i="12"/>
  <c r="K29" i="43"/>
  <c r="V28" i="9" s="1"/>
  <c r="C29" i="42"/>
  <c r="G29" i="42" s="1"/>
  <c r="K29" i="42" s="1"/>
  <c r="C29" i="4"/>
  <c r="G29" i="4" s="1"/>
  <c r="K29" i="4" s="1"/>
  <c r="X29" i="4" s="1"/>
  <c r="G29" i="68"/>
  <c r="E27" i="43" s="1"/>
  <c r="E33" i="19"/>
  <c r="T33" i="19" s="1"/>
  <c r="Y33" i="12" l="1"/>
  <c r="M33" i="12"/>
  <c r="M34" i="129" s="1"/>
  <c r="AF44" i="41"/>
  <c r="A48" i="41"/>
  <c r="A49" i="41"/>
  <c r="G40" i="34"/>
  <c r="K40" i="34" s="1"/>
  <c r="E40" i="10" s="1"/>
  <c r="K40" i="10" s="1"/>
  <c r="A38" i="79"/>
  <c r="S37" i="79"/>
  <c r="I36" i="129"/>
  <c r="M35" i="12"/>
  <c r="M36" i="129" s="1"/>
  <c r="E40" i="5"/>
  <c r="K40" i="5" s="1"/>
  <c r="M40" i="5" s="1"/>
  <c r="AG40" i="41"/>
  <c r="AJ40" i="41" s="1"/>
  <c r="AK40" i="41" s="1"/>
  <c r="B74" i="158"/>
  <c r="B117" i="158" s="1"/>
  <c r="B116" i="158"/>
  <c r="M112" i="119"/>
  <c r="R72" i="119"/>
  <c r="V72" i="119" s="1"/>
  <c r="Y34" i="129"/>
  <c r="O33" i="119" s="1"/>
  <c r="M33" i="119" s="1"/>
  <c r="AC34" i="129"/>
  <c r="O113" i="119" s="1"/>
  <c r="Q29" i="43"/>
  <c r="R29" i="43"/>
  <c r="I29" i="39"/>
  <c r="X29" i="42"/>
  <c r="G29" i="39"/>
  <c r="G27" i="43"/>
  <c r="A41" i="50"/>
  <c r="M41" i="50" s="1"/>
  <c r="M111" i="119"/>
  <c r="P111" i="119"/>
  <c r="AC33" i="12"/>
  <c r="E40" i="36"/>
  <c r="R31" i="119"/>
  <c r="R111" i="119" s="1"/>
  <c r="Y34" i="12"/>
  <c r="I35" i="129"/>
  <c r="R32" i="119"/>
  <c r="C36" i="12"/>
  <c r="C37" i="129" s="1"/>
  <c r="I32" i="19"/>
  <c r="C37" i="12"/>
  <c r="C38" i="129" s="1"/>
  <c r="E39" i="5"/>
  <c r="E39" i="36"/>
  <c r="E39" i="10"/>
  <c r="K39" i="10" s="1"/>
  <c r="M34" i="12"/>
  <c r="M35" i="129" s="1"/>
  <c r="G28" i="68"/>
  <c r="E26" i="43" s="1"/>
  <c r="K28" i="43"/>
  <c r="V27" i="9" s="1"/>
  <c r="C28" i="4"/>
  <c r="G28" i="4" s="1"/>
  <c r="K28" i="4" s="1"/>
  <c r="X28" i="4" s="1"/>
  <c r="C28" i="42"/>
  <c r="G28" i="42" s="1"/>
  <c r="K28" i="42" s="1"/>
  <c r="C29" i="40"/>
  <c r="G29" i="40" s="1"/>
  <c r="K29" i="40" s="1"/>
  <c r="C29" i="41"/>
  <c r="G29" i="41" s="1"/>
  <c r="K29" i="41" s="1"/>
  <c r="I29" i="5" s="1"/>
  <c r="E35" i="19"/>
  <c r="E34" i="19"/>
  <c r="T34" i="19" s="1"/>
  <c r="C39" i="12" l="1"/>
  <c r="C40" i="129" s="1"/>
  <c r="Z32" i="158"/>
  <c r="Z31" i="158"/>
  <c r="N31" i="158" s="1"/>
  <c r="Z30" i="158"/>
  <c r="N30" i="158" s="1"/>
  <c r="N73" i="158" s="1"/>
  <c r="N116" i="158" s="1"/>
  <c r="G29" i="5"/>
  <c r="X29" i="40"/>
  <c r="Y36" i="129"/>
  <c r="O35" i="119" s="1"/>
  <c r="M35" i="119" s="1"/>
  <c r="P35" i="119" s="1"/>
  <c r="AC35" i="12"/>
  <c r="A39" i="79"/>
  <c r="S38" i="79"/>
  <c r="O73" i="119"/>
  <c r="N73" i="119" s="1"/>
  <c r="Q73" i="119" s="1"/>
  <c r="N32" i="158"/>
  <c r="R112" i="119"/>
  <c r="Y35" i="129"/>
  <c r="O34" i="119" s="1"/>
  <c r="M34" i="119" s="1"/>
  <c r="AC35" i="129"/>
  <c r="O114" i="119" s="1"/>
  <c r="AC36" i="129"/>
  <c r="O115" i="119" s="1"/>
  <c r="Q28" i="43"/>
  <c r="R28" i="43"/>
  <c r="I28" i="39"/>
  <c r="X28" i="42"/>
  <c r="G28" i="39"/>
  <c r="G26" i="43"/>
  <c r="A42" i="50"/>
  <c r="M42" i="50" s="1"/>
  <c r="N33" i="119"/>
  <c r="P33" i="119"/>
  <c r="T35" i="19"/>
  <c r="I33" i="19"/>
  <c r="C38" i="12"/>
  <c r="C39" i="129" s="1"/>
  <c r="E41" i="41"/>
  <c r="AG41" i="41" s="1"/>
  <c r="AJ41" i="41" s="1"/>
  <c r="AK41" i="41" s="1"/>
  <c r="I41" i="38"/>
  <c r="K41" i="38" s="1"/>
  <c r="G41" i="34" s="1"/>
  <c r="K41" i="34" s="1"/>
  <c r="AC34" i="12"/>
  <c r="K27" i="43"/>
  <c r="V26" i="9" s="1"/>
  <c r="C27" i="4"/>
  <c r="G27" i="4" s="1"/>
  <c r="K27" i="4" s="1"/>
  <c r="X27" i="4" s="1"/>
  <c r="C27" i="42"/>
  <c r="G27" i="42" s="1"/>
  <c r="K27" i="42" s="1"/>
  <c r="G27" i="68"/>
  <c r="E25" i="43" s="1"/>
  <c r="C28" i="41"/>
  <c r="G28" i="41" s="1"/>
  <c r="K28" i="41" s="1"/>
  <c r="I28" i="5" s="1"/>
  <c r="C28" i="40"/>
  <c r="G28" i="40" s="1"/>
  <c r="K28" i="40" s="1"/>
  <c r="G28" i="5" l="1"/>
  <c r="X28" i="40"/>
  <c r="O75" i="119"/>
  <c r="N75" i="119" s="1"/>
  <c r="M75" i="119" s="1"/>
  <c r="P75" i="119" s="1"/>
  <c r="P115" i="119" s="1"/>
  <c r="N35" i="119"/>
  <c r="M49" i="50"/>
  <c r="M48" i="50"/>
  <c r="K21" i="24" s="1"/>
  <c r="A40" i="79"/>
  <c r="S39" i="79"/>
  <c r="O74" i="119"/>
  <c r="N74" i="119" s="1"/>
  <c r="Q74" i="119" s="1"/>
  <c r="N75" i="158"/>
  <c r="N74" i="158"/>
  <c r="Z116" i="158"/>
  <c r="Z73" i="158"/>
  <c r="Q27" i="43"/>
  <c r="R27" i="43"/>
  <c r="I27" i="39"/>
  <c r="X27" i="42"/>
  <c r="G27" i="39"/>
  <c r="G25" i="43"/>
  <c r="A43" i="50"/>
  <c r="M43" i="50" s="1"/>
  <c r="M47" i="50" s="1"/>
  <c r="I35" i="19"/>
  <c r="M73" i="119"/>
  <c r="P73" i="119" s="1"/>
  <c r="R73" i="119" s="1"/>
  <c r="V73" i="119" s="1"/>
  <c r="N113" i="119"/>
  <c r="Q33" i="119"/>
  <c r="Q113" i="119" s="1"/>
  <c r="N34" i="119"/>
  <c r="P34" i="119"/>
  <c r="I34" i="19"/>
  <c r="E42" i="41"/>
  <c r="AG42" i="41" s="1"/>
  <c r="AJ42" i="41" s="1"/>
  <c r="AK42" i="41" s="1"/>
  <c r="I42" i="38"/>
  <c r="K42" i="38" s="1"/>
  <c r="G42" i="34" s="1"/>
  <c r="K42" i="34" s="1"/>
  <c r="E41" i="36"/>
  <c r="E41" i="10"/>
  <c r="E41" i="5"/>
  <c r="C27" i="41"/>
  <c r="G27" i="41" s="1"/>
  <c r="K27" i="41" s="1"/>
  <c r="I27" i="5" s="1"/>
  <c r="C27" i="40"/>
  <c r="G27" i="40" s="1"/>
  <c r="K27" i="40" s="1"/>
  <c r="K26" i="43"/>
  <c r="V25" i="9" s="1"/>
  <c r="C26" i="42"/>
  <c r="G26" i="42" s="1"/>
  <c r="K26" i="42" s="1"/>
  <c r="C26" i="4"/>
  <c r="G26" i="4" s="1"/>
  <c r="K26" i="4" s="1"/>
  <c r="X26" i="4" s="1"/>
  <c r="G26" i="68"/>
  <c r="E24" i="43" s="1"/>
  <c r="N115" i="119" l="1"/>
  <c r="Q35" i="119"/>
  <c r="R35" i="119" s="1"/>
  <c r="G27" i="5"/>
  <c r="X27" i="40"/>
  <c r="M115" i="119"/>
  <c r="Q75" i="119"/>
  <c r="R75" i="119" s="1"/>
  <c r="V75" i="119" s="1"/>
  <c r="A41" i="79"/>
  <c r="S40" i="79"/>
  <c r="N117" i="158"/>
  <c r="Z74" i="158"/>
  <c r="N118" i="158"/>
  <c r="Z75" i="158"/>
  <c r="Q26" i="43"/>
  <c r="R26" i="43"/>
  <c r="M113" i="119"/>
  <c r="G26" i="39"/>
  <c r="I26" i="39"/>
  <c r="X26" i="42"/>
  <c r="G24" i="43"/>
  <c r="W25" i="9"/>
  <c r="E44" i="41"/>
  <c r="P113" i="119"/>
  <c r="K20" i="24"/>
  <c r="K22" i="24"/>
  <c r="I44" i="38"/>
  <c r="K44" i="38" s="1"/>
  <c r="R33" i="119"/>
  <c r="R113" i="119" s="1"/>
  <c r="M74" i="119"/>
  <c r="P74" i="119" s="1"/>
  <c r="R74" i="119" s="1"/>
  <c r="V74" i="119" s="1"/>
  <c r="N114" i="119"/>
  <c r="Q34" i="119"/>
  <c r="Q114" i="119" s="1"/>
  <c r="I43" i="38"/>
  <c r="K43" i="38" s="1"/>
  <c r="G43" i="34" s="1"/>
  <c r="K43" i="34" s="1"/>
  <c r="E43" i="41"/>
  <c r="AG43" i="41" s="1"/>
  <c r="AJ43" i="41" s="1"/>
  <c r="AK43" i="41" s="1"/>
  <c r="E42" i="36"/>
  <c r="E42" i="10"/>
  <c r="E42" i="5"/>
  <c r="G25" i="68"/>
  <c r="E23" i="43" s="1"/>
  <c r="C26" i="41"/>
  <c r="G26" i="41" s="1"/>
  <c r="K26" i="41" s="1"/>
  <c r="I26" i="5" s="1"/>
  <c r="C26" i="40"/>
  <c r="G26" i="40" s="1"/>
  <c r="K26" i="40" s="1"/>
  <c r="K25" i="43"/>
  <c r="V24" i="9" s="1"/>
  <c r="C25" i="42"/>
  <c r="G25" i="42" s="1"/>
  <c r="K25" i="42" s="1"/>
  <c r="C25" i="4"/>
  <c r="G25" i="4" s="1"/>
  <c r="K25" i="4" s="1"/>
  <c r="X25" i="4" s="1"/>
  <c r="R115" i="119" l="1"/>
  <c r="Q115" i="119"/>
  <c r="G26" i="5"/>
  <c r="X26" i="40"/>
  <c r="E44" i="36"/>
  <c r="G44" i="34"/>
  <c r="K44" i="34" s="1"/>
  <c r="E44" i="10" s="1"/>
  <c r="A42" i="79"/>
  <c r="S41" i="79"/>
  <c r="E44" i="5"/>
  <c r="AG44" i="41"/>
  <c r="AJ44" i="41" s="1"/>
  <c r="AK44" i="41" s="1"/>
  <c r="Z117" i="158"/>
  <c r="Z118" i="158"/>
  <c r="Q25" i="43"/>
  <c r="R25" i="43"/>
  <c r="G25" i="39"/>
  <c r="I25" i="39"/>
  <c r="X25" i="42"/>
  <c r="W24" i="9"/>
  <c r="G23" i="43"/>
  <c r="P114" i="119"/>
  <c r="M114" i="119"/>
  <c r="R34" i="119"/>
  <c r="R114" i="119" s="1"/>
  <c r="E43" i="5"/>
  <c r="E43" i="10"/>
  <c r="E43" i="36"/>
  <c r="C25" i="41"/>
  <c r="G25" i="41" s="1"/>
  <c r="K25" i="41" s="1"/>
  <c r="I25" i="5" s="1"/>
  <c r="C25" i="40"/>
  <c r="G25" i="40" s="1"/>
  <c r="K25" i="40" s="1"/>
  <c r="K24" i="43"/>
  <c r="V23" i="9" s="1"/>
  <c r="C24" i="42"/>
  <c r="G24" i="42" s="1"/>
  <c r="K24" i="42" s="1"/>
  <c r="C24" i="4"/>
  <c r="G24" i="4" s="1"/>
  <c r="K24" i="4" s="1"/>
  <c r="X24" i="4" s="1"/>
  <c r="G24" i="68"/>
  <c r="E22" i="43" s="1"/>
  <c r="G25" i="5" l="1"/>
  <c r="X25" i="40"/>
  <c r="E48" i="5"/>
  <c r="A43" i="79"/>
  <c r="S42" i="79"/>
  <c r="Q24" i="43"/>
  <c r="R24" i="43"/>
  <c r="G24" i="39"/>
  <c r="I24" i="39"/>
  <c r="X24" i="42"/>
  <c r="G22" i="43"/>
  <c r="W23" i="9"/>
  <c r="K46" i="34"/>
  <c r="E46" i="5"/>
  <c r="C24" i="41"/>
  <c r="G24" i="41" s="1"/>
  <c r="K24" i="41" s="1"/>
  <c r="I24" i="5" s="1"/>
  <c r="C24" i="40"/>
  <c r="G24" i="40" s="1"/>
  <c r="K24" i="40" s="1"/>
  <c r="K23" i="43"/>
  <c r="V22" i="9" s="1"/>
  <c r="C23" i="42"/>
  <c r="G23" i="42" s="1"/>
  <c r="K23" i="42" s="1"/>
  <c r="C23" i="4"/>
  <c r="G23" i="4" s="1"/>
  <c r="K23" i="4" s="1"/>
  <c r="X23" i="4" s="1"/>
  <c r="G23" i="68"/>
  <c r="E21" i="43" s="1"/>
  <c r="G24" i="5" l="1"/>
  <c r="X24" i="40"/>
  <c r="A44" i="79"/>
  <c r="S44" i="79" s="1"/>
  <c r="S43" i="79"/>
  <c r="Q23" i="43"/>
  <c r="R23" i="43"/>
  <c r="G23" i="39"/>
  <c r="I23" i="39"/>
  <c r="X23" i="42"/>
  <c r="G21" i="43"/>
  <c r="W22" i="9"/>
  <c r="C23" i="41"/>
  <c r="G23" i="41" s="1"/>
  <c r="K23" i="41" s="1"/>
  <c r="I23" i="5" s="1"/>
  <c r="C23" i="40"/>
  <c r="G23" i="40" s="1"/>
  <c r="K23" i="40" s="1"/>
  <c r="G22" i="68"/>
  <c r="E20" i="43" s="1"/>
  <c r="K22" i="43"/>
  <c r="V21" i="9" s="1"/>
  <c r="C22" i="4"/>
  <c r="G22" i="4" s="1"/>
  <c r="K22" i="4" s="1"/>
  <c r="X22" i="4" s="1"/>
  <c r="C22" i="42"/>
  <c r="G22" i="42" s="1"/>
  <c r="K22" i="42" s="1"/>
  <c r="G23" i="5" l="1"/>
  <c r="X23" i="40"/>
  <c r="Q22" i="43"/>
  <c r="R22" i="43"/>
  <c r="G22" i="39"/>
  <c r="I22" i="39"/>
  <c r="X22" i="42"/>
  <c r="G20" i="43"/>
  <c r="W21" i="9"/>
  <c r="C22" i="41"/>
  <c r="G22" i="41" s="1"/>
  <c r="K22" i="41" s="1"/>
  <c r="I22" i="5" s="1"/>
  <c r="C22" i="40"/>
  <c r="G22" i="40" s="1"/>
  <c r="K22" i="40" s="1"/>
  <c r="G21" i="68"/>
  <c r="E19" i="43" s="1"/>
  <c r="K21" i="43"/>
  <c r="V20" i="9" s="1"/>
  <c r="C21" i="42"/>
  <c r="G21" i="42" s="1"/>
  <c r="K21" i="42" s="1"/>
  <c r="C21" i="4"/>
  <c r="G21" i="4" s="1"/>
  <c r="K21" i="4" s="1"/>
  <c r="X21" i="4" s="1"/>
  <c r="G22" i="5" l="1"/>
  <c r="X22" i="40"/>
  <c r="Q21" i="43"/>
  <c r="R21" i="43"/>
  <c r="I21" i="39"/>
  <c r="X21" i="42"/>
  <c r="G21" i="39"/>
  <c r="G19" i="43"/>
  <c r="W20" i="9"/>
  <c r="G20" i="68"/>
  <c r="E18" i="43" s="1"/>
  <c r="C21" i="41"/>
  <c r="G21" i="41" s="1"/>
  <c r="K21" i="41" s="1"/>
  <c r="I21" i="5" s="1"/>
  <c r="C21" i="40"/>
  <c r="G21" i="40" s="1"/>
  <c r="K21" i="40" s="1"/>
  <c r="K20" i="43"/>
  <c r="V19" i="9" s="1"/>
  <c r="C20" i="42"/>
  <c r="G20" i="42" s="1"/>
  <c r="K20" i="42" s="1"/>
  <c r="C20" i="4"/>
  <c r="G20" i="4" s="1"/>
  <c r="K20" i="4" s="1"/>
  <c r="X20" i="4" s="1"/>
  <c r="G21" i="5" l="1"/>
  <c r="X21" i="40"/>
  <c r="Q20" i="43"/>
  <c r="R20" i="43"/>
  <c r="I20" i="39"/>
  <c r="X20" i="42"/>
  <c r="G20" i="39"/>
  <c r="W19" i="9"/>
  <c r="G18" i="43"/>
  <c r="C20" i="41"/>
  <c r="G20" i="41" s="1"/>
  <c r="K20" i="41" s="1"/>
  <c r="I20" i="5" s="1"/>
  <c r="C20" i="40"/>
  <c r="G20" i="40" s="1"/>
  <c r="K20" i="40" s="1"/>
  <c r="K19" i="43"/>
  <c r="V18" i="9" s="1"/>
  <c r="C19" i="42"/>
  <c r="G19" i="42" s="1"/>
  <c r="K19" i="42" s="1"/>
  <c r="C19" i="4"/>
  <c r="G19" i="4" s="1"/>
  <c r="K19" i="4" s="1"/>
  <c r="X19" i="4" s="1"/>
  <c r="G19" i="68"/>
  <c r="G20" i="5" l="1"/>
  <c r="X20" i="40"/>
  <c r="Q19" i="43"/>
  <c r="R19" i="43"/>
  <c r="I19" i="39"/>
  <c r="X19" i="42"/>
  <c r="G19" i="39"/>
  <c r="E17" i="43"/>
  <c r="G17" i="43" s="1"/>
  <c r="W18" i="9"/>
  <c r="C19" i="40"/>
  <c r="G19" i="40" s="1"/>
  <c r="K19" i="40" s="1"/>
  <c r="C19" i="41"/>
  <c r="G19" i="41" s="1"/>
  <c r="K19" i="41" s="1"/>
  <c r="I19" i="5" s="1"/>
  <c r="K18" i="43"/>
  <c r="V17" i="9" s="1"/>
  <c r="C18" i="4"/>
  <c r="G18" i="4" s="1"/>
  <c r="K18" i="4" s="1"/>
  <c r="X18" i="4" s="1"/>
  <c r="C18" i="42"/>
  <c r="G18" i="42" s="1"/>
  <c r="K18" i="42" s="1"/>
  <c r="G18" i="68"/>
  <c r="G19" i="5" l="1"/>
  <c r="X19" i="40"/>
  <c r="Q18" i="43"/>
  <c r="R18" i="43"/>
  <c r="G18" i="39"/>
  <c r="I18" i="39"/>
  <c r="X18" i="42"/>
  <c r="E16" i="43"/>
  <c r="O16" i="43" s="1"/>
  <c r="W17" i="9"/>
  <c r="K17" i="43"/>
  <c r="V16" i="9" s="1"/>
  <c r="C17" i="42"/>
  <c r="G17" i="42" s="1"/>
  <c r="K17" i="42" s="1"/>
  <c r="C17" i="4"/>
  <c r="G17" i="4" s="1"/>
  <c r="K17" i="4" s="1"/>
  <c r="X17" i="4" s="1"/>
  <c r="C18" i="40"/>
  <c r="G18" i="40" s="1"/>
  <c r="K18" i="40" s="1"/>
  <c r="C18" i="41"/>
  <c r="G18" i="41" s="1"/>
  <c r="K18" i="41" s="1"/>
  <c r="I18" i="5" s="1"/>
  <c r="G18" i="5" l="1"/>
  <c r="X18" i="40"/>
  <c r="Q17" i="43"/>
  <c r="R17" i="43"/>
  <c r="I17" i="39"/>
  <c r="X17" i="42"/>
  <c r="G17" i="39"/>
  <c r="W16" i="9"/>
  <c r="C17" i="40"/>
  <c r="G17" i="40" s="1"/>
  <c r="C17" i="41"/>
  <c r="G17" i="41" s="1"/>
  <c r="G16" i="43"/>
  <c r="K17" i="41" l="1"/>
  <c r="K17" i="40"/>
  <c r="X17" i="40" s="1"/>
  <c r="G46" i="43"/>
  <c r="K16" i="43"/>
  <c r="V15" i="9" s="1"/>
  <c r="C16" i="4"/>
  <c r="C16" i="42"/>
  <c r="Q16" i="43" l="1"/>
  <c r="R16" i="43"/>
  <c r="W15" i="9"/>
  <c r="G17" i="5"/>
  <c r="G16" i="42"/>
  <c r="C46" i="42"/>
  <c r="C16" i="41"/>
  <c r="C16" i="40"/>
  <c r="G16" i="4"/>
  <c r="C46" i="4"/>
  <c r="I17" i="5"/>
  <c r="K16" i="4" l="1"/>
  <c r="X16" i="4" s="1"/>
  <c r="G46" i="4"/>
  <c r="K16" i="42"/>
  <c r="X16" i="42" s="1"/>
  <c r="X46" i="42" s="1"/>
  <c r="G46" i="42"/>
  <c r="I16" i="39" l="1"/>
  <c r="I46" i="39" s="1"/>
  <c r="K46" i="42"/>
  <c r="G16" i="39"/>
  <c r="G46" i="39" s="1"/>
  <c r="K46" i="4"/>
  <c r="I17" i="99" l="1"/>
  <c r="I59" i="99" s="1"/>
  <c r="Q17" i="95" l="1"/>
  <c r="I24" i="99" l="1"/>
  <c r="I66" i="99" s="1"/>
  <c r="I25" i="99"/>
  <c r="I67" i="99" s="1"/>
  <c r="I22" i="99"/>
  <c r="I64" i="99" s="1"/>
  <c r="I19" i="99"/>
  <c r="I61" i="99" s="1"/>
  <c r="I21" i="99"/>
  <c r="I63" i="99" s="1"/>
  <c r="I20" i="99"/>
  <c r="I18" i="99"/>
  <c r="I60" i="99" s="1"/>
  <c r="Q22" i="95"/>
  <c r="Q21" i="95" l="1"/>
  <c r="I22" i="98"/>
  <c r="Q24" i="95"/>
  <c r="Q19" i="95"/>
  <c r="I19" i="98"/>
  <c r="I18" i="98"/>
  <c r="Q18" i="95"/>
  <c r="I20" i="98" l="1"/>
  <c r="I24" i="98"/>
  <c r="I21" i="98"/>
  <c r="Q25" i="95"/>
  <c r="I25" i="98"/>
  <c r="AI17" i="74" l="1"/>
  <c r="T21" i="74" l="1"/>
  <c r="C97" i="74" l="1"/>
  <c r="V21" i="74" l="1"/>
  <c r="T20" i="74" s="1"/>
  <c r="AD21" i="74"/>
  <c r="Z21" i="74"/>
  <c r="X21" i="74"/>
  <c r="AB21" i="74"/>
  <c r="E97" i="74" l="1"/>
  <c r="AF21" i="74"/>
  <c r="AD23" i="74"/>
  <c r="M97" i="74"/>
  <c r="AB20" i="74"/>
  <c r="Z19" i="74" s="1"/>
  <c r="X18" i="74" s="1"/>
  <c r="V17" i="74" s="1"/>
  <c r="T16" i="74" s="1"/>
  <c r="AF16" i="74" s="1"/>
  <c r="K97" i="74"/>
  <c r="Z20" i="74"/>
  <c r="X19" i="74" s="1"/>
  <c r="V18" i="74" s="1"/>
  <c r="T17" i="74" s="1"/>
  <c r="I97" i="74"/>
  <c r="X20" i="74"/>
  <c r="V19" i="74" s="1"/>
  <c r="T18" i="74" s="1"/>
  <c r="G97" i="74"/>
  <c r="V20" i="74"/>
  <c r="Z23" i="74" l="1"/>
  <c r="AF17" i="74"/>
  <c r="X23" i="74"/>
  <c r="AF20" i="74"/>
  <c r="AF18" i="74"/>
  <c r="AB23" i="74"/>
  <c r="T19" i="74"/>
  <c r="V23" i="74"/>
  <c r="AF19" i="74" l="1"/>
  <c r="AF23" i="74" s="1"/>
  <c r="T23" i="74"/>
  <c r="T25" i="74" s="1"/>
  <c r="G18" i="74" l="1"/>
  <c r="G19" i="74"/>
  <c r="G20" i="74"/>
  <c r="E17" i="74"/>
  <c r="E18" i="74"/>
  <c r="I19" i="74"/>
  <c r="E19" i="74"/>
  <c r="I20" i="74"/>
  <c r="K21" i="74" s="1"/>
  <c r="K27" i="74" s="1"/>
  <c r="I21" i="74"/>
  <c r="I27" i="74" s="1"/>
  <c r="C21" i="74"/>
  <c r="K20" i="74"/>
  <c r="E21" i="74"/>
  <c r="E27" i="74" s="1"/>
  <c r="C18" i="74"/>
  <c r="C17" i="74"/>
  <c r="C16" i="74"/>
  <c r="C20" i="74"/>
  <c r="G21" i="74"/>
  <c r="G27" i="74" s="1"/>
  <c r="E20" i="74"/>
  <c r="C19" i="74"/>
  <c r="O19" i="74" l="1"/>
  <c r="I23" i="74"/>
  <c r="G28" i="74" s="1"/>
  <c r="E23" i="74"/>
  <c r="C28" i="74" s="1"/>
  <c r="C41" i="74" s="1"/>
  <c r="O20" i="74"/>
  <c r="O17" i="74"/>
  <c r="O18" i="74"/>
  <c r="G23" i="74"/>
  <c r="E28" i="74" s="1"/>
  <c r="C27" i="74"/>
  <c r="K23" i="74"/>
  <c r="I28" i="74" s="1"/>
  <c r="M21" i="74"/>
  <c r="O21" i="74" s="1"/>
  <c r="C23" i="74"/>
  <c r="O16" i="74"/>
  <c r="O23" i="74" l="1"/>
  <c r="M27" i="74"/>
  <c r="O27" i="74" s="1"/>
  <c r="M23" i="74"/>
  <c r="K28" i="74" s="1"/>
  <c r="E41" i="74"/>
  <c r="C40" i="74"/>
  <c r="E40" i="74" s="1"/>
  <c r="G40" i="74" s="1"/>
  <c r="I40" i="74" s="1"/>
  <c r="K40" i="74" s="1"/>
  <c r="M40" i="74" l="1"/>
  <c r="C44" i="74" s="1"/>
  <c r="O28" i="74"/>
  <c r="E16" i="68"/>
  <c r="E31" i="74"/>
  <c r="K31" i="74"/>
  <c r="G31" i="74"/>
  <c r="I31" i="74"/>
  <c r="G41" i="74"/>
  <c r="C31" i="74"/>
  <c r="M31" i="74"/>
  <c r="K33" i="18" l="1"/>
  <c r="CG24" i="91" s="1"/>
  <c r="K34" i="18"/>
  <c r="K35" i="18"/>
  <c r="E44" i="74"/>
  <c r="I32" i="74"/>
  <c r="C32" i="74"/>
  <c r="C37" i="74" s="1"/>
  <c r="E32" i="74"/>
  <c r="G32" i="74"/>
  <c r="K32" i="74"/>
  <c r="K24" i="18"/>
  <c r="K33" i="45"/>
  <c r="AB42" i="69" s="1"/>
  <c r="K27" i="45"/>
  <c r="AB36" i="69" s="1"/>
  <c r="K34" i="44"/>
  <c r="BV25" i="92" s="1"/>
  <c r="K33" i="19"/>
  <c r="X42" i="70" s="1"/>
  <c r="K29" i="44"/>
  <c r="K33" i="44"/>
  <c r="K32" i="19"/>
  <c r="X41" i="70" s="1"/>
  <c r="K27" i="19"/>
  <c r="X36" i="70" s="1"/>
  <c r="K27" i="18"/>
  <c r="CG18" i="91" s="1"/>
  <c r="K32" i="45"/>
  <c r="AB41" i="69" s="1"/>
  <c r="K26" i="45"/>
  <c r="AB35" i="69" s="1"/>
  <c r="K32" i="44"/>
  <c r="K31" i="19"/>
  <c r="X40" i="70" s="1"/>
  <c r="K31" i="44"/>
  <c r="BV22" i="92" s="1"/>
  <c r="K30" i="19"/>
  <c r="X39" i="70" s="1"/>
  <c r="K31" i="45"/>
  <c r="AB40" i="69" s="1"/>
  <c r="K25" i="45"/>
  <c r="AB34" i="69" s="1"/>
  <c r="K30" i="44"/>
  <c r="K28" i="19"/>
  <c r="X37" i="70" s="1"/>
  <c r="K30" i="45"/>
  <c r="AB39" i="69" s="1"/>
  <c r="K28" i="44"/>
  <c r="K26" i="19"/>
  <c r="X35" i="70" s="1"/>
  <c r="K28" i="18"/>
  <c r="CG19" i="91" s="1"/>
  <c r="K26" i="18"/>
  <c r="CG17" i="91" s="1"/>
  <c r="K30" i="18"/>
  <c r="CG21" i="91" s="1"/>
  <c r="K27" i="44"/>
  <c r="P34" i="102"/>
  <c r="K29" i="18"/>
  <c r="CG20" i="91" s="1"/>
  <c r="K35" i="45"/>
  <c r="AB44" i="69" s="1"/>
  <c r="K29" i="45"/>
  <c r="AB38" i="69" s="1"/>
  <c r="K26" i="44"/>
  <c r="P33" i="102"/>
  <c r="K35" i="44"/>
  <c r="K29" i="19"/>
  <c r="X38" i="70" s="1"/>
  <c r="K32" i="18"/>
  <c r="CG23" i="91" s="1"/>
  <c r="K34" i="45"/>
  <c r="AB43" i="69" s="1"/>
  <c r="K28" i="45"/>
  <c r="AB37" i="69" s="1"/>
  <c r="K35" i="19"/>
  <c r="X44" i="70" s="1"/>
  <c r="K31" i="18"/>
  <c r="CG22" i="91" s="1"/>
  <c r="K34" i="19"/>
  <c r="X43" i="70" s="1"/>
  <c r="C16" i="68"/>
  <c r="I40" i="68" s="1"/>
  <c r="AA38" i="69" s="1"/>
  <c r="G44" i="74"/>
  <c r="I41" i="74"/>
  <c r="K25" i="19"/>
  <c r="X34" i="70" s="1"/>
  <c r="C36" i="74"/>
  <c r="K25" i="18"/>
  <c r="CG16" i="91" s="1"/>
  <c r="K24" i="19"/>
  <c r="X33" i="70" s="1"/>
  <c r="K21" i="45"/>
  <c r="AB30" i="69" s="1"/>
  <c r="K20" i="45"/>
  <c r="AB29" i="69" s="1"/>
  <c r="K24" i="45"/>
  <c r="AB33" i="69" s="1"/>
  <c r="K23" i="45"/>
  <c r="AB32" i="69" s="1"/>
  <c r="K22" i="44"/>
  <c r="AB31" i="26" s="1"/>
  <c r="K25" i="44"/>
  <c r="K21" i="44"/>
  <c r="AB30" i="26" s="1"/>
  <c r="K24" i="44"/>
  <c r="K22" i="45"/>
  <c r="AB31" i="69" s="1"/>
  <c r="K23" i="44"/>
  <c r="AB32" i="26" s="1"/>
  <c r="O31" i="74"/>
  <c r="K20" i="44"/>
  <c r="AB29" i="26" s="1"/>
  <c r="E30" i="74"/>
  <c r="G30" i="74" s="1"/>
  <c r="I30" i="74" s="1"/>
  <c r="K30" i="74" s="1"/>
  <c r="M30" i="74" s="1"/>
  <c r="BX25" i="92" l="1"/>
  <c r="CG25" i="91"/>
  <c r="CH24" i="91" s="1"/>
  <c r="BZ24" i="92" s="1"/>
  <c r="BX21" i="92"/>
  <c r="BX17" i="92"/>
  <c r="CE24" i="91"/>
  <c r="BV23" i="92"/>
  <c r="BW22" i="92" s="1"/>
  <c r="BX23" i="92"/>
  <c r="BX19" i="92"/>
  <c r="CE26" i="91"/>
  <c r="CF26" i="91" s="1"/>
  <c r="E26" i="91" s="1"/>
  <c r="Z26" i="110" s="1"/>
  <c r="AL26" i="110" s="1"/>
  <c r="BV26" i="92"/>
  <c r="CE20" i="91"/>
  <c r="BV19" i="92"/>
  <c r="CH18" i="91"/>
  <c r="BZ18" i="92" s="1"/>
  <c r="BX18" i="92"/>
  <c r="BX16" i="92"/>
  <c r="CE18" i="91"/>
  <c r="BV17" i="92"/>
  <c r="CE22" i="91"/>
  <c r="BV21" i="92"/>
  <c r="CE25" i="91"/>
  <c r="BV24" i="92"/>
  <c r="CE17" i="91"/>
  <c r="BV16" i="92"/>
  <c r="CE21" i="91"/>
  <c r="BV20" i="92"/>
  <c r="CG26" i="91"/>
  <c r="CH26" i="91" s="1"/>
  <c r="BX26" i="92"/>
  <c r="BX20" i="92"/>
  <c r="CE19" i="91"/>
  <c r="BV18" i="92"/>
  <c r="CH22" i="91"/>
  <c r="BZ22" i="92" s="1"/>
  <c r="BX22" i="92"/>
  <c r="BY21" i="92" s="1"/>
  <c r="BX24" i="92"/>
  <c r="BY24" i="92" s="1"/>
  <c r="CE23" i="91"/>
  <c r="CH17" i="91"/>
  <c r="BZ17" i="92" s="1"/>
  <c r="X33" i="71"/>
  <c r="CH16" i="91"/>
  <c r="BZ16" i="92" s="1"/>
  <c r="AB33" i="26"/>
  <c r="CE16" i="91"/>
  <c r="P30" i="102"/>
  <c r="P32" i="102"/>
  <c r="P28" i="102"/>
  <c r="P27" i="102"/>
  <c r="AB34" i="26"/>
  <c r="P35" i="102"/>
  <c r="P29" i="102"/>
  <c r="P31" i="102"/>
  <c r="P26" i="102"/>
  <c r="X34" i="71"/>
  <c r="P25" i="102"/>
  <c r="K39" i="68"/>
  <c r="C37" i="71" s="1"/>
  <c r="K27" i="68"/>
  <c r="C25" i="71" s="1"/>
  <c r="K38" i="68"/>
  <c r="K26" i="68"/>
  <c r="C24" i="71" s="1"/>
  <c r="K37" i="68"/>
  <c r="K25" i="68"/>
  <c r="K36" i="68"/>
  <c r="K24" i="68"/>
  <c r="C22" i="71" s="1"/>
  <c r="K35" i="68"/>
  <c r="K23" i="68"/>
  <c r="K46" i="68"/>
  <c r="K34" i="68"/>
  <c r="K22" i="68"/>
  <c r="C20" i="71" s="1"/>
  <c r="K29" i="68"/>
  <c r="C27" i="71" s="1"/>
  <c r="K45" i="68"/>
  <c r="C43" i="71" s="1"/>
  <c r="K33" i="68"/>
  <c r="C31" i="71" s="1"/>
  <c r="K21" i="68"/>
  <c r="C19" i="71" s="1"/>
  <c r="K44" i="68"/>
  <c r="K32" i="68"/>
  <c r="K20" i="68"/>
  <c r="K28" i="68"/>
  <c r="K43" i="68"/>
  <c r="K31" i="68"/>
  <c r="K19" i="68"/>
  <c r="K42" i="68"/>
  <c r="C40" i="71" s="1"/>
  <c r="K30" i="68"/>
  <c r="C28" i="71" s="1"/>
  <c r="K18" i="68"/>
  <c r="C16" i="71" s="1"/>
  <c r="K41" i="68"/>
  <c r="C39" i="71" s="1"/>
  <c r="K40" i="68"/>
  <c r="C38" i="71" s="1"/>
  <c r="I18" i="68"/>
  <c r="AA16" i="69" s="1"/>
  <c r="E37" i="74"/>
  <c r="E38" i="74" s="1"/>
  <c r="C38" i="74"/>
  <c r="C33" i="74" s="1"/>
  <c r="I19" i="68"/>
  <c r="AA17" i="69" s="1"/>
  <c r="I25" i="68"/>
  <c r="AA23" i="69" s="1"/>
  <c r="I33" i="68"/>
  <c r="AA31" i="69" s="1"/>
  <c r="I29" i="68"/>
  <c r="AA27" i="69" s="1"/>
  <c r="E27" i="69" s="1"/>
  <c r="I23" i="68"/>
  <c r="AA21" i="69" s="1"/>
  <c r="I21" i="68"/>
  <c r="AA19" i="69" s="1"/>
  <c r="I36" i="68"/>
  <c r="AA34" i="69" s="1"/>
  <c r="I42" i="68"/>
  <c r="AA40" i="69" s="1"/>
  <c r="I26" i="68"/>
  <c r="AA24" i="69" s="1"/>
  <c r="I24" i="68"/>
  <c r="AA22" i="69" s="1"/>
  <c r="I41" i="68"/>
  <c r="AA39" i="69" s="1"/>
  <c r="I20" i="68"/>
  <c r="AA18" i="69" s="1"/>
  <c r="I44" i="68"/>
  <c r="AA42" i="69" s="1"/>
  <c r="I35" i="68"/>
  <c r="AA33" i="69" s="1"/>
  <c r="I45" i="68"/>
  <c r="AA43" i="69" s="1"/>
  <c r="I30" i="68"/>
  <c r="AA28" i="69" s="1"/>
  <c r="E28" i="69" s="1"/>
  <c r="AG28" i="69" s="1"/>
  <c r="I28" i="68"/>
  <c r="AA26" i="69" s="1"/>
  <c r="E26" i="69" s="1"/>
  <c r="I38" i="68"/>
  <c r="AA36" i="69" s="1"/>
  <c r="I39" i="68"/>
  <c r="AA37" i="69" s="1"/>
  <c r="I22" i="68"/>
  <c r="AA20" i="69" s="1"/>
  <c r="I37" i="68"/>
  <c r="AA35" i="69" s="1"/>
  <c r="I27" i="68"/>
  <c r="AA25" i="69" s="1"/>
  <c r="E25" i="69" s="1"/>
  <c r="I46" i="68"/>
  <c r="AA44" i="69" s="1"/>
  <c r="I43" i="68"/>
  <c r="AA41" i="69" s="1"/>
  <c r="I31" i="68"/>
  <c r="AA29" i="69" s="1"/>
  <c r="E29" i="69" s="1"/>
  <c r="AG29" i="69" s="1"/>
  <c r="I34" i="68"/>
  <c r="AA32" i="69" s="1"/>
  <c r="I32" i="68"/>
  <c r="AA30" i="69" s="1"/>
  <c r="E30" i="69" s="1"/>
  <c r="AG30" i="69" s="1"/>
  <c r="AF25" i="89"/>
  <c r="K25" i="89" s="1"/>
  <c r="S25" i="89" s="1"/>
  <c r="AF25" i="88"/>
  <c r="I25" i="88" s="1"/>
  <c r="Q25" i="88" s="1"/>
  <c r="AB44" i="26"/>
  <c r="AI25" i="117"/>
  <c r="X38" i="71"/>
  <c r="AH19" i="89"/>
  <c r="AH19" i="88"/>
  <c r="AK19" i="117"/>
  <c r="X43" i="71"/>
  <c r="AH24" i="89"/>
  <c r="AH24" i="88"/>
  <c r="AK24" i="117"/>
  <c r="X39" i="71"/>
  <c r="AH20" i="89"/>
  <c r="AH20" i="88"/>
  <c r="AK20" i="117"/>
  <c r="AF21" i="88"/>
  <c r="AF21" i="89"/>
  <c r="AI21" i="117"/>
  <c r="AB40" i="26"/>
  <c r="X36" i="71"/>
  <c r="AH17" i="89"/>
  <c r="AH17" i="88"/>
  <c r="AK17" i="117"/>
  <c r="W38" i="70"/>
  <c r="W38" i="71"/>
  <c r="AA38" i="26"/>
  <c r="AF17" i="88"/>
  <c r="AF17" i="89"/>
  <c r="AB36" i="26"/>
  <c r="AI17" i="117"/>
  <c r="X37" i="71"/>
  <c r="AH18" i="89"/>
  <c r="AH18" i="88"/>
  <c r="AK18" i="117"/>
  <c r="E36" i="74"/>
  <c r="X40" i="71"/>
  <c r="AH21" i="89"/>
  <c r="AH21" i="88"/>
  <c r="AK21" i="117"/>
  <c r="AF19" i="89"/>
  <c r="AI19" i="117"/>
  <c r="AF19" i="88"/>
  <c r="AB38" i="26"/>
  <c r="AF23" i="88"/>
  <c r="AF23" i="89"/>
  <c r="AI23" i="117"/>
  <c r="AB42" i="26"/>
  <c r="X41" i="71"/>
  <c r="AH22" i="89"/>
  <c r="AH22" i="88"/>
  <c r="AK22" i="117"/>
  <c r="AF20" i="88"/>
  <c r="AF20" i="89"/>
  <c r="AB39" i="26"/>
  <c r="AI20" i="117"/>
  <c r="X35" i="71"/>
  <c r="AH16" i="89"/>
  <c r="AH16" i="88"/>
  <c r="AF16" i="88"/>
  <c r="AB35" i="26"/>
  <c r="AF16" i="89"/>
  <c r="AF22" i="89"/>
  <c r="AI22" i="117"/>
  <c r="AB41" i="26"/>
  <c r="AF22" i="88"/>
  <c r="AF18" i="88"/>
  <c r="AF18" i="89"/>
  <c r="AB37" i="26"/>
  <c r="AI18" i="117"/>
  <c r="AH25" i="89"/>
  <c r="M25" i="89" s="1"/>
  <c r="U25" i="89" s="1"/>
  <c r="X44" i="71"/>
  <c r="AK25" i="117"/>
  <c r="AH25" i="88"/>
  <c r="K25" i="88" s="1"/>
  <c r="S25" i="88" s="1"/>
  <c r="K41" i="74"/>
  <c r="K44" i="74" s="1"/>
  <c r="I44" i="74"/>
  <c r="AF24" i="88"/>
  <c r="AF24" i="89"/>
  <c r="AI24" i="117"/>
  <c r="AB43" i="26"/>
  <c r="X42" i="71"/>
  <c r="AH23" i="89"/>
  <c r="AH23" i="88"/>
  <c r="AK23" i="117"/>
  <c r="W17" i="71" l="1"/>
  <c r="BY17" i="92"/>
  <c r="CF24" i="91"/>
  <c r="BW17" i="92"/>
  <c r="CF23" i="91"/>
  <c r="E23" i="91" s="1"/>
  <c r="Z23" i="110" s="1"/>
  <c r="AL23" i="110" s="1"/>
  <c r="BW19" i="92"/>
  <c r="E19" i="92" s="1"/>
  <c r="B80" i="136" s="1"/>
  <c r="CF17" i="91"/>
  <c r="E17" i="91" s="1"/>
  <c r="CF16" i="91"/>
  <c r="E45" i="91" s="1"/>
  <c r="G26" i="91"/>
  <c r="AB26" i="110" s="1"/>
  <c r="BZ26" i="92"/>
  <c r="CF20" i="91"/>
  <c r="E20" i="91" s="1"/>
  <c r="Z20" i="110" s="1"/>
  <c r="AL20" i="110" s="1"/>
  <c r="CH25" i="91"/>
  <c r="G25" i="91" s="1"/>
  <c r="BW23" i="92"/>
  <c r="E23" i="92" s="1"/>
  <c r="B84" i="136" s="1"/>
  <c r="CF18" i="91"/>
  <c r="E18" i="91" s="1"/>
  <c r="Z18" i="110" s="1"/>
  <c r="AL18" i="110" s="1"/>
  <c r="BY18" i="92"/>
  <c r="CF21" i="91"/>
  <c r="E21" i="91" s="1"/>
  <c r="Z21" i="110" s="1"/>
  <c r="AL21" i="110" s="1"/>
  <c r="CH19" i="91"/>
  <c r="BZ19" i="92" s="1"/>
  <c r="BW16" i="92"/>
  <c r="BY19" i="92"/>
  <c r="G19" i="92" s="1"/>
  <c r="CH20" i="91"/>
  <c r="BZ20" i="92" s="1"/>
  <c r="CH21" i="91"/>
  <c r="BZ21" i="92" s="1"/>
  <c r="CF25" i="91"/>
  <c r="E54" i="91" s="1"/>
  <c r="AA54" i="91" s="1"/>
  <c r="C37" i="26"/>
  <c r="BW21" i="92"/>
  <c r="E21" i="92" s="1"/>
  <c r="B82" i="136" s="1"/>
  <c r="BW20" i="92"/>
  <c r="BW25" i="92"/>
  <c r="E25" i="92" s="1"/>
  <c r="B86" i="136" s="1"/>
  <c r="C86" i="136" s="1"/>
  <c r="D86" i="136" s="1"/>
  <c r="BW26" i="92"/>
  <c r="E26" i="92" s="1"/>
  <c r="BY23" i="92"/>
  <c r="BY22" i="92"/>
  <c r="G22" i="92" s="1"/>
  <c r="CH23" i="91"/>
  <c r="BY25" i="92"/>
  <c r="G25" i="92" s="1"/>
  <c r="BY26" i="92"/>
  <c r="G26" i="92" s="1"/>
  <c r="CF22" i="91"/>
  <c r="E22" i="91" s="1"/>
  <c r="Z22" i="110" s="1"/>
  <c r="AL22" i="110" s="1"/>
  <c r="BY16" i="92"/>
  <c r="CF19" i="91"/>
  <c r="E19" i="91" s="1"/>
  <c r="Z19" i="110" s="1"/>
  <c r="AL19" i="110" s="1"/>
  <c r="BW24" i="92"/>
  <c r="BW18" i="92"/>
  <c r="BY20" i="92"/>
  <c r="G20" i="92" s="1"/>
  <c r="AA26" i="91"/>
  <c r="AE26" i="91"/>
  <c r="C16" i="26"/>
  <c r="C19" i="26"/>
  <c r="G19" i="26" s="1"/>
  <c r="K19" i="26" s="1"/>
  <c r="C28" i="26"/>
  <c r="C20" i="26"/>
  <c r="G20" i="26" s="1"/>
  <c r="K20" i="26" s="1"/>
  <c r="M35" i="44"/>
  <c r="AC44" i="26" s="1"/>
  <c r="C31" i="26"/>
  <c r="C38" i="26"/>
  <c r="W16" i="71"/>
  <c r="W16" i="70"/>
  <c r="AA16" i="26"/>
  <c r="C40" i="26"/>
  <c r="C22" i="26"/>
  <c r="G22" i="26" s="1"/>
  <c r="K22" i="26" s="1"/>
  <c r="C24" i="26"/>
  <c r="G24" i="26" s="1"/>
  <c r="K24" i="26" s="1"/>
  <c r="C32" i="71"/>
  <c r="C29" i="71"/>
  <c r="C44" i="71"/>
  <c r="C41" i="71"/>
  <c r="C21" i="26"/>
  <c r="G21" i="26" s="1"/>
  <c r="K21" i="26" s="1"/>
  <c r="C21" i="71"/>
  <c r="G21" i="71" s="1"/>
  <c r="K21" i="71" s="1"/>
  <c r="I21" i="6" s="1"/>
  <c r="C26" i="71"/>
  <c r="C33" i="26"/>
  <c r="C33" i="71"/>
  <c r="C18" i="71"/>
  <c r="C30" i="26"/>
  <c r="C30" i="71"/>
  <c r="C34" i="71"/>
  <c r="C17" i="71"/>
  <c r="G17" i="71" s="1"/>
  <c r="C42" i="71"/>
  <c r="C23" i="26"/>
  <c r="G23" i="26" s="1"/>
  <c r="K23" i="26" s="1"/>
  <c r="C23" i="71"/>
  <c r="C35" i="71"/>
  <c r="C36" i="71"/>
  <c r="W17" i="70"/>
  <c r="G19" i="96"/>
  <c r="W42" i="70"/>
  <c r="W42" i="71"/>
  <c r="AA17" i="26"/>
  <c r="AA42" i="26"/>
  <c r="C18" i="26"/>
  <c r="G18" i="26" s="1"/>
  <c r="K18" i="26" s="1"/>
  <c r="AA19" i="26"/>
  <c r="W19" i="70"/>
  <c r="W19" i="71"/>
  <c r="W23" i="70"/>
  <c r="W23" i="71"/>
  <c r="AA23" i="26"/>
  <c r="E33" i="74"/>
  <c r="M34" i="44" s="1"/>
  <c r="AC43" i="26" s="1"/>
  <c r="AA28" i="26"/>
  <c r="E28" i="26" s="1"/>
  <c r="AA21" i="26"/>
  <c r="C29" i="26"/>
  <c r="W28" i="71"/>
  <c r="E28" i="71" s="1"/>
  <c r="W21" i="70"/>
  <c r="C32" i="26"/>
  <c r="W28" i="70"/>
  <c r="E28" i="70" s="1"/>
  <c r="W21" i="71"/>
  <c r="AA43" i="26"/>
  <c r="G37" i="74"/>
  <c r="G38" i="74" s="1"/>
  <c r="G33" i="74" s="1"/>
  <c r="W43" i="71"/>
  <c r="G20" i="96"/>
  <c r="AA27" i="26"/>
  <c r="E27" i="26" s="1"/>
  <c r="C27" i="6" s="1"/>
  <c r="W43" i="70"/>
  <c r="W27" i="70"/>
  <c r="E27" i="70" s="1"/>
  <c r="E27" i="7" s="1"/>
  <c r="K27" i="7" s="1"/>
  <c r="W27" i="71"/>
  <c r="E27" i="71" s="1"/>
  <c r="E27" i="6" s="1"/>
  <c r="K27" i="6" s="1"/>
  <c r="W31" i="70"/>
  <c r="AA33" i="26"/>
  <c r="W33" i="70"/>
  <c r="W33" i="71"/>
  <c r="AA31" i="26"/>
  <c r="C17" i="26"/>
  <c r="G17" i="26" s="1"/>
  <c r="K17" i="26" s="1"/>
  <c r="X17" i="26" s="1"/>
  <c r="W31" i="71"/>
  <c r="C35" i="26"/>
  <c r="AA34" i="26"/>
  <c r="W34" i="71"/>
  <c r="W34" i="70"/>
  <c r="AA40" i="26"/>
  <c r="G17" i="96"/>
  <c r="W40" i="70"/>
  <c r="W40" i="71"/>
  <c r="AA29" i="26"/>
  <c r="E29" i="26" s="1"/>
  <c r="W29" i="70"/>
  <c r="E29" i="70" s="1"/>
  <c r="W29" i="71"/>
  <c r="E29" i="71" s="1"/>
  <c r="C34" i="26"/>
  <c r="C42" i="26"/>
  <c r="C39" i="26"/>
  <c r="AA22" i="26"/>
  <c r="W22" i="70"/>
  <c r="AA35" i="26"/>
  <c r="W22" i="71"/>
  <c r="W35" i="70"/>
  <c r="W35" i="71"/>
  <c r="AA24" i="26"/>
  <c r="W24" i="70"/>
  <c r="W24" i="71"/>
  <c r="I18" i="88"/>
  <c r="Q18" i="88" s="1"/>
  <c r="C26" i="26"/>
  <c r="C44" i="26"/>
  <c r="C41" i="26"/>
  <c r="AA25" i="26"/>
  <c r="E25" i="26" s="1"/>
  <c r="C25" i="6" s="1"/>
  <c r="AA39" i="26"/>
  <c r="W25" i="71"/>
  <c r="E25" i="71" s="1"/>
  <c r="E25" i="6" s="1"/>
  <c r="K25" i="6" s="1"/>
  <c r="W39" i="70"/>
  <c r="W25" i="70"/>
  <c r="E25" i="70" s="1"/>
  <c r="E25" i="78" s="1"/>
  <c r="K25" i="78" s="1"/>
  <c r="AA36" i="26"/>
  <c r="W39" i="71"/>
  <c r="W36" i="71"/>
  <c r="W36" i="70"/>
  <c r="AA44" i="26"/>
  <c r="C36" i="26"/>
  <c r="W44" i="70"/>
  <c r="G21" i="96"/>
  <c r="W44" i="71"/>
  <c r="W18" i="70"/>
  <c r="AA18" i="26"/>
  <c r="W18" i="71"/>
  <c r="AA41" i="26"/>
  <c r="G18" i="96"/>
  <c r="AA30" i="26"/>
  <c r="W30" i="70"/>
  <c r="E30" i="70" s="1"/>
  <c r="E30" i="7" s="1"/>
  <c r="K30" i="7" s="1"/>
  <c r="W41" i="71"/>
  <c r="W30" i="71"/>
  <c r="E30" i="71" s="1"/>
  <c r="AA37" i="26"/>
  <c r="W41" i="70"/>
  <c r="W37" i="70"/>
  <c r="W37" i="71"/>
  <c r="C25" i="26"/>
  <c r="W20" i="70"/>
  <c r="W20" i="71"/>
  <c r="C27" i="26"/>
  <c r="AA20" i="26"/>
  <c r="AA26" i="26"/>
  <c r="E26" i="26" s="1"/>
  <c r="C26" i="6" s="1"/>
  <c r="AA32" i="26"/>
  <c r="W26" i="70"/>
  <c r="E26" i="70" s="1"/>
  <c r="E26" i="7" s="1"/>
  <c r="K26" i="7" s="1"/>
  <c r="W32" i="71"/>
  <c r="W26" i="71"/>
  <c r="E26" i="71" s="1"/>
  <c r="E26" i="6" s="1"/>
  <c r="K26" i="6" s="1"/>
  <c r="W32" i="70"/>
  <c r="K22" i="89"/>
  <c r="S22" i="89" s="1"/>
  <c r="K24" i="89"/>
  <c r="K38" i="89" s="1"/>
  <c r="I24" i="88"/>
  <c r="Q24" i="88" s="1"/>
  <c r="K18" i="89"/>
  <c r="S18" i="89" s="1"/>
  <c r="I20" i="88"/>
  <c r="I34" i="88" s="1"/>
  <c r="M23" i="89"/>
  <c r="U23" i="89" s="1"/>
  <c r="I30" i="88"/>
  <c r="Q30" i="88" s="1"/>
  <c r="G17" i="92"/>
  <c r="K30" i="89"/>
  <c r="K43" i="89" s="1"/>
  <c r="S43" i="89" s="1"/>
  <c r="G22" i="91"/>
  <c r="K23" i="88"/>
  <c r="S23" i="88" s="1"/>
  <c r="M30" i="89"/>
  <c r="M43" i="89" s="1"/>
  <c r="U43" i="89" s="1"/>
  <c r="E17" i="92"/>
  <c r="B78" i="136" s="1"/>
  <c r="K20" i="89"/>
  <c r="K34" i="89" s="1"/>
  <c r="K30" i="88"/>
  <c r="S30" i="88" s="1"/>
  <c r="M18" i="89"/>
  <c r="U18" i="89" s="1"/>
  <c r="R21" i="96"/>
  <c r="S21" i="96" s="1"/>
  <c r="K21" i="96" s="1"/>
  <c r="K21" i="88"/>
  <c r="K35" i="88" s="1"/>
  <c r="M21" i="89"/>
  <c r="M35" i="89" s="1"/>
  <c r="K19" i="88"/>
  <c r="S19" i="88" s="1"/>
  <c r="I23" i="88"/>
  <c r="I37" i="88" s="1"/>
  <c r="K18" i="88"/>
  <c r="K32" i="88" s="1"/>
  <c r="G17" i="91"/>
  <c r="C25" i="7"/>
  <c r="E25" i="77"/>
  <c r="K25" i="77" s="1"/>
  <c r="C26" i="7"/>
  <c r="E26" i="77"/>
  <c r="K26" i="77" s="1"/>
  <c r="C26" i="79" s="1"/>
  <c r="G45" i="91"/>
  <c r="K17" i="88"/>
  <c r="M20" i="89"/>
  <c r="M19" i="89"/>
  <c r="M17" i="89"/>
  <c r="E29" i="77"/>
  <c r="K29" i="77" s="1"/>
  <c r="C29" i="79" s="1"/>
  <c r="C29" i="7"/>
  <c r="W25" i="89"/>
  <c r="K22" i="88"/>
  <c r="G18" i="91"/>
  <c r="U25" i="88"/>
  <c r="G24" i="91"/>
  <c r="M22" i="89"/>
  <c r="I19" i="88"/>
  <c r="C28" i="7"/>
  <c r="E28" i="77"/>
  <c r="K28" i="77" s="1"/>
  <c r="C28" i="79" s="1"/>
  <c r="G36" i="74"/>
  <c r="K17" i="89"/>
  <c r="K24" i="88"/>
  <c r="G19" i="71"/>
  <c r="K19" i="71" s="1"/>
  <c r="I19" i="6" s="1"/>
  <c r="K20" i="88"/>
  <c r="K19" i="89"/>
  <c r="I17" i="88"/>
  <c r="K21" i="89"/>
  <c r="M24" i="89"/>
  <c r="G24" i="71"/>
  <c r="K24" i="71" s="1"/>
  <c r="I24" i="6" s="1"/>
  <c r="I21" i="88"/>
  <c r="C27" i="7"/>
  <c r="E27" i="77"/>
  <c r="K27" i="77" s="1"/>
  <c r="C27" i="79" s="1"/>
  <c r="E30" i="77"/>
  <c r="K30" i="77" s="1"/>
  <c r="C30" i="79" s="1"/>
  <c r="C30" i="7"/>
  <c r="G20" i="71"/>
  <c r="K20" i="71" s="1"/>
  <c r="I20" i="6" s="1"/>
  <c r="I22" i="88"/>
  <c r="K23" i="89"/>
  <c r="E24" i="91"/>
  <c r="Z24" i="110" s="1"/>
  <c r="AL24" i="110" s="1"/>
  <c r="G21" i="91" l="1"/>
  <c r="E25" i="91"/>
  <c r="Z25" i="110" s="1"/>
  <c r="AL25" i="110" s="1"/>
  <c r="AE54" i="91"/>
  <c r="AE68" i="91" s="1"/>
  <c r="AG26" i="91"/>
  <c r="AC26" i="91"/>
  <c r="G19" i="91"/>
  <c r="AG19" i="91" s="1"/>
  <c r="G23" i="91"/>
  <c r="AB23" i="110" s="1"/>
  <c r="AN23" i="110" s="1"/>
  <c r="AP23" i="110" s="1"/>
  <c r="BZ23" i="92"/>
  <c r="G20" i="91"/>
  <c r="AC20" i="91" s="1"/>
  <c r="G54" i="91"/>
  <c r="BZ25" i="92"/>
  <c r="AE26" i="92"/>
  <c r="AE68" i="92" s="1"/>
  <c r="AA68" i="91"/>
  <c r="AE45" i="91"/>
  <c r="AE45" i="92" s="1"/>
  <c r="AG45" i="91"/>
  <c r="AG45" i="92" s="1"/>
  <c r="G23" i="6"/>
  <c r="X23" i="26"/>
  <c r="G24" i="6"/>
  <c r="G22" i="6"/>
  <c r="X22" i="26"/>
  <c r="G21" i="6"/>
  <c r="X21" i="26"/>
  <c r="G18" i="6"/>
  <c r="X18" i="26"/>
  <c r="G20" i="6"/>
  <c r="X20" i="26"/>
  <c r="G19" i="6"/>
  <c r="X19" i="26"/>
  <c r="E44" i="26"/>
  <c r="AH44" i="69" s="1"/>
  <c r="C48" i="71"/>
  <c r="G27" i="26"/>
  <c r="K27" i="26" s="1"/>
  <c r="G18" i="71"/>
  <c r="K18" i="71" s="1"/>
  <c r="I18" i="6" s="1"/>
  <c r="E30" i="6"/>
  <c r="AH30" i="70"/>
  <c r="E30" i="78"/>
  <c r="K30" i="78" s="1"/>
  <c r="E30" i="79" s="1"/>
  <c r="K30" i="79" s="1"/>
  <c r="AG30" i="70"/>
  <c r="E28" i="7"/>
  <c r="K28" i="7" s="1"/>
  <c r="K28" i="72" s="1"/>
  <c r="AG28" i="70"/>
  <c r="E29" i="6"/>
  <c r="K29" i="6" s="1"/>
  <c r="AH29" i="70"/>
  <c r="E28" i="6"/>
  <c r="K28" i="6" s="1"/>
  <c r="AH28" i="70"/>
  <c r="E29" i="78"/>
  <c r="K29" i="78" s="1"/>
  <c r="E29" i="79" s="1"/>
  <c r="K29" i="79" s="1"/>
  <c r="AG29" i="70"/>
  <c r="C28" i="6"/>
  <c r="AH28" i="69"/>
  <c r="B144" i="136"/>
  <c r="AH29" i="69"/>
  <c r="AB21" i="110"/>
  <c r="AN21" i="110" s="1"/>
  <c r="AP21" i="110" s="1"/>
  <c r="AB25" i="110"/>
  <c r="AN25" i="110" s="1"/>
  <c r="AP25" i="110" s="1"/>
  <c r="AB22" i="110"/>
  <c r="AN22" i="110" s="1"/>
  <c r="AP22" i="110" s="1"/>
  <c r="AB19" i="110"/>
  <c r="AN19" i="110" s="1"/>
  <c r="AP19" i="110" s="1"/>
  <c r="AB24" i="110"/>
  <c r="AN24" i="110" s="1"/>
  <c r="AP24" i="110" s="1"/>
  <c r="AB18" i="110"/>
  <c r="AN18" i="110" s="1"/>
  <c r="AP18" i="110" s="1"/>
  <c r="G23" i="71"/>
  <c r="K23" i="71" s="1"/>
  <c r="I23" i="6" s="1"/>
  <c r="E29" i="7"/>
  <c r="K29" i="7" s="1"/>
  <c r="K29" i="72" s="1"/>
  <c r="G28" i="26"/>
  <c r="K28" i="26" s="1"/>
  <c r="G28" i="71"/>
  <c r="K28" i="71" s="1"/>
  <c r="I28" i="6" s="1"/>
  <c r="M35" i="19"/>
  <c r="Y44" i="70" s="1"/>
  <c r="E44" i="70" s="1"/>
  <c r="C29" i="6"/>
  <c r="E28" i="78"/>
  <c r="K28" i="78" s="1"/>
  <c r="E28" i="79" s="1"/>
  <c r="K28" i="79" s="1"/>
  <c r="G29" i="26"/>
  <c r="K29" i="26" s="1"/>
  <c r="E27" i="78"/>
  <c r="K27" i="78" s="1"/>
  <c r="E27" i="79" s="1"/>
  <c r="K27" i="79" s="1"/>
  <c r="G29" i="71"/>
  <c r="K29" i="71" s="1"/>
  <c r="I29" i="6" s="1"/>
  <c r="E43" i="26"/>
  <c r="G27" i="71"/>
  <c r="K27" i="71" s="1"/>
  <c r="I27" i="6" s="1"/>
  <c r="M33" i="44"/>
  <c r="AC42" i="26" s="1"/>
  <c r="E42" i="26" s="1"/>
  <c r="K32" i="89"/>
  <c r="K45" i="89" s="1"/>
  <c r="S45" i="89" s="1"/>
  <c r="I37" i="74"/>
  <c r="I38" i="74" s="1"/>
  <c r="I33" i="74" s="1"/>
  <c r="M32" i="44" s="1"/>
  <c r="AC41" i="26" s="1"/>
  <c r="E41" i="26" s="1"/>
  <c r="G26" i="71"/>
  <c r="K26" i="71" s="1"/>
  <c r="I26" i="6" s="1"/>
  <c r="G26" i="26"/>
  <c r="K26" i="26" s="1"/>
  <c r="G51" i="91"/>
  <c r="K36" i="89"/>
  <c r="S36" i="89" s="1"/>
  <c r="E46" i="91"/>
  <c r="Q20" i="88"/>
  <c r="M37" i="89"/>
  <c r="U37" i="89" s="1"/>
  <c r="W37" i="89" s="1"/>
  <c r="Y37" i="89" s="1"/>
  <c r="G25" i="26"/>
  <c r="K25" i="26" s="1"/>
  <c r="I32" i="88"/>
  <c r="I45" i="88" s="1"/>
  <c r="Q45" i="88" s="1"/>
  <c r="G25" i="71"/>
  <c r="K25" i="71" s="1"/>
  <c r="I25" i="6" s="1"/>
  <c r="E25" i="7"/>
  <c r="K25" i="7" s="1"/>
  <c r="AB17" i="110"/>
  <c r="AN17" i="110" s="1"/>
  <c r="AP17" i="110" s="1"/>
  <c r="Z17" i="110"/>
  <c r="AL17" i="110" s="1"/>
  <c r="AL28" i="110" s="1"/>
  <c r="E26" i="78"/>
  <c r="K26" i="78" s="1"/>
  <c r="E26" i="79" s="1"/>
  <c r="K26" i="79" s="1"/>
  <c r="E50" i="91"/>
  <c r="I43" i="88"/>
  <c r="Q43" i="88" s="1"/>
  <c r="E48" i="91"/>
  <c r="I38" i="88"/>
  <c r="Q38" i="88" s="1"/>
  <c r="S24" i="89"/>
  <c r="G48" i="91"/>
  <c r="S30" i="89"/>
  <c r="K37" i="88"/>
  <c r="S37" i="88" s="1"/>
  <c r="U37" i="88" s="1"/>
  <c r="Y37" i="88" s="1"/>
  <c r="AA37" i="88" s="1"/>
  <c r="G49" i="91"/>
  <c r="U30" i="89"/>
  <c r="W30" i="89" s="1"/>
  <c r="I27" i="72"/>
  <c r="S20" i="89"/>
  <c r="Q23" i="88"/>
  <c r="M32" i="89"/>
  <c r="M45" i="89" s="1"/>
  <c r="U45" i="89" s="1"/>
  <c r="W45" i="89" s="1"/>
  <c r="Y45" i="89" s="1"/>
  <c r="C77" i="136"/>
  <c r="K43" i="88"/>
  <c r="S43" i="88" s="1"/>
  <c r="U43" i="88" s="1"/>
  <c r="S18" i="88"/>
  <c r="U18" i="88" s="1"/>
  <c r="E51" i="91"/>
  <c r="S21" i="88"/>
  <c r="U21" i="88" s="1"/>
  <c r="U21" i="89"/>
  <c r="W21" i="89" s="1"/>
  <c r="K33" i="88"/>
  <c r="S33" i="88" s="1"/>
  <c r="U33" i="88" s="1"/>
  <c r="Y33" i="88" s="1"/>
  <c r="AA33" i="88" s="1"/>
  <c r="R20" i="96"/>
  <c r="S20" i="96" s="1"/>
  <c r="K20" i="96" s="1"/>
  <c r="G46" i="91"/>
  <c r="S34" i="89"/>
  <c r="K47" i="89"/>
  <c r="S47" i="89" s="1"/>
  <c r="S19" i="89"/>
  <c r="K33" i="89"/>
  <c r="I36" i="74"/>
  <c r="AG25" i="91"/>
  <c r="AC25" i="91"/>
  <c r="M31" i="89"/>
  <c r="U17" i="89"/>
  <c r="G24" i="92"/>
  <c r="AE19" i="92"/>
  <c r="S38" i="89"/>
  <c r="K51" i="89"/>
  <c r="S51" i="89" s="1"/>
  <c r="K26" i="72"/>
  <c r="AE22" i="91"/>
  <c r="G53" i="91"/>
  <c r="E52" i="91"/>
  <c r="G17" i="6"/>
  <c r="G18" i="92"/>
  <c r="U20" i="89"/>
  <c r="M34" i="89"/>
  <c r="U24" i="89"/>
  <c r="M38" i="89"/>
  <c r="Q34" i="88"/>
  <c r="I47" i="88"/>
  <c r="Q47" i="88" s="1"/>
  <c r="I33" i="88"/>
  <c r="Q19" i="88"/>
  <c r="U30" i="88"/>
  <c r="K35" i="89"/>
  <c r="S21" i="89"/>
  <c r="M36" i="89"/>
  <c r="U22" i="89"/>
  <c r="E25" i="79"/>
  <c r="K25" i="79" s="1"/>
  <c r="AA19" i="91"/>
  <c r="AE19" i="91"/>
  <c r="S35" i="88"/>
  <c r="U35" i="88" s="1"/>
  <c r="Y35" i="88" s="1"/>
  <c r="AA35" i="88" s="1"/>
  <c r="K48" i="88"/>
  <c r="S48" i="88" s="1"/>
  <c r="U48" i="88" s="1"/>
  <c r="Y48" i="88" s="1"/>
  <c r="AA48" i="88" s="1"/>
  <c r="AE25" i="92"/>
  <c r="K31" i="89"/>
  <c r="S17" i="89"/>
  <c r="G50" i="91"/>
  <c r="K31" i="88"/>
  <c r="S17" i="88"/>
  <c r="AE21" i="92"/>
  <c r="E53" i="91"/>
  <c r="G47" i="91"/>
  <c r="AE21" i="91"/>
  <c r="Y25" i="88"/>
  <c r="K27" i="72"/>
  <c r="G23" i="92"/>
  <c r="Q37" i="88"/>
  <c r="I50" i="88"/>
  <c r="Q50" i="88" s="1"/>
  <c r="U23" i="88"/>
  <c r="S32" i="88"/>
  <c r="U32" i="88" s="1"/>
  <c r="Y32" i="88" s="1"/>
  <c r="AA32" i="88" s="1"/>
  <c r="K45" i="88"/>
  <c r="S45" i="88" s="1"/>
  <c r="U45" i="88" s="1"/>
  <c r="Y45" i="88" s="1"/>
  <c r="AA45" i="88" s="1"/>
  <c r="AE25" i="91"/>
  <c r="AA25" i="91"/>
  <c r="E18" i="92"/>
  <c r="B79" i="136" s="1"/>
  <c r="C79" i="136" s="1"/>
  <c r="D79" i="136" s="1"/>
  <c r="G52" i="91"/>
  <c r="E20" i="92"/>
  <c r="B81" i="136" s="1"/>
  <c r="C81" i="136" s="1"/>
  <c r="D81" i="136" s="1"/>
  <c r="I36" i="88"/>
  <c r="Q22" i="88"/>
  <c r="E49" i="91"/>
  <c r="W23" i="89"/>
  <c r="I31" i="88"/>
  <c r="Q17" i="88"/>
  <c r="W18" i="89"/>
  <c r="S22" i="88"/>
  <c r="K36" i="88"/>
  <c r="Y25" i="89"/>
  <c r="AG22" i="91"/>
  <c r="U19" i="88"/>
  <c r="K37" i="89"/>
  <c r="S23" i="89"/>
  <c r="E24" i="92"/>
  <c r="B85" i="136" s="1"/>
  <c r="C85" i="136" s="1"/>
  <c r="D85" i="136" s="1"/>
  <c r="W43" i="89"/>
  <c r="AC17" i="91"/>
  <c r="AG17" i="91"/>
  <c r="U35" i="89"/>
  <c r="W35" i="89" s="1"/>
  <c r="Y35" i="89" s="1"/>
  <c r="M48" i="89"/>
  <c r="U48" i="89" s="1"/>
  <c r="W48" i="89" s="1"/>
  <c r="Y48" i="89" s="1"/>
  <c r="U19" i="89"/>
  <c r="M33" i="89"/>
  <c r="K30" i="72"/>
  <c r="AE17" i="91"/>
  <c r="AA17" i="91"/>
  <c r="Q21" i="88"/>
  <c r="I35" i="88"/>
  <c r="E47" i="91"/>
  <c r="K34" i="88"/>
  <c r="S20" i="88"/>
  <c r="S24" i="88"/>
  <c r="K38" i="88"/>
  <c r="K17" i="71"/>
  <c r="G21" i="92"/>
  <c r="E22" i="92"/>
  <c r="B83" i="136" s="1"/>
  <c r="C83" i="136" s="1"/>
  <c r="D83" i="136" s="1"/>
  <c r="C25" i="79"/>
  <c r="AC19" i="91" l="1"/>
  <c r="AG20" i="91"/>
  <c r="AB20" i="110"/>
  <c r="AN20" i="110" s="1"/>
  <c r="AP20" i="110" s="1"/>
  <c r="AR20" i="110" s="1"/>
  <c r="AT20" i="110" s="1"/>
  <c r="AV20" i="110" s="1"/>
  <c r="AC54" i="91"/>
  <c r="AC68" i="91" s="1"/>
  <c r="AG54" i="91"/>
  <c r="AG68" i="91" s="1"/>
  <c r="K30" i="6"/>
  <c r="I30" i="72" s="1"/>
  <c r="M30" i="72" s="1"/>
  <c r="AG52" i="91"/>
  <c r="AG52" i="92" s="1"/>
  <c r="AG48" i="91"/>
  <c r="AG48" i="92" s="1"/>
  <c r="AE53" i="91"/>
  <c r="AE67" i="91" s="1"/>
  <c r="AG46" i="91"/>
  <c r="AG46" i="92" s="1"/>
  <c r="AC46" i="91"/>
  <c r="AC46" i="92" s="1"/>
  <c r="AE48" i="91"/>
  <c r="AE48" i="92" s="1"/>
  <c r="AE46" i="91"/>
  <c r="AE46" i="92" s="1"/>
  <c r="AA46" i="91"/>
  <c r="AA46" i="92" s="1"/>
  <c r="AE47" i="91"/>
  <c r="AE61" i="91" s="1"/>
  <c r="AE50" i="91"/>
  <c r="AE50" i="92" s="1"/>
  <c r="AG51" i="91"/>
  <c r="AG51" i="92" s="1"/>
  <c r="AG47" i="91"/>
  <c r="AG61" i="91" s="1"/>
  <c r="AE52" i="91"/>
  <c r="AE52" i="92" s="1"/>
  <c r="AE51" i="91"/>
  <c r="AE51" i="92" s="1"/>
  <c r="AE49" i="91"/>
  <c r="AE63" i="91" s="1"/>
  <c r="AG50" i="91"/>
  <c r="AG64" i="91" s="1"/>
  <c r="AG53" i="91"/>
  <c r="AG67" i="91" s="1"/>
  <c r="AG49" i="91"/>
  <c r="AG49" i="92" s="1"/>
  <c r="C44" i="6"/>
  <c r="G44" i="26"/>
  <c r="K44" i="26" s="1"/>
  <c r="G44" i="6" s="1"/>
  <c r="B159" i="136"/>
  <c r="C159" i="136" s="1"/>
  <c r="D159" i="136" s="1"/>
  <c r="G25" i="6"/>
  <c r="G27" i="6"/>
  <c r="G26" i="6"/>
  <c r="G29" i="6"/>
  <c r="G28" i="6"/>
  <c r="AR19" i="110"/>
  <c r="AT19" i="110" s="1"/>
  <c r="AV19" i="110" s="1"/>
  <c r="AR18" i="110"/>
  <c r="AT18" i="110" s="1"/>
  <c r="AV18" i="110" s="1"/>
  <c r="AR21" i="110"/>
  <c r="AT21" i="110" s="1"/>
  <c r="AV21" i="110" s="1"/>
  <c r="I28" i="72"/>
  <c r="M28" i="72" s="1"/>
  <c r="AJ29" i="70"/>
  <c r="AK29" i="70" s="1"/>
  <c r="E44" i="78"/>
  <c r="K44" i="78" s="1"/>
  <c r="E44" i="79" s="1"/>
  <c r="AG44" i="70"/>
  <c r="AJ29" i="69"/>
  <c r="AK29" i="69" s="1"/>
  <c r="AJ28" i="70"/>
  <c r="AK28" i="70" s="1"/>
  <c r="AJ28" i="69"/>
  <c r="AK28" i="69" s="1"/>
  <c r="AJ30" i="70"/>
  <c r="AK30" i="70" s="1"/>
  <c r="B157" i="136"/>
  <c r="AH42" i="69"/>
  <c r="B158" i="136"/>
  <c r="AH43" i="69"/>
  <c r="B156" i="136"/>
  <c r="AH41" i="69"/>
  <c r="Q32" i="88"/>
  <c r="Q58" i="88" s="1"/>
  <c r="S32" i="89"/>
  <c r="S58" i="89" s="1"/>
  <c r="C43" i="6"/>
  <c r="E44" i="7"/>
  <c r="M50" i="89"/>
  <c r="U50" i="89" s="1"/>
  <c r="W50" i="89" s="1"/>
  <c r="Y50" i="89" s="1"/>
  <c r="I29" i="72"/>
  <c r="C42" i="6"/>
  <c r="G42" i="26"/>
  <c r="K42" i="26" s="1"/>
  <c r="I26" i="72"/>
  <c r="D77" i="136"/>
  <c r="G41" i="26"/>
  <c r="K41" i="26" s="1"/>
  <c r="C41" i="6"/>
  <c r="I25" i="72"/>
  <c r="K37" i="74"/>
  <c r="K38" i="74" s="1"/>
  <c r="K33" i="74" s="1"/>
  <c r="K49" i="89"/>
  <c r="S49" i="89" s="1"/>
  <c r="S62" i="89" s="1"/>
  <c r="K50" i="88"/>
  <c r="S50" i="88" s="1"/>
  <c r="U50" i="88" s="1"/>
  <c r="Y50" i="88" s="1"/>
  <c r="AA50" i="88" s="1"/>
  <c r="AG59" i="91"/>
  <c r="AR17" i="110"/>
  <c r="AT17" i="110" s="1"/>
  <c r="AV17" i="110" s="1"/>
  <c r="B45" i="126"/>
  <c r="AE59" i="91"/>
  <c r="I51" i="88"/>
  <c r="Q51" i="88" s="1"/>
  <c r="Q64" i="88" s="1"/>
  <c r="D45" i="126"/>
  <c r="M27" i="72"/>
  <c r="U32" i="89"/>
  <c r="W32" i="89" s="1"/>
  <c r="Y32" i="89" s="1"/>
  <c r="C84" i="136"/>
  <c r="D84" i="136" s="1"/>
  <c r="C82" i="136"/>
  <c r="D82" i="136" s="1"/>
  <c r="C78" i="136"/>
  <c r="D78" i="136" s="1"/>
  <c r="C80" i="136"/>
  <c r="D80" i="136" s="1"/>
  <c r="K46" i="88"/>
  <c r="S46" i="88" s="1"/>
  <c r="U46" i="88" s="1"/>
  <c r="Y46" i="88" s="1"/>
  <c r="AA46" i="88" s="1"/>
  <c r="K32" i="73"/>
  <c r="O32" i="73" s="1"/>
  <c r="D85" i="124"/>
  <c r="D85" i="126"/>
  <c r="F85" i="126"/>
  <c r="G35" i="126"/>
  <c r="I35" i="126"/>
  <c r="H35" i="126"/>
  <c r="C45" i="126"/>
  <c r="B85" i="126"/>
  <c r="S60" i="89"/>
  <c r="R19" i="96"/>
  <c r="S19" i="96" s="1"/>
  <c r="K19" i="96" s="1"/>
  <c r="Q60" i="88"/>
  <c r="S64" i="89"/>
  <c r="Q63" i="88"/>
  <c r="U24" i="88"/>
  <c r="Y19" i="88"/>
  <c r="U58" i="88"/>
  <c r="U22" i="88"/>
  <c r="S61" i="88"/>
  <c r="Q36" i="88"/>
  <c r="I49" i="88"/>
  <c r="Q49" i="88" s="1"/>
  <c r="Y18" i="88"/>
  <c r="Y21" i="88"/>
  <c r="Y30" i="88"/>
  <c r="W24" i="89"/>
  <c r="AE20" i="92"/>
  <c r="S34" i="88"/>
  <c r="K47" i="88"/>
  <c r="S47" i="88" s="1"/>
  <c r="U47" i="88" s="1"/>
  <c r="Y47" i="88" s="1"/>
  <c r="AA47" i="88" s="1"/>
  <c r="Q27" i="88"/>
  <c r="Q56" i="88"/>
  <c r="K36" i="74"/>
  <c r="W17" i="89"/>
  <c r="U56" i="89"/>
  <c r="U27" i="89"/>
  <c r="I17" i="6"/>
  <c r="W19" i="89"/>
  <c r="AE18" i="91"/>
  <c r="AA18" i="91"/>
  <c r="Y18" i="89"/>
  <c r="AL18" i="89"/>
  <c r="Y23" i="89"/>
  <c r="AL23" i="89"/>
  <c r="Y43" i="88"/>
  <c r="U31" i="89"/>
  <c r="M44" i="89"/>
  <c r="U44" i="89" s="1"/>
  <c r="K25" i="72"/>
  <c r="AE18" i="92"/>
  <c r="Y23" i="88"/>
  <c r="AA25" i="88"/>
  <c r="AC18" i="91"/>
  <c r="AG18" i="91"/>
  <c r="Q33" i="88"/>
  <c r="I46" i="88"/>
  <c r="Q46" i="88" s="1"/>
  <c r="M46" i="89"/>
  <c r="U46" i="89" s="1"/>
  <c r="W46" i="89" s="1"/>
  <c r="Y46" i="89" s="1"/>
  <c r="U33" i="89"/>
  <c r="W33" i="89" s="1"/>
  <c r="Y33" i="89" s="1"/>
  <c r="AE24" i="92"/>
  <c r="Y21" i="89"/>
  <c r="AL21" i="89"/>
  <c r="AA24" i="91"/>
  <c r="AE24" i="91"/>
  <c r="AG21" i="91"/>
  <c r="Q31" i="88"/>
  <c r="I44" i="88"/>
  <c r="Q44" i="88" s="1"/>
  <c r="K46" i="89"/>
  <c r="S46" i="89" s="1"/>
  <c r="S33" i="89"/>
  <c r="I48" i="88"/>
  <c r="Q48" i="88" s="1"/>
  <c r="Q35" i="88"/>
  <c r="Y43" i="89"/>
  <c r="AA20" i="91"/>
  <c r="AE20" i="91"/>
  <c r="U17" i="88"/>
  <c r="S27" i="88"/>
  <c r="S56" i="88"/>
  <c r="S56" i="89"/>
  <c r="S27" i="89"/>
  <c r="U34" i="89"/>
  <c r="M47" i="89"/>
  <c r="U47" i="89" s="1"/>
  <c r="W47" i="89" s="1"/>
  <c r="Y47" i="89" s="1"/>
  <c r="AC24" i="91"/>
  <c r="AG24" i="91"/>
  <c r="U20" i="88"/>
  <c r="S35" i="89"/>
  <c r="K48" i="89"/>
  <c r="S48" i="89" s="1"/>
  <c r="Y30" i="89"/>
  <c r="S37" i="89"/>
  <c r="K50" i="89"/>
  <c r="S50" i="89" s="1"/>
  <c r="S31" i="88"/>
  <c r="K44" i="88"/>
  <c r="S44" i="88" s="1"/>
  <c r="S31" i="89"/>
  <c r="K44" i="89"/>
  <c r="S44" i="89" s="1"/>
  <c r="W22" i="89"/>
  <c r="U61" i="89"/>
  <c r="W20" i="89"/>
  <c r="AE22" i="92"/>
  <c r="K51" i="88"/>
  <c r="S51" i="88" s="1"/>
  <c r="U51" i="88" s="1"/>
  <c r="Y51" i="88" s="1"/>
  <c r="AA51" i="88" s="1"/>
  <c r="S38" i="88"/>
  <c r="S58" i="88"/>
  <c r="S36" i="88"/>
  <c r="K49" i="88"/>
  <c r="S49" i="88" s="1"/>
  <c r="U49" i="88" s="1"/>
  <c r="Y49" i="88" s="1"/>
  <c r="AA49" i="88" s="1"/>
  <c r="U36" i="89"/>
  <c r="M49" i="89"/>
  <c r="U49" i="89" s="1"/>
  <c r="W49" i="89" s="1"/>
  <c r="Y49" i="89" s="1"/>
  <c r="U38" i="89"/>
  <c r="M51" i="89"/>
  <c r="U51" i="89" s="1"/>
  <c r="W51" i="89" s="1"/>
  <c r="Y51" i="89" s="1"/>
  <c r="AN28" i="110" l="1"/>
  <c r="AE64" i="91"/>
  <c r="AE62" i="91"/>
  <c r="C158" i="136"/>
  <c r="D158" i="136" s="1"/>
  <c r="AE60" i="91"/>
  <c r="AE62" i="92"/>
  <c r="AE60" i="92"/>
  <c r="AE64" i="92"/>
  <c r="G41" i="6"/>
  <c r="G42" i="6"/>
  <c r="AC18" i="109"/>
  <c r="AR24" i="110"/>
  <c r="AR26" i="110"/>
  <c r="AR25" i="110"/>
  <c r="C156" i="136"/>
  <c r="D156" i="136" s="1"/>
  <c r="AE66" i="92"/>
  <c r="C23" i="158"/>
  <c r="H23" i="158" s="1"/>
  <c r="C27" i="11"/>
  <c r="C26" i="158"/>
  <c r="C69" i="158" s="1"/>
  <c r="C30" i="11"/>
  <c r="C24" i="158"/>
  <c r="H24" i="158" s="1"/>
  <c r="C28" i="11"/>
  <c r="C157" i="136"/>
  <c r="D157" i="136" s="1"/>
  <c r="U63" i="89"/>
  <c r="Q27" i="15"/>
  <c r="T27" i="15" s="1"/>
  <c r="AF27" i="11"/>
  <c r="Q30" i="15"/>
  <c r="T30" i="15" s="1"/>
  <c r="AF30" i="11"/>
  <c r="Q28" i="15"/>
  <c r="T28" i="15" s="1"/>
  <c r="AF28" i="11"/>
  <c r="O28" i="72"/>
  <c r="E28" i="8" s="1"/>
  <c r="I28" i="8" s="1"/>
  <c r="C29" i="105" s="1"/>
  <c r="K27" i="12"/>
  <c r="AA27" i="12" s="1"/>
  <c r="AA60" i="91"/>
  <c r="M29" i="72"/>
  <c r="M26" i="72"/>
  <c r="K29" i="12"/>
  <c r="AA29" i="12" s="1"/>
  <c r="O30" i="72"/>
  <c r="AG63" i="91"/>
  <c r="C88" i="136"/>
  <c r="M37" i="74"/>
  <c r="M38" i="74" s="1"/>
  <c r="M33" i="74" s="1"/>
  <c r="M35" i="18" s="1"/>
  <c r="M31" i="44"/>
  <c r="AC40" i="26" s="1"/>
  <c r="E40" i="26" s="1"/>
  <c r="S63" i="88"/>
  <c r="AG60" i="91"/>
  <c r="AE66" i="91"/>
  <c r="O27" i="72"/>
  <c r="AG66" i="91"/>
  <c r="AG62" i="91"/>
  <c r="AC60" i="91"/>
  <c r="K26" i="12"/>
  <c r="AA26" i="12" s="1"/>
  <c r="U58" i="89"/>
  <c r="AG50" i="92"/>
  <c r="AE47" i="92"/>
  <c r="AE61" i="92" s="1"/>
  <c r="AG47" i="92"/>
  <c r="AE53" i="92"/>
  <c r="AE67" i="92" s="1"/>
  <c r="AE49" i="92"/>
  <c r="AE63" i="92" s="1"/>
  <c r="AG53" i="92"/>
  <c r="I75" i="126"/>
  <c r="I75" i="140" s="1"/>
  <c r="I85" i="140" s="1"/>
  <c r="I35" i="140"/>
  <c r="G75" i="126"/>
  <c r="G75" i="140" s="1"/>
  <c r="G85" i="140" s="1"/>
  <c r="G35" i="140"/>
  <c r="H75" i="126"/>
  <c r="H75" i="140" s="1"/>
  <c r="H85" i="140" s="1"/>
  <c r="H35" i="140"/>
  <c r="E43" i="73"/>
  <c r="S59" i="88"/>
  <c r="H85" i="124"/>
  <c r="E27" i="73"/>
  <c r="K16" i="73"/>
  <c r="O16" i="73" s="1"/>
  <c r="E43" i="20"/>
  <c r="I85" i="124"/>
  <c r="G85" i="124"/>
  <c r="F85" i="124"/>
  <c r="B85" i="124"/>
  <c r="H45" i="126"/>
  <c r="I45" i="126"/>
  <c r="J35" i="126"/>
  <c r="G45" i="126"/>
  <c r="S59" i="89"/>
  <c r="Q40" i="88"/>
  <c r="AE56" i="91"/>
  <c r="W44" i="89"/>
  <c r="U53" i="89"/>
  <c r="U40" i="89"/>
  <c r="R18" i="96"/>
  <c r="S18" i="96" s="1"/>
  <c r="K18" i="96" s="1"/>
  <c r="S40" i="89"/>
  <c r="S53" i="89"/>
  <c r="U44" i="88"/>
  <c r="S53" i="88"/>
  <c r="AG56" i="91"/>
  <c r="S40" i="88"/>
  <c r="Q53" i="88"/>
  <c r="Q59" i="88"/>
  <c r="M25" i="72"/>
  <c r="Q61" i="88"/>
  <c r="W31" i="89"/>
  <c r="U57" i="89"/>
  <c r="Y19" i="89"/>
  <c r="Y58" i="89" s="1"/>
  <c r="W58" i="89"/>
  <c r="AL19" i="89"/>
  <c r="Y20" i="88"/>
  <c r="U59" i="88"/>
  <c r="Y24" i="89"/>
  <c r="Y63" i="89" s="1"/>
  <c r="AL24" i="89"/>
  <c r="W63" i="89"/>
  <c r="U38" i="88"/>
  <c r="S64" i="88"/>
  <c r="U59" i="89"/>
  <c r="U34" i="88"/>
  <c r="S60" i="88"/>
  <c r="AA18" i="88"/>
  <c r="W36" i="89"/>
  <c r="U62" i="89"/>
  <c r="Y17" i="88"/>
  <c r="U56" i="88"/>
  <c r="U27" i="88"/>
  <c r="Y20" i="89"/>
  <c r="Y59" i="89" s="1"/>
  <c r="W59" i="89"/>
  <c r="AL20" i="89"/>
  <c r="AA30" i="88"/>
  <c r="W34" i="89"/>
  <c r="U60" i="89"/>
  <c r="AA43" i="88"/>
  <c r="AA21" i="88"/>
  <c r="Q62" i="88"/>
  <c r="Y17" i="89"/>
  <c r="W56" i="89"/>
  <c r="AL17" i="89"/>
  <c r="W27" i="89"/>
  <c r="Y24" i="88"/>
  <c r="U63" i="88"/>
  <c r="S57" i="89"/>
  <c r="W38" i="89"/>
  <c r="U64" i="89"/>
  <c r="U36" i="88"/>
  <c r="S62" i="88"/>
  <c r="Y22" i="89"/>
  <c r="Y61" i="89" s="1"/>
  <c r="AL22" i="89"/>
  <c r="W61" i="89"/>
  <c r="S63" i="89"/>
  <c r="S61" i="89"/>
  <c r="Q57" i="88"/>
  <c r="AA23" i="88"/>
  <c r="M36" i="74"/>
  <c r="Y58" i="88"/>
  <c r="AA19" i="88"/>
  <c r="AA58" i="88" s="1"/>
  <c r="U31" i="88"/>
  <c r="S57" i="88"/>
  <c r="Y22" i="88"/>
  <c r="U61" i="88"/>
  <c r="AG20" i="94" l="1"/>
  <c r="AH20" i="94" s="1"/>
  <c r="AC46" i="109"/>
  <c r="AE46" i="109" s="1"/>
  <c r="C46" i="91" s="1"/>
  <c r="AE18" i="109"/>
  <c r="AG18" i="109" s="1"/>
  <c r="C18" i="91"/>
  <c r="K18" i="91" s="1"/>
  <c r="Y18" i="91" s="1"/>
  <c r="AR23" i="110"/>
  <c r="AR22" i="110"/>
  <c r="M33" i="18"/>
  <c r="M34" i="18"/>
  <c r="M32" i="18"/>
  <c r="C66" i="158"/>
  <c r="H66" i="158" s="1"/>
  <c r="H26" i="158"/>
  <c r="C21" i="158"/>
  <c r="C64" i="158" s="1"/>
  <c r="C25" i="11"/>
  <c r="C22" i="158"/>
  <c r="C65" i="158" s="1"/>
  <c r="C26" i="11"/>
  <c r="C25" i="158"/>
  <c r="H25" i="158" s="1"/>
  <c r="C29" i="11"/>
  <c r="C67" i="158"/>
  <c r="C110" i="158" s="1"/>
  <c r="H110" i="158" s="1"/>
  <c r="B155" i="136"/>
  <c r="C155" i="136" s="1"/>
  <c r="D155" i="136" s="1"/>
  <c r="AH40" i="69"/>
  <c r="K28" i="129"/>
  <c r="O29" i="72"/>
  <c r="E29" i="8" s="1"/>
  <c r="I29" i="8" s="1"/>
  <c r="C30" i="105" s="1"/>
  <c r="C112" i="158"/>
  <c r="H112" i="158" s="1"/>
  <c r="H69" i="158"/>
  <c r="K28" i="12"/>
  <c r="AA28" i="12" s="1"/>
  <c r="K24" i="12"/>
  <c r="K25" i="129" s="1"/>
  <c r="AF25" i="11"/>
  <c r="Q26" i="15"/>
  <c r="T26" i="15" s="1"/>
  <c r="AF26" i="11"/>
  <c r="Q29" i="15"/>
  <c r="T29" i="15" s="1"/>
  <c r="AF29" i="11"/>
  <c r="O26" i="72"/>
  <c r="E26" i="8" s="1"/>
  <c r="I26" i="8" s="1"/>
  <c r="C27" i="105" s="1"/>
  <c r="M27" i="105" s="1"/>
  <c r="C27" i="67" s="1"/>
  <c r="K25" i="12"/>
  <c r="AA25" i="12" s="1"/>
  <c r="E30" i="8"/>
  <c r="I30" i="8" s="1"/>
  <c r="C31" i="105" s="1"/>
  <c r="M31" i="105" s="1"/>
  <c r="C31" i="67" s="1"/>
  <c r="K30" i="129"/>
  <c r="M31" i="45"/>
  <c r="AC40" i="69" s="1"/>
  <c r="E40" i="69" s="1"/>
  <c r="M27" i="19"/>
  <c r="Y36" i="70" s="1"/>
  <c r="E36" i="70" s="1"/>
  <c r="M24" i="45"/>
  <c r="AC33" i="69" s="1"/>
  <c r="E33" i="69" s="1"/>
  <c r="M21" i="44"/>
  <c r="AC30" i="26" s="1"/>
  <c r="E30" i="26" s="1"/>
  <c r="M24" i="19"/>
  <c r="Y33" i="70" s="1"/>
  <c r="E33" i="70" s="1"/>
  <c r="M25" i="45"/>
  <c r="AC34" i="69" s="1"/>
  <c r="E34" i="69" s="1"/>
  <c r="M27" i="44"/>
  <c r="AC36" i="26" s="1"/>
  <c r="E36" i="26" s="1"/>
  <c r="G36" i="26" s="1"/>
  <c r="K36" i="26" s="1"/>
  <c r="M24" i="44"/>
  <c r="AC33" i="26" s="1"/>
  <c r="E33" i="26" s="1"/>
  <c r="M22" i="19"/>
  <c r="Y31" i="70" s="1"/>
  <c r="E31" i="70" s="1"/>
  <c r="M30" i="45"/>
  <c r="AC39" i="69" s="1"/>
  <c r="E39" i="69" s="1"/>
  <c r="M33" i="19"/>
  <c r="Y42" i="70" s="1"/>
  <c r="E42" i="70" s="1"/>
  <c r="M24" i="18"/>
  <c r="Y33" i="71" s="1"/>
  <c r="E33" i="71" s="1"/>
  <c r="M33" i="45"/>
  <c r="AC42" i="69" s="1"/>
  <c r="E42" i="69" s="1"/>
  <c r="M25" i="19"/>
  <c r="Y34" i="70" s="1"/>
  <c r="E34" i="70" s="1"/>
  <c r="M35" i="45"/>
  <c r="AC44" i="69" s="1"/>
  <c r="E44" i="69" s="1"/>
  <c r="O33" i="74"/>
  <c r="M22" i="45"/>
  <c r="AC31" i="69" s="1"/>
  <c r="E31" i="69" s="1"/>
  <c r="M29" i="44"/>
  <c r="AC38" i="26" s="1"/>
  <c r="E38" i="26" s="1"/>
  <c r="M31" i="19"/>
  <c r="Y40" i="70" s="1"/>
  <c r="E40" i="70" s="1"/>
  <c r="M26" i="44"/>
  <c r="AC35" i="26" s="1"/>
  <c r="E35" i="26" s="1"/>
  <c r="M26" i="19"/>
  <c r="Y35" i="70" s="1"/>
  <c r="E35" i="70" s="1"/>
  <c r="M23" i="19"/>
  <c r="Y32" i="70" s="1"/>
  <c r="E32" i="70" s="1"/>
  <c r="M23" i="45"/>
  <c r="AC32" i="69" s="1"/>
  <c r="E32" i="69" s="1"/>
  <c r="M29" i="19"/>
  <c r="Y38" i="70" s="1"/>
  <c r="E38" i="70" s="1"/>
  <c r="M30" i="18"/>
  <c r="M25" i="18"/>
  <c r="M29" i="45"/>
  <c r="AC38" i="69" s="1"/>
  <c r="E38" i="69" s="1"/>
  <c r="M32" i="19"/>
  <c r="Y41" i="70" s="1"/>
  <c r="E41" i="70" s="1"/>
  <c r="M32" i="45"/>
  <c r="AC41" i="69" s="1"/>
  <c r="E41" i="69" s="1"/>
  <c r="M28" i="45"/>
  <c r="AC37" i="69" s="1"/>
  <c r="E37" i="69" s="1"/>
  <c r="M23" i="18"/>
  <c r="Y32" i="71" s="1"/>
  <c r="E32" i="71" s="1"/>
  <c r="M23" i="44"/>
  <c r="AC32" i="26" s="1"/>
  <c r="E32" i="26" s="1"/>
  <c r="M28" i="18"/>
  <c r="Z25" i="9"/>
  <c r="E27" i="8"/>
  <c r="I27" i="8" s="1"/>
  <c r="C28" i="105" s="1"/>
  <c r="M28" i="105" s="1"/>
  <c r="C28" i="67" s="1"/>
  <c r="O32" i="74"/>
  <c r="M22" i="18"/>
  <c r="Y31" i="71" s="1"/>
  <c r="E31" i="71" s="1"/>
  <c r="AP28" i="110"/>
  <c r="M34" i="45"/>
  <c r="AC43" i="69" s="1"/>
  <c r="E43" i="69" s="1"/>
  <c r="M30" i="19"/>
  <c r="Y39" i="70" s="1"/>
  <c r="E39" i="70" s="1"/>
  <c r="M25" i="44"/>
  <c r="AC34" i="26" s="1"/>
  <c r="E34" i="26" s="1"/>
  <c r="M26" i="18"/>
  <c r="M29" i="18"/>
  <c r="M28" i="19"/>
  <c r="Y37" i="70" s="1"/>
  <c r="E37" i="70" s="1"/>
  <c r="M30" i="44"/>
  <c r="AC39" i="26" s="1"/>
  <c r="E39" i="26" s="1"/>
  <c r="M31" i="18"/>
  <c r="M28" i="44"/>
  <c r="AC37" i="26" s="1"/>
  <c r="E37" i="26" s="1"/>
  <c r="M22" i="44"/>
  <c r="AC31" i="26" s="1"/>
  <c r="E31" i="26" s="1"/>
  <c r="M27" i="18"/>
  <c r="M27" i="45"/>
  <c r="AC36" i="69" s="1"/>
  <c r="E36" i="69" s="1"/>
  <c r="AG36" i="69" s="1"/>
  <c r="M34" i="19"/>
  <c r="Y43" i="70" s="1"/>
  <c r="E43" i="70" s="1"/>
  <c r="AG43" i="70" s="1"/>
  <c r="G40" i="26"/>
  <c r="K40" i="26" s="1"/>
  <c r="C40" i="6"/>
  <c r="M26" i="45"/>
  <c r="AC35" i="69" s="1"/>
  <c r="E35" i="69" s="1"/>
  <c r="AG35" i="69" s="1"/>
  <c r="K27" i="129"/>
  <c r="G35" i="124"/>
  <c r="G45" i="124" s="1"/>
  <c r="G85" i="126"/>
  <c r="G127" i="126" s="1"/>
  <c r="I35" i="124"/>
  <c r="I35" i="139" s="1"/>
  <c r="I85" i="126"/>
  <c r="I127" i="126" s="1"/>
  <c r="AG56" i="92"/>
  <c r="AE56" i="92"/>
  <c r="H35" i="124"/>
  <c r="H45" i="124" s="1"/>
  <c r="H85" i="126"/>
  <c r="H127" i="126" s="1"/>
  <c r="J75" i="126"/>
  <c r="J75" i="140" s="1"/>
  <c r="J85" i="140" s="1"/>
  <c r="J35" i="140"/>
  <c r="H115" i="140"/>
  <c r="H125" i="140" s="1"/>
  <c r="H45" i="140"/>
  <c r="G115" i="140"/>
  <c r="G125" i="140" s="1"/>
  <c r="G127" i="140" s="1"/>
  <c r="G45" i="140"/>
  <c r="I115" i="140"/>
  <c r="I125" i="140" s="1"/>
  <c r="I127" i="140" s="1"/>
  <c r="I45" i="140"/>
  <c r="M29" i="105"/>
  <c r="C29" i="67" s="1"/>
  <c r="O25" i="72"/>
  <c r="Z24" i="9" s="1"/>
  <c r="Q25" i="15"/>
  <c r="J85" i="124"/>
  <c r="Q66" i="88"/>
  <c r="L85" i="124"/>
  <c r="L115" i="124"/>
  <c r="L125" i="124" s="1"/>
  <c r="L127" i="139" s="1"/>
  <c r="J45" i="126"/>
  <c r="M35" i="127"/>
  <c r="O75" i="127"/>
  <c r="O115" i="127" s="1"/>
  <c r="M40" i="127"/>
  <c r="O80" i="127"/>
  <c r="O120" i="127" s="1"/>
  <c r="O77" i="127"/>
  <c r="O117" i="127" s="1"/>
  <c r="M37" i="127"/>
  <c r="N37" i="127" s="1"/>
  <c r="M43" i="127"/>
  <c r="O83" i="127"/>
  <c r="O123" i="127" s="1"/>
  <c r="S66" i="88"/>
  <c r="U66" i="89"/>
  <c r="S66" i="89"/>
  <c r="U40" i="88"/>
  <c r="W40" i="89"/>
  <c r="Y44" i="88"/>
  <c r="U53" i="88"/>
  <c r="AL27" i="89"/>
  <c r="Y44" i="89"/>
  <c r="Y53" i="89" s="1"/>
  <c r="W53" i="89"/>
  <c r="R17" i="96"/>
  <c r="S17" i="96" s="1"/>
  <c r="K17" i="96" s="1"/>
  <c r="Y61" i="88"/>
  <c r="AA22" i="88"/>
  <c r="AA61" i="88" s="1"/>
  <c r="Y34" i="89"/>
  <c r="Y60" i="89" s="1"/>
  <c r="W60" i="89"/>
  <c r="Y34" i="88"/>
  <c r="U60" i="88"/>
  <c r="AA24" i="88"/>
  <c r="AA63" i="88" s="1"/>
  <c r="Y63" i="88"/>
  <c r="Y56" i="89"/>
  <c r="Y27" i="89"/>
  <c r="Y38" i="88"/>
  <c r="U64" i="88"/>
  <c r="Y31" i="88"/>
  <c r="U57" i="88"/>
  <c r="Y31" i="89"/>
  <c r="W57" i="89"/>
  <c r="AA17" i="88"/>
  <c r="Y27" i="88"/>
  <c r="Y56" i="88"/>
  <c r="Y36" i="88"/>
  <c r="U62" i="88"/>
  <c r="Y36" i="89"/>
  <c r="Y62" i="89" s="1"/>
  <c r="W62" i="89"/>
  <c r="Y59" i="88"/>
  <c r="AA20" i="88"/>
  <c r="AA59" i="88" s="1"/>
  <c r="Y38" i="89"/>
  <c r="Y64" i="89" s="1"/>
  <c r="W64" i="89"/>
  <c r="AR28" i="110" l="1"/>
  <c r="AP29" i="110"/>
  <c r="AR29" i="110" s="1"/>
  <c r="AV24" i="110" s="1"/>
  <c r="I18" i="91"/>
  <c r="W18" i="91" s="1"/>
  <c r="O18" i="115"/>
  <c r="E77" i="115" s="1"/>
  <c r="C60" i="91"/>
  <c r="G36" i="6"/>
  <c r="G40" i="6"/>
  <c r="H21" i="158"/>
  <c r="G115" i="124"/>
  <c r="G125" i="124" s="1"/>
  <c r="G35" i="139"/>
  <c r="G115" i="139" s="1"/>
  <c r="C109" i="158"/>
  <c r="H109" i="158" s="1"/>
  <c r="I45" i="124"/>
  <c r="H67" i="158"/>
  <c r="H22" i="158"/>
  <c r="AA28" i="129"/>
  <c r="O27" i="120" s="1"/>
  <c r="M27" i="120" s="1"/>
  <c r="P27" i="120" s="1"/>
  <c r="C68" i="158"/>
  <c r="H68" i="158" s="1"/>
  <c r="E42" i="78"/>
  <c r="K42" i="78" s="1"/>
  <c r="E42" i="79" s="1"/>
  <c r="AG42" i="70"/>
  <c r="E32" i="78"/>
  <c r="K32" i="78" s="1"/>
  <c r="E32" i="79" s="1"/>
  <c r="AG32" i="70"/>
  <c r="E32" i="6"/>
  <c r="AH32" i="70"/>
  <c r="E35" i="7"/>
  <c r="K35" i="7" s="1"/>
  <c r="AG35" i="70"/>
  <c r="E31" i="78"/>
  <c r="K31" i="78" s="1"/>
  <c r="E31" i="79" s="1"/>
  <c r="K31" i="79" s="1"/>
  <c r="AG31" i="70"/>
  <c r="E39" i="78"/>
  <c r="K39" i="78" s="1"/>
  <c r="E39" i="79" s="1"/>
  <c r="AG39" i="70"/>
  <c r="E40" i="7"/>
  <c r="AG40" i="70"/>
  <c r="E41" i="78"/>
  <c r="K41" i="78" s="1"/>
  <c r="E41" i="79" s="1"/>
  <c r="AG41" i="70"/>
  <c r="E31" i="6"/>
  <c r="K31" i="6" s="1"/>
  <c r="AH31" i="70"/>
  <c r="E33" i="78"/>
  <c r="K33" i="78" s="1"/>
  <c r="E33" i="79" s="1"/>
  <c r="AG33" i="70"/>
  <c r="E34" i="7"/>
  <c r="K34" i="7" s="1"/>
  <c r="AG34" i="70"/>
  <c r="E36" i="7"/>
  <c r="K36" i="7" s="1"/>
  <c r="AG36" i="70"/>
  <c r="E37" i="7"/>
  <c r="K37" i="7" s="1"/>
  <c r="AG37" i="70"/>
  <c r="E38" i="78"/>
  <c r="K38" i="78" s="1"/>
  <c r="E38" i="79" s="1"/>
  <c r="AG38" i="70"/>
  <c r="E33" i="6"/>
  <c r="K33" i="6" s="1"/>
  <c r="AH33" i="70"/>
  <c r="AA24" i="12"/>
  <c r="B147" i="136"/>
  <c r="AH32" i="69"/>
  <c r="C32" i="7"/>
  <c r="AG32" i="69"/>
  <c r="C39" i="7"/>
  <c r="AG39" i="69"/>
  <c r="B149" i="136"/>
  <c r="AH34" i="69"/>
  <c r="C37" i="7"/>
  <c r="AG37" i="69"/>
  <c r="B150" i="136"/>
  <c r="AH35" i="69"/>
  <c r="E43" i="77"/>
  <c r="K43" i="77" s="1"/>
  <c r="C43" i="79" s="1"/>
  <c r="AG43" i="69"/>
  <c r="C41" i="7"/>
  <c r="AG41" i="69"/>
  <c r="B148" i="136"/>
  <c r="AH33" i="69"/>
  <c r="B153" i="136"/>
  <c r="AH38" i="69"/>
  <c r="B151" i="136"/>
  <c r="AH36" i="69"/>
  <c r="B146" i="136"/>
  <c r="AH31" i="69"/>
  <c r="C38" i="7"/>
  <c r="AG38" i="69"/>
  <c r="C31" i="7"/>
  <c r="AG31" i="69"/>
  <c r="E34" i="77"/>
  <c r="K34" i="77" s="1"/>
  <c r="C34" i="79" s="1"/>
  <c r="AG34" i="69"/>
  <c r="B152" i="136"/>
  <c r="AH37" i="69"/>
  <c r="E44" i="77"/>
  <c r="K44" i="77" s="1"/>
  <c r="C44" i="79" s="1"/>
  <c r="AG44" i="69"/>
  <c r="B145" i="136"/>
  <c r="C144" i="136" s="1"/>
  <c r="AH30" i="69"/>
  <c r="E33" i="77"/>
  <c r="K33" i="77" s="1"/>
  <c r="C33" i="79" s="1"/>
  <c r="AG33" i="69"/>
  <c r="B154" i="136"/>
  <c r="C154" i="136" s="1"/>
  <c r="D154" i="136" s="1"/>
  <c r="AH39" i="69"/>
  <c r="E42" i="77"/>
  <c r="K42" i="77" s="1"/>
  <c r="C42" i="79" s="1"/>
  <c r="AG42" i="69"/>
  <c r="C40" i="7"/>
  <c r="AG40" i="69"/>
  <c r="C33" i="7"/>
  <c r="E34" i="78"/>
  <c r="K34" i="78" s="1"/>
  <c r="E34" i="79" s="1"/>
  <c r="O46" i="115"/>
  <c r="O46" i="94"/>
  <c r="S46" i="94" s="1"/>
  <c r="U46" i="94" s="1"/>
  <c r="C46" i="92"/>
  <c r="K46" i="91"/>
  <c r="I46" i="91"/>
  <c r="E31" i="77"/>
  <c r="K31" i="77" s="1"/>
  <c r="C31" i="79" s="1"/>
  <c r="K29" i="129"/>
  <c r="AA29" i="129" s="1"/>
  <c r="O28" i="120" s="1"/>
  <c r="M28" i="120" s="1"/>
  <c r="N28" i="120" s="1"/>
  <c r="Q28" i="120" s="1"/>
  <c r="C107" i="158"/>
  <c r="H107" i="158" s="1"/>
  <c r="H64" i="158"/>
  <c r="C30" i="6"/>
  <c r="C108" i="158"/>
  <c r="H108" i="158" s="1"/>
  <c r="H65" i="158"/>
  <c r="E33" i="7"/>
  <c r="K33" i="7" s="1"/>
  <c r="K33" i="72" s="1"/>
  <c r="G30" i="26"/>
  <c r="K30" i="26" s="1"/>
  <c r="K26" i="129"/>
  <c r="AA26" i="129" s="1"/>
  <c r="O25" i="120" s="1"/>
  <c r="M25" i="120" s="1"/>
  <c r="N25" i="120" s="1"/>
  <c r="Q25" i="120" s="1"/>
  <c r="E38" i="77"/>
  <c r="K38" i="77" s="1"/>
  <c r="C38" i="79" s="1"/>
  <c r="C44" i="7"/>
  <c r="C34" i="7"/>
  <c r="G38" i="26"/>
  <c r="K38" i="26" s="1"/>
  <c r="C36" i="6"/>
  <c r="E38" i="7"/>
  <c r="K38" i="7" s="1"/>
  <c r="E40" i="77"/>
  <c r="K40" i="77" s="1"/>
  <c r="C40" i="79" s="1"/>
  <c r="I115" i="124"/>
  <c r="I125" i="124" s="1"/>
  <c r="Y39" i="71"/>
  <c r="E39" i="71" s="1"/>
  <c r="Q30" i="102"/>
  <c r="Y37" i="71"/>
  <c r="E37" i="71" s="1"/>
  <c r="Q28" i="102"/>
  <c r="Y43" i="71"/>
  <c r="E43" i="71" s="1"/>
  <c r="Q34" i="102"/>
  <c r="Y40" i="71"/>
  <c r="E40" i="71" s="1"/>
  <c r="Q31" i="102"/>
  <c r="Y34" i="71"/>
  <c r="E34" i="71" s="1"/>
  <c r="Q25" i="102"/>
  <c r="Y41" i="71"/>
  <c r="E41" i="71" s="1"/>
  <c r="Q32" i="102"/>
  <c r="Y44" i="71"/>
  <c r="E44" i="71" s="1"/>
  <c r="Q35" i="102"/>
  <c r="C38" i="6"/>
  <c r="Y38" i="71"/>
  <c r="E38" i="71" s="1"/>
  <c r="Q29" i="102"/>
  <c r="Y42" i="71"/>
  <c r="E42" i="71" s="1"/>
  <c r="Q33" i="102"/>
  <c r="Y35" i="71"/>
  <c r="E35" i="71" s="1"/>
  <c r="Q26" i="102"/>
  <c r="Y36" i="71"/>
  <c r="E36" i="71" s="1"/>
  <c r="Q27" i="102"/>
  <c r="AA30" i="129"/>
  <c r="O29" i="120" s="1"/>
  <c r="M29" i="120" s="1"/>
  <c r="N29" i="120" s="1"/>
  <c r="Q29" i="120" s="1"/>
  <c r="AA25" i="129"/>
  <c r="O24" i="120" s="1"/>
  <c r="E36" i="78"/>
  <c r="K36" i="78" s="1"/>
  <c r="E36" i="79" s="1"/>
  <c r="AA27" i="129"/>
  <c r="O26" i="120" s="1"/>
  <c r="M26" i="120" s="1"/>
  <c r="N26" i="120" s="1"/>
  <c r="Q26" i="120" s="1"/>
  <c r="C42" i="7"/>
  <c r="G35" i="26"/>
  <c r="K35" i="26" s="1"/>
  <c r="C33" i="6"/>
  <c r="E40" i="78"/>
  <c r="K40" i="78" s="1"/>
  <c r="E40" i="79" s="1"/>
  <c r="G33" i="26"/>
  <c r="K33" i="26" s="1"/>
  <c r="G37" i="26"/>
  <c r="K37" i="26" s="1"/>
  <c r="C35" i="6"/>
  <c r="G39" i="26"/>
  <c r="K39" i="26" s="1"/>
  <c r="C39" i="6"/>
  <c r="E41" i="7"/>
  <c r="E37" i="78"/>
  <c r="K37" i="78" s="1"/>
  <c r="E37" i="79" s="1"/>
  <c r="E39" i="77"/>
  <c r="K39" i="77" s="1"/>
  <c r="C39" i="79" s="1"/>
  <c r="E32" i="7"/>
  <c r="K32" i="7" s="1"/>
  <c r="K32" i="72" s="1"/>
  <c r="E41" i="77"/>
  <c r="K41" i="77" s="1"/>
  <c r="C41" i="79" s="1"/>
  <c r="C43" i="7"/>
  <c r="G34" i="26"/>
  <c r="K34" i="26" s="1"/>
  <c r="E42" i="7"/>
  <c r="E31" i="7"/>
  <c r="K31" i="7" s="1"/>
  <c r="K31" i="72" s="1"/>
  <c r="E32" i="77"/>
  <c r="K32" i="77" s="1"/>
  <c r="C32" i="79" s="1"/>
  <c r="E35" i="78"/>
  <c r="K35" i="78" s="1"/>
  <c r="E35" i="79" s="1"/>
  <c r="E37" i="77"/>
  <c r="K37" i="77" s="1"/>
  <c r="C37" i="79" s="1"/>
  <c r="G32" i="26"/>
  <c r="C32" i="6"/>
  <c r="C37" i="6"/>
  <c r="E39" i="7"/>
  <c r="C34" i="6"/>
  <c r="E43" i="78"/>
  <c r="K43" i="78" s="1"/>
  <c r="E43" i="79" s="1"/>
  <c r="E43" i="7"/>
  <c r="E36" i="77"/>
  <c r="K36" i="77" s="1"/>
  <c r="C36" i="79" s="1"/>
  <c r="C36" i="7"/>
  <c r="G31" i="26"/>
  <c r="K31" i="26" s="1"/>
  <c r="C31" i="6"/>
  <c r="E35" i="77"/>
  <c r="K35" i="77" s="1"/>
  <c r="C35" i="79" s="1"/>
  <c r="C35" i="7"/>
  <c r="AC19" i="109"/>
  <c r="AC47" i="109" s="1"/>
  <c r="AE47" i="109" s="1"/>
  <c r="AC17" i="109"/>
  <c r="AC45" i="109" s="1"/>
  <c r="AC20" i="109"/>
  <c r="AC48" i="109" s="1"/>
  <c r="AE48" i="109" s="1"/>
  <c r="AC22" i="109"/>
  <c r="AC50" i="109" s="1"/>
  <c r="AE50" i="109" s="1"/>
  <c r="AC21" i="109"/>
  <c r="AC49" i="109" s="1"/>
  <c r="AE49" i="109" s="1"/>
  <c r="H35" i="139"/>
  <c r="H115" i="139" s="1"/>
  <c r="H125" i="139" s="1"/>
  <c r="H115" i="124"/>
  <c r="H125" i="124" s="1"/>
  <c r="J35" i="124"/>
  <c r="J45" i="124" s="1"/>
  <c r="J85" i="126"/>
  <c r="J127" i="126" s="1"/>
  <c r="H127" i="140"/>
  <c r="C133" i="140"/>
  <c r="J115" i="140"/>
  <c r="J125" i="140" s="1"/>
  <c r="J127" i="140" s="1"/>
  <c r="J45" i="140"/>
  <c r="I115" i="139"/>
  <c r="C29" i="16"/>
  <c r="I29" i="16" s="1"/>
  <c r="K29" i="16" s="1"/>
  <c r="C27" i="16"/>
  <c r="I27" i="16" s="1"/>
  <c r="K27" i="16" s="1"/>
  <c r="C28" i="16"/>
  <c r="I28" i="16" s="1"/>
  <c r="K28" i="16" s="1"/>
  <c r="C31" i="16"/>
  <c r="I31" i="16" s="1"/>
  <c r="K31" i="16" s="1"/>
  <c r="E25" i="8"/>
  <c r="I25" i="8" s="1"/>
  <c r="N35" i="127"/>
  <c r="N75" i="127" s="1"/>
  <c r="T25" i="15"/>
  <c r="M80" i="127"/>
  <c r="M120" i="127" s="1"/>
  <c r="P40" i="127"/>
  <c r="O78" i="127"/>
  <c r="O118" i="127" s="1"/>
  <c r="M38" i="127"/>
  <c r="N38" i="127" s="1"/>
  <c r="N43" i="127"/>
  <c r="M83" i="127"/>
  <c r="M123" i="127" s="1"/>
  <c r="P43" i="127"/>
  <c r="N77" i="127"/>
  <c r="N117" i="127" s="1"/>
  <c r="Q37" i="127"/>
  <c r="M77" i="127"/>
  <c r="M117" i="127" s="1"/>
  <c r="P37" i="127"/>
  <c r="P35" i="127"/>
  <c r="M75" i="127"/>
  <c r="M115" i="127" s="1"/>
  <c r="N40" i="127"/>
  <c r="W66" i="89"/>
  <c r="U66" i="88"/>
  <c r="Y57" i="89"/>
  <c r="Y66" i="89" s="1"/>
  <c r="M27" i="96" s="1"/>
  <c r="Y40" i="89"/>
  <c r="AA44" i="88"/>
  <c r="AA53" i="88" s="1"/>
  <c r="Y53" i="88"/>
  <c r="Y40" i="88"/>
  <c r="AA34" i="88"/>
  <c r="AA60" i="88" s="1"/>
  <c r="Y60" i="88"/>
  <c r="AA31" i="88"/>
  <c r="Y57" i="88"/>
  <c r="AA56" i="88"/>
  <c r="AA27" i="88"/>
  <c r="AA36" i="88"/>
  <c r="AA62" i="88" s="1"/>
  <c r="Y62" i="88"/>
  <c r="AA38" i="88"/>
  <c r="AA64" i="88" s="1"/>
  <c r="Y64" i="88"/>
  <c r="S18" i="115" l="1"/>
  <c r="U18" i="115" s="1"/>
  <c r="C18" i="92" s="1"/>
  <c r="I18" i="92" s="1"/>
  <c r="AT24" i="110"/>
  <c r="AV23" i="110"/>
  <c r="AT23" i="110" s="1"/>
  <c r="AV26" i="110"/>
  <c r="AT26" i="110" s="1"/>
  <c r="AV25" i="110"/>
  <c r="AT25" i="110" s="1"/>
  <c r="BB21" i="110"/>
  <c r="K38" i="72"/>
  <c r="K37" i="72"/>
  <c r="K36" i="72"/>
  <c r="K34" i="72"/>
  <c r="K35" i="72"/>
  <c r="K32" i="6"/>
  <c r="I32" i="72" s="1"/>
  <c r="M32" i="72" s="1"/>
  <c r="K31" i="12" s="1"/>
  <c r="AA31" i="12" s="1"/>
  <c r="S46" i="115"/>
  <c r="AE45" i="109"/>
  <c r="I60" i="91"/>
  <c r="W46" i="91"/>
  <c r="K60" i="91"/>
  <c r="C108" i="99" s="1"/>
  <c r="I108" i="99" s="1"/>
  <c r="M108" i="99" s="1"/>
  <c r="Y46" i="91"/>
  <c r="AI46" i="91" s="1"/>
  <c r="C152" i="136"/>
  <c r="D152" i="136" s="1"/>
  <c r="G39" i="6"/>
  <c r="G31" i="6"/>
  <c r="G37" i="6"/>
  <c r="G33" i="6"/>
  <c r="G30" i="6"/>
  <c r="G34" i="6"/>
  <c r="G35" i="6"/>
  <c r="G38" i="6"/>
  <c r="C111" i="158"/>
  <c r="H111" i="158" s="1"/>
  <c r="N27" i="120"/>
  <c r="Q27" i="120" s="1"/>
  <c r="R27" i="120" s="1"/>
  <c r="J115" i="124"/>
  <c r="J125" i="124" s="1"/>
  <c r="C146" i="136"/>
  <c r="D146" i="136" s="1"/>
  <c r="K32" i="26"/>
  <c r="I31" i="72"/>
  <c r="M31" i="72" s="1"/>
  <c r="C31" i="11" s="1"/>
  <c r="C48" i="6"/>
  <c r="O34" i="79"/>
  <c r="E33" i="12" s="1"/>
  <c r="O32" i="79"/>
  <c r="E31" i="12" s="1"/>
  <c r="K33" i="79"/>
  <c r="O33" i="79"/>
  <c r="E32" i="12" s="1"/>
  <c r="E33" i="129" s="1"/>
  <c r="G33" i="129" s="1"/>
  <c r="C149" i="136"/>
  <c r="D149" i="136" s="1"/>
  <c r="C153" i="136"/>
  <c r="D153" i="136" s="1"/>
  <c r="K32" i="79"/>
  <c r="C151" i="136"/>
  <c r="D151" i="136" s="1"/>
  <c r="C148" i="136"/>
  <c r="D148" i="136" s="1"/>
  <c r="AJ37" i="69"/>
  <c r="AK37" i="69" s="1"/>
  <c r="AJ33" i="69"/>
  <c r="AK33" i="69" s="1"/>
  <c r="AJ38" i="69"/>
  <c r="AK38" i="69" s="1"/>
  <c r="C147" i="136"/>
  <c r="D147" i="136" s="1"/>
  <c r="AJ33" i="70"/>
  <c r="AK33" i="70" s="1"/>
  <c r="AJ31" i="70"/>
  <c r="AK31" i="70" s="1"/>
  <c r="P28" i="120"/>
  <c r="R28" i="120" s="1"/>
  <c r="E41" i="6"/>
  <c r="AH41" i="70"/>
  <c r="AJ41" i="70" s="1"/>
  <c r="AK41" i="70" s="1"/>
  <c r="E36" i="6"/>
  <c r="K36" i="6" s="1"/>
  <c r="AH36" i="70"/>
  <c r="AJ36" i="70" s="1"/>
  <c r="AK36" i="70" s="1"/>
  <c r="AJ43" i="69"/>
  <c r="AK43" i="69" s="1"/>
  <c r="E34" i="6"/>
  <c r="K34" i="6" s="1"/>
  <c r="G77" i="72" s="1"/>
  <c r="AH34" i="70"/>
  <c r="AJ34" i="70" s="1"/>
  <c r="E35" i="6"/>
  <c r="K35" i="6" s="1"/>
  <c r="G78" i="72" s="1"/>
  <c r="AH35" i="70"/>
  <c r="AJ35" i="70" s="1"/>
  <c r="AK35" i="70" s="1"/>
  <c r="AJ30" i="69"/>
  <c r="AK30" i="69" s="1"/>
  <c r="E40" i="6"/>
  <c r="AH40" i="70"/>
  <c r="AJ40" i="70" s="1"/>
  <c r="AK40" i="70" s="1"/>
  <c r="E42" i="6"/>
  <c r="AH42" i="70"/>
  <c r="AJ42" i="70" s="1"/>
  <c r="AK42" i="70" s="1"/>
  <c r="AJ44" i="69"/>
  <c r="AK44" i="69" s="1"/>
  <c r="E43" i="6"/>
  <c r="AH43" i="70"/>
  <c r="AJ43" i="70" s="1"/>
  <c r="AK43" i="70" s="1"/>
  <c r="E38" i="6"/>
  <c r="K38" i="6" s="1"/>
  <c r="AH38" i="70"/>
  <c r="AJ38" i="70" s="1"/>
  <c r="AK38" i="70" s="1"/>
  <c r="AJ40" i="69"/>
  <c r="AK40" i="69" s="1"/>
  <c r="E37" i="6"/>
  <c r="K37" i="6" s="1"/>
  <c r="AH37" i="70"/>
  <c r="AJ37" i="70" s="1"/>
  <c r="AK37" i="70" s="1"/>
  <c r="AJ32" i="70"/>
  <c r="AK32" i="70" s="1"/>
  <c r="AJ42" i="69"/>
  <c r="AK42" i="69" s="1"/>
  <c r="AJ34" i="69"/>
  <c r="AK34" i="69" s="1"/>
  <c r="AJ39" i="69"/>
  <c r="AK39" i="69" s="1"/>
  <c r="E44" i="6"/>
  <c r="AH44" i="70"/>
  <c r="AJ44" i="70" s="1"/>
  <c r="AK44" i="70" s="1"/>
  <c r="E39" i="6"/>
  <c r="AH39" i="70"/>
  <c r="AJ39" i="70" s="1"/>
  <c r="AK39" i="70" s="1"/>
  <c r="AJ35" i="69"/>
  <c r="AK35" i="69" s="1"/>
  <c r="AJ31" i="69"/>
  <c r="AK31" i="69" s="1"/>
  <c r="AJ41" i="69"/>
  <c r="AK41" i="69" s="1"/>
  <c r="AJ32" i="69"/>
  <c r="AK32" i="69" s="1"/>
  <c r="AJ36" i="69"/>
  <c r="AK36" i="69" s="1"/>
  <c r="K34" i="79"/>
  <c r="C150" i="136"/>
  <c r="D150" i="136" s="1"/>
  <c r="I46" i="92"/>
  <c r="W46" i="92" s="1"/>
  <c r="K46" i="92"/>
  <c r="P25" i="120"/>
  <c r="R25" i="120" s="1"/>
  <c r="P29" i="120"/>
  <c r="R29" i="120" s="1"/>
  <c r="P26" i="120"/>
  <c r="R26" i="120" s="1"/>
  <c r="E46" i="7"/>
  <c r="AC25" i="109"/>
  <c r="AC53" i="109" s="1"/>
  <c r="AE53" i="109" s="1"/>
  <c r="AC24" i="109"/>
  <c r="K46" i="78"/>
  <c r="E46" i="79"/>
  <c r="C46" i="6"/>
  <c r="H45" i="139"/>
  <c r="D144" i="136"/>
  <c r="K46" i="77"/>
  <c r="C46" i="7"/>
  <c r="C46" i="79"/>
  <c r="C145" i="136"/>
  <c r="D145" i="136" s="1"/>
  <c r="AG22" i="94"/>
  <c r="AH22" i="94" s="1"/>
  <c r="C20" i="91"/>
  <c r="O20" i="115" s="1"/>
  <c r="S20" i="115" s="1"/>
  <c r="U20" i="115" s="1"/>
  <c r="C20" i="92" s="1"/>
  <c r="I20" i="92" s="1"/>
  <c r="AE20" i="109"/>
  <c r="AG23" i="94"/>
  <c r="C21" i="91"/>
  <c r="O21" i="115" s="1"/>
  <c r="E80" i="115" s="1"/>
  <c r="I80" i="115" s="1"/>
  <c r="AE17" i="109"/>
  <c r="C17" i="91"/>
  <c r="O17" i="115" s="1"/>
  <c r="S17" i="115" s="1"/>
  <c r="U17" i="115" s="1"/>
  <c r="C17" i="92" s="1"/>
  <c r="AG19" i="94"/>
  <c r="AG21" i="94"/>
  <c r="AH21" i="94" s="1"/>
  <c r="C19" i="91"/>
  <c r="O19" i="115" s="1"/>
  <c r="S19" i="115" s="1"/>
  <c r="U19" i="115" s="1"/>
  <c r="C19" i="92" s="1"/>
  <c r="K19" i="92" s="1"/>
  <c r="AE19" i="109"/>
  <c r="AG24" i="94"/>
  <c r="C22" i="91"/>
  <c r="O22" i="115" s="1"/>
  <c r="S22" i="115" s="1"/>
  <c r="U22" i="115" s="1"/>
  <c r="C22" i="92" s="1"/>
  <c r="K22" i="92" s="1"/>
  <c r="J35" i="139"/>
  <c r="J115" i="139" s="1"/>
  <c r="J125" i="139" s="1"/>
  <c r="K18" i="92"/>
  <c r="C60" i="92"/>
  <c r="Q35" i="127"/>
  <c r="N115" i="127"/>
  <c r="M24" i="120"/>
  <c r="N24" i="120" s="1"/>
  <c r="N83" i="127"/>
  <c r="N123" i="127" s="1"/>
  <c r="Q43" i="127"/>
  <c r="P77" i="127"/>
  <c r="P117" i="127" s="1"/>
  <c r="P80" i="127"/>
  <c r="P120" i="127" s="1"/>
  <c r="O82" i="127"/>
  <c r="O122" i="127" s="1"/>
  <c r="M42" i="127"/>
  <c r="N42" i="127" s="1"/>
  <c r="M36" i="127"/>
  <c r="N36" i="127" s="1"/>
  <c r="O76" i="127"/>
  <c r="O116" i="127" s="1"/>
  <c r="Q77" i="127"/>
  <c r="Q117" i="127" s="1"/>
  <c r="N80" i="127"/>
  <c r="N120" i="127" s="1"/>
  <c r="Q40" i="127"/>
  <c r="P83" i="127"/>
  <c r="P123" i="127" s="1"/>
  <c r="P75" i="127"/>
  <c r="P115" i="127" s="1"/>
  <c r="N78" i="127"/>
  <c r="N118" i="127" s="1"/>
  <c r="Q38" i="127"/>
  <c r="M78" i="127"/>
  <c r="M118" i="127" s="1"/>
  <c r="P38" i="127"/>
  <c r="Y66" i="88"/>
  <c r="AA57" i="88"/>
  <c r="AA66" i="88" s="1"/>
  <c r="AA40" i="88"/>
  <c r="C26" i="105"/>
  <c r="AC23" i="109" l="1"/>
  <c r="AC51" i="109" s="1"/>
  <c r="AE51" i="109" s="1"/>
  <c r="E81" i="115"/>
  <c r="I81" i="115" s="1"/>
  <c r="E78" i="115"/>
  <c r="E79" i="115"/>
  <c r="I79" i="115" s="1"/>
  <c r="G80" i="72"/>
  <c r="K80" i="72" s="1"/>
  <c r="G79" i="72"/>
  <c r="K79" i="72" s="1"/>
  <c r="G81" i="72"/>
  <c r="K81" i="72" s="1"/>
  <c r="K108" i="99"/>
  <c r="AI18" i="91"/>
  <c r="AI60" i="91" s="1"/>
  <c r="K78" i="72"/>
  <c r="K77" i="72"/>
  <c r="C46" i="166"/>
  <c r="AG26" i="94"/>
  <c r="AH26" i="94" s="1"/>
  <c r="AC52" i="109"/>
  <c r="U46" i="115"/>
  <c r="AK46" i="91"/>
  <c r="AK46" i="92" s="1"/>
  <c r="AI46" i="92"/>
  <c r="BT46" i="92" s="1"/>
  <c r="BW46" i="91"/>
  <c r="G32" i="6"/>
  <c r="G48" i="6" s="1"/>
  <c r="D161" i="136"/>
  <c r="E48" i="6"/>
  <c r="C28" i="158"/>
  <c r="C71" i="158" s="1"/>
  <c r="H71" i="158" s="1"/>
  <c r="E32" i="129"/>
  <c r="G32" i="129" s="1"/>
  <c r="G31" i="12"/>
  <c r="E32" i="13" s="1"/>
  <c r="I32" i="13" s="1"/>
  <c r="E34" i="129"/>
  <c r="G34" i="129" s="1"/>
  <c r="G33" i="12"/>
  <c r="E34" i="13" s="1"/>
  <c r="I34" i="13" s="1"/>
  <c r="C32" i="11"/>
  <c r="Q32" i="15"/>
  <c r="T32" i="15" s="1"/>
  <c r="O32" i="72"/>
  <c r="E32" i="8" s="1"/>
  <c r="I32" i="8" s="1"/>
  <c r="C33" i="105" s="1"/>
  <c r="AF32" i="11"/>
  <c r="G32" i="12"/>
  <c r="E33" i="13" s="1"/>
  <c r="I33" i="13" s="1"/>
  <c r="AK34" i="41"/>
  <c r="AK34" i="70"/>
  <c r="E46" i="6"/>
  <c r="K20" i="92"/>
  <c r="Y46" i="92"/>
  <c r="Y60" i="91"/>
  <c r="W60" i="91"/>
  <c r="I22" i="92"/>
  <c r="I19" i="92"/>
  <c r="AF31" i="11"/>
  <c r="C27" i="158"/>
  <c r="K32" i="129"/>
  <c r="AA32" i="129" s="1"/>
  <c r="O31" i="120" s="1"/>
  <c r="M31" i="120" s="1"/>
  <c r="P31" i="120" s="1"/>
  <c r="O31" i="12"/>
  <c r="O32" i="129" s="1"/>
  <c r="AE24" i="109"/>
  <c r="AG24" i="109" s="1"/>
  <c r="C24" i="91"/>
  <c r="O24" i="115" s="1"/>
  <c r="S24" i="115" s="1"/>
  <c r="U24" i="115" s="1"/>
  <c r="C24" i="92" s="1"/>
  <c r="K24" i="92" s="1"/>
  <c r="AE25" i="109"/>
  <c r="AG25" i="109" s="1"/>
  <c r="C25" i="91"/>
  <c r="O25" i="115" s="1"/>
  <c r="S25" i="115" s="1"/>
  <c r="U25" i="115" s="1"/>
  <c r="C25" i="92" s="1"/>
  <c r="K25" i="92" s="1"/>
  <c r="J45" i="139"/>
  <c r="C161" i="136"/>
  <c r="Q31" i="15"/>
  <c r="T31" i="15" s="1"/>
  <c r="O31" i="72"/>
  <c r="K30" i="12"/>
  <c r="C48" i="91"/>
  <c r="C62" i="91" s="1"/>
  <c r="AG20" i="109"/>
  <c r="C47" i="91"/>
  <c r="O47" i="115" s="1"/>
  <c r="AG19" i="109"/>
  <c r="C51" i="91"/>
  <c r="O51" i="115" s="1"/>
  <c r="S51" i="115" s="1"/>
  <c r="U51" i="115" s="1"/>
  <c r="AG17" i="109"/>
  <c r="I21" i="91"/>
  <c r="K21" i="91"/>
  <c r="K20" i="91"/>
  <c r="I20" i="91"/>
  <c r="W20" i="91" s="1"/>
  <c r="I19" i="91"/>
  <c r="W19" i="91" s="1"/>
  <c r="K19" i="91"/>
  <c r="AH19" i="94"/>
  <c r="K17" i="91"/>
  <c r="I17" i="91"/>
  <c r="W17" i="91" s="1"/>
  <c r="K22" i="91"/>
  <c r="I22" i="91"/>
  <c r="Q75" i="127"/>
  <c r="Q115" i="127" s="1"/>
  <c r="Q24" i="120"/>
  <c r="P24" i="120"/>
  <c r="Q80" i="127"/>
  <c r="Q120" i="127" s="1"/>
  <c r="Q78" i="127"/>
  <c r="Q118" i="127" s="1"/>
  <c r="Q83" i="127"/>
  <c r="Q123" i="127" s="1"/>
  <c r="N76" i="127"/>
  <c r="Q36" i="127"/>
  <c r="R75" i="127"/>
  <c r="R115" i="127" s="1"/>
  <c r="P78" i="127"/>
  <c r="P118" i="127" s="1"/>
  <c r="M76" i="127"/>
  <c r="P36" i="127"/>
  <c r="N82" i="127"/>
  <c r="N122" i="127" s="1"/>
  <c r="Q42" i="127"/>
  <c r="M82" i="127"/>
  <c r="M122" i="127" s="1"/>
  <c r="P42" i="127"/>
  <c r="R77" i="127"/>
  <c r="R117" i="127" s="1"/>
  <c r="K60" i="92"/>
  <c r="I60" i="92"/>
  <c r="I17" i="92"/>
  <c r="K17" i="92"/>
  <c r="M26" i="105"/>
  <c r="C26" i="67" s="1"/>
  <c r="O36" i="126" l="1"/>
  <c r="M36" i="126" s="1"/>
  <c r="P36" i="126" s="1"/>
  <c r="X20" i="131"/>
  <c r="E19" i="134" s="1"/>
  <c r="AG25" i="94"/>
  <c r="AH25" i="94" s="1"/>
  <c r="AE23" i="109"/>
  <c r="AG23" i="109" s="1"/>
  <c r="C23" i="91"/>
  <c r="C65" i="91" s="1"/>
  <c r="I25" i="92"/>
  <c r="I24" i="92"/>
  <c r="G18" i="93"/>
  <c r="C18" i="166"/>
  <c r="C60" i="166" s="1"/>
  <c r="O20" i="94"/>
  <c r="S20" i="94" s="1"/>
  <c r="U20" i="94" s="1"/>
  <c r="AK18" i="91"/>
  <c r="AK60" i="91" s="1"/>
  <c r="V36" i="15" s="1"/>
  <c r="AN18" i="91"/>
  <c r="AA28" i="158"/>
  <c r="AF28" i="158" s="1"/>
  <c r="M46" i="166"/>
  <c r="K46" i="166"/>
  <c r="K24" i="91"/>
  <c r="Y24" i="91" s="1"/>
  <c r="S47" i="115"/>
  <c r="AE52" i="109"/>
  <c r="C52" i="91" s="1"/>
  <c r="O52" i="94" s="1"/>
  <c r="S52" i="94" s="1"/>
  <c r="U52" i="94" s="1"/>
  <c r="C114" i="158"/>
  <c r="H114" i="158" s="1"/>
  <c r="O33" i="105"/>
  <c r="G33" i="67" s="1"/>
  <c r="H28" i="158"/>
  <c r="C53" i="91"/>
  <c r="AE31" i="12"/>
  <c r="H27" i="158"/>
  <c r="C70" i="158"/>
  <c r="M33" i="105"/>
  <c r="C33" i="67" s="1"/>
  <c r="N31" i="120"/>
  <c r="Q31" i="120" s="1"/>
  <c r="R31" i="120" s="1"/>
  <c r="I24" i="91"/>
  <c r="W24" i="91" s="1"/>
  <c r="AE32" i="129"/>
  <c r="O111" i="120" s="1"/>
  <c r="O71" i="120" s="1"/>
  <c r="N71" i="120" s="1"/>
  <c r="Q71" i="120" s="1"/>
  <c r="K25" i="91"/>
  <c r="I25" i="91"/>
  <c r="W25" i="91" s="1"/>
  <c r="E31" i="8"/>
  <c r="I31" i="8" s="1"/>
  <c r="C32" i="105" s="1"/>
  <c r="M32" i="105" s="1"/>
  <c r="C32" i="67" s="1"/>
  <c r="AA30" i="12"/>
  <c r="K31" i="129"/>
  <c r="O48" i="94"/>
  <c r="S48" i="94" s="1"/>
  <c r="U48" i="94" s="1"/>
  <c r="C48" i="92"/>
  <c r="C62" i="92" s="1"/>
  <c r="O48" i="115"/>
  <c r="S48" i="115" s="1"/>
  <c r="U48" i="115" s="1"/>
  <c r="K48" i="91"/>
  <c r="M48" i="91" s="1"/>
  <c r="I48" i="91"/>
  <c r="C61" i="91"/>
  <c r="O51" i="94"/>
  <c r="S51" i="94" s="1"/>
  <c r="U51" i="94" s="1"/>
  <c r="C51" i="92"/>
  <c r="I47" i="91"/>
  <c r="K47" i="91"/>
  <c r="M47" i="91" s="1"/>
  <c r="I51" i="91"/>
  <c r="O47" i="94"/>
  <c r="S47" i="94" s="1"/>
  <c r="U47" i="94" s="1"/>
  <c r="K51" i="91"/>
  <c r="C47" i="92"/>
  <c r="C61" i="92" s="1"/>
  <c r="Y19" i="91"/>
  <c r="Y20" i="91"/>
  <c r="Y17" i="91"/>
  <c r="N36" i="126"/>
  <c r="R24" i="120"/>
  <c r="M116" i="127"/>
  <c r="R83" i="127"/>
  <c r="P82" i="127"/>
  <c r="P122" i="127" s="1"/>
  <c r="R78" i="127"/>
  <c r="R118" i="127" s="1"/>
  <c r="Q82" i="127"/>
  <c r="Q122" i="127" s="1"/>
  <c r="Q76" i="127"/>
  <c r="R80" i="127"/>
  <c r="R120" i="127" s="1"/>
  <c r="N116" i="127"/>
  <c r="P76" i="127"/>
  <c r="P116" i="127" s="1"/>
  <c r="O22" i="67"/>
  <c r="O20" i="67"/>
  <c r="O19" i="67"/>
  <c r="C26" i="16"/>
  <c r="O17" i="67"/>
  <c r="AG29" i="94" l="1"/>
  <c r="O23" i="115"/>
  <c r="E82" i="115" s="1"/>
  <c r="K23" i="91"/>
  <c r="I23" i="91"/>
  <c r="I65" i="91" s="1"/>
  <c r="M51" i="91"/>
  <c r="W51" i="91" s="1"/>
  <c r="W48" i="115"/>
  <c r="BC48" i="91"/>
  <c r="M48" i="92"/>
  <c r="M62" i="91"/>
  <c r="BC62" i="91" s="1"/>
  <c r="AA48" i="91"/>
  <c r="AC48" i="91"/>
  <c r="V59" i="99"/>
  <c r="AB20" i="131"/>
  <c r="J32" i="158" s="1"/>
  <c r="K18" i="166"/>
  <c r="K60" i="166" s="1"/>
  <c r="M18" i="166"/>
  <c r="M60" i="166" s="1"/>
  <c r="W47" i="115"/>
  <c r="M47" i="92"/>
  <c r="M61" i="92" s="1"/>
  <c r="M61" i="91"/>
  <c r="BC61" i="91" s="1"/>
  <c r="AA47" i="91"/>
  <c r="AC47" i="91"/>
  <c r="O28" i="158"/>
  <c r="O71" i="158" s="1"/>
  <c r="O114" i="158" s="1"/>
  <c r="AA46" i="166"/>
  <c r="C99" i="105"/>
  <c r="C67" i="91"/>
  <c r="O53" i="115"/>
  <c r="S53" i="115" s="1"/>
  <c r="U53" i="115" s="1"/>
  <c r="U47" i="115"/>
  <c r="I62" i="91"/>
  <c r="W48" i="91"/>
  <c r="Y47" i="91"/>
  <c r="AI47" i="91" s="1"/>
  <c r="I61" i="91"/>
  <c r="W47" i="91"/>
  <c r="Y48" i="91"/>
  <c r="AI48" i="91" s="1"/>
  <c r="E33" i="67"/>
  <c r="Y33" i="105"/>
  <c r="C33" i="17" s="1"/>
  <c r="I33" i="17" s="1"/>
  <c r="K52" i="91"/>
  <c r="M52" i="91" s="1"/>
  <c r="I52" i="91"/>
  <c r="O52" i="115"/>
  <c r="S52" i="115" s="1"/>
  <c r="U52" i="115" s="1"/>
  <c r="C52" i="92"/>
  <c r="C66" i="92" s="1"/>
  <c r="C66" i="91"/>
  <c r="O53" i="94"/>
  <c r="S53" i="94" s="1"/>
  <c r="U53" i="94" s="1"/>
  <c r="C53" i="92"/>
  <c r="C67" i="92" s="1"/>
  <c r="I53" i="91"/>
  <c r="K53" i="91"/>
  <c r="C33" i="16"/>
  <c r="I33" i="16" s="1"/>
  <c r="K33" i="16" s="1"/>
  <c r="C113" i="158"/>
  <c r="H113" i="158" s="1"/>
  <c r="H70" i="158"/>
  <c r="AA31" i="129"/>
  <c r="O30" i="120" s="1"/>
  <c r="M30" i="120" s="1"/>
  <c r="P30" i="120" s="1"/>
  <c r="Y25" i="91"/>
  <c r="M71" i="120"/>
  <c r="C32" i="16"/>
  <c r="I32" i="16" s="1"/>
  <c r="K32" i="16" s="1"/>
  <c r="N111" i="120"/>
  <c r="Q111" i="120"/>
  <c r="K48" i="92"/>
  <c r="K62" i="92" s="1"/>
  <c r="I48" i="92"/>
  <c r="K62" i="91"/>
  <c r="K61" i="91"/>
  <c r="C109" i="99" s="1"/>
  <c r="I109" i="99" s="1"/>
  <c r="M109" i="99" s="1"/>
  <c r="I47" i="92"/>
  <c r="I51" i="92"/>
  <c r="K47" i="92"/>
  <c r="K61" i="92" s="1"/>
  <c r="K65" i="91"/>
  <c r="K51" i="92"/>
  <c r="Q36" i="126"/>
  <c r="R123" i="127"/>
  <c r="R76" i="127"/>
  <c r="R116" i="127" s="1"/>
  <c r="R82" i="127"/>
  <c r="Q116" i="127"/>
  <c r="O18" i="67"/>
  <c r="I26" i="16"/>
  <c r="W23" i="91" l="1"/>
  <c r="AI32" i="92"/>
  <c r="I82" i="115"/>
  <c r="I85" i="115" s="1"/>
  <c r="E85" i="115"/>
  <c r="AA48" i="92"/>
  <c r="AA62" i="91"/>
  <c r="AC48" i="92"/>
  <c r="AC62" i="91"/>
  <c r="W51" i="115"/>
  <c r="BC51" i="91"/>
  <c r="M51" i="92"/>
  <c r="W51" i="92" s="1"/>
  <c r="M65" i="91"/>
  <c r="BC65" i="91" s="1"/>
  <c r="AC51" i="91"/>
  <c r="AC51" i="92" s="1"/>
  <c r="AA51" i="91"/>
  <c r="AA51" i="92" s="1"/>
  <c r="Y51" i="91"/>
  <c r="C110" i="99"/>
  <c r="I110" i="99" s="1"/>
  <c r="I71" i="91"/>
  <c r="K71" i="91" s="1"/>
  <c r="C47" i="166"/>
  <c r="K47" i="166" s="1"/>
  <c r="AA47" i="166" s="1"/>
  <c r="C48" i="166"/>
  <c r="M48" i="166" s="1"/>
  <c r="K109" i="99"/>
  <c r="AI19" i="91"/>
  <c r="C19" i="166" s="1"/>
  <c r="AA18" i="166"/>
  <c r="AA60" i="166" s="1"/>
  <c r="AA85" i="166" s="1"/>
  <c r="T28" i="158"/>
  <c r="M53" i="91"/>
  <c r="W53" i="91" s="1"/>
  <c r="AC47" i="92"/>
  <c r="AC61" i="91"/>
  <c r="AA47" i="92"/>
  <c r="AA61" i="91"/>
  <c r="W52" i="115"/>
  <c r="M52" i="92"/>
  <c r="M66" i="92" s="1"/>
  <c r="M66" i="91"/>
  <c r="BC66" i="91" s="1"/>
  <c r="AC52" i="91"/>
  <c r="AA52" i="91"/>
  <c r="I61" i="92"/>
  <c r="W47" i="92"/>
  <c r="I62" i="92"/>
  <c r="W48" i="92"/>
  <c r="AQ46" i="166"/>
  <c r="Y61" i="91"/>
  <c r="M99" i="105"/>
  <c r="K66" i="91"/>
  <c r="C114" i="99" s="1"/>
  <c r="I114" i="99" s="1"/>
  <c r="Y52" i="91"/>
  <c r="AI52" i="91" s="1"/>
  <c r="AK48" i="91"/>
  <c r="AK48" i="92" s="1"/>
  <c r="AI48" i="92"/>
  <c r="BT48" i="92" s="1"/>
  <c r="BW48" i="91"/>
  <c r="Y48" i="92"/>
  <c r="I67" i="91"/>
  <c r="AK47" i="91"/>
  <c r="AK47" i="92" s="1"/>
  <c r="AI47" i="92"/>
  <c r="BT47" i="92" s="1"/>
  <c r="BW47" i="91"/>
  <c r="Y47" i="92"/>
  <c r="I52" i="92"/>
  <c r="W52" i="91"/>
  <c r="Y62" i="91"/>
  <c r="K67" i="91"/>
  <c r="C115" i="99" s="1"/>
  <c r="I115" i="99" s="1"/>
  <c r="K52" i="92"/>
  <c r="K66" i="92" s="1"/>
  <c r="I66" i="91"/>
  <c r="K53" i="92"/>
  <c r="K67" i="92" s="1"/>
  <c r="I53" i="92"/>
  <c r="AA114" i="158"/>
  <c r="AF114" i="158" s="1"/>
  <c r="T114" i="158"/>
  <c r="AA71" i="158"/>
  <c r="AF71" i="158" s="1"/>
  <c r="T71" i="158"/>
  <c r="N30" i="120"/>
  <c r="Q30" i="120" s="1"/>
  <c r="R30" i="120" s="1"/>
  <c r="W62" i="91"/>
  <c r="K33" i="17"/>
  <c r="W61" i="91"/>
  <c r="P71" i="120"/>
  <c r="M111" i="120"/>
  <c r="R36" i="126"/>
  <c r="R122" i="127"/>
  <c r="K26" i="16"/>
  <c r="AN19" i="91" l="1"/>
  <c r="AA32" i="92"/>
  <c r="BT32" i="92"/>
  <c r="AI51" i="91"/>
  <c r="Y51" i="92"/>
  <c r="AI61" i="91"/>
  <c r="O37" i="126" s="1"/>
  <c r="O21" i="94"/>
  <c r="S21" i="94" s="1"/>
  <c r="U21" i="94" s="1"/>
  <c r="AK19" i="91"/>
  <c r="AK61" i="91" s="1"/>
  <c r="V37" i="15" s="1"/>
  <c r="K48" i="166"/>
  <c r="AA48" i="166" s="1"/>
  <c r="C61" i="166"/>
  <c r="M47" i="166"/>
  <c r="M110" i="99"/>
  <c r="AI20" i="91" s="1"/>
  <c r="AQ18" i="166"/>
  <c r="AQ60" i="166" s="1"/>
  <c r="K110" i="99"/>
  <c r="K19" i="166"/>
  <c r="AA19" i="166" s="1"/>
  <c r="AA61" i="166" s="1"/>
  <c r="M19" i="166"/>
  <c r="AA52" i="92"/>
  <c r="AA66" i="91"/>
  <c r="AC52" i="92"/>
  <c r="AC66" i="91"/>
  <c r="W53" i="115"/>
  <c r="AA53" i="91"/>
  <c r="AC53" i="91"/>
  <c r="Y53" i="91"/>
  <c r="AI53" i="91" s="1"/>
  <c r="I66" i="92"/>
  <c r="W52" i="92"/>
  <c r="I67" i="92"/>
  <c r="AQ47" i="166"/>
  <c r="AK52" i="91"/>
  <c r="AK52" i="92" s="1"/>
  <c r="C52" i="166"/>
  <c r="Y52" i="92"/>
  <c r="Y66" i="91"/>
  <c r="M53" i="92"/>
  <c r="M67" i="92" s="1"/>
  <c r="M67" i="91"/>
  <c r="BC67" i="91" s="1"/>
  <c r="W66" i="91"/>
  <c r="W67" i="91"/>
  <c r="AI52" i="92"/>
  <c r="R71" i="120"/>
  <c r="P111" i="120"/>
  <c r="G19" i="93" l="1"/>
  <c r="X21" i="131"/>
  <c r="AK51" i="91"/>
  <c r="AK51" i="92" s="1"/>
  <c r="C51" i="166"/>
  <c r="AI51" i="92"/>
  <c r="AQ48" i="166"/>
  <c r="M61" i="166"/>
  <c r="K61" i="166"/>
  <c r="AA86" i="166" s="1"/>
  <c r="AQ19" i="166"/>
  <c r="AQ61" i="166" s="1"/>
  <c r="C20" i="166"/>
  <c r="AN20" i="91"/>
  <c r="O22" i="94"/>
  <c r="S22" i="94" s="1"/>
  <c r="U22" i="94" s="1"/>
  <c r="AK20" i="91"/>
  <c r="AK62" i="91" s="1"/>
  <c r="V38" i="15" s="1"/>
  <c r="AI62" i="91"/>
  <c r="X22" i="131" s="1"/>
  <c r="Y67" i="91"/>
  <c r="Y53" i="92"/>
  <c r="W53" i="92"/>
  <c r="M52" i="166"/>
  <c r="K52" i="166"/>
  <c r="AC53" i="92"/>
  <c r="AC67" i="91"/>
  <c r="AA53" i="92"/>
  <c r="AA67" i="91"/>
  <c r="AI53" i="92"/>
  <c r="AB21" i="131"/>
  <c r="J33" i="158" s="1"/>
  <c r="J76" i="158" s="1"/>
  <c r="J119" i="158" s="1"/>
  <c r="V60" i="99"/>
  <c r="V71" i="120"/>
  <c r="R111" i="120"/>
  <c r="E20" i="134"/>
  <c r="M37" i="126"/>
  <c r="M51" i="166" l="1"/>
  <c r="K51" i="166"/>
  <c r="K20" i="166"/>
  <c r="M20" i="166"/>
  <c r="M62" i="166" s="1"/>
  <c r="C62" i="166"/>
  <c r="AK53" i="91"/>
  <c r="AK53" i="92" s="1"/>
  <c r="C53" i="166"/>
  <c r="AA52" i="166"/>
  <c r="G72" i="128"/>
  <c r="I72" i="128" s="1"/>
  <c r="N37" i="126"/>
  <c r="P37" i="126"/>
  <c r="AA51" i="166" l="1"/>
  <c r="AA20" i="166"/>
  <c r="AA62" i="166" s="1"/>
  <c r="K62" i="166"/>
  <c r="M53" i="166"/>
  <c r="K53" i="166"/>
  <c r="AQ52" i="166"/>
  <c r="Q37" i="126"/>
  <c r="AQ51" i="166" l="1"/>
  <c r="AA87" i="166"/>
  <c r="AQ20" i="166"/>
  <c r="AQ62" i="166" s="1"/>
  <c r="AA53" i="166"/>
  <c r="AQ53" i="166" s="1"/>
  <c r="R37" i="126"/>
  <c r="C45" i="123"/>
  <c r="J115" i="123"/>
  <c r="I115" i="123" l="1"/>
  <c r="I125" i="123" s="1"/>
  <c r="G115" i="123"/>
  <c r="G125" i="123" s="1"/>
  <c r="J125" i="123"/>
  <c r="J127" i="139" s="1"/>
  <c r="D45" i="123"/>
  <c r="H115" i="123" l="1"/>
  <c r="H125" i="123" s="1"/>
  <c r="H127" i="139" s="1"/>
  <c r="BH85" i="91" l="1"/>
  <c r="BL85" i="91" l="1"/>
  <c r="BH119" i="91"/>
  <c r="I37" i="99"/>
  <c r="M37" i="99"/>
  <c r="BL119" i="91" l="1"/>
  <c r="AA23" i="94"/>
  <c r="AC23" i="94" l="1"/>
  <c r="W21" i="91"/>
  <c r="Y21" i="91" l="1"/>
  <c r="AA21" i="91"/>
  <c r="AC21" i="91"/>
  <c r="AE23" i="94"/>
  <c r="AH23" i="94"/>
  <c r="AE21" i="109" l="1"/>
  <c r="W21" i="115"/>
  <c r="S21" i="115"/>
  <c r="U21" i="115" s="1"/>
  <c r="C21" i="92" s="1"/>
  <c r="AG21" i="109" l="1"/>
  <c r="K21" i="92"/>
  <c r="I21" i="92"/>
  <c r="O79" i="127"/>
  <c r="O119" i="127" s="1"/>
  <c r="M39" i="127"/>
  <c r="N39" i="127" s="1"/>
  <c r="C49" i="91" l="1"/>
  <c r="N79" i="127"/>
  <c r="N119" i="127" s="1"/>
  <c r="Q39" i="127"/>
  <c r="Q79" i="127" s="1"/>
  <c r="Q119" i="127" s="1"/>
  <c r="P39" i="127"/>
  <c r="M79" i="127"/>
  <c r="M119" i="127" s="1"/>
  <c r="O49" i="94" l="1"/>
  <c r="C49" i="92"/>
  <c r="K49" i="91"/>
  <c r="C63" i="91"/>
  <c r="O49" i="115"/>
  <c r="I49" i="91"/>
  <c r="R79" i="127"/>
  <c r="R119" i="127" s="1"/>
  <c r="P79" i="127"/>
  <c r="P119" i="127" s="1"/>
  <c r="M49" i="91" l="1"/>
  <c r="BC49" i="91" s="1"/>
  <c r="S49" i="115"/>
  <c r="K49" i="92"/>
  <c r="K63" i="91"/>
  <c r="C111" i="99" s="1"/>
  <c r="I111" i="99" s="1"/>
  <c r="I49" i="92"/>
  <c r="I63" i="91"/>
  <c r="C63" i="92"/>
  <c r="S49" i="94"/>
  <c r="M111" i="99" l="1"/>
  <c r="K111" i="99"/>
  <c r="W49" i="115"/>
  <c r="M49" i="92"/>
  <c r="AA49" i="91"/>
  <c r="AC49" i="91"/>
  <c r="M63" i="91"/>
  <c r="BC63" i="91" s="1"/>
  <c r="Y49" i="91"/>
  <c r="AI49" i="91" s="1"/>
  <c r="W49" i="91"/>
  <c r="W63" i="91" s="1"/>
  <c r="K63" i="92"/>
  <c r="I63" i="92"/>
  <c r="U49" i="94"/>
  <c r="C28" i="95"/>
  <c r="O21" i="95"/>
  <c r="U49" i="115"/>
  <c r="O21" i="67"/>
  <c r="W49" i="92" l="1"/>
  <c r="AC49" i="92"/>
  <c r="AC63" i="91"/>
  <c r="AA49" i="92"/>
  <c r="AA63" i="91"/>
  <c r="AI21" i="91"/>
  <c r="Y49" i="92"/>
  <c r="Y63" i="91"/>
  <c r="O28" i="91"/>
  <c r="C21" i="166" l="1"/>
  <c r="AN21" i="91"/>
  <c r="AK21" i="91"/>
  <c r="O23" i="94"/>
  <c r="S23" i="94" s="1"/>
  <c r="U23" i="94" s="1"/>
  <c r="C49" i="166"/>
  <c r="AI63" i="91"/>
  <c r="AI49" i="92"/>
  <c r="AK49" i="91"/>
  <c r="AK49" i="92" s="1"/>
  <c r="BW49" i="91"/>
  <c r="Q65" i="91"/>
  <c r="Q28" i="91"/>
  <c r="O30" i="91" s="1"/>
  <c r="AE23" i="91"/>
  <c r="O65" i="91"/>
  <c r="E23" i="99"/>
  <c r="O39" i="126" l="1"/>
  <c r="X23" i="131"/>
  <c r="AB23" i="131" s="1"/>
  <c r="J35" i="158" s="1"/>
  <c r="AK63" i="91"/>
  <c r="V39" i="15" s="1"/>
  <c r="G21" i="93"/>
  <c r="M21" i="166"/>
  <c r="K21" i="166"/>
  <c r="M49" i="166"/>
  <c r="K49" i="166"/>
  <c r="C63" i="166"/>
  <c r="G23" i="90"/>
  <c r="S23" i="90" s="1"/>
  <c r="U37" i="117"/>
  <c r="E37" i="98" s="1"/>
  <c r="AE65" i="91"/>
  <c r="AE70" i="91" s="1"/>
  <c r="I22" i="81"/>
  <c r="M22" i="81" s="1"/>
  <c r="Z25" i="131"/>
  <c r="E22" i="134"/>
  <c r="M39" i="126"/>
  <c r="Q65" i="92"/>
  <c r="O65" i="92"/>
  <c r="O70" i="92" s="1"/>
  <c r="O28" i="92"/>
  <c r="AE23" i="92"/>
  <c r="AE65" i="92" s="1"/>
  <c r="O70" i="91"/>
  <c r="AE28" i="91"/>
  <c r="G37" i="90"/>
  <c r="E65" i="99"/>
  <c r="E28" i="99"/>
  <c r="U65" i="91"/>
  <c r="U70" i="91" s="1"/>
  <c r="U28" i="91"/>
  <c r="W25" i="94"/>
  <c r="S65" i="91"/>
  <c r="C113" i="99" s="1"/>
  <c r="I113" i="99" s="1"/>
  <c r="Y23" i="91"/>
  <c r="S28" i="91"/>
  <c r="AC23" i="91"/>
  <c r="AC65" i="91" s="1"/>
  <c r="AG23" i="91"/>
  <c r="AG65" i="91" s="1"/>
  <c r="G23" i="99"/>
  <c r="AA23" i="91"/>
  <c r="E23" i="98" l="1"/>
  <c r="E51" i="131"/>
  <c r="M63" i="166"/>
  <c r="M113" i="99"/>
  <c r="AI23" i="91" s="1"/>
  <c r="C23" i="166" s="1"/>
  <c r="V62" i="99"/>
  <c r="AA21" i="166"/>
  <c r="AQ21" i="166" s="1"/>
  <c r="K113" i="99"/>
  <c r="G23" i="95"/>
  <c r="S23" i="95" s="1"/>
  <c r="K63" i="166"/>
  <c r="AA49" i="166"/>
  <c r="AQ49" i="166" s="1"/>
  <c r="G23" i="81"/>
  <c r="I23" i="81" s="1"/>
  <c r="M23" i="81" s="1"/>
  <c r="S30" i="91"/>
  <c r="E23" i="90"/>
  <c r="Q23" i="90" s="1"/>
  <c r="S37" i="90"/>
  <c r="G37" i="95"/>
  <c r="G28" i="90"/>
  <c r="W65" i="91"/>
  <c r="P39" i="126"/>
  <c r="G42" i="90"/>
  <c r="AG25" i="131"/>
  <c r="AG31" i="131" s="1"/>
  <c r="E56" i="131"/>
  <c r="Z31" i="131"/>
  <c r="Z33" i="131" s="1"/>
  <c r="AA25" i="131"/>
  <c r="G23" i="98" s="1"/>
  <c r="N39" i="126"/>
  <c r="U56" i="116"/>
  <c r="AA87" i="84" s="1"/>
  <c r="AA89" i="84" s="1"/>
  <c r="E28" i="98"/>
  <c r="E29" i="98" s="1"/>
  <c r="S70" i="91"/>
  <c r="AE25" i="94"/>
  <c r="W29" i="94"/>
  <c r="AG70" i="91"/>
  <c r="AG28" i="91"/>
  <c r="Y65" i="91"/>
  <c r="AA65" i="91"/>
  <c r="G65" i="99"/>
  <c r="G28" i="99"/>
  <c r="I23" i="99"/>
  <c r="U42" i="116"/>
  <c r="G70" i="99" l="1"/>
  <c r="S22" i="130"/>
  <c r="AQ63" i="166"/>
  <c r="E23" i="95"/>
  <c r="Q23" i="95" s="1"/>
  <c r="G28" i="95"/>
  <c r="AA63" i="166"/>
  <c r="AA88" i="166" s="1"/>
  <c r="G72" i="166"/>
  <c r="K23" i="166"/>
  <c r="C65" i="166"/>
  <c r="M23" i="166"/>
  <c r="AI65" i="91"/>
  <c r="X25" i="131" s="1"/>
  <c r="AN23" i="91"/>
  <c r="BK29" i="131"/>
  <c r="Q39" i="126"/>
  <c r="S28" i="90"/>
  <c r="Q28" i="90"/>
  <c r="E28" i="90"/>
  <c r="S37" i="95"/>
  <c r="S42" i="95" s="1"/>
  <c r="G42" i="95"/>
  <c r="AA31" i="131"/>
  <c r="AA33" i="131" s="1"/>
  <c r="AI25" i="131"/>
  <c r="AI31" i="131" s="1"/>
  <c r="G51" i="131"/>
  <c r="G56" i="131" s="1"/>
  <c r="I23" i="98"/>
  <c r="I28" i="98" s="1"/>
  <c r="G28" i="98"/>
  <c r="G29" i="98" s="1"/>
  <c r="I28" i="99"/>
  <c r="I65" i="99"/>
  <c r="W42" i="116"/>
  <c r="O25" i="94"/>
  <c r="AK23" i="91"/>
  <c r="AK65" i="91" s="1"/>
  <c r="V41" i="15" s="1"/>
  <c r="W22" i="130" l="1"/>
  <c r="K23" i="132" s="1"/>
  <c r="Y42" i="116"/>
  <c r="AO37" i="116"/>
  <c r="AO42" i="116" s="1"/>
  <c r="M65" i="166"/>
  <c r="K65" i="166"/>
  <c r="AA23" i="166"/>
  <c r="AA65" i="166" s="1"/>
  <c r="AK56" i="116"/>
  <c r="R39" i="126"/>
  <c r="S42" i="90"/>
  <c r="O41" i="126"/>
  <c r="Q70" i="91"/>
  <c r="E72" i="166" s="1"/>
  <c r="E34" i="99"/>
  <c r="E42" i="99" s="1"/>
  <c r="G23" i="93"/>
  <c r="O81" i="127"/>
  <c r="O85" i="127" s="1"/>
  <c r="O45" i="127"/>
  <c r="M41" i="127"/>
  <c r="N41" i="127" s="1"/>
  <c r="S23" i="115"/>
  <c r="S25" i="94"/>
  <c r="AQ23" i="166" l="1"/>
  <c r="AQ65" i="166" s="1"/>
  <c r="AA90" i="166"/>
  <c r="E24" i="134"/>
  <c r="V64" i="99"/>
  <c r="AB25" i="131"/>
  <c r="J37" i="158" s="1"/>
  <c r="E62" i="99"/>
  <c r="I34" i="99"/>
  <c r="M34" i="99"/>
  <c r="E28" i="95"/>
  <c r="O121" i="127"/>
  <c r="O125" i="127" s="1"/>
  <c r="N45" i="127"/>
  <c r="Q41" i="127"/>
  <c r="N81" i="127"/>
  <c r="N85" i="127" s="1"/>
  <c r="U23" i="115"/>
  <c r="P41" i="127"/>
  <c r="M45" i="127"/>
  <c r="M81" i="127"/>
  <c r="M85" i="127" s="1"/>
  <c r="U25" i="94"/>
  <c r="E70" i="99" l="1"/>
  <c r="AE87" i="84"/>
  <c r="M41" i="126"/>
  <c r="I19" i="81"/>
  <c r="M19" i="81" s="1"/>
  <c r="M42" i="99"/>
  <c r="I62" i="99"/>
  <c r="I70" i="99" s="1"/>
  <c r="I42" i="99"/>
  <c r="Q20" i="95"/>
  <c r="Q28" i="95" s="1"/>
  <c r="S28" i="95"/>
  <c r="M121" i="127"/>
  <c r="M125" i="127" s="1"/>
  <c r="Q81" i="127"/>
  <c r="Q85" i="127" s="1"/>
  <c r="Q45" i="127"/>
  <c r="S37" i="127"/>
  <c r="T37" i="127" s="1"/>
  <c r="S35" i="127"/>
  <c r="T35" i="127" s="1"/>
  <c r="S40" i="127"/>
  <c r="T40" i="127" s="1"/>
  <c r="S39" i="127"/>
  <c r="T39" i="127" s="1"/>
  <c r="S42" i="127"/>
  <c r="T42" i="127" s="1"/>
  <c r="S41" i="127"/>
  <c r="T41" i="127" s="1"/>
  <c r="S44" i="127"/>
  <c r="T44" i="127" s="1"/>
  <c r="S38" i="127"/>
  <c r="T38" i="127" s="1"/>
  <c r="S43" i="127"/>
  <c r="T43" i="127" s="1"/>
  <c r="S36" i="127"/>
  <c r="T36" i="127" s="1"/>
  <c r="P45" i="127"/>
  <c r="P81" i="127"/>
  <c r="P85" i="127" s="1"/>
  <c r="N121" i="127"/>
  <c r="N125" i="127" s="1"/>
  <c r="C23" i="92"/>
  <c r="O38" i="126" l="1"/>
  <c r="G20" i="93"/>
  <c r="P41" i="126"/>
  <c r="N41" i="126"/>
  <c r="P121" i="127"/>
  <c r="P125" i="127" s="1"/>
  <c r="S75" i="127"/>
  <c r="S77" i="127"/>
  <c r="S76" i="127"/>
  <c r="S83" i="127"/>
  <c r="S78" i="127"/>
  <c r="S124" i="127"/>
  <c r="T124" i="127"/>
  <c r="C65" i="92"/>
  <c r="I23" i="92"/>
  <c r="K23" i="92"/>
  <c r="AI31" i="92" s="1"/>
  <c r="S81" i="127"/>
  <c r="S121" i="127" s="1"/>
  <c r="S82" i="127"/>
  <c r="S79" i="127"/>
  <c r="Q121" i="127"/>
  <c r="Q125" i="127" s="1"/>
  <c r="R81" i="127"/>
  <c r="R45" i="127"/>
  <c r="S80" i="127"/>
  <c r="BT31" i="92" l="1"/>
  <c r="AA31" i="92"/>
  <c r="AB22" i="131"/>
  <c r="J34" i="158" s="1"/>
  <c r="J77" i="158" s="1"/>
  <c r="J120" i="158" s="1"/>
  <c r="V61" i="99"/>
  <c r="E21" i="134"/>
  <c r="M38" i="126"/>
  <c r="R85" i="127"/>
  <c r="T81" i="127"/>
  <c r="T121" i="127" s="1"/>
  <c r="R121" i="127"/>
  <c r="R125" i="127" s="1"/>
  <c r="S119" i="127"/>
  <c r="T79" i="127"/>
  <c r="T119" i="127" s="1"/>
  <c r="S118" i="127"/>
  <c r="T78" i="127"/>
  <c r="T118" i="127" s="1"/>
  <c r="S117" i="127"/>
  <c r="T77" i="127"/>
  <c r="T117" i="127" s="1"/>
  <c r="S115" i="127"/>
  <c r="T75" i="127"/>
  <c r="S122" i="127"/>
  <c r="T82" i="127"/>
  <c r="T122" i="127" s="1"/>
  <c r="S123" i="127"/>
  <c r="T83" i="127"/>
  <c r="T123" i="127" s="1"/>
  <c r="S116" i="127"/>
  <c r="T76" i="127"/>
  <c r="T116" i="127" s="1"/>
  <c r="S120" i="127"/>
  <c r="T80" i="127"/>
  <c r="T120" i="127" s="1"/>
  <c r="Q41" i="126"/>
  <c r="I65" i="92"/>
  <c r="O23" i="67"/>
  <c r="S85" i="127"/>
  <c r="K65" i="92"/>
  <c r="J78" i="158" l="1"/>
  <c r="J121" i="158" s="1"/>
  <c r="N38" i="126"/>
  <c r="P38" i="126"/>
  <c r="T85" i="127"/>
  <c r="S125" i="127"/>
  <c r="R41" i="126"/>
  <c r="T125" i="127"/>
  <c r="Q38" i="126" l="1"/>
  <c r="R38" i="126" l="1"/>
  <c r="AI30" i="27" l="1"/>
  <c r="O24" i="67" l="1"/>
  <c r="AI31" i="27" l="1"/>
  <c r="AG33" i="27"/>
  <c r="Q69" i="133" l="1"/>
  <c r="O41" i="54" l="1"/>
  <c r="Q41" i="54"/>
  <c r="I41" i="53" l="1"/>
  <c r="G41" i="53"/>
  <c r="O55" i="121" l="1"/>
  <c r="N55" i="121" l="1"/>
  <c r="M55" i="121" s="1"/>
  <c r="M95" i="121" s="1"/>
  <c r="P95" i="121" l="1"/>
  <c r="R95" i="121" l="1"/>
  <c r="V55" i="121"/>
  <c r="N95" i="121" l="1"/>
  <c r="G124" i="123"/>
  <c r="G84" i="125"/>
  <c r="G124" i="125" s="1"/>
  <c r="I31" i="111" l="1"/>
  <c r="AE31" i="111" s="1"/>
  <c r="E28" i="83" l="1"/>
  <c r="I24" i="82" l="1"/>
  <c r="M24" i="82" s="1"/>
  <c r="I23" i="82" l="1"/>
  <c r="M23" i="82" s="1"/>
  <c r="O69" i="133" l="1"/>
  <c r="S69" i="133" l="1"/>
  <c r="I25" i="82"/>
  <c r="M25" i="82" s="1"/>
  <c r="D88" i="136" l="1"/>
  <c r="K38" i="93" l="1"/>
  <c r="K37" i="93"/>
  <c r="K36" i="93"/>
  <c r="K35" i="93"/>
  <c r="V40" i="93"/>
  <c r="K33" i="93"/>
  <c r="K34" i="93"/>
  <c r="U40" i="93"/>
  <c r="K31" i="93"/>
  <c r="K32" i="93"/>
  <c r="K40" i="93" l="1"/>
  <c r="G36" i="9" l="1"/>
  <c r="G37" i="9"/>
  <c r="G23" i="9" l="1"/>
  <c r="I23" i="9" s="1"/>
  <c r="G38" i="9"/>
  <c r="G22" i="9"/>
  <c r="I22" i="9" s="1"/>
  <c r="G20" i="9"/>
  <c r="I20" i="9" s="1"/>
  <c r="G16" i="9"/>
  <c r="I16" i="9" s="1"/>
  <c r="G17" i="9"/>
  <c r="I17" i="9" s="1"/>
  <c r="G21" i="9"/>
  <c r="I21" i="9" s="1"/>
  <c r="G18" i="9"/>
  <c r="I18" i="9" s="1"/>
  <c r="G19" i="9"/>
  <c r="I19" i="9" s="1"/>
  <c r="G39" i="9"/>
  <c r="G24" i="9"/>
  <c r="I24" i="9" s="1"/>
  <c r="G25" i="9"/>
  <c r="I25" i="9" s="1"/>
  <c r="C23" i="36" l="1"/>
  <c r="K23" i="36" s="1"/>
  <c r="I23" i="10" s="1"/>
  <c r="C23" i="35"/>
  <c r="K23" i="35" s="1"/>
  <c r="G23" i="10" s="1"/>
  <c r="C22" i="36"/>
  <c r="K22" i="36" s="1"/>
  <c r="I22" i="10" s="1"/>
  <c r="C22" i="35"/>
  <c r="K22" i="35" s="1"/>
  <c r="G22" i="10" s="1"/>
  <c r="C19" i="36"/>
  <c r="K19" i="36" s="1"/>
  <c r="I19" i="10" s="1"/>
  <c r="C19" i="35"/>
  <c r="K19" i="35" s="1"/>
  <c r="G19" i="10" s="1"/>
  <c r="C17" i="35"/>
  <c r="K17" i="35" s="1"/>
  <c r="G17" i="10" s="1"/>
  <c r="C17" i="36"/>
  <c r="K17" i="36" s="1"/>
  <c r="I17" i="10" s="1"/>
  <c r="C26" i="36"/>
  <c r="K26" i="36" s="1"/>
  <c r="I26" i="10" s="1"/>
  <c r="C26" i="35"/>
  <c r="K26" i="35" s="1"/>
  <c r="G26" i="10" s="1"/>
  <c r="C25" i="36"/>
  <c r="K25" i="36" s="1"/>
  <c r="I25" i="10" s="1"/>
  <c r="C25" i="35"/>
  <c r="K25" i="35" s="1"/>
  <c r="C24" i="35"/>
  <c r="K24" i="35" s="1"/>
  <c r="G24" i="10" s="1"/>
  <c r="C24" i="36"/>
  <c r="K24" i="36" s="1"/>
  <c r="I24" i="10" s="1"/>
  <c r="C21" i="36"/>
  <c r="K21" i="36" s="1"/>
  <c r="I21" i="10" s="1"/>
  <c r="C21" i="35"/>
  <c r="K21" i="35" s="1"/>
  <c r="G21" i="10" s="1"/>
  <c r="C18" i="35"/>
  <c r="K18" i="35" s="1"/>
  <c r="G18" i="10" s="1"/>
  <c r="C18" i="36"/>
  <c r="K18" i="36" s="1"/>
  <c r="I18" i="10" s="1"/>
  <c r="C20" i="36"/>
  <c r="K20" i="36" s="1"/>
  <c r="I20" i="10" s="1"/>
  <c r="C20" i="35"/>
  <c r="K20" i="35" s="1"/>
  <c r="G20" i="10" s="1"/>
  <c r="G15" i="9"/>
  <c r="I15" i="9" s="1"/>
  <c r="G25" i="10" l="1"/>
  <c r="C22" i="78"/>
  <c r="C20" i="78"/>
  <c r="C20" i="77"/>
  <c r="I20" i="77" s="1"/>
  <c r="G20" i="79" s="1"/>
  <c r="C19" i="78"/>
  <c r="C19" i="77"/>
  <c r="I19" i="77" s="1"/>
  <c r="G19" i="79" s="1"/>
  <c r="C16" i="35"/>
  <c r="C16" i="36"/>
  <c r="G41" i="9"/>
  <c r="G40" i="9"/>
  <c r="C22" i="77" l="1"/>
  <c r="I22" i="77" s="1"/>
  <c r="G22" i="79" s="1"/>
  <c r="C18" i="78"/>
  <c r="C23" i="78"/>
  <c r="I23" i="78" s="1"/>
  <c r="I23" i="79" s="1"/>
  <c r="C17" i="77"/>
  <c r="I17" i="77" s="1"/>
  <c r="G17" i="79" s="1"/>
  <c r="C17" i="78"/>
  <c r="O17" i="79" s="1"/>
  <c r="C21" i="77"/>
  <c r="I21" i="77" s="1"/>
  <c r="G21" i="79" s="1"/>
  <c r="C23" i="77"/>
  <c r="I23" i="77" s="1"/>
  <c r="G23" i="79" s="1"/>
  <c r="C18" i="77"/>
  <c r="I18" i="77" s="1"/>
  <c r="G18" i="79" s="1"/>
  <c r="C21" i="78"/>
  <c r="O21" i="79" s="1"/>
  <c r="K16" i="36"/>
  <c r="K16" i="35"/>
  <c r="G16" i="10" s="1"/>
  <c r="O19" i="79"/>
  <c r="I19" i="78"/>
  <c r="I19" i="79" s="1"/>
  <c r="O20" i="79"/>
  <c r="I20" i="78"/>
  <c r="I20" i="79" s="1"/>
  <c r="O18" i="79"/>
  <c r="I18" i="78"/>
  <c r="I18" i="79" s="1"/>
  <c r="O22" i="79"/>
  <c r="I22" i="78"/>
  <c r="I22" i="79" s="1"/>
  <c r="O23" i="79" l="1"/>
  <c r="E22" i="12" s="1"/>
  <c r="I21" i="78"/>
  <c r="I21" i="79" s="1"/>
  <c r="I17" i="78"/>
  <c r="I17" i="79" s="1"/>
  <c r="I16" i="10"/>
  <c r="C16" i="78"/>
  <c r="C16" i="77"/>
  <c r="E17" i="12"/>
  <c r="E16" i="12"/>
  <c r="E18" i="12"/>
  <c r="E21" i="12"/>
  <c r="E19" i="12"/>
  <c r="E20" i="12"/>
  <c r="G42" i="9" l="1"/>
  <c r="G43" i="9"/>
  <c r="E21" i="129"/>
  <c r="G21" i="129" s="1"/>
  <c r="O20" i="12"/>
  <c r="G20" i="12"/>
  <c r="E21" i="13" s="1"/>
  <c r="I21" i="13" s="1"/>
  <c r="E19" i="129"/>
  <c r="G19" i="129" s="1"/>
  <c r="G18" i="12"/>
  <c r="E19" i="13" s="1"/>
  <c r="I19" i="13" s="1"/>
  <c r="O18" i="12"/>
  <c r="E17" i="129"/>
  <c r="G17" i="129" s="1"/>
  <c r="G16" i="12"/>
  <c r="E17" i="13" s="1"/>
  <c r="I17" i="13" s="1"/>
  <c r="O16" i="12"/>
  <c r="E18" i="129"/>
  <c r="G18" i="129" s="1"/>
  <c r="G17" i="12"/>
  <c r="E18" i="13" s="1"/>
  <c r="I18" i="13" s="1"/>
  <c r="O17" i="12"/>
  <c r="E20" i="129"/>
  <c r="G20" i="129" s="1"/>
  <c r="G19" i="12"/>
  <c r="E20" i="13" s="1"/>
  <c r="I20" i="13" s="1"/>
  <c r="O19" i="12"/>
  <c r="E22" i="129"/>
  <c r="G22" i="129" s="1"/>
  <c r="G21" i="12"/>
  <c r="E22" i="13" s="1"/>
  <c r="I22" i="13" s="1"/>
  <c r="O21" i="12"/>
  <c r="E23" i="129"/>
  <c r="G23" i="129" s="1"/>
  <c r="G22" i="12"/>
  <c r="E23" i="13" s="1"/>
  <c r="I23" i="13" s="1"/>
  <c r="O22" i="12"/>
  <c r="I16" i="77"/>
  <c r="O16" i="79"/>
  <c r="I16" i="78"/>
  <c r="O20" i="105" l="1"/>
  <c r="Y20" i="105" s="1"/>
  <c r="O18" i="105"/>
  <c r="Y18" i="105" s="1"/>
  <c r="O22" i="105"/>
  <c r="C88" i="105" s="1"/>
  <c r="O21" i="105"/>
  <c r="C87" i="105" s="1"/>
  <c r="O23" i="105"/>
  <c r="Y23" i="105" s="1"/>
  <c r="O24" i="105"/>
  <c r="G24" i="67" s="1"/>
  <c r="O19" i="105"/>
  <c r="Y19" i="105" s="1"/>
  <c r="I16" i="79"/>
  <c r="AE22" i="12"/>
  <c r="O23" i="129"/>
  <c r="E15" i="12"/>
  <c r="AE18" i="12"/>
  <c r="O19" i="129"/>
  <c r="AE21" i="12"/>
  <c r="O22" i="129"/>
  <c r="G16" i="79"/>
  <c r="AE19" i="12"/>
  <c r="O20" i="129"/>
  <c r="O18" i="129"/>
  <c r="AE17" i="12"/>
  <c r="AE20" i="12"/>
  <c r="O21" i="129"/>
  <c r="O17" i="129"/>
  <c r="AE16" i="12"/>
  <c r="AA13" i="158" l="1"/>
  <c r="O13" i="158" s="1"/>
  <c r="AR17" i="129"/>
  <c r="AT17" i="129" s="1"/>
  <c r="AA17" i="158"/>
  <c r="AR21" i="129"/>
  <c r="AT21" i="129" s="1"/>
  <c r="AA15" i="158"/>
  <c r="O15" i="158" s="1"/>
  <c r="AR19" i="129"/>
  <c r="AT19" i="129" s="1"/>
  <c r="AA14" i="158"/>
  <c r="O14" i="158" s="1"/>
  <c r="AR18" i="129"/>
  <c r="AT18" i="129" s="1"/>
  <c r="AA19" i="158"/>
  <c r="O19" i="158" s="1"/>
  <c r="AR23" i="129"/>
  <c r="AT23" i="129" s="1"/>
  <c r="AA16" i="158"/>
  <c r="O16" i="158" s="1"/>
  <c r="AR20" i="129"/>
  <c r="AT20" i="129" s="1"/>
  <c r="AA18" i="158"/>
  <c r="AF18" i="158" s="1"/>
  <c r="AR22" i="129"/>
  <c r="AT22" i="129" s="1"/>
  <c r="O17" i="158"/>
  <c r="AF17" i="158"/>
  <c r="G19" i="67"/>
  <c r="E19" i="67" s="1"/>
  <c r="G23" i="67"/>
  <c r="E23" i="67" s="1"/>
  <c r="G18" i="67"/>
  <c r="E18" i="67" s="1"/>
  <c r="C86" i="105"/>
  <c r="G20" i="67"/>
  <c r="E20" i="67" s="1"/>
  <c r="AE17" i="129"/>
  <c r="O96" i="120" s="1"/>
  <c r="O56" i="120" s="1"/>
  <c r="N56" i="120" s="1"/>
  <c r="M56" i="120" s="1"/>
  <c r="AG18" i="157"/>
  <c r="Y22" i="105"/>
  <c r="M88" i="105" s="1"/>
  <c r="C85" i="105"/>
  <c r="C84" i="105"/>
  <c r="AE21" i="129"/>
  <c r="O100" i="120" s="1"/>
  <c r="O60" i="120" s="1"/>
  <c r="N60" i="120" s="1"/>
  <c r="M60" i="120" s="1"/>
  <c r="AG22" i="157"/>
  <c r="AE18" i="129"/>
  <c r="O97" i="120" s="1"/>
  <c r="O57" i="120" s="1"/>
  <c r="N57" i="120" s="1"/>
  <c r="M57" i="120" s="1"/>
  <c r="AG19" i="157"/>
  <c r="AE22" i="129"/>
  <c r="O101" i="120" s="1"/>
  <c r="O61" i="120" s="1"/>
  <c r="N61" i="120" s="1"/>
  <c r="M61" i="120" s="1"/>
  <c r="AG23" i="157"/>
  <c r="AE19" i="129"/>
  <c r="O98" i="120" s="1"/>
  <c r="O58" i="120" s="1"/>
  <c r="N58" i="120" s="1"/>
  <c r="M58" i="120" s="1"/>
  <c r="AG20" i="157"/>
  <c r="AE20" i="129"/>
  <c r="O99" i="120" s="1"/>
  <c r="O59" i="120" s="1"/>
  <c r="N59" i="120" s="1"/>
  <c r="M59" i="120" s="1"/>
  <c r="AG21" i="157"/>
  <c r="AE23" i="129"/>
  <c r="O102" i="120" s="1"/>
  <c r="O62" i="120" s="1"/>
  <c r="N62" i="120" s="1"/>
  <c r="M62" i="120" s="1"/>
  <c r="AG24" i="157"/>
  <c r="Y24" i="105"/>
  <c r="M90" i="105" s="1"/>
  <c r="C90" i="105"/>
  <c r="G21" i="67"/>
  <c r="E21" i="67" s="1"/>
  <c r="Y21" i="105"/>
  <c r="M87" i="105" s="1"/>
  <c r="C89" i="105"/>
  <c r="G22" i="67"/>
  <c r="E22" i="67" s="1"/>
  <c r="C23" i="17"/>
  <c r="M89" i="105"/>
  <c r="M84" i="105"/>
  <c r="C18" i="17"/>
  <c r="Q44" i="54"/>
  <c r="I44" i="53" s="1"/>
  <c r="Q44" i="28"/>
  <c r="E44" i="53" s="1"/>
  <c r="K44" i="53" s="1"/>
  <c r="E24" i="67"/>
  <c r="C20" i="17"/>
  <c r="M86" i="105"/>
  <c r="C19" i="17"/>
  <c r="M85" i="105"/>
  <c r="E16" i="129"/>
  <c r="G16" i="129" s="1"/>
  <c r="O15" i="12"/>
  <c r="G15" i="12"/>
  <c r="E16" i="13" s="1"/>
  <c r="I16" i="13" s="1"/>
  <c r="AF13" i="158" l="1"/>
  <c r="O18" i="158"/>
  <c r="O61" i="158" s="1"/>
  <c r="O104" i="158" s="1"/>
  <c r="AF16" i="158"/>
  <c r="AF15" i="158"/>
  <c r="AF14" i="158"/>
  <c r="AF19" i="158"/>
  <c r="C22" i="17"/>
  <c r="I22" i="17" s="1"/>
  <c r="O57" i="158"/>
  <c r="O100" i="158" s="1"/>
  <c r="T14" i="158"/>
  <c r="O56" i="158"/>
  <c r="T13" i="158"/>
  <c r="T15" i="158"/>
  <c r="O58" i="158"/>
  <c r="O101" i="158" s="1"/>
  <c r="O59" i="158"/>
  <c r="O102" i="158" s="1"/>
  <c r="T16" i="158"/>
  <c r="O62" i="158"/>
  <c r="T19" i="158"/>
  <c r="T18" i="158"/>
  <c r="O60" i="158"/>
  <c r="T17" i="158"/>
  <c r="C24" i="17"/>
  <c r="I24" i="17" s="1"/>
  <c r="C21" i="17"/>
  <c r="I21" i="17" s="1"/>
  <c r="S24" i="157"/>
  <c r="AC24" i="157" s="1"/>
  <c r="AQ24" i="157"/>
  <c r="S22" i="157"/>
  <c r="AC22" i="157" s="1"/>
  <c r="AQ22" i="157"/>
  <c r="S21" i="157"/>
  <c r="AC21" i="157" s="1"/>
  <c r="AQ21" i="157"/>
  <c r="S20" i="157"/>
  <c r="AC20" i="157" s="1"/>
  <c r="AQ20" i="157"/>
  <c r="S18" i="157"/>
  <c r="AC18" i="157" s="1"/>
  <c r="AQ18" i="157"/>
  <c r="S23" i="157"/>
  <c r="AC23" i="157" s="1"/>
  <c r="AQ23" i="157"/>
  <c r="S19" i="157"/>
  <c r="AC19" i="157" s="1"/>
  <c r="AQ19" i="157"/>
  <c r="M100" i="120"/>
  <c r="P60" i="120"/>
  <c r="P61" i="120"/>
  <c r="M101" i="120"/>
  <c r="C44" i="23"/>
  <c r="C44" i="118"/>
  <c r="C44" i="133"/>
  <c r="K19" i="17"/>
  <c r="I19" i="17"/>
  <c r="Q43" i="55"/>
  <c r="Q43" i="27"/>
  <c r="Q61" i="120"/>
  <c r="Q101" i="120" s="1"/>
  <c r="N101" i="120"/>
  <c r="P57" i="120"/>
  <c r="M97" i="120"/>
  <c r="Q57" i="120"/>
  <c r="Q97" i="120" s="1"/>
  <c r="N97" i="120"/>
  <c r="O16" i="129"/>
  <c r="AR16" i="129" s="1"/>
  <c r="AE15" i="12"/>
  <c r="K20" i="17"/>
  <c r="I20" i="17"/>
  <c r="P56" i="120"/>
  <c r="M96" i="120"/>
  <c r="Q56" i="120"/>
  <c r="Q96" i="120" s="1"/>
  <c r="N96" i="120"/>
  <c r="Q60" i="120"/>
  <c r="Q100" i="120" s="1"/>
  <c r="N100" i="120"/>
  <c r="I18" i="17"/>
  <c r="K18" i="17"/>
  <c r="P58" i="120"/>
  <c r="M98" i="120"/>
  <c r="Q58" i="120"/>
  <c r="Q98" i="120" s="1"/>
  <c r="N98" i="120"/>
  <c r="P59" i="120"/>
  <c r="M99" i="120"/>
  <c r="P62" i="120"/>
  <c r="M102" i="120"/>
  <c r="Q59" i="120"/>
  <c r="Q99" i="120" s="1"/>
  <c r="N99" i="120"/>
  <c r="Q62" i="120"/>
  <c r="Q102" i="120" s="1"/>
  <c r="N102" i="120"/>
  <c r="I23" i="17"/>
  <c r="K23" i="17"/>
  <c r="Q44" i="55"/>
  <c r="I44" i="56" s="1"/>
  <c r="Q44" i="27"/>
  <c r="E44" i="56" s="1"/>
  <c r="AT16" i="129" l="1"/>
  <c r="K22" i="17"/>
  <c r="K21" i="17"/>
  <c r="K24" i="17"/>
  <c r="AA101" i="158"/>
  <c r="AF101" i="158" s="1"/>
  <c r="T101" i="158"/>
  <c r="AA58" i="158"/>
  <c r="AF58" i="158" s="1"/>
  <c r="T58" i="158"/>
  <c r="O105" i="158"/>
  <c r="AA62" i="158"/>
  <c r="AF62" i="158" s="1"/>
  <c r="T62" i="158"/>
  <c r="O99" i="158"/>
  <c r="AA56" i="158"/>
  <c r="AF56" i="158" s="1"/>
  <c r="T56" i="158"/>
  <c r="AG17" i="157"/>
  <c r="S17" i="157" s="1"/>
  <c r="AA12" i="158"/>
  <c r="O103" i="158"/>
  <c r="AA60" i="158"/>
  <c r="AF60" i="158" s="1"/>
  <c r="T60" i="158"/>
  <c r="AA104" i="158"/>
  <c r="AF104" i="158" s="1"/>
  <c r="T104" i="158"/>
  <c r="AA102" i="158"/>
  <c r="AF102" i="158" s="1"/>
  <c r="T102" i="158"/>
  <c r="AA61" i="158"/>
  <c r="AF61" i="158" s="1"/>
  <c r="T61" i="158"/>
  <c r="AA59" i="158"/>
  <c r="AF59" i="158" s="1"/>
  <c r="T59" i="158"/>
  <c r="AA100" i="158"/>
  <c r="AF100" i="158" s="1"/>
  <c r="T100" i="158"/>
  <c r="AA57" i="158"/>
  <c r="AF57" i="158" s="1"/>
  <c r="T57" i="158"/>
  <c r="M44" i="56"/>
  <c r="R58" i="120"/>
  <c r="P98" i="120"/>
  <c r="R56" i="120"/>
  <c r="P96" i="120"/>
  <c r="P99" i="120"/>
  <c r="R59" i="120"/>
  <c r="E43" i="56"/>
  <c r="M43" i="56" s="1"/>
  <c r="AE16" i="129"/>
  <c r="C63" i="133"/>
  <c r="R61" i="120"/>
  <c r="P101" i="120"/>
  <c r="P97" i="120"/>
  <c r="R57" i="120"/>
  <c r="C63" i="118"/>
  <c r="O44" i="118"/>
  <c r="AB34" i="158" s="1"/>
  <c r="C63" i="23"/>
  <c r="O44" i="23"/>
  <c r="O63" i="23" s="1"/>
  <c r="Q39" i="105"/>
  <c r="Q43" i="28"/>
  <c r="Q43" i="54"/>
  <c r="P100" i="120"/>
  <c r="R60" i="120"/>
  <c r="R62" i="120"/>
  <c r="P102" i="120"/>
  <c r="I43" i="56"/>
  <c r="Q190" i="105" l="1"/>
  <c r="Q53" i="105"/>
  <c r="AB44" i="56"/>
  <c r="Q44" i="56"/>
  <c r="AB43" i="56"/>
  <c r="Q43" i="56"/>
  <c r="P34" i="158"/>
  <c r="AA99" i="158"/>
  <c r="AF99" i="158" s="1"/>
  <c r="T99" i="158"/>
  <c r="AA105" i="158"/>
  <c r="AF105" i="158" s="1"/>
  <c r="T105" i="158"/>
  <c r="AA103" i="158"/>
  <c r="AF103" i="158" s="1"/>
  <c r="T103" i="158"/>
  <c r="O12" i="158"/>
  <c r="AF12" i="158"/>
  <c r="AC17" i="157"/>
  <c r="AQ17" i="157"/>
  <c r="E43" i="53"/>
  <c r="V61" i="120"/>
  <c r="R101" i="120"/>
  <c r="O17" i="105"/>
  <c r="Y17" i="105" s="1"/>
  <c r="V62" i="120"/>
  <c r="R102" i="120"/>
  <c r="I43" i="53"/>
  <c r="O63" i="118"/>
  <c r="O117" i="121"/>
  <c r="O77" i="121" s="1"/>
  <c r="O95" i="120"/>
  <c r="V56" i="120"/>
  <c r="R96" i="120"/>
  <c r="V60" i="120"/>
  <c r="R100" i="120"/>
  <c r="Q48" i="54"/>
  <c r="I48" i="53" s="1"/>
  <c r="Q48" i="28"/>
  <c r="E48" i="53" s="1"/>
  <c r="V57" i="120"/>
  <c r="R97" i="120"/>
  <c r="E105" i="105"/>
  <c r="V59" i="120"/>
  <c r="R99" i="120"/>
  <c r="V58" i="120"/>
  <c r="R98" i="120"/>
  <c r="P77" i="158" l="1"/>
  <c r="P120" i="158" s="1"/>
  <c r="O55" i="158"/>
  <c r="O98" i="158" s="1"/>
  <c r="T12" i="158"/>
  <c r="O55" i="120"/>
  <c r="C83" i="105"/>
  <c r="G17" i="67"/>
  <c r="K43" i="53"/>
  <c r="N77" i="121"/>
  <c r="M77" i="121" s="1"/>
  <c r="AB120" i="158" l="1"/>
  <c r="AB77" i="158"/>
  <c r="AA98" i="158"/>
  <c r="T98" i="158"/>
  <c r="AA55" i="158"/>
  <c r="T55" i="158"/>
  <c r="P77" i="121"/>
  <c r="M117" i="121"/>
  <c r="C43" i="118"/>
  <c r="C43" i="23"/>
  <c r="C43" i="133"/>
  <c r="M83" i="105"/>
  <c r="C17" i="17"/>
  <c r="Q77" i="121"/>
  <c r="Q117" i="121" s="1"/>
  <c r="N117" i="121"/>
  <c r="E17" i="67"/>
  <c r="N55" i="120"/>
  <c r="M55" i="120" s="1"/>
  <c r="AF55" i="158" l="1"/>
  <c r="AF98" i="158"/>
  <c r="P55" i="120"/>
  <c r="M95" i="120"/>
  <c r="C62" i="133"/>
  <c r="Q38" i="105"/>
  <c r="O43" i="23"/>
  <c r="C62" i="23"/>
  <c r="C62" i="118"/>
  <c r="O43" i="118"/>
  <c r="AB33" i="158" s="1"/>
  <c r="K17" i="17"/>
  <c r="I17" i="17"/>
  <c r="Q55" i="120"/>
  <c r="N95" i="120"/>
  <c r="R77" i="121"/>
  <c r="P117" i="121"/>
  <c r="Q189" i="105" l="1"/>
  <c r="P33" i="158"/>
  <c r="V77" i="121"/>
  <c r="R117" i="121"/>
  <c r="O62" i="23"/>
  <c r="E104" i="105"/>
  <c r="Q95" i="120"/>
  <c r="O62" i="118"/>
  <c r="O116" i="121"/>
  <c r="R55" i="120"/>
  <c r="P95" i="120"/>
  <c r="P76" i="158" l="1"/>
  <c r="O76" i="121"/>
  <c r="V55" i="120"/>
  <c r="R95" i="120"/>
  <c r="P119" i="158" l="1"/>
  <c r="AB76" i="158"/>
  <c r="N76" i="121"/>
  <c r="AB119" i="158" l="1"/>
  <c r="M76" i="121"/>
  <c r="Q76" i="121"/>
  <c r="N116" i="121"/>
  <c r="M63" i="92"/>
  <c r="Q116" i="121" l="1"/>
  <c r="P76" i="121"/>
  <c r="M116" i="121"/>
  <c r="R76" i="121" l="1"/>
  <c r="P116" i="121"/>
  <c r="V76" i="121" l="1"/>
  <c r="R116" i="121"/>
  <c r="V17" i="118" l="1"/>
  <c r="AB17" i="118" s="1"/>
  <c r="Z17" i="118" l="1"/>
  <c r="AF17" i="118" s="1"/>
  <c r="V33" i="118"/>
  <c r="I17" i="111"/>
  <c r="C33" i="111"/>
  <c r="Z33" i="118"/>
  <c r="AE17" i="111" l="1"/>
  <c r="I33" i="111"/>
  <c r="AG17" i="111" l="1"/>
  <c r="K17" i="107" l="1"/>
  <c r="C17" i="28" s="1"/>
  <c r="C17" i="54" l="1"/>
  <c r="G17" i="54" s="1"/>
  <c r="M17" i="107"/>
  <c r="G17" i="28"/>
  <c r="G18" i="108"/>
  <c r="O17" i="28" l="1"/>
  <c r="C36" i="54"/>
  <c r="G36" i="54" s="1"/>
  <c r="C36" i="28"/>
  <c r="O17" i="54"/>
  <c r="C17" i="53" l="1"/>
  <c r="G17" i="53"/>
  <c r="G36" i="28"/>
  <c r="O36" i="28" l="1"/>
  <c r="O36" i="54"/>
  <c r="C36" i="53" l="1"/>
  <c r="G36" i="53"/>
  <c r="P45" i="121" l="1"/>
  <c r="R45" i="121" l="1"/>
  <c r="G51" i="18" l="1"/>
  <c r="Y44" i="79" l="1"/>
  <c r="AA42" i="79"/>
  <c r="AC42" i="79" s="1"/>
  <c r="O21" i="7" l="1"/>
  <c r="W21" i="72" s="1"/>
  <c r="O22" i="7"/>
  <c r="W22" i="72" s="1"/>
  <c r="O23" i="7"/>
  <c r="W23" i="72" s="1"/>
  <c r="O17" i="7"/>
  <c r="W17" i="72" s="1"/>
  <c r="O18" i="7"/>
  <c r="W18" i="72" s="1"/>
  <c r="O19" i="7"/>
  <c r="W19" i="72" s="1"/>
  <c r="O20" i="7"/>
  <c r="W20" i="72" s="1"/>
  <c r="P18" i="7" l="1"/>
  <c r="P17" i="7"/>
  <c r="P23" i="7"/>
  <c r="P19" i="7"/>
  <c r="P22" i="7"/>
  <c r="P20" i="7"/>
  <c r="P21" i="7"/>
  <c r="O16" i="7"/>
  <c r="W16" i="72" l="1"/>
  <c r="P16" i="7"/>
  <c r="O44" i="7" l="1"/>
  <c r="R44" i="72" s="1"/>
  <c r="G44" i="8" s="1"/>
  <c r="G24" i="108" l="1"/>
  <c r="C42" i="54" l="1"/>
  <c r="C42" i="28"/>
  <c r="G42" i="28" l="1"/>
  <c r="G42" i="54"/>
  <c r="O42" i="28" l="1"/>
  <c r="O42" i="54"/>
  <c r="C42" i="53" l="1"/>
  <c r="G42" i="53"/>
  <c r="G25" i="108" l="1"/>
  <c r="C43" i="54" l="1"/>
  <c r="C43" i="28"/>
  <c r="G26" i="108"/>
  <c r="C44" i="28" l="1"/>
  <c r="G44" i="28" s="1"/>
  <c r="O44" i="28" s="1"/>
  <c r="C44" i="53" s="1"/>
  <c r="C44" i="54"/>
  <c r="G44" i="54" s="1"/>
  <c r="O44" i="54" s="1"/>
  <c r="G44" i="53" s="1"/>
  <c r="G43" i="28"/>
  <c r="G43" i="54"/>
  <c r="O43" i="54" l="1"/>
  <c r="O43" i="28"/>
  <c r="C43" i="53" l="1"/>
  <c r="G43" i="53"/>
  <c r="E19" i="94" l="1"/>
  <c r="C45" i="91" l="1"/>
  <c r="C59" i="91" s="1"/>
  <c r="K45" i="91" l="1"/>
  <c r="O45" i="94"/>
  <c r="C45" i="92"/>
  <c r="I45" i="91"/>
  <c r="O45" i="115"/>
  <c r="M45" i="91" l="1"/>
  <c r="I59" i="91"/>
  <c r="I45" i="92"/>
  <c r="S45" i="94"/>
  <c r="S45" i="115"/>
  <c r="C59" i="92"/>
  <c r="K59" i="91"/>
  <c r="C107" i="99" s="1"/>
  <c r="K45" i="92"/>
  <c r="W45" i="115" l="1"/>
  <c r="M45" i="92"/>
  <c r="M59" i="91"/>
  <c r="BC59" i="91" s="1"/>
  <c r="AA45" i="91"/>
  <c r="AC45" i="91"/>
  <c r="Y45" i="91"/>
  <c r="AI45" i="91" s="1"/>
  <c r="W45" i="92"/>
  <c r="W45" i="91"/>
  <c r="W59" i="91" s="1"/>
  <c r="I107" i="99"/>
  <c r="M107" i="99" s="1"/>
  <c r="I59" i="92"/>
  <c r="U45" i="115"/>
  <c r="U45" i="94"/>
  <c r="K59" i="92"/>
  <c r="BW45" i="91" l="1"/>
  <c r="AK45" i="91"/>
  <c r="AK45" i="92" s="1"/>
  <c r="AI45" i="92"/>
  <c r="BT45" i="92" s="1"/>
  <c r="C45" i="166"/>
  <c r="AC45" i="92"/>
  <c r="AC59" i="91"/>
  <c r="AA45" i="92"/>
  <c r="AA59" i="91"/>
  <c r="M59" i="92"/>
  <c r="Y45" i="92"/>
  <c r="Y59" i="91"/>
  <c r="K107" i="99"/>
  <c r="AI17" i="91"/>
  <c r="M45" i="166" l="1"/>
  <c r="K45" i="166"/>
  <c r="C17" i="166"/>
  <c r="AN17" i="91"/>
  <c r="AK17" i="91"/>
  <c r="AK59" i="91" s="1"/>
  <c r="V35" i="15" s="1"/>
  <c r="O19" i="94"/>
  <c r="S19" i="94" s="1"/>
  <c r="U19" i="94" s="1"/>
  <c r="AI59" i="91"/>
  <c r="X19" i="131" s="1"/>
  <c r="K48" i="68"/>
  <c r="C43" i="26"/>
  <c r="C48" i="26" s="1"/>
  <c r="AA45" i="166" l="1"/>
  <c r="O35" i="126"/>
  <c r="G17" i="93"/>
  <c r="M17" i="166"/>
  <c r="M59" i="166" s="1"/>
  <c r="K17" i="166"/>
  <c r="C59" i="166"/>
  <c r="C46" i="26"/>
  <c r="G43" i="26"/>
  <c r="G48" i="26" s="1"/>
  <c r="AQ45" i="166" l="1"/>
  <c r="AA17" i="166"/>
  <c r="AA59" i="166" s="1"/>
  <c r="K59" i="166"/>
  <c r="AA84" i="166" s="1"/>
  <c r="M35" i="126"/>
  <c r="P35" i="126" s="1"/>
  <c r="E18" i="134"/>
  <c r="V58" i="99"/>
  <c r="AB19" i="131"/>
  <c r="J31" i="158" s="1"/>
  <c r="J74" i="158" s="1"/>
  <c r="K43" i="26"/>
  <c r="G46" i="26"/>
  <c r="AQ17" i="166" l="1"/>
  <c r="AQ59" i="166" s="1"/>
  <c r="J75" i="158"/>
  <c r="J118" i="158" s="1"/>
  <c r="N35" i="126"/>
  <c r="Q35" i="126" s="1"/>
  <c r="R35" i="126" s="1"/>
  <c r="K46" i="26"/>
  <c r="G43" i="6"/>
  <c r="K48" i="26"/>
  <c r="G46" i="6" l="1"/>
  <c r="A32" i="98" l="1"/>
  <c r="A33" i="98" s="1"/>
  <c r="A34" i="98" s="1"/>
  <c r="A35" i="98" s="1"/>
  <c r="A36" i="98" s="1"/>
  <c r="A37" i="98" s="1"/>
  <c r="A38" i="98" s="1"/>
  <c r="A39" i="98" s="1"/>
  <c r="A40" i="98" s="1"/>
  <c r="G34" i="71" l="1"/>
  <c r="K34" i="71" s="1"/>
  <c r="I34" i="6" s="1"/>
  <c r="C77" i="72" s="1"/>
  <c r="G33" i="71"/>
  <c r="K33" i="71" s="1"/>
  <c r="I33" i="6" s="1"/>
  <c r="G31" i="71" l="1"/>
  <c r="K31" i="71" s="1"/>
  <c r="I31" i="6" s="1"/>
  <c r="G35" i="71"/>
  <c r="K35" i="71" s="1"/>
  <c r="G32" i="71"/>
  <c r="I35" i="6" l="1"/>
  <c r="C78" i="72" s="1"/>
  <c r="K32" i="71"/>
  <c r="G30" i="71" l="1"/>
  <c r="I32" i="6"/>
  <c r="G39" i="71"/>
  <c r="K39" i="71" s="1"/>
  <c r="I39" i="6" s="1"/>
  <c r="G38" i="71"/>
  <c r="K38" i="71" s="1"/>
  <c r="I38" i="6" s="1"/>
  <c r="C81" i="72" s="1"/>
  <c r="G40" i="71"/>
  <c r="K40" i="71" s="1"/>
  <c r="I40" i="6" s="1"/>
  <c r="K39" i="6" l="1"/>
  <c r="C82" i="72"/>
  <c r="S82" i="72" s="1"/>
  <c r="K40" i="6"/>
  <c r="M40" i="6" s="1"/>
  <c r="C83" i="72"/>
  <c r="S83" i="72" s="1"/>
  <c r="M39" i="6"/>
  <c r="I40" i="72"/>
  <c r="I39" i="72"/>
  <c r="K30" i="71"/>
  <c r="G36" i="71"/>
  <c r="K36" i="71" l="1"/>
  <c r="I30" i="6"/>
  <c r="I36" i="6" l="1"/>
  <c r="C79" i="72" s="1"/>
  <c r="G37" i="71"/>
  <c r="K37" i="71" l="1"/>
  <c r="I37" i="6" l="1"/>
  <c r="C80" i="72" s="1"/>
  <c r="G42" i="71" l="1"/>
  <c r="K42" i="71" s="1"/>
  <c r="I42" i="6" s="1"/>
  <c r="G43" i="71"/>
  <c r="K43" i="71" s="1"/>
  <c r="I43" i="6" s="1"/>
  <c r="G44" i="71"/>
  <c r="K43" i="6" l="1"/>
  <c r="M43" i="6" s="1"/>
  <c r="C86" i="72"/>
  <c r="S86" i="72" s="1"/>
  <c r="K42" i="6"/>
  <c r="I42" i="72" s="1"/>
  <c r="C85" i="72"/>
  <c r="S85" i="72" s="1"/>
  <c r="M42" i="6"/>
  <c r="K44" i="71"/>
  <c r="I44" i="6" s="1"/>
  <c r="I43" i="72" l="1"/>
  <c r="K44" i="6"/>
  <c r="M44" i="6" s="1"/>
  <c r="C87" i="72"/>
  <c r="S87" i="72" s="1"/>
  <c r="I44" i="72"/>
  <c r="G41" i="71"/>
  <c r="G48" i="71" s="1"/>
  <c r="C46" i="71"/>
  <c r="K41" i="71" l="1"/>
  <c r="K48" i="71" s="1"/>
  <c r="I41" i="6" l="1"/>
  <c r="K41" i="6" l="1"/>
  <c r="C84" i="72"/>
  <c r="S84" i="72" s="1"/>
  <c r="M41" i="6"/>
  <c r="I41" i="72"/>
  <c r="AA41" i="79" l="1"/>
  <c r="AC41" i="79" s="1"/>
  <c r="I56" i="109" l="1"/>
  <c r="E20" i="87" l="1"/>
  <c r="E49" i="87" s="1"/>
  <c r="E18" i="87"/>
  <c r="E47" i="87" s="1"/>
  <c r="E19" i="87"/>
  <c r="E48" i="87" l="1"/>
  <c r="E25" i="87"/>
  <c r="E54" i="87" s="1"/>
  <c r="E17" i="87"/>
  <c r="E24" i="87" l="1"/>
  <c r="E46" i="87"/>
  <c r="E23" i="87" l="1"/>
  <c r="E53" i="87"/>
  <c r="E52" i="87" l="1"/>
  <c r="U22" i="79" l="1"/>
  <c r="U18" i="79"/>
  <c r="U23" i="79"/>
  <c r="U19" i="79"/>
  <c r="U17" i="79"/>
  <c r="U20" i="79"/>
  <c r="U21" i="79"/>
  <c r="U16" i="79" l="1"/>
  <c r="V44" i="27" l="1"/>
  <c r="V52" i="27" s="1"/>
  <c r="V52" i="55"/>
  <c r="V52" i="54"/>
  <c r="AB28" i="84" l="1"/>
  <c r="AB70" i="84" l="1"/>
  <c r="AI30" i="157" l="1"/>
  <c r="AG120" i="105" l="1"/>
  <c r="AG137" i="105" s="1"/>
  <c r="AL30" i="105"/>
  <c r="AG47" i="105"/>
  <c r="AG49" i="105" s="1"/>
  <c r="E30" i="16" l="1"/>
  <c r="BF30" i="105"/>
  <c r="G30" i="16"/>
  <c r="Q30" i="16"/>
  <c r="I22" i="130"/>
  <c r="AL120" i="105"/>
  <c r="AK30" i="157"/>
  <c r="S30" i="16" l="1"/>
  <c r="BH86" i="91" l="1"/>
  <c r="BL86" i="91" l="1"/>
  <c r="BL92" i="91" s="1"/>
  <c r="BH120" i="91"/>
  <c r="BH92" i="91"/>
  <c r="AA24" i="94"/>
  <c r="BL120" i="91" l="1"/>
  <c r="BL126" i="91" s="1"/>
  <c r="BH126" i="91"/>
  <c r="W22" i="91"/>
  <c r="AC24" i="94"/>
  <c r="AE24" i="94" s="1"/>
  <c r="AE29" i="94" s="1"/>
  <c r="AA29" i="94"/>
  <c r="AA22" i="91" l="1"/>
  <c r="AC22" i="91"/>
  <c r="Y22" i="91"/>
  <c r="M28" i="91"/>
  <c r="AH24" i="94"/>
  <c r="AH29" i="94" s="1"/>
  <c r="AC29" i="94"/>
  <c r="W22" i="115" l="1"/>
  <c r="AE22" i="109"/>
  <c r="AA28" i="109"/>
  <c r="AC28" i="91"/>
  <c r="AA28" i="91"/>
  <c r="AG22" i="109" l="1"/>
  <c r="C50" i="91"/>
  <c r="W28" i="115"/>
  <c r="C64" i="91" l="1"/>
  <c r="C50" i="92"/>
  <c r="O50" i="115"/>
  <c r="K50" i="91"/>
  <c r="I50" i="91"/>
  <c r="O50" i="94"/>
  <c r="M50" i="91" l="1"/>
  <c r="S50" i="94"/>
  <c r="O55" i="94"/>
  <c r="I50" i="92"/>
  <c r="I64" i="91"/>
  <c r="K50" i="92"/>
  <c r="K64" i="91"/>
  <c r="S50" i="115"/>
  <c r="C64" i="92"/>
  <c r="O22" i="95"/>
  <c r="O28" i="95" s="1"/>
  <c r="W50" i="115" l="1"/>
  <c r="W56" i="115" s="1"/>
  <c r="BC50" i="91"/>
  <c r="AC50" i="91"/>
  <c r="AA50" i="91"/>
  <c r="M50" i="92"/>
  <c r="M56" i="92" s="1"/>
  <c r="M56" i="91"/>
  <c r="BC56" i="91" s="1"/>
  <c r="M64" i="91"/>
  <c r="Y50" i="91"/>
  <c r="AI50" i="91" s="1"/>
  <c r="W50" i="91"/>
  <c r="W64" i="91" s="1"/>
  <c r="C112" i="99"/>
  <c r="K64" i="92"/>
  <c r="I64" i="92"/>
  <c r="U50" i="115"/>
  <c r="U50" i="94"/>
  <c r="U55" i="94" s="1"/>
  <c r="S55" i="94"/>
  <c r="W50" i="92" l="1"/>
  <c r="Y50" i="92"/>
  <c r="Y64" i="91"/>
  <c r="M70" i="91"/>
  <c r="BC64" i="91"/>
  <c r="BC70" i="91" s="1"/>
  <c r="AA50" i="92"/>
  <c r="AA56" i="92" s="1"/>
  <c r="AA56" i="91"/>
  <c r="AA64" i="91"/>
  <c r="AA70" i="91" s="1"/>
  <c r="AC50" i="92"/>
  <c r="AC56" i="92" s="1"/>
  <c r="AC56" i="91"/>
  <c r="AC64" i="91"/>
  <c r="AC70" i="91" s="1"/>
  <c r="AK50" i="91"/>
  <c r="C50" i="166"/>
  <c r="I112" i="99"/>
  <c r="AI50" i="92"/>
  <c r="K50" i="166" l="1"/>
  <c r="AA50" i="166" s="1"/>
  <c r="M50" i="166"/>
  <c r="M112" i="99"/>
  <c r="AI22" i="91" s="1"/>
  <c r="K112" i="99"/>
  <c r="AK50" i="92"/>
  <c r="AK56" i="92" s="1"/>
  <c r="AI56" i="92"/>
  <c r="AQ69" i="130" s="1"/>
  <c r="AQ50" i="166" l="1"/>
  <c r="C22" i="166"/>
  <c r="AK22" i="91"/>
  <c r="O24" i="94"/>
  <c r="AN22" i="91"/>
  <c r="AI64" i="91"/>
  <c r="X24" i="131" s="1"/>
  <c r="AS69" i="130"/>
  <c r="S24" i="94" l="1"/>
  <c r="O40" i="126"/>
  <c r="G22" i="93"/>
  <c r="AK64" i="91"/>
  <c r="V40" i="15" s="1"/>
  <c r="K22" i="166"/>
  <c r="M22" i="166"/>
  <c r="C64" i="166"/>
  <c r="AB24" i="131" l="1"/>
  <c r="J36" i="158" s="1"/>
  <c r="V63" i="99"/>
  <c r="E23" i="134"/>
  <c r="M40" i="126"/>
  <c r="N40" i="126" s="1"/>
  <c r="Q40" i="126" s="1"/>
  <c r="M64" i="166"/>
  <c r="AA22" i="166"/>
  <c r="AQ22" i="166" s="1"/>
  <c r="K64" i="166"/>
  <c r="U24" i="94"/>
  <c r="J79" i="158" l="1"/>
  <c r="J122" i="158"/>
  <c r="AQ64" i="166"/>
  <c r="P40" i="126"/>
  <c r="J80" i="158"/>
  <c r="AA64" i="166"/>
  <c r="AA89" i="166" s="1"/>
  <c r="R40" i="126" l="1"/>
  <c r="J123" i="158"/>
  <c r="M64" i="92" l="1"/>
  <c r="M65" i="92" l="1"/>
  <c r="BI84" i="91" l="1" a="1"/>
  <c r="BI84" i="91" s="1"/>
  <c r="BJ86" i="91" l="1"/>
  <c r="BJ85" i="91"/>
  <c r="BJ87" i="91"/>
  <c r="BJ121" i="91" s="1"/>
  <c r="BI119" i="91"/>
  <c r="BI120" i="91"/>
  <c r="BI121" i="91"/>
  <c r="BJ120" i="91"/>
  <c r="BI118" i="91"/>
  <c r="BM118" i="91" s="1"/>
  <c r="BI92" i="91"/>
  <c r="BM84" i="91"/>
  <c r="BJ84" i="91"/>
  <c r="M62" i="92"/>
  <c r="M70" i="92" s="1"/>
  <c r="M28" i="92"/>
  <c r="AA28" i="115"/>
  <c r="BJ119" i="91" l="1"/>
  <c r="BN84" i="91"/>
  <c r="BN92" i="91" s="1"/>
  <c r="BJ118" i="91"/>
  <c r="BJ92" i="91"/>
  <c r="BI126" i="91"/>
  <c r="BN118" i="91" l="1"/>
  <c r="BN126" i="91" s="1"/>
  <c r="BJ126" i="91"/>
  <c r="I47" i="28" l="1"/>
  <c r="I47" i="54"/>
  <c r="Q47" i="28" l="1"/>
  <c r="E47" i="53" s="1"/>
  <c r="I46" i="27"/>
  <c r="I46" i="55"/>
  <c r="Q47" i="54"/>
  <c r="I47" i="53" s="1"/>
  <c r="I47" i="27"/>
  <c r="I47" i="55"/>
  <c r="M53" i="108"/>
  <c r="I48" i="55"/>
  <c r="I48" i="27"/>
  <c r="Q48" i="27" l="1"/>
  <c r="E48" i="56" s="1"/>
  <c r="Q47" i="27"/>
  <c r="E47" i="56" s="1"/>
  <c r="O53" i="108"/>
  <c r="O55" i="27" s="1"/>
  <c r="Q46" i="55"/>
  <c r="I46" i="56" s="1"/>
  <c r="Q46" i="27"/>
  <c r="E46" i="56" s="1"/>
  <c r="Q47" i="55"/>
  <c r="I47" i="56" s="1"/>
  <c r="Q48" i="55"/>
  <c r="I48" i="56" s="1"/>
  <c r="I45" i="28" l="1"/>
  <c r="I45" i="54"/>
  <c r="Q45" i="54" l="1"/>
  <c r="I45" i="27"/>
  <c r="I45" i="55"/>
  <c r="Q45" i="28"/>
  <c r="M34" i="108"/>
  <c r="E45" i="53" l="1"/>
  <c r="I52" i="27"/>
  <c r="O53" i="27" s="1"/>
  <c r="Q45" i="27"/>
  <c r="I45" i="53"/>
  <c r="I52" i="55"/>
  <c r="O53" i="55" s="1"/>
  <c r="Q45" i="55"/>
  <c r="Q52" i="27" l="1"/>
  <c r="E45" i="56"/>
  <c r="E52" i="56" s="1"/>
  <c r="I45" i="56"/>
  <c r="I52" i="56" s="1"/>
  <c r="Q52" i="55"/>
  <c r="R125" i="121" l="1"/>
  <c r="AQ70" i="87" l="1"/>
  <c r="G29" i="9" l="1"/>
  <c r="I29" i="9" s="1"/>
  <c r="C30" i="36" l="1"/>
  <c r="K30" i="36" s="1"/>
  <c r="I30" i="10" s="1"/>
  <c r="C30" i="35"/>
  <c r="K30" i="35" s="1"/>
  <c r="G30" i="10" s="1"/>
  <c r="G28" i="9"/>
  <c r="I28" i="9" s="1"/>
  <c r="G31" i="9" l="1"/>
  <c r="I31" i="9" s="1"/>
  <c r="G30" i="9"/>
  <c r="I30" i="9" s="1"/>
  <c r="C29" i="35"/>
  <c r="C29" i="36"/>
  <c r="C32" i="35" l="1"/>
  <c r="K32" i="35" s="1"/>
  <c r="G32" i="10" s="1"/>
  <c r="C32" i="36"/>
  <c r="K32" i="36" s="1"/>
  <c r="I32" i="10" s="1"/>
  <c r="K29" i="36"/>
  <c r="K29" i="35"/>
  <c r="C31" i="35" l="1"/>
  <c r="C31" i="36"/>
  <c r="G29" i="10"/>
  <c r="I29" i="10"/>
  <c r="G34" i="9" l="1"/>
  <c r="I34" i="9" s="1"/>
  <c r="G32" i="9"/>
  <c r="I32" i="9" s="1"/>
  <c r="K31" i="36"/>
  <c r="K31" i="35"/>
  <c r="G33" i="9" l="1"/>
  <c r="I33" i="9" s="1"/>
  <c r="I31" i="10"/>
  <c r="C35" i="36"/>
  <c r="K35" i="36" s="1"/>
  <c r="I35" i="10" s="1"/>
  <c r="C35" i="35"/>
  <c r="K35" i="35" s="1"/>
  <c r="G35" i="10" s="1"/>
  <c r="G31" i="10"/>
  <c r="C33" i="35" l="1"/>
  <c r="C33" i="36"/>
  <c r="C34" i="35" l="1"/>
  <c r="K34" i="35" s="1"/>
  <c r="G34" i="10" s="1"/>
  <c r="C34" i="36"/>
  <c r="K34" i="36" s="1"/>
  <c r="I34" i="10" s="1"/>
  <c r="K33" i="36"/>
  <c r="G35" i="9"/>
  <c r="I35" i="9" s="1"/>
  <c r="K33" i="35"/>
  <c r="I33" i="10" l="1"/>
  <c r="G33" i="10"/>
  <c r="C36" i="36" l="1"/>
  <c r="C36" i="35"/>
  <c r="K36" i="35" l="1"/>
  <c r="K36" i="36"/>
  <c r="I36" i="10" l="1"/>
  <c r="G36" i="10"/>
  <c r="AP66" i="115" l="1"/>
  <c r="BT49" i="92" l="1"/>
  <c r="P18" i="11" l="1"/>
  <c r="P19" i="11"/>
  <c r="P23" i="11"/>
  <c r="P21" i="11"/>
  <c r="P17" i="11"/>
  <c r="P16" i="11"/>
  <c r="P22" i="11"/>
  <c r="P20" i="11"/>
  <c r="Y17" i="106" l="1"/>
  <c r="Y24" i="106"/>
  <c r="M24" i="67" s="1"/>
  <c r="K24" i="67" s="1"/>
  <c r="Q24" i="67" s="1"/>
  <c r="Y21" i="106"/>
  <c r="M21" i="67" s="1"/>
  <c r="K21" i="67" s="1"/>
  <c r="Q21" i="67" s="1"/>
  <c r="Y23" i="106"/>
  <c r="M23" i="67" s="1"/>
  <c r="K23" i="67" s="1"/>
  <c r="Q23" i="67" s="1"/>
  <c r="Y22" i="106"/>
  <c r="M22" i="67" s="1"/>
  <c r="K22" i="67" s="1"/>
  <c r="Q22" i="67" s="1"/>
  <c r="Y18" i="106"/>
  <c r="M18" i="67" s="1"/>
  <c r="S18" i="67" s="1"/>
  <c r="Y20" i="106"/>
  <c r="M20" i="67" s="1"/>
  <c r="K20" i="67" s="1"/>
  <c r="Q20" i="67" s="1"/>
  <c r="Y19" i="106"/>
  <c r="M19" i="67" s="1"/>
  <c r="K19" i="67" s="1"/>
  <c r="Q19" i="67" s="1"/>
  <c r="S23" i="67" l="1"/>
  <c r="S20" i="67"/>
  <c r="K18" i="67"/>
  <c r="Q18" i="67" s="1"/>
  <c r="S21" i="67"/>
  <c r="S24" i="67"/>
  <c r="S22" i="67"/>
  <c r="S19" i="67"/>
  <c r="M17" i="67"/>
  <c r="K17" i="67" l="1"/>
  <c r="S17" i="67"/>
  <c r="Q17" i="67" l="1"/>
  <c r="Y37" i="130" l="1"/>
  <c r="AI26" i="27" l="1"/>
  <c r="AI29" i="27"/>
  <c r="AI27" i="27"/>
  <c r="AI28" i="27"/>
  <c r="K45" i="107"/>
  <c r="C26" i="55" l="1"/>
  <c r="M45" i="107"/>
  <c r="C26" i="27"/>
  <c r="G26" i="27" l="1"/>
  <c r="AJ26" i="27"/>
  <c r="G26" i="55"/>
  <c r="O26" i="55" l="1"/>
  <c r="O26" i="27"/>
  <c r="C26" i="56" l="1"/>
  <c r="AC50" i="23" s="1"/>
  <c r="AI50" i="23" s="1"/>
  <c r="G26" i="56"/>
  <c r="K48" i="107" l="1"/>
  <c r="K47" i="107"/>
  <c r="K50" i="107"/>
  <c r="K49" i="107"/>
  <c r="C30" i="27" l="1"/>
  <c r="M49" i="107"/>
  <c r="C30" i="55"/>
  <c r="G30" i="55" s="1"/>
  <c r="O30" i="55" s="1"/>
  <c r="G30" i="56" s="1"/>
  <c r="C31" i="27"/>
  <c r="G31" i="27" s="1"/>
  <c r="O31" i="27" s="1"/>
  <c r="C31" i="56" s="1"/>
  <c r="C31" i="55"/>
  <c r="G31" i="55" s="1"/>
  <c r="O31" i="55" s="1"/>
  <c r="G31" i="56" s="1"/>
  <c r="M50" i="107"/>
  <c r="C28" i="27"/>
  <c r="C28" i="55"/>
  <c r="M47" i="107"/>
  <c r="C29" i="27"/>
  <c r="C29" i="55"/>
  <c r="G29" i="55" s="1"/>
  <c r="O29" i="55" s="1"/>
  <c r="G29" i="56" s="1"/>
  <c r="M48" i="107"/>
  <c r="AC55" i="23" l="1"/>
  <c r="G30" i="27"/>
  <c r="O30" i="27" s="1"/>
  <c r="C30" i="56" s="1"/>
  <c r="AJ30" i="27"/>
  <c r="AJ29" i="27"/>
  <c r="G29" i="27"/>
  <c r="O29" i="27" s="1"/>
  <c r="C29" i="56" s="1"/>
  <c r="AC53" i="23" s="1"/>
  <c r="G28" i="27"/>
  <c r="AJ28" i="27"/>
  <c r="G28" i="55"/>
  <c r="G39" i="108"/>
  <c r="G40" i="108"/>
  <c r="G38" i="108"/>
  <c r="G37" i="108"/>
  <c r="AC54" i="23" l="1"/>
  <c r="O28" i="55"/>
  <c r="O28" i="27"/>
  <c r="C36" i="27"/>
  <c r="C36" i="55"/>
  <c r="C39" i="55"/>
  <c r="G39" i="55" s="1"/>
  <c r="O39" i="55" s="1"/>
  <c r="G39" i="56" s="1"/>
  <c r="C39" i="27"/>
  <c r="G39" i="27" s="1"/>
  <c r="O39" i="27" s="1"/>
  <c r="C37" i="27"/>
  <c r="G37" i="27" s="1"/>
  <c r="O37" i="27" s="1"/>
  <c r="C37" i="55"/>
  <c r="G37" i="55" s="1"/>
  <c r="O37" i="55" s="1"/>
  <c r="G37" i="56" s="1"/>
  <c r="C38" i="27"/>
  <c r="G38" i="27" s="1"/>
  <c r="O38" i="27" s="1"/>
  <c r="C38" i="55"/>
  <c r="G38" i="55" s="1"/>
  <c r="O38" i="55" s="1"/>
  <c r="G38" i="56" s="1"/>
  <c r="C38" i="56" l="1"/>
  <c r="C39" i="56"/>
  <c r="C37" i="56"/>
  <c r="C28" i="56"/>
  <c r="AC52" i="23" s="1"/>
  <c r="G28" i="56"/>
  <c r="G36" i="55"/>
  <c r="G36" i="27"/>
  <c r="AI52" i="23" l="1"/>
  <c r="O36" i="27"/>
  <c r="O36" i="55"/>
  <c r="G36" i="56" l="1"/>
  <c r="C36" i="56"/>
  <c r="AP61" i="115" l="1"/>
  <c r="AP64" i="115" l="1"/>
  <c r="E97" i="92" l="1"/>
  <c r="AP63" i="115" l="1"/>
  <c r="E44" i="133" l="1"/>
  <c r="E44" i="23"/>
  <c r="AQ44" i="56"/>
  <c r="E44" i="118"/>
  <c r="Q44" i="23" l="1"/>
  <c r="G44" i="23"/>
  <c r="S39" i="105"/>
  <c r="G44" i="133"/>
  <c r="E43" i="118"/>
  <c r="AQ43" i="56"/>
  <c r="E43" i="23"/>
  <c r="E43" i="133"/>
  <c r="Q44" i="118"/>
  <c r="G44" i="118"/>
  <c r="S190" i="105" l="1"/>
  <c r="S53" i="105"/>
  <c r="S44" i="23"/>
  <c r="O117" i="122"/>
  <c r="AC34" i="158"/>
  <c r="S44" i="118"/>
  <c r="G43" i="133"/>
  <c r="Q43" i="23"/>
  <c r="S38" i="105"/>
  <c r="G43" i="23"/>
  <c r="Q43" i="118"/>
  <c r="G43" i="118"/>
  <c r="S189" i="105" l="1"/>
  <c r="S43" i="118"/>
  <c r="S43" i="23"/>
  <c r="AC33" i="158"/>
  <c r="O116" i="122"/>
  <c r="K46" i="107" l="1"/>
  <c r="AH52" i="111"/>
  <c r="AH53" i="111" s="1"/>
  <c r="AG52" i="111"/>
  <c r="C27" i="55" l="1"/>
  <c r="G27" i="55" s="1"/>
  <c r="K52" i="107"/>
  <c r="C27" i="27"/>
  <c r="AJ27" i="27" s="1"/>
  <c r="AJ33" i="27" s="1"/>
  <c r="M46" i="107"/>
  <c r="M52" i="107" l="1"/>
  <c r="M53" i="107"/>
  <c r="C33" i="55"/>
  <c r="G27" i="27"/>
  <c r="G33" i="27" s="1"/>
  <c r="C33" i="27"/>
  <c r="G33" i="55"/>
  <c r="O27" i="55"/>
  <c r="O27" i="27" l="1"/>
  <c r="C27" i="56" s="1"/>
  <c r="AC51" i="23" s="1"/>
  <c r="AI51" i="23" s="1"/>
  <c r="G27" i="56"/>
  <c r="G33" i="56" s="1"/>
  <c r="O33" i="55"/>
  <c r="O33" i="27" l="1"/>
  <c r="C33" i="56"/>
  <c r="AC57" i="23" l="1"/>
  <c r="E21" i="87" l="1"/>
  <c r="E22" i="87"/>
  <c r="E51" i="87" l="1"/>
  <c r="E50" i="87"/>
  <c r="M42" i="116" l="1"/>
  <c r="C42" i="116"/>
  <c r="K42" i="116"/>
  <c r="AS42" i="116" l="1"/>
  <c r="AQ42" i="116"/>
  <c r="AI42" i="116"/>
  <c r="AP65" i="115" l="1"/>
  <c r="AP28" i="115"/>
  <c r="AP59" i="115" l="1"/>
  <c r="AP62" i="115"/>
  <c r="AP60" i="115"/>
  <c r="AP42" i="115" l="1"/>
  <c r="O31" i="39" l="1"/>
  <c r="P31" i="39" l="1"/>
  <c r="O30" i="39"/>
  <c r="U30" i="72" s="1"/>
  <c r="P30" i="39" l="1"/>
  <c r="O29" i="39"/>
  <c r="U29" i="72" s="1"/>
  <c r="O28" i="39" l="1"/>
  <c r="U28" i="72" s="1"/>
  <c r="P29" i="39"/>
  <c r="O27" i="39" l="1"/>
  <c r="U27" i="72" s="1"/>
  <c r="P28" i="39"/>
  <c r="P27" i="39" l="1"/>
  <c r="O26" i="39"/>
  <c r="U26" i="72" s="1"/>
  <c r="P26" i="39" l="1"/>
  <c r="O25" i="39"/>
  <c r="U25" i="72" s="1"/>
  <c r="P25" i="39" l="1"/>
  <c r="O24" i="39"/>
  <c r="U24" i="72" s="1"/>
  <c r="O23" i="39" l="1"/>
  <c r="U23" i="72" s="1"/>
  <c r="P24" i="39"/>
  <c r="O22" i="39" l="1"/>
  <c r="U22" i="72" s="1"/>
  <c r="P23" i="39"/>
  <c r="R23" i="72"/>
  <c r="S23" i="72" l="1"/>
  <c r="P22" i="39"/>
  <c r="R22" i="72"/>
  <c r="O21" i="39"/>
  <c r="U21" i="72" s="1"/>
  <c r="O20" i="39" l="1"/>
  <c r="U20" i="72" s="1"/>
  <c r="P21" i="39"/>
  <c r="R21" i="72"/>
  <c r="S22" i="72"/>
  <c r="O19" i="39" l="1"/>
  <c r="U19" i="72" s="1"/>
  <c r="S21" i="72"/>
  <c r="P20" i="39"/>
  <c r="R20" i="72"/>
  <c r="S20" i="72" l="1"/>
  <c r="O18" i="39"/>
  <c r="U18" i="72" s="1"/>
  <c r="P19" i="39"/>
  <c r="R19" i="72"/>
  <c r="O17" i="39" l="1"/>
  <c r="U17" i="72" s="1"/>
  <c r="P18" i="39"/>
  <c r="R18" i="72"/>
  <c r="S19" i="72"/>
  <c r="O16" i="39" l="1"/>
  <c r="S18" i="72"/>
  <c r="P17" i="39"/>
  <c r="R17" i="72"/>
  <c r="U16" i="72" l="1"/>
  <c r="R16" i="72"/>
  <c r="S17" i="72"/>
  <c r="P16" i="39"/>
  <c r="S16" i="72" l="1"/>
  <c r="O31" i="68" l="1"/>
  <c r="O30" i="68"/>
  <c r="O29" i="68"/>
  <c r="O28" i="68"/>
  <c r="O27" i="68"/>
  <c r="O26" i="68"/>
  <c r="O25" i="68"/>
  <c r="O24" i="68"/>
  <c r="O23" i="68"/>
  <c r="O22" i="68"/>
  <c r="O21" i="68"/>
  <c r="O20" i="68"/>
  <c r="O19" i="68"/>
  <c r="O18" i="68"/>
  <c r="K40" i="43"/>
  <c r="K39" i="43"/>
  <c r="K38" i="43"/>
  <c r="K37" i="43"/>
  <c r="C24" i="70" l="1"/>
  <c r="G24" i="70" s="1"/>
  <c r="K24" i="70" s="1"/>
  <c r="I24" i="7" s="1"/>
  <c r="C24" i="69"/>
  <c r="C25" i="69"/>
  <c r="C25" i="70"/>
  <c r="G25" i="70" s="1"/>
  <c r="K25" i="70" s="1"/>
  <c r="I25" i="7" s="1"/>
  <c r="C26" i="70"/>
  <c r="G26" i="70" s="1"/>
  <c r="K26" i="70" s="1"/>
  <c r="I26" i="7" s="1"/>
  <c r="C26" i="69"/>
  <c r="C16" i="69"/>
  <c r="C16" i="70"/>
  <c r="C27" i="70"/>
  <c r="G27" i="70" s="1"/>
  <c r="K27" i="70" s="1"/>
  <c r="I27" i="7" s="1"/>
  <c r="C27" i="69"/>
  <c r="G27" i="69" s="1"/>
  <c r="C28" i="70"/>
  <c r="G28" i="70" s="1"/>
  <c r="K28" i="70" s="1"/>
  <c r="I28" i="7" s="1"/>
  <c r="C28" i="69"/>
  <c r="G28" i="69" s="1"/>
  <c r="K28" i="69" s="1"/>
  <c r="G28" i="7" s="1"/>
  <c r="C23" i="69"/>
  <c r="C23" i="70"/>
  <c r="G23" i="70" s="1"/>
  <c r="K23" i="70" s="1"/>
  <c r="I23" i="7" s="1"/>
  <c r="C17" i="70"/>
  <c r="G17" i="70" s="1"/>
  <c r="K17" i="70" s="1"/>
  <c r="I17" i="7" s="1"/>
  <c r="C17" i="69"/>
  <c r="C29" i="70"/>
  <c r="G29" i="70" s="1"/>
  <c r="K29" i="70" s="1"/>
  <c r="I29" i="7" s="1"/>
  <c r="C29" i="69"/>
  <c r="G29" i="69" s="1"/>
  <c r="K29" i="69" s="1"/>
  <c r="G29" i="7" s="1"/>
  <c r="C18" i="69"/>
  <c r="C18" i="70"/>
  <c r="G18" i="70" s="1"/>
  <c r="K18" i="70" s="1"/>
  <c r="I18" i="7" s="1"/>
  <c r="C19" i="70"/>
  <c r="G19" i="70" s="1"/>
  <c r="K19" i="70" s="1"/>
  <c r="I19" i="7" s="1"/>
  <c r="C19" i="69"/>
  <c r="C20" i="69"/>
  <c r="C20" i="70"/>
  <c r="G20" i="70" s="1"/>
  <c r="K20" i="70" s="1"/>
  <c r="I20" i="7" s="1"/>
  <c r="C21" i="70"/>
  <c r="G21" i="70" s="1"/>
  <c r="K21" i="70" s="1"/>
  <c r="I21" i="7" s="1"/>
  <c r="C21" i="69"/>
  <c r="G22" i="71"/>
  <c r="C22" i="70"/>
  <c r="G22" i="70" s="1"/>
  <c r="K22" i="70" s="1"/>
  <c r="I22" i="7" s="1"/>
  <c r="C22" i="69"/>
  <c r="V36" i="9"/>
  <c r="W36" i="9" s="1"/>
  <c r="Q37" i="43"/>
  <c r="C37" i="41"/>
  <c r="R37" i="43"/>
  <c r="C37" i="40"/>
  <c r="V39" i="9"/>
  <c r="W39" i="9" s="1"/>
  <c r="C40" i="41"/>
  <c r="G40" i="41" s="1"/>
  <c r="K40" i="41" s="1"/>
  <c r="I40" i="5" s="1"/>
  <c r="E67" i="72" s="1"/>
  <c r="Q40" i="43"/>
  <c r="C40" i="40"/>
  <c r="G40" i="40" s="1"/>
  <c r="K40" i="40" s="1"/>
  <c r="R40" i="43"/>
  <c r="V37" i="9"/>
  <c r="W37" i="9" s="1"/>
  <c r="C38" i="40"/>
  <c r="G38" i="40" s="1"/>
  <c r="K38" i="40" s="1"/>
  <c r="Q38" i="43"/>
  <c r="R38" i="43"/>
  <c r="C38" i="41"/>
  <c r="G38" i="41" s="1"/>
  <c r="K38" i="41" s="1"/>
  <c r="I38" i="5" s="1"/>
  <c r="V38" i="9"/>
  <c r="W38" i="9" s="1"/>
  <c r="C39" i="41"/>
  <c r="R39" i="43"/>
  <c r="Q39" i="43"/>
  <c r="C39" i="40"/>
  <c r="U67" i="72" l="1"/>
  <c r="G67" i="72"/>
  <c r="K67" i="72" s="1"/>
  <c r="K38" i="5"/>
  <c r="G65" i="72" s="1"/>
  <c r="K65" i="72" s="1"/>
  <c r="E65" i="72"/>
  <c r="C40" i="37"/>
  <c r="G40" i="37" s="1"/>
  <c r="E40" i="72"/>
  <c r="G40" i="72" s="1"/>
  <c r="C40" i="38"/>
  <c r="G40" i="38" s="1"/>
  <c r="K22" i="71"/>
  <c r="G46" i="71"/>
  <c r="I22" i="6"/>
  <c r="K46" i="71"/>
  <c r="K27" i="69"/>
  <c r="G16" i="70"/>
  <c r="G40" i="5"/>
  <c r="G39" i="41"/>
  <c r="G37" i="40"/>
  <c r="G39" i="40"/>
  <c r="G37" i="41"/>
  <c r="G38" i="5"/>
  <c r="C38" i="38" l="1"/>
  <c r="G38" i="38" s="1"/>
  <c r="C38" i="37"/>
  <c r="G38" i="37" s="1"/>
  <c r="E38" i="72"/>
  <c r="G38" i="72" s="1"/>
  <c r="C37" i="9" s="1"/>
  <c r="I37" i="9" s="1"/>
  <c r="C39" i="9"/>
  <c r="I39" i="9" s="1"/>
  <c r="C40" i="36" s="1"/>
  <c r="K40" i="36" s="1"/>
  <c r="I40" i="10" s="1"/>
  <c r="Y39" i="9"/>
  <c r="I39" i="12"/>
  <c r="P40" i="15"/>
  <c r="B36" i="158"/>
  <c r="B79" i="158" s="1"/>
  <c r="I48" i="6"/>
  <c r="I46" i="6"/>
  <c r="K16" i="70"/>
  <c r="G27" i="7"/>
  <c r="K39" i="41"/>
  <c r="K39" i="40"/>
  <c r="K37" i="40"/>
  <c r="K37" i="41"/>
  <c r="K31" i="43"/>
  <c r="K34" i="43"/>
  <c r="K33" i="43"/>
  <c r="K32" i="43"/>
  <c r="K30" i="43"/>
  <c r="K35" i="43"/>
  <c r="P38" i="15" l="1"/>
  <c r="I37" i="12"/>
  <c r="M37" i="12" s="1"/>
  <c r="B34" i="158"/>
  <c r="B77" i="158" s="1"/>
  <c r="Y37" i="9"/>
  <c r="I38" i="129"/>
  <c r="Y38" i="129" s="1"/>
  <c r="O37" i="119" s="1"/>
  <c r="Y37" i="12"/>
  <c r="B122" i="158"/>
  <c r="Y39" i="12"/>
  <c r="M39" i="12"/>
  <c r="I40" i="129"/>
  <c r="Y40" i="129" s="1"/>
  <c r="O39" i="119" s="1"/>
  <c r="C38" i="35"/>
  <c r="K38" i="35" s="1"/>
  <c r="G38" i="10" s="1"/>
  <c r="C38" i="36"/>
  <c r="K38" i="36" s="1"/>
  <c r="I38" i="10" s="1"/>
  <c r="I16" i="7"/>
  <c r="V32" i="9"/>
  <c r="C33" i="40"/>
  <c r="G33" i="40" s="1"/>
  <c r="K33" i="40" s="1"/>
  <c r="C33" i="41"/>
  <c r="G33" i="41" s="1"/>
  <c r="K33" i="41" s="1"/>
  <c r="I33" i="5" s="1"/>
  <c r="Q33" i="43"/>
  <c r="R33" i="43"/>
  <c r="G37" i="5"/>
  <c r="V34" i="9"/>
  <c r="Q35" i="43"/>
  <c r="C35" i="41"/>
  <c r="G35" i="41" s="1"/>
  <c r="K35" i="41" s="1"/>
  <c r="I35" i="5" s="1"/>
  <c r="E62" i="72" s="1"/>
  <c r="C35" i="40"/>
  <c r="G35" i="40" s="1"/>
  <c r="K35" i="40" s="1"/>
  <c r="R35" i="43"/>
  <c r="V33" i="9"/>
  <c r="C34" i="41"/>
  <c r="G34" i="41" s="1"/>
  <c r="K34" i="41" s="1"/>
  <c r="I34" i="5" s="1"/>
  <c r="E61" i="72" s="1"/>
  <c r="Q34" i="43"/>
  <c r="C34" i="40"/>
  <c r="G34" i="40" s="1"/>
  <c r="K34" i="40" s="1"/>
  <c r="R34" i="43"/>
  <c r="V29" i="9"/>
  <c r="C30" i="40"/>
  <c r="Q30" i="43"/>
  <c r="C30" i="41"/>
  <c r="R30" i="43"/>
  <c r="G39" i="5"/>
  <c r="V30" i="9"/>
  <c r="Q31" i="43"/>
  <c r="C31" i="41"/>
  <c r="G31" i="41" s="1"/>
  <c r="K31" i="41" s="1"/>
  <c r="I31" i="5" s="1"/>
  <c r="R31" i="43"/>
  <c r="C31" i="40"/>
  <c r="G31" i="40" s="1"/>
  <c r="K31" i="40" s="1"/>
  <c r="I37" i="5"/>
  <c r="V31" i="9"/>
  <c r="Q32" i="43"/>
  <c r="C32" i="41"/>
  <c r="G32" i="41" s="1"/>
  <c r="K32" i="41" s="1"/>
  <c r="I32" i="5" s="1"/>
  <c r="R32" i="43"/>
  <c r="C32" i="40"/>
  <c r="G32" i="40" s="1"/>
  <c r="K32" i="40" s="1"/>
  <c r="I39" i="5"/>
  <c r="E66" i="72" s="1"/>
  <c r="U66" i="72" l="1"/>
  <c r="G66" i="72"/>
  <c r="K66" i="72" s="1"/>
  <c r="K37" i="5"/>
  <c r="G64" i="72" s="1"/>
  <c r="E64" i="72"/>
  <c r="B120" i="158"/>
  <c r="M39" i="119"/>
  <c r="N39" i="119" s="1"/>
  <c r="M40" i="129"/>
  <c r="AC39" i="12"/>
  <c r="M37" i="119"/>
  <c r="N37" i="119" s="1"/>
  <c r="M38" i="129"/>
  <c r="AC37" i="12"/>
  <c r="G30" i="40"/>
  <c r="G35" i="5"/>
  <c r="G30" i="41"/>
  <c r="G34" i="5"/>
  <c r="G31" i="5"/>
  <c r="G32" i="5"/>
  <c r="G33" i="5"/>
  <c r="C37" i="37" l="1"/>
  <c r="G37" i="37" s="1"/>
  <c r="K64" i="72"/>
  <c r="E37" i="72"/>
  <c r="G37" i="72" s="1"/>
  <c r="C36" i="9" s="1"/>
  <c r="I36" i="9" s="1"/>
  <c r="C37" i="38"/>
  <c r="G37" i="38" s="1"/>
  <c r="Q37" i="119"/>
  <c r="Z36" i="158"/>
  <c r="N36" i="158" s="1"/>
  <c r="AC40" i="129"/>
  <c r="O119" i="119" s="1"/>
  <c r="O79" i="119" s="1"/>
  <c r="N79" i="119" s="1"/>
  <c r="N119" i="119" s="1"/>
  <c r="Q39" i="119"/>
  <c r="P39" i="119"/>
  <c r="P37" i="119"/>
  <c r="Z34" i="158"/>
  <c r="N34" i="158" s="1"/>
  <c r="N77" i="158" s="1"/>
  <c r="AC38" i="129"/>
  <c r="O117" i="119" s="1"/>
  <c r="O77" i="119" s="1"/>
  <c r="K30" i="41"/>
  <c r="K30" i="40"/>
  <c r="K36" i="43"/>
  <c r="B33" i="158" l="1"/>
  <c r="I36" i="12"/>
  <c r="P37" i="15"/>
  <c r="Y36" i="9"/>
  <c r="Z36" i="9" s="1"/>
  <c r="N120" i="158"/>
  <c r="Z120" i="158" s="1"/>
  <c r="Z77" i="158"/>
  <c r="M79" i="119"/>
  <c r="Q79" i="119"/>
  <c r="Q119" i="119" s="1"/>
  <c r="B76" i="158"/>
  <c r="N79" i="158"/>
  <c r="Z79" i="158" s="1"/>
  <c r="R37" i="119"/>
  <c r="M36" i="12"/>
  <c r="I37" i="129"/>
  <c r="Y36" i="12"/>
  <c r="N77" i="119"/>
  <c r="M77" i="119" s="1"/>
  <c r="R39" i="119"/>
  <c r="C37" i="36"/>
  <c r="K37" i="36" s="1"/>
  <c r="I37" i="10" s="1"/>
  <c r="C37" i="35"/>
  <c r="K37" i="35" s="1"/>
  <c r="G37" i="10" s="1"/>
  <c r="X30" i="40"/>
  <c r="G30" i="5"/>
  <c r="I30" i="5"/>
  <c r="V35" i="9"/>
  <c r="C36" i="41"/>
  <c r="Q36" i="43"/>
  <c r="C36" i="40"/>
  <c r="R36" i="43"/>
  <c r="N122" i="158" l="1"/>
  <c r="Z122" i="158" s="1"/>
  <c r="P77" i="119"/>
  <c r="M117" i="119"/>
  <c r="P79" i="119"/>
  <c r="M119" i="119"/>
  <c r="AC36" i="12"/>
  <c r="M37" i="129"/>
  <c r="Q77" i="119"/>
  <c r="Q117" i="119" s="1"/>
  <c r="N117" i="119"/>
  <c r="Y37" i="129"/>
  <c r="O36" i="119" s="1"/>
  <c r="B119" i="158"/>
  <c r="G36" i="41"/>
  <c r="G36" i="40"/>
  <c r="M36" i="119" l="1"/>
  <c r="N36" i="119" s="1"/>
  <c r="AC37" i="129"/>
  <c r="O116" i="119" s="1"/>
  <c r="O76" i="119" s="1"/>
  <c r="Z33" i="158"/>
  <c r="N33" i="158" s="1"/>
  <c r="P119" i="119"/>
  <c r="R79" i="119"/>
  <c r="R77" i="119"/>
  <c r="P117" i="119"/>
  <c r="K36" i="40"/>
  <c r="K36" i="41"/>
  <c r="N76" i="119" l="1"/>
  <c r="Q76" i="119" s="1"/>
  <c r="P36" i="119"/>
  <c r="V79" i="119"/>
  <c r="R119" i="119"/>
  <c r="N76" i="158"/>
  <c r="Z76" i="158" s="1"/>
  <c r="Q36" i="119"/>
  <c r="V77" i="119"/>
  <c r="R117" i="119"/>
  <c r="G36" i="5"/>
  <c r="I36" i="5"/>
  <c r="E63" i="72" s="1"/>
  <c r="N116" i="119" l="1"/>
  <c r="Q116" i="119"/>
  <c r="N119" i="158"/>
  <c r="Z119" i="158" s="1"/>
  <c r="R36" i="119"/>
  <c r="M76" i="119"/>
  <c r="O35" i="68"/>
  <c r="O34" i="68"/>
  <c r="O36" i="68"/>
  <c r="P76" i="119" l="1"/>
  <c r="M116" i="119"/>
  <c r="C34" i="70"/>
  <c r="G34" i="70" s="1"/>
  <c r="K34" i="70" s="1"/>
  <c r="I34" i="7" s="1"/>
  <c r="E77" i="72" s="1"/>
  <c r="C34" i="69"/>
  <c r="G34" i="69" s="1"/>
  <c r="K34" i="69" s="1"/>
  <c r="G34" i="7" s="1"/>
  <c r="C32" i="70"/>
  <c r="G32" i="70" s="1"/>
  <c r="K32" i="70" s="1"/>
  <c r="I32" i="7" s="1"/>
  <c r="C32" i="69"/>
  <c r="G32" i="69" s="1"/>
  <c r="K32" i="69" s="1"/>
  <c r="G32" i="7" s="1"/>
  <c r="C33" i="70"/>
  <c r="G33" i="70" s="1"/>
  <c r="K33" i="70" s="1"/>
  <c r="I33" i="7" s="1"/>
  <c r="C33" i="69"/>
  <c r="G33" i="69" s="1"/>
  <c r="K33" i="69" s="1"/>
  <c r="G33" i="7" s="1"/>
  <c r="O33" i="68"/>
  <c r="O37" i="68"/>
  <c r="R76" i="119" l="1"/>
  <c r="P116" i="119"/>
  <c r="C31" i="70"/>
  <c r="G31" i="70" s="1"/>
  <c r="K31" i="70" s="1"/>
  <c r="I31" i="7" s="1"/>
  <c r="C31" i="69"/>
  <c r="G31" i="69" s="1"/>
  <c r="K31" i="69" s="1"/>
  <c r="G31" i="7" s="1"/>
  <c r="C35" i="70"/>
  <c r="G35" i="70" s="1"/>
  <c r="K35" i="70" s="1"/>
  <c r="I35" i="7" s="1"/>
  <c r="E78" i="72" s="1"/>
  <c r="C35" i="69"/>
  <c r="G35" i="69" s="1"/>
  <c r="K35" i="69" s="1"/>
  <c r="G35" i="7" s="1"/>
  <c r="O32" i="68"/>
  <c r="V76" i="119" l="1"/>
  <c r="R116" i="119"/>
  <c r="C30" i="69"/>
  <c r="C30" i="70"/>
  <c r="O38" i="68"/>
  <c r="O40" i="68"/>
  <c r="C38" i="69" l="1"/>
  <c r="G38" i="69" s="1"/>
  <c r="K38" i="69" s="1"/>
  <c r="G38" i="7" s="1"/>
  <c r="C38" i="70"/>
  <c r="G38" i="70" s="1"/>
  <c r="K38" i="70" s="1"/>
  <c r="I38" i="7" s="1"/>
  <c r="E81" i="72" s="1"/>
  <c r="C36" i="69"/>
  <c r="G36" i="69" s="1"/>
  <c r="K36" i="69" s="1"/>
  <c r="G36" i="7" s="1"/>
  <c r="C36" i="70"/>
  <c r="G36" i="70" s="1"/>
  <c r="K36" i="70" s="1"/>
  <c r="I36" i="7" s="1"/>
  <c r="E79" i="72" s="1"/>
  <c r="G30" i="70"/>
  <c r="G30" i="69"/>
  <c r="K30" i="69" l="1"/>
  <c r="K30" i="70"/>
  <c r="O39" i="68"/>
  <c r="C37" i="69" l="1"/>
  <c r="C37" i="70"/>
  <c r="I30" i="7"/>
  <c r="G30" i="7"/>
  <c r="G37" i="70" l="1"/>
  <c r="G37" i="69"/>
  <c r="K37" i="69" l="1"/>
  <c r="K37" i="70"/>
  <c r="Z39" i="9"/>
  <c r="C40" i="35" s="1"/>
  <c r="K40" i="35" s="1"/>
  <c r="G40" i="10" s="1"/>
  <c r="I37" i="7" l="1"/>
  <c r="E80" i="72" s="1"/>
  <c r="G37" i="7"/>
  <c r="O46" i="68" l="1"/>
  <c r="C44" i="69" l="1"/>
  <c r="G44" i="69" s="1"/>
  <c r="K44" i="69" s="1"/>
  <c r="G44" i="7" s="1"/>
  <c r="C44" i="70"/>
  <c r="G44" i="70" s="1"/>
  <c r="K44" i="70" s="1"/>
  <c r="I44" i="7" s="1"/>
  <c r="K44" i="7" l="1"/>
  <c r="M44" i="7" s="1"/>
  <c r="E87" i="72"/>
  <c r="U87" i="72" s="1"/>
  <c r="G87" i="72"/>
  <c r="K44" i="72" l="1"/>
  <c r="M44" i="72" s="1"/>
  <c r="E21" i="96" s="1"/>
  <c r="C44" i="11"/>
  <c r="I44" i="11" s="1"/>
  <c r="AF44" i="11"/>
  <c r="AG44" i="11" s="1"/>
  <c r="C44" i="77" s="1"/>
  <c r="I44" i="77" s="1"/>
  <c r="G44" i="79" s="1"/>
  <c r="Q44" i="15"/>
  <c r="C40" i="158"/>
  <c r="K43" i="12"/>
  <c r="C44" i="78" l="1"/>
  <c r="I44" i="78" s="1"/>
  <c r="I44" i="79" s="1"/>
  <c r="K44" i="79" s="1"/>
  <c r="O44" i="79" s="1"/>
  <c r="E43" i="12" s="1"/>
  <c r="C83" i="158"/>
  <c r="C126" i="158" s="1"/>
  <c r="AA43" i="12"/>
  <c r="K44" i="129"/>
  <c r="AA44" i="129" s="1"/>
  <c r="O43" i="120" s="1"/>
  <c r="E17" i="128"/>
  <c r="O43" i="12" l="1"/>
  <c r="E44" i="129"/>
  <c r="E26" i="128"/>
  <c r="E19" i="128"/>
  <c r="E20" i="130"/>
  <c r="M43" i="120"/>
  <c r="N43" i="120" s="1"/>
  <c r="P43" i="120" l="1"/>
  <c r="Q43" i="120"/>
  <c r="AE43" i="12"/>
  <c r="O44" i="129"/>
  <c r="E35" i="128"/>
  <c r="R43" i="120" l="1"/>
  <c r="AA40" i="158"/>
  <c r="O40" i="158" s="1"/>
  <c r="G15" i="136"/>
  <c r="AE44" i="129"/>
  <c r="O123" i="120" s="1"/>
  <c r="O83" i="120" s="1"/>
  <c r="E41" i="130"/>
  <c r="E44" i="128"/>
  <c r="E37" i="128"/>
  <c r="G21" i="136" l="1"/>
  <c r="G15" i="160"/>
  <c r="N83" i="120"/>
  <c r="M83" i="120" s="1"/>
  <c r="O83" i="158"/>
  <c r="AA83" i="158" s="1"/>
  <c r="O126" i="158" l="1"/>
  <c r="AA126" i="158" s="1"/>
  <c r="G25" i="136"/>
  <c r="G27" i="136" s="1"/>
  <c r="G21" i="160"/>
  <c r="G25" i="160" s="1"/>
  <c r="P83" i="120"/>
  <c r="M123" i="120"/>
  <c r="Q83" i="120"/>
  <c r="Q123" i="120" s="1"/>
  <c r="N123" i="120"/>
  <c r="K43" i="43"/>
  <c r="K42" i="43"/>
  <c r="K44" i="43"/>
  <c r="R83" i="120" l="1"/>
  <c r="P123" i="120"/>
  <c r="G31" i="136"/>
  <c r="G31" i="160" s="1"/>
  <c r="G27" i="160"/>
  <c r="C44" i="41"/>
  <c r="G44" i="41" s="1"/>
  <c r="K44" i="41" s="1"/>
  <c r="I44" i="5" s="1"/>
  <c r="E71" i="72" s="1"/>
  <c r="Q44" i="43"/>
  <c r="C44" i="40"/>
  <c r="G44" i="40" s="1"/>
  <c r="K44" i="40" s="1"/>
  <c r="G44" i="5" s="1"/>
  <c r="V43" i="9"/>
  <c r="W43" i="9" s="1"/>
  <c r="V41" i="9"/>
  <c r="W41" i="9" s="1"/>
  <c r="Q42" i="43"/>
  <c r="C42" i="40"/>
  <c r="G42" i="40" s="1"/>
  <c r="K42" i="40" s="1"/>
  <c r="C42" i="41"/>
  <c r="G42" i="41" s="1"/>
  <c r="K42" i="41" s="1"/>
  <c r="I42" i="5" s="1"/>
  <c r="E69" i="72" s="1"/>
  <c r="R42" i="43"/>
  <c r="V42" i="9"/>
  <c r="W42" i="9" s="1"/>
  <c r="C43" i="40"/>
  <c r="G43" i="40" s="1"/>
  <c r="K43" i="40" s="1"/>
  <c r="C43" i="41"/>
  <c r="G43" i="41" s="1"/>
  <c r="K43" i="41" s="1"/>
  <c r="I43" i="5" s="1"/>
  <c r="E70" i="72" s="1"/>
  <c r="Q43" i="43"/>
  <c r="R43" i="43"/>
  <c r="G70" i="72" l="1"/>
  <c r="K70" i="72" s="1"/>
  <c r="U70" i="72"/>
  <c r="U69" i="72"/>
  <c r="G69" i="72"/>
  <c r="K69" i="72" s="1"/>
  <c r="U71" i="72"/>
  <c r="G71" i="72"/>
  <c r="V83" i="120"/>
  <c r="R123" i="120"/>
  <c r="K41" i="43"/>
  <c r="G43" i="5"/>
  <c r="G42" i="5"/>
  <c r="V40" i="9" l="1"/>
  <c r="C41" i="41"/>
  <c r="C41" i="40"/>
  <c r="R41" i="43"/>
  <c r="Q41" i="43"/>
  <c r="K46" i="43"/>
  <c r="G41" i="40" l="1"/>
  <c r="C48" i="40"/>
  <c r="C49" i="40"/>
  <c r="C46" i="40"/>
  <c r="G41" i="41"/>
  <c r="C49" i="41"/>
  <c r="C48" i="41"/>
  <c r="C46" i="41"/>
  <c r="W40" i="9"/>
  <c r="V45" i="9"/>
  <c r="K41" i="40" l="1"/>
  <c r="G48" i="40"/>
  <c r="G49" i="40"/>
  <c r="G46" i="40"/>
  <c r="K41" i="41"/>
  <c r="G49" i="41"/>
  <c r="G48" i="41"/>
  <c r="G46" i="41"/>
  <c r="I41" i="5" l="1"/>
  <c r="E68" i="72" s="1"/>
  <c r="K49" i="41"/>
  <c r="K48" i="41"/>
  <c r="K46" i="41"/>
  <c r="G41" i="5"/>
  <c r="K49" i="40"/>
  <c r="K48" i="40"/>
  <c r="K46" i="40"/>
  <c r="U68" i="72" l="1"/>
  <c r="G68" i="72"/>
  <c r="G46" i="5"/>
  <c r="G48" i="5"/>
  <c r="I46" i="5"/>
  <c r="I48" i="5"/>
  <c r="K68" i="72" l="1"/>
  <c r="G73" i="72"/>
  <c r="O42" i="68"/>
  <c r="O43" i="68"/>
  <c r="O44" i="68"/>
  <c r="O45" i="68"/>
  <c r="C42" i="69" l="1"/>
  <c r="G42" i="69" s="1"/>
  <c r="K42" i="69" s="1"/>
  <c r="G42" i="7" s="1"/>
  <c r="C42" i="70"/>
  <c r="G42" i="70" s="1"/>
  <c r="K42" i="70" s="1"/>
  <c r="I42" i="7" s="1"/>
  <c r="O41" i="68"/>
  <c r="C43" i="70"/>
  <c r="G43" i="70" s="1"/>
  <c r="K43" i="70" s="1"/>
  <c r="I43" i="7" s="1"/>
  <c r="C43" i="69"/>
  <c r="G43" i="69" s="1"/>
  <c r="K43" i="69" s="1"/>
  <c r="G43" i="7" s="1"/>
  <c r="C41" i="70"/>
  <c r="G41" i="70" s="1"/>
  <c r="K41" i="70" s="1"/>
  <c r="I41" i="7" s="1"/>
  <c r="C41" i="69"/>
  <c r="G41" i="69" s="1"/>
  <c r="K41" i="69" s="1"/>
  <c r="G41" i="7" s="1"/>
  <c r="C40" i="70"/>
  <c r="G40" i="70" s="1"/>
  <c r="K40" i="70" s="1"/>
  <c r="I40" i="7" s="1"/>
  <c r="C40" i="69"/>
  <c r="G40" i="69" s="1"/>
  <c r="K40" i="69" s="1"/>
  <c r="G40" i="7" s="1"/>
  <c r="K40" i="7" l="1"/>
  <c r="E83" i="72"/>
  <c r="U83" i="72" s="1"/>
  <c r="K43" i="7"/>
  <c r="K43" i="72" s="1"/>
  <c r="M43" i="72" s="1"/>
  <c r="E86" i="72"/>
  <c r="U86" i="72" s="1"/>
  <c r="K41" i="7"/>
  <c r="K41" i="72" s="1"/>
  <c r="M41" i="72" s="1"/>
  <c r="E84" i="72"/>
  <c r="U84" i="72" s="1"/>
  <c r="K42" i="7"/>
  <c r="M42" i="7" s="1"/>
  <c r="E85" i="72"/>
  <c r="U85" i="72" s="1"/>
  <c r="M40" i="7"/>
  <c r="C39" i="69"/>
  <c r="O48" i="68"/>
  <c r="C39" i="70"/>
  <c r="K40" i="72"/>
  <c r="M40" i="72" s="1"/>
  <c r="G83" i="72" l="1"/>
  <c r="K83" i="72" s="1"/>
  <c r="G86" i="72"/>
  <c r="M43" i="7"/>
  <c r="G84" i="72"/>
  <c r="K84" i="72" s="1"/>
  <c r="P84" i="72" s="1"/>
  <c r="W84" i="72" s="1"/>
  <c r="Y84" i="72" s="1"/>
  <c r="M41" i="7"/>
  <c r="K42" i="72"/>
  <c r="M42" i="72" s="1"/>
  <c r="AF42" i="11" s="1"/>
  <c r="AG42" i="11" s="1"/>
  <c r="G85" i="72"/>
  <c r="P83" i="72"/>
  <c r="W83" i="72" s="1"/>
  <c r="G39" i="70"/>
  <c r="C46" i="70"/>
  <c r="K40" i="12"/>
  <c r="Q41" i="15"/>
  <c r="C37" i="158"/>
  <c r="AF41" i="11"/>
  <c r="AG41" i="11" s="1"/>
  <c r="C41" i="11"/>
  <c r="I41" i="11" s="1"/>
  <c r="E18" i="96"/>
  <c r="AF40" i="11"/>
  <c r="AG40" i="11" s="1"/>
  <c r="O40" i="72"/>
  <c r="E17" i="96"/>
  <c r="C36" i="158"/>
  <c r="Q40" i="15"/>
  <c r="K39" i="12"/>
  <c r="C40" i="11"/>
  <c r="I40" i="11" s="1"/>
  <c r="C46" i="69"/>
  <c r="G39" i="69"/>
  <c r="C43" i="11"/>
  <c r="I43" i="11" s="1"/>
  <c r="E20" i="96"/>
  <c r="Q43" i="15"/>
  <c r="C39" i="158"/>
  <c r="AF43" i="11"/>
  <c r="AG43" i="11" s="1"/>
  <c r="K42" i="12"/>
  <c r="Q42" i="15" l="1"/>
  <c r="C42" i="11"/>
  <c r="I42" i="11" s="1"/>
  <c r="C42" i="78" s="1"/>
  <c r="E19" i="96"/>
  <c r="E23" i="96" s="1"/>
  <c r="K41" i="12"/>
  <c r="AA41" i="12" s="1"/>
  <c r="C38" i="158"/>
  <c r="C81" i="158" s="1"/>
  <c r="C124" i="158" s="1"/>
  <c r="Y83" i="72"/>
  <c r="C79" i="158"/>
  <c r="AA39" i="12"/>
  <c r="K40" i="129"/>
  <c r="C82" i="158"/>
  <c r="E40" i="8"/>
  <c r="I40" i="8" s="1"/>
  <c r="C41" i="105" s="1"/>
  <c r="C192" i="105" s="1"/>
  <c r="C80" i="158"/>
  <c r="K43" i="129"/>
  <c r="AA42" i="12"/>
  <c r="C41" i="78"/>
  <c r="C41" i="77"/>
  <c r="I41" i="77" s="1"/>
  <c r="G41" i="79" s="1"/>
  <c r="K39" i="69"/>
  <c r="G46" i="69"/>
  <c r="AA40" i="12"/>
  <c r="K41" i="129"/>
  <c r="C43" i="78"/>
  <c r="I43" i="78" s="1"/>
  <c r="I43" i="79" s="1"/>
  <c r="K43" i="79" s="1"/>
  <c r="O43" i="79" s="1"/>
  <c r="C43" i="77"/>
  <c r="I43" i="77" s="1"/>
  <c r="G43" i="79" s="1"/>
  <c r="C40" i="78"/>
  <c r="C40" i="77"/>
  <c r="I40" i="77" s="1"/>
  <c r="G40" i="79" s="1"/>
  <c r="K39" i="70"/>
  <c r="G46" i="70"/>
  <c r="C42" i="77" l="1"/>
  <c r="I42" i="77" s="1"/>
  <c r="G42" i="79" s="1"/>
  <c r="K42" i="129"/>
  <c r="AA42" i="129" s="1"/>
  <c r="O41" i="120" s="1"/>
  <c r="I40" i="78"/>
  <c r="I40" i="79" s="1"/>
  <c r="K40" i="79" s="1"/>
  <c r="O40" i="79" s="1"/>
  <c r="Y55" i="79"/>
  <c r="G39" i="7"/>
  <c r="G46" i="7" s="1"/>
  <c r="K46" i="69"/>
  <c r="C125" i="158"/>
  <c r="E42" i="12"/>
  <c r="C123" i="158"/>
  <c r="Y56" i="79"/>
  <c r="AA56" i="79" s="1"/>
  <c r="I41" i="78"/>
  <c r="I41" i="79" s="1"/>
  <c r="K41" i="79" s="1"/>
  <c r="O41" i="79" s="1"/>
  <c r="C122" i="158"/>
  <c r="AA43" i="129"/>
  <c r="O42" i="120" s="1"/>
  <c r="I42" i="78"/>
  <c r="I42" i="79" s="1"/>
  <c r="K42" i="79" s="1"/>
  <c r="O42" i="79" s="1"/>
  <c r="Y57" i="79"/>
  <c r="AA57" i="79" s="1"/>
  <c r="K46" i="70"/>
  <c r="I39" i="7"/>
  <c r="AA41" i="129"/>
  <c r="O40" i="120" s="1"/>
  <c r="AA40" i="129"/>
  <c r="O39" i="120" s="1"/>
  <c r="AA59" i="79" l="1"/>
  <c r="K39" i="7"/>
  <c r="E82" i="72"/>
  <c r="U82" i="72" s="1"/>
  <c r="M39" i="7"/>
  <c r="E40" i="12"/>
  <c r="M41" i="120"/>
  <c r="N41" i="120" s="1"/>
  <c r="E39" i="12"/>
  <c r="I46" i="7"/>
  <c r="E43" i="129"/>
  <c r="O42" i="12"/>
  <c r="E41" i="12"/>
  <c r="M39" i="120"/>
  <c r="M42" i="120"/>
  <c r="N42" i="120" s="1"/>
  <c r="M40" i="120"/>
  <c r="G82" i="72" l="1"/>
  <c r="G89" i="72"/>
  <c r="K82" i="72"/>
  <c r="P82" i="72" s="1"/>
  <c r="W82" i="72" s="1"/>
  <c r="Y82" i="72" s="1"/>
  <c r="Q41" i="120"/>
  <c r="Q42" i="120"/>
  <c r="G39" i="12"/>
  <c r="E40" i="13" s="1"/>
  <c r="I40" i="13" s="1"/>
  <c r="O41" i="105" s="1"/>
  <c r="O192" i="105" s="1"/>
  <c r="E40" i="129"/>
  <c r="G40" i="129" s="1"/>
  <c r="O39" i="12"/>
  <c r="P41" i="120"/>
  <c r="P40" i="120"/>
  <c r="E41" i="129"/>
  <c r="O40" i="12"/>
  <c r="O43" i="129"/>
  <c r="AE42" i="12"/>
  <c r="P39" i="120"/>
  <c r="E42" i="129"/>
  <c r="O41" i="12"/>
  <c r="N40" i="120"/>
  <c r="N39" i="120"/>
  <c r="P42" i="120"/>
  <c r="K39" i="72"/>
  <c r="K46" i="7"/>
  <c r="AE43" i="129" l="1"/>
  <c r="O122" i="120" s="1"/>
  <c r="O82" i="120" s="1"/>
  <c r="AA39" i="158"/>
  <c r="O40" i="129"/>
  <c r="AE39" i="12"/>
  <c r="AE40" i="12"/>
  <c r="O41" i="129"/>
  <c r="C107" i="105"/>
  <c r="M39" i="72"/>
  <c r="K46" i="72"/>
  <c r="AE41" i="12"/>
  <c r="O42" i="129"/>
  <c r="R42" i="120"/>
  <c r="Q40" i="120"/>
  <c r="R40" i="120" s="1"/>
  <c r="Q39" i="120"/>
  <c r="R41" i="120"/>
  <c r="AA37" i="158" l="1"/>
  <c r="AE41" i="129"/>
  <c r="O120" i="120" s="1"/>
  <c r="O80" i="120" s="1"/>
  <c r="AA36" i="158"/>
  <c r="AE40" i="129"/>
  <c r="O119" i="120" s="1"/>
  <c r="O79" i="120" s="1"/>
  <c r="O39" i="158"/>
  <c r="AA38" i="158"/>
  <c r="AE42" i="129"/>
  <c r="O121" i="120" s="1"/>
  <c r="O81" i="120" s="1"/>
  <c r="N82" i="120"/>
  <c r="Q39" i="15"/>
  <c r="C39" i="11"/>
  <c r="K38" i="12"/>
  <c r="C35" i="158"/>
  <c r="AF39" i="11"/>
  <c r="R39" i="120"/>
  <c r="O36" i="158" l="1"/>
  <c r="N81" i="120"/>
  <c r="N80" i="120"/>
  <c r="O37" i="158"/>
  <c r="AG39" i="11"/>
  <c r="C78" i="158"/>
  <c r="C121" i="158" s="1"/>
  <c r="AA38" i="12"/>
  <c r="K39" i="129"/>
  <c r="Q82" i="120"/>
  <c r="Q122" i="120" s="1"/>
  <c r="N122" i="120"/>
  <c r="N79" i="120"/>
  <c r="M79" i="120" s="1"/>
  <c r="O38" i="158"/>
  <c r="M82" i="120"/>
  <c r="O82" i="158"/>
  <c r="O125" i="158" s="1"/>
  <c r="I39" i="11"/>
  <c r="O80" i="158" l="1"/>
  <c r="Q80" i="120"/>
  <c r="Q120" i="120" s="1"/>
  <c r="N120" i="120"/>
  <c r="O81" i="158"/>
  <c r="M80" i="120"/>
  <c r="Q81" i="120"/>
  <c r="Q121" i="120" s="1"/>
  <c r="N121" i="120"/>
  <c r="C39" i="78"/>
  <c r="C39" i="77"/>
  <c r="M81" i="120"/>
  <c r="P79" i="120"/>
  <c r="M119" i="120"/>
  <c r="AA39" i="129"/>
  <c r="AA125" i="158"/>
  <c r="AA82" i="158"/>
  <c r="Q79" i="120"/>
  <c r="Q119" i="120" s="1"/>
  <c r="N119" i="120"/>
  <c r="O79" i="158"/>
  <c r="O122" i="158" s="1"/>
  <c r="P82" i="120"/>
  <c r="M122" i="120"/>
  <c r="P80" i="120" l="1"/>
  <c r="M120" i="120"/>
  <c r="P81" i="120"/>
  <c r="M121" i="120"/>
  <c r="AA81" i="158"/>
  <c r="O124" i="158"/>
  <c r="R82" i="120"/>
  <c r="P122" i="120"/>
  <c r="I39" i="77"/>
  <c r="I39" i="78"/>
  <c r="Y54" i="79"/>
  <c r="O38" i="120"/>
  <c r="R79" i="120"/>
  <c r="P119" i="120"/>
  <c r="AA80" i="158"/>
  <c r="AA122" i="158"/>
  <c r="AA79" i="158"/>
  <c r="O123" i="158"/>
  <c r="I39" i="79" l="1"/>
  <c r="M38" i="120"/>
  <c r="N38" i="120" s="1"/>
  <c r="V82" i="120"/>
  <c r="R122" i="120"/>
  <c r="R81" i="120"/>
  <c r="P121" i="120"/>
  <c r="R80" i="120"/>
  <c r="P120" i="120"/>
  <c r="AA124" i="158"/>
  <c r="G39" i="79"/>
  <c r="V79" i="120"/>
  <c r="R119" i="120"/>
  <c r="AA123" i="158"/>
  <c r="Q38" i="120" l="1"/>
  <c r="P38" i="120"/>
  <c r="V80" i="120"/>
  <c r="R120" i="120"/>
  <c r="V81" i="120"/>
  <c r="R121" i="120"/>
  <c r="K39" i="79"/>
  <c r="R38" i="120" l="1"/>
  <c r="O39" i="79"/>
  <c r="E38" i="12" l="1"/>
  <c r="G38" i="12" l="1"/>
  <c r="E39" i="129"/>
  <c r="O38" i="12"/>
  <c r="E39" i="13" l="1"/>
  <c r="G39" i="129"/>
  <c r="AE38" i="12"/>
  <c r="O39" i="129"/>
  <c r="I39" i="13" l="1"/>
  <c r="AA35" i="158"/>
  <c r="AE39" i="129"/>
  <c r="O35" i="158" l="1"/>
  <c r="O118" i="120"/>
  <c r="O78" i="120" l="1"/>
  <c r="O78" i="158"/>
  <c r="O121" i="158" s="1"/>
  <c r="AA78" i="158" l="1"/>
  <c r="AA121" i="158"/>
  <c r="N78" i="120"/>
  <c r="M78" i="120" s="1"/>
  <c r="Q78" i="120" l="1"/>
  <c r="N118" i="120"/>
  <c r="P78" i="120"/>
  <c r="M118" i="120"/>
  <c r="R78" i="120" l="1"/>
  <c r="P118" i="120"/>
  <c r="Q118" i="120"/>
  <c r="V78" i="120" l="1"/>
  <c r="R118" i="120"/>
  <c r="G31" i="115" l="1"/>
  <c r="I31" i="115" s="1"/>
  <c r="C31" i="84" s="1"/>
  <c r="I42" i="109"/>
  <c r="I31" i="84" l="1"/>
  <c r="K31" i="84"/>
  <c r="C42" i="84"/>
  <c r="I31" i="87"/>
  <c r="C42" i="87"/>
  <c r="K31" i="87"/>
  <c r="S31" i="84" l="1"/>
  <c r="K42" i="84"/>
  <c r="Q31" i="84"/>
  <c r="I42" i="84"/>
  <c r="S31" i="87"/>
  <c r="K42" i="87"/>
  <c r="Q31" i="87"/>
  <c r="I42" i="87"/>
  <c r="Q42" i="84" l="1"/>
  <c r="U31" i="84"/>
  <c r="S42" i="84"/>
  <c r="Q42" i="87"/>
  <c r="S42" i="87"/>
  <c r="AI31" i="84" l="1"/>
  <c r="W31" i="84"/>
  <c r="U42" i="84"/>
  <c r="AG42" i="87"/>
  <c r="U18" i="130" s="1"/>
  <c r="W21" i="128" s="1"/>
  <c r="AC33" i="54"/>
  <c r="AC52" i="54" l="1"/>
  <c r="S46" i="28"/>
  <c r="S52" i="28" s="1"/>
  <c r="W42" i="84"/>
  <c r="AI42" i="84"/>
  <c r="AB33" i="54"/>
  <c r="Q27" i="54"/>
  <c r="AG52" i="54"/>
  <c r="AB52" i="54"/>
  <c r="I27" i="23"/>
  <c r="M27" i="23" s="1"/>
  <c r="M33" i="23" s="1"/>
  <c r="S27" i="28"/>
  <c r="S27" i="54" s="1"/>
  <c r="AG33" i="54"/>
  <c r="Q27" i="111"/>
  <c r="AW41" i="105"/>
  <c r="I46" i="23"/>
  <c r="U27" i="111"/>
  <c r="AW81" i="105"/>
  <c r="AA27" i="54"/>
  <c r="AA33" i="54" s="1"/>
  <c r="AA46" i="54"/>
  <c r="AA52" i="54" s="1"/>
  <c r="G21" i="20" l="1"/>
  <c r="I33" i="23"/>
  <c r="AF41" i="105"/>
  <c r="R82" i="15" s="1"/>
  <c r="S27" i="107"/>
  <c r="S33" i="107" s="1"/>
  <c r="AK27" i="54"/>
  <c r="M27" i="54"/>
  <c r="M33" i="54" s="1"/>
  <c r="M34" i="54" s="1"/>
  <c r="AH33" i="54"/>
  <c r="M27" i="28"/>
  <c r="M33" i="28" s="1"/>
  <c r="W27" i="111"/>
  <c r="W33" i="111" s="1"/>
  <c r="K46" i="54"/>
  <c r="K52" i="54" s="1"/>
  <c r="K53" i="54" s="1"/>
  <c r="K46" i="28"/>
  <c r="K52" i="28" s="1"/>
  <c r="K28" i="108"/>
  <c r="AK46" i="54"/>
  <c r="AK52" i="54" s="1"/>
  <c r="AH52" i="54"/>
  <c r="K27" i="28"/>
  <c r="K33" i="28" s="1"/>
  <c r="K27" i="54"/>
  <c r="K33" i="54" s="1"/>
  <c r="S33" i="54"/>
  <c r="S33" i="28"/>
  <c r="U27" i="107"/>
  <c r="U33" i="107" s="1"/>
  <c r="B39" i="121"/>
  <c r="AW121" i="105"/>
  <c r="AW87" i="105"/>
  <c r="AW89" i="105" s="1"/>
  <c r="M46" i="23"/>
  <c r="I52" i="23"/>
  <c r="I65" i="23"/>
  <c r="I71" i="23" s="1"/>
  <c r="AW47" i="105"/>
  <c r="D9" i="135"/>
  <c r="D11" i="135" s="1"/>
  <c r="E21" i="82"/>
  <c r="G27" i="20"/>
  <c r="Q33" i="111"/>
  <c r="U33" i="111"/>
  <c r="M46" i="28"/>
  <c r="M52" i="28" s="1"/>
  <c r="M46" i="54"/>
  <c r="M52" i="54" s="1"/>
  <c r="O21" i="82"/>
  <c r="S27" i="111"/>
  <c r="S33" i="111" s="1"/>
  <c r="X82" i="15" l="1"/>
  <c r="T82" i="15"/>
  <c r="T88" i="15" s="1"/>
  <c r="R88" i="15"/>
  <c r="AW49" i="105"/>
  <c r="G43" i="130" s="1"/>
  <c r="AF47" i="105"/>
  <c r="AA27" i="111"/>
  <c r="AA33" i="111" s="1"/>
  <c r="I27" i="118"/>
  <c r="O28" i="108"/>
  <c r="K34" i="108"/>
  <c r="AK33" i="54"/>
  <c r="Y27" i="111"/>
  <c r="Y33" i="111" s="1"/>
  <c r="I27" i="107"/>
  <c r="K34" i="54"/>
  <c r="C21" i="20"/>
  <c r="B39" i="139"/>
  <c r="B45" i="139" s="1"/>
  <c r="G39" i="121"/>
  <c r="H39" i="121"/>
  <c r="B45" i="121"/>
  <c r="I39" i="121"/>
  <c r="M53" i="54"/>
  <c r="AW127" i="105"/>
  <c r="M52" i="23"/>
  <c r="M65" i="23"/>
  <c r="M71" i="23" s="1"/>
  <c r="I21" i="82"/>
  <c r="E27" i="82"/>
  <c r="I46" i="118"/>
  <c r="X88" i="15" l="1"/>
  <c r="AF81" i="105"/>
  <c r="AF131" i="105" s="1"/>
  <c r="AF137" i="105" s="1"/>
  <c r="AG139" i="105" s="1"/>
  <c r="G37" i="20"/>
  <c r="G43" i="20" s="1"/>
  <c r="E37" i="82"/>
  <c r="E43" i="82" s="1"/>
  <c r="M27" i="118"/>
  <c r="M33" i="118" s="1"/>
  <c r="AF33" i="118" s="1"/>
  <c r="I33" i="118"/>
  <c r="AB33" i="118" s="1"/>
  <c r="AC27" i="111"/>
  <c r="AE34" i="111" s="1"/>
  <c r="AF49" i="105"/>
  <c r="I65" i="118"/>
  <c r="I71" i="118" s="1"/>
  <c r="I119" i="121"/>
  <c r="I125" i="121" s="1"/>
  <c r="J39" i="121"/>
  <c r="I45" i="121"/>
  <c r="I39" i="139"/>
  <c r="I46" i="28"/>
  <c r="I33" i="28"/>
  <c r="Q27" i="28"/>
  <c r="I46" i="54"/>
  <c r="I33" i="54"/>
  <c r="M21" i="82"/>
  <c r="M27" i="82" s="1"/>
  <c r="I27" i="82"/>
  <c r="M46" i="118"/>
  <c r="M52" i="118" s="1"/>
  <c r="I52" i="118"/>
  <c r="H39" i="139"/>
  <c r="H119" i="139" s="1"/>
  <c r="H119" i="121"/>
  <c r="G119" i="121"/>
  <c r="G125" i="121" s="1"/>
  <c r="G39" i="139"/>
  <c r="G45" i="121"/>
  <c r="I28" i="108"/>
  <c r="I33" i="107"/>
  <c r="C27" i="20"/>
  <c r="C37" i="20"/>
  <c r="C43" i="20" s="1"/>
  <c r="AA67" i="15" l="1"/>
  <c r="AA69" i="15"/>
  <c r="AA64" i="15"/>
  <c r="Z64" i="15"/>
  <c r="Z67" i="15"/>
  <c r="Z66" i="15"/>
  <c r="AA65" i="15"/>
  <c r="Z65" i="15"/>
  <c r="Z68" i="15"/>
  <c r="AA68" i="15"/>
  <c r="AI68" i="15" s="1"/>
  <c r="AA66" i="15"/>
  <c r="Z69" i="15"/>
  <c r="AA70" i="15"/>
  <c r="Z70" i="15"/>
  <c r="Z71" i="15"/>
  <c r="AA71" i="15"/>
  <c r="AI71" i="15" s="1"/>
  <c r="AA62" i="15"/>
  <c r="AA61" i="15"/>
  <c r="AA63" i="15"/>
  <c r="Z60" i="15"/>
  <c r="AA59" i="15"/>
  <c r="Z63" i="15"/>
  <c r="AA60" i="15"/>
  <c r="AI60" i="15" s="1"/>
  <c r="AA58" i="15"/>
  <c r="Z62" i="15"/>
  <c r="Z59" i="15"/>
  <c r="Z58" i="15"/>
  <c r="Z61" i="15"/>
  <c r="AA75" i="15"/>
  <c r="AA83" i="15"/>
  <c r="AA81" i="15"/>
  <c r="Z78" i="15"/>
  <c r="AA74" i="15"/>
  <c r="AA79" i="15"/>
  <c r="AA82" i="15"/>
  <c r="AA76" i="15"/>
  <c r="Z74" i="15"/>
  <c r="AA72" i="15"/>
  <c r="AA84" i="15"/>
  <c r="AI84" i="15" s="1"/>
  <c r="Z76" i="15"/>
  <c r="AA78" i="15"/>
  <c r="AA73" i="15"/>
  <c r="AA86" i="15"/>
  <c r="Z72" i="15"/>
  <c r="AA80" i="15"/>
  <c r="AA77" i="15"/>
  <c r="AA85" i="15"/>
  <c r="Z77" i="15"/>
  <c r="Z84" i="15"/>
  <c r="Z86" i="15"/>
  <c r="Z75" i="15"/>
  <c r="Z80" i="15"/>
  <c r="Z73" i="15"/>
  <c r="Z85" i="15"/>
  <c r="Z83" i="15"/>
  <c r="Z79" i="15"/>
  <c r="Z81" i="15"/>
  <c r="Z82" i="15"/>
  <c r="AG50" i="105"/>
  <c r="AF87" i="105"/>
  <c r="AF89" i="105" s="1"/>
  <c r="AE27" i="111"/>
  <c r="AC33" i="111"/>
  <c r="AE33" i="111" s="1"/>
  <c r="Y42" i="118"/>
  <c r="AG30" i="111"/>
  <c r="AH30" i="111" s="1"/>
  <c r="AG27" i="111"/>
  <c r="AH27" i="111" s="1"/>
  <c r="AG29" i="111"/>
  <c r="AH29" i="111" s="1"/>
  <c r="AG26" i="111"/>
  <c r="AH26" i="111" s="1"/>
  <c r="AG28" i="111"/>
  <c r="AH28" i="111" s="1"/>
  <c r="AG31" i="111"/>
  <c r="AH31" i="111" s="1"/>
  <c r="AK22" i="111"/>
  <c r="M65" i="118"/>
  <c r="M71" i="118" s="1"/>
  <c r="G22" i="130"/>
  <c r="I27" i="53"/>
  <c r="I33" i="53" s="1"/>
  <c r="Q33" i="54"/>
  <c r="I52" i="54"/>
  <c r="Q46" i="54"/>
  <c r="I45" i="139"/>
  <c r="I119" i="139"/>
  <c r="I125" i="139" s="1"/>
  <c r="I127" i="139" s="1"/>
  <c r="J39" i="139"/>
  <c r="J119" i="139" s="1"/>
  <c r="J119" i="121"/>
  <c r="O34" i="54"/>
  <c r="O34" i="28"/>
  <c r="I52" i="28"/>
  <c r="Q46" i="28"/>
  <c r="O34" i="108"/>
  <c r="I34" i="108"/>
  <c r="E27" i="53"/>
  <c r="E33" i="53" s="1"/>
  <c r="Q33" i="28"/>
  <c r="G45" i="139"/>
  <c r="G119" i="139"/>
  <c r="G125" i="139" s="1"/>
  <c r="C133" i="139" s="1"/>
  <c r="C137" i="139" s="1"/>
  <c r="AI85" i="15" l="1"/>
  <c r="AI80" i="15"/>
  <c r="AI59" i="15"/>
  <c r="AI76" i="15"/>
  <c r="AI86" i="15"/>
  <c r="AI66" i="15"/>
  <c r="AI73" i="15"/>
  <c r="AI74" i="15"/>
  <c r="AI62" i="15"/>
  <c r="AI79" i="15"/>
  <c r="AI61" i="15"/>
  <c r="AI82" i="15"/>
  <c r="AI77" i="15"/>
  <c r="AI58" i="15"/>
  <c r="AA88" i="15"/>
  <c r="AI81" i="15"/>
  <c r="AI63" i="15"/>
  <c r="AI65" i="15"/>
  <c r="AI83" i="15"/>
  <c r="AI78" i="15"/>
  <c r="AI75" i="15"/>
  <c r="Z88" i="15"/>
  <c r="AI64" i="15"/>
  <c r="AI72" i="15"/>
  <c r="AI69" i="15"/>
  <c r="AI70" i="15"/>
  <c r="AI67" i="15"/>
  <c r="K26" i="107"/>
  <c r="C26" i="54" s="1"/>
  <c r="G26" i="54" s="1"/>
  <c r="O26" i="54" s="1"/>
  <c r="G26" i="53" s="1"/>
  <c r="Y22" i="130"/>
  <c r="K28" i="107"/>
  <c r="C28" i="54" s="1"/>
  <c r="G28" i="54" s="1"/>
  <c r="O28" i="54" s="1"/>
  <c r="Q52" i="54"/>
  <c r="I46" i="53"/>
  <c r="I52" i="53" s="1"/>
  <c r="K31" i="107"/>
  <c r="C31" i="54" s="1"/>
  <c r="G31" i="54" s="1"/>
  <c r="O31" i="54" s="1"/>
  <c r="K29" i="107"/>
  <c r="C29" i="54" s="1"/>
  <c r="G29" i="54" s="1"/>
  <c r="O29" i="54" s="1"/>
  <c r="E46" i="53"/>
  <c r="E52" i="53" s="1"/>
  <c r="Q52" i="28"/>
  <c r="K27" i="107"/>
  <c r="C27" i="54" s="1"/>
  <c r="G27" i="54" s="1"/>
  <c r="O27" i="54" s="1"/>
  <c r="AH33" i="111"/>
  <c r="AG33" i="111"/>
  <c r="K30" i="107"/>
  <c r="C30" i="54" s="1"/>
  <c r="G30" i="54" s="1"/>
  <c r="O30" i="54" s="1"/>
  <c r="O53" i="54"/>
  <c r="G127" i="139"/>
  <c r="C26" i="28" l="1"/>
  <c r="G26" i="28" s="1"/>
  <c r="O26" i="28" s="1"/>
  <c r="C26" i="53" s="1"/>
  <c r="K26" i="53" s="1"/>
  <c r="C27" i="108" s="1"/>
  <c r="G27" i="108" s="1"/>
  <c r="C45" i="28" s="1"/>
  <c r="G45" i="28" s="1"/>
  <c r="O45" i="28" s="1"/>
  <c r="C45" i="53" s="1"/>
  <c r="K45" i="53" s="1"/>
  <c r="M26" i="107"/>
  <c r="AI88" i="15"/>
  <c r="G29" i="53"/>
  <c r="M29" i="107"/>
  <c r="C29" i="28"/>
  <c r="G29" i="28" s="1"/>
  <c r="O29" i="28" s="1"/>
  <c r="C29" i="53" s="1"/>
  <c r="K33" i="107"/>
  <c r="C27" i="28"/>
  <c r="M27" i="107"/>
  <c r="C28" i="28"/>
  <c r="G28" i="28" s="1"/>
  <c r="O28" i="28" s="1"/>
  <c r="C28" i="53" s="1"/>
  <c r="G28" i="53"/>
  <c r="M28" i="107"/>
  <c r="M30" i="107"/>
  <c r="G30" i="53"/>
  <c r="C30" i="28"/>
  <c r="G30" i="28" s="1"/>
  <c r="O30" i="28" s="1"/>
  <c r="C30" i="53" s="1"/>
  <c r="G31" i="53"/>
  <c r="M31" i="107"/>
  <c r="C31" i="28"/>
  <c r="G31" i="28" s="1"/>
  <c r="O31" i="28" s="1"/>
  <c r="C31" i="53" s="1"/>
  <c r="AC31" i="23" s="1"/>
  <c r="C45" i="23" l="1"/>
  <c r="C45" i="133"/>
  <c r="C26" i="118"/>
  <c r="O26" i="118" s="1"/>
  <c r="C26" i="133"/>
  <c r="C64" i="133" s="1"/>
  <c r="C45" i="54"/>
  <c r="G45" i="54" s="1"/>
  <c r="O45" i="54" s="1"/>
  <c r="G45" i="53" s="1"/>
  <c r="AC26" i="23"/>
  <c r="C45" i="118"/>
  <c r="O45" i="118" s="1"/>
  <c r="C26" i="23"/>
  <c r="O26" i="23" s="1"/>
  <c r="AC28" i="23"/>
  <c r="K28" i="53"/>
  <c r="C29" i="108" s="1"/>
  <c r="G29" i="108" s="1"/>
  <c r="AC29" i="23"/>
  <c r="K29" i="53"/>
  <c r="AC30" i="23"/>
  <c r="AG30" i="23" s="1"/>
  <c r="K30" i="53"/>
  <c r="AB26" i="118"/>
  <c r="Q40" i="105"/>
  <c r="O45" i="23"/>
  <c r="M33" i="107"/>
  <c r="C33" i="54"/>
  <c r="G27" i="28"/>
  <c r="C33" i="28"/>
  <c r="C64" i="23" l="1"/>
  <c r="E40" i="105"/>
  <c r="C64" i="118"/>
  <c r="C29" i="133"/>
  <c r="C30" i="108"/>
  <c r="G30" i="108" s="1"/>
  <c r="C30" i="118"/>
  <c r="AB30" i="118" s="1"/>
  <c r="C31" i="108"/>
  <c r="G31" i="108" s="1"/>
  <c r="C47" i="54"/>
  <c r="G47" i="54" s="1"/>
  <c r="O47" i="54" s="1"/>
  <c r="G47" i="53" s="1"/>
  <c r="C47" i="28"/>
  <c r="G47" i="28" s="1"/>
  <c r="O47" i="28" s="1"/>
  <c r="C47" i="53" s="1"/>
  <c r="K47" i="53" s="1"/>
  <c r="Q191" i="105"/>
  <c r="E191" i="105"/>
  <c r="C30" i="133"/>
  <c r="C30" i="23"/>
  <c r="O30" i="23" s="1"/>
  <c r="C29" i="118"/>
  <c r="AB29" i="118" s="1"/>
  <c r="C29" i="23"/>
  <c r="C28" i="133"/>
  <c r="C28" i="118"/>
  <c r="O28" i="118" s="1"/>
  <c r="C28" i="23"/>
  <c r="E106" i="105"/>
  <c r="R39" i="15"/>
  <c r="O64" i="23"/>
  <c r="O118" i="121"/>
  <c r="AB35" i="158"/>
  <c r="D35" i="158"/>
  <c r="O38" i="121"/>
  <c r="O64" i="118"/>
  <c r="G33" i="28"/>
  <c r="O27" i="28"/>
  <c r="G33" i="54"/>
  <c r="O30" i="118" l="1"/>
  <c r="O29" i="118"/>
  <c r="E44" i="105"/>
  <c r="E195" i="105" s="1"/>
  <c r="C47" i="23"/>
  <c r="C66" i="23" s="1"/>
  <c r="C47" i="133"/>
  <c r="C66" i="133" s="1"/>
  <c r="C47" i="118"/>
  <c r="C49" i="54"/>
  <c r="G49" i="54" s="1"/>
  <c r="O49" i="54" s="1"/>
  <c r="G49" i="53" s="1"/>
  <c r="C49" i="28"/>
  <c r="G49" i="28" s="1"/>
  <c r="O49" i="28" s="1"/>
  <c r="C49" i="53" s="1"/>
  <c r="K49" i="53" s="1"/>
  <c r="C48" i="54"/>
  <c r="G48" i="54" s="1"/>
  <c r="O48" i="54" s="1"/>
  <c r="G48" i="53" s="1"/>
  <c r="C48" i="28"/>
  <c r="G48" i="28" s="1"/>
  <c r="O48" i="28" s="1"/>
  <c r="C48" i="53" s="1"/>
  <c r="K48" i="53" s="1"/>
  <c r="O29" i="23"/>
  <c r="E43" i="105"/>
  <c r="E194" i="105" s="1"/>
  <c r="AB28" i="118"/>
  <c r="O28" i="23"/>
  <c r="R41" i="15" s="1"/>
  <c r="E42" i="105"/>
  <c r="M38" i="121"/>
  <c r="N38" i="121" s="1"/>
  <c r="O78" i="121"/>
  <c r="N78" i="121" s="1"/>
  <c r="D78" i="158"/>
  <c r="D121" i="158" s="1"/>
  <c r="P35" i="158"/>
  <c r="D38" i="158"/>
  <c r="O41" i="121"/>
  <c r="D39" i="158"/>
  <c r="O42" i="121"/>
  <c r="G27" i="53"/>
  <c r="G33" i="53" s="1"/>
  <c r="O33" i="54"/>
  <c r="R43" i="15"/>
  <c r="D37" i="158"/>
  <c r="O40" i="121"/>
  <c r="C27" i="53"/>
  <c r="K27" i="53" s="1"/>
  <c r="C28" i="108" s="1"/>
  <c r="O33" i="28"/>
  <c r="C48" i="118" l="1"/>
  <c r="C48" i="23"/>
  <c r="C48" i="133"/>
  <c r="C67" i="133" s="1"/>
  <c r="C49" i="118"/>
  <c r="C49" i="23"/>
  <c r="C49" i="133"/>
  <c r="C68" i="133" s="1"/>
  <c r="O47" i="118"/>
  <c r="R42" i="15"/>
  <c r="Q42" i="105"/>
  <c r="Q193" i="105" s="1"/>
  <c r="O47" i="23"/>
  <c r="O66" i="23" s="1"/>
  <c r="G28" i="108"/>
  <c r="C66" i="118"/>
  <c r="E193" i="105"/>
  <c r="AC27" i="23"/>
  <c r="P78" i="158"/>
  <c r="AB78" i="158" s="1"/>
  <c r="M78" i="121"/>
  <c r="P78" i="121" s="1"/>
  <c r="Q78" i="121"/>
  <c r="Q38" i="121"/>
  <c r="N118" i="121"/>
  <c r="P38" i="121"/>
  <c r="M41" i="121"/>
  <c r="N41" i="121" s="1"/>
  <c r="D81" i="158"/>
  <c r="D124" i="158" s="1"/>
  <c r="M42" i="121"/>
  <c r="N42" i="121" s="1"/>
  <c r="D82" i="158"/>
  <c r="M40" i="121"/>
  <c r="N40" i="121" s="1"/>
  <c r="D80" i="158"/>
  <c r="C33" i="53"/>
  <c r="E108" i="105" l="1"/>
  <c r="O49" i="23"/>
  <c r="O68" i="23" s="1"/>
  <c r="Q44" i="105"/>
  <c r="C68" i="23"/>
  <c r="O49" i="118"/>
  <c r="C68" i="118"/>
  <c r="C46" i="54"/>
  <c r="C46" i="28"/>
  <c r="Q43" i="105"/>
  <c r="O48" i="23"/>
  <c r="O67" i="23" s="1"/>
  <c r="C67" i="23"/>
  <c r="O48" i="118"/>
  <c r="C67" i="118"/>
  <c r="O120" i="121"/>
  <c r="O80" i="121" s="1"/>
  <c r="N80" i="121" s="1"/>
  <c r="Q80" i="121" s="1"/>
  <c r="O66" i="118"/>
  <c r="AB37" i="158"/>
  <c r="P37" i="158" s="1"/>
  <c r="P80" i="158" s="1"/>
  <c r="AC33" i="23"/>
  <c r="Q118" i="121"/>
  <c r="R78" i="121"/>
  <c r="V78" i="121" s="1"/>
  <c r="P121" i="158"/>
  <c r="M118" i="121"/>
  <c r="R38" i="121"/>
  <c r="P118" i="121"/>
  <c r="P125" i="121" s="1"/>
  <c r="P40" i="121"/>
  <c r="Q40" i="121"/>
  <c r="Q42" i="121"/>
  <c r="C27" i="23"/>
  <c r="C34" i="23" s="1"/>
  <c r="C27" i="133"/>
  <c r="C27" i="118"/>
  <c r="Q41" i="121"/>
  <c r="P42" i="121"/>
  <c r="P41" i="121"/>
  <c r="D125" i="158"/>
  <c r="D123" i="158"/>
  <c r="G46" i="54" l="1"/>
  <c r="O67" i="118"/>
  <c r="AB38" i="158"/>
  <c r="P38" i="158" s="1"/>
  <c r="P81" i="158" s="1"/>
  <c r="O121" i="121"/>
  <c r="O81" i="121" s="1"/>
  <c r="N81" i="121" s="1"/>
  <c r="Q81" i="121" s="1"/>
  <c r="Q121" i="121" s="1"/>
  <c r="Q194" i="105"/>
  <c r="E109" i="105"/>
  <c r="G46" i="28"/>
  <c r="O68" i="118"/>
  <c r="O122" i="121"/>
  <c r="O82" i="121" s="1"/>
  <c r="N82" i="121" s="1"/>
  <c r="Q82" i="121" s="1"/>
  <c r="Q122" i="121" s="1"/>
  <c r="AB39" i="158"/>
  <c r="P39" i="158" s="1"/>
  <c r="P82" i="158" s="1"/>
  <c r="AB82" i="158" s="1"/>
  <c r="Q195" i="105"/>
  <c r="E110" i="105"/>
  <c r="R118" i="121"/>
  <c r="AB121" i="158"/>
  <c r="P123" i="158"/>
  <c r="AB123" i="158" s="1"/>
  <c r="AB80" i="158"/>
  <c r="M80" i="121"/>
  <c r="P80" i="121" s="1"/>
  <c r="R80" i="121" s="1"/>
  <c r="V80" i="121" s="1"/>
  <c r="Q120" i="121"/>
  <c r="N120" i="121"/>
  <c r="E41" i="105"/>
  <c r="E201" i="105" s="1"/>
  <c r="O27" i="23"/>
  <c r="R41" i="121"/>
  <c r="R42" i="121"/>
  <c r="R40" i="121"/>
  <c r="AB27" i="118"/>
  <c r="O27" i="118"/>
  <c r="P124" i="158"/>
  <c r="AB81" i="158"/>
  <c r="N121" i="121" l="1"/>
  <c r="M81" i="121"/>
  <c r="M121" i="121" s="1"/>
  <c r="N122" i="121"/>
  <c r="M82" i="121"/>
  <c r="M122" i="121" s="1"/>
  <c r="O46" i="54"/>
  <c r="O46" i="28"/>
  <c r="P125" i="158"/>
  <c r="AB125" i="158" s="1"/>
  <c r="E192" i="105"/>
  <c r="M120" i="121"/>
  <c r="P120" i="121"/>
  <c r="P81" i="121"/>
  <c r="R120" i="121"/>
  <c r="R40" i="15"/>
  <c r="O39" i="121"/>
  <c r="D36" i="158"/>
  <c r="AB124" i="158"/>
  <c r="P82" i="121" l="1"/>
  <c r="G46" i="53"/>
  <c r="C46" i="53"/>
  <c r="R81" i="121"/>
  <c r="P121" i="121"/>
  <c r="R82" i="121"/>
  <c r="P122" i="121"/>
  <c r="M39" i="121"/>
  <c r="N39" i="121" s="1"/>
  <c r="D79" i="158"/>
  <c r="K46" i="53" l="1"/>
  <c r="V81" i="121"/>
  <c r="R121" i="121"/>
  <c r="Q39" i="121"/>
  <c r="D122" i="158"/>
  <c r="P39" i="121"/>
  <c r="V82" i="121"/>
  <c r="R122" i="121"/>
  <c r="C46" i="23" l="1"/>
  <c r="C46" i="118"/>
  <c r="C46" i="133"/>
  <c r="R39" i="121"/>
  <c r="C65" i="118" l="1"/>
  <c r="O46" i="118"/>
  <c r="C65" i="133"/>
  <c r="C65" i="23"/>
  <c r="O46" i="23"/>
  <c r="O65" i="23" s="1"/>
  <c r="Q41" i="105"/>
  <c r="Q201" i="105" s="1"/>
  <c r="Q192" i="105" l="1"/>
  <c r="E107" i="105"/>
  <c r="AB36" i="158"/>
  <c r="P36" i="158" s="1"/>
  <c r="P79" i="158" s="1"/>
  <c r="O119" i="121"/>
  <c r="O79" i="121" s="1"/>
  <c r="N79" i="121" s="1"/>
  <c r="O65" i="118"/>
  <c r="S42" i="116"/>
  <c r="AA42" i="116"/>
  <c r="M79" i="121" l="1"/>
  <c r="N119" i="121"/>
  <c r="Q79" i="121"/>
  <c r="Q119" i="121" s="1"/>
  <c r="P122" i="158"/>
  <c r="AB122" i="158" s="1"/>
  <c r="AB79" i="158"/>
  <c r="AC42" i="116"/>
  <c r="M119" i="121" l="1"/>
  <c r="P79" i="121"/>
  <c r="Z37" i="9"/>
  <c r="I37" i="72"/>
  <c r="M37" i="72" s="1"/>
  <c r="I34" i="72"/>
  <c r="M34" i="72" s="1"/>
  <c r="I35" i="72"/>
  <c r="M35" i="72" s="1"/>
  <c r="I36" i="72"/>
  <c r="M36" i="72" s="1"/>
  <c r="Q36" i="15" s="1"/>
  <c r="I38" i="72"/>
  <c r="M38" i="72" s="1"/>
  <c r="I33" i="72"/>
  <c r="M33" i="72" s="1"/>
  <c r="Q33" i="15" s="1"/>
  <c r="K46" i="6"/>
  <c r="K48" i="6"/>
  <c r="P119" i="121" l="1"/>
  <c r="R79" i="121"/>
  <c r="Q35" i="15"/>
  <c r="AF35" i="11"/>
  <c r="Q37" i="15"/>
  <c r="K36" i="12"/>
  <c r="K37" i="129" s="1"/>
  <c r="AA37" i="129" s="1"/>
  <c r="O36" i="120" s="1"/>
  <c r="M36" i="120" s="1"/>
  <c r="N36" i="120" s="1"/>
  <c r="I46" i="72"/>
  <c r="Q34" i="15"/>
  <c r="AF34" i="11"/>
  <c r="C34" i="11"/>
  <c r="K33" i="12"/>
  <c r="O34" i="72"/>
  <c r="C30" i="158"/>
  <c r="M46" i="72"/>
  <c r="AC91" i="105" s="1"/>
  <c r="Q38" i="15"/>
  <c r="O38" i="72"/>
  <c r="K37" i="12"/>
  <c r="C38" i="11"/>
  <c r="I38" i="11" s="1"/>
  <c r="AF38" i="11"/>
  <c r="AG38" i="11" s="1"/>
  <c r="C34" i="158"/>
  <c r="AF36" i="11"/>
  <c r="C37" i="11"/>
  <c r="I37" i="11" s="1"/>
  <c r="C33" i="11"/>
  <c r="C32" i="158"/>
  <c r="K34" i="12"/>
  <c r="O36" i="72"/>
  <c r="T33" i="15"/>
  <c r="AF37" i="11"/>
  <c r="AG37" i="11" s="1"/>
  <c r="C33" i="158"/>
  <c r="O37" i="72"/>
  <c r="K35" i="12"/>
  <c r="O33" i="72"/>
  <c r="C29" i="158"/>
  <c r="C31" i="158"/>
  <c r="O35" i="72"/>
  <c r="K32" i="12"/>
  <c r="AF33" i="11"/>
  <c r="C35" i="11"/>
  <c r="C36" i="11"/>
  <c r="R119" i="121" l="1"/>
  <c r="V79" i="121"/>
  <c r="AA36" i="12"/>
  <c r="E33" i="8"/>
  <c r="C38" i="77"/>
  <c r="I38" i="77" s="1"/>
  <c r="G38" i="79" s="1"/>
  <c r="C38" i="78"/>
  <c r="E37" i="8"/>
  <c r="I37" i="8" s="1"/>
  <c r="C38" i="105" s="1"/>
  <c r="C189" i="105" s="1"/>
  <c r="C73" i="158"/>
  <c r="AA35" i="12"/>
  <c r="K36" i="129"/>
  <c r="C75" i="158"/>
  <c r="E34" i="8"/>
  <c r="I34" i="8" s="1"/>
  <c r="C35" i="105" s="1"/>
  <c r="C186" i="105" s="1"/>
  <c r="E36" i="8"/>
  <c r="I36" i="8" s="1"/>
  <c r="C37" i="105" s="1"/>
  <c r="C188" i="105" s="1"/>
  <c r="E38" i="8"/>
  <c r="I38" i="8" s="1"/>
  <c r="C39" i="105" s="1"/>
  <c r="C190" i="105" s="1"/>
  <c r="Q36" i="120"/>
  <c r="Q46" i="15"/>
  <c r="C46" i="11"/>
  <c r="K34" i="129"/>
  <c r="AA33" i="12"/>
  <c r="O33" i="12"/>
  <c r="AF46" i="11"/>
  <c r="AA32" i="12"/>
  <c r="K45" i="12"/>
  <c r="O32" i="12"/>
  <c r="K33" i="129"/>
  <c r="C37" i="78"/>
  <c r="I37" i="78" s="1"/>
  <c r="I37" i="79" s="1"/>
  <c r="K37" i="79" s="1"/>
  <c r="O37" i="79" s="1"/>
  <c r="C37" i="77"/>
  <c r="I37" i="77" s="1"/>
  <c r="G37" i="79" s="1"/>
  <c r="E35" i="8"/>
  <c r="I35" i="8" s="1"/>
  <c r="C36" i="105" s="1"/>
  <c r="C187" i="105" s="1"/>
  <c r="C74" i="158"/>
  <c r="K38" i="129"/>
  <c r="AA37" i="12"/>
  <c r="C76" i="158"/>
  <c r="C119" i="158" s="1"/>
  <c r="K35" i="129"/>
  <c r="AA34" i="12"/>
  <c r="H29" i="158"/>
  <c r="C43" i="158"/>
  <c r="C72" i="158"/>
  <c r="C115" i="158" s="1"/>
  <c r="P36" i="120"/>
  <c r="C77" i="158"/>
  <c r="M56" i="72" l="1"/>
  <c r="AA45" i="12"/>
  <c r="AA36" i="129"/>
  <c r="O35" i="120" s="1"/>
  <c r="O35" i="105"/>
  <c r="O186" i="105" s="1"/>
  <c r="R36" i="120"/>
  <c r="AA38" i="129"/>
  <c r="O37" i="120" s="1"/>
  <c r="AA34" i="129"/>
  <c r="O33" i="120" s="1"/>
  <c r="C116" i="158"/>
  <c r="H115" i="158"/>
  <c r="Y53" i="79"/>
  <c r="Y59" i="79" s="1"/>
  <c r="I38" i="78"/>
  <c r="I38" i="79" s="1"/>
  <c r="K38" i="79" s="1"/>
  <c r="O38" i="79" s="1"/>
  <c r="E36" i="12"/>
  <c r="H72" i="158"/>
  <c r="C86" i="158"/>
  <c r="C118" i="158"/>
  <c r="AE33" i="12"/>
  <c r="O34" i="129"/>
  <c r="C117" i="158"/>
  <c r="K46" i="129"/>
  <c r="K47" i="129" s="1"/>
  <c r="AA33" i="129"/>
  <c r="I33" i="8"/>
  <c r="AA35" i="129"/>
  <c r="O34" i="120" s="1"/>
  <c r="AE32" i="12"/>
  <c r="O33" i="129"/>
  <c r="C120" i="158"/>
  <c r="C129" i="158" l="1"/>
  <c r="G35" i="67"/>
  <c r="C101" i="105"/>
  <c r="Y35" i="105"/>
  <c r="Y186" i="105" s="1"/>
  <c r="E37" i="12"/>
  <c r="M33" i="120"/>
  <c r="N33" i="120" s="1"/>
  <c r="AA46" i="129"/>
  <c r="O32" i="120"/>
  <c r="M35" i="120"/>
  <c r="N35" i="120" s="1"/>
  <c r="AE34" i="129"/>
  <c r="O113" i="120" s="1"/>
  <c r="O73" i="120" s="1"/>
  <c r="AA30" i="158"/>
  <c r="E37" i="129"/>
  <c r="G37" i="129" s="1"/>
  <c r="G36" i="12"/>
  <c r="E37" i="13" s="1"/>
  <c r="I37" i="13" s="1"/>
  <c r="O38" i="105" s="1"/>
  <c r="O189" i="105" s="1"/>
  <c r="O36" i="12"/>
  <c r="M37" i="120"/>
  <c r="C34" i="105"/>
  <c r="M34" i="120"/>
  <c r="AE33" i="129"/>
  <c r="AA29" i="158"/>
  <c r="C185" i="105" l="1"/>
  <c r="N73" i="120"/>
  <c r="Q73" i="120" s="1"/>
  <c r="Q33" i="120"/>
  <c r="AF30" i="158"/>
  <c r="O30" i="158"/>
  <c r="AF29" i="158"/>
  <c r="O29" i="158"/>
  <c r="M32" i="120"/>
  <c r="N32" i="120" s="1"/>
  <c r="O45" i="120"/>
  <c r="O37" i="129"/>
  <c r="AE36" i="12"/>
  <c r="P34" i="120"/>
  <c r="Q35" i="120"/>
  <c r="P33" i="120"/>
  <c r="C104" i="105"/>
  <c r="P37" i="120"/>
  <c r="O34" i="105"/>
  <c r="M34" i="105"/>
  <c r="O112" i="120"/>
  <c r="O72" i="120" s="1"/>
  <c r="C35" i="17"/>
  <c r="N34" i="120"/>
  <c r="N37" i="120"/>
  <c r="P35" i="120"/>
  <c r="E38" i="129"/>
  <c r="G38" i="129" s="1"/>
  <c r="G37" i="12"/>
  <c r="E38" i="13" s="1"/>
  <c r="I38" i="13" s="1"/>
  <c r="O39" i="105" s="1"/>
  <c r="O37" i="12"/>
  <c r="O190" i="105" l="1"/>
  <c r="O53" i="105"/>
  <c r="M185" i="105"/>
  <c r="O185" i="105"/>
  <c r="N113" i="120"/>
  <c r="N72" i="120"/>
  <c r="M72" i="120" s="1"/>
  <c r="M112" i="120" s="1"/>
  <c r="N45" i="120"/>
  <c r="Q32" i="120"/>
  <c r="O73" i="158"/>
  <c r="M45" i="120"/>
  <c r="P32" i="120"/>
  <c r="C34" i="67"/>
  <c r="C34" i="16"/>
  <c r="T29" i="158"/>
  <c r="O72" i="158"/>
  <c r="O115" i="158" s="1"/>
  <c r="C105" i="105"/>
  <c r="R35" i="120"/>
  <c r="Q113" i="120"/>
  <c r="AE37" i="12"/>
  <c r="O38" i="129"/>
  <c r="R33" i="120"/>
  <c r="AA33" i="158"/>
  <c r="AE37" i="129"/>
  <c r="O116" i="120" s="1"/>
  <c r="O76" i="120" s="1"/>
  <c r="Y34" i="105"/>
  <c r="G34" i="67"/>
  <c r="C100" i="105"/>
  <c r="Q37" i="120"/>
  <c r="R37" i="120" s="1"/>
  <c r="Q34" i="120"/>
  <c r="R34" i="120" s="1"/>
  <c r="K35" i="17"/>
  <c r="I35" i="17"/>
  <c r="M73" i="120"/>
  <c r="Y185" i="105" l="1"/>
  <c r="N112" i="120"/>
  <c r="AA34" i="158"/>
  <c r="AE38" i="129"/>
  <c r="O117" i="120" s="1"/>
  <c r="O77" i="120" s="1"/>
  <c r="N76" i="120"/>
  <c r="M76" i="120" s="1"/>
  <c r="P45" i="120"/>
  <c r="R32" i="120"/>
  <c r="O33" i="158"/>
  <c r="T72" i="158"/>
  <c r="AA72" i="158"/>
  <c r="Q45" i="120"/>
  <c r="T115" i="158"/>
  <c r="AA115" i="158"/>
  <c r="AA73" i="158"/>
  <c r="C34" i="17"/>
  <c r="K34" i="17" s="1"/>
  <c r="M100" i="105"/>
  <c r="O116" i="158"/>
  <c r="P72" i="120"/>
  <c r="P112" i="120" s="1"/>
  <c r="P73" i="120"/>
  <c r="M113" i="120"/>
  <c r="E34" i="67"/>
  <c r="Q72" i="120"/>
  <c r="Q112" i="120" s="1"/>
  <c r="O76" i="158" l="1"/>
  <c r="AA116" i="158"/>
  <c r="R45" i="120"/>
  <c r="AF115" i="158"/>
  <c r="AF72" i="158"/>
  <c r="Q76" i="120"/>
  <c r="Q116" i="120" s="1"/>
  <c r="N116" i="120"/>
  <c r="P76" i="120"/>
  <c r="M116" i="120"/>
  <c r="N77" i="120"/>
  <c r="M77" i="120" s="1"/>
  <c r="O34" i="158"/>
  <c r="R72" i="120"/>
  <c r="R112" i="120" s="1"/>
  <c r="R73" i="120"/>
  <c r="P113" i="120"/>
  <c r="P77" i="120" l="1"/>
  <c r="M117" i="120"/>
  <c r="V72" i="120"/>
  <c r="R76" i="120"/>
  <c r="P116" i="120"/>
  <c r="Q77" i="120"/>
  <c r="Q117" i="120" s="1"/>
  <c r="N117" i="120"/>
  <c r="AA76" i="158"/>
  <c r="V73" i="120"/>
  <c r="R113" i="120"/>
  <c r="O77" i="158"/>
  <c r="O120" i="158" s="1"/>
  <c r="O119" i="158"/>
  <c r="AA119" i="158" l="1"/>
  <c r="AA77" i="158"/>
  <c r="AA120" i="158"/>
  <c r="V76" i="120"/>
  <c r="R116" i="120"/>
  <c r="R77" i="120"/>
  <c r="P117" i="120"/>
  <c r="V77" i="120" l="1"/>
  <c r="R117" i="120"/>
  <c r="AE140" i="105" l="1"/>
  <c r="Q28" i="92" l="1"/>
  <c r="Q59" i="92"/>
  <c r="Q70" i="92" s="1"/>
  <c r="AE17" i="92"/>
  <c r="AE28" i="92" s="1"/>
  <c r="U31" i="117"/>
  <c r="U42" i="117" l="1"/>
  <c r="E31" i="98"/>
  <c r="AE59" i="92"/>
  <c r="AE70" i="92" s="1"/>
  <c r="G17" i="81"/>
  <c r="E42" i="98" l="1"/>
  <c r="E43" i="98" s="1"/>
  <c r="G27" i="81"/>
  <c r="I17" i="81"/>
  <c r="M17" i="81" l="1"/>
  <c r="M27" i="81" s="1"/>
  <c r="I27" i="81"/>
  <c r="G31" i="11" l="1"/>
  <c r="I31" i="11" s="1"/>
  <c r="C31" i="77" l="1"/>
  <c r="I31" i="77" s="1"/>
  <c r="G31" i="79" s="1"/>
  <c r="C31" i="78"/>
  <c r="G32" i="11"/>
  <c r="I32" i="11" s="1"/>
  <c r="C32" i="77" l="1"/>
  <c r="I32" i="77" s="1"/>
  <c r="G32" i="79" s="1"/>
  <c r="C32" i="78"/>
  <c r="I32" i="78" s="1"/>
  <c r="I32" i="79" s="1"/>
  <c r="O31" i="79"/>
  <c r="I31" i="78"/>
  <c r="I31" i="79" s="1"/>
  <c r="E30" i="12" l="1"/>
  <c r="G33" i="11"/>
  <c r="I33" i="11" s="1"/>
  <c r="C33" i="78" l="1"/>
  <c r="I33" i="78" s="1"/>
  <c r="I33" i="79" s="1"/>
  <c r="C33" i="77"/>
  <c r="I33" i="77" s="1"/>
  <c r="G33" i="79" s="1"/>
  <c r="E31" i="129"/>
  <c r="G31" i="129" s="1"/>
  <c r="O30" i="12"/>
  <c r="G30" i="12"/>
  <c r="E31" i="13" s="1"/>
  <c r="I31" i="13" s="1"/>
  <c r="O32" i="105" s="1"/>
  <c r="AE30" i="12" l="1"/>
  <c r="O31" i="129"/>
  <c r="C98" i="105"/>
  <c r="Y32" i="105"/>
  <c r="G32" i="67"/>
  <c r="E32" i="67" l="1"/>
  <c r="AA27" i="158"/>
  <c r="AE31" i="129"/>
  <c r="O110" i="120" s="1"/>
  <c r="O70" i="120" s="1"/>
  <c r="M98" i="105"/>
  <c r="C32" i="17"/>
  <c r="I32" i="17" l="1"/>
  <c r="K32" i="17"/>
  <c r="O27" i="158"/>
  <c r="AF27" i="158"/>
  <c r="N70" i="120"/>
  <c r="M70" i="120" s="1"/>
  <c r="M110" i="120" l="1"/>
  <c r="P70" i="120"/>
  <c r="Q70" i="120"/>
  <c r="Q110" i="120" s="1"/>
  <c r="N110" i="120"/>
  <c r="O70" i="158"/>
  <c r="T27" i="158"/>
  <c r="T70" i="158" l="1"/>
  <c r="AA70" i="158"/>
  <c r="AF70" i="158" s="1"/>
  <c r="O113" i="158"/>
  <c r="P110" i="120"/>
  <c r="R70" i="120"/>
  <c r="R110" i="120" l="1"/>
  <c r="V70" i="120"/>
  <c r="T113" i="158"/>
  <c r="AA113" i="158"/>
  <c r="AF113" i="158" s="1"/>
  <c r="AI140" i="105" l="1"/>
  <c r="G29" i="11" l="1"/>
  <c r="I29" i="11" s="1"/>
  <c r="C29" i="78" l="1"/>
  <c r="I29" i="78" s="1"/>
  <c r="I29" i="79" s="1"/>
  <c r="O29" i="79" s="1"/>
  <c r="C29" i="77"/>
  <c r="I29" i="77" s="1"/>
  <c r="G29" i="79" s="1"/>
  <c r="E28" i="12" l="1"/>
  <c r="E29" i="129" l="1"/>
  <c r="G29" i="129" s="1"/>
  <c r="O28" i="12"/>
  <c r="G28" i="12"/>
  <c r="E29" i="13" s="1"/>
  <c r="I29" i="13" s="1"/>
  <c r="O30" i="105" s="1"/>
  <c r="AE28" i="12" l="1"/>
  <c r="O29" i="129"/>
  <c r="C96" i="105"/>
  <c r="G30" i="67"/>
  <c r="Y30" i="105"/>
  <c r="C30" i="17" l="1"/>
  <c r="AA25" i="158"/>
  <c r="AE29" i="129"/>
  <c r="O108" i="120" s="1"/>
  <c r="O68" i="120" s="1"/>
  <c r="N68" i="120" s="1"/>
  <c r="M68" i="120" l="1"/>
  <c r="Q68" i="120"/>
  <c r="Q108" i="120" s="1"/>
  <c r="N108" i="120"/>
  <c r="O25" i="158"/>
  <c r="AF25" i="158"/>
  <c r="I30" i="17"/>
  <c r="K30" i="17"/>
  <c r="O68" i="158" l="1"/>
  <c r="O111" i="158" s="1"/>
  <c r="T25" i="158"/>
  <c r="P68" i="120"/>
  <c r="M108" i="120"/>
  <c r="R68" i="120" l="1"/>
  <c r="P108" i="120"/>
  <c r="AA111" i="158"/>
  <c r="AF111" i="158" s="1"/>
  <c r="T111" i="158"/>
  <c r="AA68" i="158"/>
  <c r="AF68" i="158" s="1"/>
  <c r="T68" i="158"/>
  <c r="G30" i="11"/>
  <c r="I30" i="11" s="1"/>
  <c r="C30" i="77" l="1"/>
  <c r="C30" i="78"/>
  <c r="R108" i="120"/>
  <c r="V68" i="120"/>
  <c r="I30" i="78" l="1"/>
  <c r="O30" i="79"/>
  <c r="I30" i="77"/>
  <c r="G30" i="79" l="1"/>
  <c r="E29" i="12"/>
  <c r="I30" i="79"/>
  <c r="E30" i="129" l="1"/>
  <c r="G29" i="12"/>
  <c r="O29" i="12"/>
  <c r="AE29" i="12" l="1"/>
  <c r="O30" i="129"/>
  <c r="E30" i="13"/>
  <c r="G30" i="129"/>
  <c r="I30" i="13" l="1"/>
  <c r="AA26" i="158"/>
  <c r="AE30" i="129"/>
  <c r="AF26" i="158" l="1"/>
  <c r="O26" i="158"/>
  <c r="O109" i="120"/>
  <c r="O31" i="105"/>
  <c r="Y31" i="105" l="1"/>
  <c r="G31" i="67"/>
  <c r="C97" i="105"/>
  <c r="O69" i="158"/>
  <c r="O112" i="158" s="1"/>
  <c r="T26" i="158"/>
  <c r="O69" i="120"/>
  <c r="N69" i="120" l="1"/>
  <c r="M69" i="120" s="1"/>
  <c r="T69" i="158"/>
  <c r="AA69" i="158"/>
  <c r="T112" i="158"/>
  <c r="AA112" i="158"/>
  <c r="E31" i="67"/>
  <c r="C31" i="17"/>
  <c r="M97" i="105"/>
  <c r="AF112" i="158" l="1"/>
  <c r="AF69" i="158"/>
  <c r="M109" i="120"/>
  <c r="P69" i="120"/>
  <c r="K31" i="17"/>
  <c r="I31" i="17"/>
  <c r="Q69" i="120"/>
  <c r="N109" i="120"/>
  <c r="Q109" i="120" l="1"/>
  <c r="R69" i="120"/>
  <c r="P109" i="120"/>
  <c r="V69" i="120" l="1"/>
  <c r="R109" i="120"/>
  <c r="G34" i="11" l="1"/>
  <c r="I34" i="11" s="1"/>
  <c r="G35" i="11"/>
  <c r="I35" i="11" s="1"/>
  <c r="C35" i="77" l="1"/>
  <c r="I35" i="77" s="1"/>
  <c r="G35" i="79" s="1"/>
  <c r="C35" i="78"/>
  <c r="I35" i="78" s="1"/>
  <c r="I35" i="79" s="1"/>
  <c r="K35" i="79" s="1"/>
  <c r="C34" i="78"/>
  <c r="C34" i="77"/>
  <c r="I34" i="77" l="1"/>
  <c r="I34" i="78"/>
  <c r="O35" i="79"/>
  <c r="G36" i="11"/>
  <c r="I36" i="11" s="1"/>
  <c r="E34" i="12" l="1"/>
  <c r="I34" i="79"/>
  <c r="C36" i="78"/>
  <c r="C36" i="77"/>
  <c r="G34" i="79"/>
  <c r="I36" i="77" l="1"/>
  <c r="I36" i="78"/>
  <c r="E35" i="129"/>
  <c r="G34" i="12"/>
  <c r="O34" i="12"/>
  <c r="E35" i="13" l="1"/>
  <c r="I36" i="79"/>
  <c r="G36" i="79"/>
  <c r="O35" i="129"/>
  <c r="AE34" i="12"/>
  <c r="G35" i="129"/>
  <c r="AE35" i="129" l="1"/>
  <c r="AA31" i="158"/>
  <c r="K36" i="79"/>
  <c r="I35" i="13"/>
  <c r="O36" i="79" l="1"/>
  <c r="K46" i="79"/>
  <c r="O36" i="105"/>
  <c r="O31" i="158"/>
  <c r="O114" i="120"/>
  <c r="O187" i="105" l="1"/>
  <c r="O74" i="158"/>
  <c r="C102" i="105"/>
  <c r="O74" i="120"/>
  <c r="E35" i="12"/>
  <c r="G35" i="12" l="1"/>
  <c r="O35" i="12"/>
  <c r="E36" i="129"/>
  <c r="N74" i="120"/>
  <c r="O117" i="158"/>
  <c r="AA74" i="158"/>
  <c r="AA117" i="158" l="1"/>
  <c r="G36" i="129"/>
  <c r="AE35" i="12"/>
  <c r="O36" i="129"/>
  <c r="M74" i="120"/>
  <c r="N114" i="120"/>
  <c r="Q74" i="120"/>
  <c r="E36" i="13"/>
  <c r="AA32" i="158" l="1"/>
  <c r="AE36" i="129"/>
  <c r="P74" i="120"/>
  <c r="M114" i="120"/>
  <c r="I36" i="13"/>
  <c r="Q114" i="120"/>
  <c r="R74" i="120" l="1"/>
  <c r="P114" i="120"/>
  <c r="O37" i="105"/>
  <c r="O115" i="120"/>
  <c r="O32" i="158"/>
  <c r="O188" i="105" l="1"/>
  <c r="C103" i="105"/>
  <c r="O75" i="120"/>
  <c r="O75" i="158"/>
  <c r="V74" i="120"/>
  <c r="R114" i="120"/>
  <c r="AA75" i="158" l="1"/>
  <c r="N75" i="120"/>
  <c r="O118" i="158"/>
  <c r="AA118" i="158" l="1"/>
  <c r="M75" i="120"/>
  <c r="Q75" i="120"/>
  <c r="N115" i="120"/>
  <c r="Q115" i="120" l="1"/>
  <c r="P75" i="120"/>
  <c r="M115" i="120"/>
  <c r="P115" i="120" l="1"/>
  <c r="R75" i="120"/>
  <c r="R115" i="120" l="1"/>
  <c r="V75" i="120"/>
  <c r="Y84" i="166" l="1"/>
  <c r="AP87" i="105" l="1"/>
  <c r="AJ140" i="105"/>
  <c r="M22" i="56" l="1"/>
  <c r="C42" i="108" s="1"/>
  <c r="G42" i="108" s="1"/>
  <c r="C41" i="27" l="1"/>
  <c r="G41" i="27" s="1"/>
  <c r="O41" i="27" s="1"/>
  <c r="C41" i="55"/>
  <c r="G41" i="55" s="1"/>
  <c r="O41" i="55" s="1"/>
  <c r="G41" i="56" s="1"/>
  <c r="M23" i="56"/>
  <c r="C43" i="108" s="1"/>
  <c r="G43" i="108" s="1"/>
  <c r="U22" i="56"/>
  <c r="T22" i="56"/>
  <c r="AH22" i="27"/>
  <c r="AI22" i="27" s="1"/>
  <c r="Q22" i="56"/>
  <c r="C41" i="56" l="1"/>
  <c r="C42" i="27"/>
  <c r="G42" i="27" s="1"/>
  <c r="O42" i="27" s="1"/>
  <c r="C42" i="55"/>
  <c r="G42" i="55" s="1"/>
  <c r="O42" i="55" s="1"/>
  <c r="G42" i="56" s="1"/>
  <c r="E22" i="23"/>
  <c r="E22" i="118"/>
  <c r="E22" i="133"/>
  <c r="AQ22" i="56"/>
  <c r="U23" i="56"/>
  <c r="T23" i="56"/>
  <c r="Q23" i="56"/>
  <c r="AH23" i="27"/>
  <c r="AI23" i="27" s="1"/>
  <c r="C42" i="56" l="1"/>
  <c r="G22" i="133"/>
  <c r="E60" i="133"/>
  <c r="G22" i="23"/>
  <c r="Q22" i="23"/>
  <c r="G36" i="105"/>
  <c r="G187" i="105" s="1"/>
  <c r="E60" i="23"/>
  <c r="AD22" i="118"/>
  <c r="Q22" i="118"/>
  <c r="G22" i="118"/>
  <c r="E60" i="118"/>
  <c r="E23" i="23"/>
  <c r="E23" i="118"/>
  <c r="AQ23" i="56"/>
  <c r="E23" i="133"/>
  <c r="S35" i="15" l="1"/>
  <c r="Q60" i="23"/>
  <c r="G102" i="105"/>
  <c r="S22" i="23"/>
  <c r="S60" i="23" s="1"/>
  <c r="G60" i="23"/>
  <c r="G60" i="133"/>
  <c r="G23" i="133"/>
  <c r="E61" i="133"/>
  <c r="AD23" i="118"/>
  <c r="Q23" i="118"/>
  <c r="G23" i="118"/>
  <c r="E61" i="118"/>
  <c r="AF22" i="118"/>
  <c r="S22" i="118"/>
  <c r="S60" i="118" s="1"/>
  <c r="G60" i="118"/>
  <c r="G23" i="23"/>
  <c r="Q23" i="23"/>
  <c r="G37" i="105"/>
  <c r="G188" i="105" s="1"/>
  <c r="E61" i="23"/>
  <c r="O34" i="122"/>
  <c r="E31" i="158"/>
  <c r="E74" i="158" s="1"/>
  <c r="Q60" i="118"/>
  <c r="T35" i="15" l="1"/>
  <c r="G61" i="133"/>
  <c r="AF23" i="118"/>
  <c r="S23" i="118"/>
  <c r="S61" i="118" s="1"/>
  <c r="G61" i="118"/>
  <c r="M34" i="122"/>
  <c r="N34" i="122" s="1"/>
  <c r="O74" i="122"/>
  <c r="Q31" i="158"/>
  <c r="E117" i="158"/>
  <c r="O35" i="122"/>
  <c r="E32" i="158"/>
  <c r="Q61" i="118"/>
  <c r="G103" i="105"/>
  <c r="S36" i="15"/>
  <c r="Q61" i="23"/>
  <c r="S23" i="23"/>
  <c r="S61" i="23" s="1"/>
  <c r="G61" i="23"/>
  <c r="M21" i="56"/>
  <c r="C41" i="108" s="1"/>
  <c r="G41" i="108" l="1"/>
  <c r="Q34" i="122"/>
  <c r="T36" i="15"/>
  <c r="Q74" i="158"/>
  <c r="AC74" i="158" s="1"/>
  <c r="T31" i="158"/>
  <c r="N74" i="122"/>
  <c r="Q74" i="122" s="1"/>
  <c r="U21" i="56"/>
  <c r="T21" i="56"/>
  <c r="AH21" i="27"/>
  <c r="Q21" i="56"/>
  <c r="P34" i="122"/>
  <c r="E75" i="158"/>
  <c r="E118" i="158" s="1"/>
  <c r="Q32" i="158"/>
  <c r="M35" i="122"/>
  <c r="N35" i="122" s="1"/>
  <c r="O75" i="122"/>
  <c r="C40" i="27" l="1"/>
  <c r="C40" i="55"/>
  <c r="N114" i="122"/>
  <c r="Q114" i="122"/>
  <c r="M74" i="122"/>
  <c r="Q35" i="122"/>
  <c r="E21" i="133"/>
  <c r="AQ21" i="56"/>
  <c r="E21" i="23"/>
  <c r="E21" i="118"/>
  <c r="AI21" i="27"/>
  <c r="R34" i="122"/>
  <c r="N75" i="122"/>
  <c r="Q75" i="122" s="1"/>
  <c r="Q75" i="158"/>
  <c r="P35" i="122"/>
  <c r="Q117" i="158"/>
  <c r="T74" i="158"/>
  <c r="G40" i="55" l="1"/>
  <c r="G40" i="27"/>
  <c r="P74" i="122"/>
  <c r="M114" i="122"/>
  <c r="AD21" i="118"/>
  <c r="Q21" i="118"/>
  <c r="G21" i="118"/>
  <c r="E59" i="118"/>
  <c r="G21" i="23"/>
  <c r="Q21" i="23"/>
  <c r="E59" i="23"/>
  <c r="G35" i="105"/>
  <c r="Q118" i="158"/>
  <c r="G21" i="133"/>
  <c r="E59" i="133"/>
  <c r="R35" i="122"/>
  <c r="T117" i="158"/>
  <c r="AC117" i="158"/>
  <c r="AC75" i="158"/>
  <c r="M75" i="122"/>
  <c r="Q115" i="122"/>
  <c r="N115" i="122"/>
  <c r="O40" i="27" l="1"/>
  <c r="O40" i="55"/>
  <c r="R74" i="122"/>
  <c r="P114" i="122"/>
  <c r="P75" i="122"/>
  <c r="M115" i="122"/>
  <c r="AF21" i="118"/>
  <c r="S21" i="118"/>
  <c r="G59" i="118"/>
  <c r="AC118" i="158"/>
  <c r="O33" i="122"/>
  <c r="E30" i="158"/>
  <c r="E73" i="158" s="1"/>
  <c r="Q59" i="118"/>
  <c r="G101" i="105"/>
  <c r="M35" i="105"/>
  <c r="G59" i="133"/>
  <c r="S34" i="15"/>
  <c r="Q59" i="23"/>
  <c r="S21" i="23"/>
  <c r="G59" i="23"/>
  <c r="G40" i="56" l="1"/>
  <c r="C40" i="56"/>
  <c r="M186" i="105"/>
  <c r="V74" i="122"/>
  <c r="R114" i="122"/>
  <c r="C35" i="16"/>
  <c r="C35" i="67"/>
  <c r="M101" i="105"/>
  <c r="S59" i="118"/>
  <c r="E116" i="158"/>
  <c r="Q30" i="158"/>
  <c r="H30" i="158"/>
  <c r="R75" i="122"/>
  <c r="P115" i="122"/>
  <c r="S59" i="23"/>
  <c r="M33" i="122"/>
  <c r="N33" i="122" s="1"/>
  <c r="O73" i="122"/>
  <c r="T34" i="15"/>
  <c r="Q33" i="122" l="1"/>
  <c r="V75" i="122"/>
  <c r="R115" i="122"/>
  <c r="Q73" i="158"/>
  <c r="Q116" i="158" s="1"/>
  <c r="AC116" i="158" s="1"/>
  <c r="T30" i="158"/>
  <c r="H116" i="158"/>
  <c r="H73" i="158"/>
  <c r="N73" i="122"/>
  <c r="M73" i="122" s="1"/>
  <c r="P33" i="122"/>
  <c r="E35" i="67"/>
  <c r="P73" i="122" l="1"/>
  <c r="M113" i="122"/>
  <c r="R33" i="122"/>
  <c r="T116" i="158"/>
  <c r="T73" i="158"/>
  <c r="AF116" i="158"/>
  <c r="Q73" i="122"/>
  <c r="AC73" i="158"/>
  <c r="N113" i="122"/>
  <c r="Q113" i="122" l="1"/>
  <c r="AF73" i="158"/>
  <c r="P113" i="122"/>
  <c r="R73" i="122"/>
  <c r="V73" i="122" l="1"/>
  <c r="R113" i="122"/>
  <c r="AC26" i="109" l="1"/>
  <c r="AC54" i="109" s="1"/>
  <c r="AV28" i="110"/>
  <c r="AT28" i="110" s="1"/>
  <c r="C26" i="91"/>
  <c r="C28" i="91" l="1"/>
  <c r="O26" i="115"/>
  <c r="S26" i="115" s="1"/>
  <c r="U26" i="115" s="1"/>
  <c r="AE54" i="109"/>
  <c r="AC56" i="109"/>
  <c r="AC28" i="109"/>
  <c r="I26" i="91"/>
  <c r="AE26" i="109"/>
  <c r="K26" i="91"/>
  <c r="O28" i="115"/>
  <c r="AE28" i="109" l="1"/>
  <c r="AG28" i="109" s="1"/>
  <c r="AG26" i="109"/>
  <c r="Y26" i="91"/>
  <c r="K28" i="91"/>
  <c r="W26" i="91"/>
  <c r="I28" i="91"/>
  <c r="C54" i="91"/>
  <c r="AE56" i="109"/>
  <c r="W28" i="91" l="1"/>
  <c r="Y28" i="91"/>
  <c r="I54" i="91"/>
  <c r="C54" i="92"/>
  <c r="C56" i="92" s="1"/>
  <c r="K54" i="91"/>
  <c r="C56" i="91"/>
  <c r="O54" i="115"/>
  <c r="C68" i="91"/>
  <c r="C70" i="91" s="1"/>
  <c r="K56" i="91" l="1"/>
  <c r="Y54" i="91"/>
  <c r="AI54" i="91" s="1"/>
  <c r="K54" i="92"/>
  <c r="K56" i="92" s="1"/>
  <c r="K68" i="91"/>
  <c r="I56" i="91"/>
  <c r="I54" i="92"/>
  <c r="W54" i="91"/>
  <c r="I68" i="91"/>
  <c r="I70" i="91" s="1"/>
  <c r="S54" i="115"/>
  <c r="O56" i="115"/>
  <c r="W56" i="91" l="1"/>
  <c r="W68" i="91"/>
  <c r="W70" i="91" s="1"/>
  <c r="K70" i="91"/>
  <c r="C116" i="99"/>
  <c r="W54" i="92"/>
  <c r="W56" i="92" s="1"/>
  <c r="I56" i="92"/>
  <c r="U54" i="115"/>
  <c r="U56" i="115" s="1"/>
  <c r="S56" i="115"/>
  <c r="Y54" i="92"/>
  <c r="Y56" i="92" s="1"/>
  <c r="Y56" i="91"/>
  <c r="Y68" i="91"/>
  <c r="Y70" i="91" s="1"/>
  <c r="C118" i="99" l="1"/>
  <c r="C54" i="166"/>
  <c r="AI56" i="91"/>
  <c r="AK54" i="91"/>
  <c r="AK56" i="91" s="1"/>
  <c r="S28" i="115" l="1"/>
  <c r="C56" i="166"/>
  <c r="K54" i="166"/>
  <c r="M54" i="166"/>
  <c r="M56" i="166" l="1"/>
  <c r="AA54" i="166"/>
  <c r="AQ54" i="166" s="1"/>
  <c r="AQ56" i="166" s="1"/>
  <c r="K56" i="166"/>
  <c r="AA56" i="166" l="1"/>
  <c r="M45" i="109" l="1"/>
  <c r="C45" i="87" l="1"/>
  <c r="C45" i="84" l="1"/>
  <c r="I45" i="87"/>
  <c r="K45" i="87"/>
  <c r="S45" i="87" l="1"/>
  <c r="K45" i="84"/>
  <c r="Q45" i="87"/>
  <c r="I45" i="84"/>
  <c r="U45" i="87" l="1"/>
  <c r="S45" i="84"/>
  <c r="Q45" i="84"/>
  <c r="C45" i="115" l="1"/>
  <c r="G45" i="115" s="1"/>
  <c r="I45" i="115" s="1"/>
  <c r="C45" i="116"/>
  <c r="U45" i="84"/>
  <c r="W45" i="87"/>
  <c r="AN45" i="87"/>
  <c r="C45" i="94"/>
  <c r="C45" i="99"/>
  <c r="Q45" i="99" l="1"/>
  <c r="M45" i="99"/>
  <c r="K45" i="99"/>
  <c r="G45" i="94"/>
  <c r="W45" i="84"/>
  <c r="AW45" i="84"/>
  <c r="AI45" i="84"/>
  <c r="M45" i="116"/>
  <c r="K45" i="116"/>
  <c r="R115" i="125"/>
  <c r="I45" i="94" l="1"/>
  <c r="V115" i="125"/>
  <c r="O115" i="125"/>
  <c r="AA45" i="116"/>
  <c r="AQ45" i="116" s="1"/>
  <c r="M115" i="125" l="1"/>
  <c r="N115" i="125" l="1"/>
  <c r="P115" i="125"/>
  <c r="Q115" i="125" l="1"/>
  <c r="AI52" i="111" l="1"/>
  <c r="H39" i="132" l="1"/>
  <c r="P66" i="72" l="1"/>
  <c r="W66" i="72" l="1"/>
  <c r="L39" i="39" s="1"/>
  <c r="K39" i="39" s="1"/>
  <c r="P67" i="72"/>
  <c r="W67" i="72" s="1"/>
  <c r="Y67" i="72" l="1"/>
  <c r="L40" i="5" s="1"/>
  <c r="L40" i="39"/>
  <c r="P68" i="72"/>
  <c r="W68" i="72" s="1"/>
  <c r="Y66" i="72"/>
  <c r="L39" i="5" s="1"/>
  <c r="K39" i="5" s="1"/>
  <c r="C39" i="72"/>
  <c r="M39" i="39"/>
  <c r="P69" i="72" l="1"/>
  <c r="W69" i="72" s="1"/>
  <c r="C39" i="38"/>
  <c r="E39" i="72"/>
  <c r="G39" i="72" s="1"/>
  <c r="C39" i="37"/>
  <c r="M39" i="5"/>
  <c r="Y68" i="72"/>
  <c r="L41" i="5" s="1"/>
  <c r="K41" i="5" s="1"/>
  <c r="L41" i="39"/>
  <c r="K41" i="39" s="1"/>
  <c r="P70" i="72" l="1"/>
  <c r="W70" i="72" s="1"/>
  <c r="C38" i="9"/>
  <c r="P39" i="15"/>
  <c r="Y38" i="9"/>
  <c r="O39" i="72"/>
  <c r="B35" i="158"/>
  <c r="I38" i="12"/>
  <c r="C41" i="72"/>
  <c r="M41" i="39"/>
  <c r="C41" i="38"/>
  <c r="G41" i="38" s="1"/>
  <c r="M41" i="5"/>
  <c r="E41" i="72"/>
  <c r="C41" i="37"/>
  <c r="G41" i="37" s="1"/>
  <c r="G39" i="37"/>
  <c r="Y69" i="72"/>
  <c r="L42" i="5" s="1"/>
  <c r="K42" i="5" s="1"/>
  <c r="L42" i="39"/>
  <c r="K42" i="39" s="1"/>
  <c r="G39" i="38"/>
  <c r="M42" i="39" l="1"/>
  <c r="C42" i="72"/>
  <c r="B78" i="158"/>
  <c r="B121" i="158" s="1"/>
  <c r="G41" i="72"/>
  <c r="E39" i="8"/>
  <c r="Z38" i="9"/>
  <c r="M38" i="12"/>
  <c r="Y38" i="12"/>
  <c r="I39" i="129"/>
  <c r="I38" i="9"/>
  <c r="C42" i="38"/>
  <c r="C42" i="37"/>
  <c r="G42" i="37" s="1"/>
  <c r="M42" i="5"/>
  <c r="E42" i="72"/>
  <c r="Y70" i="72"/>
  <c r="L43" i="5" s="1"/>
  <c r="K43" i="5" s="1"/>
  <c r="L43" i="39"/>
  <c r="K43" i="39" s="1"/>
  <c r="M43" i="5" l="1"/>
  <c r="C43" i="37"/>
  <c r="G43" i="37" s="1"/>
  <c r="C43" i="38"/>
  <c r="G43" i="38" s="1"/>
  <c r="E43" i="72"/>
  <c r="M43" i="39"/>
  <c r="C43" i="72"/>
  <c r="AC38" i="12"/>
  <c r="M39" i="129"/>
  <c r="I39" i="8"/>
  <c r="G42" i="38"/>
  <c r="G42" i="72"/>
  <c r="Y39" i="129"/>
  <c r="I40" i="12"/>
  <c r="P41" i="15"/>
  <c r="B37" i="158"/>
  <c r="Y40" i="9"/>
  <c r="O41" i="72"/>
  <c r="C40" i="9"/>
  <c r="C39" i="36"/>
  <c r="C39" i="35"/>
  <c r="Y40" i="12" l="1"/>
  <c r="I41" i="129"/>
  <c r="K39" i="36"/>
  <c r="O38" i="119"/>
  <c r="C40" i="105"/>
  <c r="K39" i="35"/>
  <c r="AC39" i="129"/>
  <c r="Z35" i="158"/>
  <c r="I40" i="9"/>
  <c r="G43" i="72"/>
  <c r="E41" i="8"/>
  <c r="I41" i="12"/>
  <c r="Y41" i="9"/>
  <c r="Z41" i="9" s="1"/>
  <c r="C41" i="9"/>
  <c r="I41" i="9" s="1"/>
  <c r="O42" i="72"/>
  <c r="P42" i="15"/>
  <c r="B38" i="158"/>
  <c r="Z40" i="9"/>
  <c r="B80" i="158"/>
  <c r="C191" i="105" l="1"/>
  <c r="B81" i="158"/>
  <c r="B124" i="158" s="1"/>
  <c r="C41" i="36"/>
  <c r="C41" i="35"/>
  <c r="E42" i="8"/>
  <c r="I42" i="8" s="1"/>
  <c r="C43" i="105" s="1"/>
  <c r="O40" i="105"/>
  <c r="C42" i="35"/>
  <c r="K42" i="35" s="1"/>
  <c r="G42" i="10" s="1"/>
  <c r="C42" i="36"/>
  <c r="K42" i="36" s="1"/>
  <c r="I42" i="10" s="1"/>
  <c r="K42" i="10" s="1"/>
  <c r="M38" i="119"/>
  <c r="I42" i="129"/>
  <c r="Y41" i="12"/>
  <c r="N35" i="158"/>
  <c r="B123" i="158"/>
  <c r="I41" i="8"/>
  <c r="G39" i="10"/>
  <c r="Y41" i="129"/>
  <c r="O118" i="119"/>
  <c r="O78" i="119" s="1"/>
  <c r="C42" i="9"/>
  <c r="O43" i="72"/>
  <c r="B39" i="158"/>
  <c r="P43" i="15"/>
  <c r="Y42" i="9"/>
  <c r="Z42" i="9" s="1"/>
  <c r="I42" i="12"/>
  <c r="I39" i="10"/>
  <c r="O191" i="105" l="1"/>
  <c r="C194" i="105"/>
  <c r="N78" i="119"/>
  <c r="Y42" i="129"/>
  <c r="O41" i="119" s="1"/>
  <c r="B82" i="158"/>
  <c r="B125" i="158" s="1"/>
  <c r="E43" i="8"/>
  <c r="O40" i="119"/>
  <c r="K41" i="35"/>
  <c r="I42" i="9"/>
  <c r="K41" i="36"/>
  <c r="N38" i="119"/>
  <c r="P38" i="119"/>
  <c r="C106" i="105"/>
  <c r="N78" i="158"/>
  <c r="C41" i="12"/>
  <c r="I43" i="129"/>
  <c r="Y42" i="12"/>
  <c r="C42" i="105"/>
  <c r="C201" i="105" s="1"/>
  <c r="C204" i="105" s="1"/>
  <c r="C193" i="105" l="1"/>
  <c r="Z78" i="158"/>
  <c r="Y43" i="129"/>
  <c r="I41" i="10"/>
  <c r="M40" i="119"/>
  <c r="M41" i="119"/>
  <c r="N41" i="119" s="1"/>
  <c r="I43" i="8"/>
  <c r="E48" i="8"/>
  <c r="G41" i="12"/>
  <c r="E42" i="13" s="1"/>
  <c r="I42" i="13" s="1"/>
  <c r="O43" i="105" s="1"/>
  <c r="C42" i="129"/>
  <c r="G42" i="129" s="1"/>
  <c r="M41" i="12"/>
  <c r="Q38" i="119"/>
  <c r="R38" i="119" s="1"/>
  <c r="N118" i="119"/>
  <c r="C43" i="35"/>
  <c r="C43" i="36"/>
  <c r="G41" i="10"/>
  <c r="N121" i="158"/>
  <c r="M78" i="119"/>
  <c r="Q78" i="119"/>
  <c r="O194" i="105" l="1"/>
  <c r="Q41" i="119"/>
  <c r="C44" i="105"/>
  <c r="I48" i="8"/>
  <c r="P78" i="119"/>
  <c r="M118" i="119"/>
  <c r="K43" i="36"/>
  <c r="K43" i="35"/>
  <c r="M42" i="129"/>
  <c r="AC41" i="12"/>
  <c r="O42" i="119"/>
  <c r="Q118" i="119"/>
  <c r="N40" i="119"/>
  <c r="P40" i="119"/>
  <c r="C109" i="105"/>
  <c r="P41" i="119"/>
  <c r="K41" i="10"/>
  <c r="Z121" i="158"/>
  <c r="C195" i="105" l="1"/>
  <c r="C40" i="12"/>
  <c r="R78" i="119"/>
  <c r="P118" i="119"/>
  <c r="G43" i="10"/>
  <c r="M42" i="119"/>
  <c r="Z38" i="158"/>
  <c r="AC42" i="129"/>
  <c r="O121" i="119" s="1"/>
  <c r="R41" i="119"/>
  <c r="Q40" i="119"/>
  <c r="R40" i="119" s="1"/>
  <c r="I43" i="10"/>
  <c r="K43" i="10" l="1"/>
  <c r="N42" i="119"/>
  <c r="P42" i="119"/>
  <c r="V78" i="119"/>
  <c r="R118" i="119"/>
  <c r="O81" i="119"/>
  <c r="N81" i="119" s="1"/>
  <c r="N38" i="158"/>
  <c r="C41" i="129"/>
  <c r="G40" i="12"/>
  <c r="M40" i="12"/>
  <c r="N81" i="158" l="1"/>
  <c r="Q42" i="119"/>
  <c r="R42" i="119" s="1"/>
  <c r="AC40" i="12"/>
  <c r="M41" i="129"/>
  <c r="E41" i="13"/>
  <c r="M81" i="119"/>
  <c r="Q81" i="119"/>
  <c r="Q121" i="119" s="1"/>
  <c r="N121" i="119"/>
  <c r="G41" i="129"/>
  <c r="C42" i="12"/>
  <c r="C43" i="129" l="1"/>
  <c r="G42" i="12"/>
  <c r="M42" i="12"/>
  <c r="P81" i="119"/>
  <c r="M121" i="119"/>
  <c r="Z37" i="158"/>
  <c r="AC41" i="129"/>
  <c r="I41" i="13"/>
  <c r="N124" i="158"/>
  <c r="Z81" i="158"/>
  <c r="E43" i="13" l="1"/>
  <c r="G43" i="129"/>
  <c r="Z124" i="158"/>
  <c r="O120" i="119"/>
  <c r="N37" i="158"/>
  <c r="R81" i="119"/>
  <c r="P121" i="119"/>
  <c r="O42" i="105"/>
  <c r="O201" i="105" s="1"/>
  <c r="O204" i="105" s="1"/>
  <c r="M43" i="129"/>
  <c r="AC42" i="12"/>
  <c r="O193" i="105" l="1"/>
  <c r="C108" i="105"/>
  <c r="V81" i="119"/>
  <c r="R121" i="119"/>
  <c r="O80" i="119"/>
  <c r="Z39" i="158"/>
  <c r="AC43" i="129"/>
  <c r="E29" i="132"/>
  <c r="E39" i="132" s="1"/>
  <c r="N80" i="158"/>
  <c r="N123" i="158" s="1"/>
  <c r="I43" i="13"/>
  <c r="Z123" i="158" l="1"/>
  <c r="O44" i="105"/>
  <c r="O195" i="105" s="1"/>
  <c r="Z80" i="158"/>
  <c r="O122" i="119"/>
  <c r="N39" i="158"/>
  <c r="N80" i="119"/>
  <c r="Q80" i="119" l="1"/>
  <c r="N120" i="119"/>
  <c r="O82" i="119"/>
  <c r="N82" i="158"/>
  <c r="N125" i="158" s="1"/>
  <c r="C110" i="105"/>
  <c r="M80" i="119"/>
  <c r="Z82" i="158" l="1"/>
  <c r="N82" i="119"/>
  <c r="Z125" i="158"/>
  <c r="P80" i="119"/>
  <c r="M120" i="119"/>
  <c r="Q120" i="119"/>
  <c r="R80" i="119" l="1"/>
  <c r="P120" i="119"/>
  <c r="M82" i="119"/>
  <c r="Q82" i="119"/>
  <c r="N122" i="119"/>
  <c r="V80" i="119" l="1"/>
  <c r="R120" i="119"/>
  <c r="Q122" i="119"/>
  <c r="P82" i="119"/>
  <c r="M122" i="119"/>
  <c r="R82" i="119" l="1"/>
  <c r="P122" i="119"/>
  <c r="V82" i="119" l="1"/>
  <c r="R122" i="119"/>
  <c r="L39" i="132" l="1"/>
  <c r="U28" i="115" l="1"/>
  <c r="C26" i="92"/>
  <c r="I26" i="92" l="1"/>
  <c r="C28" i="92"/>
  <c r="C68" i="92"/>
  <c r="C70" i="92" s="1"/>
  <c r="K26" i="92"/>
  <c r="K68" i="92" l="1"/>
  <c r="K70" i="92" s="1"/>
  <c r="K28" i="92"/>
  <c r="I68" i="92"/>
  <c r="I70" i="92" s="1"/>
  <c r="I28" i="92"/>
  <c r="BT34" i="92" l="1"/>
  <c r="BT36" i="92" l="1"/>
  <c r="BT42" i="92" s="1"/>
  <c r="O54" i="84" l="1"/>
  <c r="AG54" i="84"/>
  <c r="AM54" i="116"/>
  <c r="Y54" i="116"/>
  <c r="O47" i="84" l="1"/>
  <c r="AG47" i="84"/>
  <c r="AM47" i="116"/>
  <c r="Y47" i="116"/>
  <c r="E33" i="90"/>
  <c r="Q33" i="90" s="1"/>
  <c r="AO54" i="116"/>
  <c r="Y52" i="166" l="1"/>
  <c r="AM52" i="166"/>
  <c r="S52" i="166"/>
  <c r="Y46" i="166"/>
  <c r="AM46" i="166"/>
  <c r="S46" i="166"/>
  <c r="Y31" i="166"/>
  <c r="AM45" i="166"/>
  <c r="S45" i="166"/>
  <c r="AM45" i="116"/>
  <c r="E31" i="90"/>
  <c r="S45" i="116"/>
  <c r="O48" i="84"/>
  <c r="AG48" i="84"/>
  <c r="I33" i="85"/>
  <c r="AM48" i="116"/>
  <c r="Y48" i="116"/>
  <c r="E34" i="90"/>
  <c r="Q34" i="90" s="1"/>
  <c r="O51" i="84"/>
  <c r="AG51" i="84"/>
  <c r="O53" i="84"/>
  <c r="AG53" i="84"/>
  <c r="AD56" i="84"/>
  <c r="AO47" i="116"/>
  <c r="O52" i="84"/>
  <c r="AG52" i="84"/>
  <c r="Y51" i="116"/>
  <c r="AM51" i="116"/>
  <c r="E37" i="90"/>
  <c r="Q37" i="90" s="1"/>
  <c r="AM53" i="116"/>
  <c r="Y53" i="116"/>
  <c r="E39" i="90"/>
  <c r="Q39" i="90" s="1"/>
  <c r="Y52" i="116"/>
  <c r="AM52" i="116"/>
  <c r="E38" i="90"/>
  <c r="Q38" i="90" s="1"/>
  <c r="O50" i="84"/>
  <c r="AG50" i="84"/>
  <c r="O46" i="84"/>
  <c r="AG46" i="84"/>
  <c r="Y50" i="116"/>
  <c r="AM50" i="116"/>
  <c r="E36" i="90"/>
  <c r="Q36" i="90" s="1"/>
  <c r="AM46" i="116"/>
  <c r="Y46" i="116"/>
  <c r="E32" i="90"/>
  <c r="Q32" i="90" s="1"/>
  <c r="O45" i="84"/>
  <c r="AG45" i="84"/>
  <c r="Y49" i="166" l="1"/>
  <c r="AM49" i="166"/>
  <c r="S49" i="166"/>
  <c r="Y47" i="166"/>
  <c r="AM47" i="166"/>
  <c r="S47" i="166"/>
  <c r="AO46" i="166"/>
  <c r="Y48" i="166"/>
  <c r="AM48" i="166"/>
  <c r="S48" i="166"/>
  <c r="Y54" i="166"/>
  <c r="AM54" i="166"/>
  <c r="S54" i="166"/>
  <c r="AC52" i="166"/>
  <c r="AI52" i="166"/>
  <c r="AI45" i="166"/>
  <c r="AC45" i="166"/>
  <c r="Y50" i="166"/>
  <c r="AM50" i="166"/>
  <c r="S50" i="166"/>
  <c r="AO52" i="166"/>
  <c r="AO31" i="166"/>
  <c r="Y42" i="166"/>
  <c r="Y53" i="166"/>
  <c r="AM53" i="166"/>
  <c r="S53" i="166"/>
  <c r="W56" i="166"/>
  <c r="AC46" i="166"/>
  <c r="AI46" i="166"/>
  <c r="Y51" i="166"/>
  <c r="AM51" i="166"/>
  <c r="S51" i="166"/>
  <c r="AO48" i="116"/>
  <c r="O49" i="84"/>
  <c r="O56" i="84" s="1"/>
  <c r="AC86" i="84" s="1"/>
  <c r="AG49" i="84"/>
  <c r="AG56" i="84" s="1"/>
  <c r="AC45" i="116"/>
  <c r="R115" i="126"/>
  <c r="AI45" i="116"/>
  <c r="AO46" i="116"/>
  <c r="I32" i="85"/>
  <c r="I36" i="85"/>
  <c r="AO52" i="116"/>
  <c r="AM49" i="116"/>
  <c r="AM56" i="116" s="1"/>
  <c r="Y49" i="116"/>
  <c r="E35" i="90"/>
  <c r="Q35" i="90" s="1"/>
  <c r="E33" i="95"/>
  <c r="Q33" i="95" s="1"/>
  <c r="U33" i="85"/>
  <c r="W56" i="116"/>
  <c r="AC87" i="84" s="1"/>
  <c r="I34" i="85"/>
  <c r="AO51" i="116"/>
  <c r="Q31" i="90"/>
  <c r="I39" i="85"/>
  <c r="AO53" i="116"/>
  <c r="I37" i="85"/>
  <c r="I31" i="85"/>
  <c r="AO50" i="116"/>
  <c r="I38" i="85"/>
  <c r="E42" i="90" l="1"/>
  <c r="Q42" i="90"/>
  <c r="AI47" i="166"/>
  <c r="AC47" i="166"/>
  <c r="AO50" i="166"/>
  <c r="AO54" i="166"/>
  <c r="S56" i="166"/>
  <c r="AO47" i="166"/>
  <c r="AS46" i="166"/>
  <c r="AI48" i="166"/>
  <c r="AC48" i="166"/>
  <c r="AO42" i="166"/>
  <c r="AI51" i="166"/>
  <c r="AC51" i="166"/>
  <c r="AC53" i="166"/>
  <c r="AI53" i="166"/>
  <c r="AS45" i="166"/>
  <c r="AC54" i="166"/>
  <c r="AI54" i="166"/>
  <c r="AC49" i="166"/>
  <c r="AI49" i="166"/>
  <c r="AM56" i="166"/>
  <c r="AO48" i="166"/>
  <c r="AO51" i="166"/>
  <c r="AO53" i="166"/>
  <c r="AI50" i="166"/>
  <c r="AC50" i="166"/>
  <c r="AS52" i="166"/>
  <c r="AO49" i="166"/>
  <c r="U31" i="85"/>
  <c r="E31" i="95"/>
  <c r="AW45" i="116"/>
  <c r="U37" i="85"/>
  <c r="E37" i="95"/>
  <c r="Q37" i="95" s="1"/>
  <c r="R75" i="126"/>
  <c r="V115" i="126"/>
  <c r="O115" i="126"/>
  <c r="U39" i="85"/>
  <c r="E39" i="95"/>
  <c r="Q39" i="95" s="1"/>
  <c r="AS45" i="116"/>
  <c r="E36" i="95"/>
  <c r="Q36" i="95" s="1"/>
  <c r="U36" i="85"/>
  <c r="I35" i="85"/>
  <c r="I42" i="85" s="1"/>
  <c r="E34" i="95"/>
  <c r="Q34" i="95" s="1"/>
  <c r="U34" i="85"/>
  <c r="AO49" i="116"/>
  <c r="U32" i="85"/>
  <c r="E32" i="95"/>
  <c r="Q32" i="95" s="1"/>
  <c r="E38" i="95"/>
  <c r="Q38" i="95" s="1"/>
  <c r="U38" i="85"/>
  <c r="AC89" i="84"/>
  <c r="AC56" i="166" l="1"/>
  <c r="AC84" i="166"/>
  <c r="AS53" i="166"/>
  <c r="AS49" i="166"/>
  <c r="AS48" i="166"/>
  <c r="AS54" i="166"/>
  <c r="AS47" i="166"/>
  <c r="AS50" i="166"/>
  <c r="AS51" i="166"/>
  <c r="AI56" i="166"/>
  <c r="R35" i="124"/>
  <c r="M115" i="126"/>
  <c r="O75" i="126"/>
  <c r="E35" i="95"/>
  <c r="Q35" i="95" s="1"/>
  <c r="U35" i="85"/>
  <c r="U42" i="85" s="1"/>
  <c r="Q31" i="95"/>
  <c r="Q42" i="95" l="1"/>
  <c r="E42" i="95"/>
  <c r="AS56" i="166"/>
  <c r="N75" i="126"/>
  <c r="O35" i="124"/>
  <c r="N115" i="126"/>
  <c r="P115" i="126"/>
  <c r="P75" i="126" l="1"/>
  <c r="Q115" i="126"/>
  <c r="M75" i="126"/>
  <c r="N35" i="124"/>
  <c r="Q75" i="126" l="1"/>
  <c r="M35" i="124"/>
  <c r="P35" i="124"/>
  <c r="Q35" i="124" l="1"/>
  <c r="AI125" i="105" l="1"/>
  <c r="AL75" i="105"/>
  <c r="G35" i="16" l="1"/>
  <c r="AL125" i="105"/>
  <c r="S35" i="16" l="1"/>
  <c r="I35" i="16"/>
  <c r="K35" i="16" l="1"/>
  <c r="AI25" i="27" l="1"/>
  <c r="M28" i="56"/>
  <c r="Q28" i="56" s="1"/>
  <c r="M27" i="56"/>
  <c r="T27" i="56" s="1"/>
  <c r="M26" i="56"/>
  <c r="T26" i="56" s="1"/>
  <c r="U28" i="56" l="1"/>
  <c r="AH27" i="27"/>
  <c r="C47" i="108"/>
  <c r="G47" i="108" s="1"/>
  <c r="C46" i="55" s="1"/>
  <c r="G46" i="55" s="1"/>
  <c r="O46" i="55" s="1"/>
  <c r="G46" i="56" s="1"/>
  <c r="Q27" i="56"/>
  <c r="C17" i="96" s="1"/>
  <c r="M17" i="96" s="1"/>
  <c r="U27" i="56"/>
  <c r="C46" i="27"/>
  <c r="G46" i="27" s="1"/>
  <c r="O46" i="27" s="1"/>
  <c r="E28" i="133"/>
  <c r="AQ28" i="56"/>
  <c r="C18" i="96"/>
  <c r="M18" i="96" s="1"/>
  <c r="E28" i="118"/>
  <c r="E28" i="23"/>
  <c r="U26" i="56"/>
  <c r="T28" i="56"/>
  <c r="AH26" i="27"/>
  <c r="AH28" i="27"/>
  <c r="C48" i="108"/>
  <c r="G48" i="108" s="1"/>
  <c r="Q26" i="56"/>
  <c r="C46" i="108"/>
  <c r="G46" i="108" s="1"/>
  <c r="E27" i="118" l="1"/>
  <c r="AQ27" i="56"/>
  <c r="E27" i="133"/>
  <c r="E27" i="23"/>
  <c r="G27" i="23" s="1"/>
  <c r="G28" i="118"/>
  <c r="Q28" i="118"/>
  <c r="AD28" i="118"/>
  <c r="G28" i="133"/>
  <c r="G42" i="105"/>
  <c r="Q28" i="23"/>
  <c r="G28" i="23"/>
  <c r="C47" i="55"/>
  <c r="G47" i="55" s="1"/>
  <c r="O47" i="55" s="1"/>
  <c r="G47" i="56" s="1"/>
  <c r="C47" i="27"/>
  <c r="G47" i="27" s="1"/>
  <c r="O47" i="27" s="1"/>
  <c r="C46" i="56"/>
  <c r="M46" i="56" s="1"/>
  <c r="G27" i="133"/>
  <c r="C45" i="55"/>
  <c r="G45" i="55" s="1"/>
  <c r="O45" i="55" s="1"/>
  <c r="G45" i="56" s="1"/>
  <c r="C45" i="27"/>
  <c r="G45" i="27" s="1"/>
  <c r="O45" i="27" s="1"/>
  <c r="E26" i="118"/>
  <c r="E26" i="23"/>
  <c r="E26" i="133"/>
  <c r="AQ26" i="56"/>
  <c r="Q27" i="118"/>
  <c r="G27" i="118"/>
  <c r="AD27" i="118"/>
  <c r="Q27" i="23" l="1"/>
  <c r="G41" i="105"/>
  <c r="C45" i="56"/>
  <c r="M45" i="56" s="1"/>
  <c r="Q26" i="23"/>
  <c r="G40" i="105"/>
  <c r="G26" i="23"/>
  <c r="G26" i="118"/>
  <c r="AD26" i="118"/>
  <c r="Q26" i="118"/>
  <c r="S41" i="15"/>
  <c r="S28" i="23"/>
  <c r="G193" i="105"/>
  <c r="S40" i="15"/>
  <c r="AF27" i="118"/>
  <c r="S27" i="118"/>
  <c r="G192" i="105"/>
  <c r="Q46" i="56"/>
  <c r="AB46" i="56"/>
  <c r="E37" i="158"/>
  <c r="O40" i="122"/>
  <c r="E36" i="158"/>
  <c r="O39" i="122"/>
  <c r="G26" i="133"/>
  <c r="S27" i="23"/>
  <c r="C47" i="56"/>
  <c r="M47" i="56" s="1"/>
  <c r="AF28" i="118"/>
  <c r="S28" i="118"/>
  <c r="M39" i="122" l="1"/>
  <c r="O38" i="122"/>
  <c r="E35" i="158"/>
  <c r="S26" i="23"/>
  <c r="AB47" i="56"/>
  <c r="Q47" i="56"/>
  <c r="M40" i="122"/>
  <c r="N40" i="122" s="1"/>
  <c r="G191" i="105"/>
  <c r="E80" i="158"/>
  <c r="E123" i="158" s="1"/>
  <c r="AF26" i="118"/>
  <c r="S26" i="118"/>
  <c r="S39" i="15"/>
  <c r="T40" i="15"/>
  <c r="E79" i="158"/>
  <c r="E122" i="158" s="1"/>
  <c r="E46" i="23"/>
  <c r="E46" i="133"/>
  <c r="AQ46" i="56"/>
  <c r="E46" i="118"/>
  <c r="T41" i="15"/>
  <c r="Q45" i="56"/>
  <c r="AB45" i="56"/>
  <c r="M38" i="122" l="1"/>
  <c r="N38" i="122" s="1"/>
  <c r="AQ47" i="56"/>
  <c r="E47" i="23"/>
  <c r="E47" i="133"/>
  <c r="E47" i="118"/>
  <c r="Q46" i="118"/>
  <c r="G46" i="118"/>
  <c r="E65" i="118"/>
  <c r="Q46" i="23"/>
  <c r="Q65" i="23" s="1"/>
  <c r="S41" i="105"/>
  <c r="G46" i="23"/>
  <c r="E65" i="23"/>
  <c r="T39" i="15"/>
  <c r="G46" i="133"/>
  <c r="E65" i="133"/>
  <c r="P39" i="122"/>
  <c r="Q40" i="122"/>
  <c r="N39" i="122"/>
  <c r="E45" i="118"/>
  <c r="E45" i="133"/>
  <c r="AQ45" i="56"/>
  <c r="E45" i="23"/>
  <c r="P40" i="122"/>
  <c r="E78" i="158"/>
  <c r="E121" i="158" s="1"/>
  <c r="G45" i="118" l="1"/>
  <c r="Q45" i="118"/>
  <c r="E64" i="118"/>
  <c r="S46" i="118"/>
  <c r="S65" i="118" s="1"/>
  <c r="G65" i="118"/>
  <c r="AC36" i="158"/>
  <c r="O119" i="122"/>
  <c r="O79" i="122" s="1"/>
  <c r="Q65" i="118"/>
  <c r="G47" i="118"/>
  <c r="Q47" i="118"/>
  <c r="E66" i="118"/>
  <c r="R40" i="122"/>
  <c r="G65" i="133"/>
  <c r="S46" i="23"/>
  <c r="S65" i="23" s="1"/>
  <c r="G65" i="23"/>
  <c r="G47" i="133"/>
  <c r="E66" i="133"/>
  <c r="Q38" i="122"/>
  <c r="Q45" i="23"/>
  <c r="S40" i="105"/>
  <c r="G45" i="23"/>
  <c r="E64" i="23"/>
  <c r="G107" i="105"/>
  <c r="S192" i="105"/>
  <c r="S42" i="105"/>
  <c r="Q47" i="23"/>
  <c r="Q66" i="23" s="1"/>
  <c r="G47" i="23"/>
  <c r="E66" i="23"/>
  <c r="P38" i="122"/>
  <c r="G45" i="133"/>
  <c r="E64" i="133"/>
  <c r="Q39" i="122"/>
  <c r="R39" i="122" s="1"/>
  <c r="G66" i="133" l="1"/>
  <c r="S45" i="23"/>
  <c r="G64" i="23"/>
  <c r="G64" i="133"/>
  <c r="N79" i="122"/>
  <c r="M79" i="122" s="1"/>
  <c r="G108" i="105"/>
  <c r="S193" i="105"/>
  <c r="Q64" i="23"/>
  <c r="Q36" i="158"/>
  <c r="R38" i="122"/>
  <c r="AC37" i="158"/>
  <c r="O120" i="122"/>
  <c r="O80" i="122" s="1"/>
  <c r="Q66" i="118"/>
  <c r="O118" i="122"/>
  <c r="AC35" i="158"/>
  <c r="Q64" i="118"/>
  <c r="G106" i="105"/>
  <c r="S191" i="105"/>
  <c r="S47" i="118"/>
  <c r="S66" i="118" s="1"/>
  <c r="G66" i="118"/>
  <c r="S45" i="118"/>
  <c r="G64" i="118"/>
  <c r="S47" i="23"/>
  <c r="S66" i="23" s="1"/>
  <c r="G66" i="23"/>
  <c r="N80" i="122" l="1"/>
  <c r="M80" i="122" s="1"/>
  <c r="S64" i="23"/>
  <c r="Q37" i="158"/>
  <c r="S64" i="118"/>
  <c r="Q35" i="158"/>
  <c r="P79" i="122"/>
  <c r="M119" i="122"/>
  <c r="O78" i="122"/>
  <c r="Q79" i="158"/>
  <c r="Q122" i="158" s="1"/>
  <c r="Q79" i="122"/>
  <c r="Q119" i="122" s="1"/>
  <c r="N119" i="122"/>
  <c r="AC122" i="158" l="1"/>
  <c r="N78" i="122"/>
  <c r="M78" i="122" s="1"/>
  <c r="Q80" i="158"/>
  <c r="R79" i="122"/>
  <c r="P119" i="122"/>
  <c r="P80" i="122"/>
  <c r="M120" i="122"/>
  <c r="Q78" i="158"/>
  <c r="Q80" i="122"/>
  <c r="Q120" i="122" s="1"/>
  <c r="N120" i="122"/>
  <c r="AC79" i="158"/>
  <c r="P78" i="122" l="1"/>
  <c r="M118" i="122"/>
  <c r="Q78" i="122"/>
  <c r="N118" i="122"/>
  <c r="R80" i="122"/>
  <c r="P120" i="122"/>
  <c r="V79" i="122"/>
  <c r="R119" i="122"/>
  <c r="AC80" i="158"/>
  <c r="Q123" i="158"/>
  <c r="AC78" i="158"/>
  <c r="Q121" i="158"/>
  <c r="AC123" i="158" l="1"/>
  <c r="Q118" i="122"/>
  <c r="AC121" i="158"/>
  <c r="V80" i="122"/>
  <c r="R120" i="122"/>
  <c r="R78" i="122"/>
  <c r="P118" i="122"/>
  <c r="V78" i="122" l="1"/>
  <c r="R118" i="122"/>
  <c r="E33" i="107" l="1"/>
  <c r="I22" i="109" l="1"/>
  <c r="K22" i="109" s="1"/>
  <c r="K50" i="109" l="1"/>
  <c r="M50" i="109" s="1"/>
  <c r="C50" i="87" s="1"/>
  <c r="L22" i="109"/>
  <c r="BI46" i="110" s="1"/>
  <c r="BJ46" i="110" s="1"/>
  <c r="BK46" i="110" s="1"/>
  <c r="M22" i="109" s="1"/>
  <c r="C22" i="87" s="1"/>
  <c r="K22" i="87" l="1"/>
  <c r="C64" i="87"/>
  <c r="I22" i="87"/>
  <c r="G28" i="109"/>
  <c r="C50" i="84"/>
  <c r="K50" i="87"/>
  <c r="I50" i="87"/>
  <c r="I64" i="87" l="1"/>
  <c r="Q22" i="87"/>
  <c r="U28" i="109"/>
  <c r="S22" i="87"/>
  <c r="K64" i="87"/>
  <c r="Q50" i="87"/>
  <c r="Q50" i="84" s="1"/>
  <c r="I50" i="84"/>
  <c r="K50" i="84"/>
  <c r="S50" i="87"/>
  <c r="Q64" i="87" l="1"/>
  <c r="U50" i="87"/>
  <c r="S50" i="84"/>
  <c r="S64" i="87"/>
  <c r="C94" i="99" s="1"/>
  <c r="I94" i="99" s="1"/>
  <c r="M94" i="99" l="1"/>
  <c r="U22" i="87" s="1"/>
  <c r="K94" i="99"/>
  <c r="C50" i="116"/>
  <c r="C50" i="115"/>
  <c r="G50" i="115" s="1"/>
  <c r="I50" i="115" s="1"/>
  <c r="AG50" i="87"/>
  <c r="W50" i="87"/>
  <c r="W50" i="84" s="1"/>
  <c r="C50" i="94"/>
  <c r="G50" i="94" s="1"/>
  <c r="I50" i="94" s="1"/>
  <c r="AN50" i="87"/>
  <c r="U50" i="84"/>
  <c r="C50" i="99"/>
  <c r="K50" i="116" l="1"/>
  <c r="M50" i="116"/>
  <c r="R120" i="125"/>
  <c r="K50" i="99"/>
  <c r="M50" i="99"/>
  <c r="AI50" i="84"/>
  <c r="AW50" i="84"/>
  <c r="C22" i="99"/>
  <c r="O40" i="141"/>
  <c r="C22" i="116"/>
  <c r="AG22" i="87"/>
  <c r="AG64" i="87" s="1"/>
  <c r="C24" i="94"/>
  <c r="G24" i="94" s="1"/>
  <c r="I24" i="94" s="1"/>
  <c r="W22" i="87"/>
  <c r="W64" i="87" s="1"/>
  <c r="U40" i="15" s="1"/>
  <c r="C22" i="115"/>
  <c r="G22" i="115" s="1"/>
  <c r="I22" i="115" s="1"/>
  <c r="C22" i="84" s="1"/>
  <c r="U64" i="87"/>
  <c r="R24" i="131" l="1"/>
  <c r="AN64" i="87"/>
  <c r="E22" i="93"/>
  <c r="I22" i="93" s="1"/>
  <c r="M22" i="93" s="1"/>
  <c r="O40" i="125"/>
  <c r="I22" i="84"/>
  <c r="K22" i="84"/>
  <c r="C64" i="84"/>
  <c r="W40" i="15"/>
  <c r="C64" i="116"/>
  <c r="M22" i="116"/>
  <c r="K22" i="116"/>
  <c r="M40" i="141"/>
  <c r="N40" i="141" s="1"/>
  <c r="O120" i="125"/>
  <c r="V120" i="125"/>
  <c r="N22" i="99"/>
  <c r="C64" i="99"/>
  <c r="K22" i="99"/>
  <c r="K64" i="99" s="1"/>
  <c r="M22" i="99"/>
  <c r="M64" i="99" s="1"/>
  <c r="AA50" i="116"/>
  <c r="S50" i="116" s="1"/>
  <c r="I64" i="84" l="1"/>
  <c r="Q22" i="84"/>
  <c r="Q64" i="84" s="1"/>
  <c r="AQ50" i="116"/>
  <c r="R120" i="126"/>
  <c r="AC50" i="116"/>
  <c r="AS50" i="116" s="1"/>
  <c r="AI50" i="116"/>
  <c r="AW50" i="116" s="1"/>
  <c r="AA22" i="116"/>
  <c r="AQ22" i="116" s="1"/>
  <c r="K64" i="116"/>
  <c r="M64" i="116"/>
  <c r="O40" i="140"/>
  <c r="M40" i="125"/>
  <c r="N40" i="125" s="1"/>
  <c r="O80" i="125"/>
  <c r="M120" i="125"/>
  <c r="P120" i="125" s="1"/>
  <c r="C50" i="131"/>
  <c r="C22" i="98"/>
  <c r="V24" i="131"/>
  <c r="I36" i="158" s="1"/>
  <c r="U63" i="99"/>
  <c r="C23" i="134"/>
  <c r="K64" i="84"/>
  <c r="N120" i="125" l="1"/>
  <c r="Q120" i="125" s="1"/>
  <c r="AQ64" i="116"/>
  <c r="O23" i="134"/>
  <c r="G23" i="134"/>
  <c r="W63" i="99"/>
  <c r="I79" i="158"/>
  <c r="I122" i="158" s="1"/>
  <c r="K36" i="158"/>
  <c r="K22" i="98"/>
  <c r="M22" i="98"/>
  <c r="N40" i="140"/>
  <c r="Q40" i="125"/>
  <c r="O120" i="126"/>
  <c r="R80" i="126"/>
  <c r="R40" i="124" s="1"/>
  <c r="V120" i="126"/>
  <c r="M40" i="140"/>
  <c r="P40" i="125"/>
  <c r="K50" i="131"/>
  <c r="I50" i="131"/>
  <c r="AA64" i="116"/>
  <c r="AA89" i="116" s="1"/>
  <c r="N80" i="125" l="1"/>
  <c r="M80" i="125" s="1"/>
  <c r="O80" i="126"/>
  <c r="M120" i="126"/>
  <c r="P120" i="126" s="1"/>
  <c r="P80" i="126" s="1"/>
  <c r="P40" i="124" s="1"/>
  <c r="R40" i="125"/>
  <c r="Q40" i="140"/>
  <c r="Q80" i="125"/>
  <c r="K122" i="158"/>
  <c r="K79" i="158"/>
  <c r="P40" i="140"/>
  <c r="P80" i="125"/>
  <c r="N120" i="126" l="1"/>
  <c r="P40" i="123"/>
  <c r="P80" i="140"/>
  <c r="P120" i="140" s="1"/>
  <c r="Q40" i="123"/>
  <c r="R40" i="140"/>
  <c r="R80" i="125"/>
  <c r="R80" i="140" s="1"/>
  <c r="Q120" i="126"/>
  <c r="Q80" i="126" s="1"/>
  <c r="Q40" i="124" s="1"/>
  <c r="N80" i="126"/>
  <c r="O40" i="124"/>
  <c r="O80" i="140"/>
  <c r="O120" i="140" s="1"/>
  <c r="R120" i="140" l="1"/>
  <c r="Q80" i="140"/>
  <c r="Q120" i="140" s="1"/>
  <c r="M80" i="126"/>
  <c r="N40" i="124"/>
  <c r="N80" i="140"/>
  <c r="N120" i="140" s="1"/>
  <c r="M40" i="124" l="1"/>
  <c r="M80" i="140"/>
  <c r="M120" i="140" s="1"/>
  <c r="M115" i="99" l="1"/>
  <c r="AI25" i="91" s="1"/>
  <c r="K115" i="99"/>
  <c r="AI25" i="92" l="1"/>
  <c r="S39" i="117" s="1"/>
  <c r="AK25" i="91"/>
  <c r="AK67" i="91" s="1"/>
  <c r="V43" i="15" s="1"/>
  <c r="AI67" i="91"/>
  <c r="AN25" i="91"/>
  <c r="C25" i="166"/>
  <c r="O27" i="94"/>
  <c r="S27" i="94" s="1"/>
  <c r="U27" i="94" s="1"/>
  <c r="AI67" i="92" l="1"/>
  <c r="AK25" i="92"/>
  <c r="AK67" i="92" s="1"/>
  <c r="AC39" i="117"/>
  <c r="X27" i="131"/>
  <c r="O43" i="126"/>
  <c r="M25" i="166"/>
  <c r="C67" i="166"/>
  <c r="K25" i="166"/>
  <c r="V66" i="99" l="1"/>
  <c r="AB27" i="131"/>
  <c r="J39" i="158" s="1"/>
  <c r="E26" i="134"/>
  <c r="M43" i="126"/>
  <c r="N43" i="126" s="1"/>
  <c r="M67" i="166"/>
  <c r="AA25" i="166"/>
  <c r="K67" i="166"/>
  <c r="J82" i="158" l="1"/>
  <c r="Q43" i="126"/>
  <c r="P43" i="126"/>
  <c r="AQ25" i="166"/>
  <c r="AQ67" i="166" s="1"/>
  <c r="AA67" i="166"/>
  <c r="AA92" i="166" s="1"/>
  <c r="M114" i="99"/>
  <c r="K114" i="99"/>
  <c r="R43" i="126" l="1"/>
  <c r="J125" i="158"/>
  <c r="AI24" i="91"/>
  <c r="AI66" i="91" l="1"/>
  <c r="AI24" i="92"/>
  <c r="S38" i="117" s="1"/>
  <c r="O26" i="94"/>
  <c r="AK24" i="91"/>
  <c r="C24" i="166"/>
  <c r="AN24" i="91"/>
  <c r="AK66" i="91" l="1"/>
  <c r="C66" i="166"/>
  <c r="K24" i="166"/>
  <c r="M24" i="166"/>
  <c r="G24" i="93"/>
  <c r="O42" i="126"/>
  <c r="X26" i="131"/>
  <c r="S26" i="94"/>
  <c r="O29" i="94"/>
  <c r="AC38" i="117"/>
  <c r="AK24" i="92"/>
  <c r="AI66" i="92"/>
  <c r="K66" i="166" l="1"/>
  <c r="AA24" i="166"/>
  <c r="U26" i="94"/>
  <c r="U29" i="94" s="1"/>
  <c r="S29" i="94"/>
  <c r="G38" i="93"/>
  <c r="V65" i="99"/>
  <c r="AB26" i="131"/>
  <c r="E25" i="134"/>
  <c r="AK66" i="92"/>
  <c r="M42" i="126"/>
  <c r="O45" i="126"/>
  <c r="G26" i="93"/>
  <c r="V42" i="15"/>
  <c r="M66" i="166"/>
  <c r="N42" i="126" l="1"/>
  <c r="P42" i="126"/>
  <c r="M45" i="126"/>
  <c r="J38" i="158"/>
  <c r="AQ24" i="166"/>
  <c r="AA66" i="166"/>
  <c r="V69" i="99"/>
  <c r="AA91" i="166" l="1"/>
  <c r="J81" i="158"/>
  <c r="J124" i="158" s="1"/>
  <c r="AQ66" i="166"/>
  <c r="P45" i="126"/>
  <c r="Q42" i="126"/>
  <c r="R42" i="126" s="1"/>
  <c r="N45" i="126"/>
  <c r="R45" i="126" l="1"/>
  <c r="Q45" i="126"/>
  <c r="O52" i="56" l="1"/>
  <c r="Q19" i="107" l="1"/>
  <c r="Q23" i="107"/>
  <c r="Q22" i="107"/>
  <c r="Q21" i="107" l="1"/>
  <c r="Q18" i="107"/>
  <c r="Q24" i="107"/>
  <c r="Q25" i="107"/>
  <c r="Q20" i="107"/>
  <c r="Q17" i="107" l="1"/>
  <c r="T25" i="53"/>
  <c r="I25" i="133"/>
  <c r="O25" i="133" l="1"/>
  <c r="T23" i="53" l="1"/>
  <c r="I23" i="133"/>
  <c r="T17" i="53"/>
  <c r="I17" i="133"/>
  <c r="T18" i="53"/>
  <c r="I18" i="133"/>
  <c r="T24" i="53"/>
  <c r="I24" i="133"/>
  <c r="T22" i="53"/>
  <c r="I22" i="133"/>
  <c r="T19" i="53"/>
  <c r="I19" i="133"/>
  <c r="T20" i="53"/>
  <c r="I20" i="133"/>
  <c r="T41" i="53"/>
  <c r="I41" i="133"/>
  <c r="I21" i="133"/>
  <c r="T21" i="53"/>
  <c r="Q38" i="107"/>
  <c r="Q43" i="107"/>
  <c r="Q42" i="107"/>
  <c r="Q41" i="107"/>
  <c r="Q37" i="107"/>
  <c r="Q40" i="107"/>
  <c r="G21" i="107"/>
  <c r="G23" i="107"/>
  <c r="G20" i="107"/>
  <c r="G18" i="107"/>
  <c r="G19" i="107"/>
  <c r="G25" i="107"/>
  <c r="G22" i="107"/>
  <c r="G24" i="107"/>
  <c r="O22" i="133" l="1"/>
  <c r="I60" i="133"/>
  <c r="Z20" i="56"/>
  <c r="K20" i="56"/>
  <c r="K20" i="133" s="1"/>
  <c r="M20" i="133" s="1"/>
  <c r="W20" i="23"/>
  <c r="X20" i="23" s="1"/>
  <c r="Z19" i="56"/>
  <c r="K19" i="56"/>
  <c r="K19" i="133" s="1"/>
  <c r="M19" i="133" s="1"/>
  <c r="W19" i="23"/>
  <c r="X19" i="23" s="1"/>
  <c r="O24" i="133"/>
  <c r="Z18" i="56"/>
  <c r="W18" i="23"/>
  <c r="X18" i="23" s="1"/>
  <c r="K18" i="56"/>
  <c r="K18" i="133" s="1"/>
  <c r="M18" i="133" s="1"/>
  <c r="W22" i="23"/>
  <c r="X22" i="23" s="1"/>
  <c r="K22" i="56"/>
  <c r="K22" i="133" s="1"/>
  <c r="Z22" i="56"/>
  <c r="T40" i="53"/>
  <c r="I40" i="133"/>
  <c r="O18" i="133"/>
  <c r="O21" i="133"/>
  <c r="Q36" i="107"/>
  <c r="O41" i="133"/>
  <c r="W24" i="23"/>
  <c r="K24" i="56"/>
  <c r="K24" i="133" s="1"/>
  <c r="M24" i="133" s="1"/>
  <c r="O17" i="133"/>
  <c r="W17" i="23"/>
  <c r="Z17" i="56"/>
  <c r="K17" i="56"/>
  <c r="K23" i="56"/>
  <c r="K23" i="133" s="1"/>
  <c r="M23" i="133" s="1"/>
  <c r="W23" i="23"/>
  <c r="X23" i="23" s="1"/>
  <c r="Z23" i="56"/>
  <c r="O20" i="133"/>
  <c r="G17" i="107"/>
  <c r="I37" i="133"/>
  <c r="I56" i="133" s="1"/>
  <c r="T37" i="53"/>
  <c r="K21" i="56"/>
  <c r="K21" i="133" s="1"/>
  <c r="W21" i="23"/>
  <c r="X21" i="23" s="1"/>
  <c r="Z21" i="56"/>
  <c r="O23" i="133"/>
  <c r="K38" i="133"/>
  <c r="Q38" i="133" s="1"/>
  <c r="Z38" i="56"/>
  <c r="K38" i="56"/>
  <c r="Q39" i="107"/>
  <c r="I39" i="133"/>
  <c r="I58" i="133" s="1"/>
  <c r="T39" i="53"/>
  <c r="T36" i="53"/>
  <c r="I36" i="133"/>
  <c r="I55" i="133" s="1"/>
  <c r="W39" i="23"/>
  <c r="X39" i="23" s="1"/>
  <c r="Z39" i="56"/>
  <c r="K39" i="133"/>
  <c r="Q39" i="133" s="1"/>
  <c r="K39" i="56"/>
  <c r="O19" i="133"/>
  <c r="G32" i="157"/>
  <c r="G35" i="157"/>
  <c r="G36" i="157"/>
  <c r="U36" i="157" s="1"/>
  <c r="AI36" i="157"/>
  <c r="G34" i="157"/>
  <c r="G33" i="157"/>
  <c r="G37" i="157"/>
  <c r="G38" i="157"/>
  <c r="G39" i="157"/>
  <c r="K41" i="56" l="1"/>
  <c r="K41" i="133"/>
  <c r="Z41" i="56"/>
  <c r="W41" i="23"/>
  <c r="X41" i="23" s="1"/>
  <c r="S18" i="133"/>
  <c r="S23" i="133"/>
  <c r="AG48" i="23"/>
  <c r="O40" i="133"/>
  <c r="O59" i="133" s="1"/>
  <c r="Q19" i="133"/>
  <c r="Q57" i="133" s="1"/>
  <c r="K57" i="133"/>
  <c r="G31" i="157"/>
  <c r="O36" i="133"/>
  <c r="S20" i="133"/>
  <c r="AK34" i="157"/>
  <c r="X39" i="27"/>
  <c r="Y39" i="27" s="1"/>
  <c r="S39" i="27" s="1"/>
  <c r="AG47" i="23"/>
  <c r="Q23" i="133"/>
  <c r="AG46" i="23"/>
  <c r="K60" i="133"/>
  <c r="Q22" i="133"/>
  <c r="Q20" i="133"/>
  <c r="Q58" i="133" s="1"/>
  <c r="K58" i="133"/>
  <c r="Z40" i="56"/>
  <c r="W40" i="23"/>
  <c r="X40" i="23" s="1"/>
  <c r="K40" i="56"/>
  <c r="K40" i="133"/>
  <c r="Q40" i="133" s="1"/>
  <c r="K37" i="133"/>
  <c r="Q37" i="133" s="1"/>
  <c r="K37" i="56"/>
  <c r="Z37" i="56"/>
  <c r="W37" i="23"/>
  <c r="X37" i="23" s="1"/>
  <c r="O39" i="133"/>
  <c r="O58" i="133" s="1"/>
  <c r="M39" i="133"/>
  <c r="S39" i="133" s="1"/>
  <c r="AG45" i="23"/>
  <c r="Q21" i="133"/>
  <c r="K17" i="133"/>
  <c r="Q18" i="133"/>
  <c r="M22" i="133"/>
  <c r="AK33" i="157"/>
  <c r="X38" i="27"/>
  <c r="Y38" i="27" s="1"/>
  <c r="S38" i="27" s="1"/>
  <c r="S19" i="133"/>
  <c r="O37" i="133"/>
  <c r="O56" i="133" s="1"/>
  <c r="X17" i="23"/>
  <c r="I59" i="133"/>
  <c r="M21" i="133"/>
  <c r="O60" i="133"/>
  <c r="AI34" i="157"/>
  <c r="U34" i="157" s="1"/>
  <c r="I34" i="157"/>
  <c r="I37" i="157"/>
  <c r="AI32" i="157"/>
  <c r="U32" i="157" s="1"/>
  <c r="I32" i="157"/>
  <c r="I31" i="157"/>
  <c r="I35" i="157"/>
  <c r="AI35" i="157"/>
  <c r="U35" i="157" s="1"/>
  <c r="I33" i="157"/>
  <c r="I36" i="157"/>
  <c r="W34" i="157" l="1"/>
  <c r="M58" i="133"/>
  <c r="K56" i="133"/>
  <c r="Q56" i="133"/>
  <c r="S58" i="133"/>
  <c r="AI31" i="157"/>
  <c r="S21" i="133"/>
  <c r="S22" i="133"/>
  <c r="AK35" i="157"/>
  <c r="W35" i="157" s="1"/>
  <c r="X40" i="27"/>
  <c r="Y40" i="27" s="1"/>
  <c r="S40" i="27" s="1"/>
  <c r="X41" i="27"/>
  <c r="AK36" i="157"/>
  <c r="W36" i="157" s="1"/>
  <c r="O55" i="133"/>
  <c r="T38" i="53"/>
  <c r="I38" i="133"/>
  <c r="W38" i="23"/>
  <c r="X38" i="23" s="1"/>
  <c r="K36" i="133"/>
  <c r="K36" i="56"/>
  <c r="Z36" i="56"/>
  <c r="W36" i="23"/>
  <c r="M37" i="133"/>
  <c r="Q17" i="133"/>
  <c r="M17" i="133"/>
  <c r="M40" i="133"/>
  <c r="S40" i="133" s="1"/>
  <c r="AK32" i="157"/>
  <c r="W32" i="157" s="1"/>
  <c r="X37" i="27"/>
  <c r="Y37" i="27" s="1"/>
  <c r="S37" i="27" s="1"/>
  <c r="K59" i="133"/>
  <c r="Q41" i="133"/>
  <c r="Q60" i="133" s="1"/>
  <c r="M41" i="133"/>
  <c r="S41" i="133" s="1"/>
  <c r="Q59" i="133"/>
  <c r="W33" i="157"/>
  <c r="S60" i="133" l="1"/>
  <c r="Q36" i="133"/>
  <c r="M36" i="133"/>
  <c r="X36" i="27"/>
  <c r="Y36" i="27" s="1"/>
  <c r="S36" i="27" s="1"/>
  <c r="AK31" i="157"/>
  <c r="S17" i="133"/>
  <c r="M55" i="133"/>
  <c r="M60" i="133"/>
  <c r="G30" i="157"/>
  <c r="U30" i="157" s="1"/>
  <c r="O38" i="133"/>
  <c r="M38" i="133"/>
  <c r="I57" i="133"/>
  <c r="K55" i="133"/>
  <c r="M59" i="133"/>
  <c r="S37" i="133"/>
  <c r="S56" i="133" s="1"/>
  <c r="M56" i="133"/>
  <c r="S59" i="133"/>
  <c r="M30" i="105"/>
  <c r="X36" i="23"/>
  <c r="Y41" i="27"/>
  <c r="U31" i="157"/>
  <c r="C30" i="67" l="1"/>
  <c r="M96" i="105"/>
  <c r="C30" i="16"/>
  <c r="S41" i="27"/>
  <c r="S38" i="133"/>
  <c r="S57" i="133" s="1"/>
  <c r="M57" i="133"/>
  <c r="AI33" i="157"/>
  <c r="O57" i="133"/>
  <c r="W31" i="157"/>
  <c r="S36" i="133"/>
  <c r="I30" i="157"/>
  <c r="Q55" i="133"/>
  <c r="U33" i="157" l="1"/>
  <c r="X37" i="4"/>
  <c r="O37" i="39"/>
  <c r="P37" i="39" s="1"/>
  <c r="X36" i="4"/>
  <c r="O36" i="39"/>
  <c r="P36" i="39" s="1"/>
  <c r="W30" i="157"/>
  <c r="X33" i="4"/>
  <c r="O33" i="39"/>
  <c r="P33" i="39" s="1"/>
  <c r="X35" i="4"/>
  <c r="O35" i="39"/>
  <c r="P35" i="39" s="1"/>
  <c r="S55" i="133"/>
  <c r="O32" i="39"/>
  <c r="X32" i="4"/>
  <c r="X38" i="4"/>
  <c r="O38" i="39"/>
  <c r="P38" i="39" s="1"/>
  <c r="I30" i="16"/>
  <c r="X39" i="4"/>
  <c r="O39" i="39"/>
  <c r="P39" i="39" s="1"/>
  <c r="O34" i="39"/>
  <c r="P34" i="39" s="1"/>
  <c r="X34" i="4"/>
  <c r="E30" i="67"/>
  <c r="X43" i="4" l="1"/>
  <c r="O43" i="39"/>
  <c r="P43" i="39" s="1"/>
  <c r="P32" i="39"/>
  <c r="K30" i="16"/>
  <c r="O42" i="39" l="1"/>
  <c r="P42" i="39" s="1"/>
  <c r="X42" i="4"/>
  <c r="X41" i="4"/>
  <c r="O41" i="39"/>
  <c r="P41" i="39" s="1"/>
  <c r="X40" i="4"/>
  <c r="O40" i="39"/>
  <c r="W46" i="4"/>
  <c r="X46" i="4" l="1"/>
  <c r="P40" i="39"/>
  <c r="P46" i="39" s="1"/>
  <c r="O46" i="39"/>
  <c r="P27" i="10"/>
  <c r="P29" i="10" l="1"/>
  <c r="P28" i="10" l="1"/>
  <c r="P30" i="10"/>
  <c r="P31" i="10" l="1"/>
  <c r="S27" i="9" l="1"/>
  <c r="X31" i="40"/>
  <c r="O31" i="5"/>
  <c r="AP27" i="129"/>
  <c r="AE28" i="157"/>
  <c r="S26" i="9"/>
  <c r="P32" i="10"/>
  <c r="E26" i="9" l="1"/>
  <c r="G26" i="9" s="1"/>
  <c r="I26" i="9" s="1"/>
  <c r="U26" i="9"/>
  <c r="Q28" i="157"/>
  <c r="U31" i="72"/>
  <c r="P31" i="5"/>
  <c r="S29" i="9"/>
  <c r="U29" i="9" s="1"/>
  <c r="O32" i="5"/>
  <c r="X32" i="40"/>
  <c r="AE29" i="157"/>
  <c r="AP28" i="129"/>
  <c r="E27" i="9"/>
  <c r="G27" i="9" s="1"/>
  <c r="I27" i="9" s="1"/>
  <c r="U27" i="9"/>
  <c r="AE31" i="157" l="1"/>
  <c r="AP30" i="129"/>
  <c r="W27" i="9"/>
  <c r="Z27" i="9"/>
  <c r="C28" i="35"/>
  <c r="K28" i="35" s="1"/>
  <c r="G28" i="10" s="1"/>
  <c r="C28" i="36"/>
  <c r="K28" i="36" s="1"/>
  <c r="I28" i="10" s="1"/>
  <c r="Q29" i="157"/>
  <c r="S28" i="9"/>
  <c r="U28" i="9" s="1"/>
  <c r="AE30" i="157"/>
  <c r="AP29" i="129"/>
  <c r="Z26" i="9"/>
  <c r="W26" i="9"/>
  <c r="P32" i="5"/>
  <c r="U32" i="72"/>
  <c r="C27" i="35"/>
  <c r="C27" i="36"/>
  <c r="W29" i="9"/>
  <c r="Z29" i="9"/>
  <c r="W28" i="9" l="1"/>
  <c r="Z28" i="9"/>
  <c r="K27" i="35"/>
  <c r="K27" i="36"/>
  <c r="Q30" i="157"/>
  <c r="Q31" i="157"/>
  <c r="C33" i="157"/>
  <c r="P35" i="10"/>
  <c r="P33" i="10"/>
  <c r="P34" i="10"/>
  <c r="S31" i="9" l="1"/>
  <c r="U31" i="9" s="1"/>
  <c r="Z31" i="9" s="1"/>
  <c r="AP32" i="129"/>
  <c r="AE33" i="157"/>
  <c r="Q33" i="157" s="1"/>
  <c r="X33" i="40"/>
  <c r="O33" i="5"/>
  <c r="I27" i="10"/>
  <c r="C32" i="157"/>
  <c r="O34" i="5"/>
  <c r="X34" i="40"/>
  <c r="G27" i="10"/>
  <c r="O35" i="5"/>
  <c r="X35" i="40"/>
  <c r="AP31" i="129"/>
  <c r="AE32" i="157"/>
  <c r="S30" i="9"/>
  <c r="U30" i="9" s="1"/>
  <c r="W31" i="9" l="1"/>
  <c r="Z30" i="9"/>
  <c r="W30" i="9"/>
  <c r="Q32" i="157"/>
  <c r="P33" i="5"/>
  <c r="U33" i="72"/>
  <c r="P35" i="5"/>
  <c r="U35" i="72"/>
  <c r="P34" i="5"/>
  <c r="U34" i="72"/>
  <c r="P36" i="10"/>
  <c r="P37" i="10"/>
  <c r="X37" i="40" l="1"/>
  <c r="O37" i="5"/>
  <c r="O36" i="5"/>
  <c r="X36" i="40"/>
  <c r="P39" i="10"/>
  <c r="P38" i="10"/>
  <c r="S32" i="9" l="1"/>
  <c r="U32" i="9" s="1"/>
  <c r="AP33" i="129"/>
  <c r="AE34" i="157"/>
  <c r="O39" i="5"/>
  <c r="X39" i="40"/>
  <c r="X38" i="40"/>
  <c r="O38" i="5"/>
  <c r="U36" i="72"/>
  <c r="P36" i="5"/>
  <c r="C36" i="157"/>
  <c r="U37" i="72"/>
  <c r="P37" i="5"/>
  <c r="C35" i="157"/>
  <c r="C34" i="157"/>
  <c r="U39" i="72" l="1"/>
  <c r="P39" i="5"/>
  <c r="AE35" i="157"/>
  <c r="AP34" i="129"/>
  <c r="Q34" i="157"/>
  <c r="S33" i="9"/>
  <c r="U33" i="9" s="1"/>
  <c r="P38" i="5"/>
  <c r="U38" i="72"/>
  <c r="AE36" i="157"/>
  <c r="Q36" i="157" s="1"/>
  <c r="AP35" i="129"/>
  <c r="S34" i="9"/>
  <c r="U34" i="9" s="1"/>
  <c r="W32" i="9"/>
  <c r="Z32" i="9"/>
  <c r="Z33" i="9" l="1"/>
  <c r="W33" i="9"/>
  <c r="Z34" i="9"/>
  <c r="W34" i="9"/>
  <c r="C38" i="157"/>
  <c r="Q35" i="157"/>
  <c r="C40" i="157" l="1"/>
  <c r="C39" i="157"/>
  <c r="S36" i="9"/>
  <c r="AP37" i="129"/>
  <c r="AE38" i="157"/>
  <c r="Q38" i="157" s="1"/>
  <c r="AP36" i="129"/>
  <c r="AE37" i="157"/>
  <c r="S35" i="9"/>
  <c r="U35" i="9" s="1"/>
  <c r="AP39" i="129" l="1"/>
  <c r="AE40" i="157"/>
  <c r="Q40" i="157" s="1"/>
  <c r="W35" i="9"/>
  <c r="W45" i="9" s="1"/>
  <c r="Z35" i="9"/>
  <c r="C37" i="157"/>
  <c r="S37" i="9"/>
  <c r="S38" i="9"/>
  <c r="AE39" i="157"/>
  <c r="Q39" i="157" s="1"/>
  <c r="AP38" i="129"/>
  <c r="Q37" i="157" l="1"/>
  <c r="O26" i="6" l="1"/>
  <c r="P26" i="6" s="1"/>
  <c r="X26" i="26"/>
  <c r="X25" i="69"/>
  <c r="O25" i="7"/>
  <c r="O29" i="7"/>
  <c r="X29" i="69"/>
  <c r="X26" i="69"/>
  <c r="O26" i="7"/>
  <c r="O28" i="6" l="1"/>
  <c r="P28" i="6" s="1"/>
  <c r="X28" i="26"/>
  <c r="O24" i="7"/>
  <c r="X24" i="69"/>
  <c r="O24" i="6"/>
  <c r="X24" i="26"/>
  <c r="O27" i="7"/>
  <c r="X27" i="69"/>
  <c r="R26" i="72"/>
  <c r="S26" i="72" s="1"/>
  <c r="W26" i="72"/>
  <c r="P26" i="7"/>
  <c r="O25" i="6"/>
  <c r="P25" i="6" s="1"/>
  <c r="X25" i="26"/>
  <c r="X28" i="69"/>
  <c r="O28" i="7"/>
  <c r="X27" i="26"/>
  <c r="O27" i="6"/>
  <c r="P27" i="6" s="1"/>
  <c r="P29" i="7"/>
  <c r="X29" i="26"/>
  <c r="O29" i="6"/>
  <c r="P29" i="6" s="1"/>
  <c r="P25" i="7"/>
  <c r="R25" i="72" l="1"/>
  <c r="S25" i="72" s="1"/>
  <c r="W25" i="72"/>
  <c r="R29" i="72"/>
  <c r="S29" i="72" s="1"/>
  <c r="W29" i="72"/>
  <c r="P27" i="7"/>
  <c r="R27" i="72"/>
  <c r="S27" i="72" s="1"/>
  <c r="W27" i="72"/>
  <c r="P24" i="6"/>
  <c r="R28" i="72"/>
  <c r="S28" i="72" s="1"/>
  <c r="W28" i="72"/>
  <c r="P28" i="7"/>
  <c r="P24" i="7"/>
  <c r="R24" i="72"/>
  <c r="W24" i="72"/>
  <c r="P29" i="11"/>
  <c r="S24" i="72" l="1"/>
  <c r="M28" i="106"/>
  <c r="I28" i="67" s="1"/>
  <c r="O28" i="67" s="1"/>
  <c r="E28" i="157" l="1"/>
  <c r="E27" i="157"/>
  <c r="W18" i="109"/>
  <c r="Y18" i="109" s="1"/>
  <c r="E30" i="157"/>
  <c r="M27" i="106"/>
  <c r="I27" i="67" s="1"/>
  <c r="M30" i="106"/>
  <c r="I30" i="67" s="1"/>
  <c r="M29" i="106"/>
  <c r="I29" i="67" s="1"/>
  <c r="O29" i="67" s="1"/>
  <c r="M26" i="106"/>
  <c r="I26" i="67" s="1"/>
  <c r="O26" i="67" s="1"/>
  <c r="X30" i="69" l="1"/>
  <c r="O30" i="7"/>
  <c r="E26" i="157"/>
  <c r="X33" i="69"/>
  <c r="O33" i="7"/>
  <c r="O30" i="157"/>
  <c r="O32" i="7"/>
  <c r="X32" i="69"/>
  <c r="O27" i="67"/>
  <c r="X34" i="69"/>
  <c r="O34" i="7"/>
  <c r="BV60" i="91"/>
  <c r="X80" i="131" s="1"/>
  <c r="K19" i="134" s="1"/>
  <c r="Q19" i="134" s="1"/>
  <c r="BW18" i="91"/>
  <c r="BW60" i="91" s="1"/>
  <c r="O31" i="7"/>
  <c r="X31" i="69"/>
  <c r="X32" i="26"/>
  <c r="O32" i="6"/>
  <c r="P32" i="6" s="1"/>
  <c r="X31" i="26"/>
  <c r="O31" i="6"/>
  <c r="P31" i="6" s="1"/>
  <c r="E25" i="157"/>
  <c r="O35" i="7"/>
  <c r="X35" i="69"/>
  <c r="O37" i="7"/>
  <c r="X37" i="69"/>
  <c r="O27" i="157"/>
  <c r="E29" i="157"/>
  <c r="X36" i="69"/>
  <c r="O36" i="7"/>
  <c r="O30" i="67"/>
  <c r="O28" i="157"/>
  <c r="U33" i="79"/>
  <c r="U31" i="79"/>
  <c r="U32" i="79"/>
  <c r="BT25" i="92"/>
  <c r="R32" i="72" l="1"/>
  <c r="S32" i="72" s="1"/>
  <c r="P32" i="7"/>
  <c r="W32" i="72"/>
  <c r="O29" i="157"/>
  <c r="X36" i="26"/>
  <c r="O36" i="6"/>
  <c r="P36" i="6" s="1"/>
  <c r="BT24" i="92"/>
  <c r="O34" i="6"/>
  <c r="P34" i="6" s="1"/>
  <c r="X34" i="26"/>
  <c r="R31" i="72"/>
  <c r="S31" i="72" s="1"/>
  <c r="W31" i="72"/>
  <c r="P31" i="7"/>
  <c r="P33" i="7"/>
  <c r="X37" i="26"/>
  <c r="O37" i="6"/>
  <c r="P37" i="6" s="1"/>
  <c r="X33" i="26"/>
  <c r="O33" i="6"/>
  <c r="P33" i="6" s="1"/>
  <c r="P37" i="7"/>
  <c r="O26" i="157"/>
  <c r="X35" i="26"/>
  <c r="O35" i="6"/>
  <c r="P35" i="6" s="1"/>
  <c r="X30" i="26"/>
  <c r="O30" i="6"/>
  <c r="R30" i="72" s="1"/>
  <c r="P36" i="7"/>
  <c r="P35" i="7"/>
  <c r="P34" i="7"/>
  <c r="M25" i="106"/>
  <c r="P30" i="7"/>
  <c r="O25" i="157"/>
  <c r="P32" i="11"/>
  <c r="P35" i="11"/>
  <c r="P31" i="11"/>
  <c r="P36" i="11"/>
  <c r="P33" i="11"/>
  <c r="W30" i="72" l="1"/>
  <c r="R36" i="72"/>
  <c r="S36" i="72" s="1"/>
  <c r="W36" i="72"/>
  <c r="R37" i="72"/>
  <c r="S37" i="72" s="1"/>
  <c r="R35" i="72"/>
  <c r="S35" i="72" s="1"/>
  <c r="W37" i="72"/>
  <c r="S30" i="72"/>
  <c r="E32" i="157"/>
  <c r="P30" i="6"/>
  <c r="P30" i="11"/>
  <c r="I25" i="67"/>
  <c r="R33" i="72"/>
  <c r="S33" i="72" s="1"/>
  <c r="W34" i="72"/>
  <c r="R34" i="72"/>
  <c r="S34" i="72" s="1"/>
  <c r="W33" i="72"/>
  <c r="W35" i="72"/>
  <c r="M33" i="106"/>
  <c r="I33" i="67" s="1"/>
  <c r="M32" i="106"/>
  <c r="I32" i="67" s="1"/>
  <c r="P37" i="11"/>
  <c r="K35" i="134"/>
  <c r="K51" i="134" s="1"/>
  <c r="P34" i="11"/>
  <c r="Y33" i="106"/>
  <c r="M33" i="67" s="1"/>
  <c r="S33" i="67" s="1"/>
  <c r="AC31" i="11" l="1"/>
  <c r="AE31" i="11" s="1"/>
  <c r="AG31" i="11" s="1"/>
  <c r="W19" i="109"/>
  <c r="Y19" i="109" s="1"/>
  <c r="O32" i="67"/>
  <c r="O32" i="157"/>
  <c r="K33" i="67"/>
  <c r="Q33" i="67" s="1"/>
  <c r="O33" i="67"/>
  <c r="E33" i="157"/>
  <c r="AC32" i="11"/>
  <c r="AE32" i="11" s="1"/>
  <c r="AG32" i="11" s="1"/>
  <c r="W20" i="109"/>
  <c r="Y20" i="109" s="1"/>
  <c r="E36" i="157"/>
  <c r="E35" i="157"/>
  <c r="O25" i="67"/>
  <c r="AG32" i="157"/>
  <c r="AQ32" i="157" s="1"/>
  <c r="AR31" i="129"/>
  <c r="AT31" i="129" s="1"/>
  <c r="M35" i="106"/>
  <c r="I35" i="67" s="1"/>
  <c r="Y32" i="106"/>
  <c r="M32" i="67" s="1"/>
  <c r="S32" i="67" s="1"/>
  <c r="E31" i="157" l="1"/>
  <c r="O35" i="157"/>
  <c r="W51" i="109"/>
  <c r="W24" i="109"/>
  <c r="Y24" i="109" s="1"/>
  <c r="O35" i="67"/>
  <c r="AR32" i="129"/>
  <c r="AT32" i="129" s="1"/>
  <c r="AG33" i="157"/>
  <c r="AQ33" i="157" s="1"/>
  <c r="M31" i="106"/>
  <c r="E34" i="157"/>
  <c r="BW20" i="91"/>
  <c r="BW62" i="91" s="1"/>
  <c r="BV62" i="91"/>
  <c r="X82" i="131" s="1"/>
  <c r="K21" i="134" s="1"/>
  <c r="Q21" i="134" s="1"/>
  <c r="S32" i="157"/>
  <c r="AC32" i="157" s="1"/>
  <c r="K32" i="67"/>
  <c r="Q32" i="67" s="1"/>
  <c r="E37" i="157"/>
  <c r="E38" i="157"/>
  <c r="O33" i="157"/>
  <c r="BW19" i="91"/>
  <c r="BW61" i="91" s="1"/>
  <c r="BV61" i="91"/>
  <c r="X81" i="131" s="1"/>
  <c r="K20" i="134" s="1"/>
  <c r="Q20" i="134" s="1"/>
  <c r="M34" i="106"/>
  <c r="I34" i="67" s="1"/>
  <c r="BT51" i="92"/>
  <c r="S33" i="157" l="1"/>
  <c r="AC33" i="157" s="1"/>
  <c r="Y34" i="106"/>
  <c r="M34" i="67" s="1"/>
  <c r="S34" i="67" s="1"/>
  <c r="O34" i="157"/>
  <c r="P51" i="99"/>
  <c r="BW51" i="91"/>
  <c r="O34" i="67"/>
  <c r="W25" i="109"/>
  <c r="I31" i="67"/>
  <c r="BW24" i="91"/>
  <c r="AC33" i="11"/>
  <c r="AE33" i="11" s="1"/>
  <c r="AG33" i="11" s="1"/>
  <c r="BV59" i="91"/>
  <c r="BW17" i="91"/>
  <c r="W17" i="109"/>
  <c r="O31" i="157"/>
  <c r="W52" i="109"/>
  <c r="AR39" i="117"/>
  <c r="K34" i="67" l="1"/>
  <c r="Q34" i="67" s="1"/>
  <c r="X79" i="131"/>
  <c r="BW25" i="91"/>
  <c r="BW67" i="91" s="1"/>
  <c r="P53" i="99"/>
  <c r="W53" i="109"/>
  <c r="AG34" i="157"/>
  <c r="AR33" i="129"/>
  <c r="AT33" i="129" s="1"/>
  <c r="BW52" i="91"/>
  <c r="BW66" i="91" s="1"/>
  <c r="P52" i="99"/>
  <c r="BV66" i="91"/>
  <c r="X86" i="131" s="1"/>
  <c r="K25" i="134" s="1"/>
  <c r="BW59" i="91"/>
  <c r="BT52" i="92"/>
  <c r="BS66" i="92"/>
  <c r="BT66" i="92" s="1"/>
  <c r="Y17" i="109"/>
  <c r="O31" i="67"/>
  <c r="BS67" i="92"/>
  <c r="BT67" i="92" s="1"/>
  <c r="K41" i="134"/>
  <c r="K37" i="134"/>
  <c r="K53" i="134" s="1"/>
  <c r="K57" i="134" l="1"/>
  <c r="Q25" i="134"/>
  <c r="AQ34" i="157"/>
  <c r="S34" i="157"/>
  <c r="AC34" i="157" s="1"/>
  <c r="K34" i="134"/>
  <c r="BV67" i="91"/>
  <c r="X87" i="131" s="1"/>
  <c r="K26" i="134" s="1"/>
  <c r="Q26" i="134" s="1"/>
  <c r="K18" i="134"/>
  <c r="K36" i="134"/>
  <c r="K52" i="134" s="1"/>
  <c r="Q18" i="134" l="1"/>
  <c r="K50" i="134"/>
  <c r="K42" i="134"/>
  <c r="K58" i="134" s="1"/>
  <c r="BV63" i="91" l="1"/>
  <c r="BW21" i="91"/>
  <c r="W21" i="109"/>
  <c r="Y21" i="109" l="1"/>
  <c r="BW63" i="91"/>
  <c r="X83" i="131"/>
  <c r="K22" i="134" l="1"/>
  <c r="Q22" i="134" l="1"/>
  <c r="K38" i="134" l="1"/>
  <c r="K54" i="134" l="1"/>
  <c r="W23" i="109" l="1"/>
  <c r="Y23" i="109" s="1"/>
  <c r="BV65" i="91" l="1"/>
  <c r="X85" i="131" s="1"/>
  <c r="K24" i="134" s="1"/>
  <c r="Q24" i="134" s="1"/>
  <c r="BW23" i="91"/>
  <c r="BW65" i="91" s="1"/>
  <c r="K40" i="134" l="1"/>
  <c r="K56" i="134" s="1"/>
  <c r="AC35" i="9" l="1"/>
  <c r="AC36" i="9"/>
  <c r="AC22" i="9" l="1"/>
  <c r="AC37" i="9"/>
  <c r="AC21" i="9"/>
  <c r="AC19" i="9"/>
  <c r="AC16" i="9"/>
  <c r="AC20" i="9"/>
  <c r="AC17" i="9"/>
  <c r="AC18" i="9"/>
  <c r="AC38" i="9"/>
  <c r="AC23" i="9"/>
  <c r="AC24" i="9"/>
  <c r="AC15" i="9" l="1"/>
  <c r="Y26" i="106" l="1"/>
  <c r="M26" i="67" s="1"/>
  <c r="K26" i="67" s="1"/>
  <c r="Y25" i="106" l="1"/>
  <c r="AC25" i="11"/>
  <c r="AC24" i="11" l="1"/>
  <c r="AE25" i="11"/>
  <c r="AG25" i="11" s="1"/>
  <c r="E25" i="11"/>
  <c r="G25" i="11" s="1"/>
  <c r="I25" i="11" s="1"/>
  <c r="M25" i="67"/>
  <c r="T43" i="53" l="1"/>
  <c r="I43" i="133"/>
  <c r="K25" i="67"/>
  <c r="P25" i="11"/>
  <c r="C25" i="78"/>
  <c r="I25" i="78" s="1"/>
  <c r="I25" i="79" s="1"/>
  <c r="O25" i="79" s="1"/>
  <c r="C25" i="77"/>
  <c r="I25" i="77" s="1"/>
  <c r="G25" i="79" s="1"/>
  <c r="AE24" i="11"/>
  <c r="AG24" i="11" s="1"/>
  <c r="E24" i="11"/>
  <c r="G24" i="11" s="1"/>
  <c r="I24" i="11" s="1"/>
  <c r="P24" i="11" l="1"/>
  <c r="C24" i="77"/>
  <c r="C24" i="78"/>
  <c r="U25" i="79"/>
  <c r="E24" i="12"/>
  <c r="O43" i="133"/>
  <c r="O62" i="133" s="1"/>
  <c r="I62" i="133"/>
  <c r="AI38" i="157"/>
  <c r="U38" i="157" s="1"/>
  <c r="O24" i="12" l="1"/>
  <c r="E25" i="129"/>
  <c r="G25" i="129" s="1"/>
  <c r="G24" i="12"/>
  <c r="E25" i="13" s="1"/>
  <c r="I25" i="13" s="1"/>
  <c r="O26" i="105" s="1"/>
  <c r="O24" i="79"/>
  <c r="I24" i="78"/>
  <c r="I24" i="77"/>
  <c r="G24" i="79" l="1"/>
  <c r="I24" i="79"/>
  <c r="U24" i="79"/>
  <c r="E23" i="12"/>
  <c r="Y26" i="105"/>
  <c r="C92" i="105"/>
  <c r="G26" i="67"/>
  <c r="AE24" i="12"/>
  <c r="O25" i="129"/>
  <c r="I42" i="133" l="1"/>
  <c r="T42" i="53"/>
  <c r="E26" i="67"/>
  <c r="Q26" i="67" s="1"/>
  <c r="S26" i="67"/>
  <c r="M92" i="105"/>
  <c r="C26" i="17"/>
  <c r="AE25" i="129"/>
  <c r="O104" i="120" s="1"/>
  <c r="O64" i="120" s="1"/>
  <c r="AR25" i="129"/>
  <c r="AT25" i="129" s="1"/>
  <c r="AG26" i="157"/>
  <c r="AA21" i="158"/>
  <c r="E24" i="129"/>
  <c r="G23" i="12"/>
  <c r="O23" i="12"/>
  <c r="AQ26" i="157" l="1"/>
  <c r="S26" i="157"/>
  <c r="AC26" i="157" s="1"/>
  <c r="N64" i="120"/>
  <c r="M64" i="120" s="1"/>
  <c r="O21" i="158"/>
  <c r="AF21" i="158"/>
  <c r="AE23" i="12"/>
  <c r="O24" i="129"/>
  <c r="G24" i="129"/>
  <c r="K26" i="17"/>
  <c r="I26" i="17"/>
  <c r="E24" i="13"/>
  <c r="O42" i="133"/>
  <c r="I61" i="133"/>
  <c r="M104" i="120" l="1"/>
  <c r="P64" i="120"/>
  <c r="O64" i="158"/>
  <c r="O107" i="158" s="1"/>
  <c r="T21" i="158"/>
  <c r="O61" i="133"/>
  <c r="AG25" i="157"/>
  <c r="AE24" i="129"/>
  <c r="AA20" i="158"/>
  <c r="AR24" i="129"/>
  <c r="N104" i="120"/>
  <c r="Q64" i="120"/>
  <c r="Q104" i="120" s="1"/>
  <c r="AI37" i="157"/>
  <c r="I24" i="13"/>
  <c r="AQ25" i="157" l="1"/>
  <c r="S25" i="157"/>
  <c r="AC25" i="157" s="1"/>
  <c r="AT24" i="129"/>
  <c r="T107" i="158"/>
  <c r="AA107" i="158"/>
  <c r="AF107" i="158" s="1"/>
  <c r="O103" i="120"/>
  <c r="O25" i="105"/>
  <c r="AA64" i="158"/>
  <c r="AF64" i="158" s="1"/>
  <c r="T64" i="158"/>
  <c r="AF20" i="158"/>
  <c r="O20" i="158"/>
  <c r="P104" i="120"/>
  <c r="R64" i="120"/>
  <c r="U37" i="157"/>
  <c r="Y25" i="105" l="1"/>
  <c r="C91" i="105"/>
  <c r="G25" i="67"/>
  <c r="R104" i="120"/>
  <c r="V64" i="120"/>
  <c r="O63" i="158"/>
  <c r="T20" i="158"/>
  <c r="O63" i="120"/>
  <c r="AA63" i="158" l="1"/>
  <c r="T63" i="158"/>
  <c r="S25" i="67"/>
  <c r="E25" i="67"/>
  <c r="O106" i="158"/>
  <c r="N63" i="120"/>
  <c r="M63" i="120" s="1"/>
  <c r="C25" i="17"/>
  <c r="M91" i="105"/>
  <c r="Q63" i="120" l="1"/>
  <c r="N103" i="120"/>
  <c r="P63" i="120"/>
  <c r="M103" i="120"/>
  <c r="AA106" i="158"/>
  <c r="T106" i="158"/>
  <c r="I25" i="17"/>
  <c r="K25" i="17"/>
  <c r="Q25" i="67"/>
  <c r="AF63" i="158"/>
  <c r="AF106" i="158" l="1"/>
  <c r="R63" i="120"/>
  <c r="P103" i="120"/>
  <c r="Q103" i="120"/>
  <c r="V63" i="120" l="1"/>
  <c r="R103" i="120"/>
  <c r="Q28" i="107" l="1"/>
  <c r="Q29" i="107"/>
  <c r="T28" i="53" l="1"/>
  <c r="I28" i="133"/>
  <c r="T26" i="53"/>
  <c r="I26" i="133"/>
  <c r="T27" i="53"/>
  <c r="I27" i="133"/>
  <c r="Q27" i="107"/>
  <c r="G42" i="157"/>
  <c r="G28" i="107"/>
  <c r="G27" i="107"/>
  <c r="O27" i="133" l="1"/>
  <c r="G26" i="107"/>
  <c r="I29" i="133"/>
  <c r="T29" i="53"/>
  <c r="O26" i="133"/>
  <c r="O28" i="133"/>
  <c r="Q26" i="107"/>
  <c r="G43" i="157"/>
  <c r="G29" i="107"/>
  <c r="G41" i="157"/>
  <c r="Q30" i="107"/>
  <c r="O29" i="133" l="1"/>
  <c r="O33" i="107"/>
  <c r="G40" i="157"/>
  <c r="Q33" i="107"/>
  <c r="T30" i="53" l="1"/>
  <c r="T33" i="53" s="1"/>
  <c r="I30" i="133"/>
  <c r="S33" i="53"/>
  <c r="G30" i="107" l="1"/>
  <c r="G33" i="107" s="1"/>
  <c r="C33" i="107"/>
  <c r="O30" i="133"/>
  <c r="O33" i="133" s="1"/>
  <c r="E51" i="105" s="1"/>
  <c r="I33" i="133"/>
  <c r="G44" i="157" l="1"/>
  <c r="G47" i="157" s="1"/>
  <c r="E47" i="106"/>
  <c r="E50" i="105" l="1"/>
  <c r="I49" i="133" l="1"/>
  <c r="T49" i="53"/>
  <c r="O49" i="133" l="1"/>
  <c r="O68" i="133" s="1"/>
  <c r="I68" i="133"/>
  <c r="AI44" i="157"/>
  <c r="U44" i="157" s="1"/>
  <c r="T48" i="53" l="1"/>
  <c r="I48" i="133"/>
  <c r="O48" i="133" l="1"/>
  <c r="O67" i="133" s="1"/>
  <c r="I67" i="133"/>
  <c r="AI43" i="157"/>
  <c r="U43" i="157" s="1"/>
  <c r="I47" i="133" l="1"/>
  <c r="T47" i="53"/>
  <c r="O47" i="133" l="1"/>
  <c r="O66" i="133" s="1"/>
  <c r="I66" i="133"/>
  <c r="AI42" i="157"/>
  <c r="U42" i="157" s="1"/>
  <c r="O41" i="5" l="1"/>
  <c r="X41" i="40"/>
  <c r="X42" i="40"/>
  <c r="O42" i="5"/>
  <c r="AC41" i="9"/>
  <c r="AC40" i="9"/>
  <c r="U42" i="72" l="1"/>
  <c r="P42" i="5"/>
  <c r="X43" i="40"/>
  <c r="O43" i="5"/>
  <c r="U41" i="72"/>
  <c r="P41" i="5"/>
  <c r="X39" i="69" l="1"/>
  <c r="O39" i="7"/>
  <c r="O39" i="6"/>
  <c r="P39" i="6" s="1"/>
  <c r="X39" i="26"/>
  <c r="P43" i="5"/>
  <c r="U43" i="72"/>
  <c r="O38" i="7"/>
  <c r="X38" i="69"/>
  <c r="X38" i="26"/>
  <c r="O38" i="6"/>
  <c r="C43" i="157" l="1"/>
  <c r="W38" i="72"/>
  <c r="P38" i="7"/>
  <c r="R38" i="72"/>
  <c r="C42" i="157"/>
  <c r="P38" i="6"/>
  <c r="P39" i="7"/>
  <c r="W39" i="72"/>
  <c r="R39" i="72"/>
  <c r="S39" i="72" s="1"/>
  <c r="AC42" i="9"/>
  <c r="S38" i="72" l="1"/>
  <c r="P39" i="11"/>
  <c r="C44" i="157" l="1"/>
  <c r="X40" i="40"/>
  <c r="X46" i="40" s="1"/>
  <c r="O40" i="5"/>
  <c r="W46" i="40"/>
  <c r="E40" i="157" l="1"/>
  <c r="E39" i="157"/>
  <c r="U40" i="72"/>
  <c r="U46" i="72" s="1"/>
  <c r="P40" i="5"/>
  <c r="P46" i="5" s="1"/>
  <c r="C18" i="130" s="1"/>
  <c r="O46" i="5"/>
  <c r="P38" i="11"/>
  <c r="U48" i="72" l="1"/>
  <c r="C21" i="128"/>
  <c r="AC39" i="9" l="1"/>
  <c r="O42" i="7" l="1"/>
  <c r="X42" i="69"/>
  <c r="X42" i="26"/>
  <c r="O42" i="6"/>
  <c r="P42" i="6" s="1"/>
  <c r="Q45" i="9"/>
  <c r="X43" i="69"/>
  <c r="O43" i="7"/>
  <c r="X41" i="69"/>
  <c r="O41" i="7"/>
  <c r="O41" i="6"/>
  <c r="P41" i="6" s="1"/>
  <c r="X41" i="26"/>
  <c r="P43" i="7" l="1"/>
  <c r="C41" i="157"/>
  <c r="AH46" i="129"/>
  <c r="W41" i="72"/>
  <c r="P41" i="7"/>
  <c r="R41" i="72"/>
  <c r="S41" i="72" s="1"/>
  <c r="P42" i="7"/>
  <c r="R42" i="72"/>
  <c r="S42" i="72" s="1"/>
  <c r="W42" i="72"/>
  <c r="P41" i="11"/>
  <c r="P42" i="11"/>
  <c r="C47" i="157" l="1"/>
  <c r="O43" i="6"/>
  <c r="X43" i="26"/>
  <c r="P43" i="11" l="1"/>
  <c r="E42" i="157"/>
  <c r="P43" i="6"/>
  <c r="R43" i="72"/>
  <c r="S43" i="72" s="1"/>
  <c r="W43" i="72"/>
  <c r="P41" i="10"/>
  <c r="P42" i="10"/>
  <c r="O40" i="6" l="1"/>
  <c r="X40" i="26"/>
  <c r="X46" i="26" s="1"/>
  <c r="W46" i="26"/>
  <c r="E43" i="157"/>
  <c r="O40" i="7" l="1"/>
  <c r="X40" i="69"/>
  <c r="X46" i="69" s="1"/>
  <c r="W46" i="69"/>
  <c r="P40" i="6"/>
  <c r="P46" i="6" s="1"/>
  <c r="O46" i="6"/>
  <c r="U42" i="79"/>
  <c r="E44" i="157" l="1"/>
  <c r="P43" i="10"/>
  <c r="S40" i="9"/>
  <c r="P40" i="7"/>
  <c r="P46" i="7" s="1"/>
  <c r="E18" i="130" s="1"/>
  <c r="R40" i="72"/>
  <c r="W40" i="72"/>
  <c r="W46" i="72" s="1"/>
  <c r="W48" i="72" s="1"/>
  <c r="O46" i="7"/>
  <c r="U43" i="79"/>
  <c r="S41" i="9" l="1"/>
  <c r="E21" i="128"/>
  <c r="AE42" i="157"/>
  <c r="AP41" i="129"/>
  <c r="S40" i="72"/>
  <c r="S46" i="72" s="1"/>
  <c r="C51" i="105" s="1"/>
  <c r="R46" i="72"/>
  <c r="Q42" i="157" l="1"/>
  <c r="P40" i="11"/>
  <c r="O46" i="11"/>
  <c r="AE43" i="157"/>
  <c r="AP42" i="129"/>
  <c r="G48" i="8"/>
  <c r="S42" i="9" l="1"/>
  <c r="AE44" i="157"/>
  <c r="AP43" i="129"/>
  <c r="AC43" i="11"/>
  <c r="Q43" i="157"/>
  <c r="AC42" i="11"/>
  <c r="AA46" i="11"/>
  <c r="AR43" i="129" l="1"/>
  <c r="AG44" i="157"/>
  <c r="S44" i="157" s="1"/>
  <c r="AG43" i="157"/>
  <c r="AR42" i="129"/>
  <c r="AT42" i="129" s="1"/>
  <c r="E41" i="157"/>
  <c r="AJ46" i="129"/>
  <c r="K48" i="129" s="1"/>
  <c r="AT43" i="129"/>
  <c r="Q44" i="157"/>
  <c r="C47" i="106" l="1"/>
  <c r="E47" i="157"/>
  <c r="S43" i="157"/>
  <c r="C50" i="105" l="1"/>
  <c r="G49" i="8"/>
  <c r="P40" i="10" l="1"/>
  <c r="P46" i="10" s="1"/>
  <c r="C39" i="130" s="1"/>
  <c r="O46" i="10"/>
  <c r="C39" i="128" l="1"/>
  <c r="S39" i="9" l="1"/>
  <c r="R45" i="9"/>
  <c r="AP40" i="129"/>
  <c r="AP46" i="129" s="1"/>
  <c r="AE41" i="157"/>
  <c r="AL46" i="129"/>
  <c r="Q41" i="157" l="1"/>
  <c r="Q47" i="157" s="1"/>
  <c r="AE47" i="157"/>
  <c r="P23" i="99" l="1"/>
  <c r="E23" i="109"/>
  <c r="I23" i="109" s="1"/>
  <c r="K23" i="109" s="1"/>
  <c r="AF65" i="87"/>
  <c r="P20" i="99"/>
  <c r="E20" i="109"/>
  <c r="I20" i="109" s="1"/>
  <c r="K20" i="109" s="1"/>
  <c r="AF62" i="87"/>
  <c r="AD22" i="131" l="1"/>
  <c r="P62" i="99"/>
  <c r="R82" i="131"/>
  <c r="I21" i="134" s="1"/>
  <c r="K48" i="109"/>
  <c r="M48" i="109" s="1"/>
  <c r="C48" i="87" s="1"/>
  <c r="L20" i="109"/>
  <c r="BI44" i="110" s="1"/>
  <c r="BJ44" i="110" s="1"/>
  <c r="BK44" i="110" s="1"/>
  <c r="M20" i="109" s="1"/>
  <c r="C20" i="87" s="1"/>
  <c r="E21" i="109"/>
  <c r="I21" i="109" s="1"/>
  <c r="K21" i="109" s="1"/>
  <c r="AF63" i="87"/>
  <c r="P21" i="99"/>
  <c r="R85" i="131"/>
  <c r="I24" i="134" s="1"/>
  <c r="P65" i="99"/>
  <c r="AD25" i="131"/>
  <c r="AF60" i="87"/>
  <c r="E18" i="109"/>
  <c r="I18" i="109" s="1"/>
  <c r="K18" i="109" s="1"/>
  <c r="P18" i="99"/>
  <c r="L23" i="109"/>
  <c r="BI47" i="110" s="1"/>
  <c r="BJ47" i="110" s="1"/>
  <c r="BK47" i="110" s="1"/>
  <c r="M23" i="109" s="1"/>
  <c r="C23" i="87" s="1"/>
  <c r="K51" i="109"/>
  <c r="M51" i="109" s="1"/>
  <c r="C51" i="87" s="1"/>
  <c r="AF61" i="87"/>
  <c r="E19" i="109"/>
  <c r="I19" i="109" s="1"/>
  <c r="K19" i="109" s="1"/>
  <c r="P19" i="99"/>
  <c r="AH65" i="84"/>
  <c r="AD20" i="131" l="1"/>
  <c r="R80" i="131"/>
  <c r="I19" i="134" s="1"/>
  <c r="P60" i="99"/>
  <c r="M24" i="134"/>
  <c r="AD23" i="131"/>
  <c r="P63" i="99"/>
  <c r="R83" i="131"/>
  <c r="I22" i="134" s="1"/>
  <c r="E25" i="109"/>
  <c r="I25" i="109" s="1"/>
  <c r="K25" i="109" s="1"/>
  <c r="P25" i="99"/>
  <c r="AF67" i="87"/>
  <c r="K47" i="109"/>
  <c r="M47" i="109" s="1"/>
  <c r="C47" i="87" s="1"/>
  <c r="L19" i="109"/>
  <c r="BI43" i="110" s="1"/>
  <c r="BJ43" i="110" s="1"/>
  <c r="BK43" i="110" s="1"/>
  <c r="M19" i="109" s="1"/>
  <c r="C19" i="87" s="1"/>
  <c r="L21" i="109"/>
  <c r="BI45" i="110" s="1"/>
  <c r="BJ45" i="110" s="1"/>
  <c r="BK45" i="110" s="1"/>
  <c r="M21" i="109" s="1"/>
  <c r="C21" i="87" s="1"/>
  <c r="K49" i="109"/>
  <c r="M49" i="109" s="1"/>
  <c r="C49" i="87" s="1"/>
  <c r="E17" i="109"/>
  <c r="P17" i="99"/>
  <c r="AF59" i="87"/>
  <c r="R81" i="131"/>
  <c r="I20" i="134" s="1"/>
  <c r="AD21" i="131"/>
  <c r="P61" i="99"/>
  <c r="K20" i="87"/>
  <c r="I20" i="87"/>
  <c r="C62" i="87"/>
  <c r="I51" i="87"/>
  <c r="C51" i="84"/>
  <c r="K51" i="87"/>
  <c r="C48" i="84"/>
  <c r="I48" i="87"/>
  <c r="K48" i="87"/>
  <c r="C65" i="87"/>
  <c r="K23" i="87"/>
  <c r="I23" i="87"/>
  <c r="M21" i="134"/>
  <c r="K46" i="109"/>
  <c r="L18" i="109"/>
  <c r="BI42" i="110" s="1"/>
  <c r="BJ42" i="110" s="1"/>
  <c r="BK42" i="110" s="1"/>
  <c r="M18" i="109" s="1"/>
  <c r="C18" i="87" s="1"/>
  <c r="AF28" i="87"/>
  <c r="AH62" i="84"/>
  <c r="I37" i="134"/>
  <c r="M37" i="134" s="1"/>
  <c r="I48" i="84" l="1"/>
  <c r="Q48" i="87"/>
  <c r="Q48" i="84" s="1"/>
  <c r="I18" i="87"/>
  <c r="K18" i="87"/>
  <c r="K51" i="84"/>
  <c r="S51" i="87"/>
  <c r="P24" i="99"/>
  <c r="AF66" i="87"/>
  <c r="E24" i="109"/>
  <c r="I24" i="109" s="1"/>
  <c r="K24" i="109" s="1"/>
  <c r="M46" i="109"/>
  <c r="I17" i="109"/>
  <c r="Q51" i="87"/>
  <c r="Q51" i="84" s="1"/>
  <c r="I51" i="84"/>
  <c r="K49" i="87"/>
  <c r="C49" i="84"/>
  <c r="I49" i="87"/>
  <c r="M22" i="134"/>
  <c r="C63" i="87"/>
  <c r="I21" i="87"/>
  <c r="K21" i="87"/>
  <c r="K48" i="84"/>
  <c r="S48" i="87"/>
  <c r="R79" i="131"/>
  <c r="AD19" i="131"/>
  <c r="P59" i="99"/>
  <c r="I53" i="134"/>
  <c r="C61" i="87"/>
  <c r="I19" i="87"/>
  <c r="K19" i="87"/>
  <c r="M20" i="134"/>
  <c r="M53" i="134"/>
  <c r="I62" i="87"/>
  <c r="Q20" i="87"/>
  <c r="Q62" i="87" s="1"/>
  <c r="C47" i="84"/>
  <c r="I47" i="87"/>
  <c r="K47" i="87"/>
  <c r="I65" i="87"/>
  <c r="Q23" i="87"/>
  <c r="K62" i="87"/>
  <c r="S20" i="87"/>
  <c r="AD27" i="131"/>
  <c r="R87" i="131"/>
  <c r="I26" i="134" s="1"/>
  <c r="P67" i="99"/>
  <c r="K65" i="87"/>
  <c r="S23" i="87"/>
  <c r="S65" i="87" s="1"/>
  <c r="C95" i="99" s="1"/>
  <c r="I95" i="99" s="1"/>
  <c r="M19" i="134"/>
  <c r="K53" i="109"/>
  <c r="M53" i="109" s="1"/>
  <c r="C53" i="87" s="1"/>
  <c r="L25" i="109"/>
  <c r="AH60" i="84"/>
  <c r="AH63" i="84"/>
  <c r="AH61" i="84"/>
  <c r="I40" i="134"/>
  <c r="I36" i="134"/>
  <c r="M36" i="134" s="1"/>
  <c r="S62" i="87" l="1"/>
  <c r="C92" i="99" s="1"/>
  <c r="I92" i="99" s="1"/>
  <c r="Q65" i="87"/>
  <c r="I61" i="87"/>
  <c r="Q19" i="87"/>
  <c r="L24" i="109"/>
  <c r="K52" i="109"/>
  <c r="M52" i="134"/>
  <c r="K61" i="87"/>
  <c r="S19" i="87"/>
  <c r="K53" i="87"/>
  <c r="I53" i="87"/>
  <c r="C53" i="84"/>
  <c r="R86" i="131"/>
  <c r="I25" i="134" s="1"/>
  <c r="AD26" i="131"/>
  <c r="P66" i="99"/>
  <c r="Q21" i="87"/>
  <c r="I63" i="87"/>
  <c r="K47" i="84"/>
  <c r="S47" i="87"/>
  <c r="Q49" i="87"/>
  <c r="Q49" i="84" s="1"/>
  <c r="I49" i="84"/>
  <c r="U51" i="87"/>
  <c r="S51" i="84"/>
  <c r="M92" i="99"/>
  <c r="U20" i="87" s="1"/>
  <c r="K92" i="99"/>
  <c r="Q47" i="87"/>
  <c r="Q47" i="84" s="1"/>
  <c r="I47" i="84"/>
  <c r="AF70" i="87"/>
  <c r="C46" i="87"/>
  <c r="K95" i="99"/>
  <c r="M95" i="99"/>
  <c r="U23" i="87" s="1"/>
  <c r="S49" i="87"/>
  <c r="K49" i="84"/>
  <c r="M40" i="134"/>
  <c r="M56" i="134" s="1"/>
  <c r="I56" i="134"/>
  <c r="S18" i="87"/>
  <c r="K63" i="87"/>
  <c r="S21" i="87"/>
  <c r="I18" i="134"/>
  <c r="Q18" i="87"/>
  <c r="M26" i="134"/>
  <c r="S48" i="84"/>
  <c r="U48" i="87"/>
  <c r="K17" i="109"/>
  <c r="I28" i="109"/>
  <c r="I52" i="134"/>
  <c r="E28" i="109"/>
  <c r="AH67" i="84"/>
  <c r="M38" i="106"/>
  <c r="I38" i="67" s="1"/>
  <c r="M37" i="106"/>
  <c r="I37" i="67" s="1"/>
  <c r="I35" i="134"/>
  <c r="I38" i="134"/>
  <c r="S61" i="87" l="1"/>
  <c r="C91" i="99" s="1"/>
  <c r="I91" i="99" s="1"/>
  <c r="C51" i="99"/>
  <c r="AN51" i="87"/>
  <c r="C51" i="116"/>
  <c r="C51" i="94"/>
  <c r="G51" i="94" s="1"/>
  <c r="I51" i="94" s="1"/>
  <c r="W51" i="87"/>
  <c r="W51" i="84" s="1"/>
  <c r="AG51" i="87"/>
  <c r="C51" i="115"/>
  <c r="G51" i="115" s="1"/>
  <c r="I51" i="115" s="1"/>
  <c r="U51" i="84"/>
  <c r="I53" i="84"/>
  <c r="Q53" i="87"/>
  <c r="Q53" i="84" s="1"/>
  <c r="W20" i="87"/>
  <c r="U62" i="87"/>
  <c r="C20" i="99"/>
  <c r="C20" i="115"/>
  <c r="G20" i="115" s="1"/>
  <c r="I20" i="115" s="1"/>
  <c r="C20" i="84" s="1"/>
  <c r="O38" i="141"/>
  <c r="M38" i="141" s="1"/>
  <c r="N38" i="141" s="1"/>
  <c r="AG20" i="87"/>
  <c r="C20" i="116"/>
  <c r="C22" i="94"/>
  <c r="G22" i="94" s="1"/>
  <c r="I22" i="94" s="1"/>
  <c r="U49" i="87"/>
  <c r="S49" i="84"/>
  <c r="S53" i="87"/>
  <c r="K53" i="84"/>
  <c r="C23" i="99"/>
  <c r="C23" i="116"/>
  <c r="C23" i="115"/>
  <c r="G23" i="115" s="1"/>
  <c r="I23" i="115" s="1"/>
  <c r="C23" i="84" s="1"/>
  <c r="C25" i="94"/>
  <c r="G25" i="94" s="1"/>
  <c r="I25" i="94" s="1"/>
  <c r="W23" i="87"/>
  <c r="U65" i="87"/>
  <c r="AG23" i="87"/>
  <c r="O41" i="141"/>
  <c r="M41" i="141" s="1"/>
  <c r="N41" i="141" s="1"/>
  <c r="K91" i="99"/>
  <c r="M91" i="99"/>
  <c r="U19" i="87" s="1"/>
  <c r="M25" i="134"/>
  <c r="U47" i="87"/>
  <c r="S47" i="84"/>
  <c r="R91" i="131"/>
  <c r="R92" i="131" s="1"/>
  <c r="M38" i="134"/>
  <c r="M54" i="134" s="1"/>
  <c r="I54" i="134"/>
  <c r="I29" i="134"/>
  <c r="M18" i="134"/>
  <c r="I46" i="87"/>
  <c r="K46" i="87"/>
  <c r="C46" i="84"/>
  <c r="C60" i="87"/>
  <c r="M52" i="109"/>
  <c r="K56" i="109"/>
  <c r="L17" i="109"/>
  <c r="BI41" i="110" s="1"/>
  <c r="BJ41" i="110" s="1"/>
  <c r="BK41" i="110" s="1"/>
  <c r="M17" i="109" s="1"/>
  <c r="K28" i="109"/>
  <c r="L28" i="109" s="1"/>
  <c r="C48" i="99"/>
  <c r="AN48" i="87"/>
  <c r="U48" i="84"/>
  <c r="C48" i="116"/>
  <c r="C48" i="94"/>
  <c r="G48" i="94" s="1"/>
  <c r="I48" i="94" s="1"/>
  <c r="C48" i="115"/>
  <c r="G48" i="115" s="1"/>
  <c r="I48" i="115" s="1"/>
  <c r="AG48" i="87"/>
  <c r="W48" i="87"/>
  <c r="W48" i="84" s="1"/>
  <c r="M35" i="134"/>
  <c r="M51" i="134" s="1"/>
  <c r="I51" i="134"/>
  <c r="S63" i="87"/>
  <c r="C93" i="99" s="1"/>
  <c r="I93" i="99" s="1"/>
  <c r="Q63" i="87"/>
  <c r="Q61" i="87"/>
  <c r="I41" i="134"/>
  <c r="M41" i="134" s="1"/>
  <c r="AO28" i="117"/>
  <c r="M36" i="106"/>
  <c r="I42" i="134"/>
  <c r="AG65" i="87" l="1"/>
  <c r="W65" i="87"/>
  <c r="U41" i="15" s="1"/>
  <c r="W62" i="87"/>
  <c r="U38" i="15" s="1"/>
  <c r="W38" i="15" s="1"/>
  <c r="AI48" i="84"/>
  <c r="AW48" i="84"/>
  <c r="BI48" i="110"/>
  <c r="BI50" i="110"/>
  <c r="BB45" i="110"/>
  <c r="BI49" i="110"/>
  <c r="AG49" i="87"/>
  <c r="AN49" i="87"/>
  <c r="C49" i="99"/>
  <c r="U49" i="84"/>
  <c r="C49" i="116"/>
  <c r="W49" i="87"/>
  <c r="W49" i="84" s="1"/>
  <c r="C49" i="94"/>
  <c r="G49" i="94" s="1"/>
  <c r="I49" i="94" s="1"/>
  <c r="C49" i="115"/>
  <c r="G49" i="115" s="1"/>
  <c r="I49" i="115" s="1"/>
  <c r="I36" i="67"/>
  <c r="K93" i="99"/>
  <c r="M93" i="99"/>
  <c r="U21" i="87" s="1"/>
  <c r="C17" i="87"/>
  <c r="AI51" i="84"/>
  <c r="AW51" i="84"/>
  <c r="R25" i="131"/>
  <c r="O41" i="125"/>
  <c r="AN65" i="87"/>
  <c r="E23" i="93"/>
  <c r="I23" i="93" s="1"/>
  <c r="M23" i="93" s="1"/>
  <c r="C52" i="87"/>
  <c r="W41" i="15"/>
  <c r="M20" i="116"/>
  <c r="K20" i="116"/>
  <c r="C62" i="116"/>
  <c r="AG62" i="87"/>
  <c r="C19" i="115"/>
  <c r="G19" i="115" s="1"/>
  <c r="I19" i="115" s="1"/>
  <c r="C19" i="84" s="1"/>
  <c r="U61" i="87"/>
  <c r="C19" i="116"/>
  <c r="W19" i="87"/>
  <c r="AG19" i="87"/>
  <c r="O37" i="141"/>
  <c r="M37" i="141" s="1"/>
  <c r="N37" i="141" s="1"/>
  <c r="C21" i="94"/>
  <c r="G21" i="94" s="1"/>
  <c r="I21" i="94" s="1"/>
  <c r="C19" i="99"/>
  <c r="Q48" i="99"/>
  <c r="K48" i="99"/>
  <c r="M48" i="99"/>
  <c r="C47" i="99"/>
  <c r="C47" i="116"/>
  <c r="AG47" i="87"/>
  <c r="AN47" i="87"/>
  <c r="W47" i="87"/>
  <c r="W47" i="84" s="1"/>
  <c r="C47" i="94"/>
  <c r="G47" i="94" s="1"/>
  <c r="I47" i="94" s="1"/>
  <c r="C47" i="115"/>
  <c r="G47" i="115" s="1"/>
  <c r="I47" i="115" s="1"/>
  <c r="U47" i="84"/>
  <c r="I23" i="84"/>
  <c r="K23" i="84"/>
  <c r="C65" i="84"/>
  <c r="K23" i="116"/>
  <c r="M23" i="116"/>
  <c r="C65" i="116"/>
  <c r="C62" i="84"/>
  <c r="I20" i="84"/>
  <c r="K20" i="84"/>
  <c r="R121" i="125"/>
  <c r="K51" i="116"/>
  <c r="M51" i="116"/>
  <c r="S53" i="84"/>
  <c r="U53" i="87"/>
  <c r="M42" i="134"/>
  <c r="M58" i="134" s="1"/>
  <c r="I58" i="134"/>
  <c r="K46" i="84"/>
  <c r="S46" i="87"/>
  <c r="K60" i="87"/>
  <c r="I57" i="134"/>
  <c r="C65" i="99"/>
  <c r="Q65" i="99" s="1"/>
  <c r="N23" i="99"/>
  <c r="M23" i="99"/>
  <c r="Q23" i="99"/>
  <c r="K23" i="99"/>
  <c r="C62" i="99"/>
  <c r="Q62" i="99" s="1"/>
  <c r="Q20" i="99"/>
  <c r="K20" i="99"/>
  <c r="M20" i="99"/>
  <c r="M62" i="99" s="1"/>
  <c r="I34" i="134"/>
  <c r="R114" i="131"/>
  <c r="R115" i="131" s="1"/>
  <c r="K48" i="116"/>
  <c r="R118" i="125"/>
  <c r="M48" i="116"/>
  <c r="I46" i="84"/>
  <c r="Q46" i="87"/>
  <c r="I60" i="87"/>
  <c r="M57" i="134"/>
  <c r="R22" i="131"/>
  <c r="E20" i="93"/>
  <c r="I20" i="93" s="1"/>
  <c r="M20" i="93" s="1"/>
  <c r="O38" i="125"/>
  <c r="AN62" i="87"/>
  <c r="K51" i="99"/>
  <c r="Q51" i="99"/>
  <c r="M51" i="99"/>
  <c r="I47" i="106"/>
  <c r="I50" i="105" s="1"/>
  <c r="AH66" i="84"/>
  <c r="K62" i="99" l="1"/>
  <c r="AA51" i="116"/>
  <c r="S51" i="116" s="1"/>
  <c r="O41" i="140"/>
  <c r="M41" i="125"/>
  <c r="N41" i="125" s="1"/>
  <c r="AA48" i="116"/>
  <c r="S48" i="116" s="1"/>
  <c r="V121" i="125"/>
  <c r="O121" i="125"/>
  <c r="I65" i="84"/>
  <c r="Q23" i="84"/>
  <c r="Q65" i="84" s="1"/>
  <c r="C24" i="134"/>
  <c r="C23" i="98"/>
  <c r="AE25" i="131"/>
  <c r="C51" i="131"/>
  <c r="U64" i="99"/>
  <c r="V25" i="131"/>
  <c r="I37" i="158" s="1"/>
  <c r="R119" i="125"/>
  <c r="M49" i="116"/>
  <c r="K49" i="116"/>
  <c r="O118" i="125"/>
  <c r="V118" i="125"/>
  <c r="O38" i="140"/>
  <c r="M38" i="125"/>
  <c r="I45" i="134"/>
  <c r="M34" i="134"/>
  <c r="M50" i="134" s="1"/>
  <c r="I50" i="134"/>
  <c r="I61" i="134" s="1"/>
  <c r="Q20" i="84"/>
  <c r="Q62" i="84" s="1"/>
  <c r="I62" i="84"/>
  <c r="Q49" i="99"/>
  <c r="K49" i="99"/>
  <c r="M49" i="99"/>
  <c r="C48" i="131"/>
  <c r="U61" i="99"/>
  <c r="C20" i="98"/>
  <c r="V22" i="131"/>
  <c r="I34" i="158" s="1"/>
  <c r="C21" i="134"/>
  <c r="AE22" i="131"/>
  <c r="U46" i="87"/>
  <c r="S46" i="84"/>
  <c r="S60" i="87"/>
  <c r="C90" i="99" s="1"/>
  <c r="I90" i="99" s="1"/>
  <c r="K19" i="99"/>
  <c r="C61" i="99"/>
  <c r="Q61" i="99" s="1"/>
  <c r="Q19" i="99"/>
  <c r="M19" i="99"/>
  <c r="K62" i="116"/>
  <c r="AA20" i="116"/>
  <c r="M62" i="116"/>
  <c r="I17" i="87"/>
  <c r="K17" i="87"/>
  <c r="C59" i="87"/>
  <c r="K65" i="84"/>
  <c r="O39" i="141"/>
  <c r="M39" i="141" s="1"/>
  <c r="N39" i="141" s="1"/>
  <c r="C21" i="115"/>
  <c r="G21" i="115" s="1"/>
  <c r="I21" i="115" s="1"/>
  <c r="C21" i="84" s="1"/>
  <c r="AG21" i="87"/>
  <c r="AG63" i="87" s="1"/>
  <c r="C21" i="99"/>
  <c r="U63" i="87"/>
  <c r="W21" i="87"/>
  <c r="W63" i="87" s="1"/>
  <c r="U39" i="15" s="1"/>
  <c r="C23" i="94"/>
  <c r="G23" i="94" s="1"/>
  <c r="I23" i="94" s="1"/>
  <c r="C21" i="116"/>
  <c r="M65" i="116"/>
  <c r="AG61" i="87"/>
  <c r="AW49" i="84"/>
  <c r="AI49" i="84"/>
  <c r="Q46" i="84"/>
  <c r="Q60" i="87"/>
  <c r="K65" i="99"/>
  <c r="W53" i="87"/>
  <c r="W53" i="84" s="1"/>
  <c r="AG53" i="87"/>
  <c r="C53" i="94"/>
  <c r="G53" i="94" s="1"/>
  <c r="I53" i="94" s="1"/>
  <c r="C53" i="99"/>
  <c r="U53" i="84"/>
  <c r="AI53" i="84" s="1"/>
  <c r="C53" i="116"/>
  <c r="C53" i="115"/>
  <c r="G53" i="115" s="1"/>
  <c r="I53" i="115" s="1"/>
  <c r="K65" i="116"/>
  <c r="AA23" i="116"/>
  <c r="K47" i="116"/>
  <c r="M47" i="116"/>
  <c r="R117" i="125"/>
  <c r="W61" i="87"/>
  <c r="U37" i="15" s="1"/>
  <c r="AW47" i="84"/>
  <c r="AI47" i="84"/>
  <c r="Q47" i="99"/>
  <c r="K47" i="99"/>
  <c r="M47" i="99"/>
  <c r="M19" i="116"/>
  <c r="K19" i="116"/>
  <c r="C61" i="116"/>
  <c r="K52" i="87"/>
  <c r="C52" i="84"/>
  <c r="I52" i="87"/>
  <c r="K62" i="84"/>
  <c r="M65" i="99"/>
  <c r="AN61" i="87"/>
  <c r="R21" i="131"/>
  <c r="O37" i="125"/>
  <c r="E19" i="93"/>
  <c r="I19" i="93" s="1"/>
  <c r="M19" i="93" s="1"/>
  <c r="C61" i="84"/>
  <c r="K19" i="84"/>
  <c r="I19" i="84"/>
  <c r="AA62" i="116" l="1"/>
  <c r="AQ20" i="116"/>
  <c r="AQ62" i="116" s="1"/>
  <c r="AA87" i="116"/>
  <c r="Q41" i="125"/>
  <c r="N41" i="140"/>
  <c r="M61" i="116"/>
  <c r="AA47" i="116"/>
  <c r="S47" i="116" s="1"/>
  <c r="M21" i="116"/>
  <c r="K21" i="116"/>
  <c r="C63" i="116"/>
  <c r="K61" i="99"/>
  <c r="M118" i="125"/>
  <c r="P118" i="125" s="1"/>
  <c r="K90" i="99"/>
  <c r="M90" i="99"/>
  <c r="U18" i="87" s="1"/>
  <c r="K61" i="84"/>
  <c r="W39" i="15"/>
  <c r="I59" i="87"/>
  <c r="Q17" i="87"/>
  <c r="Q59" i="87" s="1"/>
  <c r="AA49" i="116"/>
  <c r="S49" i="116" s="1"/>
  <c r="AQ49" i="116"/>
  <c r="M121" i="125"/>
  <c r="P121" i="125" s="1"/>
  <c r="AN63" i="87"/>
  <c r="E21" i="93"/>
  <c r="I21" i="93" s="1"/>
  <c r="M21" i="93" s="1"/>
  <c r="O39" i="125"/>
  <c r="R23" i="131"/>
  <c r="AQ48" i="116"/>
  <c r="M53" i="116"/>
  <c r="R123" i="125"/>
  <c r="K53" i="116"/>
  <c r="C63" i="99"/>
  <c r="Q63" i="99" s="1"/>
  <c r="Q21" i="99"/>
  <c r="M21" i="99"/>
  <c r="M63" i="99" s="1"/>
  <c r="K21" i="99"/>
  <c r="K63" i="99" s="1"/>
  <c r="U46" i="84"/>
  <c r="C46" i="94"/>
  <c r="C46" i="116"/>
  <c r="C46" i="115"/>
  <c r="AG46" i="87"/>
  <c r="AN46" i="87"/>
  <c r="W46" i="87"/>
  <c r="C46" i="99"/>
  <c r="O119" i="125"/>
  <c r="V119" i="125"/>
  <c r="AC48" i="116"/>
  <c r="AS48" i="116" s="1"/>
  <c r="R118" i="126"/>
  <c r="AI48" i="116"/>
  <c r="AW48" i="116" s="1"/>
  <c r="AA19" i="116"/>
  <c r="AA61" i="116" s="1"/>
  <c r="K61" i="116"/>
  <c r="AH59" i="84"/>
  <c r="AH70" i="84" s="1"/>
  <c r="AH28" i="84"/>
  <c r="K37" i="158"/>
  <c r="I80" i="158"/>
  <c r="I123" i="158" s="1"/>
  <c r="I52" i="84"/>
  <c r="Q52" i="87"/>
  <c r="K53" i="99"/>
  <c r="M53" i="99"/>
  <c r="Q53" i="99"/>
  <c r="I21" i="84"/>
  <c r="C63" i="84"/>
  <c r="K21" i="84"/>
  <c r="G21" i="134"/>
  <c r="O21" i="134"/>
  <c r="W64" i="99"/>
  <c r="M41" i="140"/>
  <c r="P41" i="125"/>
  <c r="I61" i="84"/>
  <c r="Q19" i="84"/>
  <c r="Q61" i="84" s="1"/>
  <c r="S17" i="87"/>
  <c r="K59" i="87"/>
  <c r="M37" i="125"/>
  <c r="N37" i="125" s="1"/>
  <c r="O37" i="140"/>
  <c r="I77" i="158"/>
  <c r="I120" i="158" s="1"/>
  <c r="K34" i="158"/>
  <c r="P38" i="125"/>
  <c r="M38" i="140"/>
  <c r="K51" i="131"/>
  <c r="I51" i="131"/>
  <c r="C20" i="134"/>
  <c r="V21" i="131"/>
  <c r="I33" i="158" s="1"/>
  <c r="C19" i="98"/>
  <c r="U60" i="99"/>
  <c r="AE21" i="131"/>
  <c r="C47" i="131"/>
  <c r="S52" i="87"/>
  <c r="K52" i="84"/>
  <c r="W37" i="15"/>
  <c r="K20" i="98"/>
  <c r="M20" i="98"/>
  <c r="O81" i="125"/>
  <c r="AQ23" i="116"/>
  <c r="AA65" i="116"/>
  <c r="AA90" i="116" s="1"/>
  <c r="M61" i="99"/>
  <c r="W61" i="99"/>
  <c r="O78" i="125"/>
  <c r="M23" i="98"/>
  <c r="K23" i="98"/>
  <c r="AC51" i="116"/>
  <c r="AS51" i="116" s="1"/>
  <c r="R121" i="126"/>
  <c r="AI51" i="116"/>
  <c r="AW51" i="116" s="1"/>
  <c r="O117" i="125"/>
  <c r="V117" i="125"/>
  <c r="K48" i="131"/>
  <c r="I48" i="131"/>
  <c r="N38" i="125"/>
  <c r="G24" i="134"/>
  <c r="O24" i="134"/>
  <c r="AQ51" i="116"/>
  <c r="AO42" i="117"/>
  <c r="AQ19" i="116" l="1"/>
  <c r="AQ47" i="116"/>
  <c r="AQ61" i="116"/>
  <c r="AQ65" i="116"/>
  <c r="K123" i="158"/>
  <c r="S52" i="84"/>
  <c r="U52" i="87"/>
  <c r="K120" i="158"/>
  <c r="S59" i="87"/>
  <c r="M63" i="116"/>
  <c r="Q37" i="125"/>
  <c r="N37" i="140"/>
  <c r="K63" i="84"/>
  <c r="I47" i="131"/>
  <c r="K47" i="131"/>
  <c r="I63" i="84"/>
  <c r="Q21" i="84"/>
  <c r="Q63" i="84" s="1"/>
  <c r="M46" i="99"/>
  <c r="Q46" i="99"/>
  <c r="K46" i="99"/>
  <c r="K77" i="158"/>
  <c r="W46" i="84"/>
  <c r="AA53" i="116"/>
  <c r="AQ53" i="116" s="1"/>
  <c r="N121" i="125"/>
  <c r="R117" i="126"/>
  <c r="AC47" i="116"/>
  <c r="AS47" i="116" s="1"/>
  <c r="AI47" i="116"/>
  <c r="AW47" i="116" s="1"/>
  <c r="AA21" i="116"/>
  <c r="AA63" i="116" s="1"/>
  <c r="K63" i="116"/>
  <c r="M117" i="125"/>
  <c r="P117" i="125" s="1"/>
  <c r="W60" i="99"/>
  <c r="P81" i="125"/>
  <c r="P41" i="140"/>
  <c r="R41" i="125"/>
  <c r="V123" i="125"/>
  <c r="O123" i="125"/>
  <c r="K19" i="98"/>
  <c r="M19" i="98"/>
  <c r="C20" i="94"/>
  <c r="G20" i="94" s="1"/>
  <c r="I20" i="94" s="1"/>
  <c r="U60" i="87"/>
  <c r="C18" i="115"/>
  <c r="G18" i="115" s="1"/>
  <c r="I18" i="115" s="1"/>
  <c r="C18" i="84" s="1"/>
  <c r="C18" i="116"/>
  <c r="C18" i="99"/>
  <c r="O36" i="141"/>
  <c r="M36" i="141" s="1"/>
  <c r="N36" i="141" s="1"/>
  <c r="W18" i="87"/>
  <c r="W60" i="87" s="1"/>
  <c r="U36" i="15" s="1"/>
  <c r="AG18" i="87"/>
  <c r="AG60" i="87" s="1"/>
  <c r="O39" i="140"/>
  <c r="M39" i="125"/>
  <c r="N39" i="125" s="1"/>
  <c r="O79" i="125"/>
  <c r="R81" i="126"/>
  <c r="R41" i="124" s="1"/>
  <c r="O121" i="126"/>
  <c r="V121" i="126"/>
  <c r="K33" i="158"/>
  <c r="I76" i="158"/>
  <c r="I119" i="158" s="1"/>
  <c r="G46" i="115"/>
  <c r="O20" i="134"/>
  <c r="G20" i="134"/>
  <c r="AA86" i="116"/>
  <c r="R116" i="125"/>
  <c r="K46" i="116"/>
  <c r="M46" i="116"/>
  <c r="R119" i="126"/>
  <c r="AC49" i="116"/>
  <c r="AS49" i="116" s="1"/>
  <c r="AI49" i="116"/>
  <c r="AW49" i="116" s="1"/>
  <c r="N118" i="125"/>
  <c r="Q118" i="125" s="1"/>
  <c r="N38" i="140"/>
  <c r="Q38" i="125"/>
  <c r="R38" i="125" s="1"/>
  <c r="P38" i="140"/>
  <c r="P78" i="125"/>
  <c r="M119" i="125"/>
  <c r="P119" i="125" s="1"/>
  <c r="M37" i="140"/>
  <c r="P37" i="125"/>
  <c r="G46" i="94"/>
  <c r="S21" i="134"/>
  <c r="K80" i="158"/>
  <c r="S24" i="134"/>
  <c r="O77" i="125"/>
  <c r="Q52" i="84"/>
  <c r="R78" i="126"/>
  <c r="R38" i="124" s="1"/>
  <c r="V118" i="126"/>
  <c r="O118" i="126"/>
  <c r="AW46" i="84"/>
  <c r="AI46" i="84"/>
  <c r="C22" i="134"/>
  <c r="AE23" i="131"/>
  <c r="C49" i="131"/>
  <c r="C21" i="98"/>
  <c r="U62" i="99"/>
  <c r="V23" i="131"/>
  <c r="I35" i="158" s="1"/>
  <c r="Q41" i="140"/>
  <c r="AO56" i="117"/>
  <c r="N117" i="125" l="1"/>
  <c r="Q117" i="125" s="1"/>
  <c r="N78" i="125"/>
  <c r="AQ21" i="116"/>
  <c r="AQ63" i="116" s="1"/>
  <c r="N119" i="125"/>
  <c r="Q119" i="125" s="1"/>
  <c r="Q38" i="140"/>
  <c r="Q78" i="125"/>
  <c r="K119" i="158"/>
  <c r="W36" i="15"/>
  <c r="O78" i="126"/>
  <c r="M118" i="126"/>
  <c r="P118" i="126" s="1"/>
  <c r="P78" i="126" s="1"/>
  <c r="P38" i="124" s="1"/>
  <c r="K76" i="158"/>
  <c r="C89" i="99"/>
  <c r="R38" i="140"/>
  <c r="R78" i="125"/>
  <c r="R78" i="140" s="1"/>
  <c r="G71" i="128"/>
  <c r="S53" i="116"/>
  <c r="C60" i="99"/>
  <c r="Q60" i="99" s="1"/>
  <c r="M18" i="99"/>
  <c r="M60" i="99" s="1"/>
  <c r="Q18" i="99"/>
  <c r="K18" i="99"/>
  <c r="K60" i="99" s="1"/>
  <c r="M123" i="125"/>
  <c r="P123" i="125" s="1"/>
  <c r="I46" i="94"/>
  <c r="C60" i="116"/>
  <c r="K18" i="116"/>
  <c r="M18" i="116"/>
  <c r="K35" i="158"/>
  <c r="I78" i="158"/>
  <c r="I121" i="158" s="1"/>
  <c r="R37" i="125"/>
  <c r="P37" i="140"/>
  <c r="P77" i="125"/>
  <c r="M121" i="126"/>
  <c r="P121" i="126" s="1"/>
  <c r="P81" i="126" s="1"/>
  <c r="P41" i="124" s="1"/>
  <c r="O81" i="126"/>
  <c r="I18" i="84"/>
  <c r="C60" i="84"/>
  <c r="K18" i="84"/>
  <c r="AA88" i="116"/>
  <c r="N77" i="125"/>
  <c r="V116" i="125"/>
  <c r="O116" i="125"/>
  <c r="W62" i="99"/>
  <c r="V119" i="126"/>
  <c r="R79" i="126"/>
  <c r="R39" i="124" s="1"/>
  <c r="O119" i="126"/>
  <c r="S20" i="134"/>
  <c r="R20" i="131"/>
  <c r="O36" i="125"/>
  <c r="AN60" i="87"/>
  <c r="E18" i="93"/>
  <c r="I18" i="93" s="1"/>
  <c r="M18" i="93" s="1"/>
  <c r="R41" i="140"/>
  <c r="R81" i="125"/>
  <c r="R81" i="140" s="1"/>
  <c r="C52" i="115"/>
  <c r="AG52" i="87"/>
  <c r="AG56" i="87" s="1"/>
  <c r="U52" i="84"/>
  <c r="C52" i="99"/>
  <c r="W52" i="87"/>
  <c r="C52" i="116"/>
  <c r="AN52" i="87"/>
  <c r="AN56" i="87" s="1"/>
  <c r="C52" i="94"/>
  <c r="G22" i="134"/>
  <c r="O22" i="134"/>
  <c r="K21" i="98"/>
  <c r="M21" i="98"/>
  <c r="N39" i="140"/>
  <c r="Q39" i="125"/>
  <c r="Q37" i="140"/>
  <c r="Q77" i="125"/>
  <c r="M78" i="125"/>
  <c r="I49" i="131"/>
  <c r="K49" i="131"/>
  <c r="P41" i="123"/>
  <c r="R77" i="126"/>
  <c r="R37" i="124" s="1"/>
  <c r="V117" i="126"/>
  <c r="O117" i="126"/>
  <c r="AA46" i="116"/>
  <c r="AQ46" i="116" s="1"/>
  <c r="P38" i="123"/>
  <c r="I46" i="115"/>
  <c r="M39" i="140"/>
  <c r="P39" i="125"/>
  <c r="Q121" i="125"/>
  <c r="Q81" i="125" s="1"/>
  <c r="N81" i="125"/>
  <c r="U47" i="106"/>
  <c r="U50" i="105" s="1"/>
  <c r="R118" i="140" l="1"/>
  <c r="R121" i="140"/>
  <c r="N79" i="125"/>
  <c r="M79" i="125" s="1"/>
  <c r="P81" i="140"/>
  <c r="P121" i="140" s="1"/>
  <c r="N121" i="126"/>
  <c r="N81" i="126" s="1"/>
  <c r="N123" i="125"/>
  <c r="Q123" i="125" s="1"/>
  <c r="M117" i="126"/>
  <c r="P117" i="126" s="1"/>
  <c r="P77" i="126" s="1"/>
  <c r="P37" i="124" s="1"/>
  <c r="O77" i="126"/>
  <c r="G52" i="94"/>
  <c r="C55" i="94"/>
  <c r="O38" i="124"/>
  <c r="O78" i="140"/>
  <c r="O118" i="140" s="1"/>
  <c r="P37" i="123"/>
  <c r="K52" i="116"/>
  <c r="R122" i="125"/>
  <c r="M52" i="116"/>
  <c r="O76" i="125"/>
  <c r="M36" i="125"/>
  <c r="O36" i="140"/>
  <c r="C46" i="131"/>
  <c r="C19" i="134"/>
  <c r="U59" i="99"/>
  <c r="AE20" i="131"/>
  <c r="C18" i="98"/>
  <c r="V20" i="131"/>
  <c r="I32" i="158" s="1"/>
  <c r="K121" i="158"/>
  <c r="I71" i="128"/>
  <c r="I74" i="128" s="1"/>
  <c r="I76" i="128" s="1"/>
  <c r="G74" i="128"/>
  <c r="G76" i="128" s="1"/>
  <c r="Q52" i="99"/>
  <c r="K52" i="99"/>
  <c r="M52" i="99"/>
  <c r="K78" i="158"/>
  <c r="I89" i="99"/>
  <c r="M77" i="125"/>
  <c r="AI52" i="84"/>
  <c r="AW52" i="84"/>
  <c r="AW56" i="84" s="1"/>
  <c r="K60" i="84"/>
  <c r="Q37" i="123"/>
  <c r="P78" i="140"/>
  <c r="P118" i="140" s="1"/>
  <c r="Q38" i="123"/>
  <c r="Q39" i="140"/>
  <c r="Q79" i="125"/>
  <c r="R37" i="140"/>
  <c r="R77" i="125"/>
  <c r="R77" i="140" s="1"/>
  <c r="W52" i="84"/>
  <c r="G52" i="115"/>
  <c r="O79" i="126"/>
  <c r="M119" i="126"/>
  <c r="P119" i="126" s="1"/>
  <c r="P79" i="126" s="1"/>
  <c r="P39" i="124" s="1"/>
  <c r="I60" i="84"/>
  <c r="Q18" i="84"/>
  <c r="Q60" i="84" s="1"/>
  <c r="M60" i="116"/>
  <c r="P39" i="140"/>
  <c r="R39" i="125"/>
  <c r="P79" i="125"/>
  <c r="AA18" i="116"/>
  <c r="AA60" i="116" s="1"/>
  <c r="K60" i="116"/>
  <c r="M81" i="125"/>
  <c r="O41" i="124"/>
  <c r="O81" i="140"/>
  <c r="O121" i="140" s="1"/>
  <c r="M116" i="125"/>
  <c r="Q41" i="123"/>
  <c r="S46" i="116"/>
  <c r="S22" i="134"/>
  <c r="AC53" i="116"/>
  <c r="AS53" i="116" s="1"/>
  <c r="R123" i="126"/>
  <c r="AI53" i="116"/>
  <c r="AW53" i="116" s="1"/>
  <c r="N118" i="126"/>
  <c r="R117" i="140" l="1"/>
  <c r="N117" i="126"/>
  <c r="Q121" i="126"/>
  <c r="Q81" i="126" s="1"/>
  <c r="Q41" i="124" s="1"/>
  <c r="AA85" i="116"/>
  <c r="AQ18" i="116"/>
  <c r="AQ60" i="116" s="1"/>
  <c r="N119" i="126"/>
  <c r="Q119" i="126" s="1"/>
  <c r="Q79" i="126" s="1"/>
  <c r="Q39" i="124" s="1"/>
  <c r="M18" i="98"/>
  <c r="K18" i="98"/>
  <c r="Q39" i="123"/>
  <c r="I52" i="94"/>
  <c r="I55" i="94" s="1"/>
  <c r="G55" i="94"/>
  <c r="P39" i="123"/>
  <c r="P79" i="140"/>
  <c r="P119" i="140" s="1"/>
  <c r="W59" i="99"/>
  <c r="O122" i="125"/>
  <c r="V122" i="125"/>
  <c r="V125" i="125" s="1"/>
  <c r="R125" i="125"/>
  <c r="N77" i="126"/>
  <c r="M77" i="126" s="1"/>
  <c r="M37" i="124" s="1"/>
  <c r="Q117" i="126"/>
  <c r="Q77" i="126" s="1"/>
  <c r="Q81" i="140"/>
  <c r="Q121" i="140" s="1"/>
  <c r="R79" i="125"/>
  <c r="R79" i="140" s="1"/>
  <c r="R39" i="140"/>
  <c r="O19" i="134"/>
  <c r="G19" i="134"/>
  <c r="AA52" i="116"/>
  <c r="AQ52" i="116" s="1"/>
  <c r="O37" i="124"/>
  <c r="O77" i="140"/>
  <c r="O117" i="140" s="1"/>
  <c r="O39" i="124"/>
  <c r="O79" i="140"/>
  <c r="O119" i="140" s="1"/>
  <c r="I46" i="131"/>
  <c r="K46" i="131"/>
  <c r="M81" i="126"/>
  <c r="M41" i="124" s="1"/>
  <c r="N41" i="124"/>
  <c r="K32" i="158"/>
  <c r="I75" i="158"/>
  <c r="I118" i="158" s="1"/>
  <c r="N78" i="126"/>
  <c r="Q118" i="126"/>
  <c r="Q78" i="126" s="1"/>
  <c r="M89" i="99"/>
  <c r="K89" i="99"/>
  <c r="P77" i="140"/>
  <c r="P117" i="140" s="1"/>
  <c r="M36" i="140"/>
  <c r="P36" i="125"/>
  <c r="N81" i="140"/>
  <c r="N121" i="140" s="1"/>
  <c r="I52" i="115"/>
  <c r="N116" i="125"/>
  <c r="P116" i="125"/>
  <c r="V123" i="126"/>
  <c r="O123" i="126"/>
  <c r="R83" i="126"/>
  <c r="R43" i="124" s="1"/>
  <c r="N36" i="125"/>
  <c r="R116" i="126"/>
  <c r="AC46" i="116"/>
  <c r="AI46" i="116"/>
  <c r="N79" i="126" l="1"/>
  <c r="M79" i="126" s="1"/>
  <c r="R119" i="140"/>
  <c r="M39" i="124"/>
  <c r="M79" i="140"/>
  <c r="M119" i="140" s="1"/>
  <c r="AS46" i="116"/>
  <c r="R76" i="126"/>
  <c r="V116" i="126"/>
  <c r="O116" i="126"/>
  <c r="Q38" i="124"/>
  <c r="Q78" i="140"/>
  <c r="Q118" i="140" s="1"/>
  <c r="Q37" i="124"/>
  <c r="Q77" i="140"/>
  <c r="Q117" i="140" s="1"/>
  <c r="N38" i="124"/>
  <c r="N78" i="140"/>
  <c r="N118" i="140" s="1"/>
  <c r="M78" i="126"/>
  <c r="N37" i="124"/>
  <c r="N77" i="140"/>
  <c r="N117" i="140" s="1"/>
  <c r="Q116" i="125"/>
  <c r="P76" i="125"/>
  <c r="P36" i="140"/>
  <c r="S52" i="116"/>
  <c r="M81" i="140"/>
  <c r="M121" i="140" s="1"/>
  <c r="N36" i="140"/>
  <c r="Q36" i="125"/>
  <c r="R36" i="125" s="1"/>
  <c r="N76" i="125"/>
  <c r="K118" i="158"/>
  <c r="Q79" i="140"/>
  <c r="Q119" i="140" s="1"/>
  <c r="M123" i="126"/>
  <c r="P123" i="126" s="1"/>
  <c r="P83" i="126" s="1"/>
  <c r="P43" i="124" s="1"/>
  <c r="O83" i="126"/>
  <c r="K75" i="158"/>
  <c r="S19" i="134"/>
  <c r="M122" i="125"/>
  <c r="N122" i="125" s="1"/>
  <c r="Q122" i="125" s="1"/>
  <c r="O125" i="125"/>
  <c r="N39" i="124"/>
  <c r="N79" i="140"/>
  <c r="N119" i="140" s="1"/>
  <c r="U17" i="87"/>
  <c r="AW46" i="116"/>
  <c r="M77" i="140"/>
  <c r="M117" i="140" s="1"/>
  <c r="C19" i="94" l="1"/>
  <c r="U59" i="87"/>
  <c r="C17" i="116"/>
  <c r="AG17" i="87"/>
  <c r="C17" i="115"/>
  <c r="O35" i="141"/>
  <c r="W17" i="87"/>
  <c r="C17" i="99"/>
  <c r="R36" i="140"/>
  <c r="R76" i="125"/>
  <c r="R76" i="140" s="1"/>
  <c r="M76" i="125"/>
  <c r="P36" i="123"/>
  <c r="M116" i="126"/>
  <c r="O76" i="126"/>
  <c r="Q76" i="125"/>
  <c r="Q36" i="140"/>
  <c r="N125" i="125"/>
  <c r="AC52" i="116"/>
  <c r="R122" i="126"/>
  <c r="AI52" i="116"/>
  <c r="Q125" i="125"/>
  <c r="R36" i="124"/>
  <c r="M38" i="124"/>
  <c r="M78" i="140"/>
  <c r="M118" i="140" s="1"/>
  <c r="O43" i="124"/>
  <c r="P122" i="125"/>
  <c r="P125" i="125" s="1"/>
  <c r="M125" i="125"/>
  <c r="N123" i="126"/>
  <c r="G19" i="94" l="1"/>
  <c r="AN59" i="87"/>
  <c r="R19" i="131"/>
  <c r="E17" i="93"/>
  <c r="O35" i="125"/>
  <c r="Q36" i="123"/>
  <c r="AW52" i="116"/>
  <c r="V122" i="126"/>
  <c r="O122" i="126"/>
  <c r="R82" i="126"/>
  <c r="R125" i="126"/>
  <c r="O36" i="124"/>
  <c r="O76" i="140"/>
  <c r="O116" i="140" s="1"/>
  <c r="M17" i="99"/>
  <c r="C59" i="99"/>
  <c r="K17" i="99"/>
  <c r="Q17" i="99"/>
  <c r="AS52" i="116"/>
  <c r="N116" i="126"/>
  <c r="P116" i="126"/>
  <c r="W59" i="87"/>
  <c r="M35" i="141"/>
  <c r="N35" i="141" s="1"/>
  <c r="Q123" i="126"/>
  <c r="Q83" i="126" s="1"/>
  <c r="Q43" i="124" s="1"/>
  <c r="N83" i="126"/>
  <c r="G17" i="115"/>
  <c r="AG59" i="87"/>
  <c r="R116" i="140"/>
  <c r="K17" i="116"/>
  <c r="M17" i="116"/>
  <c r="C59" i="116"/>
  <c r="M122" i="126" l="1"/>
  <c r="N122" i="126" s="1"/>
  <c r="O82" i="126"/>
  <c r="O125" i="126"/>
  <c r="I19" i="94"/>
  <c r="V125" i="126"/>
  <c r="K59" i="99"/>
  <c r="O75" i="125"/>
  <c r="O35" i="140"/>
  <c r="M35" i="125"/>
  <c r="N35" i="125" s="1"/>
  <c r="Q59" i="99"/>
  <c r="I17" i="93"/>
  <c r="U35" i="15"/>
  <c r="M59" i="99"/>
  <c r="C18" i="134"/>
  <c r="C17" i="98"/>
  <c r="V19" i="131"/>
  <c r="U58" i="99"/>
  <c r="C45" i="131"/>
  <c r="AE19" i="131"/>
  <c r="AA17" i="116"/>
  <c r="AQ17" i="116" s="1"/>
  <c r="K59" i="116"/>
  <c r="R42" i="124"/>
  <c r="R85" i="126"/>
  <c r="R127" i="126" s="1"/>
  <c r="N43" i="124"/>
  <c r="M83" i="126"/>
  <c r="P76" i="126"/>
  <c r="N76" i="126"/>
  <c r="Q116" i="126"/>
  <c r="I17" i="115"/>
  <c r="M59" i="116"/>
  <c r="Q122" i="126" l="1"/>
  <c r="Q82" i="126" s="1"/>
  <c r="N82" i="126"/>
  <c r="M82" i="126" s="1"/>
  <c r="N125" i="126"/>
  <c r="W58" i="99"/>
  <c r="I31" i="158"/>
  <c r="N35" i="140"/>
  <c r="Q35" i="125"/>
  <c r="R45" i="124"/>
  <c r="M17" i="98"/>
  <c r="K17" i="98"/>
  <c r="M35" i="140"/>
  <c r="P35" i="125"/>
  <c r="AC84" i="116"/>
  <c r="C17" i="84"/>
  <c r="O18" i="134"/>
  <c r="G18" i="134"/>
  <c r="AA84" i="116"/>
  <c r="O42" i="124"/>
  <c r="O85" i="126"/>
  <c r="O127" i="126" s="1"/>
  <c r="M17" i="93"/>
  <c r="AA59" i="116"/>
  <c r="O75" i="140"/>
  <c r="N75" i="125"/>
  <c r="M75" i="125" s="1"/>
  <c r="Q76" i="126"/>
  <c r="Q125" i="126"/>
  <c r="P122" i="126"/>
  <c r="M125" i="126"/>
  <c r="AQ59" i="116"/>
  <c r="W35" i="15"/>
  <c r="N36" i="124"/>
  <c r="N85" i="126"/>
  <c r="N127" i="126" s="1"/>
  <c r="N76" i="140"/>
  <c r="N116" i="140" s="1"/>
  <c r="M76" i="126"/>
  <c r="C134" i="140"/>
  <c r="P36" i="124"/>
  <c r="P76" i="140"/>
  <c r="P116" i="140" s="1"/>
  <c r="M43" i="124"/>
  <c r="K45" i="131"/>
  <c r="I45" i="131"/>
  <c r="P82" i="126" l="1"/>
  <c r="P125" i="126"/>
  <c r="N75" i="140"/>
  <c r="I74" i="158"/>
  <c r="K31" i="158"/>
  <c r="M75" i="140"/>
  <c r="M115" i="140" s="1"/>
  <c r="P35" i="140"/>
  <c r="R35" i="125"/>
  <c r="P75" i="125"/>
  <c r="O115" i="140"/>
  <c r="O45" i="124"/>
  <c r="M36" i="124"/>
  <c r="M85" i="126"/>
  <c r="M127" i="126" s="1"/>
  <c r="M76" i="140"/>
  <c r="M116" i="140" s="1"/>
  <c r="S18" i="134"/>
  <c r="Q35" i="140"/>
  <c r="Q75" i="125"/>
  <c r="N42" i="124"/>
  <c r="Q36" i="124"/>
  <c r="Q85" i="126"/>
  <c r="Q127" i="126" s="1"/>
  <c r="Q76" i="140"/>
  <c r="Q116" i="140" s="1"/>
  <c r="M42" i="124"/>
  <c r="I17" i="84"/>
  <c r="C59" i="84"/>
  <c r="K17" i="84"/>
  <c r="N115" i="140"/>
  <c r="Q42" i="124"/>
  <c r="K74" i="158" l="1"/>
  <c r="Q45" i="124"/>
  <c r="Q35" i="123"/>
  <c r="Q75" i="140"/>
  <c r="N45" i="124"/>
  <c r="P35" i="123"/>
  <c r="P75" i="140"/>
  <c r="P115" i="140" s="1"/>
  <c r="P42" i="124"/>
  <c r="P85" i="126"/>
  <c r="P127" i="126" s="1"/>
  <c r="K59" i="84"/>
  <c r="R35" i="140"/>
  <c r="R75" i="125"/>
  <c r="I59" i="84"/>
  <c r="Q17" i="84"/>
  <c r="M45" i="124"/>
  <c r="Q59" i="84" l="1"/>
  <c r="P45" i="124"/>
  <c r="R75" i="140"/>
  <c r="Q115" i="140"/>
  <c r="R115" i="140" l="1"/>
  <c r="U29" i="79" l="1"/>
  <c r="Y28" i="106"/>
  <c r="M28" i="67" s="1"/>
  <c r="K28" i="67" s="1"/>
  <c r="AC27" i="11" l="1"/>
  <c r="Y29" i="106"/>
  <c r="M29" i="67" s="1"/>
  <c r="K29" i="67" s="1"/>
  <c r="AC28" i="11" l="1"/>
  <c r="AE27" i="11"/>
  <c r="AG27" i="11" s="1"/>
  <c r="E27" i="11"/>
  <c r="G27" i="11" s="1"/>
  <c r="I27" i="11" s="1"/>
  <c r="P27" i="11" l="1"/>
  <c r="C27" i="77"/>
  <c r="I27" i="77" s="1"/>
  <c r="G27" i="79" s="1"/>
  <c r="C27" i="78"/>
  <c r="AE28" i="11"/>
  <c r="AG28" i="11" s="1"/>
  <c r="E28" i="11"/>
  <c r="G28" i="11" s="1"/>
  <c r="I28" i="11" s="1"/>
  <c r="Y30" i="106"/>
  <c r="M30" i="67" s="1"/>
  <c r="U30" i="79"/>
  <c r="AC29" i="11" l="1"/>
  <c r="AE29" i="11" s="1"/>
  <c r="AG29" i="11" s="1"/>
  <c r="C28" i="77"/>
  <c r="I28" i="77" s="1"/>
  <c r="G28" i="79" s="1"/>
  <c r="P28" i="11"/>
  <c r="C28" i="78"/>
  <c r="I28" i="78" s="1"/>
  <c r="I28" i="79" s="1"/>
  <c r="O28" i="79" s="1"/>
  <c r="I27" i="78"/>
  <c r="I27" i="79" s="1"/>
  <c r="O27" i="79"/>
  <c r="S30" i="67"/>
  <c r="K30" i="67"/>
  <c r="Q30" i="67" s="1"/>
  <c r="U27" i="79" l="1"/>
  <c r="E26" i="12"/>
  <c r="U28" i="79"/>
  <c r="E27" i="12"/>
  <c r="AG30" i="157"/>
  <c r="AR29" i="129"/>
  <c r="AT29" i="129" s="1"/>
  <c r="AQ30" i="157" l="1"/>
  <c r="S30" i="157"/>
  <c r="AC30" i="157" s="1"/>
  <c r="O27" i="12"/>
  <c r="G27" i="12"/>
  <c r="E28" i="13" s="1"/>
  <c r="I28" i="13" s="1"/>
  <c r="O29" i="105" s="1"/>
  <c r="E28" i="129"/>
  <c r="G28" i="129" s="1"/>
  <c r="G26" i="12"/>
  <c r="E27" i="13" s="1"/>
  <c r="I27" i="13" s="1"/>
  <c r="O28" i="105" s="1"/>
  <c r="E27" i="129"/>
  <c r="G27" i="129" s="1"/>
  <c r="O26" i="12"/>
  <c r="Y28" i="105" l="1"/>
  <c r="C94" i="105"/>
  <c r="G28" i="67"/>
  <c r="AE27" i="12"/>
  <c r="O28" i="129"/>
  <c r="C95" i="105"/>
  <c r="Y29" i="105"/>
  <c r="G29" i="67"/>
  <c r="AE26" i="12"/>
  <c r="O27" i="129"/>
  <c r="AC26" i="11"/>
  <c r="AE26" i="11" l="1"/>
  <c r="AG26" i="11" s="1"/>
  <c r="E26" i="11"/>
  <c r="G26" i="11" s="1"/>
  <c r="I26" i="11" s="1"/>
  <c r="AG29" i="157"/>
  <c r="AR28" i="129"/>
  <c r="AT28" i="129" s="1"/>
  <c r="AE28" i="129"/>
  <c r="O107" i="120" s="1"/>
  <c r="O67" i="120" s="1"/>
  <c r="AA24" i="158"/>
  <c r="E29" i="67"/>
  <c r="Q29" i="67" s="1"/>
  <c r="S29" i="67"/>
  <c r="AA23" i="158"/>
  <c r="AE27" i="129"/>
  <c r="O106" i="120" s="1"/>
  <c r="O66" i="120" s="1"/>
  <c r="AG28" i="157"/>
  <c r="AR27" i="129"/>
  <c r="AT27" i="129" s="1"/>
  <c r="E28" i="67"/>
  <c r="Q28" i="67" s="1"/>
  <c r="S28" i="67"/>
  <c r="M95" i="105"/>
  <c r="C29" i="17"/>
  <c r="Y27" i="106"/>
  <c r="M94" i="105"/>
  <c r="C28" i="17"/>
  <c r="N66" i="120" l="1"/>
  <c r="M66" i="120" s="1"/>
  <c r="AF23" i="158"/>
  <c r="O23" i="158"/>
  <c r="AF24" i="158"/>
  <c r="O24" i="158"/>
  <c r="N67" i="120"/>
  <c r="M67" i="120" s="1"/>
  <c r="K28" i="17"/>
  <c r="I28" i="17"/>
  <c r="I29" i="17"/>
  <c r="K29" i="17"/>
  <c r="AQ29" i="157"/>
  <c r="S29" i="157"/>
  <c r="AC29" i="157" s="1"/>
  <c r="M27" i="67"/>
  <c r="C26" i="78"/>
  <c r="P26" i="11"/>
  <c r="P46" i="11" s="1"/>
  <c r="C26" i="77"/>
  <c r="I46" i="11"/>
  <c r="AQ28" i="157"/>
  <c r="S28" i="157"/>
  <c r="AC28" i="157" s="1"/>
  <c r="I26" i="77" l="1"/>
  <c r="C46" i="77"/>
  <c r="T24" i="158"/>
  <c r="O67" i="158"/>
  <c r="O110" i="158" s="1"/>
  <c r="P67" i="120"/>
  <c r="M107" i="120"/>
  <c r="I26" i="78"/>
  <c r="O26" i="79"/>
  <c r="C46" i="78"/>
  <c r="O66" i="158"/>
  <c r="T23" i="158"/>
  <c r="K27" i="67"/>
  <c r="P66" i="120"/>
  <c r="M106" i="120"/>
  <c r="Q67" i="120"/>
  <c r="Q107" i="120" s="1"/>
  <c r="N107" i="120"/>
  <c r="N106" i="120"/>
  <c r="Q66" i="120"/>
  <c r="Q106" i="120" s="1"/>
  <c r="AA66" i="158" l="1"/>
  <c r="AF66" i="158" s="1"/>
  <c r="T66" i="158"/>
  <c r="I26" i="79"/>
  <c r="I46" i="79" s="1"/>
  <c r="I46" i="78"/>
  <c r="R67" i="120"/>
  <c r="P107" i="120"/>
  <c r="T110" i="158"/>
  <c r="AA110" i="158"/>
  <c r="AF110" i="158" s="1"/>
  <c r="E25" i="12"/>
  <c r="U26" i="79"/>
  <c r="O46" i="79"/>
  <c r="R66" i="120"/>
  <c r="P106" i="120"/>
  <c r="T67" i="158"/>
  <c r="AA67" i="158"/>
  <c r="AF67" i="158" s="1"/>
  <c r="O109" i="158"/>
  <c r="G26" i="79"/>
  <c r="G46" i="79" s="1"/>
  <c r="I46" i="77"/>
  <c r="T109" i="158" l="1"/>
  <c r="AA109" i="158"/>
  <c r="AF109" i="158" s="1"/>
  <c r="R107" i="120"/>
  <c r="V67" i="120"/>
  <c r="O25" i="12"/>
  <c r="E26" i="129"/>
  <c r="G25" i="12"/>
  <c r="E45" i="12"/>
  <c r="AC30" i="11"/>
  <c r="AE30" i="11" s="1"/>
  <c r="AG30" i="11" s="1"/>
  <c r="AG31" i="157"/>
  <c r="AR30" i="129"/>
  <c r="AT30" i="129" s="1"/>
  <c r="R106" i="120"/>
  <c r="V66" i="120"/>
  <c r="G26" i="129" l="1"/>
  <c r="E46" i="129"/>
  <c r="E47" i="129" s="1"/>
  <c r="Y31" i="106"/>
  <c r="O26" i="129"/>
  <c r="AE25" i="12"/>
  <c r="AE45" i="12" s="1"/>
  <c r="O45" i="12"/>
  <c r="AQ31" i="157"/>
  <c r="S31" i="157"/>
  <c r="AC31" i="157" s="1"/>
  <c r="E26" i="13"/>
  <c r="AA22" i="158" l="1"/>
  <c r="AE26" i="129"/>
  <c r="AG27" i="157"/>
  <c r="AR26" i="129"/>
  <c r="O46" i="129"/>
  <c r="M31" i="67"/>
  <c r="I26" i="13"/>
  <c r="E48" i="13"/>
  <c r="O47" i="129" l="1"/>
  <c r="AC92" i="105"/>
  <c r="AT26" i="129"/>
  <c r="S31" i="67"/>
  <c r="K31" i="67"/>
  <c r="Q31" i="67" s="1"/>
  <c r="AQ27" i="157"/>
  <c r="S27" i="157"/>
  <c r="AC27" i="157" s="1"/>
  <c r="O105" i="120"/>
  <c r="AE46" i="129"/>
  <c r="O27" i="105"/>
  <c r="I48" i="13"/>
  <c r="O22" i="158"/>
  <c r="AF22" i="158"/>
  <c r="AA43" i="158"/>
  <c r="O65" i="120" l="1"/>
  <c r="O125" i="120"/>
  <c r="T22" i="158"/>
  <c r="O65" i="158"/>
  <c r="O108" i="158" s="1"/>
  <c r="O43" i="158"/>
  <c r="G27" i="67"/>
  <c r="Y27" i="105"/>
  <c r="C93" i="105"/>
  <c r="C27" i="17" l="1"/>
  <c r="M93" i="105"/>
  <c r="AA108" i="158"/>
  <c r="T108" i="158"/>
  <c r="O129" i="158"/>
  <c r="E27" i="67"/>
  <c r="S27" i="67"/>
  <c r="T65" i="158"/>
  <c r="AA65" i="158"/>
  <c r="O86" i="158"/>
  <c r="N65" i="120"/>
  <c r="M65" i="120" s="1"/>
  <c r="O85" i="120"/>
  <c r="M105" i="120" l="1"/>
  <c r="M125" i="120" s="1"/>
  <c r="P65" i="120"/>
  <c r="M85" i="120"/>
  <c r="Q27" i="67"/>
  <c r="I27" i="17"/>
  <c r="K27" i="17"/>
  <c r="AF108" i="158"/>
  <c r="AA129" i="158"/>
  <c r="Q65" i="120"/>
  <c r="N105" i="120"/>
  <c r="N125" i="120" s="1"/>
  <c r="N85" i="120"/>
  <c r="AF65" i="158"/>
  <c r="AA86" i="158"/>
  <c r="Q105" i="120" l="1"/>
  <c r="Q125" i="120" s="1"/>
  <c r="Q85" i="120"/>
  <c r="R65" i="120"/>
  <c r="P105" i="120"/>
  <c r="P125" i="120" s="1"/>
  <c r="P85" i="120"/>
  <c r="R105" i="120" l="1"/>
  <c r="R125" i="120" s="1"/>
  <c r="V65" i="120"/>
  <c r="V85" i="120" s="1"/>
  <c r="R85" i="120"/>
  <c r="P22" i="99" l="1"/>
  <c r="BW22" i="91"/>
  <c r="BV28" i="91"/>
  <c r="W22" i="109"/>
  <c r="S28" i="109"/>
  <c r="Y22" i="109" l="1"/>
  <c r="W28" i="109"/>
  <c r="Y28" i="109" s="1"/>
  <c r="BW28" i="91"/>
  <c r="P28" i="99"/>
  <c r="Q22" i="99"/>
  <c r="AQ28" i="117" l="1"/>
  <c r="K47" i="106" l="1"/>
  <c r="K50" i="105" s="1"/>
  <c r="BT50" i="92" l="1"/>
  <c r="BT56" i="92" s="1"/>
  <c r="P50" i="99" l="1"/>
  <c r="BV56" i="91"/>
  <c r="BW50" i="91"/>
  <c r="BV64" i="91"/>
  <c r="S56" i="109"/>
  <c r="W50" i="109"/>
  <c r="W56" i="109" s="1"/>
  <c r="K39" i="134" l="1"/>
  <c r="X114" i="131"/>
  <c r="X115" i="131" s="1"/>
  <c r="P64" i="99"/>
  <c r="X84" i="131"/>
  <c r="AD24" i="131"/>
  <c r="BV70" i="91"/>
  <c r="BW56" i="91"/>
  <c r="BW64" i="91"/>
  <c r="BW70" i="91" s="1"/>
  <c r="P56" i="99"/>
  <c r="Q50" i="99"/>
  <c r="Q56" i="99" s="1"/>
  <c r="AD31" i="131" l="1"/>
  <c r="AE24" i="131"/>
  <c r="K23" i="134"/>
  <c r="X91" i="131"/>
  <c r="P70" i="99"/>
  <c r="Q64" i="99"/>
  <c r="M39" i="134"/>
  <c r="M45" i="134" s="1"/>
  <c r="K45" i="134"/>
  <c r="AC92" i="131" l="1"/>
  <c r="M23" i="134"/>
  <c r="Q23" i="134"/>
  <c r="Q29" i="134" s="1"/>
  <c r="S18" i="130" s="1"/>
  <c r="K55" i="134"/>
  <c r="K61" i="134" s="1"/>
  <c r="K29" i="134"/>
  <c r="U21" i="128" l="1"/>
  <c r="M55" i="134"/>
  <c r="M61" i="134" s="1"/>
  <c r="S23" i="134"/>
  <c r="M29" i="134"/>
  <c r="AR38" i="117" l="1"/>
  <c r="T46" i="53" l="1"/>
  <c r="I46" i="133"/>
  <c r="I45" i="133"/>
  <c r="T45" i="53"/>
  <c r="O45" i="133" l="1"/>
  <c r="O64" i="133" s="1"/>
  <c r="I64" i="133"/>
  <c r="O46" i="133"/>
  <c r="O65" i="133" s="1"/>
  <c r="I65" i="133"/>
  <c r="AI41" i="157"/>
  <c r="U41" i="157" s="1"/>
  <c r="AI40" i="157"/>
  <c r="U40" i="157" s="1"/>
  <c r="T44" i="53" l="1"/>
  <c r="T52" i="53" s="1"/>
  <c r="Q51" i="105" s="1"/>
  <c r="I44" i="133"/>
  <c r="S52" i="53"/>
  <c r="O44" i="133" l="1"/>
  <c r="I63" i="133"/>
  <c r="I71" i="133" s="1"/>
  <c r="I52" i="133"/>
  <c r="AI39" i="157" l="1"/>
  <c r="Q47" i="106"/>
  <c r="O63" i="133"/>
  <c r="O71" i="133" s="1"/>
  <c r="O52" i="133"/>
  <c r="Q50" i="105" l="1"/>
  <c r="U39" i="157"/>
  <c r="U47" i="157" s="1"/>
  <c r="AI47" i="157"/>
  <c r="AC26" i="9" l="1"/>
  <c r="AC25" i="9" l="1"/>
  <c r="AC28" i="9"/>
  <c r="AC27" i="9" l="1"/>
  <c r="AC30" i="9" l="1"/>
  <c r="AC29" i="9" l="1"/>
  <c r="AC33" i="9" l="1"/>
  <c r="AC31" i="9" l="1"/>
  <c r="AC32" i="9"/>
  <c r="AC34" i="9" l="1"/>
  <c r="AC45" i="9" s="1"/>
  <c r="AB45" i="9"/>
  <c r="Q44" i="107" l="1"/>
  <c r="W25" i="23" l="1"/>
  <c r="K25" i="56"/>
  <c r="K25" i="133" l="1"/>
  <c r="AG49" i="23" l="1"/>
  <c r="M25" i="133"/>
  <c r="M39" i="106"/>
  <c r="I39" i="67" l="1"/>
  <c r="Q48" i="107" l="1"/>
  <c r="Q49" i="107"/>
  <c r="Q46" i="107"/>
  <c r="Q47" i="107"/>
  <c r="K30" i="56" l="1"/>
  <c r="K30" i="133" s="1"/>
  <c r="W30" i="23"/>
  <c r="K29" i="56" l="1"/>
  <c r="K29" i="133" s="1"/>
  <c r="W29" i="23"/>
  <c r="K28" i="56"/>
  <c r="K28" i="133" s="1"/>
  <c r="Z28" i="56"/>
  <c r="W28" i="23"/>
  <c r="X28" i="23" s="1"/>
  <c r="AG54" i="23"/>
  <c r="M30" i="133"/>
  <c r="AG52" i="23" l="1"/>
  <c r="Q28" i="133"/>
  <c r="M28" i="133"/>
  <c r="M44" i="106"/>
  <c r="I44" i="67" s="1"/>
  <c r="K49" i="133"/>
  <c r="K49" i="56"/>
  <c r="W49" i="23"/>
  <c r="AG53" i="23"/>
  <c r="M29" i="133"/>
  <c r="M49" i="133" l="1"/>
  <c r="K68" i="133"/>
  <c r="S28" i="133"/>
  <c r="I42" i="157"/>
  <c r="M42" i="106"/>
  <c r="I42" i="67" s="1"/>
  <c r="M43" i="106"/>
  <c r="I43" i="67" s="1"/>
  <c r="X49" i="27" l="1"/>
  <c r="Y44" i="106"/>
  <c r="M44" i="67" s="1"/>
  <c r="K44" i="67" s="1"/>
  <c r="K27" i="56"/>
  <c r="K27" i="133" s="1"/>
  <c r="W27" i="23"/>
  <c r="X27" i="23" s="1"/>
  <c r="Z27" i="56"/>
  <c r="M68" i="133"/>
  <c r="AG51" i="23" l="1"/>
  <c r="Q27" i="133"/>
  <c r="M27" i="133"/>
  <c r="I41" i="157" l="1"/>
  <c r="M41" i="106"/>
  <c r="I41" i="67" s="1"/>
  <c r="S27" i="133"/>
  <c r="K48" i="133" l="1"/>
  <c r="W48" i="23"/>
  <c r="K48" i="56"/>
  <c r="M48" i="133" l="1"/>
  <c r="K67" i="133"/>
  <c r="M67" i="133" l="1"/>
  <c r="X48" i="27"/>
  <c r="Y43" i="106"/>
  <c r="M43" i="67" s="1"/>
  <c r="K43" i="67" s="1"/>
  <c r="BS61" i="92" l="1"/>
  <c r="BS60" i="92" l="1"/>
  <c r="BS59" i="92" l="1"/>
  <c r="BS64" i="92" l="1"/>
  <c r="BS65" i="92" l="1"/>
  <c r="BS62" i="92" l="1"/>
  <c r="BS63" i="92" l="1"/>
  <c r="BS70" i="92" s="1"/>
  <c r="BS28" i="92"/>
  <c r="U34" i="79" l="1"/>
  <c r="U35" i="79" l="1"/>
  <c r="U36" i="79" l="1"/>
  <c r="U37" i="79" l="1"/>
  <c r="Y36" i="106" l="1"/>
  <c r="M36" i="67" s="1"/>
  <c r="K36" i="67" s="1"/>
  <c r="U38" i="79"/>
  <c r="AC34" i="11" l="1"/>
  <c r="AE34" i="11" s="1"/>
  <c r="AG34" i="11" s="1"/>
  <c r="AC35" i="11"/>
  <c r="AE35" i="11" s="1"/>
  <c r="AG35" i="11" s="1"/>
  <c r="AG35" i="157"/>
  <c r="AR34" i="129"/>
  <c r="U39" i="79"/>
  <c r="AT34" i="129" l="1"/>
  <c r="AQ35" i="157"/>
  <c r="S35" i="157"/>
  <c r="AC35" i="157" s="1"/>
  <c r="AG36" i="157"/>
  <c r="AR35" i="129"/>
  <c r="AT35" i="129" s="1"/>
  <c r="Y35" i="106"/>
  <c r="U40" i="79"/>
  <c r="AR36" i="129" l="1"/>
  <c r="AT36" i="129" s="1"/>
  <c r="AG37" i="157"/>
  <c r="S37" i="157" s="1"/>
  <c r="AC37" i="11"/>
  <c r="AC36" i="11"/>
  <c r="AE36" i="11" s="1"/>
  <c r="AG36" i="11" s="1"/>
  <c r="AG46" i="11" s="1"/>
  <c r="S36" i="157"/>
  <c r="M35" i="67"/>
  <c r="S35" i="67" l="1"/>
  <c r="K35" i="67"/>
  <c r="Q35" i="67" s="1"/>
  <c r="AG38" i="157"/>
  <c r="AR37" i="129"/>
  <c r="AC38" i="11"/>
  <c r="U41" i="79"/>
  <c r="U46" i="79" s="1"/>
  <c r="E39" i="130" s="1"/>
  <c r="T46" i="79"/>
  <c r="E39" i="128" l="1"/>
  <c r="AG39" i="157"/>
  <c r="S39" i="157" s="1"/>
  <c r="AR38" i="129"/>
  <c r="AT38" i="129" s="1"/>
  <c r="AT37" i="129"/>
  <c r="AC39" i="11"/>
  <c r="S38" i="157"/>
  <c r="AG40" i="157" l="1"/>
  <c r="S40" i="157" s="1"/>
  <c r="AR39" i="129"/>
  <c r="AT39" i="129" s="1"/>
  <c r="AC40" i="11"/>
  <c r="G48" i="13"/>
  <c r="AR40" i="129" l="1"/>
  <c r="AT40" i="129" s="1"/>
  <c r="AG41" i="157"/>
  <c r="S41" i="157" l="1"/>
  <c r="AR41" i="129"/>
  <c r="AG42" i="157"/>
  <c r="AN46" i="129"/>
  <c r="O48" i="129" s="1"/>
  <c r="AC41" i="11"/>
  <c r="AB46" i="11"/>
  <c r="AC46" i="11" s="1"/>
  <c r="O47" i="106" l="1"/>
  <c r="S42" i="157"/>
  <c r="S47" i="157" s="1"/>
  <c r="AG47" i="157"/>
  <c r="AT41" i="129"/>
  <c r="AT46" i="129" s="1"/>
  <c r="O51" i="105" s="1"/>
  <c r="AR46" i="129"/>
  <c r="O50" i="105" l="1"/>
  <c r="K46" i="133" l="1"/>
  <c r="W46" i="23"/>
  <c r="X46" i="23" s="1"/>
  <c r="K46" i="56"/>
  <c r="Z46" i="56"/>
  <c r="K44" i="56"/>
  <c r="Z44" i="56"/>
  <c r="W44" i="23"/>
  <c r="X44" i="23" s="1"/>
  <c r="K44" i="133"/>
  <c r="K47" i="133"/>
  <c r="Z47" i="56"/>
  <c r="K47" i="56"/>
  <c r="W47" i="23"/>
  <c r="X47" i="23" s="1"/>
  <c r="K43" i="56"/>
  <c r="Z43" i="56"/>
  <c r="W43" i="23"/>
  <c r="X43" i="23" s="1"/>
  <c r="K43" i="133"/>
  <c r="Q47" i="133" l="1"/>
  <c r="Q66" i="133" s="1"/>
  <c r="M47" i="133"/>
  <c r="K66" i="133"/>
  <c r="Q43" i="133"/>
  <c r="K62" i="133"/>
  <c r="M43" i="133"/>
  <c r="Q44" i="133"/>
  <c r="M44" i="133"/>
  <c r="K63" i="133"/>
  <c r="K42" i="133"/>
  <c r="K42" i="56"/>
  <c r="Z42" i="56"/>
  <c r="W42" i="23"/>
  <c r="Q46" i="133"/>
  <c r="Q65" i="133" s="1"/>
  <c r="M46" i="133"/>
  <c r="K65" i="133"/>
  <c r="Q42" i="133" l="1"/>
  <c r="K61" i="133"/>
  <c r="M42" i="133"/>
  <c r="AK41" i="157"/>
  <c r="X46" i="27"/>
  <c r="Y46" i="27" s="1"/>
  <c r="S46" i="27" s="1"/>
  <c r="Y41" i="106"/>
  <c r="M41" i="67" s="1"/>
  <c r="K41" i="67" s="1"/>
  <c r="S44" i="133"/>
  <c r="M63" i="133"/>
  <c r="S43" i="133"/>
  <c r="M62" i="133"/>
  <c r="X43" i="27"/>
  <c r="AK38" i="157"/>
  <c r="Y38" i="106"/>
  <c r="M38" i="67" s="1"/>
  <c r="K38" i="67" s="1"/>
  <c r="S46" i="133"/>
  <c r="S65" i="133" s="1"/>
  <c r="M65" i="133"/>
  <c r="X44" i="27"/>
  <c r="AK39" i="157"/>
  <c r="Y39" i="106"/>
  <c r="M39" i="67" s="1"/>
  <c r="K39" i="67" s="1"/>
  <c r="S47" i="133"/>
  <c r="S66" i="133" s="1"/>
  <c r="M66" i="133"/>
  <c r="AK42" i="157"/>
  <c r="X47" i="27"/>
  <c r="Y47" i="27" s="1"/>
  <c r="S47" i="27" s="1"/>
  <c r="X42" i="23"/>
  <c r="AK37" i="157" l="1"/>
  <c r="X42" i="27"/>
  <c r="Y37" i="106"/>
  <c r="W42" i="157"/>
  <c r="W41" i="157"/>
  <c r="S42" i="133"/>
  <c r="M61" i="133"/>
  <c r="Q61" i="133"/>
  <c r="S61" i="133" l="1"/>
  <c r="M37" i="67"/>
  <c r="Y42" i="27"/>
  <c r="S42" i="27" s="1"/>
  <c r="W37" i="157"/>
  <c r="K37" i="67" l="1"/>
  <c r="Q45" i="107" l="1"/>
  <c r="Q52" i="107" s="1"/>
  <c r="O53" i="107"/>
  <c r="O52" i="107"/>
  <c r="W26" i="23" l="1"/>
  <c r="Z26" i="56"/>
  <c r="K26" i="56"/>
  <c r="Y33" i="56"/>
  <c r="K26" i="133" l="1"/>
  <c r="K33" i="56"/>
  <c r="X26" i="23"/>
  <c r="W33" i="23"/>
  <c r="I40" i="157" l="1"/>
  <c r="M40" i="106"/>
  <c r="G47" i="106"/>
  <c r="AG50" i="23"/>
  <c r="Q26" i="133"/>
  <c r="M26" i="133"/>
  <c r="K33" i="133"/>
  <c r="S26" i="133" l="1"/>
  <c r="M33" i="133"/>
  <c r="G50" i="105"/>
  <c r="I40" i="67"/>
  <c r="I46" i="67" s="1"/>
  <c r="M47" i="106"/>
  <c r="M50" i="105" s="1"/>
  <c r="K45" i="133"/>
  <c r="Z45" i="56"/>
  <c r="K45" i="56"/>
  <c r="K52" i="56" s="1"/>
  <c r="W45" i="23"/>
  <c r="Y52" i="56"/>
  <c r="Q45" i="133" l="1"/>
  <c r="M45" i="133"/>
  <c r="K52" i="133"/>
  <c r="K64" i="133"/>
  <c r="K71" i="133" s="1"/>
  <c r="X45" i="23"/>
  <c r="W52" i="23"/>
  <c r="X45" i="27" l="1"/>
  <c r="AK40" i="157"/>
  <c r="Y40" i="106"/>
  <c r="M40" i="67" s="1"/>
  <c r="K40" i="67" s="1"/>
  <c r="S47" i="106"/>
  <c r="S45" i="133"/>
  <c r="M52" i="133"/>
  <c r="M64" i="133"/>
  <c r="M71" i="133" s="1"/>
  <c r="Q64" i="133"/>
  <c r="S64" i="133" l="1"/>
  <c r="S50" i="105"/>
  <c r="W40" i="157"/>
  <c r="Y45" i="27"/>
  <c r="X52" i="27"/>
  <c r="S45" i="27" l="1"/>
  <c r="AQ42" i="117" l="1"/>
  <c r="AQ56" i="117" l="1"/>
  <c r="W47" i="106" l="1"/>
  <c r="W50" i="105" s="1"/>
  <c r="Y42" i="106"/>
  <c r="M42" i="67" l="1"/>
  <c r="Y47" i="106"/>
  <c r="Y50" i="105" s="1"/>
  <c r="K42" i="67" l="1"/>
  <c r="K46" i="67" s="1"/>
  <c r="M46" i="67"/>
  <c r="U26" i="116" l="1"/>
  <c r="U93" i="116"/>
  <c r="U24" i="116"/>
  <c r="U91" i="116"/>
  <c r="U92" i="116" l="1"/>
  <c r="U25" i="116"/>
  <c r="E24" i="117"/>
  <c r="AK24" i="116"/>
  <c r="AK26" i="116"/>
  <c r="E26" i="117"/>
  <c r="U26" i="166"/>
  <c r="U92" i="166" l="1"/>
  <c r="U25" i="166"/>
  <c r="W24" i="116"/>
  <c r="W91" i="116"/>
  <c r="Y66" i="116"/>
  <c r="Y91" i="116" s="1"/>
  <c r="U26" i="117"/>
  <c r="AK26" i="166"/>
  <c r="AK68" i="166" s="1"/>
  <c r="Z53" i="131" s="1"/>
  <c r="AI45" i="105"/>
  <c r="E54" i="117"/>
  <c r="AZ45" i="105" s="1"/>
  <c r="T53" i="131"/>
  <c r="AK68" i="116"/>
  <c r="T51" i="131"/>
  <c r="AK66" i="116"/>
  <c r="Y68" i="116"/>
  <c r="Y93" i="116" s="1"/>
  <c r="W93" i="116"/>
  <c r="W26" i="116"/>
  <c r="E52" i="117"/>
  <c r="AZ43" i="105" s="1"/>
  <c r="K26" i="161"/>
  <c r="I24" i="20"/>
  <c r="K24" i="20" s="1"/>
  <c r="O24" i="20" s="1"/>
  <c r="AI43" i="105"/>
  <c r="E25" i="117"/>
  <c r="AK25" i="116"/>
  <c r="U91" i="166"/>
  <c r="U24" i="166"/>
  <c r="BI44" i="105"/>
  <c r="BI43" i="105"/>
  <c r="BI45" i="105"/>
  <c r="E27" i="131" l="1"/>
  <c r="T52" i="131"/>
  <c r="AK67" i="116"/>
  <c r="AK24" i="166"/>
  <c r="U24" i="117"/>
  <c r="Y67" i="116"/>
  <c r="Y92" i="116" s="1"/>
  <c r="W25" i="116"/>
  <c r="W92" i="116"/>
  <c r="I25" i="20"/>
  <c r="K25" i="20" s="1"/>
  <c r="O25" i="20" s="1"/>
  <c r="K27" i="161"/>
  <c r="E53" i="117"/>
  <c r="AZ44" i="105" s="1"/>
  <c r="AI44" i="105"/>
  <c r="K41" i="161"/>
  <c r="W26" i="161"/>
  <c r="U54" i="117"/>
  <c r="BA45" i="105" s="1"/>
  <c r="BC45" i="105" s="1"/>
  <c r="AJ45" i="105"/>
  <c r="AL45" i="105" s="1"/>
  <c r="Y26" i="116"/>
  <c r="AO26" i="116" s="1"/>
  <c r="AO68" i="116" s="1"/>
  <c r="AM26" i="116"/>
  <c r="G26" i="117"/>
  <c r="AM24" i="116"/>
  <c r="Y24" i="116"/>
  <c r="AO24" i="116" s="1"/>
  <c r="AO66" i="116" s="1"/>
  <c r="G24" i="117"/>
  <c r="U25" i="117"/>
  <c r="AK25" i="166"/>
  <c r="BB26" i="84"/>
  <c r="BB24" i="84"/>
  <c r="W26" i="166"/>
  <c r="AI83" i="105" l="1"/>
  <c r="I24" i="117"/>
  <c r="I40" i="20"/>
  <c r="K40" i="20" s="1"/>
  <c r="O40" i="20" s="1"/>
  <c r="I26" i="161"/>
  <c r="U51" i="131"/>
  <c r="AM66" i="116"/>
  <c r="W27" i="161"/>
  <c r="K42" i="161"/>
  <c r="W24" i="166"/>
  <c r="W91" i="166"/>
  <c r="AD24" i="84"/>
  <c r="BE24" i="84"/>
  <c r="BE66" i="84" s="1"/>
  <c r="AD26" i="84"/>
  <c r="BE26" i="84"/>
  <c r="BE68" i="84" s="1"/>
  <c r="I26" i="117"/>
  <c r="AI85" i="105"/>
  <c r="U53" i="131"/>
  <c r="AM68" i="116"/>
  <c r="G25" i="117"/>
  <c r="Y25" i="116"/>
  <c r="AO25" i="116" s="1"/>
  <c r="AO67" i="116" s="1"/>
  <c r="AM25" i="116"/>
  <c r="W92" i="166"/>
  <c r="W25" i="166"/>
  <c r="E45" i="16"/>
  <c r="Q45" i="16" s="1"/>
  <c r="AJ43" i="105"/>
  <c r="AL43" i="105" s="1"/>
  <c r="G26" i="164"/>
  <c r="I24" i="73"/>
  <c r="K24" i="73" s="1"/>
  <c r="O24" i="73" s="1"/>
  <c r="U52" i="117"/>
  <c r="BA43" i="105" s="1"/>
  <c r="BC43" i="105" s="1"/>
  <c r="E45" i="17"/>
  <c r="Q45" i="17" s="1"/>
  <c r="BJ45" i="105"/>
  <c r="BF45" i="105"/>
  <c r="Z51" i="131"/>
  <c r="AK66" i="166"/>
  <c r="AK67" i="166"/>
  <c r="Z52" i="131"/>
  <c r="AG52" i="131" s="1"/>
  <c r="W41" i="161"/>
  <c r="AM26" i="166"/>
  <c r="Y26" i="166"/>
  <c r="W26" i="117"/>
  <c r="AJ44" i="105"/>
  <c r="AL44" i="105" s="1"/>
  <c r="U53" i="117"/>
  <c r="BA44" i="105" s="1"/>
  <c r="BC44" i="105" s="1"/>
  <c r="G27" i="164"/>
  <c r="I25" i="73"/>
  <c r="K25" i="73" s="1"/>
  <c r="O25" i="73" s="1"/>
  <c r="BB25" i="84"/>
  <c r="BI84" i="105"/>
  <c r="BI85" i="105"/>
  <c r="AO44" i="105"/>
  <c r="AO43" i="105"/>
  <c r="BI83" i="105"/>
  <c r="AO45" i="105"/>
  <c r="E44" i="17" l="1"/>
  <c r="Q44" i="17" s="1"/>
  <c r="BF44" i="105"/>
  <c r="BJ44" i="105"/>
  <c r="AM67" i="116"/>
  <c r="U52" i="131"/>
  <c r="E44" i="16"/>
  <c r="Q44" i="16" s="1"/>
  <c r="AN44" i="105"/>
  <c r="I25" i="117"/>
  <c r="I27" i="161"/>
  <c r="I41" i="20"/>
  <c r="K41" i="20" s="1"/>
  <c r="O41" i="20" s="1"/>
  <c r="AI84" i="105"/>
  <c r="AG51" i="131"/>
  <c r="E25" i="131"/>
  <c r="D122" i="140" s="1"/>
  <c r="Y26" i="117"/>
  <c r="AJ85" i="105"/>
  <c r="AJ135" i="105" s="1"/>
  <c r="BF43" i="105"/>
  <c r="BJ43" i="105"/>
  <c r="E43" i="17"/>
  <c r="Q43" i="17" s="1"/>
  <c r="AO26" i="166"/>
  <c r="AO68" i="166" s="1"/>
  <c r="Y68" i="166"/>
  <c r="O24" i="84"/>
  <c r="AD66" i="84"/>
  <c r="AG24" i="84"/>
  <c r="AG66" i="84" s="1"/>
  <c r="AM68" i="166"/>
  <c r="AA53" i="131"/>
  <c r="G27" i="131" s="1"/>
  <c r="S26" i="164"/>
  <c r="G41" i="164"/>
  <c r="G26" i="163"/>
  <c r="S26" i="163" s="1"/>
  <c r="S27" i="164"/>
  <c r="G42" i="164"/>
  <c r="S42" i="164" s="1"/>
  <c r="E43" i="16"/>
  <c r="Q43" i="16" s="1"/>
  <c r="AN43" i="105"/>
  <c r="AI135" i="105"/>
  <c r="AL85" i="105"/>
  <c r="U26" i="161"/>
  <c r="AN45" i="105"/>
  <c r="AM24" i="166"/>
  <c r="W24" i="117"/>
  <c r="Y24" i="166"/>
  <c r="S24" i="166"/>
  <c r="BE25" i="84"/>
  <c r="BE67" i="84" s="1"/>
  <c r="AD25" i="84"/>
  <c r="G27" i="163"/>
  <c r="S27" i="163" s="1"/>
  <c r="E26" i="131"/>
  <c r="D123" i="140" s="1"/>
  <c r="W25" i="117"/>
  <c r="AM25" i="166"/>
  <c r="Y25" i="166"/>
  <c r="S25" i="166"/>
  <c r="O26" i="84"/>
  <c r="AG26" i="84"/>
  <c r="W42" i="161"/>
  <c r="G42" i="163"/>
  <c r="S42" i="163" s="1"/>
  <c r="AI133" i="105"/>
  <c r="BE43" i="105"/>
  <c r="CE25" i="92"/>
  <c r="BE45" i="105"/>
  <c r="CE26" i="92"/>
  <c r="CE24" i="92"/>
  <c r="BE44" i="105"/>
  <c r="AO85" i="105"/>
  <c r="AO83" i="105"/>
  <c r="AO84" i="105"/>
  <c r="O25" i="84" l="1"/>
  <c r="AG25" i="84"/>
  <c r="AG67" i="84" s="1"/>
  <c r="AD67" i="84"/>
  <c r="O66" i="84"/>
  <c r="G38" i="117"/>
  <c r="CH25" i="92"/>
  <c r="AP25" i="92"/>
  <c r="AW25" i="92"/>
  <c r="AC24" i="166"/>
  <c r="S24" i="117"/>
  <c r="S66" i="166"/>
  <c r="S91" i="166" s="1"/>
  <c r="AI24" i="166"/>
  <c r="AO24" i="166"/>
  <c r="AO66" i="166" s="1"/>
  <c r="Y66" i="166"/>
  <c r="Y91" i="166" s="1"/>
  <c r="AI134" i="105"/>
  <c r="O68" i="84"/>
  <c r="G40" i="117"/>
  <c r="Y24" i="117"/>
  <c r="AJ83" i="105"/>
  <c r="E26" i="164"/>
  <c r="I40" i="73"/>
  <c r="K40" i="73" s="1"/>
  <c r="O40" i="73" s="1"/>
  <c r="S25" i="117"/>
  <c r="AC25" i="166"/>
  <c r="AI25" i="166"/>
  <c r="S67" i="166"/>
  <c r="S92" i="166" s="1"/>
  <c r="AM66" i="166"/>
  <c r="AA51" i="131"/>
  <c r="U27" i="161"/>
  <c r="AP24" i="92"/>
  <c r="CH24" i="92"/>
  <c r="AW24" i="92"/>
  <c r="Y67" i="166"/>
  <c r="Y92" i="166" s="1"/>
  <c r="AO25" i="166"/>
  <c r="AO67" i="166" s="1"/>
  <c r="AP26" i="92"/>
  <c r="AW26" i="92"/>
  <c r="CH26" i="92"/>
  <c r="AA52" i="131"/>
  <c r="G26" i="131" s="1"/>
  <c r="AM67" i="166"/>
  <c r="AJ84" i="105"/>
  <c r="AJ134" i="105" s="1"/>
  <c r="Y25" i="117"/>
  <c r="E27" i="164"/>
  <c r="E27" i="163" s="1"/>
  <c r="Q27" i="163" s="1"/>
  <c r="I41" i="73"/>
  <c r="K41" i="73" s="1"/>
  <c r="O41" i="73" s="1"/>
  <c r="AN85" i="105"/>
  <c r="AL135" i="105"/>
  <c r="G45" i="16"/>
  <c r="S41" i="164"/>
  <c r="G41" i="163"/>
  <c r="S41" i="163" s="1"/>
  <c r="AI52" i="131" l="1"/>
  <c r="I38" i="117"/>
  <c r="G40" i="82"/>
  <c r="I40" i="82" s="1"/>
  <c r="M40" i="82" s="1"/>
  <c r="G52" i="117"/>
  <c r="I41" i="161"/>
  <c r="AI66" i="166"/>
  <c r="X51" i="131"/>
  <c r="AI51" i="131"/>
  <c r="G25" i="131"/>
  <c r="I40" i="117"/>
  <c r="G54" i="117"/>
  <c r="K43" i="105"/>
  <c r="AA24" i="117"/>
  <c r="G38" i="158" s="1"/>
  <c r="AR24" i="117"/>
  <c r="S52" i="117"/>
  <c r="AS26" i="92"/>
  <c r="S26" i="92"/>
  <c r="AP68" i="92"/>
  <c r="BE88" i="91"/>
  <c r="AW66" i="92"/>
  <c r="AL84" i="105"/>
  <c r="AC66" i="166"/>
  <c r="AC91" i="166" s="1"/>
  <c r="AS24" i="166"/>
  <c r="AS66" i="166" s="1"/>
  <c r="O67" i="84"/>
  <c r="G39" i="117"/>
  <c r="Q27" i="164"/>
  <c r="AI67" i="166"/>
  <c r="X52" i="131"/>
  <c r="AW67" i="92"/>
  <c r="BE89" i="91"/>
  <c r="S45" i="16"/>
  <c r="S24" i="92"/>
  <c r="U24" i="92" s="1"/>
  <c r="AS24" i="92"/>
  <c r="AP66" i="92"/>
  <c r="AS25" i="166"/>
  <c r="AS67" i="166" s="1"/>
  <c r="AC67" i="166"/>
  <c r="AC92" i="166" s="1"/>
  <c r="Q26" i="164"/>
  <c r="E26" i="163"/>
  <c r="Q26" i="163" s="1"/>
  <c r="AS25" i="92"/>
  <c r="S25" i="92"/>
  <c r="U25" i="92" s="1"/>
  <c r="AP67" i="92"/>
  <c r="AA25" i="117"/>
  <c r="G39" i="158" s="1"/>
  <c r="K44" i="105"/>
  <c r="AR25" i="117"/>
  <c r="S53" i="117"/>
  <c r="AJ133" i="105"/>
  <c r="AL83" i="105"/>
  <c r="W24" i="92" l="1"/>
  <c r="W66" i="92" s="1"/>
  <c r="U66" i="92"/>
  <c r="Y24" i="115"/>
  <c r="AC24" i="115" s="1"/>
  <c r="AA24" i="92"/>
  <c r="AA66" i="92" s="1"/>
  <c r="M44" i="157"/>
  <c r="K195" i="105"/>
  <c r="S68" i="92"/>
  <c r="K194" i="105"/>
  <c r="M43" i="157"/>
  <c r="G82" i="158"/>
  <c r="G125" i="158" s="1"/>
  <c r="U26" i="92"/>
  <c r="AG26" i="92" s="1"/>
  <c r="AG68" i="92" s="1"/>
  <c r="W44" i="105"/>
  <c r="AC53" i="117"/>
  <c r="AR53" i="117"/>
  <c r="I54" i="117"/>
  <c r="AZ85" i="105"/>
  <c r="U41" i="161"/>
  <c r="AZ83" i="105"/>
  <c r="I52" i="117"/>
  <c r="G44" i="16"/>
  <c r="AL134" i="105"/>
  <c r="AN84" i="105"/>
  <c r="BE123" i="91"/>
  <c r="BM123" i="91" s="1"/>
  <c r="BM89" i="91"/>
  <c r="BF89" i="91"/>
  <c r="E41" i="134"/>
  <c r="AB51" i="131"/>
  <c r="AH38" i="158" s="1"/>
  <c r="G81" i="158"/>
  <c r="Y25" i="115"/>
  <c r="AC25" i="115" s="1"/>
  <c r="AA25" i="92"/>
  <c r="AA67" i="92" s="1"/>
  <c r="U67" i="92"/>
  <c r="W25" i="92"/>
  <c r="W67" i="92" s="1"/>
  <c r="S66" i="92"/>
  <c r="AC24" i="92"/>
  <c r="AC66" i="92" s="1"/>
  <c r="Y24" i="92"/>
  <c r="Y66" i="92" s="1"/>
  <c r="AG24" i="92"/>
  <c r="AG66" i="92" s="1"/>
  <c r="W38" i="117"/>
  <c r="BF88" i="91"/>
  <c r="BE122" i="91"/>
  <c r="BM122" i="91" s="1"/>
  <c r="BM88" i="91"/>
  <c r="G43" i="16"/>
  <c r="AN83" i="105"/>
  <c r="AL133" i="105"/>
  <c r="AB52" i="131"/>
  <c r="AH39" i="158" s="1"/>
  <c r="V39" i="158" s="1"/>
  <c r="E42" i="134"/>
  <c r="AC25" i="92"/>
  <c r="AC67" i="92" s="1"/>
  <c r="S67" i="92"/>
  <c r="Y25" i="92"/>
  <c r="Y67" i="92" s="1"/>
  <c r="W39" i="117"/>
  <c r="G39" i="98" s="1"/>
  <c r="I39" i="98" s="1"/>
  <c r="AG25" i="92"/>
  <c r="AG67" i="92" s="1"/>
  <c r="I39" i="117"/>
  <c r="G41" i="82"/>
  <c r="I41" i="82" s="1"/>
  <c r="M41" i="82" s="1"/>
  <c r="G53" i="117"/>
  <c r="I42" i="161"/>
  <c r="AC52" i="117"/>
  <c r="W43" i="105"/>
  <c r="AR52" i="117"/>
  <c r="AA26" i="92" l="1"/>
  <c r="AA68" i="92" s="1"/>
  <c r="W26" i="92"/>
  <c r="W68" i="92" s="1"/>
  <c r="Y26" i="115"/>
  <c r="AC26" i="115" s="1"/>
  <c r="U68" i="92"/>
  <c r="AZ123" i="105"/>
  <c r="W40" i="117"/>
  <c r="V38" i="158"/>
  <c r="AC26" i="92"/>
  <c r="AC68" i="92" s="1"/>
  <c r="U42" i="161"/>
  <c r="Q41" i="134"/>
  <c r="Q57" i="134" s="1"/>
  <c r="E57" i="134"/>
  <c r="W195" i="105"/>
  <c r="K110" i="105"/>
  <c r="AO44" i="157"/>
  <c r="S44" i="16"/>
  <c r="V82" i="158"/>
  <c r="AH82" i="158" s="1"/>
  <c r="Q42" i="134"/>
  <c r="Q58" i="134" s="1"/>
  <c r="E58" i="134"/>
  <c r="BF122" i="91"/>
  <c r="BN122" i="91" s="1"/>
  <c r="BN88" i="91"/>
  <c r="G40" i="81"/>
  <c r="I40" i="81" s="1"/>
  <c r="M40" i="81" s="1"/>
  <c r="Y38" i="117"/>
  <c r="AA38" i="117"/>
  <c r="W52" i="117"/>
  <c r="G38" i="98"/>
  <c r="E41" i="164"/>
  <c r="G124" i="158"/>
  <c r="AZ125" i="105"/>
  <c r="W194" i="105"/>
  <c r="K109" i="105"/>
  <c r="AO43" i="157"/>
  <c r="AZ84" i="105"/>
  <c r="I53" i="117"/>
  <c r="G41" i="81"/>
  <c r="I41" i="81" s="1"/>
  <c r="M41" i="81" s="1"/>
  <c r="Y39" i="117"/>
  <c r="AA39" i="117"/>
  <c r="W53" i="117"/>
  <c r="E42" i="164"/>
  <c r="Q42" i="164" s="1"/>
  <c r="S43" i="16"/>
  <c r="BF123" i="91"/>
  <c r="BN123" i="91" s="1"/>
  <c r="BN89" i="91"/>
  <c r="Y26" i="92"/>
  <c r="Y68" i="92" s="1"/>
  <c r="AA43" i="157" l="1"/>
  <c r="V125" i="158"/>
  <c r="AH125" i="158" s="1"/>
  <c r="Y40" i="117"/>
  <c r="W54" i="117"/>
  <c r="E42" i="163"/>
  <c r="Q42" i="163" s="1"/>
  <c r="AZ124" i="105"/>
  <c r="AA44" i="157"/>
  <c r="Q41" i="164"/>
  <c r="E41" i="163"/>
  <c r="Q41" i="163" s="1"/>
  <c r="I38" i="98"/>
  <c r="BA83" i="105"/>
  <c r="Y52" i="117"/>
  <c r="AA52" i="117"/>
  <c r="Y53" i="117"/>
  <c r="BA84" i="105"/>
  <c r="BA124" i="105" s="1"/>
  <c r="AA53" i="117"/>
  <c r="V81" i="158"/>
  <c r="BA123" i="105" l="1"/>
  <c r="BC123" i="105" s="1"/>
  <c r="BC83" i="105"/>
  <c r="AE39" i="158"/>
  <c r="S39" i="158" s="1"/>
  <c r="O123" i="124"/>
  <c r="O83" i="124" s="1"/>
  <c r="N83" i="124" s="1"/>
  <c r="BC84" i="105"/>
  <c r="BA85" i="105"/>
  <c r="Y54" i="117"/>
  <c r="BC124" i="105"/>
  <c r="AH81" i="158"/>
  <c r="V124" i="158"/>
  <c r="O122" i="124"/>
  <c r="O82" i="124" s="1"/>
  <c r="AE38" i="158"/>
  <c r="AH124" i="158" l="1"/>
  <c r="S38" i="158"/>
  <c r="M83" i="124"/>
  <c r="Q83" i="124"/>
  <c r="Q123" i="124" s="1"/>
  <c r="N123" i="124"/>
  <c r="S82" i="158"/>
  <c r="AE82" i="158" s="1"/>
  <c r="BA125" i="105"/>
  <c r="BC125" i="105" s="1"/>
  <c r="BC85" i="105"/>
  <c r="N82" i="124"/>
  <c r="M82" i="124" s="1"/>
  <c r="BE84" i="105"/>
  <c r="G44" i="17"/>
  <c r="BJ84" i="105"/>
  <c r="BJ83" i="105"/>
  <c r="BE83" i="105"/>
  <c r="G43" i="17"/>
  <c r="S125" i="158" l="1"/>
  <c r="AE125" i="158" s="1"/>
  <c r="S43" i="17"/>
  <c r="P82" i="124"/>
  <c r="M122" i="124"/>
  <c r="S81" i="158"/>
  <c r="S124" i="158" s="1"/>
  <c r="G45" i="17"/>
  <c r="BJ85" i="105"/>
  <c r="BE85" i="105"/>
  <c r="P83" i="124"/>
  <c r="M123" i="124"/>
  <c r="S44" i="17"/>
  <c r="Q82" i="124"/>
  <c r="Q122" i="124" s="1"/>
  <c r="N122" i="124"/>
  <c r="AE124" i="158" l="1"/>
  <c r="AE81" i="158"/>
  <c r="R83" i="124"/>
  <c r="P123" i="124"/>
  <c r="R82" i="124"/>
  <c r="P122" i="124"/>
  <c r="S45" i="17"/>
  <c r="V83" i="124" l="1"/>
  <c r="R123" i="124"/>
  <c r="V82" i="124"/>
  <c r="R122" i="124"/>
  <c r="AA75" i="130" l="1"/>
  <c r="U16" i="116"/>
  <c r="E16" i="117" s="1"/>
  <c r="U87" i="116" l="1"/>
  <c r="U20" i="116"/>
  <c r="E44" i="117"/>
  <c r="AI34" i="105"/>
  <c r="I16" i="20"/>
  <c r="K18" i="161"/>
  <c r="BI31" i="105"/>
  <c r="BJ31" i="105" s="1"/>
  <c r="BI29" i="105"/>
  <c r="BJ29" i="105" s="1"/>
  <c r="W18" i="161" l="1"/>
  <c r="G18" i="163"/>
  <c r="S18" i="163" s="1"/>
  <c r="K33" i="161"/>
  <c r="K16" i="20"/>
  <c r="U88" i="116"/>
  <c r="U21" i="116"/>
  <c r="AL34" i="105"/>
  <c r="U70" i="116"/>
  <c r="U84" i="116"/>
  <c r="U17" i="116"/>
  <c r="E20" i="117"/>
  <c r="AK20" i="116"/>
  <c r="U86" i="166"/>
  <c r="U19" i="166"/>
  <c r="U19" i="116"/>
  <c r="U86" i="116"/>
  <c r="U23" i="116"/>
  <c r="U90" i="116"/>
  <c r="U89" i="116"/>
  <c r="U22" i="116"/>
  <c r="U18" i="116"/>
  <c r="U85" i="116"/>
  <c r="BI24" i="105"/>
  <c r="BJ24" i="105" s="1"/>
  <c r="BI35" i="105"/>
  <c r="BJ35" i="105" s="1"/>
  <c r="BI32" i="105"/>
  <c r="BJ32" i="105" s="1"/>
  <c r="BI34" i="105"/>
  <c r="BI33" i="105"/>
  <c r="BJ33" i="105" s="1"/>
  <c r="BI30" i="105"/>
  <c r="BJ30" i="105" s="1"/>
  <c r="BI26" i="105"/>
  <c r="BJ26" i="105" s="1"/>
  <c r="BI28" i="105"/>
  <c r="BJ28" i="105" s="1"/>
  <c r="BI25" i="105"/>
  <c r="BJ25" i="105" s="1"/>
  <c r="BI27" i="105"/>
  <c r="BJ27" i="105" s="1"/>
  <c r="AO36" i="105"/>
  <c r="BG47" i="105" l="1"/>
  <c r="U22" i="166"/>
  <c r="U89" i="166"/>
  <c r="W18" i="116"/>
  <c r="Y60" i="116"/>
  <c r="W85" i="116"/>
  <c r="U84" i="166"/>
  <c r="U70" i="166"/>
  <c r="U17" i="166"/>
  <c r="E23" i="117"/>
  <c r="AK23" i="116"/>
  <c r="E21" i="117"/>
  <c r="AK21" i="116"/>
  <c r="Y62" i="116"/>
  <c r="W87" i="116"/>
  <c r="W20" i="116"/>
  <c r="W84" i="116"/>
  <c r="W70" i="116"/>
  <c r="W17" i="116"/>
  <c r="Y45" i="116"/>
  <c r="AO42" i="105"/>
  <c r="AK19" i="116"/>
  <c r="E19" i="117"/>
  <c r="BI23" i="105"/>
  <c r="BJ23" i="105" s="1"/>
  <c r="Y58" i="116"/>
  <c r="W16" i="116"/>
  <c r="G16" i="117" s="1"/>
  <c r="W88" i="116"/>
  <c r="W21" i="116"/>
  <c r="Y63" i="116"/>
  <c r="Y88" i="116" s="1"/>
  <c r="U90" i="166"/>
  <c r="U23" i="166"/>
  <c r="U19" i="117"/>
  <c r="AK19" i="166"/>
  <c r="O16" i="20"/>
  <c r="BI38" i="105"/>
  <c r="T47" i="131"/>
  <c r="AK62" i="116"/>
  <c r="U20" i="166"/>
  <c r="U87" i="166"/>
  <c r="K22" i="161"/>
  <c r="AI39" i="105"/>
  <c r="E48" i="117"/>
  <c r="AZ39" i="105" s="1"/>
  <c r="I20" i="20"/>
  <c r="K20" i="20" s="1"/>
  <c r="O20" i="20" s="1"/>
  <c r="W33" i="161"/>
  <c r="G33" i="163"/>
  <c r="S33" i="163" s="1"/>
  <c r="E34" i="16"/>
  <c r="U18" i="166"/>
  <c r="U85" i="166"/>
  <c r="AK17" i="116"/>
  <c r="E17" i="117"/>
  <c r="U28" i="116"/>
  <c r="W89" i="116"/>
  <c r="W22" i="116"/>
  <c r="Y64" i="116"/>
  <c r="U21" i="166"/>
  <c r="U88" i="166"/>
  <c r="W86" i="116"/>
  <c r="Y61" i="116"/>
  <c r="W19" i="116"/>
  <c r="AK18" i="116"/>
  <c r="E18" i="117"/>
  <c r="W23" i="116"/>
  <c r="W90" i="116"/>
  <c r="Y65" i="116"/>
  <c r="Y90" i="116" s="1"/>
  <c r="E22" i="117"/>
  <c r="AK22" i="116"/>
  <c r="BI41" i="105"/>
  <c r="BI42" i="105"/>
  <c r="BI39" i="105"/>
  <c r="BI37" i="105"/>
  <c r="BI40" i="105"/>
  <c r="BI36" i="105"/>
  <c r="AO37" i="105"/>
  <c r="AO40" i="105"/>
  <c r="AO34" i="105"/>
  <c r="AO39" i="105"/>
  <c r="AO41" i="105"/>
  <c r="AO38" i="105"/>
  <c r="AN30" i="105" l="1"/>
  <c r="AO30" i="105"/>
  <c r="Q34" i="16"/>
  <c r="I21" i="20"/>
  <c r="K21" i="20" s="1"/>
  <c r="O21" i="20" s="1"/>
  <c r="K23" i="161"/>
  <c r="E49" i="117"/>
  <c r="AZ40" i="105" s="1"/>
  <c r="AI40" i="105"/>
  <c r="W18" i="166"/>
  <c r="W85" i="166"/>
  <c r="AN28" i="105"/>
  <c r="AO28" i="105"/>
  <c r="AN26" i="105"/>
  <c r="AO26" i="105"/>
  <c r="AO29" i="105"/>
  <c r="AN29" i="105"/>
  <c r="AO27" i="105"/>
  <c r="AN27" i="105"/>
  <c r="U21" i="117"/>
  <c r="AK21" i="166"/>
  <c r="E47" i="117"/>
  <c r="AZ38" i="105" s="1"/>
  <c r="I19" i="20"/>
  <c r="K19" i="20" s="1"/>
  <c r="O19" i="20" s="1"/>
  <c r="K21" i="161"/>
  <c r="AI38" i="105"/>
  <c r="AK65" i="116"/>
  <c r="T50" i="131"/>
  <c r="AN25" i="105"/>
  <c r="AO25" i="105"/>
  <c r="E51" i="117"/>
  <c r="AZ42" i="105" s="1"/>
  <c r="I23" i="20"/>
  <c r="K23" i="20" s="1"/>
  <c r="O23" i="20" s="1"/>
  <c r="AI42" i="105"/>
  <c r="K25" i="161"/>
  <c r="AO24" i="105"/>
  <c r="AN24" i="105"/>
  <c r="I22" i="20"/>
  <c r="K22" i="20" s="1"/>
  <c r="O22" i="20" s="1"/>
  <c r="AI41" i="105"/>
  <c r="K24" i="161"/>
  <c r="E50" i="117"/>
  <c r="AZ41" i="105" s="1"/>
  <c r="Y22" i="116"/>
  <c r="AO22" i="116" s="1"/>
  <c r="AO64" i="116" s="1"/>
  <c r="AM22" i="116"/>
  <c r="G22" i="117"/>
  <c r="S22" i="116"/>
  <c r="U47" i="117"/>
  <c r="BA38" i="105" s="1"/>
  <c r="G21" i="164"/>
  <c r="I19" i="73"/>
  <c r="K19" i="73" s="1"/>
  <c r="O19" i="73" s="1"/>
  <c r="AJ38" i="105"/>
  <c r="BH47" i="105"/>
  <c r="BI47" i="105" s="1"/>
  <c r="T46" i="131"/>
  <c r="AK61" i="116"/>
  <c r="AO23" i="105"/>
  <c r="AN23" i="105"/>
  <c r="AM47" i="105"/>
  <c r="AO35" i="105"/>
  <c r="AN35" i="105"/>
  <c r="AK23" i="166"/>
  <c r="U23" i="117"/>
  <c r="AO45" i="116"/>
  <c r="AO56" i="116" s="1"/>
  <c r="Y56" i="116"/>
  <c r="U28" i="166"/>
  <c r="U17" i="117"/>
  <c r="AK17" i="166"/>
  <c r="AM17" i="116"/>
  <c r="Y17" i="116"/>
  <c r="W28" i="116"/>
  <c r="G17" i="117"/>
  <c r="S17" i="116"/>
  <c r="AK64" i="116"/>
  <c r="T49" i="131"/>
  <c r="AO32" i="105"/>
  <c r="AN32" i="105"/>
  <c r="W86" i="166"/>
  <c r="W19" i="166"/>
  <c r="AM23" i="116"/>
  <c r="Y23" i="116"/>
  <c r="AO23" i="116" s="1"/>
  <c r="AO65" i="116" s="1"/>
  <c r="G23" i="117"/>
  <c r="S23" i="116"/>
  <c r="E45" i="117"/>
  <c r="K19" i="161"/>
  <c r="E28" i="117"/>
  <c r="AI36" i="105"/>
  <c r="I17" i="20"/>
  <c r="K37" i="161"/>
  <c r="W22" i="161"/>
  <c r="BG87" i="105"/>
  <c r="W88" i="166"/>
  <c r="W21" i="166"/>
  <c r="AO33" i="105"/>
  <c r="AN33" i="105"/>
  <c r="I18" i="20"/>
  <c r="K18" i="20" s="1"/>
  <c r="O18" i="20" s="1"/>
  <c r="AI37" i="105"/>
  <c r="K20" i="161"/>
  <c r="E46" i="117"/>
  <c r="AZ37" i="105" s="1"/>
  <c r="T44" i="131"/>
  <c r="AK28" i="116"/>
  <c r="AK59" i="116"/>
  <c r="Y21" i="116"/>
  <c r="AO21" i="116" s="1"/>
  <c r="AO63" i="116" s="1"/>
  <c r="G21" i="117"/>
  <c r="AM21" i="116"/>
  <c r="S21" i="116"/>
  <c r="W20" i="166"/>
  <c r="W87" i="166"/>
  <c r="W22" i="166"/>
  <c r="W89" i="166"/>
  <c r="AK60" i="116"/>
  <c r="T45" i="131"/>
  <c r="U20" i="117"/>
  <c r="AK20" i="166"/>
  <c r="AM20" i="116"/>
  <c r="Y20" i="116"/>
  <c r="AO20" i="116" s="1"/>
  <c r="AO62" i="116" s="1"/>
  <c r="G20" i="117"/>
  <c r="S20" i="116"/>
  <c r="Y70" i="116"/>
  <c r="AM19" i="116"/>
  <c r="Y19" i="116"/>
  <c r="AO19" i="116" s="1"/>
  <c r="AO61" i="116" s="1"/>
  <c r="G19" i="117"/>
  <c r="S19" i="116"/>
  <c r="U18" i="117"/>
  <c r="AK18" i="166"/>
  <c r="AI74" i="105"/>
  <c r="G44" i="117"/>
  <c r="AZ74" i="105" s="1"/>
  <c r="C16" i="117"/>
  <c r="C44" i="117" s="1"/>
  <c r="I32" i="20"/>
  <c r="I18" i="161"/>
  <c r="Y18" i="116"/>
  <c r="AO18" i="116" s="1"/>
  <c r="AO60" i="116" s="1"/>
  <c r="AM18" i="116"/>
  <c r="G18" i="117"/>
  <c r="S18" i="116"/>
  <c r="Z46" i="131"/>
  <c r="AK61" i="166"/>
  <c r="W70" i="166"/>
  <c r="W17" i="166"/>
  <c r="Y45" i="166"/>
  <c r="W84" i="166"/>
  <c r="AO31" i="105"/>
  <c r="AN31" i="105"/>
  <c r="W90" i="166"/>
  <c r="W23" i="166"/>
  <c r="AN34" i="105"/>
  <c r="AK63" i="116"/>
  <c r="T48" i="131"/>
  <c r="U22" i="117"/>
  <c r="AK22" i="166"/>
  <c r="BB19" i="84"/>
  <c r="BB23" i="84"/>
  <c r="BE33" i="105"/>
  <c r="BE24" i="105"/>
  <c r="BB22" i="84"/>
  <c r="BE30" i="105"/>
  <c r="BE23" i="105"/>
  <c r="BB18" i="84"/>
  <c r="BE26" i="105"/>
  <c r="BE32" i="105"/>
  <c r="BE25" i="105"/>
  <c r="BB20" i="84"/>
  <c r="BE35" i="105"/>
  <c r="BE28" i="105"/>
  <c r="BE29" i="105"/>
  <c r="BE27" i="105"/>
  <c r="BB21" i="84"/>
  <c r="BE31" i="105"/>
  <c r="AO80" i="105"/>
  <c r="BI65" i="105"/>
  <c r="BJ65" i="105" s="1"/>
  <c r="BI71" i="105"/>
  <c r="BJ71" i="105" s="1"/>
  <c r="BI68" i="105"/>
  <c r="BJ68" i="105" s="1"/>
  <c r="BI74" i="105"/>
  <c r="BI81" i="105"/>
  <c r="BI73" i="105"/>
  <c r="BJ73" i="105" s="1"/>
  <c r="BI76" i="105"/>
  <c r="BI80" i="105"/>
  <c r="AO77" i="105"/>
  <c r="AO82" i="105"/>
  <c r="AO81" i="105"/>
  <c r="AO74" i="105"/>
  <c r="BI70" i="105"/>
  <c r="BJ70" i="105" s="1"/>
  <c r="BI77" i="105"/>
  <c r="AO76" i="105"/>
  <c r="AO79" i="105"/>
  <c r="BI72" i="105"/>
  <c r="BJ72" i="105" s="1"/>
  <c r="BI75" i="105"/>
  <c r="BJ75" i="105" s="1"/>
  <c r="BI67" i="105"/>
  <c r="BJ67" i="105" s="1"/>
  <c r="BI69" i="105"/>
  <c r="BJ69" i="105" s="1"/>
  <c r="BI64" i="105"/>
  <c r="BJ64" i="105" s="1"/>
  <c r="AO78" i="105"/>
  <c r="BI66" i="105"/>
  <c r="BJ66" i="105" s="1"/>
  <c r="BI78" i="105"/>
  <c r="BI79" i="105"/>
  <c r="BI82" i="105"/>
  <c r="BC38" i="105" l="1"/>
  <c r="AN67" i="105"/>
  <c r="AO67" i="105"/>
  <c r="AN68" i="105"/>
  <c r="AO68" i="105"/>
  <c r="U23" i="84"/>
  <c r="BE23" i="84"/>
  <c r="BE65" i="84" s="1"/>
  <c r="AD23" i="84"/>
  <c r="AM60" i="116"/>
  <c r="U45" i="131"/>
  <c r="AM61" i="116"/>
  <c r="U46" i="131"/>
  <c r="W22" i="117"/>
  <c r="AM22" i="166"/>
  <c r="Y22" i="166"/>
  <c r="S22" i="166"/>
  <c r="K35" i="161"/>
  <c r="W20" i="161"/>
  <c r="K17" i="20"/>
  <c r="I27" i="20"/>
  <c r="E38" i="17"/>
  <c r="Q38" i="17" s="1"/>
  <c r="BE38" i="105"/>
  <c r="BJ38" i="105"/>
  <c r="Y18" i="166"/>
  <c r="AM18" i="166"/>
  <c r="S18" i="166"/>
  <c r="W18" i="117"/>
  <c r="AO63" i="105"/>
  <c r="AN63" i="105"/>
  <c r="AM87" i="105"/>
  <c r="AI47" i="105"/>
  <c r="AI49" i="105" s="1"/>
  <c r="I23" i="73"/>
  <c r="K23" i="73" s="1"/>
  <c r="O23" i="73" s="1"/>
  <c r="AJ42" i="105"/>
  <c r="AL42" i="105" s="1"/>
  <c r="G25" i="164"/>
  <c r="G25" i="163" s="1"/>
  <c r="S25" i="163" s="1"/>
  <c r="U51" i="117"/>
  <c r="BA42" i="105" s="1"/>
  <c r="BC42" i="105" s="1"/>
  <c r="S21" i="164"/>
  <c r="G36" i="164"/>
  <c r="S36" i="164" s="1"/>
  <c r="W25" i="161"/>
  <c r="K40" i="161"/>
  <c r="Z48" i="131"/>
  <c r="E22" i="131" s="1"/>
  <c r="D119" i="140" s="1"/>
  <c r="AK63" i="166"/>
  <c r="AN70" i="105"/>
  <c r="AO70" i="105"/>
  <c r="AN72" i="105"/>
  <c r="AO72" i="105"/>
  <c r="I33" i="161"/>
  <c r="U18" i="161"/>
  <c r="E18" i="163"/>
  <c r="Q18" i="163" s="1"/>
  <c r="Z50" i="131"/>
  <c r="E24" i="131" s="1"/>
  <c r="D121" i="140" s="1"/>
  <c r="AK65" i="166"/>
  <c r="U49" i="117"/>
  <c r="BA40" i="105" s="1"/>
  <c r="BC40" i="105" s="1"/>
  <c r="I21" i="73"/>
  <c r="K21" i="73" s="1"/>
  <c r="O21" i="73" s="1"/>
  <c r="G23" i="164"/>
  <c r="AJ40" i="105"/>
  <c r="AL40" i="105" s="1"/>
  <c r="AN71" i="105"/>
  <c r="AO71" i="105"/>
  <c r="U18" i="84"/>
  <c r="BE18" i="84"/>
  <c r="BE60" i="84" s="1"/>
  <c r="AD18" i="84"/>
  <c r="U19" i="84"/>
  <c r="BE19" i="84"/>
  <c r="BE61" i="84" s="1"/>
  <c r="AD19" i="84"/>
  <c r="K32" i="20"/>
  <c r="AC20" i="116"/>
  <c r="S62" i="116"/>
  <c r="S87" i="116" s="1"/>
  <c r="C20" i="117"/>
  <c r="AI20" i="116"/>
  <c r="W20" i="117"/>
  <c r="AM20" i="166"/>
  <c r="S20" i="166"/>
  <c r="Y20" i="166"/>
  <c r="W19" i="161"/>
  <c r="K29" i="161"/>
  <c r="K34" i="161"/>
  <c r="AC17" i="116"/>
  <c r="S59" i="116"/>
  <c r="C17" i="117"/>
  <c r="AI17" i="116"/>
  <c r="C22" i="117"/>
  <c r="AC22" i="116"/>
  <c r="AI22" i="116"/>
  <c r="S64" i="116"/>
  <c r="S89" i="116" s="1"/>
  <c r="W23" i="161"/>
  <c r="K38" i="161"/>
  <c r="G23" i="163"/>
  <c r="S23" i="163" s="1"/>
  <c r="I36" i="20"/>
  <c r="K36" i="20" s="1"/>
  <c r="O36" i="20" s="1"/>
  <c r="I22" i="161"/>
  <c r="AI79" i="105"/>
  <c r="I20" i="117"/>
  <c r="AC21" i="116"/>
  <c r="S63" i="116"/>
  <c r="S88" i="116" s="1"/>
  <c r="C21" i="117"/>
  <c r="AI21" i="116"/>
  <c r="E56" i="117"/>
  <c r="G28" i="117"/>
  <c r="I19" i="161"/>
  <c r="AI76" i="105"/>
  <c r="I17" i="117"/>
  <c r="I33" i="20"/>
  <c r="K33" i="20" s="1"/>
  <c r="O33" i="20" s="1"/>
  <c r="AI81" i="105"/>
  <c r="I22" i="117"/>
  <c r="I38" i="20"/>
  <c r="K38" i="20" s="1"/>
  <c r="O38" i="20" s="1"/>
  <c r="I24" i="161"/>
  <c r="AO66" i="105"/>
  <c r="AN66" i="105"/>
  <c r="U20" i="84"/>
  <c r="BE20" i="84"/>
  <c r="BE62" i="84" s="1"/>
  <c r="AD20" i="84"/>
  <c r="AK64" i="166"/>
  <c r="Z49" i="131"/>
  <c r="E23" i="131" s="1"/>
  <c r="D120" i="140" s="1"/>
  <c r="Y56" i="166"/>
  <c r="AO45" i="166"/>
  <c r="AO56" i="166" s="1"/>
  <c r="AZ34" i="105"/>
  <c r="AZ114" i="105" s="1"/>
  <c r="BC74" i="105"/>
  <c r="AM63" i="116"/>
  <c r="U48" i="131"/>
  <c r="S21" i="166"/>
  <c r="W21" i="117"/>
  <c r="Y21" i="166"/>
  <c r="AM21" i="166"/>
  <c r="C23" i="117"/>
  <c r="AC23" i="116"/>
  <c r="S65" i="116"/>
  <c r="S90" i="116" s="1"/>
  <c r="AI23" i="116"/>
  <c r="AM64" i="116"/>
  <c r="U49" i="131"/>
  <c r="BH87" i="105"/>
  <c r="BI87" i="105" s="1"/>
  <c r="U21" i="84"/>
  <c r="BE21" i="84"/>
  <c r="BE63" i="84" s="1"/>
  <c r="AD21" i="84"/>
  <c r="AJ41" i="105"/>
  <c r="AL41" i="105" s="1"/>
  <c r="U50" i="117"/>
  <c r="BA41" i="105" s="1"/>
  <c r="BC41" i="105" s="1"/>
  <c r="I22" i="73"/>
  <c r="K22" i="73" s="1"/>
  <c r="O22" i="73" s="1"/>
  <c r="G24" i="164"/>
  <c r="AM17" i="166"/>
  <c r="W28" i="166"/>
  <c r="S17" i="166"/>
  <c r="Y17" i="166"/>
  <c r="W17" i="117"/>
  <c r="AL74" i="105"/>
  <c r="AI124" i="105"/>
  <c r="AM62" i="116"/>
  <c r="U47" i="131"/>
  <c r="I21" i="117"/>
  <c r="I23" i="161"/>
  <c r="AI80" i="105"/>
  <c r="I37" i="20"/>
  <c r="K37" i="20" s="1"/>
  <c r="O37" i="20" s="1"/>
  <c r="AI82" i="105"/>
  <c r="I23" i="117"/>
  <c r="I25" i="161"/>
  <c r="I39" i="20"/>
  <c r="K39" i="20" s="1"/>
  <c r="O39" i="20" s="1"/>
  <c r="AO17" i="116"/>
  <c r="Y28" i="116"/>
  <c r="AN75" i="105"/>
  <c r="AO75" i="105"/>
  <c r="AN64" i="105"/>
  <c r="AO64" i="105"/>
  <c r="Z45" i="131"/>
  <c r="AG45" i="131" s="1"/>
  <c r="AK60" i="166"/>
  <c r="AK62" i="166"/>
  <c r="Z47" i="131"/>
  <c r="BI63" i="105"/>
  <c r="BJ63" i="105" s="1"/>
  <c r="U44" i="131"/>
  <c r="AM28" i="116"/>
  <c r="AM59" i="116"/>
  <c r="AO47" i="105"/>
  <c r="AO50" i="105" s="1"/>
  <c r="I34" i="20"/>
  <c r="K34" i="20" s="1"/>
  <c r="O34" i="20" s="1"/>
  <c r="I20" i="161"/>
  <c r="I18" i="117"/>
  <c r="AI77" i="105"/>
  <c r="BB17" i="84"/>
  <c r="BB70" i="84"/>
  <c r="U22" i="84"/>
  <c r="BE22" i="84"/>
  <c r="BE64" i="84" s="1"/>
  <c r="AD22" i="84"/>
  <c r="I18" i="73"/>
  <c r="K18" i="73" s="1"/>
  <c r="O18" i="73" s="1"/>
  <c r="U46" i="117"/>
  <c r="BA37" i="105" s="1"/>
  <c r="AJ37" i="105"/>
  <c r="AL37" i="105" s="1"/>
  <c r="G20" i="164"/>
  <c r="G22" i="164"/>
  <c r="U48" i="117"/>
  <c r="BA39" i="105" s="1"/>
  <c r="BC39" i="105" s="1"/>
  <c r="I20" i="73"/>
  <c r="K20" i="73" s="1"/>
  <c r="O20" i="73" s="1"/>
  <c r="AJ39" i="105"/>
  <c r="AL39" i="105" s="1"/>
  <c r="AK70" i="116"/>
  <c r="AM65" i="116"/>
  <c r="U50" i="131"/>
  <c r="AK28" i="166"/>
  <c r="Z44" i="131"/>
  <c r="E18" i="131" s="1"/>
  <c r="AK59" i="166"/>
  <c r="K39" i="161"/>
  <c r="W24" i="161"/>
  <c r="AO73" i="105"/>
  <c r="AN73" i="105"/>
  <c r="AN65" i="105"/>
  <c r="AO65" i="105"/>
  <c r="S61" i="116"/>
  <c r="S86" i="116" s="1"/>
  <c r="AC19" i="116"/>
  <c r="C19" i="117"/>
  <c r="AI19" i="116"/>
  <c r="Y19" i="166"/>
  <c r="W19" i="117"/>
  <c r="AM19" i="166"/>
  <c r="S19" i="166"/>
  <c r="U28" i="117"/>
  <c r="T54" i="16" s="1"/>
  <c r="AJ36" i="105"/>
  <c r="G19" i="164"/>
  <c r="I17" i="73"/>
  <c r="U45" i="117"/>
  <c r="AG46" i="131"/>
  <c r="E20" i="131"/>
  <c r="D117" i="140" s="1"/>
  <c r="AL38" i="105"/>
  <c r="BF38" i="105" s="1"/>
  <c r="W37" i="161"/>
  <c r="AN69" i="105"/>
  <c r="AO69" i="105"/>
  <c r="W23" i="117"/>
  <c r="Y23" i="166"/>
  <c r="AM23" i="166"/>
  <c r="S23" i="166"/>
  <c r="S60" i="116"/>
  <c r="S85" i="116" s="1"/>
  <c r="C18" i="117"/>
  <c r="AC18" i="116"/>
  <c r="AI18" i="116"/>
  <c r="I19" i="117"/>
  <c r="I21" i="161"/>
  <c r="I35" i="20"/>
  <c r="K35" i="20" s="1"/>
  <c r="O35" i="20" s="1"/>
  <c r="AI78" i="105"/>
  <c r="T55" i="131"/>
  <c r="T57" i="131" s="1"/>
  <c r="Q43" i="130" s="1"/>
  <c r="K36" i="161"/>
  <c r="G21" i="163"/>
  <c r="S21" i="163" s="1"/>
  <c r="W21" i="161"/>
  <c r="CE20" i="92"/>
  <c r="CE19" i="92"/>
  <c r="CE21" i="92"/>
  <c r="CE23" i="92"/>
  <c r="CE18" i="92"/>
  <c r="CE22" i="92"/>
  <c r="BE74" i="105"/>
  <c r="BE73" i="105"/>
  <c r="BE69" i="105"/>
  <c r="BE75" i="105"/>
  <c r="BE72" i="105"/>
  <c r="BE71" i="105"/>
  <c r="BE67" i="105"/>
  <c r="BE64" i="105"/>
  <c r="BE70" i="105"/>
  <c r="BE65" i="105"/>
  <c r="BE68" i="105"/>
  <c r="BE66" i="105"/>
  <c r="AG50" i="131" l="1"/>
  <c r="AG48" i="131"/>
  <c r="E19" i="131"/>
  <c r="D116" i="140" s="1"/>
  <c r="AG44" i="131"/>
  <c r="Z55" i="131"/>
  <c r="Z57" i="131" s="1"/>
  <c r="S43" i="130" s="1"/>
  <c r="AM70" i="116"/>
  <c r="CH23" i="92"/>
  <c r="AP23" i="92"/>
  <c r="AW23" i="92"/>
  <c r="K19" i="117"/>
  <c r="F33" i="158" s="1"/>
  <c r="M19" i="117"/>
  <c r="AP19" i="117"/>
  <c r="I38" i="105"/>
  <c r="R37" i="123"/>
  <c r="U23" i="161"/>
  <c r="R41" i="123"/>
  <c r="K23" i="117"/>
  <c r="F37" i="158" s="1"/>
  <c r="AP23" i="117"/>
  <c r="I42" i="105"/>
  <c r="M23" i="117"/>
  <c r="AI131" i="105"/>
  <c r="R44" i="131"/>
  <c r="AI59" i="116"/>
  <c r="AI62" i="116"/>
  <c r="AW62" i="116" s="1"/>
  <c r="R47" i="131"/>
  <c r="AN42" i="105"/>
  <c r="E42" i="16"/>
  <c r="Q42" i="16" s="1"/>
  <c r="G24" i="163"/>
  <c r="S24" i="163" s="1"/>
  <c r="S24" i="164"/>
  <c r="G39" i="164"/>
  <c r="S39" i="164" s="1"/>
  <c r="E22" i="164"/>
  <c r="E22" i="163" s="1"/>
  <c r="Q22" i="163" s="1"/>
  <c r="I36" i="73"/>
  <c r="K36" i="73" s="1"/>
  <c r="O36" i="73" s="1"/>
  <c r="AJ79" i="105"/>
  <c r="AJ129" i="105" s="1"/>
  <c r="Y20" i="117"/>
  <c r="W36" i="161"/>
  <c r="G36" i="163"/>
  <c r="S36" i="163" s="1"/>
  <c r="U56" i="117"/>
  <c r="AC61" i="116"/>
  <c r="AC86" i="116" s="1"/>
  <c r="AS19" i="116"/>
  <c r="AS61" i="116" s="1"/>
  <c r="U64" i="84"/>
  <c r="AW22" i="84"/>
  <c r="W22" i="84"/>
  <c r="W64" i="84" s="1"/>
  <c r="AI22" i="84"/>
  <c r="AI64" i="84" s="1"/>
  <c r="C36" i="117"/>
  <c r="BF41" i="105"/>
  <c r="BJ41" i="105"/>
  <c r="BE41" i="105"/>
  <c r="E41" i="17"/>
  <c r="Q41" i="17" s="1"/>
  <c r="AA48" i="131"/>
  <c r="AI48" i="131" s="1"/>
  <c r="AM63" i="166"/>
  <c r="I39" i="105"/>
  <c r="AP20" i="117"/>
  <c r="M20" i="117"/>
  <c r="K20" i="117"/>
  <c r="F34" i="158" s="1"/>
  <c r="R38" i="123"/>
  <c r="AI61" i="116"/>
  <c r="AW61" i="116" s="1"/>
  <c r="R46" i="131"/>
  <c r="AW18" i="84"/>
  <c r="U60" i="84"/>
  <c r="AI18" i="84"/>
  <c r="AI60" i="84" s="1"/>
  <c r="W18" i="84"/>
  <c r="W60" i="84" s="1"/>
  <c r="C32" i="117"/>
  <c r="AP21" i="92"/>
  <c r="CH21" i="92"/>
  <c r="AW21" i="92"/>
  <c r="AI23" i="166"/>
  <c r="AC23" i="166"/>
  <c r="S23" i="117"/>
  <c r="S65" i="166"/>
  <c r="S90" i="166" s="1"/>
  <c r="I27" i="73"/>
  <c r="K17" i="73"/>
  <c r="U55" i="131"/>
  <c r="U57" i="131" s="1"/>
  <c r="E41" i="16"/>
  <c r="Q41" i="16" s="1"/>
  <c r="AN41" i="105"/>
  <c r="Y63" i="166"/>
  <c r="Y88" i="166" s="1"/>
  <c r="AO21" i="166"/>
  <c r="AO63" i="166" s="1"/>
  <c r="AI129" i="105"/>
  <c r="K17" i="117"/>
  <c r="I36" i="105"/>
  <c r="M17" i="117"/>
  <c r="R35" i="123"/>
  <c r="AP17" i="117"/>
  <c r="AN40" i="105"/>
  <c r="E40" i="16"/>
  <c r="Q40" i="16" s="1"/>
  <c r="AG49" i="131"/>
  <c r="E24" i="164"/>
  <c r="AJ81" i="105"/>
  <c r="AJ131" i="105" s="1"/>
  <c r="Y22" i="117"/>
  <c r="I38" i="73"/>
  <c r="K38" i="73" s="1"/>
  <c r="O38" i="73" s="1"/>
  <c r="D115" i="140"/>
  <c r="AM65" i="166"/>
  <c r="AA50" i="131"/>
  <c r="AI50" i="131" s="1"/>
  <c r="G19" i="163"/>
  <c r="G29" i="164"/>
  <c r="G34" i="164"/>
  <c r="G34" i="163" s="1"/>
  <c r="S19" i="164"/>
  <c r="E39" i="16"/>
  <c r="AN39" i="105"/>
  <c r="U17" i="84"/>
  <c r="BB28" i="84"/>
  <c r="BE17" i="84"/>
  <c r="AD17" i="84"/>
  <c r="AO28" i="116"/>
  <c r="AO59" i="116"/>
  <c r="AO70" i="116" s="1"/>
  <c r="O21" i="84"/>
  <c r="AG21" i="84"/>
  <c r="AG63" i="84" s="1"/>
  <c r="AD63" i="84"/>
  <c r="I37" i="73"/>
  <c r="K37" i="73" s="1"/>
  <c r="O37" i="73" s="1"/>
  <c r="E23" i="164"/>
  <c r="E23" i="163" s="1"/>
  <c r="Q23" i="163" s="1"/>
  <c r="Y21" i="117"/>
  <c r="AJ80" i="105"/>
  <c r="AJ130" i="105" s="1"/>
  <c r="AG20" i="84"/>
  <c r="AG62" i="84" s="1"/>
  <c r="AD62" i="84"/>
  <c r="O20" i="84"/>
  <c r="I28" i="117"/>
  <c r="U22" i="161"/>
  <c r="S84" i="116"/>
  <c r="AC62" i="116"/>
  <c r="AC87" i="116" s="1"/>
  <c r="AS20" i="116"/>
  <c r="AS62" i="116" s="1"/>
  <c r="S23" i="164"/>
  <c r="G38" i="164"/>
  <c r="S38" i="164" s="1"/>
  <c r="K22" i="130"/>
  <c r="AW22" i="92"/>
  <c r="AP22" i="92"/>
  <c r="CH22" i="92"/>
  <c r="Y65" i="166"/>
  <c r="Y90" i="166" s="1"/>
  <c r="AO23" i="166"/>
  <c r="AO65" i="166" s="1"/>
  <c r="AJ47" i="105"/>
  <c r="AJ49" i="105" s="1"/>
  <c r="M22" i="130" s="1"/>
  <c r="E21" i="131"/>
  <c r="D118" i="140" s="1"/>
  <c r="AG47" i="131"/>
  <c r="AG55" i="131" s="1"/>
  <c r="S21" i="117"/>
  <c r="S63" i="166"/>
  <c r="S88" i="166" s="1"/>
  <c r="AC21" i="166"/>
  <c r="AI21" i="166"/>
  <c r="AI87" i="105"/>
  <c r="AI89" i="105" s="1"/>
  <c r="AI126" i="105"/>
  <c r="AC59" i="116"/>
  <c r="AS17" i="116"/>
  <c r="I43" i="20"/>
  <c r="AL36" i="105"/>
  <c r="O23" i="84"/>
  <c r="AG23" i="84"/>
  <c r="AG65" i="84" s="1"/>
  <c r="AD65" i="84"/>
  <c r="AC60" i="116"/>
  <c r="AC85" i="116" s="1"/>
  <c r="AS18" i="116"/>
  <c r="AS60" i="116" s="1"/>
  <c r="AI130" i="105"/>
  <c r="BD87" i="105"/>
  <c r="CE17" i="92"/>
  <c r="CE70" i="92"/>
  <c r="Y23" i="117"/>
  <c r="E25" i="164"/>
  <c r="AJ82" i="105"/>
  <c r="AJ132" i="105" s="1"/>
  <c r="I39" i="73"/>
  <c r="K39" i="73" s="1"/>
  <c r="O39" i="73" s="1"/>
  <c r="E39" i="17"/>
  <c r="Q39" i="17" s="1"/>
  <c r="BJ39" i="105"/>
  <c r="BF39" i="105"/>
  <c r="BE39" i="105"/>
  <c r="AI127" i="105"/>
  <c r="AL124" i="105"/>
  <c r="G34" i="16"/>
  <c r="AN74" i="105"/>
  <c r="W21" i="84"/>
  <c r="W63" i="84" s="1"/>
  <c r="AI21" i="84"/>
  <c r="AI63" i="84" s="1"/>
  <c r="AW21" i="84"/>
  <c r="U63" i="84"/>
  <c r="C35" i="117"/>
  <c r="AW20" i="84"/>
  <c r="W20" i="84"/>
  <c r="W62" i="84" s="1"/>
  <c r="U62" i="84"/>
  <c r="AI20" i="84"/>
  <c r="AI62" i="84" s="1"/>
  <c r="C34" i="117"/>
  <c r="C48" i="117" s="1"/>
  <c r="I29" i="161"/>
  <c r="U19" i="161"/>
  <c r="K44" i="161"/>
  <c r="W34" i="161"/>
  <c r="O32" i="20"/>
  <c r="O43" i="20" s="1"/>
  <c r="K43" i="20"/>
  <c r="BJ40" i="105"/>
  <c r="BF40" i="105"/>
  <c r="E40" i="17"/>
  <c r="Q40" i="17" s="1"/>
  <c r="BE40" i="105"/>
  <c r="O17" i="20"/>
  <c r="O27" i="20" s="1"/>
  <c r="K27" i="20"/>
  <c r="AP22" i="117"/>
  <c r="M22" i="117"/>
  <c r="C50" i="117"/>
  <c r="R40" i="123"/>
  <c r="K22" i="117"/>
  <c r="F36" i="158" s="1"/>
  <c r="I41" i="105"/>
  <c r="AI128" i="105"/>
  <c r="AI19" i="166"/>
  <c r="S19" i="117"/>
  <c r="S61" i="166"/>
  <c r="S86" i="166" s="1"/>
  <c r="AC19" i="166"/>
  <c r="S22" i="164"/>
  <c r="G37" i="164"/>
  <c r="G22" i="163"/>
  <c r="S22" i="163" s="1"/>
  <c r="U25" i="161"/>
  <c r="E25" i="163"/>
  <c r="Q25" i="163" s="1"/>
  <c r="I33" i="73"/>
  <c r="W28" i="117"/>
  <c r="U54" i="16" s="1"/>
  <c r="Y17" i="117"/>
  <c r="E19" i="164"/>
  <c r="E19" i="163" s="1"/>
  <c r="AJ76" i="105"/>
  <c r="W38" i="161"/>
  <c r="O19" i="84"/>
  <c r="AG19" i="84"/>
  <c r="AG61" i="84" s="1"/>
  <c r="AD61" i="84"/>
  <c r="W40" i="161"/>
  <c r="U65" i="84"/>
  <c r="W23" i="84"/>
  <c r="W65" i="84" s="1"/>
  <c r="AW23" i="84"/>
  <c r="AI23" i="84"/>
  <c r="AI65" i="84" s="1"/>
  <c r="C37" i="117"/>
  <c r="AC65" i="116"/>
  <c r="AC90" i="116" s="1"/>
  <c r="AS23" i="116"/>
  <c r="AS65" i="116" s="1"/>
  <c r="AA46" i="131"/>
  <c r="AI46" i="131" s="1"/>
  <c r="AM61" i="166"/>
  <c r="G20" i="163"/>
  <c r="S20" i="163" s="1"/>
  <c r="S20" i="164"/>
  <c r="G35" i="164"/>
  <c r="S35" i="164" s="1"/>
  <c r="U20" i="161"/>
  <c r="Y59" i="166"/>
  <c r="Y28" i="166"/>
  <c r="AO17" i="166"/>
  <c r="W29" i="161"/>
  <c r="AO87" i="105"/>
  <c r="AO90" i="105" s="1"/>
  <c r="W35" i="161"/>
  <c r="O22" i="84"/>
  <c r="AD64" i="84"/>
  <c r="AG22" i="84"/>
  <c r="AG64" i="84" s="1"/>
  <c r="AC63" i="116"/>
  <c r="AC88" i="116" s="1"/>
  <c r="AS21" i="116"/>
  <c r="AS63" i="116" s="1"/>
  <c r="AW19" i="92"/>
  <c r="AW61" i="92" s="1"/>
  <c r="AP19" i="92"/>
  <c r="CH19" i="92"/>
  <c r="U21" i="161"/>
  <c r="AJ78" i="105"/>
  <c r="AJ128" i="105" s="1"/>
  <c r="Y19" i="117"/>
  <c r="I35" i="73"/>
  <c r="K35" i="73" s="1"/>
  <c r="O35" i="73" s="1"/>
  <c r="E21" i="164"/>
  <c r="W39" i="161"/>
  <c r="G39" i="163"/>
  <c r="S39" i="163" s="1"/>
  <c r="AN37" i="105"/>
  <c r="E37" i="16"/>
  <c r="Q37" i="16" s="1"/>
  <c r="AI132" i="105"/>
  <c r="AL82" i="105"/>
  <c r="S59" i="166"/>
  <c r="S17" i="117"/>
  <c r="AC17" i="166"/>
  <c r="AI17" i="166"/>
  <c r="BC114" i="105"/>
  <c r="AI63" i="116"/>
  <c r="AW63" i="116" s="1"/>
  <c r="R48" i="131"/>
  <c r="Y62" i="166"/>
  <c r="Y87" i="166" s="1"/>
  <c r="AO20" i="166"/>
  <c r="AO62" i="166" s="1"/>
  <c r="W19" i="84"/>
  <c r="W61" i="84" s="1"/>
  <c r="U61" i="84"/>
  <c r="AW19" i="84"/>
  <c r="AI19" i="84"/>
  <c r="AI61" i="84" s="1"/>
  <c r="C33" i="117"/>
  <c r="C47" i="117" s="1"/>
  <c r="I34" i="73"/>
  <c r="K34" i="73" s="1"/>
  <c r="O34" i="73" s="1"/>
  <c r="E20" i="164"/>
  <c r="AJ77" i="105"/>
  <c r="AJ127" i="105" s="1"/>
  <c r="Y18" i="117"/>
  <c r="S22" i="117"/>
  <c r="AC22" i="166"/>
  <c r="S64" i="166"/>
  <c r="S89" i="166" s="1"/>
  <c r="AI22" i="166"/>
  <c r="AO18" i="166"/>
  <c r="AO60" i="166" s="1"/>
  <c r="Y60" i="166"/>
  <c r="Y85" i="166" s="1"/>
  <c r="AW18" i="92"/>
  <c r="AW60" i="92" s="1"/>
  <c r="AP18" i="92"/>
  <c r="CH18" i="92"/>
  <c r="CH20" i="92"/>
  <c r="AW20" i="92"/>
  <c r="AW62" i="92" s="1"/>
  <c r="AP20" i="92"/>
  <c r="AO19" i="166"/>
  <c r="AO61" i="166" s="1"/>
  <c r="Y61" i="166"/>
  <c r="Y86" i="166" s="1"/>
  <c r="AK70" i="166"/>
  <c r="BC37" i="105"/>
  <c r="BA47" i="105"/>
  <c r="BA49" i="105" s="1"/>
  <c r="M43" i="130" s="1"/>
  <c r="R50" i="131"/>
  <c r="AI65" i="116"/>
  <c r="AW65" i="116" s="1"/>
  <c r="BJ74" i="105"/>
  <c r="U24" i="161"/>
  <c r="E24" i="163"/>
  <c r="Q24" i="163" s="1"/>
  <c r="M21" i="117"/>
  <c r="I40" i="105"/>
  <c r="K21" i="117"/>
  <c r="F35" i="158" s="1"/>
  <c r="R39" i="123"/>
  <c r="AP21" i="117"/>
  <c r="AI64" i="116"/>
  <c r="AW64" i="116" s="1"/>
  <c r="R49" i="131"/>
  <c r="S20" i="117"/>
  <c r="S62" i="166"/>
  <c r="S87" i="166" s="1"/>
  <c r="AC20" i="166"/>
  <c r="AI20" i="166"/>
  <c r="O18" i="84"/>
  <c r="AG18" i="84"/>
  <c r="AG60" i="84" s="1"/>
  <c r="AD60" i="84"/>
  <c r="S60" i="166"/>
  <c r="S85" i="166" s="1"/>
  <c r="AC18" i="166"/>
  <c r="AI18" i="166"/>
  <c r="S18" i="117"/>
  <c r="AO22" i="166"/>
  <c r="AO64" i="166" s="1"/>
  <c r="Y64" i="166"/>
  <c r="Y89" i="166" s="1"/>
  <c r="G40" i="164"/>
  <c r="S40" i="164" s="1"/>
  <c r="S25" i="164"/>
  <c r="M18" i="117"/>
  <c r="I37" i="105"/>
  <c r="K18" i="117"/>
  <c r="F32" i="158" s="1"/>
  <c r="AP18" i="117"/>
  <c r="R36" i="123"/>
  <c r="C46" i="117"/>
  <c r="AI60" i="116"/>
  <c r="AW60" i="116" s="1"/>
  <c r="R45" i="131"/>
  <c r="AN38" i="105"/>
  <c r="E38" i="16"/>
  <c r="Q38" i="16" s="1"/>
  <c r="W43" i="130"/>
  <c r="N23" i="132" s="1"/>
  <c r="AM28" i="166"/>
  <c r="AA44" i="131"/>
  <c r="AI44" i="131" s="1"/>
  <c r="AM59" i="166"/>
  <c r="BC34" i="105"/>
  <c r="AC64" i="116"/>
  <c r="AC89" i="116" s="1"/>
  <c r="AS22" i="116"/>
  <c r="AS64" i="116" s="1"/>
  <c r="AM62" i="166"/>
  <c r="AA47" i="131"/>
  <c r="AI47" i="131" s="1"/>
  <c r="E33" i="163"/>
  <c r="Q33" i="163" s="1"/>
  <c r="U33" i="161"/>
  <c r="BF42" i="105"/>
  <c r="BJ42" i="105"/>
  <c r="BE42" i="105"/>
  <c r="E42" i="17"/>
  <c r="Q42" i="17" s="1"/>
  <c r="AM60" i="166"/>
  <c r="AA45" i="131"/>
  <c r="AI45" i="131" s="1"/>
  <c r="AM64" i="166"/>
  <c r="AA49" i="131"/>
  <c r="AI49" i="131" s="1"/>
  <c r="G38" i="163" l="1"/>
  <c r="S38" i="163" s="1"/>
  <c r="AL79" i="105"/>
  <c r="AL80" i="105"/>
  <c r="G22" i="131"/>
  <c r="AL49" i="105"/>
  <c r="D23" i="132" s="1"/>
  <c r="AI137" i="105"/>
  <c r="G23" i="131"/>
  <c r="W44" i="161"/>
  <c r="AI55" i="131"/>
  <c r="M48" i="117"/>
  <c r="AP48" i="117"/>
  <c r="U39" i="105"/>
  <c r="AP47" i="117"/>
  <c r="U38" i="105"/>
  <c r="M47" i="117"/>
  <c r="Q19" i="163"/>
  <c r="R124" i="131"/>
  <c r="V48" i="131"/>
  <c r="AG35" i="158" s="1"/>
  <c r="C38" i="134"/>
  <c r="AS19" i="92"/>
  <c r="S19" i="92"/>
  <c r="U19" i="92" s="1"/>
  <c r="AP61" i="92"/>
  <c r="AO28" i="166"/>
  <c r="AO59" i="166"/>
  <c r="AO70" i="166" s="1"/>
  <c r="S37" i="164"/>
  <c r="G37" i="163"/>
  <c r="S37" i="163" s="1"/>
  <c r="E35" i="93"/>
  <c r="AW63" i="84"/>
  <c r="BE86" i="91"/>
  <c r="AW64" i="92"/>
  <c r="S19" i="163"/>
  <c r="S29" i="163" s="1"/>
  <c r="G29" i="163"/>
  <c r="X50" i="131"/>
  <c r="C24" i="131" s="1"/>
  <c r="AI65" i="166"/>
  <c r="AA20" i="117"/>
  <c r="G34" i="158" s="1"/>
  <c r="K39" i="105"/>
  <c r="AR20" i="117"/>
  <c r="M37" i="117"/>
  <c r="AP37" i="117"/>
  <c r="AI63" i="166"/>
  <c r="X48" i="131"/>
  <c r="AL48" i="105"/>
  <c r="G34" i="117"/>
  <c r="K34" i="117" s="1"/>
  <c r="O62" i="84"/>
  <c r="S20" i="84"/>
  <c r="S62" i="84" s="1"/>
  <c r="O38" i="123"/>
  <c r="M36" i="117"/>
  <c r="AP36" i="117"/>
  <c r="AW59" i="116"/>
  <c r="AC65" i="166"/>
  <c r="AC90" i="166" s="1"/>
  <c r="AS23" i="166"/>
  <c r="AS65" i="166" s="1"/>
  <c r="C39" i="134"/>
  <c r="V49" i="131"/>
  <c r="AG36" i="158" s="1"/>
  <c r="R125" i="131"/>
  <c r="Y70" i="166"/>
  <c r="AS19" i="166"/>
  <c r="AS61" i="166" s="1"/>
  <c r="AC61" i="166"/>
  <c r="AC86" i="166" s="1"/>
  <c r="AS21" i="166"/>
  <c r="AS63" i="166" s="1"/>
  <c r="AC63" i="166"/>
  <c r="AC88" i="166" s="1"/>
  <c r="BE85" i="91"/>
  <c r="AW63" i="92"/>
  <c r="F77" i="158"/>
  <c r="F120" i="158" s="1"/>
  <c r="V44" i="131"/>
  <c r="C34" i="134"/>
  <c r="R120" i="131"/>
  <c r="O37" i="123"/>
  <c r="AL130" i="105"/>
  <c r="G40" i="16"/>
  <c r="S40" i="16" s="1"/>
  <c r="AN80" i="105"/>
  <c r="R121" i="131"/>
  <c r="C35" i="134"/>
  <c r="V45" i="131"/>
  <c r="AG32" i="158" s="1"/>
  <c r="AS18" i="92"/>
  <c r="S18" i="92"/>
  <c r="U18" i="92" s="1"/>
  <c r="AP60" i="92"/>
  <c r="Q20" i="164"/>
  <c r="AJ126" i="105"/>
  <c r="AJ137" i="105" s="1"/>
  <c r="AJ87" i="105"/>
  <c r="AJ89" i="105" s="1"/>
  <c r="AL89" i="105" s="1"/>
  <c r="AL88" i="105" s="1"/>
  <c r="U29" i="161"/>
  <c r="AD28" i="84"/>
  <c r="AD59" i="84"/>
  <c r="AD70" i="84" s="1"/>
  <c r="O17" i="84"/>
  <c r="AG17" i="84"/>
  <c r="E29" i="131"/>
  <c r="G21" i="131"/>
  <c r="Q22" i="164"/>
  <c r="AL81" i="105"/>
  <c r="AS20" i="166"/>
  <c r="AS62" i="166" s="1"/>
  <c r="AC62" i="166"/>
  <c r="AC87" i="166" s="1"/>
  <c r="G33" i="117"/>
  <c r="K33" i="117" s="1"/>
  <c r="O61" i="84"/>
  <c r="S19" i="84"/>
  <c r="S61" i="84" s="1"/>
  <c r="R122" i="131"/>
  <c r="C36" i="134"/>
  <c r="V46" i="131"/>
  <c r="AG33" i="158" s="1"/>
  <c r="AI60" i="166"/>
  <c r="X45" i="131"/>
  <c r="C19" i="131" s="1"/>
  <c r="Q21" i="164"/>
  <c r="E20" i="163"/>
  <c r="Q20" i="163" s="1"/>
  <c r="Q19" i="164"/>
  <c r="E29" i="164"/>
  <c r="AR19" i="117"/>
  <c r="AA19" i="117"/>
  <c r="G33" i="158" s="1"/>
  <c r="G76" i="158" s="1"/>
  <c r="G119" i="158" s="1"/>
  <c r="K38" i="105"/>
  <c r="O65" i="84"/>
  <c r="G37" i="117"/>
  <c r="K37" i="117" s="1"/>
  <c r="S23" i="84"/>
  <c r="S65" i="84" s="1"/>
  <c r="AA21" i="117"/>
  <c r="G35" i="158" s="1"/>
  <c r="G78" i="158" s="1"/>
  <c r="K40" i="105"/>
  <c r="M40" i="105" s="1"/>
  <c r="AR21" i="117"/>
  <c r="BE59" i="84"/>
  <c r="BE70" i="84" s="1"/>
  <c r="BE28" i="84"/>
  <c r="D125" i="140"/>
  <c r="G18" i="131"/>
  <c r="S21" i="92"/>
  <c r="AP63" i="92"/>
  <c r="AS21" i="92"/>
  <c r="U21" i="92"/>
  <c r="K38" i="157"/>
  <c r="AO60" i="87"/>
  <c r="I189" i="105"/>
  <c r="M35" i="117"/>
  <c r="AP35" i="117"/>
  <c r="S22" i="92"/>
  <c r="U22" i="92" s="1"/>
  <c r="AP64" i="92"/>
  <c r="AS22" i="92"/>
  <c r="M46" i="117"/>
  <c r="U37" i="105"/>
  <c r="AP46" i="117"/>
  <c r="AC60" i="166"/>
  <c r="AC85" i="166" s="1"/>
  <c r="AS18" i="166"/>
  <c r="AS60" i="166" s="1"/>
  <c r="O39" i="123"/>
  <c r="C40" i="134"/>
  <c r="R126" i="131"/>
  <c r="V50" i="131"/>
  <c r="AG37" i="158" s="1"/>
  <c r="M33" i="117"/>
  <c r="AP33" i="117"/>
  <c r="AI59" i="166"/>
  <c r="X44" i="131"/>
  <c r="E37" i="93"/>
  <c r="AW65" i="84"/>
  <c r="Y28" i="117"/>
  <c r="AI61" i="166"/>
  <c r="X46" i="131"/>
  <c r="M34" i="117"/>
  <c r="AP34" i="117"/>
  <c r="Q25" i="164"/>
  <c r="AN36" i="105"/>
  <c r="AN47" i="105" s="1"/>
  <c r="E36" i="16"/>
  <c r="AL47" i="105"/>
  <c r="O35" i="123"/>
  <c r="G24" i="131"/>
  <c r="AW64" i="84"/>
  <c r="E36" i="93"/>
  <c r="C51" i="117"/>
  <c r="AR22" i="117"/>
  <c r="AA22" i="117"/>
  <c r="G36" i="158" s="1"/>
  <c r="H36" i="158" s="1"/>
  <c r="K41" i="105"/>
  <c r="M41" i="105" s="1"/>
  <c r="O36" i="123"/>
  <c r="C49" i="117"/>
  <c r="AS17" i="166"/>
  <c r="AC59" i="166"/>
  <c r="G36" i="117"/>
  <c r="O64" i="84"/>
  <c r="S22" i="84"/>
  <c r="S64" i="84" s="1"/>
  <c r="I34" i="16"/>
  <c r="S34" i="16"/>
  <c r="AI17" i="84"/>
  <c r="W17" i="84"/>
  <c r="AW17" i="84"/>
  <c r="U59" i="84"/>
  <c r="C31" i="117"/>
  <c r="M32" i="117"/>
  <c r="AP32" i="117"/>
  <c r="AO61" i="87"/>
  <c r="K39" i="157"/>
  <c r="I190" i="105"/>
  <c r="F78" i="158"/>
  <c r="F121" i="158" s="1"/>
  <c r="BF37" i="105"/>
  <c r="E37" i="17"/>
  <c r="Q37" i="17" s="1"/>
  <c r="BE37" i="105"/>
  <c r="BJ37" i="105"/>
  <c r="AA17" i="117"/>
  <c r="K36" i="105"/>
  <c r="AR17" i="117"/>
  <c r="G35" i="163"/>
  <c r="S35" i="163" s="1"/>
  <c r="G40" i="163"/>
  <c r="S40" i="163" s="1"/>
  <c r="I43" i="73"/>
  <c r="K33" i="73"/>
  <c r="AL78" i="105"/>
  <c r="AW62" i="84"/>
  <c r="E34" i="93"/>
  <c r="AS59" i="116"/>
  <c r="O22" i="130"/>
  <c r="Q23" i="164"/>
  <c r="K36" i="157"/>
  <c r="O17" i="73"/>
  <c r="K27" i="73"/>
  <c r="G20" i="131"/>
  <c r="K42" i="157"/>
  <c r="AO64" i="87"/>
  <c r="I193" i="105"/>
  <c r="F76" i="158"/>
  <c r="F119" i="158" s="1"/>
  <c r="O63" i="84"/>
  <c r="G35" i="117"/>
  <c r="S21" i="84"/>
  <c r="S63" i="84" s="1"/>
  <c r="E34" i="17"/>
  <c r="BJ34" i="105"/>
  <c r="BF34" i="105"/>
  <c r="BE34" i="105"/>
  <c r="F75" i="158"/>
  <c r="F118" i="158" s="1"/>
  <c r="I191" i="105"/>
  <c r="K40" i="157"/>
  <c r="AO62" i="87"/>
  <c r="AI64" i="166"/>
  <c r="X49" i="131"/>
  <c r="C23" i="131" s="1"/>
  <c r="E33" i="93"/>
  <c r="AW61" i="84"/>
  <c r="S84" i="166"/>
  <c r="AO63" i="87"/>
  <c r="I192" i="105"/>
  <c r="K41" i="157"/>
  <c r="CH17" i="92"/>
  <c r="CH28" i="92" s="1"/>
  <c r="CE28" i="92"/>
  <c r="AP17" i="92"/>
  <c r="AW17" i="92"/>
  <c r="Q39" i="16"/>
  <c r="F31" i="158"/>
  <c r="BE87" i="91"/>
  <c r="AW65" i="92"/>
  <c r="I188" i="105"/>
  <c r="K37" i="157"/>
  <c r="AL132" i="105"/>
  <c r="G42" i="16"/>
  <c r="S42" i="16" s="1"/>
  <c r="AN82" i="105"/>
  <c r="E21" i="163"/>
  <c r="Q21" i="163" s="1"/>
  <c r="F79" i="158"/>
  <c r="F122" i="158" s="1"/>
  <c r="AL77" i="105"/>
  <c r="S29" i="164"/>
  <c r="Q24" i="164"/>
  <c r="AN79" i="105"/>
  <c r="AL129" i="105"/>
  <c r="G39" i="16"/>
  <c r="S39" i="16" s="1"/>
  <c r="E32" i="93"/>
  <c r="AW60" i="84"/>
  <c r="F80" i="158"/>
  <c r="AS23" i="92"/>
  <c r="S23" i="92"/>
  <c r="U23" i="92" s="1"/>
  <c r="AP65" i="92"/>
  <c r="AP62" i="92"/>
  <c r="AS20" i="92"/>
  <c r="S20" i="92"/>
  <c r="U20" i="92" s="1"/>
  <c r="AP50" i="117"/>
  <c r="M50" i="117"/>
  <c r="U41" i="105"/>
  <c r="AR18" i="117"/>
  <c r="K37" i="105"/>
  <c r="AA18" i="117"/>
  <c r="G32" i="158" s="1"/>
  <c r="H32" i="158" s="1"/>
  <c r="AM70" i="166"/>
  <c r="G32" i="117"/>
  <c r="O60" i="84"/>
  <c r="S18" i="84"/>
  <c r="S60" i="84" s="1"/>
  <c r="AA55" i="131"/>
  <c r="AA57" i="131" s="1"/>
  <c r="AI62" i="166"/>
  <c r="X47" i="131"/>
  <c r="C21" i="131" s="1"/>
  <c r="AS22" i="166"/>
  <c r="AS64" i="166" s="1"/>
  <c r="AC64" i="166"/>
  <c r="AC89" i="166" s="1"/>
  <c r="O40" i="123"/>
  <c r="S34" i="163"/>
  <c r="AL76" i="105"/>
  <c r="S34" i="164"/>
  <c r="G44" i="164"/>
  <c r="G19" i="131"/>
  <c r="AR23" i="117"/>
  <c r="K42" i="105"/>
  <c r="M42" i="105" s="1"/>
  <c r="AA23" i="117"/>
  <c r="G37" i="158" s="1"/>
  <c r="H37" i="158" s="1"/>
  <c r="C37" i="134"/>
  <c r="V47" i="131"/>
  <c r="AG34" i="158" s="1"/>
  <c r="R123" i="131"/>
  <c r="O41" i="123"/>
  <c r="M36" i="105" l="1"/>
  <c r="K201" i="105"/>
  <c r="H35" i="158"/>
  <c r="S44" i="164"/>
  <c r="Q29" i="164"/>
  <c r="Q29" i="163"/>
  <c r="U62" i="92"/>
  <c r="W20" i="92"/>
  <c r="W62" i="92" s="1"/>
  <c r="AA20" i="92"/>
  <c r="AA62" i="92" s="1"/>
  <c r="Y20" i="115"/>
  <c r="AC20" i="115" s="1"/>
  <c r="AA23" i="92"/>
  <c r="AA65" i="92" s="1"/>
  <c r="W23" i="92"/>
  <c r="W65" i="92" s="1"/>
  <c r="U65" i="92"/>
  <c r="AG31" i="92"/>
  <c r="Y23" i="115"/>
  <c r="AC23" i="115" s="1"/>
  <c r="AA18" i="92"/>
  <c r="AA60" i="92" s="1"/>
  <c r="Y18" i="115"/>
  <c r="AC18" i="115" s="1"/>
  <c r="U60" i="92"/>
  <c r="W18" i="92"/>
  <c r="W60" i="92" s="1"/>
  <c r="F74" i="158"/>
  <c r="F117" i="158" s="1"/>
  <c r="K191" i="105"/>
  <c r="M40" i="157"/>
  <c r="U36" i="158"/>
  <c r="E29" i="163"/>
  <c r="BE121" i="91"/>
  <c r="BM121" i="91" s="1"/>
  <c r="BF87" i="91"/>
  <c r="BM87" i="91"/>
  <c r="I33" i="117"/>
  <c r="G35" i="82"/>
  <c r="I35" i="82" s="1"/>
  <c r="M35" i="82" s="1"/>
  <c r="G47" i="117"/>
  <c r="I36" i="161"/>
  <c r="C42" i="16"/>
  <c r="I42" i="16" s="1"/>
  <c r="K42" i="16" s="1"/>
  <c r="C42" i="67"/>
  <c r="M193" i="105"/>
  <c r="H78" i="158"/>
  <c r="E31" i="93"/>
  <c r="AW59" i="84"/>
  <c r="AS59" i="166"/>
  <c r="E36" i="134"/>
  <c r="G36" i="134" s="1"/>
  <c r="AB46" i="131"/>
  <c r="AH33" i="158" s="1"/>
  <c r="V33" i="158" s="1"/>
  <c r="U37" i="158"/>
  <c r="Y22" i="115"/>
  <c r="AC22" i="115" s="1"/>
  <c r="AA22" i="92"/>
  <c r="AA64" i="92" s="1"/>
  <c r="W22" i="92"/>
  <c r="W64" i="92" s="1"/>
  <c r="U64" i="92"/>
  <c r="W21" i="92"/>
  <c r="W63" i="92" s="1"/>
  <c r="U63" i="92"/>
  <c r="Y21" i="115"/>
  <c r="AC21" i="115" s="1"/>
  <c r="AA21" i="92"/>
  <c r="AA63" i="92" s="1"/>
  <c r="G121" i="158"/>
  <c r="C55" i="134"/>
  <c r="O39" i="134"/>
  <c r="O55" i="134" s="1"/>
  <c r="M39" i="157"/>
  <c r="K190" i="105"/>
  <c r="M31" i="117"/>
  <c r="AP31" i="117"/>
  <c r="C45" i="117"/>
  <c r="M49" i="117"/>
  <c r="AP49" i="117"/>
  <c r="U40" i="105"/>
  <c r="AL131" i="105"/>
  <c r="G41" i="16"/>
  <c r="S41" i="16" s="1"/>
  <c r="AN81" i="105"/>
  <c r="I34" i="117"/>
  <c r="G36" i="82"/>
  <c r="I36" i="82" s="1"/>
  <c r="M36" i="82" s="1"/>
  <c r="G48" i="117"/>
  <c r="I37" i="161"/>
  <c r="G77" i="158"/>
  <c r="G120" i="158" s="1"/>
  <c r="U189" i="105"/>
  <c r="AM38" i="157"/>
  <c r="I104" i="105"/>
  <c r="AB49" i="131"/>
  <c r="AH36" i="158" s="1"/>
  <c r="V36" i="158" s="1"/>
  <c r="E39" i="134"/>
  <c r="G39" i="134" s="1"/>
  <c r="AR28" i="117"/>
  <c r="K51" i="105" s="1"/>
  <c r="W59" i="84"/>
  <c r="N35" i="123"/>
  <c r="M35" i="123" s="1"/>
  <c r="O75" i="141"/>
  <c r="K24" i="131"/>
  <c r="I24" i="131"/>
  <c r="I37" i="117"/>
  <c r="G39" i="82"/>
  <c r="I39" i="82" s="1"/>
  <c r="M39" i="82" s="1"/>
  <c r="G51" i="117"/>
  <c r="K51" i="117" s="1"/>
  <c r="I40" i="161"/>
  <c r="E35" i="134"/>
  <c r="G35" i="134" s="1"/>
  <c r="AB45" i="131"/>
  <c r="AH32" i="158" s="1"/>
  <c r="V32" i="158" s="1"/>
  <c r="BE119" i="91"/>
  <c r="BM85" i="91"/>
  <c r="BF85" i="91"/>
  <c r="BE92" i="91"/>
  <c r="AA19" i="92"/>
  <c r="AA61" i="92" s="1"/>
  <c r="Y19" i="115"/>
  <c r="AC19" i="115" s="1"/>
  <c r="U61" i="92"/>
  <c r="W19" i="92"/>
  <c r="W61" i="92" s="1"/>
  <c r="AM37" i="157"/>
  <c r="Y37" i="157" s="1"/>
  <c r="U188" i="105"/>
  <c r="K23" i="131"/>
  <c r="I23" i="131"/>
  <c r="N41" i="123"/>
  <c r="M41" i="123" s="1"/>
  <c r="O81" i="141"/>
  <c r="O121" i="141" s="1"/>
  <c r="AW28" i="92"/>
  <c r="AW59" i="92"/>
  <c r="AW70" i="92" s="1"/>
  <c r="G44" i="163"/>
  <c r="AS17" i="92"/>
  <c r="AS28" i="92" s="1"/>
  <c r="S17" i="92"/>
  <c r="U17" i="92" s="1"/>
  <c r="AP59" i="92"/>
  <c r="AP70" i="92" s="1"/>
  <c r="AP28" i="92"/>
  <c r="M36" i="157"/>
  <c r="O36" i="157" s="1"/>
  <c r="AI59" i="84"/>
  <c r="O76" i="141"/>
  <c r="O116" i="141" s="1"/>
  <c r="N36" i="123"/>
  <c r="M36" i="123" s="1"/>
  <c r="O40" i="134"/>
  <c r="O56" i="134" s="1"/>
  <c r="C56" i="134"/>
  <c r="S64" i="92"/>
  <c r="AG22" i="92"/>
  <c r="AG64" i="92" s="1"/>
  <c r="W36" i="117"/>
  <c r="AC22" i="92"/>
  <c r="AC64" i="92" s="1"/>
  <c r="Y22" i="92"/>
  <c r="AG21" i="92"/>
  <c r="AG63" i="92" s="1"/>
  <c r="S63" i="92"/>
  <c r="AC21" i="92"/>
  <c r="AC63" i="92" s="1"/>
  <c r="Y21" i="92"/>
  <c r="W35" i="117"/>
  <c r="O77" i="141"/>
  <c r="O117" i="141" s="1"/>
  <c r="N37" i="123"/>
  <c r="M37" i="123" s="1"/>
  <c r="E40" i="134"/>
  <c r="G40" i="134" s="1"/>
  <c r="AB50" i="131"/>
  <c r="AH37" i="158" s="1"/>
  <c r="V37" i="158" s="1"/>
  <c r="M187" i="105"/>
  <c r="C36" i="16"/>
  <c r="C36" i="67"/>
  <c r="U34" i="158"/>
  <c r="G75" i="158"/>
  <c r="H75" i="158" s="1"/>
  <c r="M191" i="105"/>
  <c r="C40" i="16"/>
  <c r="I40" i="16" s="1"/>
  <c r="K40" i="16" s="1"/>
  <c r="C40" i="67"/>
  <c r="Q34" i="17"/>
  <c r="G34" i="17"/>
  <c r="S34" i="17" s="1"/>
  <c r="G31" i="158"/>
  <c r="Q36" i="16"/>
  <c r="Q47" i="16" s="1"/>
  <c r="E47" i="16"/>
  <c r="G29" i="131"/>
  <c r="C136" i="140" s="1"/>
  <c r="C138" i="140" s="1"/>
  <c r="C20" i="131"/>
  <c r="AB48" i="131"/>
  <c r="AH35" i="158" s="1"/>
  <c r="V35" i="158" s="1"/>
  <c r="E38" i="134"/>
  <c r="G38" i="134" s="1"/>
  <c r="Y19" i="92"/>
  <c r="S61" i="92"/>
  <c r="W33" i="117"/>
  <c r="AG19" i="92"/>
  <c r="AG61" i="92" s="1"/>
  <c r="AC19" i="92"/>
  <c r="AC61" i="92" s="1"/>
  <c r="I32" i="117"/>
  <c r="G34" i="82"/>
  <c r="I34" i="82" s="1"/>
  <c r="M34" i="82" s="1"/>
  <c r="G46" i="117"/>
  <c r="I35" i="161"/>
  <c r="S44" i="163"/>
  <c r="K188" i="105"/>
  <c r="M37" i="157"/>
  <c r="O37" i="157" s="1"/>
  <c r="AG23" i="92"/>
  <c r="AG65" i="92" s="1"/>
  <c r="AK31" i="92"/>
  <c r="S65" i="92"/>
  <c r="W37" i="117"/>
  <c r="G37" i="98" s="1"/>
  <c r="I37" i="98" s="1"/>
  <c r="AC23" i="92"/>
  <c r="AC65" i="92" s="1"/>
  <c r="Y23" i="92"/>
  <c r="M37" i="105"/>
  <c r="K34" i="16"/>
  <c r="M41" i="157"/>
  <c r="O41" i="157" s="1"/>
  <c r="K192" i="105"/>
  <c r="O79" i="141"/>
  <c r="O119" i="141" s="1"/>
  <c r="N39" i="123"/>
  <c r="K189" i="105"/>
  <c r="M38" i="157"/>
  <c r="U33" i="158"/>
  <c r="AC18" i="92"/>
  <c r="AC60" i="92" s="1"/>
  <c r="Y18" i="92"/>
  <c r="W32" i="117"/>
  <c r="S60" i="92"/>
  <c r="AG18" i="92"/>
  <c r="AG60" i="92" s="1"/>
  <c r="I36" i="117"/>
  <c r="G38" i="82"/>
  <c r="I38" i="82" s="1"/>
  <c r="M38" i="82" s="1"/>
  <c r="G36" i="98"/>
  <c r="I36" i="98" s="1"/>
  <c r="G50" i="117"/>
  <c r="I39" i="161"/>
  <c r="H121" i="158"/>
  <c r="K19" i="131"/>
  <c r="I19" i="131"/>
  <c r="S62" i="92"/>
  <c r="W34" i="117"/>
  <c r="G34" i="98" s="1"/>
  <c r="I34" i="98" s="1"/>
  <c r="AG20" i="92"/>
  <c r="AG62" i="92" s="1"/>
  <c r="AC20" i="92"/>
  <c r="AC62" i="92" s="1"/>
  <c r="Y20" i="92"/>
  <c r="O37" i="134"/>
  <c r="O53" i="134" s="1"/>
  <c r="C53" i="134"/>
  <c r="O40" i="157"/>
  <c r="G37" i="82"/>
  <c r="I37" i="82" s="1"/>
  <c r="M37" i="82" s="1"/>
  <c r="I35" i="117"/>
  <c r="G35" i="98"/>
  <c r="I35" i="98" s="1"/>
  <c r="G49" i="117"/>
  <c r="K49" i="117" s="1"/>
  <c r="I38" i="161"/>
  <c r="G79" i="158"/>
  <c r="G122" i="158" s="1"/>
  <c r="H122" i="158" s="1"/>
  <c r="E34" i="134"/>
  <c r="AB44" i="131"/>
  <c r="O36" i="134"/>
  <c r="O52" i="134" s="1"/>
  <c r="C52" i="134"/>
  <c r="AG28" i="84"/>
  <c r="AG59" i="84"/>
  <c r="AG70" i="84" s="1"/>
  <c r="C18" i="131"/>
  <c r="C22" i="131"/>
  <c r="I105" i="105"/>
  <c r="AM39" i="157"/>
  <c r="Y39" i="157" s="1"/>
  <c r="U53" i="105"/>
  <c r="U190" i="105"/>
  <c r="G36" i="16"/>
  <c r="S36" i="16" s="1"/>
  <c r="AN76" i="105"/>
  <c r="AL126" i="105"/>
  <c r="AL87" i="105"/>
  <c r="I21" i="131"/>
  <c r="K21" i="131"/>
  <c r="G80" i="158"/>
  <c r="H80" i="158" s="1"/>
  <c r="I107" i="105"/>
  <c r="AM41" i="157"/>
  <c r="U192" i="105"/>
  <c r="C41" i="16"/>
  <c r="C41" i="67"/>
  <c r="M192" i="105"/>
  <c r="G38" i="16"/>
  <c r="S38" i="16" s="1"/>
  <c r="AN78" i="105"/>
  <c r="AL128" i="105"/>
  <c r="K35" i="117"/>
  <c r="O59" i="84"/>
  <c r="O70" i="84" s="1"/>
  <c r="G31" i="117"/>
  <c r="K31" i="117" s="1"/>
  <c r="O28" i="84"/>
  <c r="S17" i="84"/>
  <c r="U32" i="158"/>
  <c r="G34" i="134"/>
  <c r="O34" i="134"/>
  <c r="C50" i="134"/>
  <c r="BE120" i="91"/>
  <c r="BM120" i="91" s="1"/>
  <c r="BF86" i="91"/>
  <c r="BM86" i="91"/>
  <c r="O38" i="134"/>
  <c r="O54" i="134" s="1"/>
  <c r="C54" i="134"/>
  <c r="O78" i="141"/>
  <c r="O118" i="141" s="1"/>
  <c r="N38" i="123"/>
  <c r="M38" i="123" s="1"/>
  <c r="O80" i="141"/>
  <c r="O120" i="141" s="1"/>
  <c r="N40" i="123"/>
  <c r="M40" i="123" s="1"/>
  <c r="K193" i="105"/>
  <c r="M42" i="157"/>
  <c r="O42" i="157" s="1"/>
  <c r="AB47" i="131"/>
  <c r="AH34" i="158" s="1"/>
  <c r="V34" i="158" s="1"/>
  <c r="E37" i="134"/>
  <c r="F123" i="158"/>
  <c r="AN77" i="105"/>
  <c r="AL127" i="105"/>
  <c r="G37" i="16"/>
  <c r="S37" i="16" s="1"/>
  <c r="O33" i="73"/>
  <c r="O43" i="73" s="1"/>
  <c r="K43" i="73"/>
  <c r="K32" i="117"/>
  <c r="M51" i="117"/>
  <c r="U42" i="105"/>
  <c r="AP51" i="117"/>
  <c r="O35" i="134"/>
  <c r="O51" i="134" s="1"/>
  <c r="C51" i="134"/>
  <c r="AG31" i="158"/>
  <c r="K36" i="117"/>
  <c r="AI35" i="158"/>
  <c r="U35" i="158"/>
  <c r="I41" i="16" l="1"/>
  <c r="K41" i="16" s="1"/>
  <c r="AI32" i="158"/>
  <c r="S47" i="16"/>
  <c r="G123" i="158"/>
  <c r="AI37" i="158"/>
  <c r="M78" i="141"/>
  <c r="M118" i="141" s="1"/>
  <c r="U59" i="92"/>
  <c r="U70" i="92" s="1"/>
  <c r="AA17" i="92"/>
  <c r="W17" i="92"/>
  <c r="U28" i="92"/>
  <c r="Y17" i="115"/>
  <c r="O119" i="123"/>
  <c r="O79" i="123" s="1"/>
  <c r="AD35" i="158"/>
  <c r="M81" i="141"/>
  <c r="M121" i="141" s="1"/>
  <c r="M75" i="141"/>
  <c r="T55" i="16"/>
  <c r="E48" i="16"/>
  <c r="M77" i="141"/>
  <c r="M117" i="141" s="1"/>
  <c r="U37" i="161"/>
  <c r="S39" i="134"/>
  <c r="S55" i="134" s="1"/>
  <c r="G55" i="134"/>
  <c r="BN87" i="91"/>
  <c r="BF121" i="91"/>
  <c r="BN121" i="91" s="1"/>
  <c r="W35" i="158"/>
  <c r="U78" i="158"/>
  <c r="U121" i="158" s="1"/>
  <c r="I108" i="105"/>
  <c r="AM42" i="157"/>
  <c r="U193" i="105"/>
  <c r="G118" i="158"/>
  <c r="N77" i="141"/>
  <c r="N117" i="141" s="1"/>
  <c r="AZ79" i="105"/>
  <c r="I48" i="117"/>
  <c r="K48" i="117"/>
  <c r="W37" i="158"/>
  <c r="U80" i="158"/>
  <c r="U123" i="158" s="1"/>
  <c r="O42" i="67"/>
  <c r="Y34" i="117"/>
  <c r="G36" i="81"/>
  <c r="I36" i="81" s="1"/>
  <c r="M36" i="81" s="1"/>
  <c r="W48" i="117"/>
  <c r="E37" i="164"/>
  <c r="Q37" i="164" s="1"/>
  <c r="G37" i="81"/>
  <c r="I37" i="81" s="1"/>
  <c r="M37" i="81" s="1"/>
  <c r="Y35" i="117"/>
  <c r="W49" i="117"/>
  <c r="E38" i="164"/>
  <c r="Q38" i="164" s="1"/>
  <c r="N81" i="141"/>
  <c r="N121" i="141" s="1"/>
  <c r="E55" i="134"/>
  <c r="Q39" i="134"/>
  <c r="Q55" i="134" s="1"/>
  <c r="M45" i="117"/>
  <c r="AP45" i="117"/>
  <c r="U36" i="105"/>
  <c r="AC31" i="92"/>
  <c r="O50" i="134"/>
  <c r="Y32" i="117"/>
  <c r="G34" i="81"/>
  <c r="I34" i="81" s="1"/>
  <c r="M34" i="81" s="1"/>
  <c r="W46" i="117"/>
  <c r="E35" i="164"/>
  <c r="Q35" i="164" s="1"/>
  <c r="G35" i="81"/>
  <c r="I35" i="81" s="1"/>
  <c r="M35" i="81" s="1"/>
  <c r="Y33" i="117"/>
  <c r="W47" i="117"/>
  <c r="E36" i="164"/>
  <c r="Q36" i="164" s="1"/>
  <c r="G74" i="158"/>
  <c r="AI34" i="158"/>
  <c r="AR94" i="92"/>
  <c r="Y63" i="92"/>
  <c r="AI21" i="92"/>
  <c r="N76" i="141"/>
  <c r="N116" i="141" s="1"/>
  <c r="V79" i="158"/>
  <c r="AH79" i="158" s="1"/>
  <c r="Q36" i="134"/>
  <c r="Q52" i="134" s="1"/>
  <c r="E52" i="134"/>
  <c r="H79" i="158"/>
  <c r="AI36" i="158"/>
  <c r="BF120" i="91"/>
  <c r="BN120" i="91" s="1"/>
  <c r="BN86" i="91"/>
  <c r="N80" i="141"/>
  <c r="N120" i="141" s="1"/>
  <c r="U77" i="158"/>
  <c r="W34" i="158"/>
  <c r="V76" i="158"/>
  <c r="AH76" i="158" s="1"/>
  <c r="S34" i="134"/>
  <c r="G50" i="134"/>
  <c r="Y41" i="157"/>
  <c r="AI18" i="92"/>
  <c r="Y60" i="92"/>
  <c r="AR91" i="92"/>
  <c r="U35" i="161"/>
  <c r="BN85" i="91"/>
  <c r="BF119" i="91"/>
  <c r="BF92" i="91"/>
  <c r="AD117" i="158"/>
  <c r="N79" i="141"/>
  <c r="N119" i="141" s="1"/>
  <c r="S40" i="134"/>
  <c r="S56" i="134" s="1"/>
  <c r="G56" i="134"/>
  <c r="W36" i="158"/>
  <c r="U79" i="158"/>
  <c r="AH31" i="158"/>
  <c r="AI31" i="158" s="1"/>
  <c r="AZ77" i="105"/>
  <c r="I46" i="117"/>
  <c r="K46" i="117"/>
  <c r="AI19" i="92"/>
  <c r="AR92" i="92"/>
  <c r="Y61" i="92"/>
  <c r="M76" i="141"/>
  <c r="M116" i="141" s="1"/>
  <c r="BM92" i="91"/>
  <c r="U36" i="161"/>
  <c r="H31" i="158"/>
  <c r="AR93" i="92"/>
  <c r="Y62" i="92"/>
  <c r="AI20" i="92"/>
  <c r="AG74" i="158"/>
  <c r="N78" i="141"/>
  <c r="N118" i="141" s="1"/>
  <c r="U75" i="158"/>
  <c r="U118" i="158" s="1"/>
  <c r="W32" i="158"/>
  <c r="E50" i="134"/>
  <c r="Q34" i="134"/>
  <c r="U76" i="158"/>
  <c r="W33" i="158"/>
  <c r="M188" i="105"/>
  <c r="C37" i="67"/>
  <c r="C37" i="16"/>
  <c r="I37" i="16" s="1"/>
  <c r="K37" i="16" s="1"/>
  <c r="G32" i="98"/>
  <c r="I32" i="98" s="1"/>
  <c r="E54" i="134"/>
  <c r="Q38" i="134"/>
  <c r="Q54" i="134" s="1"/>
  <c r="I34" i="17"/>
  <c r="O36" i="67"/>
  <c r="BE126" i="91"/>
  <c r="BM119" i="91"/>
  <c r="BM126" i="91" s="1"/>
  <c r="O115" i="141"/>
  <c r="I47" i="117"/>
  <c r="AZ78" i="105"/>
  <c r="K47" i="117"/>
  <c r="H74" i="158"/>
  <c r="AD74" i="158"/>
  <c r="S59" i="84"/>
  <c r="O41" i="67"/>
  <c r="AL137" i="105"/>
  <c r="AI33" i="158"/>
  <c r="AR96" i="92"/>
  <c r="Y65" i="92"/>
  <c r="AI23" i="92"/>
  <c r="V78" i="158"/>
  <c r="AH78" i="158" s="1"/>
  <c r="I36" i="16"/>
  <c r="K36" i="16" s="1"/>
  <c r="AR95" i="92"/>
  <c r="Y64" i="92"/>
  <c r="AI22" i="92"/>
  <c r="S28" i="92"/>
  <c r="S59" i="92"/>
  <c r="S70" i="92" s="1"/>
  <c r="AC17" i="92"/>
  <c r="W31" i="117"/>
  <c r="G31" i="98" s="1"/>
  <c r="AG17" i="92"/>
  <c r="Y17" i="92"/>
  <c r="V75" i="158"/>
  <c r="V118" i="158" s="1"/>
  <c r="U191" i="105"/>
  <c r="AM40" i="157"/>
  <c r="I106" i="105"/>
  <c r="G33" i="98"/>
  <c r="I33" i="98" s="1"/>
  <c r="M47" i="157"/>
  <c r="S36" i="134"/>
  <c r="S52" i="134" s="1"/>
  <c r="G52" i="134"/>
  <c r="E51" i="134"/>
  <c r="Q35" i="134"/>
  <c r="Q51" i="134" s="1"/>
  <c r="S35" i="134"/>
  <c r="S51" i="134" s="1"/>
  <c r="G51" i="134"/>
  <c r="S38" i="134"/>
  <c r="S54" i="134" s="1"/>
  <c r="G54" i="134"/>
  <c r="AN87" i="105"/>
  <c r="K20" i="131"/>
  <c r="I20" i="131"/>
  <c r="E53" i="134"/>
  <c r="Q37" i="134"/>
  <c r="Q53" i="134" s="1"/>
  <c r="G33" i="82"/>
  <c r="G42" i="117"/>
  <c r="I31" i="117"/>
  <c r="I42" i="117" s="1"/>
  <c r="G45" i="117"/>
  <c r="K45" i="117" s="1"/>
  <c r="I34" i="161"/>
  <c r="G47" i="16"/>
  <c r="I22" i="131"/>
  <c r="K22" i="131"/>
  <c r="U38" i="161"/>
  <c r="E38" i="163"/>
  <c r="Q38" i="163" s="1"/>
  <c r="I50" i="117"/>
  <c r="AZ81" i="105"/>
  <c r="K50" i="117"/>
  <c r="Y37" i="117"/>
  <c r="G39" i="81"/>
  <c r="I39" i="81" s="1"/>
  <c r="M39" i="81" s="1"/>
  <c r="W51" i="117"/>
  <c r="E40" i="164"/>
  <c r="Q40" i="164" s="1"/>
  <c r="O40" i="67"/>
  <c r="V80" i="158"/>
  <c r="AH80" i="158" s="1"/>
  <c r="G38" i="81"/>
  <c r="I38" i="81" s="1"/>
  <c r="M38" i="81" s="1"/>
  <c r="Y36" i="117"/>
  <c r="W50" i="117"/>
  <c r="E39" i="164"/>
  <c r="Q39" i="164" s="1"/>
  <c r="U40" i="161"/>
  <c r="Y38" i="157"/>
  <c r="M80" i="141"/>
  <c r="M120" i="141" s="1"/>
  <c r="H123" i="158"/>
  <c r="U39" i="161"/>
  <c r="N75" i="141"/>
  <c r="AD37" i="158"/>
  <c r="O121" i="123"/>
  <c r="O81" i="123" s="1"/>
  <c r="V77" i="158"/>
  <c r="AH77" i="158" s="1"/>
  <c r="I18" i="131"/>
  <c r="K18" i="131"/>
  <c r="I49" i="117"/>
  <c r="AZ80" i="105"/>
  <c r="G37" i="134"/>
  <c r="M39" i="123"/>
  <c r="E56" i="134"/>
  <c r="Q40" i="134"/>
  <c r="Q56" i="134" s="1"/>
  <c r="AZ82" i="105"/>
  <c r="I51" i="117"/>
  <c r="E39" i="163" l="1"/>
  <c r="Q39" i="163" s="1"/>
  <c r="E36" i="163"/>
  <c r="Q36" i="163" s="1"/>
  <c r="V119" i="158"/>
  <c r="AH119" i="158" s="1"/>
  <c r="V123" i="158"/>
  <c r="AH123" i="158" s="1"/>
  <c r="E40" i="163"/>
  <c r="Q40" i="163" s="1"/>
  <c r="V120" i="158"/>
  <c r="AH120" i="158" s="1"/>
  <c r="G42" i="98"/>
  <c r="I31" i="98"/>
  <c r="I42" i="98" s="1"/>
  <c r="AG117" i="158"/>
  <c r="AD31" i="158"/>
  <c r="O115" i="123"/>
  <c r="AG28" i="92"/>
  <c r="AG59" i="92"/>
  <c r="AG70" i="92" s="1"/>
  <c r="V121" i="158"/>
  <c r="AH121" i="158" s="1"/>
  <c r="W76" i="158"/>
  <c r="AG76" i="158"/>
  <c r="AI76" i="158" s="1"/>
  <c r="AI61" i="92"/>
  <c r="AK19" i="92"/>
  <c r="AK61" i="92" s="1"/>
  <c r="S33" i="117"/>
  <c r="BT19" i="92"/>
  <c r="W77" i="158"/>
  <c r="AG77" i="158"/>
  <c r="AI77" i="158" s="1"/>
  <c r="E37" i="163"/>
  <c r="Q37" i="163" s="1"/>
  <c r="BA77" i="105"/>
  <c r="BA117" i="105" s="1"/>
  <c r="Y46" i="117"/>
  <c r="AD33" i="158"/>
  <c r="O117" i="123"/>
  <c r="O77" i="123" s="1"/>
  <c r="AZ117" i="105"/>
  <c r="AI60" i="92"/>
  <c r="AK18" i="92"/>
  <c r="AK60" i="92" s="1"/>
  <c r="S32" i="117"/>
  <c r="BT18" i="92"/>
  <c r="W80" i="158"/>
  <c r="AG80" i="158"/>
  <c r="AI80" i="158" s="1"/>
  <c r="N79" i="123"/>
  <c r="M79" i="123" s="1"/>
  <c r="U55" i="16"/>
  <c r="G48" i="16"/>
  <c r="AZ118" i="105"/>
  <c r="Y28" i="115"/>
  <c r="AC17" i="115"/>
  <c r="AC28" i="115" s="1"/>
  <c r="BT22" i="92"/>
  <c r="AI64" i="92"/>
  <c r="AK22" i="92"/>
  <c r="AK64" i="92" s="1"/>
  <c r="S36" i="117"/>
  <c r="W118" i="158"/>
  <c r="AG118" i="158"/>
  <c r="Y49" i="117"/>
  <c r="BA80" i="105"/>
  <c r="BA120" i="105" s="1"/>
  <c r="AD34" i="158"/>
  <c r="O118" i="123"/>
  <c r="O78" i="123" s="1"/>
  <c r="AG121" i="158"/>
  <c r="I33" i="82"/>
  <c r="G43" i="82"/>
  <c r="BT20" i="92"/>
  <c r="AK20" i="92"/>
  <c r="AK62" i="92" s="1"/>
  <c r="S34" i="117"/>
  <c r="AI62" i="92"/>
  <c r="Y42" i="157"/>
  <c r="Q45" i="134"/>
  <c r="S39" i="130" s="1"/>
  <c r="U39" i="128" s="1"/>
  <c r="Q50" i="134"/>
  <c r="Q61" i="134" s="1"/>
  <c r="M79" i="141"/>
  <c r="M119" i="141" s="1"/>
  <c r="BA82" i="105"/>
  <c r="BA122" i="105" s="1"/>
  <c r="Y51" i="117"/>
  <c r="U34" i="161"/>
  <c r="U44" i="161" s="1"/>
  <c r="I44" i="161"/>
  <c r="AH74" i="158"/>
  <c r="W78" i="158"/>
  <c r="AG78" i="158"/>
  <c r="AI78" i="158" s="1"/>
  <c r="W28" i="92"/>
  <c r="W59" i="92"/>
  <c r="W70" i="92" s="1"/>
  <c r="Y59" i="92"/>
  <c r="Y70" i="92" s="1"/>
  <c r="AI17" i="92"/>
  <c r="Y28" i="92"/>
  <c r="AR90" i="92"/>
  <c r="AR98" i="92" s="1"/>
  <c r="AI65" i="92"/>
  <c r="AK23" i="92"/>
  <c r="AK65" i="92" s="1"/>
  <c r="S37" i="117"/>
  <c r="BT23" i="92"/>
  <c r="R35" i="158"/>
  <c r="S37" i="134"/>
  <c r="S53" i="134" s="1"/>
  <c r="G53" i="134"/>
  <c r="I45" i="117"/>
  <c r="I56" i="117" s="1"/>
  <c r="G56" i="117"/>
  <c r="AZ76" i="105"/>
  <c r="W75" i="158"/>
  <c r="AG75" i="158"/>
  <c r="BF126" i="91"/>
  <c r="BN119" i="91"/>
  <c r="S50" i="134"/>
  <c r="G117" i="158"/>
  <c r="AE74" i="158"/>
  <c r="AZ119" i="105"/>
  <c r="AA28" i="92"/>
  <c r="AA59" i="92"/>
  <c r="AA70" i="92" s="1"/>
  <c r="AD32" i="158"/>
  <c r="O116" i="123"/>
  <c r="O76" i="123" s="1"/>
  <c r="W123" i="158"/>
  <c r="AG123" i="158"/>
  <c r="AI123" i="158" s="1"/>
  <c r="R37" i="158"/>
  <c r="Y40" i="157"/>
  <c r="O37" i="67"/>
  <c r="AM36" i="157"/>
  <c r="AC28" i="92"/>
  <c r="AC59" i="92"/>
  <c r="AC70" i="92" s="1"/>
  <c r="BT21" i="92"/>
  <c r="AI63" i="92"/>
  <c r="AK21" i="92"/>
  <c r="AK63" i="92" s="1"/>
  <c r="S35" i="117"/>
  <c r="N81" i="123"/>
  <c r="M81" i="123" s="1"/>
  <c r="AZ120" i="105"/>
  <c r="AD36" i="158"/>
  <c r="O120" i="123"/>
  <c r="O80" i="123" s="1"/>
  <c r="AH118" i="158"/>
  <c r="U122" i="158"/>
  <c r="AG79" i="158"/>
  <c r="AI79" i="158" s="1"/>
  <c r="W79" i="158"/>
  <c r="Y47" i="117"/>
  <c r="BA78" i="105"/>
  <c r="BA118" i="105" s="1"/>
  <c r="Y48" i="117"/>
  <c r="BA79" i="105"/>
  <c r="BA119" i="105" s="1"/>
  <c r="AZ122" i="105"/>
  <c r="G33" i="81"/>
  <c r="Y31" i="117"/>
  <c r="Y42" i="117" s="1"/>
  <c r="W42" i="117"/>
  <c r="W45" i="117"/>
  <c r="E34" i="164"/>
  <c r="E34" i="163" s="1"/>
  <c r="N115" i="141"/>
  <c r="BA81" i="105"/>
  <c r="BA121" i="105" s="1"/>
  <c r="Y50" i="117"/>
  <c r="AZ121" i="105"/>
  <c r="AH75" i="158"/>
  <c r="U119" i="158"/>
  <c r="E35" i="163"/>
  <c r="Q35" i="163" s="1"/>
  <c r="U120" i="158"/>
  <c r="V122" i="158"/>
  <c r="AH122" i="158" s="1"/>
  <c r="H118" i="158"/>
  <c r="M115" i="141"/>
  <c r="BC120" i="105" l="1"/>
  <c r="BC80" i="105"/>
  <c r="BC77" i="105"/>
  <c r="BC82" i="105"/>
  <c r="BC117" i="105"/>
  <c r="BC119" i="105"/>
  <c r="BC78" i="105"/>
  <c r="AI75" i="158"/>
  <c r="AI121" i="158"/>
  <c r="W121" i="158"/>
  <c r="P79" i="123"/>
  <c r="P119" i="123" s="1"/>
  <c r="M119" i="123"/>
  <c r="BC121" i="105"/>
  <c r="Q34" i="163"/>
  <c r="Q44" i="163" s="1"/>
  <c r="E44" i="163"/>
  <c r="G36" i="93"/>
  <c r="I36" i="93" s="1"/>
  <c r="M36" i="93" s="1"/>
  <c r="BT64" i="92"/>
  <c r="AI59" i="92"/>
  <c r="AK17" i="92"/>
  <c r="BT17" i="92"/>
  <c r="BT28" i="92" s="1"/>
  <c r="S31" i="117"/>
  <c r="R33" i="158"/>
  <c r="Q34" i="164"/>
  <c r="Q44" i="164" s="1"/>
  <c r="E44" i="164"/>
  <c r="BC118" i="105"/>
  <c r="N80" i="123"/>
  <c r="M80" i="123" s="1"/>
  <c r="AA34" i="117"/>
  <c r="AC34" i="117"/>
  <c r="AR34" i="117"/>
  <c r="S48" i="117"/>
  <c r="C34" i="98"/>
  <c r="AA32" i="117"/>
  <c r="AC32" i="117"/>
  <c r="AR32" i="117"/>
  <c r="C32" i="98"/>
  <c r="S46" i="117"/>
  <c r="BT61" i="92"/>
  <c r="G33" i="93"/>
  <c r="I33" i="93" s="1"/>
  <c r="M33" i="93" s="1"/>
  <c r="R80" i="158"/>
  <c r="BC122" i="105"/>
  <c r="O75" i="123"/>
  <c r="AR33" i="117"/>
  <c r="AC33" i="117"/>
  <c r="AA33" i="117"/>
  <c r="C33" i="98"/>
  <c r="S47" i="117"/>
  <c r="G32" i="93"/>
  <c r="I32" i="93" s="1"/>
  <c r="M32" i="93" s="1"/>
  <c r="BT60" i="92"/>
  <c r="BJ80" i="105"/>
  <c r="BE80" i="105"/>
  <c r="G40" i="17"/>
  <c r="S40" i="17" s="1"/>
  <c r="Y36" i="157"/>
  <c r="AE117" i="158"/>
  <c r="H117" i="158"/>
  <c r="AA37" i="117"/>
  <c r="AR37" i="117"/>
  <c r="AC37" i="117"/>
  <c r="S51" i="117"/>
  <c r="C37" i="98"/>
  <c r="AH117" i="158"/>
  <c r="G37" i="17"/>
  <c r="S37" i="17" s="1"/>
  <c r="BJ77" i="105"/>
  <c r="BE77" i="105"/>
  <c r="BJ78" i="105"/>
  <c r="BE78" i="105"/>
  <c r="G38" i="17"/>
  <c r="S38" i="17" s="1"/>
  <c r="P81" i="123"/>
  <c r="M121" i="123"/>
  <c r="M33" i="82"/>
  <c r="M43" i="82" s="1"/>
  <c r="I43" i="82"/>
  <c r="AI118" i="158"/>
  <c r="AI74" i="158"/>
  <c r="G35" i="93"/>
  <c r="I35" i="93" s="1"/>
  <c r="M35" i="93" s="1"/>
  <c r="BT63" i="92"/>
  <c r="R34" i="158"/>
  <c r="R78" i="158"/>
  <c r="R121" i="158" s="1"/>
  <c r="W119" i="158"/>
  <c r="AG119" i="158"/>
  <c r="AI119" i="158" s="1"/>
  <c r="R36" i="158"/>
  <c r="BJ82" i="105"/>
  <c r="BE82" i="105"/>
  <c r="G42" i="17"/>
  <c r="S42" i="17" s="1"/>
  <c r="Q81" i="123"/>
  <c r="Q121" i="123" s="1"/>
  <c r="N121" i="123"/>
  <c r="N76" i="123"/>
  <c r="M76" i="123" s="1"/>
  <c r="AZ36" i="105"/>
  <c r="AZ116" i="105" s="1"/>
  <c r="AZ87" i="105"/>
  <c r="AZ89" i="105" s="1"/>
  <c r="G37" i="93"/>
  <c r="I37" i="93" s="1"/>
  <c r="M37" i="93" s="1"/>
  <c r="BT65" i="92"/>
  <c r="S68" i="16"/>
  <c r="AI117" i="158"/>
  <c r="BA76" i="105"/>
  <c r="BC76" i="105" s="1"/>
  <c r="Y45" i="117"/>
  <c r="Y56" i="117" s="1"/>
  <c r="W56" i="117"/>
  <c r="I33" i="81"/>
  <c r="G43" i="81"/>
  <c r="BC81" i="105"/>
  <c r="W122" i="158"/>
  <c r="AG122" i="158"/>
  <c r="AI122" i="158" s="1"/>
  <c r="AR35" i="117"/>
  <c r="AC35" i="117"/>
  <c r="AA35" i="117"/>
  <c r="C35" i="98"/>
  <c r="S49" i="117"/>
  <c r="R32" i="158"/>
  <c r="AF74" i="158"/>
  <c r="W120" i="158"/>
  <c r="AG120" i="158"/>
  <c r="AI120" i="158" s="1"/>
  <c r="BC79" i="105"/>
  <c r="G34" i="93"/>
  <c r="I34" i="93" s="1"/>
  <c r="M34" i="93" s="1"/>
  <c r="BT62" i="92"/>
  <c r="N78" i="123"/>
  <c r="M78" i="123" s="1"/>
  <c r="AC36" i="117"/>
  <c r="AR36" i="117"/>
  <c r="AA36" i="117"/>
  <c r="C36" i="98"/>
  <c r="S50" i="117"/>
  <c r="Q79" i="123"/>
  <c r="Q119" i="123" s="1"/>
  <c r="N119" i="123"/>
  <c r="N77" i="123"/>
  <c r="M77" i="123" s="1"/>
  <c r="G43" i="98"/>
  <c r="P78" i="123" l="1"/>
  <c r="M118" i="123"/>
  <c r="P76" i="123"/>
  <c r="M116" i="123"/>
  <c r="P80" i="123"/>
  <c r="M120" i="123"/>
  <c r="P77" i="123"/>
  <c r="M117" i="123"/>
  <c r="BJ76" i="105"/>
  <c r="BE76" i="105"/>
  <c r="BC87" i="105"/>
  <c r="AA48" i="117"/>
  <c r="AR48" i="117"/>
  <c r="AC48" i="117"/>
  <c r="W39" i="105"/>
  <c r="AC47" i="117"/>
  <c r="AA47" i="117"/>
  <c r="W38" i="105"/>
  <c r="AR47" i="117"/>
  <c r="AA31" i="117"/>
  <c r="AR31" i="117"/>
  <c r="AR42" i="117" s="1"/>
  <c r="AC31" i="117"/>
  <c r="S45" i="117"/>
  <c r="C31" i="98"/>
  <c r="Q77" i="123"/>
  <c r="Q117" i="123" s="1"/>
  <c r="N117" i="123"/>
  <c r="BJ79" i="105"/>
  <c r="BE79" i="105"/>
  <c r="G39" i="17"/>
  <c r="S39" i="17" s="1"/>
  <c r="AD121" i="158"/>
  <c r="AC46" i="117"/>
  <c r="W37" i="105"/>
  <c r="AA46" i="117"/>
  <c r="AR46" i="117"/>
  <c r="G31" i="93"/>
  <c r="BT59" i="92"/>
  <c r="BT70" i="92" s="1"/>
  <c r="R79" i="158"/>
  <c r="AK59" i="92"/>
  <c r="AR50" i="117"/>
  <c r="AA50" i="117"/>
  <c r="AC50" i="117"/>
  <c r="W41" i="105"/>
  <c r="AD78" i="158"/>
  <c r="R81" i="123"/>
  <c r="P121" i="123"/>
  <c r="M37" i="98"/>
  <c r="K37" i="98"/>
  <c r="AI37" i="117" s="1"/>
  <c r="K32" i="98"/>
  <c r="AI32" i="117" s="1"/>
  <c r="M32" i="98"/>
  <c r="Q76" i="123"/>
  <c r="Q116" i="123" s="1"/>
  <c r="N116" i="123"/>
  <c r="AC51" i="117"/>
  <c r="AR51" i="117"/>
  <c r="W42" i="105"/>
  <c r="AA51" i="117"/>
  <c r="N75" i="123"/>
  <c r="M75" i="123" s="1"/>
  <c r="Q80" i="123"/>
  <c r="Q120" i="123" s="1"/>
  <c r="N120" i="123"/>
  <c r="M36" i="98"/>
  <c r="K36" i="98"/>
  <c r="AI36" i="117" s="1"/>
  <c r="R77" i="158"/>
  <c r="R120" i="158" s="1"/>
  <c r="AC49" i="117"/>
  <c r="AR49" i="117"/>
  <c r="AA49" i="117"/>
  <c r="W40" i="105"/>
  <c r="AZ127" i="105"/>
  <c r="R75" i="158"/>
  <c r="R118" i="158" s="1"/>
  <c r="AF117" i="158"/>
  <c r="BA87" i="105"/>
  <c r="BA89" i="105" s="1"/>
  <c r="BC89" i="105" s="1"/>
  <c r="BE90" i="105" s="1"/>
  <c r="BA116" i="105"/>
  <c r="BA127" i="105" s="1"/>
  <c r="K33" i="98"/>
  <c r="AI33" i="117" s="1"/>
  <c r="M33" i="98"/>
  <c r="K35" i="98"/>
  <c r="AI35" i="117" s="1"/>
  <c r="M35" i="98"/>
  <c r="BE81" i="105"/>
  <c r="G41" i="17"/>
  <c r="S41" i="17" s="1"/>
  <c r="BJ81" i="105"/>
  <c r="R123" i="158"/>
  <c r="AD80" i="158"/>
  <c r="R76" i="158"/>
  <c r="BC36" i="105"/>
  <c r="AZ47" i="105"/>
  <c r="AZ49" i="105" s="1"/>
  <c r="R79" i="123"/>
  <c r="Q78" i="123"/>
  <c r="Q118" i="123" s="1"/>
  <c r="N118" i="123"/>
  <c r="M33" i="81"/>
  <c r="M43" i="81" s="1"/>
  <c r="I43" i="81"/>
  <c r="M34" i="98"/>
  <c r="K34" i="98"/>
  <c r="AI34" i="117" s="1"/>
  <c r="BJ87" i="105" l="1"/>
  <c r="AD118" i="158"/>
  <c r="AD120" i="158"/>
  <c r="P75" i="123"/>
  <c r="M115" i="123"/>
  <c r="AE33" i="158"/>
  <c r="O117" i="124"/>
  <c r="O77" i="124" s="1"/>
  <c r="BC116" i="105"/>
  <c r="BC127" i="105" s="1"/>
  <c r="W191" i="105"/>
  <c r="K106" i="105"/>
  <c r="AO40" i="157"/>
  <c r="Y40" i="105"/>
  <c r="G40" i="67"/>
  <c r="BE87" i="105"/>
  <c r="AE35" i="158"/>
  <c r="O119" i="124"/>
  <c r="O79" i="124" s="1"/>
  <c r="AD123" i="158"/>
  <c r="K107" i="105"/>
  <c r="W192" i="105"/>
  <c r="AO41" i="157"/>
  <c r="G41" i="67"/>
  <c r="Y41" i="105"/>
  <c r="K31" i="98"/>
  <c r="M31" i="98"/>
  <c r="AD79" i="158"/>
  <c r="Q75" i="123"/>
  <c r="N115" i="123"/>
  <c r="AE32" i="158"/>
  <c r="O116" i="124"/>
  <c r="O76" i="124" s="1"/>
  <c r="W36" i="105"/>
  <c r="W201" i="105" s="1"/>
  <c r="AA45" i="117"/>
  <c r="AR45" i="117"/>
  <c r="AR56" i="117" s="1"/>
  <c r="W51" i="105" s="1"/>
  <c r="AC45" i="117"/>
  <c r="R77" i="123"/>
  <c r="P117" i="123"/>
  <c r="AE36" i="158"/>
  <c r="O120" i="124"/>
  <c r="O80" i="124" s="1"/>
  <c r="W188" i="105"/>
  <c r="AO37" i="157"/>
  <c r="G37" i="67"/>
  <c r="Y37" i="105"/>
  <c r="W190" i="105"/>
  <c r="K105" i="105"/>
  <c r="AO39" i="157"/>
  <c r="W53" i="105"/>
  <c r="Y39" i="105"/>
  <c r="G39" i="67"/>
  <c r="AD76" i="158"/>
  <c r="V79" i="123"/>
  <c r="R119" i="123"/>
  <c r="O121" i="124"/>
  <c r="O81" i="124" s="1"/>
  <c r="AE37" i="158"/>
  <c r="P120" i="123"/>
  <c r="R80" i="123"/>
  <c r="BC49" i="105"/>
  <c r="K43" i="130"/>
  <c r="O43" i="130" s="1"/>
  <c r="W193" i="105"/>
  <c r="AO42" i="157"/>
  <c r="K108" i="105"/>
  <c r="G42" i="67"/>
  <c r="Y42" i="105"/>
  <c r="V81" i="123"/>
  <c r="R121" i="123"/>
  <c r="AD75" i="158"/>
  <c r="O118" i="124"/>
  <c r="O78" i="124" s="1"/>
  <c r="AE34" i="158"/>
  <c r="R76" i="123"/>
  <c r="P116" i="123"/>
  <c r="G40" i="93"/>
  <c r="I31" i="93"/>
  <c r="BJ36" i="105"/>
  <c r="BJ47" i="105" s="1"/>
  <c r="E36" i="17"/>
  <c r="BF36" i="105"/>
  <c r="BE36" i="105"/>
  <c r="BE47" i="105" s="1"/>
  <c r="BC47" i="105"/>
  <c r="R119" i="158"/>
  <c r="AD77" i="158"/>
  <c r="R122" i="158"/>
  <c r="W189" i="105"/>
  <c r="AO38" i="157"/>
  <c r="Y38" i="105"/>
  <c r="G38" i="67"/>
  <c r="R78" i="123"/>
  <c r="P118" i="123"/>
  <c r="AA37" i="157" l="1"/>
  <c r="AC37" i="157" s="1"/>
  <c r="AQ37" i="157"/>
  <c r="S38" i="67"/>
  <c r="N76" i="124"/>
  <c r="M76" i="124" s="1"/>
  <c r="AA41" i="157"/>
  <c r="AC41" i="157" s="1"/>
  <c r="AQ41" i="157"/>
  <c r="AA40" i="157"/>
  <c r="AC40" i="157" s="1"/>
  <c r="AQ40" i="157"/>
  <c r="N80" i="124"/>
  <c r="M80" i="124" s="1"/>
  <c r="S39" i="67"/>
  <c r="Q115" i="123"/>
  <c r="N78" i="124"/>
  <c r="M78" i="124" s="1"/>
  <c r="Y190" i="105"/>
  <c r="C39" i="17"/>
  <c r="V77" i="123"/>
  <c r="R117" i="123"/>
  <c r="R75" i="123"/>
  <c r="P115" i="123"/>
  <c r="AO36" i="157"/>
  <c r="G36" i="67"/>
  <c r="Y36" i="105"/>
  <c r="BE50" i="105"/>
  <c r="G23" i="132"/>
  <c r="Y43" i="130" s="1"/>
  <c r="AD119" i="158"/>
  <c r="AA38" i="157"/>
  <c r="AQ38" i="157"/>
  <c r="U74" i="130"/>
  <c r="V80" i="123"/>
  <c r="R120" i="123"/>
  <c r="AA39" i="157"/>
  <c r="AQ39" i="157"/>
  <c r="N79" i="124"/>
  <c r="M79" i="124" s="1"/>
  <c r="AA42" i="157"/>
  <c r="AC42" i="157" s="1"/>
  <c r="AQ42" i="157"/>
  <c r="S36" i="158"/>
  <c r="AF36" i="158"/>
  <c r="S33" i="158"/>
  <c r="AF33" i="158"/>
  <c r="S35" i="158"/>
  <c r="AF35" i="158"/>
  <c r="C42" i="17"/>
  <c r="M108" i="105"/>
  <c r="Y193" i="105"/>
  <c r="S37" i="158"/>
  <c r="AF37" i="158"/>
  <c r="Y189" i="105"/>
  <c r="C38" i="17"/>
  <c r="N77" i="124"/>
  <c r="M77" i="124" s="1"/>
  <c r="AD122" i="158"/>
  <c r="V78" i="123"/>
  <c r="R118" i="123"/>
  <c r="V76" i="123"/>
  <c r="R116" i="123"/>
  <c r="S42" i="67"/>
  <c r="E42" i="67"/>
  <c r="Q42" i="67" s="1"/>
  <c r="N81" i="124"/>
  <c r="M81" i="124" s="1"/>
  <c r="Y188" i="105"/>
  <c r="C37" i="17"/>
  <c r="M103" i="105"/>
  <c r="AI31" i="117"/>
  <c r="S40" i="67"/>
  <c r="E40" i="67"/>
  <c r="Q40" i="67" s="1"/>
  <c r="S41" i="67"/>
  <c r="E41" i="67"/>
  <c r="Q41" i="67" s="1"/>
  <c r="S32" i="158"/>
  <c r="AF32" i="158"/>
  <c r="Q36" i="17"/>
  <c r="Q47" i="17" s="1"/>
  <c r="E47" i="17"/>
  <c r="E48" i="17" s="1"/>
  <c r="G36" i="17"/>
  <c r="G47" i="17" s="1"/>
  <c r="M31" i="93"/>
  <c r="S34" i="158"/>
  <c r="AF34" i="158"/>
  <c r="U72" i="130"/>
  <c r="S37" i="67"/>
  <c r="E37" i="67"/>
  <c r="Q37" i="67" s="1"/>
  <c r="O115" i="124"/>
  <c r="AE31" i="158"/>
  <c r="M107" i="105"/>
  <c r="Y192" i="105"/>
  <c r="C41" i="17"/>
  <c r="M106" i="105"/>
  <c r="Y191" i="105"/>
  <c r="C40" i="17"/>
  <c r="P77" i="124" l="1"/>
  <c r="M117" i="124"/>
  <c r="P81" i="124"/>
  <c r="M121" i="124"/>
  <c r="K41" i="17"/>
  <c r="I41" i="17"/>
  <c r="S77" i="158"/>
  <c r="K37" i="17"/>
  <c r="I37" i="17"/>
  <c r="P79" i="124"/>
  <c r="M119" i="124"/>
  <c r="U70" i="130"/>
  <c r="P78" i="124"/>
  <c r="M118" i="124"/>
  <c r="S78" i="158"/>
  <c r="S121" i="158" s="1"/>
  <c r="T35" i="158"/>
  <c r="Q79" i="124"/>
  <c r="Q119" i="124" s="1"/>
  <c r="N119" i="124"/>
  <c r="Y187" i="105"/>
  <c r="M102" i="105"/>
  <c r="C36" i="17"/>
  <c r="Q78" i="124"/>
  <c r="Q118" i="124" s="1"/>
  <c r="N118" i="124"/>
  <c r="P80" i="124"/>
  <c r="M120" i="124"/>
  <c r="AF31" i="158"/>
  <c r="S36" i="17"/>
  <c r="S47" i="17" s="1"/>
  <c r="S75" i="158"/>
  <c r="S118" i="158" s="1"/>
  <c r="T32" i="158"/>
  <c r="S36" i="67"/>
  <c r="E36" i="67"/>
  <c r="Q80" i="124"/>
  <c r="Q120" i="124" s="1"/>
  <c r="N120" i="124"/>
  <c r="Q81" i="124"/>
  <c r="Q121" i="124" s="1"/>
  <c r="N121" i="124"/>
  <c r="K39" i="17"/>
  <c r="I39" i="17"/>
  <c r="O75" i="124"/>
  <c r="O125" i="124"/>
  <c r="U73" i="130"/>
  <c r="Q76" i="124"/>
  <c r="Q116" i="124" s="1"/>
  <c r="N116" i="124"/>
  <c r="S79" i="158"/>
  <c r="S122" i="158" s="1"/>
  <c r="T36" i="158"/>
  <c r="Q77" i="124"/>
  <c r="Q117" i="124" s="1"/>
  <c r="N117" i="124"/>
  <c r="AO47" i="157"/>
  <c r="AA36" i="157"/>
  <c r="AQ36" i="157"/>
  <c r="M116" i="124"/>
  <c r="P76" i="124"/>
  <c r="K42" i="17"/>
  <c r="I42" i="17"/>
  <c r="U69" i="130"/>
  <c r="I40" i="17"/>
  <c r="K40" i="17"/>
  <c r="S76" i="158"/>
  <c r="S119" i="158" s="1"/>
  <c r="V75" i="123"/>
  <c r="R115" i="123"/>
  <c r="K38" i="17"/>
  <c r="I38" i="17"/>
  <c r="U71" i="130"/>
  <c r="S80" i="158"/>
  <c r="S123" i="158" s="1"/>
  <c r="T37" i="158"/>
  <c r="AE119" i="158" l="1"/>
  <c r="AE122" i="158"/>
  <c r="AF122" i="158" s="1"/>
  <c r="T122" i="158"/>
  <c r="N75" i="124"/>
  <c r="M75" i="124" s="1"/>
  <c r="O85" i="124"/>
  <c r="U68" i="130"/>
  <c r="AE76" i="158"/>
  <c r="AA47" i="157"/>
  <c r="AC36" i="157"/>
  <c r="AE118" i="158"/>
  <c r="T118" i="158"/>
  <c r="AE75" i="158"/>
  <c r="T75" i="158"/>
  <c r="AE77" i="158"/>
  <c r="AE121" i="158"/>
  <c r="AF121" i="158" s="1"/>
  <c r="T121" i="158"/>
  <c r="S120" i="158"/>
  <c r="AE80" i="158"/>
  <c r="AF80" i="158" s="1"/>
  <c r="T80" i="158"/>
  <c r="R76" i="124"/>
  <c r="P116" i="124"/>
  <c r="AE78" i="158"/>
  <c r="AF78" i="158" s="1"/>
  <c r="T78" i="158"/>
  <c r="R81" i="124"/>
  <c r="P121" i="124"/>
  <c r="AE123" i="158"/>
  <c r="AF123" i="158" s="1"/>
  <c r="T123" i="158"/>
  <c r="K36" i="17"/>
  <c r="I36" i="17"/>
  <c r="R79" i="124"/>
  <c r="P119" i="124"/>
  <c r="Q36" i="67"/>
  <c r="AE79" i="158"/>
  <c r="AF79" i="158" s="1"/>
  <c r="T79" i="158"/>
  <c r="R80" i="124"/>
  <c r="P120" i="124"/>
  <c r="R78" i="124"/>
  <c r="P118" i="124"/>
  <c r="R77" i="124"/>
  <c r="P117" i="124"/>
  <c r="M115" i="124" l="1"/>
  <c r="M125" i="124" s="1"/>
  <c r="P75" i="124"/>
  <c r="M85" i="124"/>
  <c r="V76" i="124"/>
  <c r="R116" i="124"/>
  <c r="N115" i="124"/>
  <c r="N125" i="124" s="1"/>
  <c r="Q75" i="124"/>
  <c r="N85" i="124"/>
  <c r="V78" i="124"/>
  <c r="R118" i="124"/>
  <c r="V79" i="124"/>
  <c r="R119" i="124"/>
  <c r="AE120" i="158"/>
  <c r="AF118" i="158"/>
  <c r="V81" i="124"/>
  <c r="R121" i="124"/>
  <c r="AF75" i="158"/>
  <c r="V80" i="124"/>
  <c r="R120" i="124"/>
  <c r="V77" i="124"/>
  <c r="R117" i="124"/>
  <c r="AA69" i="130" l="1"/>
  <c r="AA71" i="130"/>
  <c r="AA74" i="130"/>
  <c r="Q115" i="124"/>
  <c r="Q125" i="124" s="1"/>
  <c r="Q85" i="124"/>
  <c r="P115" i="124"/>
  <c r="P125" i="124" s="1"/>
  <c r="R75" i="124"/>
  <c r="P85" i="124"/>
  <c r="AA70" i="130"/>
  <c r="AA73" i="130"/>
  <c r="AA72" i="130"/>
  <c r="V75" i="124" l="1"/>
  <c r="V85" i="124" s="1"/>
  <c r="R115" i="124"/>
  <c r="R85" i="124"/>
  <c r="AA68" i="130" l="1"/>
  <c r="AA78" i="130" s="1"/>
  <c r="R125" i="124"/>
  <c r="AM48" i="23" l="1"/>
  <c r="AM51" i="23"/>
  <c r="AM45" i="23"/>
  <c r="AM46" i="23" l="1"/>
  <c r="AM50" i="23"/>
  <c r="AM47" i="23"/>
  <c r="AM52" i="23"/>
  <c r="AK57" i="23"/>
  <c r="AI55" i="23" l="1"/>
  <c r="M31" i="56" s="1"/>
  <c r="C51" i="108" l="1"/>
  <c r="G51" i="108" s="1"/>
  <c r="AH31" i="27"/>
  <c r="T31" i="56"/>
  <c r="Q31" i="56"/>
  <c r="E31" i="118" s="1"/>
  <c r="U31" i="56"/>
  <c r="AM55" i="23"/>
  <c r="C21" i="96"/>
  <c r="M21" i="96" s="1"/>
  <c r="E31" i="23"/>
  <c r="E31" i="133"/>
  <c r="C50" i="55"/>
  <c r="G50" i="55" s="1"/>
  <c r="O50" i="55" s="1"/>
  <c r="G50" i="56" s="1"/>
  <c r="C50" i="27"/>
  <c r="G50" i="27" s="1"/>
  <c r="O50" i="27" s="1"/>
  <c r="C50" i="56" s="1"/>
  <c r="M50" i="56" s="1"/>
  <c r="AB50" i="56" l="1"/>
  <c r="Q50" i="56"/>
  <c r="AD31" i="118"/>
  <c r="Q31" i="118"/>
  <c r="I17" i="128"/>
  <c r="Q31" i="23"/>
  <c r="S44" i="15" s="1"/>
  <c r="G45" i="105"/>
  <c r="I19" i="128" l="1"/>
  <c r="I26" i="128"/>
  <c r="I20" i="130"/>
  <c r="E40" i="158"/>
  <c r="O43" i="122"/>
  <c r="G196" i="105"/>
  <c r="E50" i="133"/>
  <c r="E50" i="23"/>
  <c r="E50" i="118"/>
  <c r="Q50" i="118" l="1"/>
  <c r="I35" i="128"/>
  <c r="E69" i="118"/>
  <c r="M43" i="122"/>
  <c r="N43" i="122" s="1"/>
  <c r="K15" i="136"/>
  <c r="Q50" i="23"/>
  <c r="Q69" i="23" s="1"/>
  <c r="S45" i="105"/>
  <c r="E69" i="23"/>
  <c r="E83" i="158"/>
  <c r="E126" i="158" s="1"/>
  <c r="E69" i="133"/>
  <c r="Q43" i="122" l="1"/>
  <c r="I41" i="130"/>
  <c r="I37" i="128"/>
  <c r="I44" i="128"/>
  <c r="G111" i="105"/>
  <c r="S196" i="105"/>
  <c r="K15" i="160"/>
  <c r="K21" i="136"/>
  <c r="P43" i="122"/>
  <c r="O123" i="122"/>
  <c r="O83" i="122" s="1"/>
  <c r="N83" i="122" s="1"/>
  <c r="AC40" i="158"/>
  <c r="Q69" i="118"/>
  <c r="M83" i="122" l="1"/>
  <c r="Q83" i="122"/>
  <c r="Q123" i="122" s="1"/>
  <c r="R43" i="122"/>
  <c r="N123" i="122"/>
  <c r="Q40" i="158"/>
  <c r="K25" i="136"/>
  <c r="K27" i="136" s="1"/>
  <c r="K21" i="160"/>
  <c r="K25" i="160" s="1"/>
  <c r="K27" i="160" l="1"/>
  <c r="K31" i="136"/>
  <c r="P83" i="122"/>
  <c r="M123" i="122"/>
  <c r="Q83" i="158"/>
  <c r="Q126" i="158" s="1"/>
  <c r="AC126" i="158" l="1"/>
  <c r="AC83" i="158"/>
  <c r="R83" i="122"/>
  <c r="P123" i="122"/>
  <c r="K31" i="160"/>
  <c r="V83" i="122" l="1"/>
  <c r="R123" i="122"/>
  <c r="AS53" i="23" l="1"/>
  <c r="AR53" i="23" s="1"/>
  <c r="AM53" i="23" s="1"/>
  <c r="AI53" i="23" s="1"/>
  <c r="M29" i="56" s="1"/>
  <c r="AI49" i="23"/>
  <c r="AM49" i="23" s="1"/>
  <c r="M24" i="56"/>
  <c r="AH29" i="27" l="1"/>
  <c r="U29" i="56"/>
  <c r="Q29" i="56"/>
  <c r="C49" i="108"/>
  <c r="G49" i="108" s="1"/>
  <c r="T29" i="56"/>
  <c r="AS54" i="23"/>
  <c r="AR54" i="23" s="1"/>
  <c r="AM54" i="23" s="1"/>
  <c r="AI54" i="23" s="1"/>
  <c r="AI57" i="23" s="1"/>
  <c r="M25" i="56"/>
  <c r="AH25" i="27" s="1"/>
  <c r="C44" i="108"/>
  <c r="G44" i="108" s="1"/>
  <c r="T24" i="56"/>
  <c r="U24" i="56"/>
  <c r="AH24" i="27"/>
  <c r="AI24" i="27" s="1"/>
  <c r="AI33" i="27" s="1"/>
  <c r="Q24" i="56"/>
  <c r="M30" i="56" l="1"/>
  <c r="C48" i="55"/>
  <c r="G48" i="55" s="1"/>
  <c r="O48" i="55" s="1"/>
  <c r="G48" i="56" s="1"/>
  <c r="C48" i="27"/>
  <c r="G48" i="27" s="1"/>
  <c r="O48" i="27" s="1"/>
  <c r="AQ29" i="56"/>
  <c r="C19" i="96"/>
  <c r="M19" i="96" s="1"/>
  <c r="Z29" i="56"/>
  <c r="E29" i="23"/>
  <c r="E29" i="118"/>
  <c r="E29" i="133"/>
  <c r="M33" i="56"/>
  <c r="U25" i="56"/>
  <c r="T25" i="56"/>
  <c r="C45" i="108"/>
  <c r="G45" i="108" s="1"/>
  <c r="Q25" i="56"/>
  <c r="E25" i="133" s="1"/>
  <c r="AQ24" i="56"/>
  <c r="E24" i="133"/>
  <c r="E24" i="118"/>
  <c r="E24" i="23"/>
  <c r="Z24" i="56"/>
  <c r="C43" i="27"/>
  <c r="G43" i="27" s="1"/>
  <c r="O43" i="27" s="1"/>
  <c r="C43" i="55"/>
  <c r="G43" i="55" s="1"/>
  <c r="O43" i="55" s="1"/>
  <c r="G43" i="56" s="1"/>
  <c r="AE57" i="23"/>
  <c r="AE59" i="23" s="1"/>
  <c r="G43" i="105" l="1"/>
  <c r="Q29" i="23"/>
  <c r="G29" i="23"/>
  <c r="E25" i="118"/>
  <c r="Q25" i="118" s="1"/>
  <c r="E25" i="23"/>
  <c r="C48" i="56"/>
  <c r="M48" i="56" s="1"/>
  <c r="Y48" i="27"/>
  <c r="S48" i="27" s="1"/>
  <c r="AQ25" i="56"/>
  <c r="AD29" i="118"/>
  <c r="Q29" i="118"/>
  <c r="G29" i="118"/>
  <c r="Z25" i="56"/>
  <c r="Q29" i="133"/>
  <c r="G29" i="133"/>
  <c r="U30" i="56"/>
  <c r="AH30" i="27"/>
  <c r="AH33" i="27" s="1"/>
  <c r="Q30" i="56"/>
  <c r="Q33" i="56" s="1"/>
  <c r="T30" i="56"/>
  <c r="C50" i="108"/>
  <c r="C43" i="56"/>
  <c r="Y43" i="27"/>
  <c r="S43" i="27" s="1"/>
  <c r="Q24" i="23"/>
  <c r="G38" i="105"/>
  <c r="G201" i="105" s="1"/>
  <c r="G24" i="23"/>
  <c r="E62" i="23"/>
  <c r="AD24" i="118"/>
  <c r="Q24" i="118"/>
  <c r="G24" i="118"/>
  <c r="E62" i="118"/>
  <c r="G24" i="133"/>
  <c r="E62" i="133"/>
  <c r="Q24" i="133"/>
  <c r="Q62" i="133" s="1"/>
  <c r="C44" i="55"/>
  <c r="C44" i="27"/>
  <c r="E63" i="133"/>
  <c r="G25" i="133"/>
  <c r="Q25" i="133"/>
  <c r="AD25" i="118"/>
  <c r="G25" i="118"/>
  <c r="E63" i="118"/>
  <c r="Q25" i="23"/>
  <c r="E63" i="23"/>
  <c r="G25" i="23"/>
  <c r="G39" i="105"/>
  <c r="Q48" i="56" l="1"/>
  <c r="AB48" i="56"/>
  <c r="G50" i="108"/>
  <c r="C54" i="108"/>
  <c r="C53" i="108"/>
  <c r="E30" i="23"/>
  <c r="Z30" i="56"/>
  <c r="AQ30" i="56"/>
  <c r="E30" i="118"/>
  <c r="C20" i="96"/>
  <c r="E30" i="133"/>
  <c r="S29" i="118"/>
  <c r="AF29" i="118"/>
  <c r="O41" i="122"/>
  <c r="E38" i="158"/>
  <c r="X29" i="23"/>
  <c r="S29" i="23"/>
  <c r="AQ33" i="56"/>
  <c r="S42" i="15"/>
  <c r="T42" i="15" s="1"/>
  <c r="S29" i="133"/>
  <c r="G194" i="105"/>
  <c r="I43" i="157"/>
  <c r="G62" i="118"/>
  <c r="S24" i="118"/>
  <c r="S62" i="118" s="1"/>
  <c r="AF24" i="118"/>
  <c r="G62" i="23"/>
  <c r="S24" i="23"/>
  <c r="S62" i="23" s="1"/>
  <c r="X24" i="23"/>
  <c r="G62" i="133"/>
  <c r="S24" i="133"/>
  <c r="S62" i="133" s="1"/>
  <c r="O36" i="122"/>
  <c r="E33" i="158"/>
  <c r="Q62" i="118"/>
  <c r="G189" i="105"/>
  <c r="G104" i="105"/>
  <c r="I38" i="157"/>
  <c r="M38" i="105"/>
  <c r="S37" i="15"/>
  <c r="T37" i="15" s="1"/>
  <c r="Q62" i="23"/>
  <c r="G63" i="23"/>
  <c r="S25" i="23"/>
  <c r="X25" i="23"/>
  <c r="S25" i="118"/>
  <c r="G63" i="118"/>
  <c r="AF25" i="118"/>
  <c r="G63" i="133"/>
  <c r="S25" i="133"/>
  <c r="Q63" i="118"/>
  <c r="O37" i="122"/>
  <c r="E34" i="158"/>
  <c r="S38" i="15"/>
  <c r="Q63" i="23"/>
  <c r="G44" i="27"/>
  <c r="G44" i="55"/>
  <c r="Q63" i="133"/>
  <c r="G105" i="105"/>
  <c r="G190" i="105"/>
  <c r="I39" i="157"/>
  <c r="M39" i="105"/>
  <c r="G30" i="23" l="1"/>
  <c r="Q30" i="23"/>
  <c r="G44" i="105"/>
  <c r="E33" i="23"/>
  <c r="M41" i="122"/>
  <c r="N41" i="122"/>
  <c r="Q30" i="133"/>
  <c r="Q33" i="133" s="1"/>
  <c r="G30" i="133"/>
  <c r="S30" i="133" s="1"/>
  <c r="E33" i="133"/>
  <c r="Z34" i="56"/>
  <c r="Z33" i="56"/>
  <c r="M20" i="96"/>
  <c r="M23" i="96" s="1"/>
  <c r="C23" i="96"/>
  <c r="C49" i="55"/>
  <c r="C49" i="27"/>
  <c r="G53" i="108"/>
  <c r="G54" i="108"/>
  <c r="Q30" i="118"/>
  <c r="AD30" i="118"/>
  <c r="G30" i="118"/>
  <c r="E33" i="118"/>
  <c r="E81" i="158"/>
  <c r="E124" i="158"/>
  <c r="E48" i="23"/>
  <c r="E48" i="118"/>
  <c r="Z48" i="56"/>
  <c r="E48" i="133"/>
  <c r="AQ48" i="56"/>
  <c r="M36" i="122"/>
  <c r="O76" i="122"/>
  <c r="M189" i="105"/>
  <c r="C38" i="16"/>
  <c r="I38" i="16" s="1"/>
  <c r="K38" i="16" s="1"/>
  <c r="C38" i="67"/>
  <c r="M104" i="105"/>
  <c r="W38" i="157"/>
  <c r="AC38" i="157" s="1"/>
  <c r="O38" i="157"/>
  <c r="E76" i="158"/>
  <c r="Q33" i="158"/>
  <c r="H33" i="158"/>
  <c r="C39" i="67"/>
  <c r="M190" i="105"/>
  <c r="C39" i="16"/>
  <c r="M105" i="105"/>
  <c r="O44" i="55"/>
  <c r="T38" i="15"/>
  <c r="W39" i="157"/>
  <c r="O39" i="157"/>
  <c r="O44" i="27"/>
  <c r="M37" i="122"/>
  <c r="N37" i="122" s="1"/>
  <c r="O77" i="122"/>
  <c r="S63" i="118"/>
  <c r="S63" i="133"/>
  <c r="S33" i="133"/>
  <c r="Q34" i="158"/>
  <c r="E77" i="158"/>
  <c r="E120" i="158" s="1"/>
  <c r="H34" i="158"/>
  <c r="S63" i="23"/>
  <c r="Q48" i="118" l="1"/>
  <c r="G48" i="118"/>
  <c r="E67" i="118"/>
  <c r="E39" i="158"/>
  <c r="O42" i="122"/>
  <c r="Q33" i="118"/>
  <c r="P41" i="122"/>
  <c r="Q48" i="23"/>
  <c r="Q67" i="23" s="1"/>
  <c r="G48" i="23"/>
  <c r="S43" i="105"/>
  <c r="S201" i="105" s="1"/>
  <c r="E67" i="23"/>
  <c r="Q41" i="122"/>
  <c r="R41" i="122" s="1"/>
  <c r="G49" i="27"/>
  <c r="C52" i="27"/>
  <c r="G195" i="105"/>
  <c r="I44" i="157"/>
  <c r="I47" i="157" s="1"/>
  <c r="G47" i="105"/>
  <c r="G198" i="105"/>
  <c r="G49" i="55"/>
  <c r="C52" i="55"/>
  <c r="S43" i="15"/>
  <c r="Q33" i="23"/>
  <c r="Q48" i="133"/>
  <c r="Q67" i="133" s="1"/>
  <c r="G48" i="133"/>
  <c r="E67" i="133"/>
  <c r="S30" i="118"/>
  <c r="AF30" i="118"/>
  <c r="X30" i="23"/>
  <c r="X33" i="23" s="1"/>
  <c r="S30" i="23"/>
  <c r="O38" i="67"/>
  <c r="E38" i="67"/>
  <c r="Q38" i="67" s="1"/>
  <c r="N76" i="122"/>
  <c r="Q76" i="122" s="1"/>
  <c r="Q76" i="158"/>
  <c r="T76" i="158" s="1"/>
  <c r="T33" i="158"/>
  <c r="N36" i="122"/>
  <c r="P36" i="122"/>
  <c r="E119" i="158"/>
  <c r="H76" i="158"/>
  <c r="Q37" i="122"/>
  <c r="H120" i="158"/>
  <c r="P37" i="122"/>
  <c r="C44" i="56"/>
  <c r="Y44" i="27"/>
  <c r="AC39" i="157"/>
  <c r="I39" i="16"/>
  <c r="H77" i="158"/>
  <c r="G44" i="56"/>
  <c r="Q77" i="158"/>
  <c r="AC77" i="158" s="1"/>
  <c r="T34" i="158"/>
  <c r="N77" i="122"/>
  <c r="M77" i="122" s="1"/>
  <c r="O39" i="67"/>
  <c r="E39" i="67"/>
  <c r="O49" i="55" l="1"/>
  <c r="G52" i="55"/>
  <c r="G48" i="105"/>
  <c r="AG91" i="105"/>
  <c r="AE94" i="105" s="1"/>
  <c r="M42" i="122"/>
  <c r="O45" i="122"/>
  <c r="N42" i="122"/>
  <c r="Q42" i="122" s="1"/>
  <c r="S48" i="133"/>
  <c r="S67" i="133" s="1"/>
  <c r="G67" i="133"/>
  <c r="E82" i="158"/>
  <c r="E86" i="158" s="1"/>
  <c r="E43" i="158"/>
  <c r="AK43" i="157"/>
  <c r="W43" i="157" s="1"/>
  <c r="S194" i="105"/>
  <c r="G109" i="105"/>
  <c r="X48" i="23"/>
  <c r="S48" i="23"/>
  <c r="S67" i="23" s="1"/>
  <c r="G67" i="23"/>
  <c r="S48" i="118"/>
  <c r="S67" i="118" s="1"/>
  <c r="G67" i="118"/>
  <c r="T43" i="15"/>
  <c r="S46" i="15"/>
  <c r="O49" i="27"/>
  <c r="G52" i="27"/>
  <c r="O121" i="122"/>
  <c r="O81" i="122" s="1"/>
  <c r="AC38" i="158"/>
  <c r="Q38" i="158" s="1"/>
  <c r="Q67" i="118"/>
  <c r="AC76" i="158"/>
  <c r="AF76" i="158" s="1"/>
  <c r="Q120" i="158"/>
  <c r="H119" i="158"/>
  <c r="M76" i="122"/>
  <c r="Q36" i="122"/>
  <c r="Q116" i="122" s="1"/>
  <c r="N116" i="122"/>
  <c r="Q119" i="158"/>
  <c r="T119" i="158" s="1"/>
  <c r="M117" i="122"/>
  <c r="P77" i="122"/>
  <c r="P117" i="122" s="1"/>
  <c r="K39" i="16"/>
  <c r="T77" i="158"/>
  <c r="S44" i="27"/>
  <c r="R37" i="122"/>
  <c r="Q39" i="67"/>
  <c r="AF77" i="158"/>
  <c r="AC120" i="158"/>
  <c r="T120" i="158"/>
  <c r="N117" i="122"/>
  <c r="Q77" i="122"/>
  <c r="Q45" i="122"/>
  <c r="E125" i="158" l="1"/>
  <c r="E129" i="158" s="1"/>
  <c r="N81" i="122"/>
  <c r="M81" i="122" s="1"/>
  <c r="G49" i="105"/>
  <c r="I18" i="130" s="1"/>
  <c r="I21" i="128" s="1"/>
  <c r="G51" i="105"/>
  <c r="C49" i="56"/>
  <c r="Y49" i="27"/>
  <c r="O52" i="27"/>
  <c r="Q81" i="158"/>
  <c r="AC81" i="158" s="1"/>
  <c r="G49" i="56"/>
  <c r="G52" i="56" s="1"/>
  <c r="O52" i="55"/>
  <c r="P42" i="122"/>
  <c r="P45" i="122" s="1"/>
  <c r="M45" i="122"/>
  <c r="N45" i="122"/>
  <c r="R36" i="122"/>
  <c r="AC119" i="158"/>
  <c r="AF119" i="158" s="1"/>
  <c r="P76" i="122"/>
  <c r="M116" i="122"/>
  <c r="Q117" i="122"/>
  <c r="R77" i="122"/>
  <c r="AF120" i="158"/>
  <c r="S49" i="27" l="1"/>
  <c r="S52" i="27" s="1"/>
  <c r="Y52" i="27"/>
  <c r="M49" i="56"/>
  <c r="C52" i="56"/>
  <c r="R42" i="122"/>
  <c r="R45" i="122" s="1"/>
  <c r="P81" i="122"/>
  <c r="M121" i="122"/>
  <c r="Q124" i="158"/>
  <c r="AC124" i="158" s="1"/>
  <c r="Q81" i="122"/>
  <c r="Q121" i="122" s="1"/>
  <c r="N121" i="122"/>
  <c r="R76" i="122"/>
  <c r="V76" i="122" s="1"/>
  <c r="P116" i="122"/>
  <c r="R116" i="122"/>
  <c r="R117" i="122"/>
  <c r="V77" i="122"/>
  <c r="R81" i="122" l="1"/>
  <c r="P121" i="122"/>
  <c r="AB49" i="56"/>
  <c r="AB52" i="56" s="1"/>
  <c r="Q49" i="56"/>
  <c r="M52" i="56"/>
  <c r="M53" i="56" s="1"/>
  <c r="E49" i="23" l="1"/>
  <c r="E49" i="133"/>
  <c r="Z49" i="56"/>
  <c r="Z52" i="56" s="1"/>
  <c r="S51" i="105" s="1"/>
  <c r="Q52" i="56"/>
  <c r="Q53" i="56" s="1"/>
  <c r="AQ49" i="56"/>
  <c r="AQ51" i="56" s="1"/>
  <c r="E49" i="118"/>
  <c r="V81" i="122"/>
  <c r="R121" i="122"/>
  <c r="Q49" i="118" l="1"/>
  <c r="G49" i="118"/>
  <c r="E52" i="118"/>
  <c r="E68" i="118"/>
  <c r="E71" i="118" s="1"/>
  <c r="E68" i="133"/>
  <c r="E71" i="133" s="1"/>
  <c r="E52" i="133"/>
  <c r="G49" i="133"/>
  <c r="Q49" i="133"/>
  <c r="S44" i="105"/>
  <c r="E52" i="23"/>
  <c r="E68" i="23"/>
  <c r="E71" i="23" s="1"/>
  <c r="Q49" i="23"/>
  <c r="G49" i="23"/>
  <c r="Q52" i="133" l="1"/>
  <c r="Q68" i="133"/>
  <c r="Q71" i="133" s="1"/>
  <c r="S49" i="133"/>
  <c r="G68" i="133"/>
  <c r="S49" i="23"/>
  <c r="S68" i="23" s="1"/>
  <c r="X49" i="23"/>
  <c r="X52" i="23" s="1"/>
  <c r="G68" i="23"/>
  <c r="S49" i="118"/>
  <c r="S68" i="118" s="1"/>
  <c r="G68" i="118"/>
  <c r="Q68" i="23"/>
  <c r="Q71" i="23" s="1"/>
  <c r="Q52" i="23"/>
  <c r="G110" i="105"/>
  <c r="S195" i="105"/>
  <c r="AK44" i="157"/>
  <c r="S47" i="105"/>
  <c r="S198" i="105"/>
  <c r="O122" i="122"/>
  <c r="AC39" i="158"/>
  <c r="Q52" i="118"/>
  <c r="Q68" i="118"/>
  <c r="Q71" i="118" s="1"/>
  <c r="S68" i="133" l="1"/>
  <c r="S71" i="133" s="1"/>
  <c r="S52" i="133"/>
  <c r="AK47" i="157"/>
  <c r="W44" i="157"/>
  <c r="W47" i="157" s="1"/>
  <c r="Q39" i="158"/>
  <c r="AC43" i="158"/>
  <c r="S48" i="105"/>
  <c r="S49" i="105" s="1"/>
  <c r="I39" i="130" s="1"/>
  <c r="I39" i="128" s="1"/>
  <c r="AG92" i="105"/>
  <c r="G113" i="105"/>
  <c r="O82" i="122"/>
  <c r="O125" i="122"/>
  <c r="O79" i="72"/>
  <c r="O80" i="72"/>
  <c r="O78" i="72"/>
  <c r="O77" i="72"/>
  <c r="O84" i="72"/>
  <c r="O83" i="72"/>
  <c r="O82" i="72"/>
  <c r="O81" i="72"/>
  <c r="Q82" i="158" l="1"/>
  <c r="Q43" i="158"/>
  <c r="Q125" i="158"/>
  <c r="AG140" i="105"/>
  <c r="AL140" i="105" s="1"/>
  <c r="AE95" i="105"/>
  <c r="O85" i="122"/>
  <c r="N82" i="122"/>
  <c r="M82" i="122"/>
  <c r="N122" i="122" l="1"/>
  <c r="N125" i="122" s="1"/>
  <c r="Q82" i="122"/>
  <c r="N85" i="122"/>
  <c r="Q129" i="158"/>
  <c r="AC125" i="158"/>
  <c r="AC129" i="158" s="1"/>
  <c r="M122" i="122"/>
  <c r="M125" i="122" s="1"/>
  <c r="P82" i="122"/>
  <c r="M85" i="122"/>
  <c r="AC82" i="158"/>
  <c r="AC86" i="158" s="1"/>
  <c r="Q86" i="158"/>
  <c r="K86" i="72"/>
  <c r="O86" i="72" s="1"/>
  <c r="P86" i="72"/>
  <c r="W86" i="72" s="1"/>
  <c r="Y86" i="72" s="1"/>
  <c r="P85" i="122" l="1"/>
  <c r="R82" i="122"/>
  <c r="P122" i="122"/>
  <c r="P125" i="122" s="1"/>
  <c r="Q122" i="122"/>
  <c r="Q125" i="122" s="1"/>
  <c r="Q85" i="122"/>
  <c r="K85" i="72"/>
  <c r="O85" i="72" s="1"/>
  <c r="K87" i="72"/>
  <c r="P87" i="72" s="1"/>
  <c r="W87" i="72" s="1"/>
  <c r="Y87" i="72" s="1"/>
  <c r="R85" i="122" l="1"/>
  <c r="V82" i="122"/>
  <c r="V85" i="122" s="1"/>
  <c r="R122" i="122"/>
  <c r="R125" i="122" s="1"/>
  <c r="P85" i="72"/>
  <c r="W85" i="72" s="1"/>
  <c r="Y85" i="72" s="1"/>
  <c r="O87" i="72"/>
  <c r="K89" i="72"/>
  <c r="I89" i="72"/>
  <c r="I116" i="99" l="1"/>
  <c r="K116" i="99" s="1"/>
  <c r="I118" i="99"/>
  <c r="K118" i="99" s="1"/>
  <c r="M116" i="99" l="1"/>
  <c r="AI26" i="91"/>
  <c r="M118" i="99"/>
  <c r="E118" i="99" l="1"/>
  <c r="AI26" i="92"/>
  <c r="S40" i="117" s="1"/>
  <c r="AN26" i="91"/>
  <c r="AK26" i="91"/>
  <c r="AI28" i="91"/>
  <c r="AI68" i="91"/>
  <c r="C26" i="166"/>
  <c r="C68" i="166" l="1"/>
  <c r="K26" i="166"/>
  <c r="C28" i="166"/>
  <c r="M26" i="166"/>
  <c r="AN28" i="91"/>
  <c r="AN31" i="91"/>
  <c r="AS88" i="91"/>
  <c r="AK68" i="91"/>
  <c r="AK28" i="91"/>
  <c r="AI70" i="91"/>
  <c r="U17" i="128"/>
  <c r="X28" i="131"/>
  <c r="AA40" i="117"/>
  <c r="AA42" i="117" s="1"/>
  <c r="S42" i="117"/>
  <c r="AC40" i="117"/>
  <c r="AC42" i="117" s="1"/>
  <c r="AK26" i="92"/>
  <c r="AI68" i="92"/>
  <c r="AI28" i="92"/>
  <c r="AU88" i="91" l="1"/>
  <c r="E27" i="134"/>
  <c r="AB28" i="131"/>
  <c r="X31" i="131"/>
  <c r="X32" i="131" s="1"/>
  <c r="U26" i="128"/>
  <c r="U19" i="128"/>
  <c r="S20" i="130"/>
  <c r="I16" i="137"/>
  <c r="Q16" i="137" s="1"/>
  <c r="AO90" i="92"/>
  <c r="AO91" i="92" s="1"/>
  <c r="AP91" i="92" s="1"/>
  <c r="AK72" i="91"/>
  <c r="AR82" i="91"/>
  <c r="AP84" i="91" s="1"/>
  <c r="M68" i="166"/>
  <c r="M28" i="166"/>
  <c r="AI70" i="92"/>
  <c r="Q15" i="136"/>
  <c r="AK68" i="92"/>
  <c r="AK70" i="92" s="1"/>
  <c r="AK28" i="92"/>
  <c r="V44" i="15"/>
  <c r="AK70" i="91"/>
  <c r="K28" i="166"/>
  <c r="AA26" i="166"/>
  <c r="K68" i="166"/>
  <c r="AS89" i="91"/>
  <c r="AU89" i="91" s="1"/>
  <c r="C70" i="166"/>
  <c r="C72" i="166" s="1"/>
  <c r="V46" i="15" l="1"/>
  <c r="M70" i="166"/>
  <c r="J40" i="158"/>
  <c r="AB31" i="131"/>
  <c r="S45" i="126"/>
  <c r="AE28" i="117"/>
  <c r="AD46" i="15"/>
  <c r="AD44" i="15" s="1"/>
  <c r="S45" i="124"/>
  <c r="O70" i="166"/>
  <c r="Q21" i="136"/>
  <c r="Q15" i="160"/>
  <c r="E29" i="134"/>
  <c r="K70" i="166"/>
  <c r="AP90" i="92"/>
  <c r="AP93" i="92" s="1"/>
  <c r="AO93" i="92"/>
  <c r="AS91" i="91"/>
  <c r="AQ26" i="166"/>
  <c r="AA28" i="166"/>
  <c r="S26" i="166"/>
  <c r="AA68" i="166"/>
  <c r="AA70" i="166" s="1"/>
  <c r="O48" i="127"/>
  <c r="AU91" i="91"/>
  <c r="AA93" i="166" l="1"/>
  <c r="J169" i="158"/>
  <c r="AI44" i="15"/>
  <c r="O35" i="166"/>
  <c r="AE35" i="166" s="1"/>
  <c r="AU35" i="166" s="1"/>
  <c r="O52" i="166"/>
  <c r="AE52" i="166" s="1"/>
  <c r="AU52" i="166" s="1"/>
  <c r="O19" i="166"/>
  <c r="O46" i="166"/>
  <c r="AE46" i="166" s="1"/>
  <c r="AU46" i="166" s="1"/>
  <c r="O51" i="166"/>
  <c r="AE51" i="166" s="1"/>
  <c r="AU51" i="166" s="1"/>
  <c r="O32" i="166"/>
  <c r="AE32" i="166" s="1"/>
  <c r="AU32" i="166" s="1"/>
  <c r="O20" i="166"/>
  <c r="O25" i="166"/>
  <c r="O33" i="166"/>
  <c r="AE33" i="166" s="1"/>
  <c r="AU33" i="166" s="1"/>
  <c r="O31" i="166"/>
  <c r="O47" i="166"/>
  <c r="AE47" i="166" s="1"/>
  <c r="AU47" i="166" s="1"/>
  <c r="O49" i="166"/>
  <c r="AE49" i="166" s="1"/>
  <c r="AU49" i="166" s="1"/>
  <c r="O53" i="166"/>
  <c r="AE53" i="166" s="1"/>
  <c r="AU53" i="166" s="1"/>
  <c r="O22" i="166"/>
  <c r="O45" i="166"/>
  <c r="O24" i="166"/>
  <c r="O37" i="166"/>
  <c r="AE37" i="166" s="1"/>
  <c r="AU37" i="166" s="1"/>
  <c r="O18" i="166"/>
  <c r="O23" i="166"/>
  <c r="O38" i="166"/>
  <c r="AE38" i="166" s="1"/>
  <c r="AU38" i="166" s="1"/>
  <c r="O39" i="166"/>
  <c r="AE39" i="166" s="1"/>
  <c r="AU39" i="166" s="1"/>
  <c r="O17" i="166"/>
  <c r="O54" i="166"/>
  <c r="AE54" i="166" s="1"/>
  <c r="AU54" i="166" s="1"/>
  <c r="O21" i="166"/>
  <c r="O34" i="166"/>
  <c r="AE34" i="166" s="1"/>
  <c r="AU34" i="166" s="1"/>
  <c r="O36" i="166"/>
  <c r="AE36" i="166" s="1"/>
  <c r="AU36" i="166" s="1"/>
  <c r="O50" i="166"/>
  <c r="AE50" i="166" s="1"/>
  <c r="AU50" i="166" s="1"/>
  <c r="O40" i="166"/>
  <c r="AE40" i="166" s="1"/>
  <c r="AU40" i="166" s="1"/>
  <c r="O48" i="166"/>
  <c r="AE48" i="166" s="1"/>
  <c r="AU48" i="166" s="1"/>
  <c r="O26" i="166"/>
  <c r="S24" i="124"/>
  <c r="S19" i="124"/>
  <c r="S27" i="124"/>
  <c r="S32" i="124"/>
  <c r="S29" i="124"/>
  <c r="S30" i="124"/>
  <c r="S33" i="124"/>
  <c r="S21" i="124"/>
  <c r="S15" i="124"/>
  <c r="S31" i="124"/>
  <c r="S20" i="124"/>
  <c r="S17" i="124"/>
  <c r="S23" i="124"/>
  <c r="S22" i="124"/>
  <c r="S28" i="124"/>
  <c r="S18" i="124"/>
  <c r="S16" i="124"/>
  <c r="S26" i="124"/>
  <c r="S34" i="124"/>
  <c r="S25" i="124"/>
  <c r="AD43" i="15"/>
  <c r="AD33" i="15"/>
  <c r="AD34" i="15"/>
  <c r="AD41" i="15"/>
  <c r="AD40" i="15"/>
  <c r="AD39" i="15"/>
  <c r="AD37" i="15"/>
  <c r="AD42" i="15"/>
  <c r="AD36" i="15"/>
  <c r="AD38" i="15"/>
  <c r="AD35" i="15"/>
  <c r="Q21" i="160"/>
  <c r="Q25" i="160" s="1"/>
  <c r="Q25" i="136"/>
  <c r="Q27" i="136" s="1"/>
  <c r="S43" i="126"/>
  <c r="S38" i="126"/>
  <c r="S35" i="126"/>
  <c r="S37" i="126"/>
  <c r="S41" i="126"/>
  <c r="S42" i="126"/>
  <c r="S39" i="126"/>
  <c r="S40" i="126"/>
  <c r="S36" i="126"/>
  <c r="S44" i="126"/>
  <c r="S26" i="117"/>
  <c r="AC26" i="166"/>
  <c r="S28" i="166"/>
  <c r="S68" i="166"/>
  <c r="AI26" i="166"/>
  <c r="J83" i="158"/>
  <c r="J43" i="158"/>
  <c r="AQ68" i="166"/>
  <c r="AQ70" i="166" s="1"/>
  <c r="AQ28" i="166"/>
  <c r="U40" i="126" l="1"/>
  <c r="S80" i="126"/>
  <c r="Q27" i="160"/>
  <c r="Q31" i="136"/>
  <c r="J162" i="158"/>
  <c r="AI37" i="15"/>
  <c r="U34" i="124"/>
  <c r="V34" i="124" s="1"/>
  <c r="S114" i="124"/>
  <c r="U114" i="124" s="1"/>
  <c r="V114" i="124" s="1"/>
  <c r="S100" i="124"/>
  <c r="U100" i="124" s="1"/>
  <c r="V100" i="124" s="1"/>
  <c r="U20" i="124"/>
  <c r="V20" i="124" s="1"/>
  <c r="U27" i="124"/>
  <c r="V27" i="124" s="1"/>
  <c r="S107" i="124"/>
  <c r="U107" i="124" s="1"/>
  <c r="V107" i="124" s="1"/>
  <c r="AI28" i="166"/>
  <c r="X53" i="131"/>
  <c r="AI68" i="166"/>
  <c r="S79" i="126"/>
  <c r="U39" i="126"/>
  <c r="J164" i="158"/>
  <c r="AI39" i="15"/>
  <c r="U26" i="124"/>
  <c r="V26" i="124" s="1"/>
  <c r="S106" i="124"/>
  <c r="U106" i="124" s="1"/>
  <c r="V106" i="124" s="1"/>
  <c r="S111" i="124"/>
  <c r="U111" i="124" s="1"/>
  <c r="V111" i="124" s="1"/>
  <c r="U31" i="124"/>
  <c r="V31" i="124" s="1"/>
  <c r="U19" i="124"/>
  <c r="V19" i="124" s="1"/>
  <c r="S99" i="124"/>
  <c r="U99" i="124" s="1"/>
  <c r="V99" i="124" s="1"/>
  <c r="AE21" i="166"/>
  <c r="O63" i="166"/>
  <c r="AE24" i="166"/>
  <c r="AU24" i="166" s="1"/>
  <c r="AU66" i="166" s="1"/>
  <c r="O66" i="166"/>
  <c r="AE25" i="166"/>
  <c r="O67" i="166"/>
  <c r="S76" i="126"/>
  <c r="U36" i="126"/>
  <c r="AI42" i="15"/>
  <c r="J167" i="158"/>
  <c r="S70" i="166"/>
  <c r="S93" i="166"/>
  <c r="U42" i="126"/>
  <c r="S82" i="126"/>
  <c r="J165" i="158"/>
  <c r="AI40" i="15"/>
  <c r="S96" i="124"/>
  <c r="U96" i="124" s="1"/>
  <c r="V96" i="124" s="1"/>
  <c r="U16" i="124"/>
  <c r="V16" i="124" s="1"/>
  <c r="U15" i="124"/>
  <c r="S95" i="124"/>
  <c r="S104" i="124"/>
  <c r="U104" i="124" s="1"/>
  <c r="V104" i="124" s="1"/>
  <c r="U24" i="124"/>
  <c r="V24" i="124" s="1"/>
  <c r="AE45" i="166"/>
  <c r="AE56" i="166" s="1"/>
  <c r="O56" i="166"/>
  <c r="O62" i="166"/>
  <c r="AE20" i="166"/>
  <c r="S83" i="126"/>
  <c r="U43" i="126"/>
  <c r="S112" i="124"/>
  <c r="U112" i="124" s="1"/>
  <c r="V112" i="124" s="1"/>
  <c r="U32" i="124"/>
  <c r="V32" i="124" s="1"/>
  <c r="J126" i="158"/>
  <c r="J86" i="158"/>
  <c r="U41" i="126"/>
  <c r="S81" i="126"/>
  <c r="AI41" i="15"/>
  <c r="J166" i="158"/>
  <c r="S98" i="124"/>
  <c r="U98" i="124" s="1"/>
  <c r="V98" i="124" s="1"/>
  <c r="U18" i="124"/>
  <c r="V18" i="124" s="1"/>
  <c r="S101" i="124"/>
  <c r="U101" i="124" s="1"/>
  <c r="V101" i="124" s="1"/>
  <c r="U21" i="124"/>
  <c r="V21" i="124" s="1"/>
  <c r="O68" i="166"/>
  <c r="AE26" i="166"/>
  <c r="AE17" i="166"/>
  <c r="AU17" i="166" s="1"/>
  <c r="O28" i="166"/>
  <c r="O59" i="166"/>
  <c r="AE84" i="166" s="1"/>
  <c r="O64" i="166"/>
  <c r="AE22" i="166"/>
  <c r="S105" i="124"/>
  <c r="U105" i="124" s="1"/>
  <c r="V105" i="124" s="1"/>
  <c r="U25" i="124"/>
  <c r="V25" i="124" s="1"/>
  <c r="AE18" i="166"/>
  <c r="AU18" i="166" s="1"/>
  <c r="AU60" i="166" s="1"/>
  <c r="O60" i="166"/>
  <c r="AC68" i="166"/>
  <c r="AC28" i="166"/>
  <c r="AS26" i="166"/>
  <c r="U37" i="126"/>
  <c r="S77" i="126"/>
  <c r="AI35" i="15"/>
  <c r="J160" i="158"/>
  <c r="G160" i="158"/>
  <c r="AE160" i="158" s="1"/>
  <c r="G159" i="158"/>
  <c r="J159" i="158"/>
  <c r="AI34" i="15"/>
  <c r="S108" i="124"/>
  <c r="U108" i="124" s="1"/>
  <c r="V108" i="124" s="1"/>
  <c r="U28" i="124"/>
  <c r="V28" i="124" s="1"/>
  <c r="S113" i="124"/>
  <c r="U113" i="124" s="1"/>
  <c r="V113" i="124" s="1"/>
  <c r="U33" i="124"/>
  <c r="V33" i="124" s="1"/>
  <c r="S97" i="124"/>
  <c r="U97" i="124" s="1"/>
  <c r="V97" i="124" s="1"/>
  <c r="U17" i="124"/>
  <c r="V17" i="124" s="1"/>
  <c r="M17" i="128"/>
  <c r="AA26" i="117"/>
  <c r="K45" i="105"/>
  <c r="S28" i="117"/>
  <c r="S54" i="117"/>
  <c r="S75" i="126"/>
  <c r="U35" i="126"/>
  <c r="J163" i="158"/>
  <c r="AI38" i="15"/>
  <c r="J158" i="158"/>
  <c r="AI33" i="15"/>
  <c r="U22" i="124"/>
  <c r="V22" i="124" s="1"/>
  <c r="S102" i="124"/>
  <c r="U102" i="124" s="1"/>
  <c r="V102" i="124" s="1"/>
  <c r="S110" i="124"/>
  <c r="U110" i="124" s="1"/>
  <c r="V110" i="124" s="1"/>
  <c r="U30" i="124"/>
  <c r="V30" i="124" s="1"/>
  <c r="AE31" i="166"/>
  <c r="AE42" i="166" s="1"/>
  <c r="O42" i="166"/>
  <c r="U44" i="126"/>
  <c r="V44" i="126"/>
  <c r="U38" i="126"/>
  <c r="S78" i="126"/>
  <c r="AI36" i="15"/>
  <c r="J161" i="158"/>
  <c r="AI43" i="15"/>
  <c r="J168" i="158"/>
  <c r="S103" i="124"/>
  <c r="U103" i="124" s="1"/>
  <c r="V103" i="124" s="1"/>
  <c r="U23" i="124"/>
  <c r="V23" i="124" s="1"/>
  <c r="U29" i="124"/>
  <c r="V29" i="124" s="1"/>
  <c r="S109" i="124"/>
  <c r="U109" i="124" s="1"/>
  <c r="V109" i="124" s="1"/>
  <c r="O65" i="166"/>
  <c r="AE23" i="166"/>
  <c r="AE19" i="166"/>
  <c r="O61" i="166"/>
  <c r="G169" i="158"/>
  <c r="AU45" i="166" l="1"/>
  <c r="AU56" i="166" s="1"/>
  <c r="AU31" i="166"/>
  <c r="AU42" i="166" s="1"/>
  <c r="AU59" i="166"/>
  <c r="S37" i="124"/>
  <c r="S117" i="124" s="1"/>
  <c r="U117" i="124" s="1"/>
  <c r="V117" i="124" s="1"/>
  <c r="G166" i="158"/>
  <c r="AC20" i="117"/>
  <c r="AE62" i="166"/>
  <c r="AE87" i="166" s="1"/>
  <c r="AU23" i="166"/>
  <c r="AU65" i="166" s="1"/>
  <c r="AC23" i="117"/>
  <c r="AE65" i="166"/>
  <c r="AE90" i="166" s="1"/>
  <c r="U75" i="126"/>
  <c r="U45" i="126"/>
  <c r="V35" i="126"/>
  <c r="V159" i="158"/>
  <c r="AE60" i="166"/>
  <c r="AE85" i="166" s="1"/>
  <c r="AC18" i="117"/>
  <c r="S36" i="124"/>
  <c r="S116" i="124" s="1"/>
  <c r="U116" i="124" s="1"/>
  <c r="V116" i="124" s="1"/>
  <c r="AC21" i="117"/>
  <c r="AE63" i="166"/>
  <c r="AE88" i="166" s="1"/>
  <c r="G162" i="158"/>
  <c r="AE28" i="166"/>
  <c r="AC17" i="117"/>
  <c r="AE59" i="166"/>
  <c r="S85" i="126"/>
  <c r="S127" i="126" s="1"/>
  <c r="S35" i="124"/>
  <c r="S115" i="124" s="1"/>
  <c r="U115" i="124" s="1"/>
  <c r="V115" i="124" s="1"/>
  <c r="U77" i="126"/>
  <c r="V37" i="126"/>
  <c r="AU26" i="166"/>
  <c r="AU68" i="166" s="1"/>
  <c r="AE68" i="166"/>
  <c r="AE93" i="166" s="1"/>
  <c r="AC26" i="117"/>
  <c r="G164" i="158"/>
  <c r="Q31" i="160"/>
  <c r="AU19" i="166"/>
  <c r="AU61" i="166" s="1"/>
  <c r="AC19" i="117"/>
  <c r="AE61" i="166"/>
  <c r="AE86" i="166" s="1"/>
  <c r="V42" i="126"/>
  <c r="U82" i="126"/>
  <c r="AI46" i="15"/>
  <c r="S56" i="117"/>
  <c r="AC54" i="117"/>
  <c r="AC56" i="117" s="1"/>
  <c r="W45" i="105"/>
  <c r="M35" i="128"/>
  <c r="AA54" i="117"/>
  <c r="AE159" i="158"/>
  <c r="AS68" i="166"/>
  <c r="AS70" i="166" s="1"/>
  <c r="AS28" i="166"/>
  <c r="O72" i="166"/>
  <c r="AU25" i="166"/>
  <c r="AU67" i="166" s="1"/>
  <c r="AE67" i="166"/>
  <c r="AE92" i="166" s="1"/>
  <c r="AC25" i="117"/>
  <c r="U79" i="126"/>
  <c r="V39" i="126"/>
  <c r="AU22" i="166"/>
  <c r="AU64" i="166" s="1"/>
  <c r="AE64" i="166"/>
  <c r="AE89" i="166" s="1"/>
  <c r="AC22" i="117"/>
  <c r="V43" i="126"/>
  <c r="U83" i="126"/>
  <c r="S39" i="124"/>
  <c r="S119" i="124" s="1"/>
  <c r="U119" i="124" s="1"/>
  <c r="V119" i="124" s="1"/>
  <c r="S40" i="124"/>
  <c r="S120" i="124" s="1"/>
  <c r="U120" i="124" s="1"/>
  <c r="V120" i="124" s="1"/>
  <c r="V15" i="124"/>
  <c r="G161" i="158"/>
  <c r="K196" i="105"/>
  <c r="K47" i="105"/>
  <c r="K198" i="105"/>
  <c r="V160" i="158"/>
  <c r="AC70" i="166"/>
  <c r="AC93" i="166"/>
  <c r="J129" i="158"/>
  <c r="S43" i="124"/>
  <c r="S123" i="124" s="1"/>
  <c r="U123" i="124" s="1"/>
  <c r="V123" i="124" s="1"/>
  <c r="G165" i="158"/>
  <c r="G167" i="158"/>
  <c r="U81" i="126"/>
  <c r="V41" i="126"/>
  <c r="V158" i="158"/>
  <c r="J172" i="158"/>
  <c r="AE66" i="166"/>
  <c r="AE91" i="166" s="1"/>
  <c r="AC24" i="117"/>
  <c r="U35" i="128"/>
  <c r="AI70" i="166"/>
  <c r="U80" i="126"/>
  <c r="V40" i="126"/>
  <c r="G168" i="158"/>
  <c r="AE169" i="158"/>
  <c r="V169" i="158"/>
  <c r="S38" i="124"/>
  <c r="S118" i="124" s="1"/>
  <c r="U118" i="124" s="1"/>
  <c r="V118" i="124" s="1"/>
  <c r="U78" i="126"/>
  <c r="V38" i="126"/>
  <c r="G40" i="158"/>
  <c r="AA28" i="117"/>
  <c r="G163" i="158"/>
  <c r="M20" i="130"/>
  <c r="M26" i="128"/>
  <c r="M19" i="128"/>
  <c r="S41" i="124"/>
  <c r="S121" i="124" s="1"/>
  <c r="U121" i="124" s="1"/>
  <c r="V121" i="124" s="1"/>
  <c r="AU20" i="166"/>
  <c r="AU62" i="166" s="1"/>
  <c r="U95" i="124"/>
  <c r="S42" i="124"/>
  <c r="S122" i="124" s="1"/>
  <c r="U122" i="124" s="1"/>
  <c r="V122" i="124" s="1"/>
  <c r="V36" i="126"/>
  <c r="U76" i="126"/>
  <c r="AU21" i="166"/>
  <c r="AU63" i="166" s="1"/>
  <c r="AB53" i="131"/>
  <c r="E43" i="134"/>
  <c r="X55" i="131"/>
  <c r="X56" i="131" s="1"/>
  <c r="G172" i="158" l="1"/>
  <c r="AH160" i="158"/>
  <c r="AH159" i="158"/>
  <c r="U39" i="124"/>
  <c r="U85" i="126"/>
  <c r="U127" i="126" s="1"/>
  <c r="U35" i="124"/>
  <c r="U36" i="124"/>
  <c r="V78" i="126"/>
  <c r="U41" i="124"/>
  <c r="U43" i="124"/>
  <c r="U42" i="124"/>
  <c r="V162" i="158"/>
  <c r="AE162" i="158"/>
  <c r="V166" i="158"/>
  <c r="AE166" i="158"/>
  <c r="V81" i="126"/>
  <c r="V76" i="126"/>
  <c r="U38" i="124"/>
  <c r="AE161" i="158"/>
  <c r="V161" i="158"/>
  <c r="AA56" i="117"/>
  <c r="AE40" i="158"/>
  <c r="S40" i="158" s="1"/>
  <c r="V82" i="126"/>
  <c r="AE164" i="158"/>
  <c r="V164" i="158"/>
  <c r="V80" i="126"/>
  <c r="V167" i="158"/>
  <c r="AE167" i="158"/>
  <c r="V83" i="126"/>
  <c r="M37" i="128"/>
  <c r="M44" i="128"/>
  <c r="M41" i="130"/>
  <c r="U37" i="124"/>
  <c r="U40" i="124"/>
  <c r="K111" i="105"/>
  <c r="W198" i="105"/>
  <c r="W47" i="105"/>
  <c r="W196" i="105"/>
  <c r="AE70" i="166"/>
  <c r="E45" i="134"/>
  <c r="E59" i="134"/>
  <c r="E61" i="134" s="1"/>
  <c r="AE163" i="158"/>
  <c r="V163" i="158"/>
  <c r="AH169" i="158"/>
  <c r="AC28" i="117"/>
  <c r="V168" i="158"/>
  <c r="AE168" i="158"/>
  <c r="AH40" i="158"/>
  <c r="AB57" i="131"/>
  <c r="AB55" i="131"/>
  <c r="S125" i="124"/>
  <c r="U44" i="128"/>
  <c r="U37" i="128"/>
  <c r="S41" i="130"/>
  <c r="AE165" i="158"/>
  <c r="V165" i="158"/>
  <c r="K48" i="105"/>
  <c r="K49" i="105" s="1"/>
  <c r="M18" i="130" s="1"/>
  <c r="AJ91" i="105"/>
  <c r="V77" i="126"/>
  <c r="V75" i="126"/>
  <c r="V45" i="126"/>
  <c r="AU28" i="166"/>
  <c r="V95" i="124"/>
  <c r="V125" i="124" s="1"/>
  <c r="U125" i="124"/>
  <c r="G83" i="158"/>
  <c r="G43" i="158"/>
  <c r="V79" i="126"/>
  <c r="AU70" i="166"/>
  <c r="S83" i="158" l="1"/>
  <c r="AE83" i="158" s="1"/>
  <c r="S43" i="158"/>
  <c r="AH163" i="158"/>
  <c r="V42" i="124"/>
  <c r="V36" i="124"/>
  <c r="AH162" i="158"/>
  <c r="V38" i="124"/>
  <c r="V40" i="124"/>
  <c r="G126" i="158"/>
  <c r="G86" i="158"/>
  <c r="V41" i="124"/>
  <c r="AH43" i="158"/>
  <c r="V40" i="158"/>
  <c r="V35" i="124"/>
  <c r="V85" i="126"/>
  <c r="V127" i="126" s="1"/>
  <c r="AH168" i="158"/>
  <c r="V43" i="124"/>
  <c r="V172" i="158"/>
  <c r="AH161" i="158"/>
  <c r="U45" i="124"/>
  <c r="M21" i="128"/>
  <c r="V37" i="124"/>
  <c r="AH165" i="158"/>
  <c r="AH166" i="158"/>
  <c r="AJ92" i="105"/>
  <c r="W48" i="105"/>
  <c r="W49" i="105" s="1"/>
  <c r="M39" i="130" s="1"/>
  <c r="AH167" i="158"/>
  <c r="AH164" i="158"/>
  <c r="AE43" i="158"/>
  <c r="V39" i="124"/>
  <c r="AE172" i="158"/>
  <c r="AE174" i="158" s="1"/>
  <c r="V83" i="158" l="1"/>
  <c r="V43" i="158"/>
  <c r="V45" i="124"/>
  <c r="M39" i="128"/>
  <c r="AE86" i="158"/>
  <c r="AH172" i="158"/>
  <c r="G129" i="158"/>
  <c r="S126" i="158"/>
  <c r="S86" i="158"/>
  <c r="S129" i="158" l="1"/>
  <c r="V126" i="158"/>
  <c r="V86" i="158"/>
  <c r="AH83" i="158"/>
  <c r="AE126" i="158"/>
  <c r="V129" i="158" l="1"/>
  <c r="AH126" i="158"/>
  <c r="AH86" i="158"/>
  <c r="AE129" i="158"/>
  <c r="AH129" i="158" l="1"/>
  <c r="AG31" i="23" l="1"/>
  <c r="K31" i="53" s="1"/>
  <c r="AK30" i="23"/>
  <c r="K33" i="53" l="1"/>
  <c r="C9" i="135" s="1"/>
  <c r="E9" i="135" s="1"/>
  <c r="C31" i="118"/>
  <c r="K50" i="53"/>
  <c r="C31" i="23"/>
  <c r="C32" i="108"/>
  <c r="C31" i="133"/>
  <c r="G32" i="108" l="1"/>
  <c r="C34" i="108"/>
  <c r="G31" i="23"/>
  <c r="E45" i="105"/>
  <c r="O31" i="23"/>
  <c r="C33" i="23"/>
  <c r="C50" i="23"/>
  <c r="C69" i="23" s="1"/>
  <c r="C71" i="23" s="1"/>
  <c r="K52" i="53"/>
  <c r="C50" i="118"/>
  <c r="C50" i="133"/>
  <c r="C33" i="133"/>
  <c r="G31" i="133"/>
  <c r="AB31" i="118"/>
  <c r="O31" i="118"/>
  <c r="G17" i="128"/>
  <c r="G31" i="118"/>
  <c r="C33" i="118"/>
  <c r="Y43" i="118" s="1"/>
  <c r="C69" i="118" l="1"/>
  <c r="C71" i="118" s="1"/>
  <c r="G50" i="118"/>
  <c r="C52" i="118"/>
  <c r="G35" i="128"/>
  <c r="O50" i="118"/>
  <c r="O69" i="118" s="1"/>
  <c r="O71" i="118" s="1"/>
  <c r="D40" i="158"/>
  <c r="O43" i="121"/>
  <c r="O33" i="118"/>
  <c r="G33" i="133"/>
  <c r="O33" i="23"/>
  <c r="R44" i="15"/>
  <c r="G50" i="23"/>
  <c r="I15" i="136"/>
  <c r="O50" i="23"/>
  <c r="O52" i="23" s="1"/>
  <c r="C52" i="23"/>
  <c r="Q45" i="105"/>
  <c r="G20" i="130"/>
  <c r="G26" i="128"/>
  <c r="G19" i="128"/>
  <c r="I13" i="137"/>
  <c r="Q13" i="137" s="1"/>
  <c r="E196" i="105"/>
  <c r="E198" i="105"/>
  <c r="E47" i="105"/>
  <c r="C69" i="133"/>
  <c r="C71" i="133" s="1"/>
  <c r="C52" i="133"/>
  <c r="G50" i="133"/>
  <c r="G52" i="133" s="1"/>
  <c r="S31" i="23"/>
  <c r="G33" i="23"/>
  <c r="S31" i="118"/>
  <c r="G33" i="118"/>
  <c r="AF31" i="118"/>
  <c r="G69" i="118"/>
  <c r="G71" i="118" s="1"/>
  <c r="G34" i="108"/>
  <c r="C50" i="28"/>
  <c r="C50" i="54"/>
  <c r="O69" i="23" l="1"/>
  <c r="O71" i="23" s="1"/>
  <c r="D43" i="158"/>
  <c r="D83" i="158"/>
  <c r="D126" i="158" s="1"/>
  <c r="G50" i="28"/>
  <c r="C52" i="28"/>
  <c r="R46" i="15"/>
  <c r="O123" i="121"/>
  <c r="O125" i="121" s="1"/>
  <c r="AB40" i="158"/>
  <c r="AB43" i="158" s="1"/>
  <c r="O52" i="118"/>
  <c r="E48" i="105"/>
  <c r="E49" i="105" s="1"/>
  <c r="G18" i="130" s="1"/>
  <c r="AF91" i="105"/>
  <c r="G44" i="128"/>
  <c r="G41" i="130"/>
  <c r="G37" i="128"/>
  <c r="I15" i="160"/>
  <c r="I21" i="136"/>
  <c r="O45" i="121"/>
  <c r="M43" i="121"/>
  <c r="S33" i="118"/>
  <c r="Q196" i="105"/>
  <c r="E111" i="105"/>
  <c r="Q47" i="105"/>
  <c r="Q198" i="105"/>
  <c r="G69" i="133"/>
  <c r="G71" i="133" s="1"/>
  <c r="S33" i="23"/>
  <c r="G52" i="23"/>
  <c r="S50" i="23"/>
  <c r="S52" i="23" s="1"/>
  <c r="G69" i="23"/>
  <c r="G71" i="23" s="1"/>
  <c r="S50" i="118"/>
  <c r="S52" i="118" s="1"/>
  <c r="G52" i="118"/>
  <c r="G50" i="54"/>
  <c r="C52" i="54"/>
  <c r="O83" i="121" l="1"/>
  <c r="D129" i="158"/>
  <c r="I21" i="160"/>
  <c r="I25" i="160" s="1"/>
  <c r="I25" i="136"/>
  <c r="I27" i="136" s="1"/>
  <c r="O50" i="28"/>
  <c r="G52" i="28"/>
  <c r="G21" i="128"/>
  <c r="P40" i="158"/>
  <c r="AF92" i="105"/>
  <c r="E113" i="105"/>
  <c r="Q48" i="105"/>
  <c r="Q49" i="105" s="1"/>
  <c r="G39" i="130" s="1"/>
  <c r="S69" i="118"/>
  <c r="S71" i="118" s="1"/>
  <c r="S69" i="23"/>
  <c r="S71" i="23" s="1"/>
  <c r="D86" i="158"/>
  <c r="P43" i="121"/>
  <c r="M45" i="121"/>
  <c r="N83" i="121"/>
  <c r="O85" i="121"/>
  <c r="G52" i="54"/>
  <c r="O50" i="54"/>
  <c r="N43" i="121"/>
  <c r="O52" i="54" l="1"/>
  <c r="G50" i="53"/>
  <c r="G52" i="53" s="1"/>
  <c r="C50" i="53"/>
  <c r="C52" i="53" s="1"/>
  <c r="O52" i="28"/>
  <c r="N45" i="121"/>
  <c r="Q43" i="121"/>
  <c r="N123" i="121"/>
  <c r="N125" i="121" s="1"/>
  <c r="Q21" i="128"/>
  <c r="M83" i="121"/>
  <c r="Q83" i="121"/>
  <c r="Q85" i="121" s="1"/>
  <c r="N85" i="121"/>
  <c r="G39" i="128"/>
  <c r="I27" i="160"/>
  <c r="I31" i="136"/>
  <c r="I31" i="160" s="1"/>
  <c r="P83" i="158"/>
  <c r="P126" i="158" s="1"/>
  <c r="P43" i="158"/>
  <c r="Q39" i="128" l="1"/>
  <c r="P129" i="158"/>
  <c r="AB126" i="158"/>
  <c r="AB129" i="158" s="1"/>
  <c r="Q45" i="121"/>
  <c r="Q123" i="121"/>
  <c r="Q125" i="121" s="1"/>
  <c r="P86" i="158"/>
  <c r="AB83" i="158"/>
  <c r="AB86" i="158" s="1"/>
  <c r="P83" i="121"/>
  <c r="M85" i="121"/>
  <c r="M123" i="121"/>
  <c r="M125" i="121" s="1"/>
  <c r="R43" i="121"/>
  <c r="R83" i="121" l="1"/>
  <c r="P85" i="121"/>
  <c r="P123" i="121"/>
  <c r="V83" i="121" l="1"/>
  <c r="V85" i="121" s="1"/>
  <c r="R85" i="121"/>
  <c r="R123" i="121"/>
  <c r="O65" i="72" l="1"/>
  <c r="O64" i="72"/>
  <c r="O63" i="72"/>
  <c r="O62" i="72"/>
  <c r="O68" i="72"/>
  <c r="O66" i="72"/>
  <c r="O67" i="72"/>
  <c r="K71" i="72"/>
  <c r="U45" i="3"/>
  <c r="O61" i="72"/>
  <c r="O70" i="72" l="1"/>
  <c r="U44" i="3"/>
  <c r="V45" i="3"/>
  <c r="K73" i="72"/>
  <c r="P71" i="72"/>
  <c r="O69" i="72"/>
  <c r="U43" i="3"/>
  <c r="BF50" i="110"/>
  <c r="BG50" i="110" s="1"/>
  <c r="BH50" i="110" s="1"/>
  <c r="BJ50" i="110" s="1"/>
  <c r="BK50" i="110" s="1"/>
  <c r="M26" i="109" s="1"/>
  <c r="V44" i="3" l="1"/>
  <c r="W71" i="72"/>
  <c r="L44" i="39" s="1"/>
  <c r="K44" i="39" s="1"/>
  <c r="C26" i="87"/>
  <c r="M54" i="109"/>
  <c r="BF48" i="110"/>
  <c r="BG48" i="110" s="1"/>
  <c r="BH48" i="110" s="1"/>
  <c r="BJ48" i="110" s="1"/>
  <c r="BK48" i="110" s="1"/>
  <c r="M24" i="109" s="1"/>
  <c r="BF49" i="110"/>
  <c r="BG49" i="110" s="1"/>
  <c r="BH49" i="110" s="1"/>
  <c r="BJ49" i="110" s="1"/>
  <c r="BK49" i="110" s="1"/>
  <c r="M25" i="109" s="1"/>
  <c r="C25" i="87" s="1"/>
  <c r="I25" i="87" l="1"/>
  <c r="C67" i="87"/>
  <c r="K25" i="87"/>
  <c r="M28" i="109"/>
  <c r="C24" i="87"/>
  <c r="C54" i="87"/>
  <c r="M56" i="109"/>
  <c r="K26" i="87"/>
  <c r="I26" i="87"/>
  <c r="Y71" i="72"/>
  <c r="L44" i="5" s="1"/>
  <c r="K44" i="5" s="1"/>
  <c r="M44" i="39"/>
  <c r="C44" i="72"/>
  <c r="K46" i="39"/>
  <c r="C54" i="84" l="1"/>
  <c r="C56" i="84" s="1"/>
  <c r="I54" i="87"/>
  <c r="K54" i="87"/>
  <c r="C56" i="87"/>
  <c r="C48" i="72"/>
  <c r="C46" i="72"/>
  <c r="K24" i="87"/>
  <c r="I24" i="87"/>
  <c r="C66" i="87"/>
  <c r="C28" i="87"/>
  <c r="S26" i="87"/>
  <c r="K68" i="87"/>
  <c r="M44" i="5"/>
  <c r="E44" i="72"/>
  <c r="G44" i="72" s="1"/>
  <c r="K46" i="5"/>
  <c r="C44" i="38"/>
  <c r="C44" i="37"/>
  <c r="K48" i="5"/>
  <c r="S25" i="87"/>
  <c r="S67" i="87" s="1"/>
  <c r="C97" i="99" s="1"/>
  <c r="I97" i="99" s="1"/>
  <c r="K67" i="87"/>
  <c r="C68" i="87"/>
  <c r="Q26" i="87"/>
  <c r="I68" i="87"/>
  <c r="Q25" i="87"/>
  <c r="Q67" i="87" s="1"/>
  <c r="I67" i="87"/>
  <c r="C70" i="87" l="1"/>
  <c r="G46" i="72"/>
  <c r="I43" i="12"/>
  <c r="Y43" i="9"/>
  <c r="O44" i="72"/>
  <c r="D28" i="135"/>
  <c r="D30" i="135" s="1"/>
  <c r="P44" i="15"/>
  <c r="C43" i="9"/>
  <c r="B40" i="158"/>
  <c r="G48" i="72"/>
  <c r="K28" i="87"/>
  <c r="S24" i="87"/>
  <c r="K66" i="87"/>
  <c r="K70" i="87" s="1"/>
  <c r="E46" i="72"/>
  <c r="E48" i="72"/>
  <c r="K54" i="84"/>
  <c r="K56" i="84" s="1"/>
  <c r="K56" i="87"/>
  <c r="S54" i="87"/>
  <c r="S68" i="87" s="1"/>
  <c r="C98" i="99" s="1"/>
  <c r="I98" i="99" s="1"/>
  <c r="K97" i="99"/>
  <c r="Q97" i="99"/>
  <c r="M97" i="99"/>
  <c r="U25" i="87" s="1"/>
  <c r="G44" i="37"/>
  <c r="C46" i="37"/>
  <c r="Q54" i="87"/>
  <c r="Q68" i="87" s="1"/>
  <c r="I56" i="87"/>
  <c r="I54" i="84"/>
  <c r="I56" i="84" s="1"/>
  <c r="C46" i="38"/>
  <c r="G44" i="38"/>
  <c r="I66" i="87"/>
  <c r="I70" i="87" s="1"/>
  <c r="I28" i="87"/>
  <c r="Q24" i="87"/>
  <c r="T44" i="15" l="1"/>
  <c r="T46" i="15" s="1"/>
  <c r="P46" i="15"/>
  <c r="B83" i="158"/>
  <c r="B126" i="158" s="1"/>
  <c r="B43" i="158"/>
  <c r="E44" i="8"/>
  <c r="O46" i="72"/>
  <c r="P47" i="72" s="1"/>
  <c r="I43" i="9"/>
  <c r="C45" i="9"/>
  <c r="S56" i="87"/>
  <c r="U54" i="87"/>
  <c r="S54" i="84"/>
  <c r="S56" i="84" s="1"/>
  <c r="Y45" i="9"/>
  <c r="Z43" i="9"/>
  <c r="Z45" i="9" s="1"/>
  <c r="Q66" i="87"/>
  <c r="Q70" i="87" s="1"/>
  <c r="Q28" i="87"/>
  <c r="S66" i="87"/>
  <c r="S28" i="87"/>
  <c r="C17" i="128"/>
  <c r="Y43" i="12"/>
  <c r="Y45" i="12" s="1"/>
  <c r="I44" i="129"/>
  <c r="I45" i="12"/>
  <c r="M98" i="99"/>
  <c r="U26" i="87" s="1"/>
  <c r="K98" i="99"/>
  <c r="J27" i="135"/>
  <c r="J30" i="135" s="1"/>
  <c r="U67" i="87"/>
  <c r="C25" i="116"/>
  <c r="C27" i="94"/>
  <c r="G27" i="94" s="1"/>
  <c r="I27" i="94" s="1"/>
  <c r="O43" i="141"/>
  <c r="M43" i="141" s="1"/>
  <c r="N43" i="141" s="1"/>
  <c r="W25" i="87"/>
  <c r="W67" i="87" s="1"/>
  <c r="U43" i="15" s="1"/>
  <c r="U25" i="84"/>
  <c r="C25" i="99"/>
  <c r="AG25" i="87"/>
  <c r="AG67" i="87" s="1"/>
  <c r="C25" i="115"/>
  <c r="G25" i="115" s="1"/>
  <c r="I25" i="115" s="1"/>
  <c r="C25" i="84" s="1"/>
  <c r="Q56" i="87"/>
  <c r="Q54" i="84"/>
  <c r="Q56" i="84" s="1"/>
  <c r="C8" i="135"/>
  <c r="AB91" i="105"/>
  <c r="B129" i="158" l="1"/>
  <c r="C26" i="128"/>
  <c r="Q17" i="128"/>
  <c r="C19" i="128"/>
  <c r="C20" i="130"/>
  <c r="I12" i="137"/>
  <c r="Q12" i="137" s="1"/>
  <c r="D27" i="135"/>
  <c r="U54" i="84"/>
  <c r="C54" i="116"/>
  <c r="W54" i="87"/>
  <c r="C54" i="99"/>
  <c r="C54" i="115"/>
  <c r="U56" i="87"/>
  <c r="K25" i="116"/>
  <c r="M25" i="116"/>
  <c r="C67" i="116"/>
  <c r="C67" i="84"/>
  <c r="I25" i="84"/>
  <c r="K25" i="84"/>
  <c r="R27" i="131"/>
  <c r="O43" i="125"/>
  <c r="C26" i="115"/>
  <c r="G26" i="115" s="1"/>
  <c r="I26" i="115" s="1"/>
  <c r="C26" i="84" s="1"/>
  <c r="W26" i="87"/>
  <c r="U68" i="87"/>
  <c r="U26" i="84"/>
  <c r="C26" i="99"/>
  <c r="C26" i="116"/>
  <c r="C44" i="35"/>
  <c r="I45" i="9"/>
  <c r="C44" i="36"/>
  <c r="Y44" i="129"/>
  <c r="M52" i="72"/>
  <c r="I46" i="129"/>
  <c r="I47" i="129" s="1"/>
  <c r="I48" i="129" s="1"/>
  <c r="B86" i="158"/>
  <c r="C39" i="117"/>
  <c r="AI25" i="84"/>
  <c r="AI67" i="84" s="1"/>
  <c r="U67" i="84"/>
  <c r="W25" i="84"/>
  <c r="W43" i="15"/>
  <c r="Q25" i="99"/>
  <c r="K25" i="99"/>
  <c r="K67" i="99" s="1"/>
  <c r="C67" i="99"/>
  <c r="Q67" i="99" s="1"/>
  <c r="N25" i="99"/>
  <c r="M25" i="99"/>
  <c r="M67" i="99" s="1"/>
  <c r="C96" i="99"/>
  <c r="S70" i="87"/>
  <c r="C11" i="135"/>
  <c r="E8" i="135"/>
  <c r="E11" i="135" s="1"/>
  <c r="E46" i="8"/>
  <c r="I44" i="8"/>
  <c r="W54" i="84" l="1"/>
  <c r="W56" i="84" s="1"/>
  <c r="W56" i="87"/>
  <c r="W67" i="84"/>
  <c r="S97" i="99"/>
  <c r="R28" i="131"/>
  <c r="S17" i="128"/>
  <c r="O43" i="119"/>
  <c r="Y46" i="129"/>
  <c r="W68" i="87"/>
  <c r="U44" i="15" s="1"/>
  <c r="U56" i="84"/>
  <c r="AI54" i="84"/>
  <c r="AI56" i="84" s="1"/>
  <c r="Q19" i="128"/>
  <c r="Q26" i="128"/>
  <c r="K54" i="99"/>
  <c r="K56" i="99" s="1"/>
  <c r="C56" i="99"/>
  <c r="M54" i="99"/>
  <c r="M56" i="99" s="1"/>
  <c r="C56" i="116"/>
  <c r="AI68" i="130" s="1"/>
  <c r="M54" i="116"/>
  <c r="K54" i="116"/>
  <c r="K44" i="36"/>
  <c r="C46" i="36"/>
  <c r="K26" i="84"/>
  <c r="C68" i="84"/>
  <c r="I26" i="84"/>
  <c r="M67" i="116"/>
  <c r="C40" i="117"/>
  <c r="W26" i="84"/>
  <c r="W68" i="84" s="1"/>
  <c r="U68" i="84"/>
  <c r="O15" i="136" s="1"/>
  <c r="I96" i="99"/>
  <c r="C100" i="99"/>
  <c r="C45" i="105"/>
  <c r="I46" i="8"/>
  <c r="M39" i="117"/>
  <c r="AP39" i="117"/>
  <c r="C39" i="98"/>
  <c r="K39" i="117"/>
  <c r="O43" i="140"/>
  <c r="M43" i="125"/>
  <c r="O83" i="125"/>
  <c r="N43" i="125"/>
  <c r="AA25" i="116"/>
  <c r="K67" i="116"/>
  <c r="AQ25" i="116"/>
  <c r="AQ67" i="116" s="1"/>
  <c r="K26" i="99"/>
  <c r="K68" i="99" s="1"/>
  <c r="N26" i="99"/>
  <c r="C68" i="99"/>
  <c r="M26" i="99"/>
  <c r="Q25" i="84"/>
  <c r="Q67" i="84" s="1"/>
  <c r="I67" i="84"/>
  <c r="K44" i="35"/>
  <c r="C46" i="35"/>
  <c r="V27" i="131"/>
  <c r="I39" i="158" s="1"/>
  <c r="C26" i="134"/>
  <c r="AE27" i="131"/>
  <c r="C25" i="98"/>
  <c r="C53" i="131"/>
  <c r="U66" i="99"/>
  <c r="M26" i="116"/>
  <c r="K26" i="116"/>
  <c r="C68" i="116"/>
  <c r="S25" i="84"/>
  <c r="S67" i="84" s="1"/>
  <c r="K67" i="84"/>
  <c r="C56" i="115"/>
  <c r="G54" i="115"/>
  <c r="M68" i="99" l="1"/>
  <c r="M68" i="116"/>
  <c r="I54" i="115"/>
  <c r="I56" i="115" s="1"/>
  <c r="G56" i="115"/>
  <c r="W66" i="99"/>
  <c r="AA67" i="116"/>
  <c r="AA92" i="116" s="1"/>
  <c r="S25" i="116"/>
  <c r="M43" i="119"/>
  <c r="O45" i="119"/>
  <c r="M40" i="117"/>
  <c r="K40" i="117"/>
  <c r="S26" i="128"/>
  <c r="Y17" i="128"/>
  <c r="Q20" i="130"/>
  <c r="W20" i="130" s="1"/>
  <c r="S19" i="128"/>
  <c r="I15" i="137"/>
  <c r="Q15" i="137" s="1"/>
  <c r="Q18" i="137" s="1"/>
  <c r="M25" i="98"/>
  <c r="K25" i="98"/>
  <c r="O83" i="140"/>
  <c r="O123" i="140" s="1"/>
  <c r="C196" i="105"/>
  <c r="C198" i="105"/>
  <c r="C47" i="105"/>
  <c r="C48" i="105" s="1"/>
  <c r="M56" i="116"/>
  <c r="C26" i="98"/>
  <c r="V28" i="131"/>
  <c r="I40" i="158" s="1"/>
  <c r="C27" i="134"/>
  <c r="C54" i="131"/>
  <c r="K53" i="131"/>
  <c r="I53" i="131"/>
  <c r="M43" i="140"/>
  <c r="P43" i="125"/>
  <c r="Q26" i="84"/>
  <c r="Q68" i="84" s="1"/>
  <c r="I68" i="84"/>
  <c r="AK68" i="130"/>
  <c r="G44" i="10"/>
  <c r="G46" i="10" s="1"/>
  <c r="K46" i="35"/>
  <c r="N83" i="125"/>
  <c r="N83" i="140" s="1"/>
  <c r="Q43" i="125"/>
  <c r="N43" i="140"/>
  <c r="AA54" i="116"/>
  <c r="AQ54" i="116" s="1"/>
  <c r="AQ56" i="116" s="1"/>
  <c r="K56" i="116"/>
  <c r="O26" i="134"/>
  <c r="G26" i="134"/>
  <c r="K96" i="99"/>
  <c r="M96" i="99"/>
  <c r="I100" i="99"/>
  <c r="K100" i="99" s="1"/>
  <c r="I44" i="10"/>
  <c r="K46" i="36"/>
  <c r="I82" i="158"/>
  <c r="K39" i="158"/>
  <c r="S15" i="136"/>
  <c r="S15" i="160" s="1"/>
  <c r="O15" i="160"/>
  <c r="O21" i="136"/>
  <c r="K68" i="84"/>
  <c r="S26" i="84"/>
  <c r="S68" i="84" s="1"/>
  <c r="AE86" i="84"/>
  <c r="AE89" i="84" s="1"/>
  <c r="AI69" i="130"/>
  <c r="AK69" i="130" s="1"/>
  <c r="AU69" i="130" s="1"/>
  <c r="AA26" i="116"/>
  <c r="K68" i="116"/>
  <c r="M39" i="98"/>
  <c r="K39" i="98"/>
  <c r="AI39" i="117" s="1"/>
  <c r="W44" i="15"/>
  <c r="K82" i="158" l="1"/>
  <c r="AI71" i="130"/>
  <c r="I54" i="131"/>
  <c r="K54" i="131"/>
  <c r="S54" i="116"/>
  <c r="AA56" i="116"/>
  <c r="K40" i="158"/>
  <c r="I83" i="158"/>
  <c r="I126" i="158" s="1"/>
  <c r="K44" i="10"/>
  <c r="I46" i="10"/>
  <c r="M26" i="98"/>
  <c r="K26" i="98"/>
  <c r="C49" i="105"/>
  <c r="E49" i="8"/>
  <c r="U24" i="87"/>
  <c r="M100" i="99"/>
  <c r="AQ26" i="116"/>
  <c r="AQ68" i="116" s="1"/>
  <c r="S26" i="116"/>
  <c r="AA68" i="116"/>
  <c r="AA93" i="116" s="1"/>
  <c r="Q43" i="140"/>
  <c r="Q83" i="125"/>
  <c r="P43" i="140"/>
  <c r="R43" i="125"/>
  <c r="P83" i="125"/>
  <c r="M83" i="125"/>
  <c r="M83" i="140" s="1"/>
  <c r="M123" i="140" s="1"/>
  <c r="O25" i="136"/>
  <c r="O27" i="136" s="1"/>
  <c r="O21" i="160"/>
  <c r="O25" i="160" s="1"/>
  <c r="AK71" i="130"/>
  <c r="I125" i="158"/>
  <c r="N123" i="140"/>
  <c r="Y20" i="130"/>
  <c r="K21" i="132"/>
  <c r="N43" i="119"/>
  <c r="M45" i="119"/>
  <c r="P43" i="119"/>
  <c r="G27" i="134"/>
  <c r="S26" i="134"/>
  <c r="Y19" i="128"/>
  <c r="Y26" i="128"/>
  <c r="AC17" i="128"/>
  <c r="S67" i="116"/>
  <c r="S92" i="116" s="1"/>
  <c r="AC25" i="116"/>
  <c r="C25" i="117"/>
  <c r="AI25" i="116"/>
  <c r="AG22" i="23"/>
  <c r="AK22" i="23" s="1"/>
  <c r="AC67" i="116" l="1"/>
  <c r="AC92" i="116" s="1"/>
  <c r="AS25" i="116"/>
  <c r="AS67" i="116" s="1"/>
  <c r="K126" i="158"/>
  <c r="L33" i="137"/>
  <c r="AC19" i="128"/>
  <c r="S56" i="116"/>
  <c r="AQ68" i="130" s="1"/>
  <c r="AC54" i="116"/>
  <c r="AI54" i="116"/>
  <c r="S68" i="116"/>
  <c r="S93" i="116" s="1"/>
  <c r="AC26" i="116"/>
  <c r="C26" i="117"/>
  <c r="AI26" i="116"/>
  <c r="P45" i="119"/>
  <c r="K46" i="10"/>
  <c r="C43" i="12"/>
  <c r="Q83" i="140"/>
  <c r="Q123" i="140" s="1"/>
  <c r="Q43" i="123"/>
  <c r="K125" i="158"/>
  <c r="P43" i="123"/>
  <c r="P83" i="140"/>
  <c r="P123" i="140" s="1"/>
  <c r="AI67" i="116"/>
  <c r="AW67" i="116" s="1"/>
  <c r="R52" i="131"/>
  <c r="Q43" i="119"/>
  <c r="R43" i="119" s="1"/>
  <c r="N45" i="119"/>
  <c r="O27" i="160"/>
  <c r="O31" i="136"/>
  <c r="R43" i="140"/>
  <c r="R83" i="125"/>
  <c r="R83" i="140" s="1"/>
  <c r="C24" i="115"/>
  <c r="U24" i="84"/>
  <c r="W24" i="87"/>
  <c r="U66" i="87"/>
  <c r="C24" i="99"/>
  <c r="C26" i="94"/>
  <c r="AG24" i="87"/>
  <c r="O42" i="141"/>
  <c r="C24" i="116"/>
  <c r="U28" i="87"/>
  <c r="I9" i="135" s="1"/>
  <c r="K83" i="158"/>
  <c r="K25" i="117"/>
  <c r="F39" i="158" s="1"/>
  <c r="M25" i="117"/>
  <c r="AP25" i="117"/>
  <c r="I44" i="105"/>
  <c r="R43" i="123"/>
  <c r="C53" i="117"/>
  <c r="AG23" i="23"/>
  <c r="AK23" i="23" s="1"/>
  <c r="AG21" i="23"/>
  <c r="R123" i="140" l="1"/>
  <c r="F82" i="158"/>
  <c r="F125" i="158" s="1"/>
  <c r="H39" i="158"/>
  <c r="Q24" i="99"/>
  <c r="Q28" i="99" s="1"/>
  <c r="C28" i="99"/>
  <c r="K24" i="99"/>
  <c r="C66" i="99"/>
  <c r="N24" i="99"/>
  <c r="M24" i="99"/>
  <c r="S31" i="136"/>
  <c r="K34" i="132" s="1"/>
  <c r="N34" i="132" s="1"/>
  <c r="O31" i="160"/>
  <c r="S31" i="160" s="1"/>
  <c r="R45" i="119"/>
  <c r="AS68" i="130"/>
  <c r="AQ71" i="130"/>
  <c r="W66" i="87"/>
  <c r="W28" i="87"/>
  <c r="AI68" i="116"/>
  <c r="R53" i="131"/>
  <c r="L16" i="137"/>
  <c r="P16" i="137" s="1"/>
  <c r="R16" i="137" s="1"/>
  <c r="L13" i="137"/>
  <c r="P13" i="137" s="1"/>
  <c r="R13" i="137" s="1"/>
  <c r="G26" i="94"/>
  <c r="C29" i="94"/>
  <c r="AP53" i="117"/>
  <c r="K53" i="117"/>
  <c r="U44" i="105"/>
  <c r="M53" i="117"/>
  <c r="K9" i="135"/>
  <c r="K11" i="135" s="1"/>
  <c r="I11" i="135"/>
  <c r="C38" i="117"/>
  <c r="U66" i="84"/>
  <c r="AI24" i="84"/>
  <c r="W24" i="84"/>
  <c r="AW24" i="84"/>
  <c r="AW28" i="84" s="1"/>
  <c r="U28" i="84"/>
  <c r="M26" i="117"/>
  <c r="C54" i="117"/>
  <c r="K17" i="128"/>
  <c r="K26" i="117"/>
  <c r="F40" i="158" s="1"/>
  <c r="I45" i="105"/>
  <c r="AK21" i="23"/>
  <c r="O43" i="123"/>
  <c r="C28" i="116"/>
  <c r="C66" i="116"/>
  <c r="M24" i="116"/>
  <c r="K24" i="116"/>
  <c r="G24" i="115"/>
  <c r="C28" i="115"/>
  <c r="Q45" i="119"/>
  <c r="AC68" i="116"/>
  <c r="AC93" i="116" s="1"/>
  <c r="AS26" i="116"/>
  <c r="AC56" i="116"/>
  <c r="AS54" i="116"/>
  <c r="AS56" i="116" s="1"/>
  <c r="U70" i="87"/>
  <c r="E24" i="93"/>
  <c r="AN66" i="87"/>
  <c r="AN70" i="87" s="1"/>
  <c r="R26" i="131"/>
  <c r="O42" i="125"/>
  <c r="M44" i="105"/>
  <c r="K44" i="157"/>
  <c r="AO66" i="87"/>
  <c r="I195" i="105"/>
  <c r="M42" i="141"/>
  <c r="O45" i="141"/>
  <c r="N42" i="141"/>
  <c r="V52" i="131"/>
  <c r="AG39" i="158" s="1"/>
  <c r="C42" i="134"/>
  <c r="R128" i="131"/>
  <c r="C26" i="131"/>
  <c r="G43" i="12"/>
  <c r="C45" i="12"/>
  <c r="C44" i="129"/>
  <c r="M43" i="12"/>
  <c r="AG28" i="87"/>
  <c r="AG66" i="87"/>
  <c r="AG70" i="87" s="1"/>
  <c r="AI56" i="116"/>
  <c r="AW54" i="116"/>
  <c r="AG24" i="23"/>
  <c r="AK24" i="23" s="1"/>
  <c r="AS68" i="116" l="1"/>
  <c r="H125" i="158"/>
  <c r="C42" i="117"/>
  <c r="C38" i="98"/>
  <c r="M38" i="117"/>
  <c r="M42" i="117" s="1"/>
  <c r="AP38" i="117"/>
  <c r="AP42" i="117" s="1"/>
  <c r="K38" i="117"/>
  <c r="G44" i="129"/>
  <c r="G46" i="129" s="1"/>
  <c r="C46" i="129"/>
  <c r="C47" i="129" s="1"/>
  <c r="K35" i="128"/>
  <c r="U45" i="105"/>
  <c r="K54" i="117"/>
  <c r="AD40" i="158" s="1"/>
  <c r="M54" i="117"/>
  <c r="G29" i="94"/>
  <c r="I26" i="94"/>
  <c r="I29" i="94" s="1"/>
  <c r="E44" i="13"/>
  <c r="G45" i="12"/>
  <c r="M45" i="141"/>
  <c r="I24" i="93"/>
  <c r="E26" i="93"/>
  <c r="N43" i="123"/>
  <c r="M43" i="123" s="1"/>
  <c r="O83" i="141"/>
  <c r="O123" i="141" s="1"/>
  <c r="C43" i="134"/>
  <c r="R129" i="131"/>
  <c r="C27" i="131"/>
  <c r="V53" i="131"/>
  <c r="AG40" i="158" s="1"/>
  <c r="O82" i="125"/>
  <c r="O45" i="125"/>
  <c r="M42" i="125"/>
  <c r="O42" i="140"/>
  <c r="AS71" i="130"/>
  <c r="AU68" i="130"/>
  <c r="AU71" i="130" s="1"/>
  <c r="AB82" i="87"/>
  <c r="Z84" i="87" s="1"/>
  <c r="W72" i="87"/>
  <c r="G28" i="115"/>
  <c r="I24" i="115"/>
  <c r="Y44" i="105"/>
  <c r="U195" i="105"/>
  <c r="I110" i="105"/>
  <c r="AM44" i="157"/>
  <c r="AQ44" i="157" s="1"/>
  <c r="G44" i="67"/>
  <c r="S44" i="67" s="1"/>
  <c r="S35" i="128"/>
  <c r="AW68" i="116"/>
  <c r="Q66" i="99"/>
  <c r="Q70" i="99" s="1"/>
  <c r="C70" i="99"/>
  <c r="V26" i="131"/>
  <c r="C24" i="98"/>
  <c r="R31" i="131"/>
  <c r="R32" i="131" s="1"/>
  <c r="AE26" i="131"/>
  <c r="AE31" i="131" s="1"/>
  <c r="C52" i="131"/>
  <c r="C25" i="134"/>
  <c r="U65" i="99"/>
  <c r="I26" i="131"/>
  <c r="K26" i="131"/>
  <c r="W28" i="84"/>
  <c r="W66" i="84"/>
  <c r="W70" i="84" s="1"/>
  <c r="O123" i="123"/>
  <c r="O83" i="123" s="1"/>
  <c r="AD39" i="158"/>
  <c r="C35" i="128"/>
  <c r="M45" i="12"/>
  <c r="AC43" i="12"/>
  <c r="AC45" i="12" s="1"/>
  <c r="M44" i="129"/>
  <c r="O42" i="134"/>
  <c r="O58" i="134" s="1"/>
  <c r="G42" i="134"/>
  <c r="C58" i="134"/>
  <c r="O44" i="157"/>
  <c r="K28" i="116"/>
  <c r="AA24" i="116"/>
  <c r="K66" i="116"/>
  <c r="I196" i="105"/>
  <c r="M45" i="105"/>
  <c r="AI28" i="84"/>
  <c r="AI66" i="84"/>
  <c r="AI70" i="84" s="1"/>
  <c r="W70" i="87"/>
  <c r="U42" i="15"/>
  <c r="M66" i="99"/>
  <c r="M70" i="99" s="1"/>
  <c r="M28" i="99"/>
  <c r="C70" i="116"/>
  <c r="C72" i="116" s="1"/>
  <c r="K20" i="130"/>
  <c r="O20" i="130" s="1"/>
  <c r="K26" i="128"/>
  <c r="K19" i="128"/>
  <c r="O17" i="128"/>
  <c r="N45" i="141"/>
  <c r="K66" i="99"/>
  <c r="K70" i="99" s="1"/>
  <c r="K28" i="99"/>
  <c r="AI39" i="158"/>
  <c r="U39" i="158"/>
  <c r="C44" i="16"/>
  <c r="I44" i="16" s="1"/>
  <c r="K44" i="16" s="1"/>
  <c r="C44" i="67"/>
  <c r="M195" i="105"/>
  <c r="M28" i="116"/>
  <c r="M66" i="116"/>
  <c r="F83" i="158"/>
  <c r="H83" i="158" s="1"/>
  <c r="R40" i="158"/>
  <c r="H40" i="158"/>
  <c r="AW66" i="84"/>
  <c r="AW70" i="84" s="1"/>
  <c r="E38" i="93"/>
  <c r="U70" i="84"/>
  <c r="H82" i="158"/>
  <c r="AG25" i="23"/>
  <c r="AK25" i="23" s="1"/>
  <c r="Y44" i="157" l="1"/>
  <c r="AC44" i="157" s="1"/>
  <c r="W65" i="99"/>
  <c r="W69" i="99" s="1"/>
  <c r="U69" i="99"/>
  <c r="K42" i="117"/>
  <c r="AF39" i="158"/>
  <c r="R39" i="158"/>
  <c r="K52" i="131"/>
  <c r="K56" i="131" s="1"/>
  <c r="C56" i="131"/>
  <c r="I52" i="131"/>
  <c r="I56" i="131" s="1"/>
  <c r="S44" i="128"/>
  <c r="S37" i="128"/>
  <c r="Q41" i="130"/>
  <c r="W41" i="130" s="1"/>
  <c r="N21" i="132" s="1"/>
  <c r="O29" i="132" s="1"/>
  <c r="O39" i="132" s="1"/>
  <c r="L15" i="137"/>
  <c r="P15" i="137" s="1"/>
  <c r="R15" i="137" s="1"/>
  <c r="Y35" i="128"/>
  <c r="N83" i="141"/>
  <c r="N123" i="141" s="1"/>
  <c r="M83" i="141"/>
  <c r="M123" i="141" s="1"/>
  <c r="C29" i="134"/>
  <c r="G25" i="134"/>
  <c r="O25" i="134"/>
  <c r="I28" i="115"/>
  <c r="C24" i="84"/>
  <c r="M70" i="116"/>
  <c r="O70" i="116"/>
  <c r="O20" i="116" s="1"/>
  <c r="S45" i="125"/>
  <c r="S45" i="123"/>
  <c r="K59" i="131"/>
  <c r="AC46" i="15"/>
  <c r="M72" i="99"/>
  <c r="M74" i="99" s="1"/>
  <c r="O85" i="125"/>
  <c r="O127" i="125" s="1"/>
  <c r="O82" i="140"/>
  <c r="O85" i="140" s="1"/>
  <c r="U82" i="158"/>
  <c r="W39" i="158"/>
  <c r="I44" i="13"/>
  <c r="E46" i="13"/>
  <c r="S42" i="134"/>
  <c r="S58" i="134" s="1"/>
  <c r="G58" i="134"/>
  <c r="AI40" i="158"/>
  <c r="U40" i="158"/>
  <c r="M24" i="93"/>
  <c r="M26" i="93" s="1"/>
  <c r="I26" i="93"/>
  <c r="M38" i="98"/>
  <c r="M42" i="98" s="1"/>
  <c r="K38" i="98"/>
  <c r="K42" i="98" s="1"/>
  <c r="C42" i="98"/>
  <c r="C43" i="98" s="1"/>
  <c r="N83" i="123"/>
  <c r="Q83" i="123" s="1"/>
  <c r="Q123" i="123" s="1"/>
  <c r="K24" i="98"/>
  <c r="K28" i="98" s="1"/>
  <c r="M24" i="98"/>
  <c r="M28" i="98" s="1"/>
  <c r="C28" i="98"/>
  <c r="C29" i="98" s="1"/>
  <c r="I27" i="131"/>
  <c r="K27" i="131"/>
  <c r="U196" i="105"/>
  <c r="I111" i="105"/>
  <c r="W42" i="15"/>
  <c r="W46" i="15" s="1"/>
  <c r="U46" i="15"/>
  <c r="AC42" i="15" s="1"/>
  <c r="L12" i="137"/>
  <c r="C44" i="128"/>
  <c r="Q35" i="128"/>
  <c r="C41" i="130"/>
  <c r="O35" i="128"/>
  <c r="I38" i="93"/>
  <c r="E40" i="93"/>
  <c r="C45" i="16"/>
  <c r="I45" i="16" s="1"/>
  <c r="K45" i="16" s="1"/>
  <c r="M196" i="105"/>
  <c r="D21" i="132"/>
  <c r="R83" i="158"/>
  <c r="AD83" i="158" s="1"/>
  <c r="E44" i="67"/>
  <c r="Q44" i="67" s="1"/>
  <c r="O44" i="67"/>
  <c r="AA17" i="128"/>
  <c r="AA19" i="128" s="1"/>
  <c r="O26" i="128"/>
  <c r="O19" i="128"/>
  <c r="K70" i="116"/>
  <c r="Z40" i="158"/>
  <c r="AC44" i="129"/>
  <c r="E15" i="136"/>
  <c r="M46" i="129"/>
  <c r="V31" i="131"/>
  <c r="I38" i="158"/>
  <c r="K37" i="128"/>
  <c r="K44" i="128"/>
  <c r="K41" i="130"/>
  <c r="O45" i="140"/>
  <c r="O122" i="140"/>
  <c r="O125" i="140" s="1"/>
  <c r="P42" i="125"/>
  <c r="M42" i="140"/>
  <c r="M45" i="125"/>
  <c r="F126" i="158"/>
  <c r="H126" i="158" s="1"/>
  <c r="AQ24" i="116"/>
  <c r="S24" i="116"/>
  <c r="AA28" i="116"/>
  <c r="AA66" i="116"/>
  <c r="AA70" i="116" s="1"/>
  <c r="C44" i="17"/>
  <c r="Y195" i="105"/>
  <c r="M110" i="105"/>
  <c r="N42" i="125"/>
  <c r="G43" i="134"/>
  <c r="G59" i="134" s="1"/>
  <c r="C59" i="134"/>
  <c r="O41" i="130" l="1"/>
  <c r="K61" i="131"/>
  <c r="AA91" i="116"/>
  <c r="K29" i="98"/>
  <c r="X65" i="99"/>
  <c r="T39" i="158"/>
  <c r="R82" i="158"/>
  <c r="R125" i="158" s="1"/>
  <c r="I44" i="17"/>
  <c r="K44" i="17"/>
  <c r="P45" i="125"/>
  <c r="P42" i="140"/>
  <c r="P82" i="125"/>
  <c r="K38" i="158"/>
  <c r="K43" i="158" s="1"/>
  <c r="I81" i="158"/>
  <c r="I124" i="158" s="1"/>
  <c r="I43" i="158"/>
  <c r="R126" i="158"/>
  <c r="AD126" i="158" s="1"/>
  <c r="O44" i="128"/>
  <c r="AA35" i="128"/>
  <c r="O37" i="128"/>
  <c r="M83" i="123"/>
  <c r="AE20" i="116"/>
  <c r="AH42" i="15"/>
  <c r="I167" i="158"/>
  <c r="AE42" i="15"/>
  <c r="AC23" i="15"/>
  <c r="AH23" i="15" s="1"/>
  <c r="AC38" i="15"/>
  <c r="AC37" i="15"/>
  <c r="AC31" i="15"/>
  <c r="AC18" i="15"/>
  <c r="AH18" i="15" s="1"/>
  <c r="AC28" i="15"/>
  <c r="AC36" i="15"/>
  <c r="AC22" i="15"/>
  <c r="AH22" i="15" s="1"/>
  <c r="AC30" i="15"/>
  <c r="AC20" i="15"/>
  <c r="AH20" i="15" s="1"/>
  <c r="AC17" i="15"/>
  <c r="AH17" i="15" s="1"/>
  <c r="AC34" i="15"/>
  <c r="AC24" i="15"/>
  <c r="AH24" i="15" s="1"/>
  <c r="AC33" i="15"/>
  <c r="AC29" i="15"/>
  <c r="AC41" i="15"/>
  <c r="AC39" i="15"/>
  <c r="AC26" i="15"/>
  <c r="AH26" i="15" s="1"/>
  <c r="AC19" i="15"/>
  <c r="AH19" i="15" s="1"/>
  <c r="AC25" i="15"/>
  <c r="AH25" i="15" s="1"/>
  <c r="AC35" i="15"/>
  <c r="AC40" i="15"/>
  <c r="AC32" i="15"/>
  <c r="AC21" i="15"/>
  <c r="AH21" i="15" s="1"/>
  <c r="AC27" i="15"/>
  <c r="AH27" i="15" s="1"/>
  <c r="AC16" i="15"/>
  <c r="AH16" i="15" s="1"/>
  <c r="AC43" i="15"/>
  <c r="AC44" i="15"/>
  <c r="S31" i="125"/>
  <c r="S34" i="125"/>
  <c r="S24" i="125"/>
  <c r="S41" i="125"/>
  <c r="S18" i="125"/>
  <c r="S21" i="125"/>
  <c r="S29" i="125"/>
  <c r="S40" i="125"/>
  <c r="S36" i="125"/>
  <c r="S27" i="125"/>
  <c r="S19" i="125"/>
  <c r="S22" i="125"/>
  <c r="S38" i="125"/>
  <c r="S37" i="125"/>
  <c r="S43" i="125"/>
  <c r="S16" i="125"/>
  <c r="S25" i="125"/>
  <c r="S17" i="125"/>
  <c r="S35" i="125"/>
  <c r="S20" i="125"/>
  <c r="S26" i="125"/>
  <c r="S39" i="125"/>
  <c r="S33" i="125"/>
  <c r="S28" i="125"/>
  <c r="S42" i="125"/>
  <c r="S15" i="125"/>
  <c r="S32" i="125"/>
  <c r="S30" i="125"/>
  <c r="S23" i="125"/>
  <c r="O127" i="140"/>
  <c r="E134" i="140"/>
  <c r="AI38" i="117"/>
  <c r="AI42" i="117" s="1"/>
  <c r="Y37" i="128"/>
  <c r="Y44" i="128"/>
  <c r="M47" i="129"/>
  <c r="M48" i="129" s="1"/>
  <c r="AB92" i="105"/>
  <c r="Q37" i="128"/>
  <c r="Q44" i="128"/>
  <c r="O48" i="116"/>
  <c r="AE48" i="116" s="1"/>
  <c r="AU48" i="116" s="1"/>
  <c r="O38" i="116"/>
  <c r="AE38" i="116" s="1"/>
  <c r="AU38" i="116" s="1"/>
  <c r="O31" i="116"/>
  <c r="O40" i="116"/>
  <c r="AE40" i="116" s="1"/>
  <c r="AU40" i="116" s="1"/>
  <c r="O22" i="116"/>
  <c r="O37" i="116"/>
  <c r="AE37" i="116" s="1"/>
  <c r="AU37" i="116" s="1"/>
  <c r="O39" i="116"/>
  <c r="AE39" i="116" s="1"/>
  <c r="AU39" i="116" s="1"/>
  <c r="O21" i="116"/>
  <c r="O33" i="116"/>
  <c r="AE33" i="116" s="1"/>
  <c r="AU33" i="116" s="1"/>
  <c r="O23" i="116"/>
  <c r="O35" i="116"/>
  <c r="AE35" i="116" s="1"/>
  <c r="AU35" i="116" s="1"/>
  <c r="O46" i="116"/>
  <c r="AE46" i="116" s="1"/>
  <c r="AU46" i="116" s="1"/>
  <c r="O47" i="116"/>
  <c r="AE47" i="116" s="1"/>
  <c r="AU47" i="116" s="1"/>
  <c r="O49" i="116"/>
  <c r="AE49" i="116" s="1"/>
  <c r="AU49" i="116" s="1"/>
  <c r="O50" i="116"/>
  <c r="AE50" i="116" s="1"/>
  <c r="AU50" i="116" s="1"/>
  <c r="O51" i="116"/>
  <c r="AE51" i="116" s="1"/>
  <c r="AU51" i="116" s="1"/>
  <c r="O32" i="116"/>
  <c r="AE32" i="116" s="1"/>
  <c r="AU32" i="116" s="1"/>
  <c r="O45" i="116"/>
  <c r="O34" i="116"/>
  <c r="AE34" i="116" s="1"/>
  <c r="AU34" i="116" s="1"/>
  <c r="O17" i="116"/>
  <c r="O36" i="116"/>
  <c r="AE36" i="116" s="1"/>
  <c r="AU36" i="116" s="1"/>
  <c r="O52" i="116"/>
  <c r="AE52" i="116" s="1"/>
  <c r="AU52" i="116" s="1"/>
  <c r="O18" i="116"/>
  <c r="O53" i="116"/>
  <c r="AE53" i="116" s="1"/>
  <c r="AU53" i="116" s="1"/>
  <c r="O19" i="116"/>
  <c r="O25" i="116"/>
  <c r="O26" i="116"/>
  <c r="O54" i="116"/>
  <c r="AE54" i="116" s="1"/>
  <c r="AU54" i="116" s="1"/>
  <c r="O24" i="116"/>
  <c r="O29" i="134"/>
  <c r="Q18" i="130" s="1"/>
  <c r="M45" i="140"/>
  <c r="S25" i="134"/>
  <c r="G29" i="134"/>
  <c r="S28" i="116"/>
  <c r="AC24" i="116"/>
  <c r="C24" i="117"/>
  <c r="S66" i="116"/>
  <c r="AI24" i="116"/>
  <c r="E15" i="160"/>
  <c r="M15" i="136"/>
  <c r="E21" i="136"/>
  <c r="C66" i="84"/>
  <c r="C70" i="84" s="1"/>
  <c r="K24" i="84"/>
  <c r="C28" i="84"/>
  <c r="I24" i="84"/>
  <c r="N123" i="123"/>
  <c r="U83" i="158"/>
  <c r="W40" i="158"/>
  <c r="AQ66" i="116"/>
  <c r="AQ70" i="116" s="1"/>
  <c r="AQ28" i="116"/>
  <c r="O123" i="119"/>
  <c r="AC46" i="129"/>
  <c r="P12" i="137"/>
  <c r="L18" i="137"/>
  <c r="N18" i="137" s="1"/>
  <c r="I46" i="13"/>
  <c r="O45" i="105"/>
  <c r="O198" i="105" s="1"/>
  <c r="W82" i="158"/>
  <c r="AG82" i="158"/>
  <c r="AI82" i="158" s="1"/>
  <c r="N82" i="125"/>
  <c r="N42" i="140"/>
  <c r="Q42" i="125"/>
  <c r="N45" i="125"/>
  <c r="G21" i="132"/>
  <c r="Y41" i="130"/>
  <c r="Z43" i="158"/>
  <c r="AF40" i="158"/>
  <c r="N40" i="158"/>
  <c r="I40" i="93"/>
  <c r="M38" i="93"/>
  <c r="M40" i="93" s="1"/>
  <c r="U125" i="158"/>
  <c r="N25" i="132"/>
  <c r="K49" i="16"/>
  <c r="K25" i="132"/>
  <c r="K32" i="131"/>
  <c r="Y58" i="99"/>
  <c r="Y65" i="99"/>
  <c r="Z65" i="99" s="1"/>
  <c r="Y60" i="99"/>
  <c r="Y66" i="99"/>
  <c r="Y59" i="99"/>
  <c r="X63" i="99"/>
  <c r="X58" i="99"/>
  <c r="X60" i="99"/>
  <c r="Y61" i="99"/>
  <c r="Y62" i="99"/>
  <c r="Y63" i="99"/>
  <c r="X61" i="99"/>
  <c r="X64" i="99"/>
  <c r="Y64" i="99"/>
  <c r="X59" i="99"/>
  <c r="X62" i="99"/>
  <c r="X66" i="99"/>
  <c r="AG26" i="23"/>
  <c r="AG27" i="23"/>
  <c r="AK27" i="23" s="1"/>
  <c r="Z61" i="99" l="1"/>
  <c r="Z66" i="99"/>
  <c r="Z62" i="99"/>
  <c r="Z60" i="99"/>
  <c r="O62" i="116"/>
  <c r="Z63" i="99"/>
  <c r="I129" i="158"/>
  <c r="K124" i="158"/>
  <c r="K129" i="158" s="1"/>
  <c r="AE44" i="15"/>
  <c r="I169" i="158"/>
  <c r="AH44" i="15"/>
  <c r="Z64" i="99"/>
  <c r="S29" i="140"/>
  <c r="S109" i="140" s="1"/>
  <c r="U109" i="140" s="1"/>
  <c r="V109" i="140" s="1"/>
  <c r="U29" i="125"/>
  <c r="W125" i="158"/>
  <c r="AG125" i="158"/>
  <c r="AI125" i="158" s="1"/>
  <c r="AE24" i="116"/>
  <c r="AU24" i="116" s="1"/>
  <c r="O66" i="116"/>
  <c r="O64" i="116"/>
  <c r="AE22" i="116"/>
  <c r="U39" i="125"/>
  <c r="S39" i="140"/>
  <c r="S79" i="125"/>
  <c r="U37" i="125"/>
  <c r="S37" i="140"/>
  <c r="S77" i="125"/>
  <c r="U21" i="125"/>
  <c r="S21" i="140"/>
  <c r="S101" i="140" s="1"/>
  <c r="U101" i="140" s="1"/>
  <c r="V101" i="140" s="1"/>
  <c r="I163" i="158"/>
  <c r="AH38" i="15"/>
  <c r="AE38" i="15"/>
  <c r="P83" i="123"/>
  <c r="M123" i="123"/>
  <c r="R42" i="123"/>
  <c r="K24" i="117"/>
  <c r="AP24" i="117"/>
  <c r="AP28" i="117" s="1"/>
  <c r="I51" i="105" s="1"/>
  <c r="I43" i="105"/>
  <c r="I201" i="105" s="1"/>
  <c r="M201" i="105" s="1"/>
  <c r="C28" i="117"/>
  <c r="S54" i="16" s="1"/>
  <c r="M24" i="117"/>
  <c r="M28" i="117" s="1"/>
  <c r="C52" i="117"/>
  <c r="U16" i="125"/>
  <c r="S16" i="140"/>
  <c r="S96" i="140" s="1"/>
  <c r="U96" i="140" s="1"/>
  <c r="V96" i="140" s="1"/>
  <c r="U43" i="125"/>
  <c r="S43" i="140"/>
  <c r="S83" i="125"/>
  <c r="AE43" i="15"/>
  <c r="AH43" i="15"/>
  <c r="I168" i="158"/>
  <c r="E21" i="160"/>
  <c r="E25" i="160" s="1"/>
  <c r="E25" i="136"/>
  <c r="E27" i="136" s="1"/>
  <c r="AE17" i="116"/>
  <c r="O59" i="116"/>
  <c r="AE84" i="116" s="1"/>
  <c r="O28" i="116"/>
  <c r="U23" i="125"/>
  <c r="S23" i="140"/>
  <c r="S103" i="140" s="1"/>
  <c r="U103" i="140" s="1"/>
  <c r="V103" i="140" s="1"/>
  <c r="U26" i="125"/>
  <c r="S26" i="140"/>
  <c r="S106" i="140" s="1"/>
  <c r="U106" i="140" s="1"/>
  <c r="V106" i="140" s="1"/>
  <c r="U38" i="125"/>
  <c r="S78" i="125"/>
  <c r="S38" i="140"/>
  <c r="S18" i="140"/>
  <c r="S98" i="140" s="1"/>
  <c r="U98" i="140" s="1"/>
  <c r="V98" i="140" s="1"/>
  <c r="U18" i="125"/>
  <c r="AE39" i="15"/>
  <c r="AH39" i="15"/>
  <c r="I164" i="158"/>
  <c r="AH30" i="15"/>
  <c r="I155" i="158"/>
  <c r="P45" i="140"/>
  <c r="O125" i="119"/>
  <c r="O83" i="119"/>
  <c r="AK26" i="23"/>
  <c r="Q45" i="125"/>
  <c r="Q82" i="125"/>
  <c r="Q42" i="140"/>
  <c r="N45" i="140"/>
  <c r="O196" i="105"/>
  <c r="C111" i="105"/>
  <c r="O47" i="105"/>
  <c r="Y45" i="105"/>
  <c r="V16" i="136"/>
  <c r="M15" i="160"/>
  <c r="V16" i="160" s="1"/>
  <c r="AE26" i="116"/>
  <c r="AU26" i="116" s="1"/>
  <c r="O68" i="116"/>
  <c r="O42" i="116"/>
  <c r="AE31" i="116"/>
  <c r="AE42" i="116" s="1"/>
  <c r="U30" i="125"/>
  <c r="S30" i="140"/>
  <c r="S110" i="140" s="1"/>
  <c r="U110" i="140" s="1"/>
  <c r="V110" i="140" s="1"/>
  <c r="S20" i="140"/>
  <c r="S100" i="140" s="1"/>
  <c r="U100" i="140" s="1"/>
  <c r="V100" i="140" s="1"/>
  <c r="U20" i="125"/>
  <c r="U22" i="125"/>
  <c r="S22" i="140"/>
  <c r="S102" i="140" s="1"/>
  <c r="U102" i="140" s="1"/>
  <c r="V102" i="140" s="1"/>
  <c r="U41" i="125"/>
  <c r="S41" i="140"/>
  <c r="S81" i="125"/>
  <c r="I166" i="158"/>
  <c r="AH41" i="15"/>
  <c r="AE41" i="15"/>
  <c r="K81" i="158"/>
  <c r="K86" i="158" s="1"/>
  <c r="I86" i="158"/>
  <c r="T125" i="158"/>
  <c r="AD125" i="158"/>
  <c r="AF125" i="158" s="1"/>
  <c r="O60" i="116"/>
  <c r="AE18" i="116"/>
  <c r="AU18" i="116" s="1"/>
  <c r="S28" i="140"/>
  <c r="S108" i="140" s="1"/>
  <c r="U108" i="140" s="1"/>
  <c r="V108" i="140" s="1"/>
  <c r="U28" i="125"/>
  <c r="I156" i="158"/>
  <c r="AH31" i="15"/>
  <c r="W45" i="130"/>
  <c r="S40" i="128"/>
  <c r="AC28" i="116"/>
  <c r="AC66" i="116"/>
  <c r="AS24" i="116"/>
  <c r="AE62" i="116"/>
  <c r="AE87" i="116" s="1"/>
  <c r="O20" i="117"/>
  <c r="O48" i="117" s="1"/>
  <c r="Y69" i="99"/>
  <c r="N43" i="158"/>
  <c r="T40" i="158"/>
  <c r="N83" i="158"/>
  <c r="N126" i="158" s="1"/>
  <c r="N85" i="125"/>
  <c r="N127" i="125" s="1"/>
  <c r="N82" i="140"/>
  <c r="N85" i="140" s="1"/>
  <c r="M82" i="125"/>
  <c r="U126" i="158"/>
  <c r="W83" i="158"/>
  <c r="AG83" i="158"/>
  <c r="AI83" i="158" s="1"/>
  <c r="S29" i="134"/>
  <c r="AE25" i="116"/>
  <c r="O67" i="116"/>
  <c r="O56" i="116"/>
  <c r="AE45" i="116"/>
  <c r="AE56" i="116" s="1"/>
  <c r="AE23" i="116"/>
  <c r="AU23" i="116" s="1"/>
  <c r="O65" i="116"/>
  <c r="S32" i="140"/>
  <c r="S112" i="140" s="1"/>
  <c r="U112" i="140" s="1"/>
  <c r="V112" i="140" s="1"/>
  <c r="U32" i="125"/>
  <c r="S75" i="125"/>
  <c r="S35" i="140"/>
  <c r="U35" i="125"/>
  <c r="U19" i="125"/>
  <c r="S19" i="140"/>
  <c r="S99" i="140" s="1"/>
  <c r="U99" i="140" s="1"/>
  <c r="V99" i="140" s="1"/>
  <c r="S24" i="140"/>
  <c r="S104" i="140" s="1"/>
  <c r="U104" i="140" s="1"/>
  <c r="V104" i="140" s="1"/>
  <c r="U24" i="125"/>
  <c r="AH32" i="15"/>
  <c r="I157" i="158"/>
  <c r="AH29" i="15"/>
  <c r="I154" i="158"/>
  <c r="I161" i="158"/>
  <c r="AH36" i="15"/>
  <c r="AE36" i="15"/>
  <c r="K167" i="158"/>
  <c r="F167" i="158"/>
  <c r="T82" i="158"/>
  <c r="AD82" i="158"/>
  <c r="AF82" i="158" s="1"/>
  <c r="W18" i="130"/>
  <c r="S21" i="128"/>
  <c r="AI28" i="116"/>
  <c r="AI66" i="116"/>
  <c r="R51" i="131"/>
  <c r="O61" i="116"/>
  <c r="AE19" i="116"/>
  <c r="AU19" i="116" s="1"/>
  <c r="U40" i="128"/>
  <c r="U15" i="125"/>
  <c r="S15" i="140"/>
  <c r="U17" i="125"/>
  <c r="S17" i="140"/>
  <c r="S97" i="140" s="1"/>
  <c r="U97" i="140" s="1"/>
  <c r="V97" i="140" s="1"/>
  <c r="U27" i="125"/>
  <c r="S27" i="140"/>
  <c r="S107" i="140" s="1"/>
  <c r="U107" i="140" s="1"/>
  <c r="V107" i="140" s="1"/>
  <c r="U34" i="125"/>
  <c r="S34" i="140"/>
  <c r="S114" i="140" s="1"/>
  <c r="U114" i="140" s="1"/>
  <c r="V114" i="140" s="1"/>
  <c r="AE40" i="15"/>
  <c r="I165" i="158"/>
  <c r="AH40" i="15"/>
  <c r="I158" i="158"/>
  <c r="AH33" i="15"/>
  <c r="AE33" i="15"/>
  <c r="I153" i="158"/>
  <c r="AH28" i="15"/>
  <c r="AA37" i="128"/>
  <c r="AA44" i="128"/>
  <c r="R42" i="125"/>
  <c r="S40" i="140"/>
  <c r="S80" i="125"/>
  <c r="U40" i="125"/>
  <c r="AH34" i="15"/>
  <c r="F159" i="158"/>
  <c r="AD159" i="158" s="1"/>
  <c r="AE34" i="15"/>
  <c r="I159" i="158"/>
  <c r="S24" i="84"/>
  <c r="K28" i="84"/>
  <c r="K66" i="84"/>
  <c r="K70" i="84" s="1"/>
  <c r="S33" i="140"/>
  <c r="S113" i="140" s="1"/>
  <c r="U113" i="140" s="1"/>
  <c r="V113" i="140" s="1"/>
  <c r="U33" i="125"/>
  <c r="AH37" i="15"/>
  <c r="I162" i="158"/>
  <c r="AE37" i="15"/>
  <c r="Z59" i="99"/>
  <c r="Z58" i="99"/>
  <c r="X69" i="99"/>
  <c r="W24" i="130"/>
  <c r="S22" i="128"/>
  <c r="U22" i="128"/>
  <c r="R12" i="137"/>
  <c r="R18" i="137" s="1"/>
  <c r="P18" i="137"/>
  <c r="Q24" i="84"/>
  <c r="I66" i="84"/>
  <c r="I70" i="84" s="1"/>
  <c r="I28" i="84"/>
  <c r="S70" i="116"/>
  <c r="S91" i="116"/>
  <c r="AE21" i="116"/>
  <c r="O63" i="116"/>
  <c r="S82" i="125"/>
  <c r="S42" i="140"/>
  <c r="U42" i="125"/>
  <c r="S25" i="140"/>
  <c r="S105" i="140" s="1"/>
  <c r="U105" i="140" s="1"/>
  <c r="V105" i="140" s="1"/>
  <c r="U25" i="125"/>
  <c r="S76" i="125"/>
  <c r="U36" i="125"/>
  <c r="S36" i="140"/>
  <c r="U31" i="125"/>
  <c r="S31" i="140"/>
  <c r="S111" i="140" s="1"/>
  <c r="U111" i="140" s="1"/>
  <c r="V111" i="140" s="1"/>
  <c r="AE35" i="15"/>
  <c r="F160" i="158"/>
  <c r="AD160" i="158" s="1"/>
  <c r="AH35" i="15"/>
  <c r="I160" i="158"/>
  <c r="AU20" i="116"/>
  <c r="P42" i="123"/>
  <c r="P85" i="125"/>
  <c r="P127" i="125" s="1"/>
  <c r="P82" i="140"/>
  <c r="P85" i="140" s="1"/>
  <c r="W26" i="130" l="1"/>
  <c r="M204" i="105"/>
  <c r="AB201" i="105"/>
  <c r="AE19" i="117"/>
  <c r="AE47" i="117" s="1"/>
  <c r="AU61" i="116"/>
  <c r="N129" i="158"/>
  <c r="T126" i="158"/>
  <c r="Z126" i="158"/>
  <c r="AU60" i="116"/>
  <c r="AE18" i="117"/>
  <c r="AE46" i="117" s="1"/>
  <c r="AU21" i="116"/>
  <c r="AE63" i="116"/>
  <c r="O21" i="117"/>
  <c r="O49" i="117" s="1"/>
  <c r="AW66" i="116"/>
  <c r="AI70" i="116"/>
  <c r="Y22" i="128"/>
  <c r="Y25" i="128" s="1"/>
  <c r="S25" i="128"/>
  <c r="S45" i="140"/>
  <c r="S95" i="140"/>
  <c r="AU65" i="116"/>
  <c r="AE23" i="117"/>
  <c r="AE51" i="117" s="1"/>
  <c r="O25" i="117"/>
  <c r="O53" i="117" s="1"/>
  <c r="AE67" i="116"/>
  <c r="AE92" i="116" s="1"/>
  <c r="AS66" i="116"/>
  <c r="AS70" i="116" s="1"/>
  <c r="AS28" i="116"/>
  <c r="U22" i="140"/>
  <c r="V22" i="125"/>
  <c r="V22" i="140" s="1"/>
  <c r="E31" i="136"/>
  <c r="E27" i="160"/>
  <c r="U25" i="140"/>
  <c r="V25" i="125"/>
  <c r="V25" i="140" s="1"/>
  <c r="U80" i="125"/>
  <c r="V40" i="125"/>
  <c r="U40" i="140"/>
  <c r="U45" i="125"/>
  <c r="V15" i="125"/>
  <c r="U15" i="140"/>
  <c r="Y21" i="128"/>
  <c r="S24" i="128"/>
  <c r="AC70" i="116"/>
  <c r="AC91" i="116"/>
  <c r="V20" i="125"/>
  <c r="V20" i="140" s="1"/>
  <c r="U20" i="140"/>
  <c r="N83" i="119"/>
  <c r="M83" i="119" s="1"/>
  <c r="O85" i="119"/>
  <c r="V26" i="125"/>
  <c r="V26" i="140" s="1"/>
  <c r="U26" i="140"/>
  <c r="U16" i="140"/>
  <c r="V16" i="125"/>
  <c r="V16" i="140" s="1"/>
  <c r="S37" i="123"/>
  <c r="S117" i="123" s="1"/>
  <c r="U117" i="123" s="1"/>
  <c r="V117" i="123" s="1"/>
  <c r="S77" i="140"/>
  <c r="S117" i="140" s="1"/>
  <c r="U117" i="140" s="1"/>
  <c r="V117" i="140" s="1"/>
  <c r="S37" i="141"/>
  <c r="S77" i="141" s="1"/>
  <c r="S117" i="141" s="1"/>
  <c r="AE24" i="117"/>
  <c r="AE52" i="117" s="1"/>
  <c r="AU66" i="116"/>
  <c r="V33" i="125"/>
  <c r="V33" i="140" s="1"/>
  <c r="U33" i="140"/>
  <c r="AE26" i="117"/>
  <c r="AE54" i="117" s="1"/>
  <c r="AU68" i="116"/>
  <c r="K164" i="158"/>
  <c r="F164" i="158"/>
  <c r="O42" i="123"/>
  <c r="R45" i="123"/>
  <c r="S40" i="123"/>
  <c r="S120" i="123" s="1"/>
  <c r="U120" i="123" s="1"/>
  <c r="V120" i="123" s="1"/>
  <c r="S40" i="141"/>
  <c r="S80" i="141" s="1"/>
  <c r="S120" i="141" s="1"/>
  <c r="S80" i="140"/>
  <c r="S120" i="140" s="1"/>
  <c r="U120" i="140" s="1"/>
  <c r="V120" i="140" s="1"/>
  <c r="U43" i="128"/>
  <c r="U42" i="128"/>
  <c r="K19" i="132"/>
  <c r="K29" i="132" s="1"/>
  <c r="Y18" i="130"/>
  <c r="F161" i="158"/>
  <c r="K161" i="158"/>
  <c r="U19" i="140"/>
  <c r="V19" i="125"/>
  <c r="V19" i="140" s="1"/>
  <c r="AE65" i="116"/>
  <c r="AE90" i="116" s="1"/>
  <c r="O23" i="117"/>
  <c r="O51" i="117" s="1"/>
  <c r="N86" i="158"/>
  <c r="T83" i="158"/>
  <c r="Z83" i="158"/>
  <c r="O18" i="117"/>
  <c r="O46" i="117" s="1"/>
  <c r="AE60" i="116"/>
  <c r="AE85" i="116" s="1"/>
  <c r="AE68" i="116"/>
  <c r="AE93" i="116" s="1"/>
  <c r="O26" i="117"/>
  <c r="O54" i="117" s="1"/>
  <c r="N122" i="140"/>
  <c r="N125" i="140" s="1"/>
  <c r="N127" i="140" s="1"/>
  <c r="F168" i="158"/>
  <c r="K168" i="158"/>
  <c r="M52" i="117"/>
  <c r="M56" i="117" s="1"/>
  <c r="K52" i="117"/>
  <c r="U43" i="105"/>
  <c r="U201" i="105" s="1"/>
  <c r="Y201" i="105" s="1"/>
  <c r="Y204" i="105" s="1"/>
  <c r="AP52" i="117"/>
  <c r="AP56" i="117" s="1"/>
  <c r="U51" i="105" s="1"/>
  <c r="C56" i="117"/>
  <c r="F169" i="158"/>
  <c r="K169" i="158"/>
  <c r="U24" i="128"/>
  <c r="U25" i="128"/>
  <c r="V17" i="125"/>
  <c r="V17" i="140" s="1"/>
  <c r="U17" i="140"/>
  <c r="U24" i="140"/>
  <c r="V24" i="125"/>
  <c r="V24" i="140" s="1"/>
  <c r="C113" i="105"/>
  <c r="O48" i="105"/>
  <c r="O49" i="105" s="1"/>
  <c r="U38" i="140"/>
  <c r="U78" i="125"/>
  <c r="V38" i="125"/>
  <c r="AU22" i="116"/>
  <c r="AE64" i="116"/>
  <c r="AE89" i="116" s="1"/>
  <c r="O22" i="117"/>
  <c r="O50" i="117" s="1"/>
  <c r="U82" i="125"/>
  <c r="U42" i="140"/>
  <c r="Z69" i="99"/>
  <c r="K153" i="158"/>
  <c r="I172" i="158"/>
  <c r="U153" i="158"/>
  <c r="V34" i="125"/>
  <c r="V34" i="140" s="1"/>
  <c r="U34" i="140"/>
  <c r="K154" i="158"/>
  <c r="U154" i="158"/>
  <c r="W154" i="158" s="1"/>
  <c r="V35" i="125"/>
  <c r="U35" i="140"/>
  <c r="U75" i="125"/>
  <c r="S43" i="128"/>
  <c r="Y40" i="128"/>
  <c r="Y43" i="128" s="1"/>
  <c r="K166" i="158"/>
  <c r="F166" i="158"/>
  <c r="U18" i="140"/>
  <c r="V18" i="125"/>
  <c r="V18" i="140" s="1"/>
  <c r="U23" i="140"/>
  <c r="V23" i="125"/>
  <c r="V23" i="140" s="1"/>
  <c r="R83" i="123"/>
  <c r="P123" i="123"/>
  <c r="V37" i="125"/>
  <c r="U77" i="125"/>
  <c r="U37" i="140"/>
  <c r="AE66" i="116"/>
  <c r="AE91" i="116" s="1"/>
  <c r="O24" i="117"/>
  <c r="O52" i="117" s="1"/>
  <c r="AE20" i="117"/>
  <c r="AE48" i="117" s="1"/>
  <c r="AU62" i="116"/>
  <c r="V28" i="125"/>
  <c r="V28" i="140" s="1"/>
  <c r="U28" i="140"/>
  <c r="O17" i="117"/>
  <c r="AE59" i="116"/>
  <c r="AE28" i="116"/>
  <c r="K160" i="158"/>
  <c r="U160" i="158"/>
  <c r="W160" i="158" s="1"/>
  <c r="Q28" i="84"/>
  <c r="Q66" i="84"/>
  <c r="Q70" i="84" s="1"/>
  <c r="S28" i="84"/>
  <c r="S66" i="84"/>
  <c r="S70" i="84" s="1"/>
  <c r="V42" i="125"/>
  <c r="R82" i="125"/>
  <c r="R45" i="125"/>
  <c r="R42" i="140"/>
  <c r="AE46" i="15"/>
  <c r="AE61" i="116"/>
  <c r="AE86" i="116" s="1"/>
  <c r="O19" i="117"/>
  <c r="O47" i="117" s="1"/>
  <c r="AU45" i="116"/>
  <c r="AU56" i="116" s="1"/>
  <c r="S81" i="140"/>
  <c r="S121" i="140" s="1"/>
  <c r="U121" i="140" s="1"/>
  <c r="V121" i="140" s="1"/>
  <c r="S41" i="123"/>
  <c r="S121" i="123" s="1"/>
  <c r="U121" i="123" s="1"/>
  <c r="V121" i="123" s="1"/>
  <c r="S41" i="141"/>
  <c r="S81" i="141" s="1"/>
  <c r="S121" i="141" s="1"/>
  <c r="V30" i="125"/>
  <c r="V30" i="140" s="1"/>
  <c r="U30" i="140"/>
  <c r="Q45" i="140"/>
  <c r="P122" i="140"/>
  <c r="P125" i="140" s="1"/>
  <c r="P127" i="140" s="1"/>
  <c r="AU17" i="116"/>
  <c r="S79" i="140"/>
  <c r="S119" i="140" s="1"/>
  <c r="U119" i="140" s="1"/>
  <c r="V119" i="140" s="1"/>
  <c r="S39" i="123"/>
  <c r="S119" i="123" s="1"/>
  <c r="U119" i="123" s="1"/>
  <c r="V119" i="123" s="1"/>
  <c r="S39" i="141"/>
  <c r="S79" i="141" s="1"/>
  <c r="S119" i="141" s="1"/>
  <c r="V36" i="125"/>
  <c r="U76" i="125"/>
  <c r="U36" i="140"/>
  <c r="K28" i="117"/>
  <c r="F38" i="158"/>
  <c r="U31" i="140"/>
  <c r="V31" i="125"/>
  <c r="V31" i="140" s="1"/>
  <c r="S42" i="141"/>
  <c r="S82" i="141" s="1"/>
  <c r="S122" i="141" s="1"/>
  <c r="S42" i="123"/>
  <c r="S122" i="123" s="1"/>
  <c r="U122" i="123" s="1"/>
  <c r="S82" i="140"/>
  <c r="S122" i="140" s="1"/>
  <c r="U122" i="140" s="1"/>
  <c r="U159" i="158"/>
  <c r="W159" i="158" s="1"/>
  <c r="K159" i="158"/>
  <c r="U27" i="140"/>
  <c r="V27" i="125"/>
  <c r="V27" i="140" s="1"/>
  <c r="K157" i="158"/>
  <c r="U157" i="158"/>
  <c r="W157" i="158" s="1"/>
  <c r="S75" i="140"/>
  <c r="S115" i="140" s="1"/>
  <c r="U115" i="140" s="1"/>
  <c r="V115" i="140" s="1"/>
  <c r="S35" i="141"/>
  <c r="S35" i="123"/>
  <c r="S115" i="123" s="1"/>
  <c r="U115" i="123" s="1"/>
  <c r="V115" i="123" s="1"/>
  <c r="S85" i="125"/>
  <c r="S127" i="125" s="1"/>
  <c r="O72" i="116"/>
  <c r="W126" i="158"/>
  <c r="AG126" i="158"/>
  <c r="AI126" i="158" s="1"/>
  <c r="AH46" i="15"/>
  <c r="AU31" i="116"/>
  <c r="AU42" i="116" s="1"/>
  <c r="Y56" i="105"/>
  <c r="C45" i="17"/>
  <c r="Y57" i="105"/>
  <c r="M111" i="105"/>
  <c r="Y196" i="105"/>
  <c r="Q42" i="123"/>
  <c r="Q82" i="140"/>
  <c r="Q85" i="140" s="1"/>
  <c r="Q85" i="125"/>
  <c r="Q127" i="125" s="1"/>
  <c r="S83" i="140"/>
  <c r="S123" i="140" s="1"/>
  <c r="U123" i="140" s="1"/>
  <c r="V123" i="140" s="1"/>
  <c r="S43" i="141"/>
  <c r="S83" i="141" s="1"/>
  <c r="S123" i="141" s="1"/>
  <c r="S43" i="123"/>
  <c r="S123" i="123" s="1"/>
  <c r="U123" i="123" s="1"/>
  <c r="I194" i="105"/>
  <c r="I47" i="105"/>
  <c r="AO65" i="87"/>
  <c r="AO70" i="87" s="1"/>
  <c r="I198" i="105"/>
  <c r="K43" i="157"/>
  <c r="M43" i="105"/>
  <c r="U83" i="125"/>
  <c r="U43" i="140"/>
  <c r="V43" i="125"/>
  <c r="S36" i="123"/>
  <c r="S116" i="123" s="1"/>
  <c r="U116" i="123" s="1"/>
  <c r="V116" i="123" s="1"/>
  <c r="S36" i="141"/>
  <c r="S76" i="141" s="1"/>
  <c r="S116" i="141" s="1"/>
  <c r="S76" i="140"/>
  <c r="S116" i="140" s="1"/>
  <c r="U116" i="140" s="1"/>
  <c r="V116" i="140" s="1"/>
  <c r="F165" i="158"/>
  <c r="K165" i="158"/>
  <c r="V21" i="125"/>
  <c r="V21" i="140" s="1"/>
  <c r="U21" i="140"/>
  <c r="P45" i="123"/>
  <c r="AE88" i="116"/>
  <c r="F162" i="158"/>
  <c r="K162" i="158"/>
  <c r="U158" i="158"/>
  <c r="W158" i="158" s="1"/>
  <c r="K158" i="158"/>
  <c r="R55" i="131"/>
  <c r="R56" i="131" s="1"/>
  <c r="V51" i="131"/>
  <c r="R127" i="131"/>
  <c r="C25" i="131"/>
  <c r="C41" i="134"/>
  <c r="AD167" i="158"/>
  <c r="U167" i="158"/>
  <c r="V32" i="125"/>
  <c r="V32" i="140" s="1"/>
  <c r="U32" i="140"/>
  <c r="AU25" i="116"/>
  <c r="M85" i="125"/>
  <c r="M127" i="125" s="1"/>
  <c r="M82" i="140"/>
  <c r="K156" i="158"/>
  <c r="U156" i="158"/>
  <c r="W156" i="158" s="1"/>
  <c r="V41" i="125"/>
  <c r="U81" i="125"/>
  <c r="U41" i="140"/>
  <c r="K155" i="158"/>
  <c r="U155" i="158"/>
  <c r="W155" i="158" s="1"/>
  <c r="S38" i="141"/>
  <c r="S78" i="141" s="1"/>
  <c r="S118" i="141" s="1"/>
  <c r="S78" i="140"/>
  <c r="S118" i="140" s="1"/>
  <c r="U118" i="140" s="1"/>
  <c r="V118" i="140" s="1"/>
  <c r="S38" i="123"/>
  <c r="S118" i="123" s="1"/>
  <c r="U118" i="123" s="1"/>
  <c r="V118" i="123" s="1"/>
  <c r="K163" i="158"/>
  <c r="F163" i="158"/>
  <c r="U39" i="140"/>
  <c r="U79" i="125"/>
  <c r="V39" i="125"/>
  <c r="V29" i="125"/>
  <c r="V29" i="140" s="1"/>
  <c r="U29" i="140"/>
  <c r="AG29" i="23"/>
  <c r="AK29" i="23" s="1"/>
  <c r="AG28" i="23"/>
  <c r="AE70" i="116" l="1"/>
  <c r="Q122" i="140"/>
  <c r="Q125" i="140" s="1"/>
  <c r="Q127" i="140" s="1"/>
  <c r="S125" i="140"/>
  <c r="U95" i="140"/>
  <c r="C43" i="67"/>
  <c r="M194" i="105"/>
  <c r="M198" i="105"/>
  <c r="C43" i="16"/>
  <c r="M47" i="105"/>
  <c r="M48" i="105" s="1"/>
  <c r="U166" i="158"/>
  <c r="AD166" i="158"/>
  <c r="U82" i="140"/>
  <c r="U42" i="123"/>
  <c r="V39" i="140"/>
  <c r="V79" i="125"/>
  <c r="M85" i="140"/>
  <c r="M122" i="140"/>
  <c r="M125" i="140" s="1"/>
  <c r="M127" i="140" s="1"/>
  <c r="C29" i="131"/>
  <c r="I25" i="131"/>
  <c r="I29" i="131" s="1"/>
  <c r="E142" i="140" s="1"/>
  <c r="E143" i="140" s="1"/>
  <c r="K25" i="131"/>
  <c r="K29" i="131" s="1"/>
  <c r="K35" i="131" s="1"/>
  <c r="U162" i="158"/>
  <c r="AD162" i="158"/>
  <c r="AD165" i="158"/>
  <c r="U165" i="158"/>
  <c r="K47" i="157"/>
  <c r="O43" i="157"/>
  <c r="O47" i="157" s="1"/>
  <c r="S85" i="140"/>
  <c r="U36" i="123"/>
  <c r="U76" i="140"/>
  <c r="O28" i="117"/>
  <c r="O45" i="117"/>
  <c r="O56" i="117" s="1"/>
  <c r="U169" i="158"/>
  <c r="AD169" i="158"/>
  <c r="U168" i="158"/>
  <c r="AD168" i="158"/>
  <c r="V40" i="140"/>
  <c r="V80" i="125"/>
  <c r="AE21" i="117"/>
  <c r="AE49" i="117" s="1"/>
  <c r="AU63" i="116"/>
  <c r="O41" i="134"/>
  <c r="G41" i="134"/>
  <c r="C45" i="134"/>
  <c r="C57" i="134"/>
  <c r="C61" i="134" s="1"/>
  <c r="S45" i="141"/>
  <c r="S75" i="141"/>
  <c r="S85" i="141" s="1"/>
  <c r="F172" i="158"/>
  <c r="U161" i="158"/>
  <c r="AD161" i="158"/>
  <c r="U39" i="123"/>
  <c r="U79" i="140"/>
  <c r="V76" i="125"/>
  <c r="V36" i="140"/>
  <c r="U37" i="123"/>
  <c r="U77" i="140"/>
  <c r="K31" i="132"/>
  <c r="L31" i="132" s="1"/>
  <c r="K39" i="132"/>
  <c r="K41" i="132" s="1"/>
  <c r="L41" i="132" s="1"/>
  <c r="K30" i="132"/>
  <c r="O45" i="123"/>
  <c r="O82" i="141"/>
  <c r="N42" i="123"/>
  <c r="M42" i="123" s="1"/>
  <c r="U40" i="123"/>
  <c r="U80" i="140"/>
  <c r="AF126" i="158"/>
  <c r="Z129" i="158"/>
  <c r="U43" i="123"/>
  <c r="U83" i="140"/>
  <c r="K45" i="17"/>
  <c r="I45" i="17"/>
  <c r="V42" i="140"/>
  <c r="V82" i="125"/>
  <c r="Z86" i="158"/>
  <c r="AF83" i="158"/>
  <c r="W153" i="158"/>
  <c r="AU64" i="116"/>
  <c r="AE22" i="117"/>
  <c r="AE50" i="117" s="1"/>
  <c r="AI91" i="105"/>
  <c r="I48" i="105"/>
  <c r="I49" i="105" s="1"/>
  <c r="K18" i="130" s="1"/>
  <c r="R45" i="140"/>
  <c r="AG160" i="158"/>
  <c r="AI160" i="158" s="1"/>
  <c r="U85" i="125"/>
  <c r="U127" i="125" s="1"/>
  <c r="U35" i="123"/>
  <c r="U75" i="140"/>
  <c r="V78" i="125"/>
  <c r="V38" i="140"/>
  <c r="U198" i="105"/>
  <c r="Y43" i="105"/>
  <c r="G43" i="67"/>
  <c r="U194" i="105"/>
  <c r="I109" i="105"/>
  <c r="AM43" i="157"/>
  <c r="U47" i="105"/>
  <c r="AD164" i="158"/>
  <c r="U164" i="158"/>
  <c r="AC21" i="128"/>
  <c r="Y24" i="128"/>
  <c r="AK28" i="23"/>
  <c r="AG33" i="23"/>
  <c r="AU67" i="116"/>
  <c r="AE25" i="117"/>
  <c r="AE53" i="117" s="1"/>
  <c r="AG38" i="158"/>
  <c r="V57" i="131"/>
  <c r="V55" i="131"/>
  <c r="V37" i="140"/>
  <c r="V77" i="125"/>
  <c r="U163" i="158"/>
  <c r="AD163" i="158"/>
  <c r="U41" i="123"/>
  <c r="U81" i="140"/>
  <c r="V43" i="140"/>
  <c r="V83" i="125"/>
  <c r="V83" i="123"/>
  <c r="R123" i="123"/>
  <c r="V123" i="123" s="1"/>
  <c r="K172" i="158"/>
  <c r="U38" i="123"/>
  <c r="U78" i="140"/>
  <c r="AD38" i="158"/>
  <c r="O122" i="123"/>
  <c r="O125" i="123" s="1"/>
  <c r="C134" i="139" s="1"/>
  <c r="K56" i="117"/>
  <c r="P83" i="119"/>
  <c r="M85" i="119"/>
  <c r="M123" i="119"/>
  <c r="M125" i="119" s="1"/>
  <c r="U45" i="140"/>
  <c r="Q45" i="123"/>
  <c r="V81" i="125"/>
  <c r="V41" i="140"/>
  <c r="W167" i="158"/>
  <c r="AG167" i="158"/>
  <c r="AI167" i="158" s="1"/>
  <c r="Z57" i="105"/>
  <c r="O73" i="72" s="1"/>
  <c r="AG159" i="158"/>
  <c r="F81" i="158"/>
  <c r="F124" i="158" s="1"/>
  <c r="F43" i="158"/>
  <c r="H38" i="158"/>
  <c r="H43" i="158" s="1"/>
  <c r="AU28" i="116"/>
  <c r="AE17" i="117"/>
  <c r="AE45" i="117" s="1"/>
  <c r="AU59" i="116"/>
  <c r="R82" i="140"/>
  <c r="R85" i="140" s="1"/>
  <c r="R85" i="125"/>
  <c r="R127" i="125" s="1"/>
  <c r="V35" i="140"/>
  <c r="V75" i="125"/>
  <c r="N85" i="119"/>
  <c r="Q83" i="119"/>
  <c r="N123" i="119"/>
  <c r="N125" i="119" s="1"/>
  <c r="V15" i="140"/>
  <c r="V45" i="125"/>
  <c r="E31" i="160"/>
  <c r="M31" i="160" s="1"/>
  <c r="M31" i="136"/>
  <c r="D34" i="132" s="1"/>
  <c r="G34" i="132" s="1"/>
  <c r="AE56" i="117" l="1"/>
  <c r="U172" i="158"/>
  <c r="AD43" i="158"/>
  <c r="AF38" i="158"/>
  <c r="AF43" i="158" s="1"/>
  <c r="AD172" i="158"/>
  <c r="AD174" i="158" s="1"/>
  <c r="S41" i="134"/>
  <c r="G45" i="134"/>
  <c r="G57" i="134"/>
  <c r="G61" i="134" s="1"/>
  <c r="F86" i="158"/>
  <c r="H81" i="158"/>
  <c r="H86" i="158" s="1"/>
  <c r="AI92" i="105"/>
  <c r="U48" i="105"/>
  <c r="U49" i="105" s="1"/>
  <c r="K39" i="130" s="1"/>
  <c r="V38" i="123"/>
  <c r="V78" i="140"/>
  <c r="W161" i="158"/>
  <c r="AG161" i="158"/>
  <c r="AI161" i="158" s="1"/>
  <c r="O45" i="134"/>
  <c r="Q39" i="130" s="1"/>
  <c r="O57" i="134"/>
  <c r="O61" i="134" s="1"/>
  <c r="W169" i="158"/>
  <c r="AG169" i="158"/>
  <c r="AI169" i="158" s="1"/>
  <c r="W165" i="158"/>
  <c r="AG165" i="158"/>
  <c r="AI165" i="158" s="1"/>
  <c r="I43" i="16"/>
  <c r="C47" i="16"/>
  <c r="V82" i="140"/>
  <c r="V42" i="123"/>
  <c r="M51" i="105"/>
  <c r="M49" i="105"/>
  <c r="D19" i="132" s="1"/>
  <c r="V45" i="140"/>
  <c r="AU70" i="116"/>
  <c r="AI159" i="158"/>
  <c r="Y43" i="157"/>
  <c r="AM47" i="157"/>
  <c r="AQ43" i="157"/>
  <c r="AQ47" i="157" s="1"/>
  <c r="U85" i="140"/>
  <c r="M82" i="141"/>
  <c r="M45" i="123"/>
  <c r="V79" i="140"/>
  <c r="V39" i="123"/>
  <c r="F129" i="158"/>
  <c r="H124" i="158"/>
  <c r="H129" i="158" s="1"/>
  <c r="Q85" i="119"/>
  <c r="Q123" i="119"/>
  <c r="Q125" i="119" s="1"/>
  <c r="V37" i="123"/>
  <c r="V77" i="140"/>
  <c r="N45" i="123"/>
  <c r="N82" i="141"/>
  <c r="S115" i="141"/>
  <c r="S125" i="141" s="1"/>
  <c r="V80" i="140"/>
  <c r="V40" i="123"/>
  <c r="W162" i="158"/>
  <c r="AG162" i="158"/>
  <c r="AI162" i="158" s="1"/>
  <c r="O43" i="67"/>
  <c r="O46" i="67" s="1"/>
  <c r="E43" i="67"/>
  <c r="C46" i="67"/>
  <c r="W164" i="158"/>
  <c r="AG164" i="158"/>
  <c r="AI164" i="158" s="1"/>
  <c r="W166" i="158"/>
  <c r="AG166" i="158"/>
  <c r="AI166" i="158" s="1"/>
  <c r="K21" i="128"/>
  <c r="O18" i="130"/>
  <c r="W163" i="158"/>
  <c r="AG163" i="158"/>
  <c r="AI163" i="158" s="1"/>
  <c r="O82" i="123"/>
  <c r="R38" i="158"/>
  <c r="P85" i="119"/>
  <c r="R83" i="119"/>
  <c r="P123" i="119"/>
  <c r="P125" i="119" s="1"/>
  <c r="G46" i="67"/>
  <c r="S43" i="67"/>
  <c r="S46" i="67" s="1"/>
  <c r="O85" i="141"/>
  <c r="O122" i="141"/>
  <c r="O125" i="141" s="1"/>
  <c r="V36" i="123"/>
  <c r="V76" i="140"/>
  <c r="V95" i="140"/>
  <c r="U125" i="140"/>
  <c r="U127" i="140" s="1"/>
  <c r="V81" i="140"/>
  <c r="V41" i="123"/>
  <c r="W168" i="158"/>
  <c r="AG168" i="158"/>
  <c r="AI168" i="158" s="1"/>
  <c r="AG43" i="158"/>
  <c r="AI38" i="158"/>
  <c r="AI43" i="158" s="1"/>
  <c r="U38" i="158"/>
  <c r="V85" i="125"/>
  <c r="V127" i="125" s="1"/>
  <c r="V75" i="140"/>
  <c r="V35" i="123"/>
  <c r="V43" i="123"/>
  <c r="V83" i="140"/>
  <c r="M109" i="105"/>
  <c r="Y194" i="105"/>
  <c r="Y198" i="105"/>
  <c r="C43" i="17"/>
  <c r="Y47" i="105"/>
  <c r="Y48" i="105" s="1"/>
  <c r="R122" i="140"/>
  <c r="S16" i="123"/>
  <c r="S31" i="123"/>
  <c r="S18" i="123"/>
  <c r="S29" i="123"/>
  <c r="S19" i="123"/>
  <c r="S24" i="123"/>
  <c r="S34" i="123"/>
  <c r="S17" i="123"/>
  <c r="S32" i="123"/>
  <c r="S27" i="123"/>
  <c r="S20" i="123"/>
  <c r="S25" i="123"/>
  <c r="S23" i="123"/>
  <c r="S26" i="123"/>
  <c r="S33" i="123"/>
  <c r="S28" i="123"/>
  <c r="S30" i="123"/>
  <c r="S15" i="123"/>
  <c r="S22" i="123"/>
  <c r="S21" i="123"/>
  <c r="S127" i="140"/>
  <c r="E136" i="140"/>
  <c r="E140" i="140" s="1"/>
  <c r="W172" i="158" l="1"/>
  <c r="V85" i="140"/>
  <c r="Q43" i="67"/>
  <c r="Q46" i="67" s="1"/>
  <c r="E46" i="67"/>
  <c r="N85" i="141"/>
  <c r="N122" i="141"/>
  <c r="N125" i="141" s="1"/>
  <c r="AC43" i="157"/>
  <c r="Y47" i="157"/>
  <c r="AC47" i="157" s="1"/>
  <c r="S99" i="123"/>
  <c r="U99" i="123" s="1"/>
  <c r="V99" i="123" s="1"/>
  <c r="U19" i="123"/>
  <c r="V19" i="123" s="1"/>
  <c r="AG172" i="158"/>
  <c r="S55" i="16"/>
  <c r="C48" i="16"/>
  <c r="AI172" i="158"/>
  <c r="U34" i="123"/>
  <c r="V34" i="123" s="1"/>
  <c r="S114" i="123"/>
  <c r="U114" i="123" s="1"/>
  <c r="V114" i="123" s="1"/>
  <c r="S101" i="123"/>
  <c r="U101" i="123" s="1"/>
  <c r="V101" i="123" s="1"/>
  <c r="U21" i="123"/>
  <c r="V21" i="123" s="1"/>
  <c r="S105" i="123"/>
  <c r="U105" i="123" s="1"/>
  <c r="V105" i="123" s="1"/>
  <c r="U25" i="123"/>
  <c r="V25" i="123" s="1"/>
  <c r="S109" i="123"/>
  <c r="U109" i="123" s="1"/>
  <c r="V109" i="123" s="1"/>
  <c r="U29" i="123"/>
  <c r="V29" i="123" s="1"/>
  <c r="R85" i="119"/>
  <c r="V83" i="119"/>
  <c r="V85" i="119" s="1"/>
  <c r="R123" i="119"/>
  <c r="R125" i="119" s="1"/>
  <c r="I47" i="16"/>
  <c r="I48" i="16" s="1"/>
  <c r="K43" i="16"/>
  <c r="K47" i="16" s="1"/>
  <c r="M25" i="96" s="1"/>
  <c r="M29" i="96" s="1"/>
  <c r="M31" i="96" s="1"/>
  <c r="S39" i="128"/>
  <c r="W39" i="130"/>
  <c r="U23" i="123"/>
  <c r="V23" i="123" s="1"/>
  <c r="S103" i="123"/>
  <c r="U103" i="123" s="1"/>
  <c r="V103" i="123" s="1"/>
  <c r="W38" i="158"/>
  <c r="W43" i="158" s="1"/>
  <c r="U43" i="158"/>
  <c r="U81" i="158"/>
  <c r="U124" i="158"/>
  <c r="S98" i="123"/>
  <c r="U98" i="123" s="1"/>
  <c r="V98" i="123" s="1"/>
  <c r="U18" i="123"/>
  <c r="V18" i="123" s="1"/>
  <c r="S45" i="134"/>
  <c r="S57" i="134"/>
  <c r="S61" i="134" s="1"/>
  <c r="S113" i="123"/>
  <c r="U113" i="123" s="1"/>
  <c r="V113" i="123" s="1"/>
  <c r="U33" i="123"/>
  <c r="V33" i="123" s="1"/>
  <c r="S104" i="123"/>
  <c r="U104" i="123" s="1"/>
  <c r="V104" i="123" s="1"/>
  <c r="U24" i="123"/>
  <c r="V24" i="123" s="1"/>
  <c r="O21" i="128"/>
  <c r="S102" i="123"/>
  <c r="U102" i="123" s="1"/>
  <c r="V102" i="123" s="1"/>
  <c r="U22" i="123"/>
  <c r="V22" i="123" s="1"/>
  <c r="U20" i="123"/>
  <c r="V20" i="123" s="1"/>
  <c r="S100" i="123"/>
  <c r="U100" i="123" s="1"/>
  <c r="V100" i="123" s="1"/>
  <c r="S95" i="123"/>
  <c r="U15" i="123"/>
  <c r="S107" i="123"/>
  <c r="U107" i="123" s="1"/>
  <c r="V107" i="123" s="1"/>
  <c r="U27" i="123"/>
  <c r="V27" i="123" s="1"/>
  <c r="U31" i="123"/>
  <c r="V31" i="123" s="1"/>
  <c r="S111" i="123"/>
  <c r="U111" i="123" s="1"/>
  <c r="V111" i="123" s="1"/>
  <c r="R43" i="158"/>
  <c r="R81" i="158"/>
  <c r="T38" i="158"/>
  <c r="T43" i="158" s="1"/>
  <c r="M85" i="141"/>
  <c r="M122" i="141"/>
  <c r="M125" i="141" s="1"/>
  <c r="Y49" i="105"/>
  <c r="Y51" i="105"/>
  <c r="U32" i="123"/>
  <c r="V32" i="123" s="1"/>
  <c r="S112" i="123"/>
  <c r="U112" i="123" s="1"/>
  <c r="V112" i="123" s="1"/>
  <c r="S96" i="123"/>
  <c r="U96" i="123" s="1"/>
  <c r="V96" i="123" s="1"/>
  <c r="U16" i="123"/>
  <c r="V16" i="123" s="1"/>
  <c r="O85" i="123"/>
  <c r="N82" i="123"/>
  <c r="M82" i="123" s="1"/>
  <c r="K39" i="128"/>
  <c r="O39" i="130"/>
  <c r="S106" i="123"/>
  <c r="U106" i="123" s="1"/>
  <c r="V106" i="123" s="1"/>
  <c r="U26" i="123"/>
  <c r="V26" i="123" s="1"/>
  <c r="K43" i="17"/>
  <c r="K47" i="17" s="1"/>
  <c r="I43" i="17"/>
  <c r="I47" i="17" s="1"/>
  <c r="C47" i="17"/>
  <c r="S110" i="123"/>
  <c r="U110" i="123" s="1"/>
  <c r="V110" i="123" s="1"/>
  <c r="U30" i="123"/>
  <c r="V30" i="123" s="1"/>
  <c r="S108" i="123"/>
  <c r="U108" i="123" s="1"/>
  <c r="V108" i="123" s="1"/>
  <c r="U28" i="123"/>
  <c r="V28" i="123" s="1"/>
  <c r="S97" i="123"/>
  <c r="U97" i="123" s="1"/>
  <c r="V97" i="123" s="1"/>
  <c r="U17" i="123"/>
  <c r="V17" i="123" s="1"/>
  <c r="R125" i="140"/>
  <c r="R127" i="140" s="1"/>
  <c r="V122" i="140"/>
  <c r="V125" i="140" s="1"/>
  <c r="V127" i="140" s="1"/>
  <c r="AD81" i="158" l="1"/>
  <c r="R86" i="158"/>
  <c r="T81" i="158"/>
  <c r="T86" i="158" s="1"/>
  <c r="Q82" i="123"/>
  <c r="N85" i="123"/>
  <c r="N122" i="123"/>
  <c r="N125" i="123" s="1"/>
  <c r="P82" i="123"/>
  <c r="M85" i="123"/>
  <c r="M122" i="123"/>
  <c r="M125" i="123" s="1"/>
  <c r="W47" i="130"/>
  <c r="N19" i="132"/>
  <c r="N29" i="132" s="1"/>
  <c r="Y39" i="130"/>
  <c r="G19" i="132"/>
  <c r="AA21" i="128"/>
  <c r="Y39" i="128"/>
  <c r="Y42" i="128" s="1"/>
  <c r="S42" i="128"/>
  <c r="K50" i="16"/>
  <c r="T68" i="16"/>
  <c r="R124" i="158"/>
  <c r="U45" i="123"/>
  <c r="V15" i="123"/>
  <c r="V45" i="123" s="1"/>
  <c r="W124" i="158"/>
  <c r="W129" i="158" s="1"/>
  <c r="U129" i="158"/>
  <c r="AG124" i="158"/>
  <c r="O39" i="128"/>
  <c r="U95" i="123"/>
  <c r="S125" i="123"/>
  <c r="W81" i="158"/>
  <c r="W86" i="158" s="1"/>
  <c r="U86" i="158"/>
  <c r="AG81" i="158"/>
  <c r="P85" i="123" l="1"/>
  <c r="R82" i="123"/>
  <c r="P122" i="123"/>
  <c r="P125" i="123" s="1"/>
  <c r="U125" i="123"/>
  <c r="V95" i="123"/>
  <c r="T124" i="158"/>
  <c r="T129" i="158" s="1"/>
  <c r="R129" i="158"/>
  <c r="AD124" i="158"/>
  <c r="X68" i="16"/>
  <c r="T71" i="16" s="1"/>
  <c r="U68" i="16"/>
  <c r="T70" i="16" s="1"/>
  <c r="Q85" i="123"/>
  <c r="Q122" i="123"/>
  <c r="Q125" i="123" s="1"/>
  <c r="AA39" i="128"/>
  <c r="K52" i="16"/>
  <c r="K49" i="17"/>
  <c r="K51" i="17" s="1"/>
  <c r="M50" i="16"/>
  <c r="AB46" i="15"/>
  <c r="D25" i="132"/>
  <c r="N31" i="132"/>
  <c r="O31" i="132" s="1"/>
  <c r="N39" i="132"/>
  <c r="N41" i="132" s="1"/>
  <c r="O41" i="132" s="1"/>
  <c r="N30" i="132"/>
  <c r="AI124" i="158"/>
  <c r="AI129" i="158" s="1"/>
  <c r="AG129" i="158"/>
  <c r="AG86" i="158"/>
  <c r="AI81" i="158"/>
  <c r="AI86" i="158" s="1"/>
  <c r="AF81" i="158"/>
  <c r="AF86" i="158" s="1"/>
  <c r="AD86" i="158"/>
  <c r="I73" i="72"/>
  <c r="AE33" i="23"/>
  <c r="AF124" i="158" l="1"/>
  <c r="AF129" i="158" s="1"/>
  <c r="AD129" i="158"/>
  <c r="G25" i="132"/>
  <c r="G45" i="132" s="1"/>
  <c r="O24" i="130"/>
  <c r="D29" i="132"/>
  <c r="AA30" i="15"/>
  <c r="Z21" i="15"/>
  <c r="S20" i="121" s="1"/>
  <c r="Z38" i="15"/>
  <c r="Y26" i="15"/>
  <c r="X28" i="15"/>
  <c r="X37" i="15"/>
  <c r="Z23" i="15"/>
  <c r="S22" i="121" s="1"/>
  <c r="Z27" i="15"/>
  <c r="S26" i="121" s="1"/>
  <c r="Z43" i="15"/>
  <c r="Y43" i="15"/>
  <c r="Y16" i="15"/>
  <c r="Z32" i="15"/>
  <c r="Y19" i="15"/>
  <c r="X36" i="15"/>
  <c r="AA38" i="15"/>
  <c r="Y35" i="15"/>
  <c r="AA17" i="15"/>
  <c r="S16" i="122" s="1"/>
  <c r="X31" i="15"/>
  <c r="Y24" i="15"/>
  <c r="AA32" i="15"/>
  <c r="AA26" i="15"/>
  <c r="S25" i="122" s="1"/>
  <c r="Y29" i="15"/>
  <c r="Y17" i="15"/>
  <c r="Z25" i="15"/>
  <c r="S24" i="121" s="1"/>
  <c r="AA22" i="15"/>
  <c r="S21" i="122" s="1"/>
  <c r="X20" i="15"/>
  <c r="Z35" i="15"/>
  <c r="X29" i="15"/>
  <c r="Z39" i="15"/>
  <c r="AA16" i="15"/>
  <c r="AA21" i="15"/>
  <c r="S20" i="122" s="1"/>
  <c r="X19" i="15"/>
  <c r="Z16" i="15"/>
  <c r="Y32" i="15"/>
  <c r="X34" i="15"/>
  <c r="Y41" i="15"/>
  <c r="AA28" i="15"/>
  <c r="X41" i="15"/>
  <c r="Y18" i="15"/>
  <c r="X32" i="15"/>
  <c r="X43" i="15"/>
  <c r="AA36" i="15"/>
  <c r="Z31" i="15"/>
  <c r="Z28" i="15"/>
  <c r="AA40" i="15"/>
  <c r="Z22" i="15"/>
  <c r="S21" i="121" s="1"/>
  <c r="Z24" i="15"/>
  <c r="S23" i="121" s="1"/>
  <c r="Y42" i="15"/>
  <c r="AA39" i="15"/>
  <c r="AA35" i="15"/>
  <c r="Z18" i="15"/>
  <c r="S17" i="121" s="1"/>
  <c r="AA31" i="15"/>
  <c r="Z36" i="15"/>
  <c r="Z34" i="15"/>
  <c r="AA27" i="15"/>
  <c r="S26" i="122" s="1"/>
  <c r="Z33" i="15"/>
  <c r="X27" i="15"/>
  <c r="AA33" i="15"/>
  <c r="Y22" i="15"/>
  <c r="X42" i="15"/>
  <c r="Y36" i="15"/>
  <c r="Z41" i="15"/>
  <c r="X21" i="15"/>
  <c r="X39" i="15"/>
  <c r="X25" i="15"/>
  <c r="AA34" i="15"/>
  <c r="X23" i="15"/>
  <c r="AA29" i="15"/>
  <c r="AA42" i="15"/>
  <c r="AA18" i="15"/>
  <c r="S17" i="122" s="1"/>
  <c r="Y21" i="15"/>
  <c r="AA25" i="15"/>
  <c r="S24" i="122" s="1"/>
  <c r="X30" i="15"/>
  <c r="X33" i="15"/>
  <c r="AA41" i="15"/>
  <c r="AA20" i="15"/>
  <c r="S19" i="122" s="1"/>
  <c r="X22" i="15"/>
  <c r="Z37" i="15"/>
  <c r="Y20" i="15"/>
  <c r="X26" i="15"/>
  <c r="Y38" i="15"/>
  <c r="Y27" i="15"/>
  <c r="Z19" i="15"/>
  <c r="S18" i="121" s="1"/>
  <c r="Z42" i="15"/>
  <c r="Y33" i="15"/>
  <c r="X38" i="15"/>
  <c r="Y40" i="15"/>
  <c r="X18" i="15"/>
  <c r="Y28" i="15"/>
  <c r="Y25" i="15"/>
  <c r="X35" i="15"/>
  <c r="X40" i="15"/>
  <c r="X17" i="15"/>
  <c r="Y37" i="15"/>
  <c r="Y31" i="15"/>
  <c r="AA19" i="15"/>
  <c r="S18" i="122" s="1"/>
  <c r="X16" i="15"/>
  <c r="Y23" i="15"/>
  <c r="AA44" i="15"/>
  <c r="Z20" i="15"/>
  <c r="S19" i="121" s="1"/>
  <c r="AA23" i="15"/>
  <c r="S22" i="122" s="1"/>
  <c r="Y44" i="15"/>
  <c r="Z26" i="15"/>
  <c r="S25" i="121" s="1"/>
  <c r="Y30" i="15"/>
  <c r="Z40" i="15"/>
  <c r="AA24" i="15"/>
  <c r="S23" i="122" s="1"/>
  <c r="Z29" i="15"/>
  <c r="Y34" i="15"/>
  <c r="Y39" i="15"/>
  <c r="Z30" i="15"/>
  <c r="Z17" i="15"/>
  <c r="S16" i="121" s="1"/>
  <c r="AA43" i="15"/>
  <c r="X24" i="15"/>
  <c r="AA37" i="15"/>
  <c r="Z44" i="15"/>
  <c r="X44" i="15"/>
  <c r="V82" i="123"/>
  <c r="V85" i="123" s="1"/>
  <c r="R85" i="123"/>
  <c r="R122" i="123"/>
  <c r="S42" i="122" l="1"/>
  <c r="E168" i="158"/>
  <c r="AC168" i="158" s="1"/>
  <c r="AF32" i="15"/>
  <c r="AB32" i="15"/>
  <c r="AJ32" i="15" s="1"/>
  <c r="S31" i="119"/>
  <c r="B157" i="158"/>
  <c r="C156" i="158"/>
  <c r="AA156" i="158" s="1"/>
  <c r="S30" i="120"/>
  <c r="AG31" i="15"/>
  <c r="S102" i="121"/>
  <c r="U102" i="121" s="1"/>
  <c r="V102" i="121" s="1"/>
  <c r="U22" i="121"/>
  <c r="V22" i="121" s="1"/>
  <c r="S43" i="121"/>
  <c r="D169" i="158"/>
  <c r="AB169" i="158" s="1"/>
  <c r="D155" i="158"/>
  <c r="AB155" i="158" s="1"/>
  <c r="S29" i="121"/>
  <c r="S43" i="120"/>
  <c r="AG44" i="15"/>
  <c r="C169" i="158"/>
  <c r="AA169" i="158" s="1"/>
  <c r="S36" i="120"/>
  <c r="C162" i="158"/>
  <c r="AA162" i="158" s="1"/>
  <c r="AG37" i="15"/>
  <c r="AB38" i="15"/>
  <c r="AJ38" i="15" s="1"/>
  <c r="S37" i="119"/>
  <c r="B163" i="158"/>
  <c r="AF38" i="15"/>
  <c r="S36" i="121"/>
  <c r="D162" i="158"/>
  <c r="AB162" i="158" s="1"/>
  <c r="U17" i="122"/>
  <c r="V17" i="122" s="1"/>
  <c r="S97" i="122"/>
  <c r="U97" i="122" s="1"/>
  <c r="V97" i="122" s="1"/>
  <c r="D166" i="158"/>
  <c r="AB166" i="158" s="1"/>
  <c r="S40" i="121"/>
  <c r="S33" i="121"/>
  <c r="D159" i="158"/>
  <c r="AB159" i="158" s="1"/>
  <c r="U21" i="121"/>
  <c r="V21" i="121" s="1"/>
  <c r="S101" i="121"/>
  <c r="U101" i="121" s="1"/>
  <c r="V101" i="121" s="1"/>
  <c r="AF41" i="15"/>
  <c r="B166" i="158"/>
  <c r="S40" i="119"/>
  <c r="AB41" i="15"/>
  <c r="AJ41" i="15" s="1"/>
  <c r="AA46" i="15"/>
  <c r="S15" i="122"/>
  <c r="AG29" i="15"/>
  <c r="C154" i="158"/>
  <c r="AA154" i="158" s="1"/>
  <c r="S28" i="120"/>
  <c r="AB36" i="15"/>
  <c r="AJ36" i="15" s="1"/>
  <c r="AF36" i="15"/>
  <c r="S35" i="119"/>
  <c r="B161" i="158"/>
  <c r="S36" i="119"/>
  <c r="AB37" i="15"/>
  <c r="AJ37" i="15" s="1"/>
  <c r="B162" i="158"/>
  <c r="AF37" i="15"/>
  <c r="G29" i="132"/>
  <c r="E22" i="128"/>
  <c r="M22" i="128"/>
  <c r="K22" i="128"/>
  <c r="I22" i="128"/>
  <c r="C22" i="128"/>
  <c r="G22" i="128"/>
  <c r="S25" i="119"/>
  <c r="AB26" i="15"/>
  <c r="AJ26" i="15" s="1"/>
  <c r="AF26" i="15"/>
  <c r="S104" i="121"/>
  <c r="U104" i="121" s="1"/>
  <c r="V104" i="121" s="1"/>
  <c r="U24" i="121"/>
  <c r="V24" i="121" s="1"/>
  <c r="U25" i="121"/>
  <c r="V25" i="121" s="1"/>
  <c r="S105" i="121"/>
  <c r="U105" i="121" s="1"/>
  <c r="V105" i="121" s="1"/>
  <c r="S106" i="122"/>
  <c r="U106" i="122" s="1"/>
  <c r="V106" i="122" s="1"/>
  <c r="U26" i="122"/>
  <c r="V26" i="122" s="1"/>
  <c r="E163" i="158"/>
  <c r="AC163" i="158" s="1"/>
  <c r="S37" i="122"/>
  <c r="C164" i="158"/>
  <c r="AA164" i="158" s="1"/>
  <c r="AG39" i="15"/>
  <c r="S38" i="120"/>
  <c r="S102" i="122"/>
  <c r="U102" i="122" s="1"/>
  <c r="V102" i="122" s="1"/>
  <c r="U22" i="122"/>
  <c r="V22" i="122" s="1"/>
  <c r="AF17" i="15"/>
  <c r="S16" i="119"/>
  <c r="AB17" i="15"/>
  <c r="AJ17" i="15" s="1"/>
  <c r="C158" i="158"/>
  <c r="AA158" i="158" s="1"/>
  <c r="AG33" i="15"/>
  <c r="S32" i="120"/>
  <c r="AF22" i="15"/>
  <c r="AB22" i="15"/>
  <c r="AJ22" i="15" s="1"/>
  <c r="S21" i="119"/>
  <c r="S41" i="122"/>
  <c r="E167" i="158"/>
  <c r="AC167" i="158" s="1"/>
  <c r="AG36" i="15"/>
  <c r="C161" i="158"/>
  <c r="AA161" i="158" s="1"/>
  <c r="S35" i="120"/>
  <c r="S35" i="121"/>
  <c r="D161" i="158"/>
  <c r="AB161" i="158" s="1"/>
  <c r="S39" i="122"/>
  <c r="E165" i="158"/>
  <c r="AC165" i="158" s="1"/>
  <c r="E153" i="158"/>
  <c r="S27" i="122"/>
  <c r="D164" i="158"/>
  <c r="AB164" i="158" s="1"/>
  <c r="S38" i="121"/>
  <c r="U25" i="122"/>
  <c r="V25" i="122" s="1"/>
  <c r="S105" i="122"/>
  <c r="U105" i="122" s="1"/>
  <c r="V105" i="122" s="1"/>
  <c r="S18" i="120"/>
  <c r="AG19" i="15"/>
  <c r="B153" i="158"/>
  <c r="S27" i="119"/>
  <c r="AB28" i="15"/>
  <c r="AJ28" i="15" s="1"/>
  <c r="AF28" i="15"/>
  <c r="S29" i="120"/>
  <c r="AG30" i="15"/>
  <c r="C155" i="158"/>
  <c r="AA155" i="158" s="1"/>
  <c r="S32" i="121"/>
  <c r="D158" i="158"/>
  <c r="AB158" i="158" s="1"/>
  <c r="D39" i="132"/>
  <c r="D41" i="132" s="1"/>
  <c r="E41" i="132" s="1"/>
  <c r="D31" i="132"/>
  <c r="E31" i="132" s="1"/>
  <c r="U16" i="121"/>
  <c r="V16" i="121" s="1"/>
  <c r="S96" i="121"/>
  <c r="U96" i="121" s="1"/>
  <c r="V96" i="121" s="1"/>
  <c r="S20" i="119"/>
  <c r="AB21" i="15"/>
  <c r="AJ21" i="15" s="1"/>
  <c r="AF21" i="15"/>
  <c r="O45" i="130"/>
  <c r="Y24" i="130"/>
  <c r="O26" i="130"/>
  <c r="K54" i="16" s="1"/>
  <c r="C159" i="158"/>
  <c r="AA159" i="158" s="1"/>
  <c r="AG34" i="15"/>
  <c r="S33" i="120"/>
  <c r="U19" i="121"/>
  <c r="V19" i="121" s="1"/>
  <c r="S99" i="121"/>
  <c r="U99" i="121" s="1"/>
  <c r="V99" i="121" s="1"/>
  <c r="AF40" i="15"/>
  <c r="B165" i="158"/>
  <c r="S39" i="119"/>
  <c r="AB40" i="15"/>
  <c r="AJ40" i="15" s="1"/>
  <c r="S41" i="121"/>
  <c r="D167" i="158"/>
  <c r="AB167" i="158" s="1"/>
  <c r="S99" i="122"/>
  <c r="U99" i="122" s="1"/>
  <c r="V99" i="122" s="1"/>
  <c r="U19" i="122"/>
  <c r="V19" i="122" s="1"/>
  <c r="S28" i="122"/>
  <c r="E154" i="158"/>
  <c r="AC154" i="158" s="1"/>
  <c r="AB42" i="15"/>
  <c r="AJ42" i="15" s="1"/>
  <c r="B167" i="158"/>
  <c r="S41" i="119"/>
  <c r="AF42" i="15"/>
  <c r="E156" i="158"/>
  <c r="AC156" i="158" s="1"/>
  <c r="S30" i="122"/>
  <c r="D153" i="158"/>
  <c r="S27" i="121"/>
  <c r="S40" i="120"/>
  <c r="C166" i="158"/>
  <c r="AA166" i="158" s="1"/>
  <c r="AG41" i="15"/>
  <c r="S28" i="119"/>
  <c r="AB29" i="15"/>
  <c r="AJ29" i="15" s="1"/>
  <c r="AF29" i="15"/>
  <c r="B154" i="158"/>
  <c r="E157" i="158"/>
  <c r="AC157" i="158" s="1"/>
  <c r="S31" i="122"/>
  <c r="D157" i="158"/>
  <c r="AB157" i="158" s="1"/>
  <c r="S31" i="121"/>
  <c r="S25" i="120"/>
  <c r="AG26" i="15"/>
  <c r="S104" i="122"/>
  <c r="U104" i="122" s="1"/>
  <c r="V104" i="122" s="1"/>
  <c r="U24" i="122"/>
  <c r="V24" i="122" s="1"/>
  <c r="AB19" i="15"/>
  <c r="AJ19" i="15" s="1"/>
  <c r="AF19" i="15"/>
  <c r="S18" i="119"/>
  <c r="AB44" i="15"/>
  <c r="AJ44" i="15" s="1"/>
  <c r="B169" i="158"/>
  <c r="AF44" i="15"/>
  <c r="S43" i="119"/>
  <c r="AG21" i="15"/>
  <c r="S20" i="120"/>
  <c r="AG18" i="15"/>
  <c r="S17" i="120"/>
  <c r="S28" i="121"/>
  <c r="D154" i="158"/>
  <c r="AB154" i="158" s="1"/>
  <c r="E169" i="158"/>
  <c r="AC169" i="158" s="1"/>
  <c r="S43" i="122"/>
  <c r="B160" i="158"/>
  <c r="AB35" i="15"/>
  <c r="AJ35" i="15" s="1"/>
  <c r="S34" i="119"/>
  <c r="AF35" i="15"/>
  <c r="S98" i="121"/>
  <c r="U98" i="121" s="1"/>
  <c r="V98" i="121" s="1"/>
  <c r="U18" i="121"/>
  <c r="V18" i="121" s="1"/>
  <c r="S40" i="122"/>
  <c r="E166" i="158"/>
  <c r="AC166" i="158" s="1"/>
  <c r="AB23" i="15"/>
  <c r="AJ23" i="15" s="1"/>
  <c r="S22" i="119"/>
  <c r="AF23" i="15"/>
  <c r="AG22" i="15"/>
  <c r="S21" i="120"/>
  <c r="U17" i="121"/>
  <c r="V17" i="121" s="1"/>
  <c r="S97" i="121"/>
  <c r="U97" i="121" s="1"/>
  <c r="V97" i="121" s="1"/>
  <c r="S30" i="121"/>
  <c r="D156" i="158"/>
  <c r="AB156" i="158" s="1"/>
  <c r="B159" i="158"/>
  <c r="S33" i="119"/>
  <c r="AF34" i="15"/>
  <c r="AB34" i="15"/>
  <c r="AJ34" i="15" s="1"/>
  <c r="D160" i="158"/>
  <c r="AB160" i="158" s="1"/>
  <c r="S34" i="121"/>
  <c r="AG24" i="15"/>
  <c r="S23" i="120"/>
  <c r="AG16" i="15"/>
  <c r="Y46" i="15"/>
  <c r="S15" i="120"/>
  <c r="D163" i="158"/>
  <c r="AB163" i="158" s="1"/>
  <c r="S37" i="121"/>
  <c r="S17" i="119"/>
  <c r="AB18" i="15"/>
  <c r="AJ18" i="15" s="1"/>
  <c r="AF18" i="15"/>
  <c r="B164" i="158"/>
  <c r="AB39" i="15"/>
  <c r="AJ39" i="15" s="1"/>
  <c r="AF39" i="15"/>
  <c r="S38" i="119"/>
  <c r="AG42" i="15"/>
  <c r="S41" i="120"/>
  <c r="C167" i="158"/>
  <c r="AA167" i="158" s="1"/>
  <c r="S34" i="120"/>
  <c r="C160" i="158"/>
  <c r="AA160" i="158" s="1"/>
  <c r="AG35" i="15"/>
  <c r="C165" i="158"/>
  <c r="AA165" i="158" s="1"/>
  <c r="S39" i="120"/>
  <c r="AG40" i="15"/>
  <c r="S103" i="121"/>
  <c r="U103" i="121" s="1"/>
  <c r="V103" i="121" s="1"/>
  <c r="U23" i="121"/>
  <c r="V23" i="121" s="1"/>
  <c r="S16" i="120"/>
  <c r="AG17" i="15"/>
  <c r="V122" i="123"/>
  <c r="V125" i="123" s="1"/>
  <c r="U75" i="130"/>
  <c r="U78" i="130" s="1"/>
  <c r="W78" i="130" s="1"/>
  <c r="R125" i="123"/>
  <c r="E162" i="158"/>
  <c r="AC162" i="158" s="1"/>
  <c r="S36" i="122"/>
  <c r="S103" i="122"/>
  <c r="U103" i="122" s="1"/>
  <c r="V103" i="122" s="1"/>
  <c r="U23" i="122"/>
  <c r="V23" i="122" s="1"/>
  <c r="AG23" i="15"/>
  <c r="S22" i="120"/>
  <c r="AG25" i="15"/>
  <c r="S24" i="120"/>
  <c r="AG27" i="15"/>
  <c r="S26" i="120"/>
  <c r="AB33" i="15"/>
  <c r="AJ33" i="15" s="1"/>
  <c r="S32" i="119"/>
  <c r="B158" i="158"/>
  <c r="AF33" i="15"/>
  <c r="S33" i="122"/>
  <c r="E159" i="158"/>
  <c r="AC159" i="158" s="1"/>
  <c r="S32" i="122"/>
  <c r="E158" i="158"/>
  <c r="AC158" i="158" s="1"/>
  <c r="S34" i="122"/>
  <c r="E160" i="158"/>
  <c r="AC160" i="158" s="1"/>
  <c r="S35" i="122"/>
  <c r="E161" i="158"/>
  <c r="AC161" i="158" s="1"/>
  <c r="S31" i="120"/>
  <c r="C157" i="158"/>
  <c r="AA157" i="158" s="1"/>
  <c r="AG32" i="15"/>
  <c r="S19" i="119"/>
  <c r="AB20" i="15"/>
  <c r="AJ20" i="15" s="1"/>
  <c r="AF20" i="15"/>
  <c r="AF31" i="15"/>
  <c r="S30" i="119"/>
  <c r="AB31" i="15"/>
  <c r="AJ31" i="15" s="1"/>
  <c r="B156" i="158"/>
  <c r="AG43" i="15"/>
  <c r="C168" i="158"/>
  <c r="AA168" i="158" s="1"/>
  <c r="S42" i="120"/>
  <c r="S100" i="121"/>
  <c r="U100" i="121" s="1"/>
  <c r="V100" i="121" s="1"/>
  <c r="U20" i="121"/>
  <c r="V20" i="121" s="1"/>
  <c r="U18" i="122"/>
  <c r="V18" i="122" s="1"/>
  <c r="S98" i="122"/>
  <c r="U98" i="122" s="1"/>
  <c r="V98" i="122" s="1"/>
  <c r="S106" i="121"/>
  <c r="U106" i="121" s="1"/>
  <c r="V106" i="121" s="1"/>
  <c r="U26" i="121"/>
  <c r="V26" i="121" s="1"/>
  <c r="AG20" i="15"/>
  <c r="S19" i="120"/>
  <c r="U20" i="122"/>
  <c r="V20" i="122" s="1"/>
  <c r="S100" i="122"/>
  <c r="U100" i="122" s="1"/>
  <c r="V100" i="122" s="1"/>
  <c r="AF24" i="15"/>
  <c r="S23" i="119"/>
  <c r="AB24" i="15"/>
  <c r="AJ24" i="15" s="1"/>
  <c r="S39" i="121"/>
  <c r="D165" i="158"/>
  <c r="AB165" i="158" s="1"/>
  <c r="S15" i="119"/>
  <c r="AB16" i="15"/>
  <c r="X46" i="15"/>
  <c r="AF16" i="15"/>
  <c r="AG28" i="15"/>
  <c r="C153" i="158"/>
  <c r="S27" i="120"/>
  <c r="S37" i="120"/>
  <c r="C163" i="158"/>
  <c r="AA163" i="158" s="1"/>
  <c r="AG38" i="15"/>
  <c r="S29" i="119"/>
  <c r="AF30" i="15"/>
  <c r="B155" i="158"/>
  <c r="AB30" i="15"/>
  <c r="AJ30" i="15" s="1"/>
  <c r="AB25" i="15"/>
  <c r="AJ25" i="15" s="1"/>
  <c r="AF25" i="15"/>
  <c r="S24" i="119"/>
  <c r="S26" i="119"/>
  <c r="AB27" i="15"/>
  <c r="AJ27" i="15" s="1"/>
  <c r="AF27" i="15"/>
  <c r="S38" i="122"/>
  <c r="E164" i="158"/>
  <c r="AC164" i="158" s="1"/>
  <c r="B168" i="158"/>
  <c r="AF43" i="15"/>
  <c r="S42" i="119"/>
  <c r="AB43" i="15"/>
  <c r="AJ43" i="15" s="1"/>
  <c r="S15" i="121"/>
  <c r="Z46" i="15"/>
  <c r="S101" i="122"/>
  <c r="U101" i="122" s="1"/>
  <c r="V101" i="122" s="1"/>
  <c r="U21" i="122"/>
  <c r="V21" i="122" s="1"/>
  <c r="U16" i="122"/>
  <c r="V16" i="122" s="1"/>
  <c r="S96" i="122"/>
  <c r="U96" i="122" s="1"/>
  <c r="V96" i="122" s="1"/>
  <c r="S42" i="121"/>
  <c r="D168" i="158"/>
  <c r="AB168" i="158" s="1"/>
  <c r="S29" i="122"/>
  <c r="E155" i="158"/>
  <c r="AC155" i="158" s="1"/>
  <c r="AG46" i="15" l="1"/>
  <c r="AB49" i="15"/>
  <c r="U30" i="120"/>
  <c r="V30" i="120" s="1"/>
  <c r="S110" i="120"/>
  <c r="U110" i="120" s="1"/>
  <c r="V110" i="120" s="1"/>
  <c r="S26" i="138"/>
  <c r="U26" i="119"/>
  <c r="V26" i="119" s="1"/>
  <c r="S106" i="119"/>
  <c r="U106" i="119" s="1"/>
  <c r="V106" i="119" s="1"/>
  <c r="Z160" i="158"/>
  <c r="AF160" i="158" s="1"/>
  <c r="H160" i="158"/>
  <c r="D172" i="158"/>
  <c r="AB153" i="158"/>
  <c r="AB172" i="158" s="1"/>
  <c r="S27" i="138"/>
  <c r="U27" i="119"/>
  <c r="V27" i="119" s="1"/>
  <c r="S107" i="119"/>
  <c r="U107" i="119" s="1"/>
  <c r="V107" i="119" s="1"/>
  <c r="M24" i="128"/>
  <c r="M40" i="128"/>
  <c r="M25" i="128"/>
  <c r="S117" i="119"/>
  <c r="U117" i="119" s="1"/>
  <c r="V117" i="119" s="1"/>
  <c r="U37" i="119"/>
  <c r="V37" i="119" s="1"/>
  <c r="S37" i="138"/>
  <c r="S122" i="121"/>
  <c r="U122" i="121" s="1"/>
  <c r="V122" i="121" s="1"/>
  <c r="U42" i="121"/>
  <c r="V42" i="121" s="1"/>
  <c r="S122" i="119"/>
  <c r="U122" i="119" s="1"/>
  <c r="V122" i="119" s="1"/>
  <c r="S42" i="138"/>
  <c r="U42" i="119"/>
  <c r="V42" i="119" s="1"/>
  <c r="S104" i="119"/>
  <c r="U104" i="119" s="1"/>
  <c r="V104" i="119" s="1"/>
  <c r="U24" i="119"/>
  <c r="V24" i="119" s="1"/>
  <c r="S24" i="138"/>
  <c r="S15" i="138"/>
  <c r="U15" i="119"/>
  <c r="S45" i="119"/>
  <c r="S95" i="119"/>
  <c r="U19" i="120"/>
  <c r="V19" i="120" s="1"/>
  <c r="S99" i="120"/>
  <c r="U99" i="120" s="1"/>
  <c r="V99" i="120" s="1"/>
  <c r="U42" i="120"/>
  <c r="V42" i="120" s="1"/>
  <c r="S122" i="120"/>
  <c r="U122" i="120" s="1"/>
  <c r="V122" i="120" s="1"/>
  <c r="S114" i="122"/>
  <c r="U114" i="122" s="1"/>
  <c r="V114" i="122" s="1"/>
  <c r="U34" i="122"/>
  <c r="V34" i="122" s="1"/>
  <c r="U30" i="121"/>
  <c r="V30" i="121" s="1"/>
  <c r="S110" i="121"/>
  <c r="U110" i="121" s="1"/>
  <c r="V110" i="121" s="1"/>
  <c r="U43" i="122"/>
  <c r="V43" i="122" s="1"/>
  <c r="S123" i="122"/>
  <c r="U123" i="122" s="1"/>
  <c r="V123" i="122" s="1"/>
  <c r="S123" i="119"/>
  <c r="U123" i="119" s="1"/>
  <c r="V123" i="119" s="1"/>
  <c r="U43" i="119"/>
  <c r="V43" i="119" s="1"/>
  <c r="S43" i="138"/>
  <c r="U30" i="122"/>
  <c r="V30" i="122" s="1"/>
  <c r="S110" i="122"/>
  <c r="U110" i="122" s="1"/>
  <c r="V110" i="122" s="1"/>
  <c r="H153" i="158"/>
  <c r="Z153" i="158"/>
  <c r="B172" i="158"/>
  <c r="E172" i="158"/>
  <c r="AC153" i="158"/>
  <c r="AC172" i="158" s="1"/>
  <c r="S117" i="122"/>
  <c r="U117" i="122" s="1"/>
  <c r="V117" i="122" s="1"/>
  <c r="U37" i="122"/>
  <c r="V37" i="122" s="1"/>
  <c r="E25" i="128"/>
  <c r="E24" i="128"/>
  <c r="E40" i="128"/>
  <c r="S40" i="138"/>
  <c r="S120" i="119"/>
  <c r="U120" i="119" s="1"/>
  <c r="V120" i="119" s="1"/>
  <c r="U40" i="119"/>
  <c r="V40" i="119" s="1"/>
  <c r="H157" i="158"/>
  <c r="Z157" i="158"/>
  <c r="AF157" i="158" s="1"/>
  <c r="H159" i="158"/>
  <c r="Z159" i="158"/>
  <c r="AF159" i="158" s="1"/>
  <c r="U27" i="121"/>
  <c r="V27" i="121" s="1"/>
  <c r="S107" i="121"/>
  <c r="U107" i="121" s="1"/>
  <c r="V107" i="121" s="1"/>
  <c r="H161" i="158"/>
  <c r="Z161" i="158"/>
  <c r="AF161" i="158" s="1"/>
  <c r="S114" i="120"/>
  <c r="U114" i="120" s="1"/>
  <c r="V114" i="120" s="1"/>
  <c r="U34" i="120"/>
  <c r="V34" i="120" s="1"/>
  <c r="U27" i="122"/>
  <c r="V27" i="122" s="1"/>
  <c r="S107" i="122"/>
  <c r="U107" i="122" s="1"/>
  <c r="V107" i="122" s="1"/>
  <c r="U37" i="120"/>
  <c r="V37" i="120" s="1"/>
  <c r="S117" i="120"/>
  <c r="U117" i="120" s="1"/>
  <c r="V117" i="120" s="1"/>
  <c r="S19" i="138"/>
  <c r="U19" i="119"/>
  <c r="V19" i="119" s="1"/>
  <c r="S99" i="119"/>
  <c r="U99" i="119" s="1"/>
  <c r="V99" i="119" s="1"/>
  <c r="S106" i="120"/>
  <c r="U106" i="120" s="1"/>
  <c r="V106" i="120" s="1"/>
  <c r="U26" i="120"/>
  <c r="V26" i="120" s="1"/>
  <c r="S116" i="122"/>
  <c r="U116" i="122" s="1"/>
  <c r="V116" i="122" s="1"/>
  <c r="U36" i="122"/>
  <c r="V36" i="122" s="1"/>
  <c r="U41" i="120"/>
  <c r="V41" i="120" s="1"/>
  <c r="S121" i="120"/>
  <c r="U121" i="120" s="1"/>
  <c r="V121" i="120" s="1"/>
  <c r="U17" i="119"/>
  <c r="V17" i="119" s="1"/>
  <c r="S17" i="138"/>
  <c r="S97" i="119"/>
  <c r="U97" i="119" s="1"/>
  <c r="V97" i="119" s="1"/>
  <c r="U34" i="121"/>
  <c r="V34" i="121" s="1"/>
  <c r="S114" i="121"/>
  <c r="U114" i="121" s="1"/>
  <c r="V114" i="121" s="1"/>
  <c r="U40" i="122"/>
  <c r="V40" i="122" s="1"/>
  <c r="S120" i="122"/>
  <c r="U120" i="122" s="1"/>
  <c r="V120" i="122" s="1"/>
  <c r="U32" i="121"/>
  <c r="V32" i="121" s="1"/>
  <c r="S112" i="121"/>
  <c r="U112" i="121" s="1"/>
  <c r="V112" i="121" s="1"/>
  <c r="S121" i="122"/>
  <c r="U121" i="122" s="1"/>
  <c r="V121" i="122" s="1"/>
  <c r="U41" i="122"/>
  <c r="V41" i="122" s="1"/>
  <c r="S96" i="119"/>
  <c r="U96" i="119" s="1"/>
  <c r="V96" i="119" s="1"/>
  <c r="U16" i="119"/>
  <c r="V16" i="119" s="1"/>
  <c r="S16" i="138"/>
  <c r="G39" i="132"/>
  <c r="G41" i="132" s="1"/>
  <c r="H41" i="132" s="1"/>
  <c r="G31" i="132"/>
  <c r="H31" i="132" s="1"/>
  <c r="K53" i="17"/>
  <c r="H166" i="158"/>
  <c r="Z166" i="158"/>
  <c r="AF166" i="158" s="1"/>
  <c r="U31" i="119"/>
  <c r="V31" i="119" s="1"/>
  <c r="S111" i="119"/>
  <c r="U111" i="119" s="1"/>
  <c r="V111" i="119" s="1"/>
  <c r="S31" i="138"/>
  <c r="U29" i="119"/>
  <c r="V29" i="119" s="1"/>
  <c r="S109" i="119"/>
  <c r="U109" i="119" s="1"/>
  <c r="V109" i="119" s="1"/>
  <c r="S29" i="138"/>
  <c r="S115" i="122"/>
  <c r="U115" i="122" s="1"/>
  <c r="V115" i="122" s="1"/>
  <c r="U35" i="122"/>
  <c r="V35" i="122" s="1"/>
  <c r="H164" i="158"/>
  <c r="Z164" i="158"/>
  <c r="AF164" i="158" s="1"/>
  <c r="Z165" i="158"/>
  <c r="AF165" i="158" s="1"/>
  <c r="H165" i="158"/>
  <c r="K40" i="128"/>
  <c r="K25" i="128"/>
  <c r="K24" i="128"/>
  <c r="Z163" i="158"/>
  <c r="AF163" i="158" s="1"/>
  <c r="H163" i="158"/>
  <c r="AJ16" i="15"/>
  <c r="AJ46" i="15" s="1"/>
  <c r="AJ48" i="15" s="1"/>
  <c r="AB48" i="15"/>
  <c r="S112" i="119"/>
  <c r="U112" i="119" s="1"/>
  <c r="V112" i="119" s="1"/>
  <c r="S32" i="138"/>
  <c r="U32" i="119"/>
  <c r="V32" i="119" s="1"/>
  <c r="U23" i="120"/>
  <c r="V23" i="120" s="1"/>
  <c r="S103" i="120"/>
  <c r="U103" i="120" s="1"/>
  <c r="V103" i="120" s="1"/>
  <c r="U28" i="122"/>
  <c r="V28" i="122" s="1"/>
  <c r="S108" i="122"/>
  <c r="U108" i="122" s="1"/>
  <c r="V108" i="122" s="1"/>
  <c r="Y45" i="130"/>
  <c r="O47" i="130"/>
  <c r="Y47" i="130" s="1"/>
  <c r="Z168" i="158"/>
  <c r="AF168" i="158" s="1"/>
  <c r="H168" i="158"/>
  <c r="S107" i="120"/>
  <c r="U107" i="120" s="1"/>
  <c r="V107" i="120" s="1"/>
  <c r="U27" i="120"/>
  <c r="V27" i="120" s="1"/>
  <c r="U39" i="121"/>
  <c r="V39" i="121" s="1"/>
  <c r="S119" i="121"/>
  <c r="U119" i="121" s="1"/>
  <c r="V119" i="121" s="1"/>
  <c r="S112" i="122"/>
  <c r="U112" i="122" s="1"/>
  <c r="V112" i="122" s="1"/>
  <c r="U32" i="122"/>
  <c r="V32" i="122" s="1"/>
  <c r="S117" i="121"/>
  <c r="U117" i="121" s="1"/>
  <c r="V117" i="121" s="1"/>
  <c r="U37" i="121"/>
  <c r="V37" i="121" s="1"/>
  <c r="Z169" i="158"/>
  <c r="AF169" i="158" s="1"/>
  <c r="H169" i="158"/>
  <c r="U25" i="120"/>
  <c r="V25" i="120" s="1"/>
  <c r="S105" i="120"/>
  <c r="U105" i="120" s="1"/>
  <c r="V105" i="120" s="1"/>
  <c r="U28" i="119"/>
  <c r="V28" i="119" s="1"/>
  <c r="S28" i="138"/>
  <c r="S108" i="119"/>
  <c r="U108" i="119" s="1"/>
  <c r="V108" i="119" s="1"/>
  <c r="S113" i="120"/>
  <c r="U113" i="120" s="1"/>
  <c r="V113" i="120" s="1"/>
  <c r="U33" i="120"/>
  <c r="V33" i="120" s="1"/>
  <c r="U20" i="119"/>
  <c r="V20" i="119" s="1"/>
  <c r="S20" i="138"/>
  <c r="S100" i="119"/>
  <c r="U100" i="119" s="1"/>
  <c r="V100" i="119" s="1"/>
  <c r="U18" i="120"/>
  <c r="V18" i="120" s="1"/>
  <c r="S98" i="120"/>
  <c r="U98" i="120" s="1"/>
  <c r="V98" i="120" s="1"/>
  <c r="S119" i="122"/>
  <c r="U119" i="122" s="1"/>
  <c r="V119" i="122" s="1"/>
  <c r="U39" i="122"/>
  <c r="V39" i="122" s="1"/>
  <c r="S21" i="138"/>
  <c r="S101" i="119"/>
  <c r="U101" i="119" s="1"/>
  <c r="V101" i="119" s="1"/>
  <c r="U21" i="119"/>
  <c r="V21" i="119" s="1"/>
  <c r="S105" i="119"/>
  <c r="U105" i="119" s="1"/>
  <c r="V105" i="119" s="1"/>
  <c r="U25" i="119"/>
  <c r="V25" i="119" s="1"/>
  <c r="S25" i="138"/>
  <c r="S108" i="120"/>
  <c r="U108" i="120" s="1"/>
  <c r="V108" i="120" s="1"/>
  <c r="U28" i="120"/>
  <c r="V28" i="120" s="1"/>
  <c r="S123" i="121"/>
  <c r="U123" i="121" s="1"/>
  <c r="V123" i="121" s="1"/>
  <c r="U43" i="121"/>
  <c r="V43" i="121" s="1"/>
  <c r="S109" i="122"/>
  <c r="U109" i="122" s="1"/>
  <c r="V109" i="122" s="1"/>
  <c r="U29" i="122"/>
  <c r="V29" i="122" s="1"/>
  <c r="S100" i="120"/>
  <c r="U100" i="120" s="1"/>
  <c r="V100" i="120" s="1"/>
  <c r="U20" i="120"/>
  <c r="V20" i="120" s="1"/>
  <c r="S96" i="120"/>
  <c r="U96" i="120" s="1"/>
  <c r="V96" i="120" s="1"/>
  <c r="U16" i="120"/>
  <c r="V16" i="120" s="1"/>
  <c r="S35" i="138"/>
  <c r="U35" i="119"/>
  <c r="V35" i="119" s="1"/>
  <c r="S115" i="119"/>
  <c r="U115" i="119" s="1"/>
  <c r="V115" i="119" s="1"/>
  <c r="C172" i="158"/>
  <c r="AA153" i="158"/>
  <c r="AA172" i="158" s="1"/>
  <c r="Z156" i="158"/>
  <c r="AF156" i="158" s="1"/>
  <c r="H156" i="158"/>
  <c r="S104" i="120"/>
  <c r="U104" i="120" s="1"/>
  <c r="V104" i="120" s="1"/>
  <c r="U24" i="120"/>
  <c r="V24" i="120" s="1"/>
  <c r="U39" i="120"/>
  <c r="V39" i="120" s="1"/>
  <c r="S119" i="120"/>
  <c r="U119" i="120" s="1"/>
  <c r="V119" i="120" s="1"/>
  <c r="U38" i="119"/>
  <c r="V38" i="119" s="1"/>
  <c r="S118" i="119"/>
  <c r="U118" i="119" s="1"/>
  <c r="V118" i="119" s="1"/>
  <c r="S38" i="138"/>
  <c r="S101" i="120"/>
  <c r="U101" i="120" s="1"/>
  <c r="V101" i="120" s="1"/>
  <c r="U21" i="120"/>
  <c r="V21" i="120" s="1"/>
  <c r="S108" i="121"/>
  <c r="U108" i="121" s="1"/>
  <c r="V108" i="121" s="1"/>
  <c r="U28" i="121"/>
  <c r="V28" i="121" s="1"/>
  <c r="S111" i="121"/>
  <c r="U111" i="121" s="1"/>
  <c r="V111" i="121" s="1"/>
  <c r="U31" i="121"/>
  <c r="V31" i="121" s="1"/>
  <c r="S121" i="119"/>
  <c r="U121" i="119" s="1"/>
  <c r="V121" i="119" s="1"/>
  <c r="S41" i="138"/>
  <c r="U41" i="119"/>
  <c r="V41" i="119" s="1"/>
  <c r="S121" i="121"/>
  <c r="U121" i="121" s="1"/>
  <c r="V121" i="121" s="1"/>
  <c r="U41" i="121"/>
  <c r="V41" i="121" s="1"/>
  <c r="G40" i="128"/>
  <c r="G25" i="128"/>
  <c r="G24" i="128"/>
  <c r="H162" i="158"/>
  <c r="Z162" i="158"/>
  <c r="AF162" i="158" s="1"/>
  <c r="U36" i="120"/>
  <c r="V36" i="120" s="1"/>
  <c r="S116" i="120"/>
  <c r="U116" i="120" s="1"/>
  <c r="V116" i="120" s="1"/>
  <c r="S123" i="120"/>
  <c r="U123" i="120" s="1"/>
  <c r="V123" i="120" s="1"/>
  <c r="U43" i="120"/>
  <c r="V43" i="120" s="1"/>
  <c r="Z154" i="158"/>
  <c r="AF154" i="158" s="1"/>
  <c r="H154" i="158"/>
  <c r="U40" i="121"/>
  <c r="V40" i="121" s="1"/>
  <c r="S120" i="121"/>
  <c r="U120" i="121" s="1"/>
  <c r="V120" i="121" s="1"/>
  <c r="S118" i="122"/>
  <c r="U118" i="122" s="1"/>
  <c r="V118" i="122" s="1"/>
  <c r="U38" i="122"/>
  <c r="V38" i="122" s="1"/>
  <c r="Z155" i="158"/>
  <c r="AF155" i="158" s="1"/>
  <c r="H155" i="158"/>
  <c r="S23" i="138"/>
  <c r="U23" i="119"/>
  <c r="V23" i="119" s="1"/>
  <c r="S103" i="119"/>
  <c r="U103" i="119" s="1"/>
  <c r="V103" i="119" s="1"/>
  <c r="U31" i="120"/>
  <c r="V31" i="120" s="1"/>
  <c r="S111" i="120"/>
  <c r="U111" i="120" s="1"/>
  <c r="V111" i="120" s="1"/>
  <c r="U33" i="122"/>
  <c r="V33" i="122" s="1"/>
  <c r="S113" i="122"/>
  <c r="U113" i="122" s="1"/>
  <c r="V113" i="122" s="1"/>
  <c r="U15" i="120"/>
  <c r="S95" i="120"/>
  <c r="S45" i="120"/>
  <c r="U17" i="120"/>
  <c r="V17" i="120" s="1"/>
  <c r="S97" i="120"/>
  <c r="U97" i="120" s="1"/>
  <c r="V97" i="120" s="1"/>
  <c r="S18" i="138"/>
  <c r="S98" i="119"/>
  <c r="U98" i="119" s="1"/>
  <c r="V98" i="119" s="1"/>
  <c r="U18" i="119"/>
  <c r="V18" i="119" s="1"/>
  <c r="H167" i="158"/>
  <c r="Z167" i="158"/>
  <c r="AF167" i="158" s="1"/>
  <c r="S109" i="120"/>
  <c r="U109" i="120" s="1"/>
  <c r="V109" i="120" s="1"/>
  <c r="U29" i="120"/>
  <c r="V29" i="120" s="1"/>
  <c r="S115" i="121"/>
  <c r="U115" i="121" s="1"/>
  <c r="V115" i="121" s="1"/>
  <c r="U35" i="121"/>
  <c r="V35" i="121" s="1"/>
  <c r="C40" i="128"/>
  <c r="O22" i="128"/>
  <c r="Q22" i="128"/>
  <c r="C24" i="128"/>
  <c r="C25" i="128"/>
  <c r="S116" i="121"/>
  <c r="U116" i="121" s="1"/>
  <c r="V116" i="121" s="1"/>
  <c r="U36" i="121"/>
  <c r="V36" i="121" s="1"/>
  <c r="U15" i="121"/>
  <c r="S45" i="121"/>
  <c r="S95" i="121"/>
  <c r="H158" i="158"/>
  <c r="Z158" i="158"/>
  <c r="AF158" i="158" s="1"/>
  <c r="S102" i="119"/>
  <c r="U102" i="119" s="1"/>
  <c r="V102" i="119" s="1"/>
  <c r="S22" i="138"/>
  <c r="U22" i="119"/>
  <c r="V22" i="119" s="1"/>
  <c r="S113" i="121"/>
  <c r="U113" i="121" s="1"/>
  <c r="V113" i="121" s="1"/>
  <c r="U33" i="121"/>
  <c r="V33" i="121" s="1"/>
  <c r="U29" i="121"/>
  <c r="V29" i="121" s="1"/>
  <c r="S109" i="121"/>
  <c r="U109" i="121" s="1"/>
  <c r="V109" i="121" s="1"/>
  <c r="Z48" i="15"/>
  <c r="AF46" i="15"/>
  <c r="S30" i="138"/>
  <c r="S110" i="119"/>
  <c r="U110" i="119" s="1"/>
  <c r="V110" i="119" s="1"/>
  <c r="U30" i="119"/>
  <c r="V30" i="119" s="1"/>
  <c r="U22" i="120"/>
  <c r="V22" i="120" s="1"/>
  <c r="S102" i="120"/>
  <c r="U102" i="120" s="1"/>
  <c r="V102" i="120" s="1"/>
  <c r="S33" i="138"/>
  <c r="S113" i="119"/>
  <c r="U113" i="119" s="1"/>
  <c r="V113" i="119" s="1"/>
  <c r="U33" i="119"/>
  <c r="V33" i="119" s="1"/>
  <c r="S34" i="138"/>
  <c r="S114" i="119"/>
  <c r="U114" i="119" s="1"/>
  <c r="V114" i="119" s="1"/>
  <c r="U34" i="119"/>
  <c r="V34" i="119" s="1"/>
  <c r="U31" i="122"/>
  <c r="V31" i="122" s="1"/>
  <c r="S111" i="122"/>
  <c r="U111" i="122" s="1"/>
  <c r="V111" i="122" s="1"/>
  <c r="U40" i="120"/>
  <c r="V40" i="120" s="1"/>
  <c r="S120" i="120"/>
  <c r="U120" i="120" s="1"/>
  <c r="V120" i="120" s="1"/>
  <c r="S119" i="119"/>
  <c r="U119" i="119" s="1"/>
  <c r="V119" i="119" s="1"/>
  <c r="U39" i="119"/>
  <c r="V39" i="119" s="1"/>
  <c r="S39" i="138"/>
  <c r="D30" i="132"/>
  <c r="U38" i="121"/>
  <c r="V38" i="121" s="1"/>
  <c r="S118" i="121"/>
  <c r="U118" i="121" s="1"/>
  <c r="V118" i="121" s="1"/>
  <c r="U35" i="120"/>
  <c r="V35" i="120" s="1"/>
  <c r="S115" i="120"/>
  <c r="U115" i="120" s="1"/>
  <c r="V115" i="120" s="1"/>
  <c r="S112" i="120"/>
  <c r="U112" i="120" s="1"/>
  <c r="V112" i="120" s="1"/>
  <c r="U32" i="120"/>
  <c r="V32" i="120" s="1"/>
  <c r="U38" i="120"/>
  <c r="V38" i="120" s="1"/>
  <c r="S118" i="120"/>
  <c r="U118" i="120" s="1"/>
  <c r="V118" i="120" s="1"/>
  <c r="I24" i="128"/>
  <c r="I25" i="128"/>
  <c r="I40" i="128"/>
  <c r="U36" i="119"/>
  <c r="V36" i="119" s="1"/>
  <c r="S116" i="119"/>
  <c r="U116" i="119" s="1"/>
  <c r="V116" i="119" s="1"/>
  <c r="S36" i="138"/>
  <c r="S45" i="122"/>
  <c r="U15" i="122"/>
  <c r="S95" i="122"/>
  <c r="S122" i="122"/>
  <c r="U122" i="122" s="1"/>
  <c r="V122" i="122" s="1"/>
  <c r="U42" i="122"/>
  <c r="V42" i="122" s="1"/>
  <c r="G30" i="132" l="1"/>
  <c r="AB174" i="158"/>
  <c r="S120" i="138"/>
  <c r="U120" i="138" s="1"/>
  <c r="S40" i="139"/>
  <c r="S120" i="139" s="1"/>
  <c r="U120" i="139" s="1"/>
  <c r="U40" i="138"/>
  <c r="U40" i="139" s="1"/>
  <c r="AF48" i="15"/>
  <c r="AI48" i="15"/>
  <c r="AA174" i="158"/>
  <c r="S125" i="120"/>
  <c r="U95" i="120"/>
  <c r="S23" i="139"/>
  <c r="S103" i="139" s="1"/>
  <c r="U103" i="139" s="1"/>
  <c r="U23" i="138"/>
  <c r="U23" i="139" s="1"/>
  <c r="S103" i="138"/>
  <c r="U103" i="138" s="1"/>
  <c r="U20" i="138"/>
  <c r="U20" i="139" s="1"/>
  <c r="S20" i="139"/>
  <c r="S100" i="139" s="1"/>
  <c r="U100" i="139" s="1"/>
  <c r="S100" i="138"/>
  <c r="U100" i="138" s="1"/>
  <c r="H172" i="158"/>
  <c r="U95" i="119"/>
  <c r="S125" i="119"/>
  <c r="U42" i="138"/>
  <c r="U42" i="139" s="1"/>
  <c r="S122" i="138"/>
  <c r="U122" i="138" s="1"/>
  <c r="S42" i="139"/>
  <c r="S122" i="139" s="1"/>
  <c r="U122" i="139" s="1"/>
  <c r="M43" i="128"/>
  <c r="M42" i="128"/>
  <c r="S22" i="139"/>
  <c r="S102" i="139" s="1"/>
  <c r="U102" i="139" s="1"/>
  <c r="S102" i="138"/>
  <c r="U102" i="138" s="1"/>
  <c r="U22" i="138"/>
  <c r="U22" i="139" s="1"/>
  <c r="E43" i="128"/>
  <c r="E42" i="128"/>
  <c r="Z172" i="158"/>
  <c r="Z174" i="158" s="1"/>
  <c r="AF153" i="158"/>
  <c r="AF172" i="158" s="1"/>
  <c r="I42" i="128"/>
  <c r="I43" i="128"/>
  <c r="U33" i="138"/>
  <c r="U33" i="139" s="1"/>
  <c r="S33" i="139"/>
  <c r="S113" i="139" s="1"/>
  <c r="U113" i="139" s="1"/>
  <c r="S113" i="138"/>
  <c r="U113" i="138" s="1"/>
  <c r="AC22" i="128"/>
  <c r="AC24" i="128" s="1"/>
  <c r="Q24" i="128"/>
  <c r="Q25" i="128"/>
  <c r="V15" i="120"/>
  <c r="V45" i="120" s="1"/>
  <c r="U45" i="120"/>
  <c r="G43" i="128"/>
  <c r="G42" i="128"/>
  <c r="S125" i="121"/>
  <c r="U95" i="121"/>
  <c r="AA22" i="128"/>
  <c r="AA24" i="128" s="1"/>
  <c r="O25" i="128"/>
  <c r="O24" i="128"/>
  <c r="S115" i="138"/>
  <c r="U115" i="138" s="1"/>
  <c r="S35" i="139"/>
  <c r="S115" i="139" s="1"/>
  <c r="U115" i="139" s="1"/>
  <c r="U35" i="138"/>
  <c r="U35" i="139" s="1"/>
  <c r="S21" i="139"/>
  <c r="S101" i="139" s="1"/>
  <c r="U101" i="139" s="1"/>
  <c r="U21" i="138"/>
  <c r="U21" i="139" s="1"/>
  <c r="S101" i="138"/>
  <c r="U101" i="138" s="1"/>
  <c r="U45" i="119"/>
  <c r="V15" i="119"/>
  <c r="V45" i="119" s="1"/>
  <c r="S116" i="138"/>
  <c r="U116" i="138" s="1"/>
  <c r="S36" i="139"/>
  <c r="S116" i="139" s="1"/>
  <c r="U116" i="139" s="1"/>
  <c r="U36" i="138"/>
  <c r="U36" i="139" s="1"/>
  <c r="U30" i="138"/>
  <c r="U30" i="139" s="1"/>
  <c r="S30" i="139"/>
  <c r="S110" i="139" s="1"/>
  <c r="U110" i="139" s="1"/>
  <c r="S110" i="138"/>
  <c r="U110" i="138" s="1"/>
  <c r="U95" i="122"/>
  <c r="S125" i="122"/>
  <c r="Q40" i="128"/>
  <c r="O40" i="128"/>
  <c r="C43" i="128"/>
  <c r="C42" i="128"/>
  <c r="S29" i="139"/>
  <c r="S109" i="139" s="1"/>
  <c r="U109" i="139" s="1"/>
  <c r="S109" i="138"/>
  <c r="U109" i="138" s="1"/>
  <c r="U29" i="138"/>
  <c r="U29" i="139" s="1"/>
  <c r="S17" i="139"/>
  <c r="S97" i="139" s="1"/>
  <c r="U97" i="139" s="1"/>
  <c r="U17" i="138"/>
  <c r="U17" i="139" s="1"/>
  <c r="S97" i="138"/>
  <c r="U97" i="138" s="1"/>
  <c r="U43" i="138"/>
  <c r="U43" i="139" s="1"/>
  <c r="S123" i="138"/>
  <c r="U123" i="138" s="1"/>
  <c r="S43" i="139"/>
  <c r="S123" i="139" s="1"/>
  <c r="U123" i="139" s="1"/>
  <c r="S45" i="138"/>
  <c r="S95" i="138"/>
  <c r="S15" i="139"/>
  <c r="U15" i="138"/>
  <c r="U26" i="138"/>
  <c r="U26" i="139" s="1"/>
  <c r="S26" i="139"/>
  <c r="S106" i="139" s="1"/>
  <c r="U106" i="139" s="1"/>
  <c r="S106" i="138"/>
  <c r="U106" i="138" s="1"/>
  <c r="U34" i="138"/>
  <c r="U34" i="139" s="1"/>
  <c r="S114" i="138"/>
  <c r="U114" i="138" s="1"/>
  <c r="S34" i="139"/>
  <c r="S114" i="139" s="1"/>
  <c r="U114" i="139" s="1"/>
  <c r="U31" i="138"/>
  <c r="U31" i="139" s="1"/>
  <c r="S31" i="139"/>
  <c r="S111" i="139" s="1"/>
  <c r="U111" i="139" s="1"/>
  <c r="S111" i="138"/>
  <c r="U111" i="138" s="1"/>
  <c r="V15" i="122"/>
  <c r="V45" i="122" s="1"/>
  <c r="U45" i="122"/>
  <c r="V15" i="121"/>
  <c r="V45" i="121" s="1"/>
  <c r="U45" i="121"/>
  <c r="U18" i="138"/>
  <c r="U18" i="139" s="1"/>
  <c r="S18" i="139"/>
  <c r="S98" i="139" s="1"/>
  <c r="U98" i="139" s="1"/>
  <c r="S98" i="138"/>
  <c r="U98" i="138" s="1"/>
  <c r="U32" i="138"/>
  <c r="U32" i="139" s="1"/>
  <c r="S32" i="139"/>
  <c r="S112" i="139" s="1"/>
  <c r="U112" i="139" s="1"/>
  <c r="S112" i="138"/>
  <c r="U112" i="138" s="1"/>
  <c r="K43" i="128"/>
  <c r="K42" i="128"/>
  <c r="U24" i="138"/>
  <c r="U24" i="139" s="1"/>
  <c r="S24" i="139"/>
  <c r="S104" i="139" s="1"/>
  <c r="U104" i="139" s="1"/>
  <c r="S104" i="138"/>
  <c r="U104" i="138" s="1"/>
  <c r="S37" i="139"/>
  <c r="S117" i="139" s="1"/>
  <c r="U117" i="139" s="1"/>
  <c r="S117" i="138"/>
  <c r="U117" i="138" s="1"/>
  <c r="U37" i="138"/>
  <c r="U37" i="139" s="1"/>
  <c r="U27" i="138"/>
  <c r="U27" i="139" s="1"/>
  <c r="S27" i="139"/>
  <c r="S107" i="139" s="1"/>
  <c r="U107" i="139" s="1"/>
  <c r="S107" i="138"/>
  <c r="U107" i="138" s="1"/>
  <c r="S96" i="138"/>
  <c r="U96" i="138" s="1"/>
  <c r="S16" i="139"/>
  <c r="S96" i="139" s="1"/>
  <c r="U96" i="139" s="1"/>
  <c r="U16" i="138"/>
  <c r="U16" i="139" s="1"/>
  <c r="S119" i="138"/>
  <c r="U119" i="138" s="1"/>
  <c r="U39" i="138"/>
  <c r="U39" i="139" s="1"/>
  <c r="S39" i="139"/>
  <c r="S119" i="139" s="1"/>
  <c r="U119" i="139" s="1"/>
  <c r="S41" i="139"/>
  <c r="S121" i="139" s="1"/>
  <c r="U121" i="139" s="1"/>
  <c r="U41" i="138"/>
  <c r="U41" i="139" s="1"/>
  <c r="S121" i="138"/>
  <c r="U121" i="138" s="1"/>
  <c r="S118" i="138"/>
  <c r="U118" i="138" s="1"/>
  <c r="U38" i="138"/>
  <c r="U38" i="139" s="1"/>
  <c r="S38" i="139"/>
  <c r="S118" i="139" s="1"/>
  <c r="U118" i="139" s="1"/>
  <c r="S25" i="139"/>
  <c r="S105" i="139" s="1"/>
  <c r="U105" i="139" s="1"/>
  <c r="U25" i="138"/>
  <c r="U25" i="139" s="1"/>
  <c r="S105" i="138"/>
  <c r="U105" i="138" s="1"/>
  <c r="S108" i="138"/>
  <c r="U108" i="138" s="1"/>
  <c r="U28" i="138"/>
  <c r="U28" i="139" s="1"/>
  <c r="S28" i="139"/>
  <c r="S108" i="139" s="1"/>
  <c r="U108" i="139" s="1"/>
  <c r="S19" i="139"/>
  <c r="S99" i="139" s="1"/>
  <c r="U99" i="139" s="1"/>
  <c r="U19" i="138"/>
  <c r="U19" i="139" s="1"/>
  <c r="S99" i="138"/>
  <c r="U99" i="138" s="1"/>
  <c r="AC174" i="158"/>
  <c r="S45" i="139" l="1"/>
  <c r="S95" i="139"/>
  <c r="U95" i="138"/>
  <c r="U125" i="138" s="1"/>
  <c r="S125" i="138"/>
  <c r="U125" i="122"/>
  <c r="V95" i="122"/>
  <c r="V125" i="122" s="1"/>
  <c r="AF174" i="158"/>
  <c r="V95" i="119"/>
  <c r="V125" i="119" s="1"/>
  <c r="U125" i="119"/>
  <c r="U125" i="121"/>
  <c r="V95" i="121"/>
  <c r="V125" i="121" s="1"/>
  <c r="AA40" i="128"/>
  <c r="O43" i="128"/>
  <c r="O42" i="128"/>
  <c r="U15" i="139"/>
  <c r="U45" i="139" s="1"/>
  <c r="U45" i="138"/>
  <c r="V95" i="120"/>
  <c r="V125" i="120" s="1"/>
  <c r="U125" i="120"/>
  <c r="Q42" i="128"/>
  <c r="Q43" i="128"/>
  <c r="AA43" i="128" l="1"/>
  <c r="AI47" i="128"/>
  <c r="AA42" i="128"/>
  <c r="U95" i="139"/>
  <c r="U125" i="139" s="1"/>
  <c r="U127" i="139" s="1"/>
  <c r="S125" i="139"/>
  <c r="S127" i="139" l="1"/>
  <c r="C135" i="139"/>
  <c r="E141" i="139" s="1"/>
  <c r="E142" i="139" s="1"/>
  <c r="O87" i="138" s="1"/>
  <c r="E135" i="139"/>
  <c r="O6" i="138" l="1"/>
  <c r="O123" i="138"/>
  <c r="O112" i="138"/>
  <c r="O122" i="138"/>
  <c r="O113" i="138"/>
  <c r="O97" i="138"/>
  <c r="O117" i="138"/>
  <c r="O100" i="138"/>
  <c r="O120" i="138"/>
  <c r="O102" i="138"/>
  <c r="O106" i="138"/>
  <c r="O103" i="138"/>
  <c r="O95" i="138"/>
  <c r="O111" i="138"/>
  <c r="O108" i="138"/>
  <c r="O118" i="138"/>
  <c r="O96" i="138"/>
  <c r="O124" i="138"/>
  <c r="O101" i="138"/>
  <c r="O105" i="138"/>
  <c r="O119" i="138"/>
  <c r="O116" i="138"/>
  <c r="O114" i="138"/>
  <c r="O109" i="138"/>
  <c r="O121" i="138"/>
  <c r="O115" i="138"/>
  <c r="O110" i="138"/>
  <c r="O99" i="138"/>
  <c r="O107" i="138"/>
  <c r="O98" i="138"/>
  <c r="O104" i="138"/>
  <c r="O125" i="138" l="1"/>
  <c r="O43" i="138"/>
  <c r="O26" i="138"/>
  <c r="O38" i="138"/>
  <c r="O44" i="138"/>
  <c r="M44" i="138" s="1"/>
  <c r="O24" i="138"/>
  <c r="O28" i="138"/>
  <c r="O17" i="138"/>
  <c r="O36" i="138"/>
  <c r="O16" i="138"/>
  <c r="O42" i="138"/>
  <c r="O33" i="138"/>
  <c r="O41" i="138"/>
  <c r="O15" i="138"/>
  <c r="O18" i="138"/>
  <c r="O19" i="138"/>
  <c r="O21" i="138"/>
  <c r="O22" i="138"/>
  <c r="O20" i="138"/>
  <c r="O32" i="138"/>
  <c r="O29" i="138"/>
  <c r="O37" i="138"/>
  <c r="O34" i="138"/>
  <c r="O30" i="138"/>
  <c r="O35" i="138"/>
  <c r="O23" i="138"/>
  <c r="O39" i="138"/>
  <c r="O27" i="138"/>
  <c r="O40" i="138"/>
  <c r="O31" i="138"/>
  <c r="O25" i="138"/>
  <c r="M17" i="138" l="1"/>
  <c r="O57" i="138"/>
  <c r="O17" i="139"/>
  <c r="O28" i="139"/>
  <c r="O68" i="138"/>
  <c r="M28" i="138"/>
  <c r="O71" i="138"/>
  <c r="M31" i="138"/>
  <c r="O31" i="139"/>
  <c r="M37" i="138"/>
  <c r="N37" i="138" s="1"/>
  <c r="O37" i="139"/>
  <c r="O77" i="138"/>
  <c r="O45" i="138"/>
  <c r="O47" i="138" s="1"/>
  <c r="O55" i="138"/>
  <c r="M15" i="138"/>
  <c r="O15" i="139"/>
  <c r="O64" i="138"/>
  <c r="O24" i="139"/>
  <c r="M24" i="138"/>
  <c r="O18" i="139"/>
  <c r="M18" i="138"/>
  <c r="N18" i="138" s="1"/>
  <c r="O58" i="138"/>
  <c r="M40" i="138"/>
  <c r="O40" i="139"/>
  <c r="O80" i="138"/>
  <c r="M29" i="138"/>
  <c r="O29" i="139"/>
  <c r="O69" i="138"/>
  <c r="O81" i="138"/>
  <c r="O41" i="139"/>
  <c r="M41" i="138"/>
  <c r="N44" i="138"/>
  <c r="P44" i="138"/>
  <c r="M124" i="138"/>
  <c r="O30" i="139"/>
  <c r="M30" i="138"/>
  <c r="O70" i="138"/>
  <c r="O27" i="139"/>
  <c r="O67" i="138"/>
  <c r="M27" i="138"/>
  <c r="O32" i="139"/>
  <c r="M32" i="138"/>
  <c r="O72" i="138"/>
  <c r="O73" i="138"/>
  <c r="O33" i="139"/>
  <c r="M33" i="138"/>
  <c r="O78" i="138"/>
  <c r="M38" i="138"/>
  <c r="O38" i="139"/>
  <c r="O74" i="138"/>
  <c r="M34" i="138"/>
  <c r="O34" i="139"/>
  <c r="O39" i="139"/>
  <c r="O79" i="138"/>
  <c r="M39" i="138"/>
  <c r="O20" i="139"/>
  <c r="O60" i="138"/>
  <c r="M20" i="138"/>
  <c r="O82" i="138"/>
  <c r="M42" i="138"/>
  <c r="O42" i="139"/>
  <c r="O66" i="138"/>
  <c r="M26" i="138"/>
  <c r="N26" i="138" s="1"/>
  <c r="O26" i="139"/>
  <c r="M25" i="138"/>
  <c r="O25" i="139"/>
  <c r="O65" i="138"/>
  <c r="M23" i="138"/>
  <c r="N23" i="138" s="1"/>
  <c r="O63" i="138"/>
  <c r="O23" i="139"/>
  <c r="O22" i="139"/>
  <c r="O62" i="138"/>
  <c r="M22" i="138"/>
  <c r="N22" i="138" s="1"/>
  <c r="O16" i="139"/>
  <c r="O56" i="138"/>
  <c r="M16" i="138"/>
  <c r="N16" i="138" s="1"/>
  <c r="O43" i="139"/>
  <c r="O83" i="138"/>
  <c r="M43" i="138"/>
  <c r="O19" i="139"/>
  <c r="M19" i="138"/>
  <c r="O59" i="138"/>
  <c r="O35" i="139"/>
  <c r="O75" i="138"/>
  <c r="M35" i="138"/>
  <c r="N35" i="138" s="1"/>
  <c r="O21" i="139"/>
  <c r="O61" i="138"/>
  <c r="M21" i="138"/>
  <c r="O76" i="138"/>
  <c r="O36" i="139"/>
  <c r="M36" i="138"/>
  <c r="N36" i="138" s="1"/>
  <c r="O127" i="138"/>
  <c r="N18" i="139" l="1"/>
  <c r="Q18" i="138"/>
  <c r="Q26" i="138"/>
  <c r="N26" i="139"/>
  <c r="Q16" i="138"/>
  <c r="N16" i="139"/>
  <c r="Q22" i="138"/>
  <c r="N22" i="139"/>
  <c r="N55" i="138"/>
  <c r="M55" i="138" s="1"/>
  <c r="M95" i="138" s="1"/>
  <c r="O55" i="139"/>
  <c r="O95" i="139" s="1"/>
  <c r="O85" i="138"/>
  <c r="N36" i="139"/>
  <c r="Q36" i="138"/>
  <c r="M25" i="139"/>
  <c r="P25" i="138"/>
  <c r="P25" i="139" s="1"/>
  <c r="O71" i="139"/>
  <c r="O111" i="139" s="1"/>
  <c r="N71" i="138"/>
  <c r="M36" i="139"/>
  <c r="P36" i="138"/>
  <c r="N75" i="138"/>
  <c r="N115" i="138" s="1"/>
  <c r="O75" i="139"/>
  <c r="O115" i="139" s="1"/>
  <c r="N23" i="139"/>
  <c r="Q23" i="138"/>
  <c r="N20" i="138"/>
  <c r="M20" i="139"/>
  <c r="P20" i="138"/>
  <c r="O74" i="139"/>
  <c r="O114" i="139" s="1"/>
  <c r="N74" i="138"/>
  <c r="N32" i="138"/>
  <c r="P32" i="138"/>
  <c r="M32" i="139"/>
  <c r="N37" i="139"/>
  <c r="Q37" i="138"/>
  <c r="N28" i="138"/>
  <c r="P28" i="138"/>
  <c r="M28" i="139"/>
  <c r="N70" i="138"/>
  <c r="M70" i="138" s="1"/>
  <c r="M110" i="138" s="1"/>
  <c r="O70" i="139"/>
  <c r="O110" i="139" s="1"/>
  <c r="M16" i="139"/>
  <c r="P16" i="138"/>
  <c r="O60" i="139"/>
  <c r="O100" i="139" s="1"/>
  <c r="N60" i="138"/>
  <c r="N29" i="138"/>
  <c r="P29" i="138"/>
  <c r="M29" i="139"/>
  <c r="N24" i="138"/>
  <c r="P24" i="138"/>
  <c r="M24" i="139"/>
  <c r="O77" i="139"/>
  <c r="O117" i="139" s="1"/>
  <c r="N77" i="138"/>
  <c r="N117" i="138" s="1"/>
  <c r="O68" i="139"/>
  <c r="O108" i="139" s="1"/>
  <c r="N68" i="138"/>
  <c r="M68" i="138" s="1"/>
  <c r="Q35" i="138"/>
  <c r="N35" i="139"/>
  <c r="P18" i="138"/>
  <c r="M18" i="139"/>
  <c r="N34" i="138"/>
  <c r="P34" i="138"/>
  <c r="M34" i="139"/>
  <c r="M30" i="139"/>
  <c r="P30" i="138"/>
  <c r="N76" i="138"/>
  <c r="M76" i="138" s="1"/>
  <c r="O76" i="139"/>
  <c r="O116" i="139" s="1"/>
  <c r="O59" i="139"/>
  <c r="O99" i="139" s="1"/>
  <c r="N59" i="138"/>
  <c r="M59" i="138" s="1"/>
  <c r="N56" i="138"/>
  <c r="N96" i="138" s="1"/>
  <c r="O56" i="139"/>
  <c r="O96" i="139" s="1"/>
  <c r="O63" i="139"/>
  <c r="O103" i="139" s="1"/>
  <c r="N63" i="138"/>
  <c r="M63" i="138" s="1"/>
  <c r="P26" i="138"/>
  <c r="M26" i="139"/>
  <c r="N38" i="138"/>
  <c r="P38" i="138"/>
  <c r="M38" i="139"/>
  <c r="N27" i="138"/>
  <c r="P27" i="138"/>
  <c r="M27" i="139"/>
  <c r="P124" i="138"/>
  <c r="N80" i="138"/>
  <c r="M80" i="138" s="1"/>
  <c r="M120" i="138" s="1"/>
  <c r="O80" i="139"/>
  <c r="O120" i="139" s="1"/>
  <c r="N73" i="138"/>
  <c r="M73" i="138" s="1"/>
  <c r="M113" i="138" s="1"/>
  <c r="O73" i="139"/>
  <c r="O113" i="139" s="1"/>
  <c r="N69" i="138"/>
  <c r="O69" i="139"/>
  <c r="O109" i="139" s="1"/>
  <c r="N21" i="138"/>
  <c r="P21" i="138"/>
  <c r="M21" i="139"/>
  <c r="N19" i="138"/>
  <c r="M19" i="139"/>
  <c r="P19" i="138"/>
  <c r="M23" i="139"/>
  <c r="P23" i="138"/>
  <c r="N66" i="138"/>
  <c r="O66" i="139"/>
  <c r="O106" i="139" s="1"/>
  <c r="N39" i="138"/>
  <c r="P39" i="138"/>
  <c r="M39" i="139"/>
  <c r="N78" i="138"/>
  <c r="M78" i="138" s="1"/>
  <c r="O78" i="139"/>
  <c r="O118" i="139" s="1"/>
  <c r="N67" i="138"/>
  <c r="O67" i="139"/>
  <c r="O107" i="139" s="1"/>
  <c r="Q44" i="138"/>
  <c r="Q124" i="138" s="1"/>
  <c r="N124" i="138"/>
  <c r="N64" i="138"/>
  <c r="M64" i="138" s="1"/>
  <c r="M104" i="138" s="1"/>
  <c r="O64" i="139"/>
  <c r="O104" i="139" s="1"/>
  <c r="P37" i="138"/>
  <c r="M37" i="139"/>
  <c r="N83" i="138"/>
  <c r="M83" i="138" s="1"/>
  <c r="M123" i="138" s="1"/>
  <c r="O83" i="139"/>
  <c r="O123" i="139" s="1"/>
  <c r="M42" i="139"/>
  <c r="P42" i="138"/>
  <c r="P31" i="138"/>
  <c r="M31" i="139"/>
  <c r="O61" i="139"/>
  <c r="O101" i="139" s="1"/>
  <c r="N61" i="138"/>
  <c r="M22" i="139"/>
  <c r="P22" i="138"/>
  <c r="N25" i="138"/>
  <c r="N42" i="138"/>
  <c r="N79" i="138"/>
  <c r="M79" i="138" s="1"/>
  <c r="O79" i="139"/>
  <c r="O119" i="139" s="1"/>
  <c r="N33" i="138"/>
  <c r="P33" i="138"/>
  <c r="M33" i="139"/>
  <c r="N41" i="138"/>
  <c r="M41" i="139"/>
  <c r="P41" i="138"/>
  <c r="N40" i="138"/>
  <c r="M40" i="139"/>
  <c r="P40" i="138"/>
  <c r="O45" i="139"/>
  <c r="N31" i="138"/>
  <c r="O57" i="139"/>
  <c r="O97" i="139" s="1"/>
  <c r="N57" i="138"/>
  <c r="M57" i="138" s="1"/>
  <c r="M97" i="138" s="1"/>
  <c r="O81" i="139"/>
  <c r="O121" i="139" s="1"/>
  <c r="N81" i="138"/>
  <c r="M35" i="139"/>
  <c r="P35" i="138"/>
  <c r="N82" i="138"/>
  <c r="O82" i="139"/>
  <c r="O122" i="139" s="1"/>
  <c r="N72" i="138"/>
  <c r="O72" i="139"/>
  <c r="O112" i="139" s="1"/>
  <c r="N43" i="138"/>
  <c r="P43" i="138"/>
  <c r="M43" i="139"/>
  <c r="O62" i="139"/>
  <c r="O102" i="139" s="1"/>
  <c r="N62" i="138"/>
  <c r="N65" i="138"/>
  <c r="O65" i="139"/>
  <c r="O105" i="139" s="1"/>
  <c r="N30" i="138"/>
  <c r="N58" i="138"/>
  <c r="M58" i="138" s="1"/>
  <c r="O58" i="139"/>
  <c r="O98" i="139" s="1"/>
  <c r="N15" i="138"/>
  <c r="M15" i="139"/>
  <c r="M45" i="138"/>
  <c r="P15" i="138"/>
  <c r="N17" i="138"/>
  <c r="P17" i="138"/>
  <c r="M17" i="139"/>
  <c r="M68" i="139" l="1"/>
  <c r="M108" i="139" s="1"/>
  <c r="P68" i="138"/>
  <c r="M108" i="138"/>
  <c r="P63" i="138"/>
  <c r="M63" i="139"/>
  <c r="M103" i="139" s="1"/>
  <c r="M103" i="138"/>
  <c r="N112" i="138"/>
  <c r="N72" i="139"/>
  <c r="Q72" i="138"/>
  <c r="Q72" i="139" s="1"/>
  <c r="N39" i="139"/>
  <c r="Q39" i="138"/>
  <c r="R39" i="138" s="1"/>
  <c r="Q60" i="138"/>
  <c r="Q60" i="139" s="1"/>
  <c r="N60" i="139"/>
  <c r="M58" i="139"/>
  <c r="M98" i="139" s="1"/>
  <c r="P58" i="138"/>
  <c r="P98" i="138" s="1"/>
  <c r="P40" i="139"/>
  <c r="P37" i="139"/>
  <c r="R37" i="138"/>
  <c r="N107" i="138"/>
  <c r="N67" i="139"/>
  <c r="Q67" i="138"/>
  <c r="Q67" i="139" s="1"/>
  <c r="N19" i="139"/>
  <c r="Q19" i="138"/>
  <c r="R19" i="138" s="1"/>
  <c r="M73" i="139"/>
  <c r="M113" i="139" s="1"/>
  <c r="P73" i="138"/>
  <c r="N99" i="138"/>
  <c r="Q59" i="138"/>
  <c r="Q59" i="139" s="1"/>
  <c r="N59" i="139"/>
  <c r="Q35" i="139"/>
  <c r="P32" i="139"/>
  <c r="Q23" i="139"/>
  <c r="M71" i="138"/>
  <c r="N71" i="139"/>
  <c r="Q71" i="138"/>
  <c r="Q71" i="139" s="1"/>
  <c r="M55" i="139"/>
  <c r="M95" i="139" s="1"/>
  <c r="P55" i="138"/>
  <c r="P95" i="138" s="1"/>
  <c r="N121" i="138"/>
  <c r="Q81" i="138"/>
  <c r="Q81" i="139" s="1"/>
  <c r="N81" i="139"/>
  <c r="N105" i="138"/>
  <c r="Q25" i="138"/>
  <c r="N25" i="139"/>
  <c r="P17" i="139"/>
  <c r="Q82" i="138"/>
  <c r="Q82" i="139" s="1"/>
  <c r="N82" i="139"/>
  <c r="M57" i="139"/>
  <c r="M97" i="139" s="1"/>
  <c r="P57" i="138"/>
  <c r="P97" i="138" s="1"/>
  <c r="P33" i="139"/>
  <c r="R22" i="138"/>
  <c r="P22" i="139"/>
  <c r="P42" i="139"/>
  <c r="M64" i="139"/>
  <c r="M104" i="139" s="1"/>
  <c r="P64" i="138"/>
  <c r="P104" i="138" s="1"/>
  <c r="M118" i="138"/>
  <c r="P78" i="138"/>
  <c r="P118" i="138" s="1"/>
  <c r="M78" i="139"/>
  <c r="M118" i="139" s="1"/>
  <c r="M66" i="138"/>
  <c r="Q66" i="138"/>
  <c r="Q66" i="139" s="1"/>
  <c r="N66" i="139"/>
  <c r="N106" i="139" s="1"/>
  <c r="P26" i="139"/>
  <c r="P24" i="139"/>
  <c r="P28" i="139"/>
  <c r="P108" i="138"/>
  <c r="N32" i="139"/>
  <c r="Q32" i="138"/>
  <c r="N103" i="138"/>
  <c r="N109" i="138"/>
  <c r="Q69" i="138"/>
  <c r="Q69" i="139" s="1"/>
  <c r="N69" i="139"/>
  <c r="P59" i="138"/>
  <c r="P99" i="138" s="1"/>
  <c r="M59" i="139"/>
  <c r="M99" i="139" s="1"/>
  <c r="N20" i="139"/>
  <c r="N100" i="139" s="1"/>
  <c r="Q20" i="138"/>
  <c r="N100" i="138"/>
  <c r="N17" i="139"/>
  <c r="Q17" i="138"/>
  <c r="N58" i="139"/>
  <c r="N98" i="139" s="1"/>
  <c r="Q58" i="138"/>
  <c r="Q58" i="139" s="1"/>
  <c r="M82" i="138"/>
  <c r="N97" i="138"/>
  <c r="Q57" i="138"/>
  <c r="Q57" i="139" s="1"/>
  <c r="N57" i="139"/>
  <c r="Q40" i="138"/>
  <c r="N40" i="139"/>
  <c r="N120" i="138"/>
  <c r="Q33" i="138"/>
  <c r="N33" i="139"/>
  <c r="N113" i="138"/>
  <c r="N73" i="139"/>
  <c r="Q73" i="138"/>
  <c r="Q73" i="139" s="1"/>
  <c r="P27" i="139"/>
  <c r="P76" i="138"/>
  <c r="P116" i="138" s="1"/>
  <c r="M76" i="139"/>
  <c r="M116" i="139" s="1"/>
  <c r="P34" i="139"/>
  <c r="N24" i="139"/>
  <c r="Q24" i="138"/>
  <c r="N104" i="138"/>
  <c r="P16" i="139"/>
  <c r="R16" i="138"/>
  <c r="N28" i="139"/>
  <c r="Q28" i="138"/>
  <c r="R28" i="138" s="1"/>
  <c r="N108" i="138"/>
  <c r="M74" i="138"/>
  <c r="N74" i="139"/>
  <c r="Q74" i="138"/>
  <c r="Q74" i="139" s="1"/>
  <c r="O85" i="139"/>
  <c r="N106" i="138"/>
  <c r="N102" i="138"/>
  <c r="Q62" i="138"/>
  <c r="Q62" i="139" s="1"/>
  <c r="N62" i="139"/>
  <c r="N102" i="139" s="1"/>
  <c r="N30" i="139"/>
  <c r="Q30" i="138"/>
  <c r="N110" i="138"/>
  <c r="P43" i="139"/>
  <c r="M79" i="139"/>
  <c r="M119" i="139" s="1"/>
  <c r="P79" i="138"/>
  <c r="P119" i="138" s="1"/>
  <c r="M61" i="138"/>
  <c r="N61" i="139"/>
  <c r="Q61" i="138"/>
  <c r="Q61" i="139" s="1"/>
  <c r="P83" i="138"/>
  <c r="P123" i="138" s="1"/>
  <c r="M83" i="139"/>
  <c r="M123" i="139" s="1"/>
  <c r="N64" i="139"/>
  <c r="Q64" i="138"/>
  <c r="Q64" i="139" s="1"/>
  <c r="Q78" i="138"/>
  <c r="Q78" i="139" s="1"/>
  <c r="N78" i="139"/>
  <c r="P23" i="139"/>
  <c r="R23" i="138"/>
  <c r="P103" i="138"/>
  <c r="P21" i="139"/>
  <c r="M80" i="139"/>
  <c r="M120" i="139" s="1"/>
  <c r="P80" i="138"/>
  <c r="P120" i="138" s="1"/>
  <c r="N27" i="139"/>
  <c r="Q27" i="138"/>
  <c r="R27" i="138" s="1"/>
  <c r="N63" i="139"/>
  <c r="N103" i="139" s="1"/>
  <c r="Q63" i="138"/>
  <c r="Q63" i="139" s="1"/>
  <c r="N34" i="139"/>
  <c r="Q34" i="138"/>
  <c r="N114" i="138"/>
  <c r="Q68" i="138"/>
  <c r="Q68" i="139" s="1"/>
  <c r="N68" i="139"/>
  <c r="Q37" i="139"/>
  <c r="Q55" i="138"/>
  <c r="N55" i="139"/>
  <c r="N85" i="138"/>
  <c r="R26" i="138"/>
  <c r="Q26" i="139"/>
  <c r="Q16" i="139"/>
  <c r="P45" i="138"/>
  <c r="P15" i="139"/>
  <c r="Q43" i="138"/>
  <c r="N43" i="139"/>
  <c r="R35" i="138"/>
  <c r="P35" i="139"/>
  <c r="N31" i="139"/>
  <c r="Q31" i="138"/>
  <c r="R31" i="138" s="1"/>
  <c r="N111" i="138"/>
  <c r="P41" i="139"/>
  <c r="M119" i="138"/>
  <c r="N21" i="139"/>
  <c r="Q21" i="138"/>
  <c r="R21" i="138" s="1"/>
  <c r="N101" i="138"/>
  <c r="N76" i="139"/>
  <c r="N116" i="139" s="1"/>
  <c r="Q76" i="138"/>
  <c r="Q76" i="139" s="1"/>
  <c r="M98" i="138"/>
  <c r="P29" i="139"/>
  <c r="P70" i="138"/>
  <c r="P110" i="138" s="1"/>
  <c r="M70" i="139"/>
  <c r="M110" i="139" s="1"/>
  <c r="M75" i="138"/>
  <c r="N75" i="139"/>
  <c r="N115" i="139" s="1"/>
  <c r="Q75" i="138"/>
  <c r="Q75" i="139" s="1"/>
  <c r="N98" i="138"/>
  <c r="M65" i="138"/>
  <c r="N65" i="139"/>
  <c r="Q65" i="138"/>
  <c r="Q65" i="139" s="1"/>
  <c r="M72" i="138"/>
  <c r="N119" i="138"/>
  <c r="N79" i="139"/>
  <c r="Q79" i="138"/>
  <c r="Q79" i="139" s="1"/>
  <c r="N123" i="138"/>
  <c r="N83" i="139"/>
  <c r="Q83" i="138"/>
  <c r="Q83" i="139" s="1"/>
  <c r="M99" i="138"/>
  <c r="M69" i="138"/>
  <c r="Q80" i="138"/>
  <c r="Q80" i="139" s="1"/>
  <c r="N80" i="139"/>
  <c r="P38" i="139"/>
  <c r="M77" i="138"/>
  <c r="N77" i="139"/>
  <c r="N117" i="139" s="1"/>
  <c r="Q77" i="138"/>
  <c r="Q77" i="139" s="1"/>
  <c r="Q29" i="138"/>
  <c r="R29" i="138" s="1"/>
  <c r="N29" i="139"/>
  <c r="R20" i="138"/>
  <c r="P20" i="139"/>
  <c r="M116" i="138"/>
  <c r="N116" i="138"/>
  <c r="Q22" i="139"/>
  <c r="Q102" i="139" s="1"/>
  <c r="Q102" i="138"/>
  <c r="Q18" i="139"/>
  <c r="N15" i="139"/>
  <c r="Q15" i="138"/>
  <c r="R15" i="138" s="1"/>
  <c r="N95" i="138"/>
  <c r="N45" i="138"/>
  <c r="P31" i="139"/>
  <c r="M45" i="139"/>
  <c r="M62" i="138"/>
  <c r="M81" i="138"/>
  <c r="O125" i="139"/>
  <c r="N41" i="139"/>
  <c r="Q41" i="138"/>
  <c r="Q42" i="138"/>
  <c r="R42" i="138" s="1"/>
  <c r="N42" i="139"/>
  <c r="N122" i="138"/>
  <c r="M67" i="138"/>
  <c r="P39" i="139"/>
  <c r="P19" i="139"/>
  <c r="R44" i="138"/>
  <c r="Q38" i="138"/>
  <c r="N38" i="139"/>
  <c r="N118" i="138"/>
  <c r="M56" i="138"/>
  <c r="Q56" i="138"/>
  <c r="Q56" i="139" s="1"/>
  <c r="N56" i="139"/>
  <c r="N96" i="139" s="1"/>
  <c r="P30" i="139"/>
  <c r="P18" i="139"/>
  <c r="R18" i="138"/>
  <c r="M60" i="138"/>
  <c r="N70" i="139"/>
  <c r="Q70" i="138"/>
  <c r="Q70" i="139" s="1"/>
  <c r="R36" i="138"/>
  <c r="P36" i="139"/>
  <c r="Q36" i="139"/>
  <c r="N119" i="139" l="1"/>
  <c r="Q106" i="138"/>
  <c r="Q116" i="138"/>
  <c r="Q98" i="139"/>
  <c r="Q106" i="139"/>
  <c r="Q116" i="139"/>
  <c r="N104" i="139"/>
  <c r="N110" i="139"/>
  <c r="N121" i="139"/>
  <c r="N99" i="139"/>
  <c r="N113" i="139"/>
  <c r="N122" i="139"/>
  <c r="Q115" i="138"/>
  <c r="N114" i="139"/>
  <c r="N118" i="139"/>
  <c r="N120" i="139"/>
  <c r="V21" i="138"/>
  <c r="V21" i="139" s="1"/>
  <c r="R21" i="139"/>
  <c r="R42" i="139"/>
  <c r="V42" i="138"/>
  <c r="V42" i="139" s="1"/>
  <c r="R15" i="139"/>
  <c r="V15" i="138"/>
  <c r="R27" i="139"/>
  <c r="V27" i="138"/>
  <c r="V27" i="139" s="1"/>
  <c r="Q41" i="139"/>
  <c r="Q121" i="139" s="1"/>
  <c r="Q121" i="138"/>
  <c r="R31" i="139"/>
  <c r="V31" i="138"/>
  <c r="V31" i="139" s="1"/>
  <c r="N109" i="139"/>
  <c r="P56" i="138"/>
  <c r="M56" i="139"/>
  <c r="M96" i="139" s="1"/>
  <c r="M96" i="138"/>
  <c r="Q29" i="139"/>
  <c r="Q109" i="139" s="1"/>
  <c r="Q109" i="138"/>
  <c r="R41" i="138"/>
  <c r="R26" i="139"/>
  <c r="V26" i="138"/>
  <c r="V26" i="139" s="1"/>
  <c r="R79" i="138"/>
  <c r="R119" i="138" s="1"/>
  <c r="V119" i="138" s="1"/>
  <c r="P79" i="139"/>
  <c r="P119" i="139" s="1"/>
  <c r="Q17" i="139"/>
  <c r="Q97" i="139" s="1"/>
  <c r="Q97" i="138"/>
  <c r="P66" i="138"/>
  <c r="M66" i="139"/>
  <c r="M106" i="139" s="1"/>
  <c r="M106" i="138"/>
  <c r="Q103" i="138"/>
  <c r="Q43" i="139"/>
  <c r="Q123" i="139" s="1"/>
  <c r="Q123" i="138"/>
  <c r="R28" i="139"/>
  <c r="V28" i="138"/>
  <c r="V28" i="139" s="1"/>
  <c r="R18" i="139"/>
  <c r="V18" i="138"/>
  <c r="V18" i="139" s="1"/>
  <c r="V39" i="138"/>
  <c r="V39" i="139" s="1"/>
  <c r="R39" i="139"/>
  <c r="E134" i="139"/>
  <c r="E139" i="139" s="1"/>
  <c r="O127" i="139"/>
  <c r="M109" i="138"/>
  <c r="P69" i="138"/>
  <c r="M69" i="139"/>
  <c r="M109" i="139" s="1"/>
  <c r="M72" i="139"/>
  <c r="M112" i="139" s="1"/>
  <c r="P72" i="138"/>
  <c r="M112" i="138"/>
  <c r="P75" i="138"/>
  <c r="M75" i="139"/>
  <c r="M115" i="139" s="1"/>
  <c r="M115" i="138"/>
  <c r="P45" i="139"/>
  <c r="Q34" i="139"/>
  <c r="Q114" i="139" s="1"/>
  <c r="Q114" i="138"/>
  <c r="P74" i="138"/>
  <c r="M74" i="139"/>
  <c r="M114" i="139" s="1"/>
  <c r="M114" i="138"/>
  <c r="Q24" i="139"/>
  <c r="Q104" i="139" s="1"/>
  <c r="Q104" i="138"/>
  <c r="Q40" i="139"/>
  <c r="Q120" i="139" s="1"/>
  <c r="Q120" i="138"/>
  <c r="R17" i="138"/>
  <c r="Q103" i="139"/>
  <c r="P59" i="139"/>
  <c r="P99" i="139" s="1"/>
  <c r="R59" i="138"/>
  <c r="P60" i="138"/>
  <c r="M60" i="139"/>
  <c r="M100" i="139" s="1"/>
  <c r="M100" i="138"/>
  <c r="R58" i="138"/>
  <c r="P58" i="139"/>
  <c r="P98" i="139" s="1"/>
  <c r="M81" i="139"/>
  <c r="M121" i="139" s="1"/>
  <c r="P81" i="138"/>
  <c r="M121" i="138"/>
  <c r="N125" i="138"/>
  <c r="Q31" i="139"/>
  <c r="Q111" i="139" s="1"/>
  <c r="Q111" i="138"/>
  <c r="N95" i="139"/>
  <c r="N85" i="139"/>
  <c r="N97" i="139"/>
  <c r="R24" i="138"/>
  <c r="R78" i="138"/>
  <c r="P78" i="139"/>
  <c r="P118" i="139" s="1"/>
  <c r="V22" i="138"/>
  <c r="V22" i="139" s="1"/>
  <c r="R22" i="139"/>
  <c r="M85" i="138"/>
  <c r="P113" i="138"/>
  <c r="P73" i="139"/>
  <c r="P113" i="139" s="1"/>
  <c r="R73" i="138"/>
  <c r="V37" i="138"/>
  <c r="V37" i="139" s="1"/>
  <c r="R37" i="139"/>
  <c r="P63" i="139"/>
  <c r="P103" i="139" s="1"/>
  <c r="R63" i="138"/>
  <c r="Q33" i="139"/>
  <c r="Q113" i="139" s="1"/>
  <c r="Q113" i="138"/>
  <c r="P61" i="138"/>
  <c r="M61" i="139"/>
  <c r="M101" i="139" s="1"/>
  <c r="M101" i="138"/>
  <c r="Q38" i="139"/>
  <c r="Q118" i="139" s="1"/>
  <c r="Q118" i="138"/>
  <c r="P67" i="138"/>
  <c r="M67" i="139"/>
  <c r="M107" i="139" s="1"/>
  <c r="M107" i="138"/>
  <c r="P62" i="138"/>
  <c r="M62" i="139"/>
  <c r="M102" i="139" s="1"/>
  <c r="M102" i="138"/>
  <c r="Q95" i="138"/>
  <c r="Q15" i="139"/>
  <c r="Q45" i="138"/>
  <c r="P77" i="138"/>
  <c r="M77" i="139"/>
  <c r="M117" i="139" s="1"/>
  <c r="M117" i="138"/>
  <c r="R70" i="138"/>
  <c r="P70" i="139"/>
  <c r="P110" i="139" s="1"/>
  <c r="Q21" i="139"/>
  <c r="Q101" i="139" s="1"/>
  <c r="Q101" i="138"/>
  <c r="N111" i="139"/>
  <c r="Q55" i="139"/>
  <c r="Q85" i="139" s="1"/>
  <c r="Q85" i="138"/>
  <c r="Q108" i="138"/>
  <c r="Q28" i="139"/>
  <c r="Q108" i="139" s="1"/>
  <c r="Q20" i="139"/>
  <c r="Q100" i="139" s="1"/>
  <c r="Q100" i="138"/>
  <c r="P55" i="139"/>
  <c r="R55" i="138"/>
  <c r="R95" i="138" s="1"/>
  <c r="Q39" i="139"/>
  <c r="Q119" i="139" s="1"/>
  <c r="Q119" i="138"/>
  <c r="Q110" i="138"/>
  <c r="Q30" i="139"/>
  <c r="Q110" i="139" s="1"/>
  <c r="M71" i="139"/>
  <c r="M111" i="139" s="1"/>
  <c r="P71" i="138"/>
  <c r="M111" i="138"/>
  <c r="V36" i="138"/>
  <c r="V36" i="139" s="1"/>
  <c r="R36" i="139"/>
  <c r="R124" i="138"/>
  <c r="V124" i="138" s="1"/>
  <c r="V44" i="138"/>
  <c r="N45" i="139"/>
  <c r="N47" i="139" s="1"/>
  <c r="N123" i="139"/>
  <c r="P65" i="138"/>
  <c r="M65" i="139"/>
  <c r="M105" i="139" s="1"/>
  <c r="M105" i="138"/>
  <c r="N101" i="139"/>
  <c r="Q96" i="138"/>
  <c r="Q117" i="138"/>
  <c r="R83" i="138"/>
  <c r="P83" i="139"/>
  <c r="P123" i="139" s="1"/>
  <c r="R43" i="138"/>
  <c r="N108" i="139"/>
  <c r="R34" i="138"/>
  <c r="Q32" i="139"/>
  <c r="Q112" i="139" s="1"/>
  <c r="Q112" i="138"/>
  <c r="R64" i="138"/>
  <c r="P64" i="139"/>
  <c r="P104" i="139" s="1"/>
  <c r="R33" i="138"/>
  <c r="N105" i="139"/>
  <c r="R32" i="138"/>
  <c r="Q19" i="139"/>
  <c r="Q99" i="139" s="1"/>
  <c r="Q99" i="138"/>
  <c r="P68" i="139"/>
  <c r="P108" i="139" s="1"/>
  <c r="R68" i="138"/>
  <c r="R108" i="138" s="1"/>
  <c r="V108" i="138" s="1"/>
  <c r="Q42" i="139"/>
  <c r="Q122" i="139" s="1"/>
  <c r="Q122" i="138"/>
  <c r="R29" i="139"/>
  <c r="V29" i="138"/>
  <c r="V29" i="139" s="1"/>
  <c r="R76" i="138"/>
  <c r="R116" i="138" s="1"/>
  <c r="V116" i="138" s="1"/>
  <c r="P76" i="139"/>
  <c r="P116" i="139" s="1"/>
  <c r="P80" i="139"/>
  <c r="P120" i="139" s="1"/>
  <c r="R80" i="138"/>
  <c r="N107" i="139"/>
  <c r="R30" i="138"/>
  <c r="R19" i="139"/>
  <c r="V19" i="138"/>
  <c r="V19" i="139" s="1"/>
  <c r="R99" i="138"/>
  <c r="V99" i="138" s="1"/>
  <c r="Q98" i="138"/>
  <c r="R20" i="139"/>
  <c r="V20" i="138"/>
  <c r="V20" i="139" s="1"/>
  <c r="R38" i="138"/>
  <c r="R35" i="139"/>
  <c r="V35" i="138"/>
  <c r="V35" i="139" s="1"/>
  <c r="Q96" i="139"/>
  <c r="Q117" i="139"/>
  <c r="Q27" i="139"/>
  <c r="Q107" i="139" s="1"/>
  <c r="Q107" i="138"/>
  <c r="V23" i="138"/>
  <c r="V23" i="139" s="1"/>
  <c r="R23" i="139"/>
  <c r="R16" i="139"/>
  <c r="V16" i="138"/>
  <c r="V16" i="139" s="1"/>
  <c r="P82" i="138"/>
  <c r="M82" i="139"/>
  <c r="M122" i="139" s="1"/>
  <c r="M122" i="138"/>
  <c r="N112" i="139"/>
  <c r="R57" i="138"/>
  <c r="P57" i="139"/>
  <c r="P97" i="139" s="1"/>
  <c r="R25" i="138"/>
  <c r="Q105" i="138"/>
  <c r="Q25" i="139"/>
  <c r="Q105" i="139" s="1"/>
  <c r="Q115" i="139"/>
  <c r="R40" i="138"/>
  <c r="M125" i="139" l="1"/>
  <c r="R45" i="138"/>
  <c r="V95" i="138"/>
  <c r="V70" i="138"/>
  <c r="V70" i="139" s="1"/>
  <c r="R70" i="139"/>
  <c r="P60" i="139"/>
  <c r="P100" i="139" s="1"/>
  <c r="R60" i="138"/>
  <c r="P100" i="138"/>
  <c r="R97" i="138"/>
  <c r="V97" i="138" s="1"/>
  <c r="R57" i="139"/>
  <c r="V57" i="138"/>
  <c r="V57" i="139" s="1"/>
  <c r="R32" i="139"/>
  <c r="V32" i="138"/>
  <c r="V32" i="139" s="1"/>
  <c r="V34" i="138"/>
  <c r="V34" i="139" s="1"/>
  <c r="R34" i="139"/>
  <c r="P62" i="139"/>
  <c r="P102" i="139" s="1"/>
  <c r="R62" i="138"/>
  <c r="P102" i="138"/>
  <c r="P61" i="139"/>
  <c r="P101" i="139" s="1"/>
  <c r="R61" i="138"/>
  <c r="P101" i="138"/>
  <c r="R73" i="139"/>
  <c r="V73" i="138"/>
  <c r="V73" i="139" s="1"/>
  <c r="V78" i="138"/>
  <c r="V78" i="139" s="1"/>
  <c r="R78" i="139"/>
  <c r="V59" i="138"/>
  <c r="V59" i="139" s="1"/>
  <c r="R59" i="139"/>
  <c r="R99" i="139" s="1"/>
  <c r="V99" i="139" s="1"/>
  <c r="P66" i="139"/>
  <c r="P106" i="139" s="1"/>
  <c r="R66" i="138"/>
  <c r="P106" i="138"/>
  <c r="V38" i="138"/>
  <c r="V38" i="139" s="1"/>
  <c r="R38" i="139"/>
  <c r="R118" i="138"/>
  <c r="V118" i="138" s="1"/>
  <c r="P115" i="138"/>
  <c r="P75" i="139"/>
  <c r="P115" i="139" s="1"/>
  <c r="R75" i="138"/>
  <c r="V15" i="139"/>
  <c r="R40" i="139"/>
  <c r="V40" i="138"/>
  <c r="V40" i="139" s="1"/>
  <c r="R120" i="138"/>
  <c r="V120" i="138" s="1"/>
  <c r="R43" i="139"/>
  <c r="V43" i="138"/>
  <c r="V43" i="139" s="1"/>
  <c r="R123" i="138"/>
  <c r="V123" i="138" s="1"/>
  <c r="P105" i="138"/>
  <c r="R65" i="138"/>
  <c r="R105" i="138" s="1"/>
  <c r="V105" i="138" s="1"/>
  <c r="P65" i="139"/>
  <c r="P105" i="139" s="1"/>
  <c r="V55" i="138"/>
  <c r="R55" i="139"/>
  <c r="R95" i="139" s="1"/>
  <c r="P77" i="139"/>
  <c r="P117" i="139" s="1"/>
  <c r="R77" i="138"/>
  <c r="P117" i="138"/>
  <c r="P114" i="138"/>
  <c r="R74" i="138"/>
  <c r="P74" i="139"/>
  <c r="P114" i="139" s="1"/>
  <c r="R80" i="139"/>
  <c r="V80" i="138"/>
  <c r="V80" i="139" s="1"/>
  <c r="V33" i="138"/>
  <c r="V33" i="139" s="1"/>
  <c r="R33" i="139"/>
  <c r="R113" i="138"/>
  <c r="V113" i="138" s="1"/>
  <c r="P85" i="138"/>
  <c r="P67" i="139"/>
  <c r="P107" i="139" s="1"/>
  <c r="R67" i="138"/>
  <c r="P107" i="138"/>
  <c r="R103" i="138"/>
  <c r="V103" i="138" s="1"/>
  <c r="R63" i="139"/>
  <c r="R103" i="139" s="1"/>
  <c r="V103" i="139" s="1"/>
  <c r="V63" i="138"/>
  <c r="V63" i="139" s="1"/>
  <c r="R17" i="139"/>
  <c r="V17" i="138"/>
  <c r="V17" i="139" s="1"/>
  <c r="P72" i="139"/>
  <c r="P112" i="139" s="1"/>
  <c r="R72" i="138"/>
  <c r="R112" i="138" s="1"/>
  <c r="V112" i="138" s="1"/>
  <c r="P112" i="138"/>
  <c r="P122" i="138"/>
  <c r="R82" i="138"/>
  <c r="P82" i="139"/>
  <c r="P122" i="139" s="1"/>
  <c r="R68" i="139"/>
  <c r="R108" i="139" s="1"/>
  <c r="V108" i="139" s="1"/>
  <c r="V68" i="138"/>
  <c r="V68" i="139" s="1"/>
  <c r="V83" i="138"/>
  <c r="V83" i="139" s="1"/>
  <c r="R83" i="139"/>
  <c r="P111" i="138"/>
  <c r="R71" i="138"/>
  <c r="P71" i="139"/>
  <c r="P111" i="139" s="1"/>
  <c r="Q95" i="139"/>
  <c r="Q125" i="139" s="1"/>
  <c r="Q45" i="139"/>
  <c r="N125" i="139"/>
  <c r="N131" i="139" s="1"/>
  <c r="V58" i="138"/>
  <c r="V58" i="139" s="1"/>
  <c r="R58" i="139"/>
  <c r="R98" i="139" s="1"/>
  <c r="V98" i="139" s="1"/>
  <c r="R79" i="139"/>
  <c r="R119" i="139" s="1"/>
  <c r="V119" i="139" s="1"/>
  <c r="V79" i="138"/>
  <c r="V79" i="139" s="1"/>
  <c r="M125" i="138"/>
  <c r="M127" i="139" s="1"/>
  <c r="M85" i="139"/>
  <c r="V24" i="138"/>
  <c r="V24" i="139" s="1"/>
  <c r="R24" i="139"/>
  <c r="R104" i="138"/>
  <c r="V104" i="138" s="1"/>
  <c r="V41" i="138"/>
  <c r="V41" i="139" s="1"/>
  <c r="R41" i="139"/>
  <c r="R64" i="139"/>
  <c r="V64" i="138"/>
  <c r="V64" i="139" s="1"/>
  <c r="Q125" i="138"/>
  <c r="P95" i="139"/>
  <c r="R98" i="138"/>
  <c r="V98" i="138" s="1"/>
  <c r="R30" i="139"/>
  <c r="V30" i="138"/>
  <c r="V30" i="139" s="1"/>
  <c r="R110" i="138"/>
  <c r="V110" i="138" s="1"/>
  <c r="R81" i="138"/>
  <c r="R121" i="138" s="1"/>
  <c r="V121" i="138" s="1"/>
  <c r="P81" i="139"/>
  <c r="P121" i="139" s="1"/>
  <c r="P121" i="138"/>
  <c r="V25" i="138"/>
  <c r="V25" i="139" s="1"/>
  <c r="R25" i="139"/>
  <c r="R76" i="139"/>
  <c r="R116" i="139" s="1"/>
  <c r="V116" i="139" s="1"/>
  <c r="V76" i="138"/>
  <c r="V76" i="139" s="1"/>
  <c r="P69" i="139"/>
  <c r="P109" i="139" s="1"/>
  <c r="R69" i="138"/>
  <c r="P109" i="138"/>
  <c r="P56" i="139"/>
  <c r="P96" i="139" s="1"/>
  <c r="R56" i="138"/>
  <c r="P96" i="138"/>
  <c r="R123" i="139" l="1"/>
  <c r="V123" i="139" s="1"/>
  <c r="Q127" i="139"/>
  <c r="R45" i="139"/>
  <c r="R104" i="139"/>
  <c r="V104" i="139" s="1"/>
  <c r="R122" i="138"/>
  <c r="V122" i="138" s="1"/>
  <c r="V82" i="138"/>
  <c r="V82" i="139" s="1"/>
  <c r="R82" i="139"/>
  <c r="R122" i="139" s="1"/>
  <c r="V122" i="139" s="1"/>
  <c r="R60" i="139"/>
  <c r="R100" i="139" s="1"/>
  <c r="V100" i="139" s="1"/>
  <c r="V60" i="138"/>
  <c r="V60" i="139" s="1"/>
  <c r="R100" i="138"/>
  <c r="V100" i="138" s="1"/>
  <c r="R56" i="139"/>
  <c r="R96" i="139" s="1"/>
  <c r="V96" i="139" s="1"/>
  <c r="V56" i="138"/>
  <c r="V56" i="139" s="1"/>
  <c r="R96" i="138"/>
  <c r="R71" i="139"/>
  <c r="R111" i="139" s="1"/>
  <c r="V111" i="139" s="1"/>
  <c r="V71" i="138"/>
  <c r="V71" i="139" s="1"/>
  <c r="R111" i="138"/>
  <c r="V111" i="138" s="1"/>
  <c r="V45" i="139"/>
  <c r="R66" i="139"/>
  <c r="R106" i="139" s="1"/>
  <c r="V106" i="139" s="1"/>
  <c r="V66" i="138"/>
  <c r="V66" i="139" s="1"/>
  <c r="R106" i="138"/>
  <c r="V106" i="138" s="1"/>
  <c r="R120" i="139"/>
  <c r="V120" i="139" s="1"/>
  <c r="V77" i="138"/>
  <c r="V77" i="139" s="1"/>
  <c r="R77" i="139"/>
  <c r="R117" i="139" s="1"/>
  <c r="V117" i="139" s="1"/>
  <c r="R117" i="138"/>
  <c r="V117" i="138" s="1"/>
  <c r="R115" i="138"/>
  <c r="V115" i="138" s="1"/>
  <c r="V75" i="138"/>
  <c r="V75" i="139" s="1"/>
  <c r="R75" i="139"/>
  <c r="R115" i="139" s="1"/>
  <c r="V115" i="139" s="1"/>
  <c r="R101" i="138"/>
  <c r="V101" i="138" s="1"/>
  <c r="V61" i="138"/>
  <c r="V61" i="139" s="1"/>
  <c r="R61" i="139"/>
  <c r="R101" i="139" s="1"/>
  <c r="V101" i="139" s="1"/>
  <c r="N127" i="139"/>
  <c r="R113" i="139"/>
  <c r="V113" i="139" s="1"/>
  <c r="P125" i="139"/>
  <c r="R72" i="139"/>
  <c r="R112" i="139" s="1"/>
  <c r="V112" i="139" s="1"/>
  <c r="V72" i="138"/>
  <c r="V72" i="139" s="1"/>
  <c r="V67" i="138"/>
  <c r="V67" i="139" s="1"/>
  <c r="R67" i="139"/>
  <c r="R107" i="139" s="1"/>
  <c r="V107" i="139" s="1"/>
  <c r="R107" i="138"/>
  <c r="V107" i="138" s="1"/>
  <c r="R110" i="139"/>
  <c r="V110" i="139" s="1"/>
  <c r="P85" i="139"/>
  <c r="P125" i="138"/>
  <c r="R69" i="139"/>
  <c r="R109" i="139" s="1"/>
  <c r="V109" i="139" s="1"/>
  <c r="V69" i="138"/>
  <c r="V69" i="139" s="1"/>
  <c r="R109" i="138"/>
  <c r="V109" i="138" s="1"/>
  <c r="V95" i="139"/>
  <c r="V65" i="138"/>
  <c r="V65" i="139" s="1"/>
  <c r="R65" i="139"/>
  <c r="R105" i="139" s="1"/>
  <c r="V105" i="139" s="1"/>
  <c r="V55" i="139"/>
  <c r="R118" i="139"/>
  <c r="V118" i="139" s="1"/>
  <c r="V62" i="138"/>
  <c r="V62" i="139" s="1"/>
  <c r="R62" i="139"/>
  <c r="R102" i="139" s="1"/>
  <c r="V102" i="139" s="1"/>
  <c r="R102" i="138"/>
  <c r="V102" i="138" s="1"/>
  <c r="R97" i="139"/>
  <c r="V97" i="139" s="1"/>
  <c r="R114" i="138"/>
  <c r="V114" i="138" s="1"/>
  <c r="V74" i="138"/>
  <c r="V74" i="139" s="1"/>
  <c r="R74" i="139"/>
  <c r="R114" i="139" s="1"/>
  <c r="V114" i="139" s="1"/>
  <c r="V45" i="138"/>
  <c r="P47" i="138" s="1"/>
  <c r="R81" i="139"/>
  <c r="R121" i="139" s="1"/>
  <c r="V121" i="139" s="1"/>
  <c r="V81" i="138"/>
  <c r="V81" i="139" s="1"/>
  <c r="R85" i="138"/>
  <c r="P127" i="139" l="1"/>
  <c r="V85" i="138"/>
  <c r="V85" i="139"/>
  <c r="R85" i="139"/>
  <c r="R125" i="139"/>
  <c r="V125" i="139"/>
  <c r="V96" i="138"/>
  <c r="V125" i="138" s="1"/>
  <c r="P127" i="138" s="1"/>
  <c r="R125" i="138"/>
  <c r="V127" i="139" l="1"/>
  <c r="R127" i="139"/>
  <c r="AA207" i="105" l="1"/>
  <c r="AB207" i="105" s="1"/>
  <c r="AB210" i="105" l="1"/>
  <c r="AB204" i="105"/>
  <c r="AC204" i="10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<sst xmlns="http://schemas.openxmlformats.org/spreadsheetml/2006/main" count="13343" uniqueCount="1897">
  <si>
    <t>Total</t>
  </si>
  <si>
    <t>Selected</t>
  </si>
  <si>
    <t>Prior</t>
  </si>
  <si>
    <t>Coverage</t>
  </si>
  <si>
    <t>Year</t>
  </si>
  <si>
    <t>CM</t>
  </si>
  <si>
    <t>Report</t>
  </si>
  <si>
    <t>Expected</t>
  </si>
  <si>
    <t>Retained</t>
  </si>
  <si>
    <t>Direct</t>
  </si>
  <si>
    <t>ILF</t>
  </si>
  <si>
    <t>Aggregate</t>
  </si>
  <si>
    <t>Reported</t>
  </si>
  <si>
    <t>Ceded</t>
  </si>
  <si>
    <t>Paid</t>
  </si>
  <si>
    <t>Excess</t>
  </si>
  <si>
    <t>Premium</t>
  </si>
  <si>
    <t>Net</t>
  </si>
  <si>
    <t>Difference</t>
  </si>
  <si>
    <t>Deductible</t>
  </si>
  <si>
    <t>$500,000</t>
  </si>
  <si>
    <t>$500,000 Paid</t>
  </si>
  <si>
    <t>Pattern</t>
  </si>
  <si>
    <t>$500,000 Reported</t>
  </si>
  <si>
    <t>Excess Paid</t>
  </si>
  <si>
    <t>Excess Reported</t>
  </si>
  <si>
    <t>Expected Losses - Connecticut</t>
  </si>
  <si>
    <t>(1)</t>
  </si>
  <si>
    <t>(8)  Lag Pattern</t>
  </si>
  <si>
    <t>Notes: (2)-(6)</t>
  </si>
  <si>
    <t>(7)</t>
  </si>
  <si>
    <t>(8)</t>
  </si>
  <si>
    <t>Lag</t>
  </si>
  <si>
    <t>(2)</t>
  </si>
  <si>
    <t>Provided by CMIC.</t>
  </si>
  <si>
    <t>(2) through (6) multiplied by lag factors in item (8).</t>
  </si>
  <si>
    <t>(3)</t>
  </si>
  <si>
    <t>1</t>
  </si>
  <si>
    <t>(4)</t>
  </si>
  <si>
    <t>2</t>
  </si>
  <si>
    <t>(5)</t>
  </si>
  <si>
    <t>3</t>
  </si>
  <si>
    <t>(6)</t>
  </si>
  <si>
    <t>4</t>
  </si>
  <si>
    <t>Exhibit P</t>
  </si>
  <si>
    <t>Sheet 2</t>
  </si>
  <si>
    <t>Class 1</t>
  </si>
  <si>
    <t>Mature</t>
  </si>
  <si>
    <t>Equivalents</t>
  </si>
  <si>
    <t>Summary</t>
  </si>
  <si>
    <t>Notes:</t>
  </si>
  <si>
    <t>(4)  (2) × (3).</t>
  </si>
  <si>
    <t>(6)  (4) × (5).</t>
  </si>
  <si>
    <t>Limits Pure</t>
  </si>
  <si>
    <t>Limits Expected</t>
  </si>
  <si>
    <t>Losses</t>
  </si>
  <si>
    <t>Sheet 1</t>
  </si>
  <si>
    <t>Indicated Ultimate Losses - Connecticut</t>
  </si>
  <si>
    <t>Bornhuetter-Ferguson Method - Paid</t>
  </si>
  <si>
    <t>$500,000 Limits</t>
  </si>
  <si>
    <t>(2)  From Exhibit P, Sheet 1, Column (4).</t>
  </si>
  <si>
    <t>(6)  (4) + (5).</t>
  </si>
  <si>
    <t>Percent</t>
  </si>
  <si>
    <t>Unpaid</t>
  </si>
  <si>
    <t>Actual</t>
  </si>
  <si>
    <t>Exhibit O</t>
  </si>
  <si>
    <t>Sheet 3</t>
  </si>
  <si>
    <t>Ultimate</t>
  </si>
  <si>
    <t>Bornhuetter-Ferguson Method - Reported</t>
  </si>
  <si>
    <t>Unreported</t>
  </si>
  <si>
    <t>Development Method</t>
  </si>
  <si>
    <t xml:space="preserve">NA </t>
  </si>
  <si>
    <t>Bornhuetter-Ferguson Method</t>
  </si>
  <si>
    <t>Indication</t>
  </si>
  <si>
    <t>(2)  From Exhibit P, Sheet 1, Column (6).</t>
  </si>
  <si>
    <t>Exhibit N</t>
  </si>
  <si>
    <t>Exhibit M</t>
  </si>
  <si>
    <t>Direct Limits</t>
  </si>
  <si>
    <t>Exhibit L</t>
  </si>
  <si>
    <t>Indicated</t>
  </si>
  <si>
    <t>Exhibit K</t>
  </si>
  <si>
    <t>Exhibit J</t>
  </si>
  <si>
    <t>Expected Ceded Losses - Connecticut</t>
  </si>
  <si>
    <t>Exhibit I</t>
  </si>
  <si>
    <t>Selected Reporting Pattern</t>
  </si>
  <si>
    <t>Ceded Limits</t>
  </si>
  <si>
    <t>Implied</t>
  </si>
  <si>
    <t>Reporting</t>
  </si>
  <si>
    <t>Exhibit H</t>
  </si>
  <si>
    <t>Sheet 6</t>
  </si>
  <si>
    <t>Selected Payment Pattern</t>
  </si>
  <si>
    <t>Payment</t>
  </si>
  <si>
    <t>Sheet 7</t>
  </si>
  <si>
    <t>Based on Reported Losses</t>
  </si>
  <si>
    <t>(6)  {[(2) + (3)] ÷ (4)} - (5).</t>
  </si>
  <si>
    <t>First Dollar</t>
  </si>
  <si>
    <t>Sheet 4</t>
  </si>
  <si>
    <t>Based on Paid Losses</t>
  </si>
  <si>
    <t>Sheet 5</t>
  </si>
  <si>
    <t>Ceded Paid</t>
  </si>
  <si>
    <t>Including</t>
  </si>
  <si>
    <t>Ceded Reported</t>
  </si>
  <si>
    <t>Exhibit G</t>
  </si>
  <si>
    <t>(9)</t>
  </si>
  <si>
    <t>Notes: (2)</t>
  </si>
  <si>
    <t>Exhibit E</t>
  </si>
  <si>
    <t>(10)</t>
  </si>
  <si>
    <t>Exhibit D</t>
  </si>
  <si>
    <t>(11)</t>
  </si>
  <si>
    <t>Ratio</t>
  </si>
  <si>
    <t>Selected ULAE Reserve Ratio - All States</t>
  </si>
  <si>
    <t>Direct Paid</t>
  </si>
  <si>
    <t>Reserves</t>
  </si>
  <si>
    <t>Paid ULAE</t>
  </si>
  <si>
    <t>Exhibit C</t>
  </si>
  <si>
    <t>Connecticut</t>
  </si>
  <si>
    <t>Exhibit B</t>
  </si>
  <si>
    <t>Reserve</t>
  </si>
  <si>
    <t>Net Limits</t>
  </si>
  <si>
    <t>Change</t>
  </si>
  <si>
    <t>(2) - (3).</t>
  </si>
  <si>
    <t>Exhibit A</t>
  </si>
  <si>
    <t>Evaluation</t>
  </si>
  <si>
    <t>Month</t>
  </si>
  <si>
    <t>Development</t>
  </si>
  <si>
    <t>Factor to</t>
  </si>
  <si>
    <t>Exhibit 1</t>
  </si>
  <si>
    <t>Exhibit 2</t>
  </si>
  <si>
    <t>Reconciliation of Schedule P</t>
  </si>
  <si>
    <t>Massachusetts added.</t>
  </si>
  <si>
    <t>Matches Exhibit O, Sheet 2 except occurrence included on a report year basis and</t>
  </si>
  <si>
    <t>Matches Exhibit N, Sheet 2 except occurrence included on a report year basis and</t>
  </si>
  <si>
    <t>Schedule P</t>
  </si>
  <si>
    <t>(3) - (2)</t>
  </si>
  <si>
    <t>(12)</t>
  </si>
  <si>
    <t>Appendix D</t>
  </si>
  <si>
    <t>(6) - (5)</t>
  </si>
  <si>
    <t>(13)</t>
  </si>
  <si>
    <t>Occurrence</t>
  </si>
  <si>
    <t>Case</t>
  </si>
  <si>
    <t>Selected $500,000 Limits Pure Premium</t>
  </si>
  <si>
    <t>Notes: (1)</t>
  </si>
  <si>
    <t>(2)x(3).</t>
  </si>
  <si>
    <t>(4)/(5).</t>
  </si>
  <si>
    <t>Reported Indications</t>
  </si>
  <si>
    <t>Paid Indications</t>
  </si>
  <si>
    <t>(8) Average</t>
  </si>
  <si>
    <t>Pure Premium</t>
  </si>
  <si>
    <t>Trended</t>
  </si>
  <si>
    <t>Exhibit N, Sheet 1.</t>
  </si>
  <si>
    <t>Appendix F</t>
  </si>
  <si>
    <t>Calculation of Indicated Reserve - Massachusetts</t>
  </si>
  <si>
    <t>Direct and Net Limits</t>
  </si>
  <si>
    <t>BF Method</t>
  </si>
  <si>
    <t>LDF Method</t>
  </si>
  <si>
    <t>Calendar</t>
  </si>
  <si>
    <t>(5)+(6).</t>
  </si>
  <si>
    <t>Expected Losses</t>
  </si>
  <si>
    <t>Selected Ultimate Ratio</t>
  </si>
  <si>
    <t>Exhibit 3</t>
  </si>
  <si>
    <t>Claims Made</t>
  </si>
  <si>
    <t>Direct and Net Limits - Claims Made</t>
  </si>
  <si>
    <t>Loss Ratio</t>
  </si>
  <si>
    <t xml:space="preserve">Ultimates Losses Based </t>
  </si>
  <si>
    <t>on Reported Losses</t>
  </si>
  <si>
    <t>Ultimate Losses Based on Paid Losses</t>
  </si>
  <si>
    <t>Ultimate Losses Based on Reported Losses</t>
  </si>
  <si>
    <t>(2) x [1.000-(3)].</t>
  </si>
  <si>
    <t>Selected Ultimate Losses</t>
  </si>
  <si>
    <t>on Paid Losses</t>
  </si>
  <si>
    <t>Report Year</t>
  </si>
  <si>
    <t>Ultimates</t>
  </si>
  <si>
    <t>Appendix G, Exhibit 2, Sheet 1.</t>
  </si>
  <si>
    <t>Appendix G, Exhibit 3, Sheet 1.</t>
  </si>
  <si>
    <t>(2)+(3).</t>
  </si>
  <si>
    <t>Payment Pattern</t>
  </si>
  <si>
    <t>Reporting Pattern</t>
  </si>
  <si>
    <t>Earned</t>
  </si>
  <si>
    <t>Calculation of Indicated Reserve - Miscellaneous</t>
  </si>
  <si>
    <t>Based on expected loss ratio used in pricing.</t>
  </si>
  <si>
    <t>Notes: (2)-(4)</t>
  </si>
  <si>
    <t xml:space="preserve">Calculation of Indicated Reserve </t>
  </si>
  <si>
    <t>Indicated.</t>
  </si>
  <si>
    <t>Change in Ultimate Losses</t>
  </si>
  <si>
    <t>Prior Ultimate Losses</t>
  </si>
  <si>
    <t>Prior Unpaid</t>
  </si>
  <si>
    <t>(5)-(7)</t>
  </si>
  <si>
    <t>Based on data provided by CMIC.</t>
  </si>
  <si>
    <t>(2)  Exhibit N, Sheet 3, Column (5) ÷ [1.0 - Column (3)].</t>
  </si>
  <si>
    <t>(3)  Exhibit N, Sheet 2, Column (5) ÷ [1.0 - Column (3)].</t>
  </si>
  <si>
    <t>(4)  From Exhibit N, Sheet 3, Column (6).</t>
  </si>
  <si>
    <t>(5)  From Exhibit N, Sheet 2, Column (6).</t>
  </si>
  <si>
    <t>(2)  Exhibit O, Sheet 3, Column (5) ÷ [1.0 - Column (3)].</t>
  </si>
  <si>
    <t>(3)  Exhibit O, Sheet 2, Column (5) ÷ [1.0 - Column (3)].</t>
  </si>
  <si>
    <t>(4)  From Exhibit O, Sheet 3, Column (6).</t>
  </si>
  <si>
    <t>(5)  From Exhibit O, Sheet 2, Column (6).</t>
  </si>
  <si>
    <t>(8)-(10)</t>
  </si>
  <si>
    <t>Difference (Schedule P - Actual)</t>
  </si>
  <si>
    <t>ERE</t>
  </si>
  <si>
    <t>Claims-Made Only</t>
  </si>
  <si>
    <t>$500,000 Limits - CM</t>
  </si>
  <si>
    <t>Excess Limits - CM</t>
  </si>
  <si>
    <t>NA</t>
  </si>
  <si>
    <t>Accident</t>
  </si>
  <si>
    <t>Occ</t>
  </si>
  <si>
    <t>Expected Percent Reported</t>
  </si>
  <si>
    <t>Expected Percent Paid</t>
  </si>
  <si>
    <t>Development of Reported Patterns</t>
  </si>
  <si>
    <t>Development of Payment Patterns</t>
  </si>
  <si>
    <t>CT Phy</t>
  </si>
  <si>
    <t>Based on data evaluated as of 11/30.</t>
  </si>
  <si>
    <t>1.000 ÷ (2).</t>
  </si>
  <si>
    <t>Based on data evaluated as of 12/31.</t>
  </si>
  <si>
    <t>Occurrence and ERE</t>
  </si>
  <si>
    <t xml:space="preserve">     Occurrence</t>
  </si>
  <si>
    <t xml:space="preserve">     ERE</t>
  </si>
  <si>
    <t>Claims Made Losses</t>
  </si>
  <si>
    <t>Percentage</t>
  </si>
  <si>
    <t>(3) ÷ (2).</t>
  </si>
  <si>
    <t>[(2) × (3)] + (4) - (5).</t>
  </si>
  <si>
    <t>Exhibit G, Sheet 3, Column (6).</t>
  </si>
  <si>
    <t>Exhibit G, Sheet 2, Column (6).</t>
  </si>
  <si>
    <t>(2)/(3).</t>
  </si>
  <si>
    <t>Paid Loss Projection - Connecticut CM Only</t>
  </si>
  <si>
    <t>Reported Loss Projection - Connecticut CM Only</t>
  </si>
  <si>
    <t xml:space="preserve">    Exhibit F</t>
  </si>
  <si>
    <t>Claims Made Ceded Losses</t>
  </si>
  <si>
    <t>CT ERE</t>
  </si>
  <si>
    <t>Selection of ALAE to Indemnity and ALAE IBNR Ratio</t>
  </si>
  <si>
    <t>(2) + (3) + (4).</t>
  </si>
  <si>
    <t>Exhibit G, Sheet 3, Column (5).</t>
  </si>
  <si>
    <t>Exhibit G, Sheet 2, Column (5).</t>
  </si>
  <si>
    <t>Exhibit I,  Sheet 1, Column (6).</t>
  </si>
  <si>
    <t>Exhibit H, Sheet 5, Column (6).</t>
  </si>
  <si>
    <t>Exhibit H, Sheet 4, Column (6).</t>
  </si>
  <si>
    <t>Exhibit H, Sheet 3, Column (6).</t>
  </si>
  <si>
    <t>Exhibit H, Sheet 2, Column (6).</t>
  </si>
  <si>
    <t>1.0 - Exhibit H, Sheet 6, Column (6).</t>
  </si>
  <si>
    <t>1.0 - Exhibit H, Sheet 7, Column (6).</t>
  </si>
  <si>
    <t>(4)  Exhibit H, Sheet 6, Column (6).</t>
  </si>
  <si>
    <t>(4)  Exhibit H, Sheet 7, Column (6).</t>
  </si>
  <si>
    <t>Exhibit K.</t>
  </si>
  <si>
    <t>Exhibit O, Sheet 1, Column (6).</t>
  </si>
  <si>
    <t>Exhibit N, Sheet 1, Column (6).</t>
  </si>
  <si>
    <t>Exhibit M, Sheet 1, Column (6).</t>
  </si>
  <si>
    <t>Exhibit L, Sheet 1, Column (6).</t>
  </si>
  <si>
    <t>(4)+(7).</t>
  </si>
  <si>
    <t>(2)  Exhibit L, Sheet 3, Column (5) ÷ [1.0 - Column (3)].</t>
  </si>
  <si>
    <t>(3)  Exhibit L, Sheet 2, Column (5) ÷ [1.0 - Column (3)].</t>
  </si>
  <si>
    <t>(4)  From Exhibit L, Sheet 3, Column (6).</t>
  </si>
  <si>
    <t>(5)  From Exhibit L, Sheet 2, Column (6).</t>
  </si>
  <si>
    <t>(2)  From Exhibit P, Sheet 2, Column (6).</t>
  </si>
  <si>
    <t>(2)  Exhibit M, Sheet 3, Column (5) ÷ [1.0 - Column (3)].</t>
  </si>
  <si>
    <t>(3)  Exhibit M, Sheet 2, Column (5) ÷ [1.0 - Column (3)].</t>
  </si>
  <si>
    <t>(4)  From Exhibit M, Sheet 3, Column (6).</t>
  </si>
  <si>
    <t>(5)  From Exhibit M, Sheet 2, Column (6).</t>
  </si>
  <si>
    <t>CMIC</t>
  </si>
  <si>
    <t>Rightward sum of (9).</t>
  </si>
  <si>
    <t>Exhibit 6</t>
  </si>
  <si>
    <t>MA Phy</t>
  </si>
  <si>
    <t>Paid Losses</t>
  </si>
  <si>
    <t>Reported Losses</t>
  </si>
  <si>
    <t>(3) + (4) + (5) - (2).</t>
  </si>
  <si>
    <t>Ceded Losses</t>
  </si>
  <si>
    <t>Exhibit G.</t>
  </si>
  <si>
    <t>(6) - (5).</t>
  </si>
  <si>
    <t>Exhibit H.</t>
  </si>
  <si>
    <t>Total from Exhibits L and M.</t>
  </si>
  <si>
    <t>Medical Professional Liability - Claims-Made and Occurrence Combined ($000's)</t>
  </si>
  <si>
    <t>From Exhibit G, Sheet 1, Column (8).</t>
  </si>
  <si>
    <t>Unpaid Losses</t>
  </si>
  <si>
    <t>Comparison of Ultimate Losses - Connecticut</t>
  </si>
  <si>
    <t>Selected Ceded Limits Ultimate Losses</t>
  </si>
  <si>
    <t>(2)-(5).</t>
  </si>
  <si>
    <t>(3)-(6).</t>
  </si>
  <si>
    <t>Actual Paid Losses</t>
  </si>
  <si>
    <t>Indicated Unpaid Losses</t>
  </si>
  <si>
    <t>(4)-(7).</t>
  </si>
  <si>
    <t>Issue</t>
  </si>
  <si>
    <t>MA</t>
  </si>
  <si>
    <t>DD&amp;R</t>
  </si>
  <si>
    <t>Exhibit 7</t>
  </si>
  <si>
    <t>Actuarial Report</t>
  </si>
  <si>
    <t>[(2) × (3)] + (4).</t>
  </si>
  <si>
    <t>Loss</t>
  </si>
  <si>
    <t>Quota</t>
  </si>
  <si>
    <t>Share</t>
  </si>
  <si>
    <t>Assumed</t>
  </si>
  <si>
    <t>Net Share</t>
  </si>
  <si>
    <t>(2) x (3).</t>
  </si>
  <si>
    <t>Ultimate Losses - Net Limits</t>
  </si>
  <si>
    <t>Ultimate Losses - Direct Limits</t>
  </si>
  <si>
    <t>Ultimate Losses - Net and Direct Limits</t>
  </si>
  <si>
    <t>Calculation of Indicated Reserve</t>
  </si>
  <si>
    <t>A. RRG Medical Malpractice CM</t>
  </si>
  <si>
    <t>B. RRG Medical ID CM</t>
  </si>
  <si>
    <t>C. RRG Administrative Expense</t>
  </si>
  <si>
    <t>D. Total</t>
  </si>
  <si>
    <t>Direct Ratio</t>
  </si>
  <si>
    <t>Paid Ceded</t>
  </si>
  <si>
    <t>From Exhibit F, Column (4).</t>
  </si>
  <si>
    <t>(2) x (3) x (4).</t>
  </si>
  <si>
    <t>LDF</t>
  </si>
  <si>
    <t>Assumed From RRG - CM</t>
  </si>
  <si>
    <t>Appendix F, Exhibit 2, Sheet 1.</t>
  </si>
  <si>
    <t>Appendix F, Exhibit 3, Sheet 1.</t>
  </si>
  <si>
    <t>Calculation of Indicated Unpaid Losses - All States</t>
  </si>
  <si>
    <t>HPL in Massachusetts</t>
  </si>
  <si>
    <t>(2) trended at selected trend rate of 1.0%.</t>
  </si>
  <si>
    <t>From Exhibit H, Sheet 1, Column (6). There are no reported losses anticipated to exceed the retained annual aggregate limit.</t>
  </si>
  <si>
    <t>Current Ultimate Losses</t>
  </si>
  <si>
    <t>CMIC assumed provided by CMIC. Administrative expense and Med ID is not assumed from RRG.</t>
  </si>
  <si>
    <t>Comparison of Ultimate Losses</t>
  </si>
  <si>
    <t>(4)-(5).</t>
  </si>
  <si>
    <t>BF Ultimate</t>
  </si>
  <si>
    <t>Based on most recent average expected loss ratio used in pricing, historical pricing levels, 2.0% trend, and actual experience to date.</t>
  </si>
  <si>
    <t>(11) - (7).</t>
  </si>
  <si>
    <t>(4)x[100%-(6)] + (7).</t>
  </si>
  <si>
    <t>(4)x[100%-(5)] + (7).</t>
  </si>
  <si>
    <t>(12) - (8).</t>
  </si>
  <si>
    <t>(5)x[100%-(6)] + (8).</t>
  </si>
  <si>
    <t>Adjusted</t>
  </si>
  <si>
    <t>Notes: (2)-(10)</t>
  </si>
  <si>
    <t>(5)-(6)</t>
  </si>
  <si>
    <t>(7)-(9)</t>
  </si>
  <si>
    <t>Direct and Net Limits - MPL CM</t>
  </si>
  <si>
    <t>Direct and Net Limits - MPL Total</t>
  </si>
  <si>
    <t>Ultimate Losses and Unpaid Losses - MPL CM</t>
  </si>
  <si>
    <t>Notes: (2)-(3)</t>
  </si>
  <si>
    <t>RRG CM</t>
  </si>
  <si>
    <t>Unemerged</t>
  </si>
  <si>
    <t xml:space="preserve">Unemerged </t>
  </si>
  <si>
    <t>Direct Limits Ultimate Losses</t>
  </si>
  <si>
    <t>Expected Percentage Unemerged</t>
  </si>
  <si>
    <t>Prior Acts</t>
  </si>
  <si>
    <t>and Prior</t>
  </si>
  <si>
    <t>Acts Exposure</t>
  </si>
  <si>
    <t>Exhibit F</t>
  </si>
  <si>
    <t>Inception</t>
  </si>
  <si>
    <t>Number of Years of Prior Acts</t>
  </si>
  <si>
    <t>5 or More</t>
  </si>
  <si>
    <t>B. Tail Factor Relative to Occurrence</t>
  </si>
  <si>
    <t>Sum product of A and B.</t>
  </si>
  <si>
    <t>Prior Acts Implied Premium</t>
  </si>
  <si>
    <t>(9) Relativity</t>
  </si>
  <si>
    <t>(14)</t>
  </si>
  <si>
    <t>(13) - (7).</t>
  </si>
  <si>
    <t>(11) + (12).</t>
  </si>
  <si>
    <t>CT ERE/Occ</t>
  </si>
  <si>
    <t>(8)  (6) × (7).</t>
  </si>
  <si>
    <t>ERE/Occurrence</t>
  </si>
  <si>
    <t>ERE/Share</t>
  </si>
  <si>
    <t>$500,000 Limits - ERE/Occurrence</t>
  </si>
  <si>
    <t>Excess Limits - ERE/Occurrence</t>
  </si>
  <si>
    <t>(2) - (4) times (1.000 minus occurrence emergence pattern on Appendix A, Exhibit 5).</t>
  </si>
  <si>
    <t>Indicated Percentage of Unemerged Losses in CMIC Unpaid Losses</t>
  </si>
  <si>
    <t>CT ERE/</t>
  </si>
  <si>
    <t>ERE/Share of</t>
  </si>
  <si>
    <t>ERE/Occurrence Losses</t>
  </si>
  <si>
    <t>ERE/Occurrence Ceded Losses</t>
  </si>
  <si>
    <t xml:space="preserve">(6) - (5). </t>
  </si>
  <si>
    <t xml:space="preserve">       to reflect a prior acts coverage for a large group.</t>
  </si>
  <si>
    <t>(5)-(2).</t>
  </si>
  <si>
    <t>(6)-(3).</t>
  </si>
  <si>
    <t>Based on product of (5) and ERE emergence pattern  adjusted to mid year basis</t>
  </si>
  <si>
    <t>Exhibit L, Sheet 2, Column (3).</t>
  </si>
  <si>
    <t>Exhibit L, Sheet 3, Column (3).</t>
  </si>
  <si>
    <t>(7)-(4).</t>
  </si>
  <si>
    <t>(8)-(5).</t>
  </si>
  <si>
    <t>(9)-(6).</t>
  </si>
  <si>
    <t>Basic/XS</t>
  </si>
  <si>
    <t>All Other</t>
  </si>
  <si>
    <t>MA-Phy CM</t>
  </si>
  <si>
    <t>MA-Phy Occ</t>
  </si>
  <si>
    <t>wo DD&amp;R Change</t>
  </si>
  <si>
    <t>Notes: (2),(3)</t>
  </si>
  <si>
    <t>(2)+(3)+(4).</t>
  </si>
  <si>
    <t>(6).</t>
  </si>
  <si>
    <t>(11)-(10)-(8).</t>
  </si>
  <si>
    <t>(12) - (11).</t>
  </si>
  <si>
    <t>Increase in earned premium due to change in DD&amp;R reserve from Schedule P Interrogatories.</t>
  </si>
  <si>
    <t>IBNR</t>
  </si>
  <si>
    <t>A. Initial Occurrence Direct Limits Written Premium</t>
  </si>
  <si>
    <t>A. Initial written occurrence premium for policies with retroactive dates prior to inception</t>
  </si>
  <si>
    <t>(8) ULAE Reserve</t>
  </si>
  <si>
    <t>Ultimate and Unpaid Losses - Total</t>
  </si>
  <si>
    <t>(9) Total Indicated Unpaid</t>
  </si>
  <si>
    <t>(4)-(3).</t>
  </si>
  <si>
    <t>(2)-(4).</t>
  </si>
  <si>
    <t>(2)-(3).</t>
  </si>
  <si>
    <t>Total of  Exhibit B, Sheets 2 and 3.</t>
  </si>
  <si>
    <t>Ultimate Losses and Unpaid Losses - MPL MCM</t>
  </si>
  <si>
    <t>A. RRG Medical Malpractice MCM</t>
  </si>
  <si>
    <t>B. RRG Medical ID MCM</t>
  </si>
  <si>
    <t>Direct and Net Limits - MPL MCM</t>
  </si>
  <si>
    <t>MCM</t>
  </si>
  <si>
    <t>Assumed From RRG - MCM</t>
  </si>
  <si>
    <t>$500,000 Limits - Connecticut</t>
  </si>
  <si>
    <t>$500,000 Limits - Massachusetts</t>
  </si>
  <si>
    <t>Excess Limits - Connecticut</t>
  </si>
  <si>
    <t xml:space="preserve">      Sheet 1 by ERE/Occurrence weights on Exhibit P, Sheet 2.</t>
  </si>
  <si>
    <t xml:space="preserve">      Sheet 1, by ERE/Occurrence weights on Exhibit P, Sheet 2.</t>
  </si>
  <si>
    <t>Appendix A, Exhibit 2, Sheet 1 for claims made lengthened 2 months for net.</t>
  </si>
  <si>
    <t>Appendix A, Exhibit 1, Sheet 1 for claims made lengthened 2 months for net.</t>
  </si>
  <si>
    <t>Appendix A, Exhibit 2, Sheet 1, for claims made lengthened 3 months for direct.</t>
  </si>
  <si>
    <t>Appendix A, Exhibit 1, Sheet 1 for claims made lengthened 3 months for direct.</t>
  </si>
  <si>
    <t>Appendix A, Exhibit 1, Sheet 1, Column (5).</t>
  </si>
  <si>
    <t>Development of Emergence Patterns - Connecticut</t>
  </si>
  <si>
    <t>Development of Emergence Patterns - Massachusetts</t>
  </si>
  <si>
    <t>(2) trended at selected trend rate of 2.0%.</t>
  </si>
  <si>
    <t>1 - Cumulative Occurrence pattern on Appendix A, Exhibit 5, Sheet 2,</t>
  </si>
  <si>
    <t>1 - Cumulative Tail pattern on Appendix A, Exhibit 5, Sheet 1 adjusted to a mid-year issue date.</t>
  </si>
  <si>
    <t>Based on Massachusetts emergence and 2.0% trend.</t>
  </si>
  <si>
    <t>(9) Sum of Above for Emergence by Year</t>
  </si>
  <si>
    <t>(10) Emergence Pattern by Year</t>
  </si>
  <si>
    <t>(11) Cumulative Emergence Pattern</t>
  </si>
  <si>
    <t>(12) Pure Premium Factors Relative to Claims Made</t>
  </si>
  <si>
    <t>(13) Pure Premium Factors Relative to Occurrence</t>
  </si>
  <si>
    <t>(3)-(7)</t>
  </si>
  <si>
    <t>Occurrence based on Occurrence Year 6 and ERE from total starting in Report</t>
  </si>
  <si>
    <t>Year 7.</t>
  </si>
  <si>
    <t>(9) balance to 100.0%.</t>
  </si>
  <si>
    <t>Rightward sum of (10).</t>
  </si>
  <si>
    <t>(12) for ERE divided by total for occurrence.</t>
  </si>
  <si>
    <t>Based on Connecticut emergence and 1.0% trend.</t>
  </si>
  <si>
    <t>(14) Change</t>
  </si>
  <si>
    <t>Exhibit J.</t>
  </si>
  <si>
    <t>(2)+(3)+(4)+(5)+(6).</t>
  </si>
  <si>
    <t>(2) minus Exhibit E.</t>
  </si>
  <si>
    <t>(8)+(9)+(10)+(11)+(12).</t>
  </si>
  <si>
    <t>(8)-(12)</t>
  </si>
  <si>
    <t>Current Indicated Ultimate Losses</t>
  </si>
  <si>
    <t>Prior Indicated Ultimate Losses</t>
  </si>
  <si>
    <t>Exhibit B, Sheet 2, Column (13).</t>
  </si>
  <si>
    <t>Exhibit B, Sheet 2, Column (7).</t>
  </si>
  <si>
    <t>date of policy provided by CMIC. B. From Appendix A, Exhibit 5, Sheet 1 of</t>
  </si>
  <si>
    <t>(9) RRG Direct Unpaid Losses</t>
  </si>
  <si>
    <t>(10) CMIC Only Direct Unpaid Losses</t>
  </si>
  <si>
    <t>(11) Indicated ERE/MQI Unemerged Reserve Percentage</t>
  </si>
  <si>
    <t>Total (7) / (10)</t>
  </si>
  <si>
    <t>(8) - (9).</t>
  </si>
  <si>
    <t>Exhibit A, Sheet 2.</t>
  </si>
  <si>
    <t>Exhibit P, Sheet 2.</t>
  </si>
  <si>
    <t>Appendix F, Exhibit 2, Sheet 1 plus Appendix F, Exhibit 3, Sheet 1.</t>
  </si>
  <si>
    <t>Total Limits - Massachusetts</t>
  </si>
  <si>
    <t>on direct shortened 1 month.</t>
  </si>
  <si>
    <t>{(2) + [(3) x [100%-(4)]} x (5) + (3) x (4) x (6).</t>
  </si>
  <si>
    <t>(4)x[100%-(7)] + (8). Minimum value is paid.</t>
  </si>
  <si>
    <t>(5)x[100%-(7)] + (9). Minimum value is paid.</t>
  </si>
  <si>
    <t>(4)x[100%-(6)] + (8). Minimum value is paid.</t>
  </si>
  <si>
    <t xml:space="preserve">(5)x[100%-(7)] + (9). Minimum value is paid. </t>
  </si>
  <si>
    <t xml:space="preserve">(4)x[100%-(6)] + (8). Minimum value of paid. </t>
  </si>
  <si>
    <t xml:space="preserve">                                               </t>
  </si>
  <si>
    <t>Exhibit P, Sheet 3, Column (7).</t>
  </si>
  <si>
    <t>(8) Total Direct and Assumed Unpaid Losses</t>
  </si>
  <si>
    <t>Appendix A, Exhibit 2, Sheet 1 for occurrence lengthened 3 months for direct. Med ID and AD assume 12 months faster than MM. 2015 and 2016 use tail patterns.</t>
  </si>
  <si>
    <t>Appendix A, Exhibit 1, Sheet 1 for occurrence lengthened 3 months for direct. Med ID and AD assume 12 months faster than MM. 2015 and 2016 use tail patterns</t>
  </si>
  <si>
    <t>Appendix A, Exhibit 2, Sheet 1 for occurrence lengthened 2 months for net. Med ID and AA assumed 12 months faster than MM. 2015 and 2016 use tail patterns.</t>
  </si>
  <si>
    <t>Appendix A, Exhibit 1, Sheet 1 for occurrence lengthened 2 months for net. Med ID and AA assumed 12 months faster than MM. 2015 and 2016 use tail patterns.</t>
  </si>
  <si>
    <t>Gross</t>
  </si>
  <si>
    <t>Direct and Assumed Limits</t>
  </si>
  <si>
    <t>(7)  ULAE Reserves</t>
  </si>
  <si>
    <t>(8)  ECO/EPL Reserve</t>
  </si>
  <si>
    <t>(9)  Total</t>
  </si>
  <si>
    <t>(2) - (3) - (4).</t>
  </si>
  <si>
    <t>Exhibit A, Sheet 2, Items (7) and (8).</t>
  </si>
  <si>
    <t>Total (6) + (7) + (8).</t>
  </si>
  <si>
    <t>(10)  Total</t>
  </si>
  <si>
    <t xml:space="preserve"> (9)  ECO/EPL Reserve</t>
  </si>
  <si>
    <t>Total (6) + (7) + (8) + (9).</t>
  </si>
  <si>
    <t>Based on limit distribution and ILFs. Medical ID is 100% reinsured. Assumes 2.5% clash recovery based on CMIC Connecticut experience.</t>
  </si>
  <si>
    <t>Reconciliation of Development Data and December 31, 2019 Data</t>
  </si>
  <si>
    <t>(4) / [100.0% - (3)].</t>
  </si>
  <si>
    <t>(6) - Ceded expected losses from Exhibit G, Sheet 2, Column (2) x  (7).</t>
  </si>
  <si>
    <t>A. RRG Medical Malpractice</t>
  </si>
  <si>
    <t>B. RRG Medical ID</t>
  </si>
  <si>
    <t>Direct based on claims-made pattern from Appendix A, Exhibit 4, Sheet 2, and net based on direct shortened 1 month.</t>
  </si>
  <si>
    <t>Direct based on claims-made pattern from Appendix A, Exhibit 3, Sheet 2, and net based direct shortened on 1 month.</t>
  </si>
  <si>
    <t>RRG MCM</t>
  </si>
  <si>
    <t>From Schedule P of 2019 Annual Statement.</t>
  </si>
  <si>
    <t xml:space="preserve">From CMIC Basic/XS Premium Report. Excludes DD&amp;R Changes. </t>
  </si>
  <si>
    <t xml:space="preserve">From CMIC Basic/XS Premium Report. Includes DD&amp;R Changes. </t>
  </si>
  <si>
    <t xml:space="preserve">Exhibit B, Sheet 2. </t>
  </si>
  <si>
    <t>(2)  From Exhibit P, Sheet 3, Column (7).</t>
  </si>
  <si>
    <t>(5)  [((9) x (2)) /((9) x(2) + (9) x (3))]</t>
  </si>
  <si>
    <t>(2)  From Exhibit P, Sheet 2, Column (8).</t>
  </si>
  <si>
    <t>1992-2019</t>
  </si>
  <si>
    <t>trend=</t>
  </si>
  <si>
    <t>12/2019</t>
  </si>
  <si>
    <t xml:space="preserve">  Notes:  (2)</t>
  </si>
  <si>
    <t>N/A</t>
  </si>
  <si>
    <t>Direct and Net Limits - MCM</t>
  </si>
  <si>
    <t>Emergence</t>
  </si>
  <si>
    <t xml:space="preserve">Direct equals (2) x (3). Net equals Direct times </t>
  </si>
  <si>
    <t>based on increased limits data.</t>
  </si>
  <si>
    <t>Note: Original footnote had .783 but calsc used 781</t>
  </si>
  <si>
    <t>Reconciliation of Development Data and December 31, 2020 Data</t>
  </si>
  <si>
    <t>11/30/20</t>
  </si>
  <si>
    <t>WTW original footnote was wrong</t>
  </si>
  <si>
    <t>Appendix B, Exhibit 1+Appendix B, Exhbit 5</t>
  </si>
  <si>
    <t>Appendix B, Exhibit 2+Appendix B, Exhbit 5</t>
  </si>
  <si>
    <t>Appendix B, Exhibit 3 +Appendix B, Exhibt 7-Appendix B, Exhibt 5</t>
  </si>
  <si>
    <t>Appendix B, Exhibit 4 +Appendix B, Exhibt8-Appendix B, Exhibt 5</t>
  </si>
  <si>
    <t>Total from Exhibits N and O.</t>
  </si>
  <si>
    <t>WTW had footnote wrong</t>
  </si>
  <si>
    <t>MA MCM</t>
  </si>
  <si>
    <t>Total 1992-2019 minus total on Exhibit B, Sheet 3.</t>
  </si>
  <si>
    <t>minus</t>
  </si>
  <si>
    <t>EP2</t>
  </si>
  <si>
    <t>AA11</t>
  </si>
  <si>
    <t>AA21</t>
  </si>
  <si>
    <t>AA41</t>
  </si>
  <si>
    <t>AA31</t>
  </si>
  <si>
    <t>AA51</t>
  </si>
  <si>
    <t>Interpolated</t>
  </si>
  <si>
    <t>----------------------------------------------------------------------------------Direct Paids-------------------------------------------------------------------------------------------------------</t>
  </si>
  <si>
    <t>CT500KCM</t>
  </si>
  <si>
    <t>CTXSCM</t>
  </si>
  <si>
    <t>CT500KOC</t>
  </si>
  <si>
    <t>CTXSOC</t>
  </si>
  <si>
    <t>MAPSCM</t>
  </si>
  <si>
    <t>MAPSOC</t>
  </si>
  <si>
    <t>HPL</t>
  </si>
  <si>
    <t>TOTAL</t>
  </si>
  <si>
    <t>INDEMNITY</t>
  </si>
  <si>
    <t>REPORTED</t>
  </si>
  <si>
    <t>SCd X</t>
  </si>
  <si>
    <t xml:space="preserve">OC TOT </t>
  </si>
  <si>
    <t>EXPENSE</t>
  </si>
  <si>
    <t>Provided by CMIC Schedule X.</t>
  </si>
  <si>
    <t>Provided by CMIC Schedule X</t>
  </si>
  <si>
    <t>MA CM</t>
  </si>
  <si>
    <t>EA2</t>
  </si>
  <si>
    <t>Provided by CMIC internal Premium Reports. Excludes change in unearned premium for DD&amp;R provision.</t>
  </si>
  <si>
    <t>CMIC assumed provided by CMIC Schedule X. Administrative expense is not assumed from RRG.</t>
  </si>
  <si>
    <t>December 31, 2020 CMIC report.</t>
  </si>
  <si>
    <t>Excludes $3,809 of MA OCC EP</t>
  </si>
  <si>
    <t>Patern</t>
  </si>
  <si>
    <t>E. ULAE Reserve=</t>
  </si>
  <si>
    <t>CM Paid</t>
  </si>
  <si>
    <t>CM Reported</t>
  </si>
  <si>
    <t>FromA A21</t>
  </si>
  <si>
    <t>From AA11</t>
  </si>
  <si>
    <t>----------------------------------------------------------------------------------Case Outstanding-------------------------------------------------------------------------------------------------------</t>
  </si>
  <si>
    <t>----------------------------------------------------------------------------------Direct Reported-------------------------------------------------------------------------------------------------------</t>
  </si>
  <si>
    <t>----------------------------------------------------------------------------------Ultimates-------------------------------------------------------------------------------------------------------</t>
  </si>
  <si>
    <t>CT IBNR-</t>
  </si>
  <si>
    <t>MA IBNR=</t>
  </si>
  <si>
    <t>CT O/S=</t>
  </si>
  <si>
    <t>MA O/S=</t>
  </si>
  <si>
    <t>A51</t>
  </si>
  <si>
    <t xml:space="preserve">Interpolated </t>
  </si>
  <si>
    <t>to</t>
  </si>
  <si>
    <t>Midyear</t>
  </si>
  <si>
    <t>Weighted</t>
  </si>
  <si>
    <t>wtw divded by the "5" year, or .995. See Bryan's e amil, should have been 1.039</t>
  </si>
  <si>
    <t>See WTW E mail with ILF Derivation</t>
  </si>
  <si>
    <t>See WTW e mail for backup</t>
  </si>
  <si>
    <t>Interpolated based on (3). Assumes a Covid lag of</t>
  </si>
  <si>
    <t>months.</t>
  </si>
  <si>
    <t>Large Claim:</t>
  </si>
  <si>
    <t>Large</t>
  </si>
  <si>
    <t>Non-Large</t>
  </si>
  <si>
    <t>AvE</t>
  </si>
  <si>
    <t>Initial</t>
  </si>
  <si>
    <t>Claim</t>
  </si>
  <si>
    <t>Indemnity</t>
  </si>
  <si>
    <t>Expense</t>
  </si>
  <si>
    <t>Harrington MCM</t>
  </si>
  <si>
    <t>Internal Premium Report.</t>
  </si>
  <si>
    <t>Individual Account Sched X.</t>
  </si>
  <si>
    <t>(15)</t>
  </si>
  <si>
    <t>Net-to-</t>
  </si>
  <si>
    <t>(2) x(3).</t>
  </si>
  <si>
    <t>Appendix H, Exhibit Y, Sheet Z. (Net-to-Direct)</t>
  </si>
  <si>
    <t>Large Claim</t>
  </si>
  <si>
    <t>Based on  total MA CM and large account  Schedule X.</t>
  </si>
  <si>
    <t>(6) and (7)</t>
  </si>
  <si>
    <t>Sum(4) through (7).</t>
  </si>
  <si>
    <t>(5)+(7)+(6)/(3).</t>
  </si>
  <si>
    <t>Total MA CM Sched X reported losses divded by (3).</t>
  </si>
  <si>
    <t>Based on  total MA MCM and large account  Schedule X.</t>
  </si>
  <si>
    <t>Total MA MCM Sched X paid losses divded by (3).</t>
  </si>
  <si>
    <t>Total MA MCM Sched X reported losses divded by (3).</t>
  </si>
  <si>
    <t>Development of Expected Losses</t>
  </si>
  <si>
    <t>CAO</t>
  </si>
  <si>
    <t xml:space="preserve">Expected </t>
  </si>
  <si>
    <t>A. RRG Direct Medical Malpractice CM</t>
  </si>
  <si>
    <t>A. RRG Direct Medical Malpractice MCM</t>
  </si>
  <si>
    <t>C. RRG Administrative Expense CM</t>
  </si>
  <si>
    <t>C. RRG Administrative Expense MCM</t>
  </si>
  <si>
    <t>Appendix Cap B, Sheet 2 for CM and Appendix Cap B, Sheet 3 for MCM.</t>
  </si>
  <si>
    <t>(17)</t>
  </si>
  <si>
    <t>Appendix I, Exhibit Y, Sheet Z. (Claim Study).</t>
  </si>
  <si>
    <t>(18)</t>
  </si>
  <si>
    <t>Appendix Cap D, Sheet 2.</t>
  </si>
  <si>
    <t>(2)x[100%-(4)].</t>
  </si>
  <si>
    <t xml:space="preserve">(2)x[100%-(3)]. </t>
  </si>
  <si>
    <t>(8) through (11)</t>
  </si>
  <si>
    <t>(16)</t>
  </si>
  <si>
    <t>(5)+(8)+(7)+(11).</t>
  </si>
  <si>
    <t>(6)+(10)+(7)+(11).</t>
  </si>
  <si>
    <t>(8)/(3)+(7)+(11).</t>
  </si>
  <si>
    <t>[(8)+(9)]/(3).</t>
  </si>
  <si>
    <t>[(10)+(11)]/(4).</t>
  </si>
  <si>
    <t>Based on by Total RRG and individual large account Schedule Xs.</t>
  </si>
  <si>
    <t>(10)/(4)+(7)+(11).</t>
  </si>
  <si>
    <t>(19)</t>
  </si>
  <si>
    <t>(18)-(8)-(9).</t>
  </si>
  <si>
    <t>(2)x[100%-(3)].</t>
  </si>
  <si>
    <t>Provided by RRG Sched X.</t>
  </si>
  <si>
    <t>(5)+(7).</t>
  </si>
  <si>
    <t>(6)+(8).</t>
  </si>
  <si>
    <t>Exposure</t>
  </si>
  <si>
    <t>Large Account</t>
  </si>
  <si>
    <t>(2)x(3)</t>
  </si>
  <si>
    <t>Directt</t>
  </si>
  <si>
    <t>Appendix Cap A, Sheet 3.</t>
  </si>
  <si>
    <t>Based on individual large account Schedule Xs.</t>
  </si>
  <si>
    <t>[(6)-(7)]+[(8)-(9)].</t>
  </si>
  <si>
    <t>Internal Premium Reports.</t>
  </si>
  <si>
    <t>(8) and (9)</t>
  </si>
  <si>
    <t>Non-Large Claims-MCM</t>
  </si>
  <si>
    <t xml:space="preserve"> IBNR</t>
  </si>
  <si>
    <t>Calculation of Expected Losses - Massachusetts</t>
  </si>
  <si>
    <t>Non-Large Claims</t>
  </si>
  <si>
    <t>=</t>
  </si>
  <si>
    <t>[(10)-(11)]/(7).</t>
  </si>
  <si>
    <t>[(8)-(9)]/(6).</t>
  </si>
  <si>
    <t>(2)+(3)]-(4).</t>
  </si>
  <si>
    <t>(7) through (10)</t>
  </si>
  <si>
    <t>[(7)-(8)]/(5).</t>
  </si>
  <si>
    <t>[(9)-(10)]/(6).</t>
  </si>
  <si>
    <t>(13)/(5).</t>
  </si>
  <si>
    <t>Net-of-Third Party Limits</t>
  </si>
  <si>
    <t>Unallocated</t>
  </si>
  <si>
    <t>B. Quota Share Ceded</t>
  </si>
  <si>
    <t>Modified Claims Made</t>
  </si>
  <si>
    <t>C. Net</t>
  </si>
  <si>
    <t>Ultimate and Unpaid Losses - Medical MalpracticeOnly</t>
  </si>
  <si>
    <t>Direct and Net of Reinsurnace</t>
  </si>
  <si>
    <t>Item C: Item A-Item B.</t>
  </si>
  <si>
    <t>Item B: 95% of Item A.; except (8) is 100% of Item A.</t>
  </si>
  <si>
    <t>A. Direct(Quota Share Assumed)</t>
  </si>
  <si>
    <t>(2) through (4)</t>
  </si>
  <si>
    <t>Item B: $0.</t>
  </si>
  <si>
    <t>MA - CM</t>
  </si>
  <si>
    <t>Selected Ultimates and Indicated IBNR</t>
  </si>
  <si>
    <t>Actual Reported Losses</t>
  </si>
  <si>
    <t>Indicated  IBNR Reserves</t>
  </si>
  <si>
    <t>Net-to-Direct</t>
  </si>
  <si>
    <t>(3) × (4).</t>
  </si>
  <si>
    <t>1-(3).</t>
  </si>
  <si>
    <t>Exhibit I, Sheet 2, Column (5).</t>
  </si>
  <si>
    <t>Col (11)</t>
  </si>
  <si>
    <t>AF31</t>
  </si>
  <si>
    <t>Col (12)</t>
  </si>
  <si>
    <t>Tail=</t>
  </si>
  <si>
    <t>Actuarial Data</t>
  </si>
  <si>
    <t>As of December 31,2020</t>
  </si>
  <si>
    <t>Utlimate</t>
  </si>
  <si>
    <t>ULAE</t>
  </si>
  <si>
    <t>LALAE</t>
  </si>
  <si>
    <t>LLAE</t>
  </si>
  <si>
    <t>CT CM</t>
  </si>
  <si>
    <t>CLOSED</t>
  </si>
  <si>
    <t>ACCRUED</t>
  </si>
  <si>
    <t>SYSTEM OPEN</t>
  </si>
  <si>
    <t>RECOVERED</t>
  </si>
  <si>
    <t>RECOVERIES</t>
  </si>
  <si>
    <t>BORDEREAU</t>
  </si>
  <si>
    <t>PMTS</t>
  </si>
  <si>
    <t>DEDUCTIBLE</t>
  </si>
  <si>
    <t>OPEN</t>
  </si>
  <si>
    <t>CT ERE/Occurrence</t>
  </si>
  <si>
    <t>Exhibit N, Sheet 3.</t>
  </si>
  <si>
    <t>Exhibit N, Sheet 2.</t>
  </si>
  <si>
    <t>(2)  Provided by Schedule X.  Need to consider how aggregate deductible is treated.</t>
  </si>
  <si>
    <t>Exhibit O, Sheet 3, Column (5)+Exhibit N, Sheet 3, Column (5)-Exhibit H, Sheet 3, Column (4).</t>
  </si>
  <si>
    <t>Exhibit M, Sheet 3, Column (5)+Exhibit L, Sheet 3, Column (5)-Exhibit G, Sheet 3, Column (4).</t>
  </si>
  <si>
    <t>Assumed RRG Malpractice CM</t>
  </si>
  <si>
    <t>Assumed RRG Malpractice MCM</t>
  </si>
  <si>
    <t>At 100%</t>
  </si>
  <si>
    <t>At 95%</t>
  </si>
  <si>
    <t>Yeat</t>
  </si>
  <si>
    <t>Check:</t>
  </si>
  <si>
    <t>WTW</t>
  </si>
  <si>
    <t>RRG Malpractice MCM</t>
  </si>
  <si>
    <t>RESERVE</t>
  </si>
  <si>
    <t>RRG Med ID</t>
  </si>
  <si>
    <t>(7)+(8). Item C.=Item A.*(.025/.975).</t>
  </si>
  <si>
    <t>(3)+(4). Item C.=Item A.*(.025/.975).</t>
  </si>
  <si>
    <t>(7)x(8).</t>
  </si>
  <si>
    <t>(11)-(12)-(13).</t>
  </si>
  <si>
    <t>(10) through (14)</t>
  </si>
  <si>
    <t xml:space="preserve">Selected </t>
  </si>
  <si>
    <t>Direct &amp; Assumed Limits</t>
  </si>
  <si>
    <t>Included in Columns (3) and (4).</t>
  </si>
  <si>
    <t>From Schedule P of 2020 Annual Statement.</t>
  </si>
  <si>
    <t xml:space="preserve">(7) - (6). Difference  </t>
  </si>
  <si>
    <t>Assumed CM</t>
  </si>
  <si>
    <t>Direct &amp; AssumedLimits</t>
  </si>
  <si>
    <t>Direct Limits &amp; assumed</t>
  </si>
  <si>
    <t>RRG</t>
  </si>
  <si>
    <t>Utlimates</t>
  </si>
  <si>
    <t>Base Class</t>
  </si>
  <si>
    <t>Sched X</t>
  </si>
  <si>
    <t>Direct and net from Exhibit B, Sheet 2.</t>
  </si>
  <si>
    <t>Direct and net from Exhibit B, Sheet 3.</t>
  </si>
  <si>
    <t>Based on 12/31/2020 Reinsurance Bordereaux.</t>
  </si>
  <si>
    <t>IBNR Losses</t>
  </si>
  <si>
    <t>Exhibit O, Sheet 2, Column (5)+Exhibit N, Sheet 2, Column (5).</t>
  </si>
  <si>
    <t>Exhibit M, Sheet 2, Column (5)+Exhibit L, Sheet 2, Column (5).</t>
  </si>
  <si>
    <t>(9)-Exhibit H, Sheet 4, Column (2).</t>
  </si>
  <si>
    <t>(11)-(15).</t>
  </si>
  <si>
    <t>(5)-(9).</t>
  </si>
  <si>
    <t>(6)-(10).</t>
  </si>
  <si>
    <t>(12)-(16).</t>
  </si>
  <si>
    <t>CT</t>
  </si>
  <si>
    <t>ERE/OCC</t>
  </si>
  <si>
    <t>O/S LALAE</t>
  </si>
  <si>
    <t>Assumed MCM</t>
  </si>
  <si>
    <t>Med ID</t>
  </si>
  <si>
    <t>Total IIC</t>
  </si>
  <si>
    <t>EP</t>
  </si>
  <si>
    <t>Rate</t>
  </si>
  <si>
    <t>Total RRG</t>
  </si>
  <si>
    <t>Total IIG</t>
  </si>
  <si>
    <t>Change in Reserve Position</t>
  </si>
  <si>
    <t>Statutory Basis</t>
  </si>
  <si>
    <t>Change in Ultimates</t>
  </si>
  <si>
    <t>AD</t>
  </si>
  <si>
    <t>AD12</t>
  </si>
  <si>
    <t>------------------------------------------------------------------------------------Net Paids-------------------------------------------------------------------------------------------------------</t>
  </si>
  <si>
    <t>From Spreadsheet</t>
  </si>
  <si>
    <t>Ceded OCC</t>
  </si>
  <si>
    <t>CT OC</t>
  </si>
  <si>
    <t>------------------------------------------------------------------------------------Net Reported-------------------------------------------------------------------------------------------------------</t>
  </si>
  <si>
    <t>RRG Total</t>
  </si>
  <si>
    <t>CMIC Direct</t>
  </si>
  <si>
    <t>Provided by Schedule X.</t>
  </si>
  <si>
    <t>(9) Total</t>
  </si>
  <si>
    <t>(7) ULAE</t>
  </si>
  <si>
    <t>v</t>
  </si>
  <si>
    <t>Actuarial</t>
  </si>
  <si>
    <t>2.Change in Ultimates</t>
  </si>
  <si>
    <t>5. CY Incurred ULAE</t>
  </si>
  <si>
    <t>4.CY Paid LALAE</t>
  </si>
  <si>
    <t>Direct&amp;Assumed</t>
  </si>
  <si>
    <t>6. CY Paid ULAE</t>
  </si>
  <si>
    <t>Carried</t>
  </si>
  <si>
    <t>8. Actuarial minus Carried</t>
  </si>
  <si>
    <t>E. ULAE Check:</t>
  </si>
  <si>
    <t>ULAE Check:</t>
  </si>
  <si>
    <t>Calculation of Indicated Unpaid Losses - All States, CM plus MCM</t>
  </si>
  <si>
    <t>Change in Ultimates- All MA</t>
  </si>
  <si>
    <t>RRG 2020 Detail:</t>
  </si>
  <si>
    <t xml:space="preserve">Net </t>
  </si>
  <si>
    <t>CM Q/S</t>
  </si>
  <si>
    <t>CM Admin</t>
  </si>
  <si>
    <t>CM Total</t>
  </si>
  <si>
    <t>MCM Q/S</t>
  </si>
  <si>
    <t>MCM Admin</t>
  </si>
  <si>
    <t>(2) Ceded includes 95% of Direct Plus Schedule X since Schedule X recoveries are net of deductibles.</t>
  </si>
  <si>
    <t>(3) Net Reported varies from Appendix Cap, Exhbit B, Sheet 3 due to timing differences between recoveries and Direct paids.</t>
  </si>
  <si>
    <t>MCM Total</t>
  </si>
  <si>
    <t>Coverage Years 1992 through 2020</t>
  </si>
  <si>
    <t>Coverage Years 1991 through 2019</t>
  </si>
  <si>
    <t>($000)</t>
  </si>
  <si>
    <t>2020 Funding</t>
  </si>
  <si>
    <t>Covid Adjustment</t>
  </si>
  <si>
    <t>DDR Reserve Basis</t>
  </si>
  <si>
    <t>ULAE Load</t>
  </si>
  <si>
    <t>IIC 2020</t>
  </si>
  <si>
    <t>RRG 2020</t>
  </si>
  <si>
    <t xml:space="preserve"> CM</t>
  </si>
  <si>
    <t>(3) Based on internal exposure analysis. 2015 to 2018 based on prior exposures adjusted to current class plan.</t>
  </si>
  <si>
    <t xml:space="preserve">2. Policy Maintenance Expense </t>
  </si>
  <si>
    <t>3. ULAE</t>
  </si>
  <si>
    <t>6. Combined Ratio</t>
  </si>
  <si>
    <t>Cumulative</t>
  </si>
  <si>
    <t>Paid %</t>
  </si>
  <si>
    <t>Incremental</t>
  </si>
  <si>
    <t>Paid%</t>
  </si>
  <si>
    <t>Discount</t>
  </si>
  <si>
    <t>7. Line 5. discounted at</t>
  </si>
  <si>
    <t>9. Premium Deficiency</t>
  </si>
  <si>
    <t>Net RRG CM</t>
  </si>
  <si>
    <t>Net RRG MCM</t>
  </si>
  <si>
    <t>Q/S=</t>
  </si>
  <si>
    <t>Admin=</t>
  </si>
  <si>
    <t>Total=</t>
  </si>
  <si>
    <t>CapA1a,CapA2</t>
  </si>
  <si>
    <t>CIU</t>
  </si>
  <si>
    <t>CapA1a,CapA3</t>
  </si>
  <si>
    <t xml:space="preserve">Net RRG </t>
  </si>
  <si>
    <t>As of September 30, 2020</t>
  </si>
  <si>
    <t xml:space="preserve">        (1)</t>
  </si>
  <si>
    <t xml:space="preserve"> (2)=1.10*(1)</t>
  </si>
  <si>
    <t xml:space="preserve">   (3)</t>
  </si>
  <si>
    <t xml:space="preserve">   (4)</t>
  </si>
  <si>
    <t>Initial Projected</t>
  </si>
  <si>
    <t xml:space="preserve">Estmated </t>
  </si>
  <si>
    <t>Direct LLAE</t>
  </si>
  <si>
    <t>Initial LLAE</t>
  </si>
  <si>
    <t>Net LLAE</t>
  </si>
  <si>
    <t>Portfolio</t>
  </si>
  <si>
    <t>All CT</t>
  </si>
  <si>
    <t>MA CM plus MCM</t>
  </si>
  <si>
    <t>Covid 19 Activity Adjustment Factor</t>
  </si>
  <si>
    <t>(5)Selected 2020 Net LLAE Ratio</t>
  </si>
  <si>
    <t xml:space="preserve">        (5)</t>
  </si>
  <si>
    <t xml:space="preserve">        (6)</t>
  </si>
  <si>
    <t xml:space="preserve">        (7)</t>
  </si>
  <si>
    <t>Net-of-Covid</t>
  </si>
  <si>
    <t xml:space="preserve">   (4a)</t>
  </si>
  <si>
    <t xml:space="preserve">        (8)</t>
  </si>
  <si>
    <t>Variance</t>
  </si>
  <si>
    <t>As of December 31, 2020</t>
  </si>
  <si>
    <t xml:space="preserve">  Net-of-External Reinsurance </t>
  </si>
  <si>
    <t xml:space="preserve"> Estimated 2020 Loss and Loss and Loss Adjustment Expense (LLAE) Ratio</t>
  </si>
  <si>
    <t xml:space="preserve">        (9)</t>
  </si>
  <si>
    <t xml:space="preserve">        (10)</t>
  </si>
  <si>
    <t>Contribution to</t>
  </si>
  <si>
    <t>Plan</t>
  </si>
  <si>
    <t>Only</t>
  </si>
  <si>
    <t>"Low" Direct</t>
  </si>
  <si>
    <t xml:space="preserve">Contribution </t>
  </si>
  <si>
    <t>From Selecting</t>
  </si>
  <si>
    <t>From Overstating</t>
  </si>
  <si>
    <t>Ceded Impact</t>
  </si>
  <si>
    <t>Col (4) weighted on Col (6)=</t>
  </si>
  <si>
    <t>Note:</t>
  </si>
  <si>
    <t>2020 Funding before Covid Adjustment</t>
  </si>
  <si>
    <t xml:space="preserve">Selected Ultimates and Indicated Reserves </t>
  </si>
  <si>
    <t>Calculation of Indicated Reserve - Massachusetts Total</t>
  </si>
  <si>
    <t>TP Ceded</t>
  </si>
  <si>
    <t>Direct and Net-of-Third Party Limits</t>
  </si>
  <si>
    <t>Exhibit Cap, Exhbit B, Sheet 2, for direct, Appendix Cap, Exhibit A, Sheet 2 for net.</t>
  </si>
  <si>
    <t>Exhibit Cap, Exhbit B, Sheet 3, for direct, Appendix Cap, Exhibit A, Sheet 3 for net.</t>
  </si>
  <si>
    <t>From December 31, 2019 WTW CMIC-RRG Reserve Analysis.</t>
  </si>
  <si>
    <t>Earned Premium</t>
  </si>
  <si>
    <t>Actuarial Data Adjsted to Statutory Data</t>
  </si>
  <si>
    <t xml:space="preserve">          Direct Adjustment=</t>
  </si>
  <si>
    <t xml:space="preserve">          Net Adjustment=</t>
  </si>
  <si>
    <t>All Lines Total</t>
  </si>
  <si>
    <t>GL</t>
  </si>
  <si>
    <t>Case O/S</t>
  </si>
  <si>
    <t>Financial O/S</t>
  </si>
  <si>
    <t>AD IIC Total</t>
  </si>
  <si>
    <t>Required LALAE IBNR=</t>
  </si>
  <si>
    <t>Adjustment=</t>
  </si>
  <si>
    <t>Reconciliation</t>
  </si>
  <si>
    <t>IIC-RISK RETENTION GROUP</t>
  </si>
  <si>
    <t>ChecK:</t>
  </si>
  <si>
    <t>AD RRG Total</t>
  </si>
  <si>
    <t xml:space="preserve">(*) AD exhibit net paids differ from Exhbit 1 RRG due to timing differences on recoveries. </t>
  </si>
  <si>
    <t>Timing Difference</t>
  </si>
  <si>
    <t>RRG Malpractice CM Excluding Med ID</t>
  </si>
  <si>
    <t xml:space="preserve">RRG Malpractice CM </t>
  </si>
  <si>
    <t>This approach reduces last year's ratio by the assumed change in the unemerged</t>
  </si>
  <si>
    <t xml:space="preserve">WTW </t>
  </si>
  <si>
    <t>Net Ultimate</t>
  </si>
  <si>
    <t>(7) + (8).</t>
  </si>
  <si>
    <t>Broad</t>
  </si>
  <si>
    <t>ULAE %</t>
  </si>
  <si>
    <t>True IBNR</t>
  </si>
  <si>
    <t>Implied total Ratio</t>
  </si>
  <si>
    <t>WTW Ratio</t>
  </si>
  <si>
    <t>1. Assumed ULAE as a percent of Net EP:</t>
  </si>
  <si>
    <t>Direct LALAE</t>
  </si>
  <si>
    <t>Net EP</t>
  </si>
  <si>
    <t>INTEGRIS INSURANCE COMPANY</t>
  </si>
  <si>
    <t>INTERGRIS INSURANCE COMPANY</t>
  </si>
  <si>
    <t>Direct Only</t>
  </si>
  <si>
    <t>NOT USED</t>
  </si>
  <si>
    <t>THIS CALCULATION NOT USED</t>
  </si>
  <si>
    <t>Ceded Limits and Summary of Direct and Net Unpaid Losses</t>
  </si>
  <si>
    <t>Ceded Limits and Summary of Direct and Net IBNR</t>
  </si>
  <si>
    <t>(9)-Exhibit H, Sheet 5, Column (2).</t>
  </si>
  <si>
    <t>(10)-Exhbit G, Sheet 3, Column (4).</t>
  </si>
  <si>
    <t>INTEGRIS--RISK RETENTION GROUP</t>
  </si>
  <si>
    <t>INTEGRIS-RISK RETENTION GROUP</t>
  </si>
  <si>
    <t>Based on internal assessment of Large Account claims.</t>
  </si>
  <si>
    <t>Sheet 1a</t>
  </si>
  <si>
    <t>Sum((10) through (13)-(14)+(15).</t>
  </si>
  <si>
    <t>INTEGRIS INSURANCE GROUP</t>
  </si>
  <si>
    <t xml:space="preserve">Medical Professional Liability - Claims Made </t>
  </si>
  <si>
    <t>OCC Loss</t>
  </si>
  <si>
    <t>OCC ALAE</t>
  </si>
  <si>
    <t>Tot ALAE</t>
  </si>
  <si>
    <t>Tot Loss</t>
  </si>
  <si>
    <t>Deductlble</t>
  </si>
  <si>
    <t>-------------------</t>
  </si>
  <si>
    <t xml:space="preserve">Medical Professional Liability - Occurrence </t>
  </si>
  <si>
    <t>Columns (7) and (8) are $000</t>
  </si>
  <si>
    <t>Columns (6) and (7) are $000</t>
  </si>
  <si>
    <t>Included in (3) through (5).</t>
  </si>
  <si>
    <t xml:space="preserve">(7) - (6). </t>
  </si>
  <si>
    <t>`</t>
  </si>
  <si>
    <t>1.Beginning LLAE Reserves</t>
  </si>
  <si>
    <t>7.Ending LLAE Reserves</t>
  </si>
  <si>
    <t>9. PDR</t>
  </si>
  <si>
    <t>12. Total Reserves subject to ASOP</t>
  </si>
  <si>
    <t>10.  DDR</t>
  </si>
  <si>
    <t>13. Actuarial minus Carried</t>
  </si>
  <si>
    <t xml:space="preserve">Implied </t>
  </si>
  <si>
    <t xml:space="preserve"> (8)  IIC Direct ULAE Reserves</t>
  </si>
  <si>
    <t xml:space="preserve">(2)-(4) minus (5)-(7). No payments during last 12 months on prior years. </t>
  </si>
  <si>
    <t>There are no reported losses anticipated to exceed the retained annual aggregate limit.</t>
  </si>
  <si>
    <t xml:space="preserve">[(2) × (3)] + (4). </t>
  </si>
  <si>
    <t>Exhibit R, Sheet 9.</t>
  </si>
  <si>
    <t>Exhibit Q, Sheet 7, Column (5).</t>
  </si>
  <si>
    <t>From a separate analysis of IIC net-to-direct experience.</t>
  </si>
  <si>
    <t>(2).</t>
  </si>
  <si>
    <t>(5)  Provided by Schedule X.</t>
  </si>
  <si>
    <t xml:space="preserve">(6)  (4) + (5). </t>
  </si>
  <si>
    <t>(3)  Based on weighing ERE and Occurrence patterns on  Exhibit Q, Sheet 7,</t>
  </si>
  <si>
    <t>(4) (2)x(3).</t>
  </si>
  <si>
    <t>(3)  Based on weighing ERE and Occurrence patterns on Exhibit Q,</t>
  </si>
  <si>
    <t xml:space="preserve">      Sheet 5 by ERE/Occurrence weights on Exhibit P, Sheet 2.</t>
  </si>
  <si>
    <t xml:space="preserve">      Sheet 3 by ERE/Occurrence weights on Exhibit P, Sheet 2.</t>
  </si>
  <si>
    <t>(3)  1-Exhibit Q, Sheet 7, Column (5).</t>
  </si>
  <si>
    <t>(3)1- xhibit Q, Sheet 1, Column (5).</t>
  </si>
  <si>
    <t>(3)  1-Exhibit Q, Sheet 3, Column (5).</t>
  </si>
  <si>
    <t>(5)  Based on an analysis of IIC historical excess-to-$500k ratios.</t>
  </si>
  <si>
    <t xml:space="preserve">(2)  Provided by Schedule X. </t>
  </si>
  <si>
    <t>(5)  Maximum under reinsurance contract.</t>
  </si>
  <si>
    <t>Exhibit H, Sheet 4, Column (5).</t>
  </si>
  <si>
    <t>Exhibit H, Sheet 5, Column (5).</t>
  </si>
  <si>
    <t>Exhibit Q, Sheet 5, Column (5).</t>
  </si>
  <si>
    <t>(7)  Based on analysis of historical IIC excess-to-$500k ratios.</t>
  </si>
  <si>
    <t>(9)  From Exhibit Q, Sheet 9, Item (9) to reflect ERE and occurrence exposure.</t>
  </si>
  <si>
    <t>Based on an internal exposure model.</t>
  </si>
  <si>
    <t xml:space="preserve">Exhibit B </t>
  </si>
  <si>
    <t>Exhibit Q</t>
  </si>
  <si>
    <t>Sheet 8</t>
  </si>
  <si>
    <t>Sheet 9</t>
  </si>
  <si>
    <t>Sheet 10</t>
  </si>
  <si>
    <t>Exhibit S</t>
  </si>
  <si>
    <t>Exhibit R, Sheet 1</t>
  </si>
  <si>
    <t>Exhibit R, Sheet 5.</t>
  </si>
  <si>
    <t>Exhibit R, Sheet 2.</t>
  </si>
  <si>
    <t>Exhibit R, Sheet 6.</t>
  </si>
  <si>
    <t>Exhibit R, Sheet 3.</t>
  </si>
  <si>
    <t>Exhibit R, Sheet 7.</t>
  </si>
  <si>
    <t>Exhibit R, Sheet 4.</t>
  </si>
  <si>
    <t>Exhibit R, Sheet 8.</t>
  </si>
  <si>
    <t>Exhibit U, Sheets 1 and 2.</t>
  </si>
  <si>
    <t>Exhibit V, Sheet 1.</t>
  </si>
  <si>
    <t>Exhibit U, Sheet 11.</t>
  </si>
  <si>
    <t>Exhibit T</t>
  </si>
  <si>
    <t>Exhibit Q, Sheet 1, Column (5).</t>
  </si>
  <si>
    <t>Exhibit T, Sheet 3.</t>
  </si>
  <si>
    <t>Exhibit T, Sheet 2.</t>
  </si>
  <si>
    <t>Exhibit U</t>
  </si>
  <si>
    <t>Exhibit U, Sheet 4.</t>
  </si>
  <si>
    <t>Exhibit U, Sheet 7.</t>
  </si>
  <si>
    <t>Exhibit U, Sheet 6.</t>
  </si>
  <si>
    <t>Exhibit U, Sheet 5.</t>
  </si>
  <si>
    <t>Direct based on claims-made pattern from Exhibit Q, Sheet 6, and net based</t>
  </si>
  <si>
    <t>Direct based on claims-made pattern from Exhibit Q, Sheet 8, and net based</t>
  </si>
  <si>
    <t>Exhibit U, Sheet 9.</t>
  </si>
  <si>
    <t>Exhibit U, Sheet 8.</t>
  </si>
  <si>
    <t>Not used due to Covid distortion.</t>
  </si>
  <si>
    <t>Exhibt U, Sheet 11, Column (16).</t>
  </si>
  <si>
    <t>Sheet 12</t>
  </si>
  <si>
    <t>Sheet 11</t>
  </si>
  <si>
    <t>Net-of-Quota Share Reinsurance</t>
  </si>
  <si>
    <t>B. Third Party Ceded</t>
  </si>
  <si>
    <t xml:space="preserve">Net:Exhibit A, Sheet 1d, Item C., Column (2) for CM plus MCM </t>
  </si>
  <si>
    <t>plus Exhibit B, Sheet 2, Item C., Column (11) plus Exhibit B, Sheet 3, Item C., Column (18).</t>
  </si>
  <si>
    <t>Direct:Exhibit B, Sheet 2, Item D., Column (11) plus Exhibit B, Sheet 3,Item D., Column (18).</t>
  </si>
  <si>
    <t xml:space="preserve">Net:Exhibit A, Sheet 1d, Item C., Column (3) for CM plus MCM </t>
  </si>
  <si>
    <t>plus Exhibit B, Sheet 2, Item C., Column (7) plus Exhibit B, Sheet 3, Item C., Columns (8)+(9).</t>
  </si>
  <si>
    <t>Direct:Exhibit B, Sheet 2, Item D., Column (7) plus Exhibit B, Sheet 3,Item D., Columns (8)+(9).</t>
  </si>
  <si>
    <t xml:space="preserve">Net:Exhibit A, Sheet 1d, Item C., Column (4) for CM plus MCM </t>
  </si>
  <si>
    <t>plus Exhibit B, Sheet 2, Item C., Column (8) plus Exhibit B, Sheet 3, Item C., Columns (10)+(11).</t>
  </si>
  <si>
    <t>Direct:Exhibit B, Sheet 2, Item D., Column (8) plus Exhibit B, Sheet 3,Item D., Columns (10)+(11).</t>
  </si>
  <si>
    <t xml:space="preserve"> Total of (6) + (7) + (8).</t>
  </si>
  <si>
    <t>Net is Exhibit A, Sheet 1d, Item C., Column (2) plus Exhibit B , Sheet 2, Item C., Column (11).</t>
  </si>
  <si>
    <t>Net is Exhibit A, Sheet 1d, Item C., Column (2) plus EXhibit B , Sheet 3, Item C., Column (18).</t>
  </si>
  <si>
    <t>Sheet 1b</t>
  </si>
  <si>
    <t>Sheet 1c</t>
  </si>
  <si>
    <t>Sheet 1d</t>
  </si>
  <si>
    <t xml:space="preserve">Based on claims made pattern from Exhibit Q, Sheet 3 lengthened 2 months to reflect net limits. </t>
  </si>
  <si>
    <t xml:space="preserve">Based on claims made pattern from Exhibit Q, Sheet 1 lengthened 2 months to reflect net limits. </t>
  </si>
  <si>
    <t xml:space="preserve">Based on occurrence pattern from Exhibit Q, Sheet 3 lengthened 2 months to reflect net  limits. </t>
  </si>
  <si>
    <t xml:space="preserve">Based on occurrence pattern from Exhibit Q, Sheet 1 lengthened 2 months to reflect net limits. </t>
  </si>
  <si>
    <t>Based on an internal assessment of Large Account claims.</t>
  </si>
  <si>
    <t xml:space="preserve">Based on occurrence pattern from Exhibit Q, Sheet 3 lengthened 3 months to reflect direct limits. </t>
  </si>
  <si>
    <t xml:space="preserve">Based on occurrence pattern from Exhibit Q, Sheet 1 lengthened 3 months to reflect direct limits. </t>
  </si>
  <si>
    <t>Exhibit D, Sheet 1.</t>
  </si>
  <si>
    <t>IIC RRG, Schedule P.</t>
  </si>
  <si>
    <t xml:space="preserve">Exhibit B, Sheet 3. </t>
  </si>
  <si>
    <t>From internal premium reports.</t>
  </si>
  <si>
    <t>(3)-(4)</t>
  </si>
  <si>
    <t>Direct differences in 2016,2018 and 2019 are due to Schedule P reflecting $500,000,$300,000 and $100,000 deductible payments.</t>
  </si>
  <si>
    <t xml:space="preserve">Net differences for these years are the "retained" portion of the same deductibles. </t>
  </si>
  <si>
    <t>Based on claims made pattern from Exhibit Q, Sheet 3 lengthened 3 months to reflect direct limits for medical malpractice.</t>
  </si>
  <si>
    <t>Based on claims made pattern from Exhibit Q, Sheet 1 lengthened 3 months to reflect direct limits for medical malpractice.</t>
  </si>
  <si>
    <t>Medical Professional Liability - Earned Premium</t>
  </si>
  <si>
    <t>------------------($000)-----------------</t>
  </si>
  <si>
    <t>------------------------------------------------</t>
  </si>
  <si>
    <t>Internal Premium Reports. Excludes DDR effects.</t>
  </si>
  <si>
    <t>1.Beginning Reserves</t>
  </si>
  <si>
    <t>5.Change in ULAE Reserve</t>
  </si>
  <si>
    <t>6.Ending Reserves</t>
  </si>
  <si>
    <t>Direct Only Limits</t>
  </si>
  <si>
    <t>7.=1.+2.+3.-4.+5.-6.</t>
  </si>
  <si>
    <t xml:space="preserve">13.=Column (1), Line 12. minus Column (2), Line 12. </t>
  </si>
  <si>
    <t>6.=1.+2.+3.-4.+5.</t>
  </si>
  <si>
    <t>1.Earned Premium</t>
  </si>
  <si>
    <t>2.Ultimate AY/RY LALAE</t>
  </si>
  <si>
    <t>3.AY/RY LALAE Ratio</t>
  </si>
  <si>
    <t>4.Change in Prior Year ultimates</t>
  </si>
  <si>
    <t>5. CY ULAE</t>
  </si>
  <si>
    <t>6. CY LLAE Ratio</t>
  </si>
  <si>
    <t>3.=2./1.</t>
  </si>
  <si>
    <t>6.=(2.+4.+5.)/1.</t>
  </si>
  <si>
    <t>7.=2.+5./1.</t>
  </si>
  <si>
    <t>Provided by Sched X. Claims-made only.</t>
  </si>
  <si>
    <t>times( .50 times(Total ((8)-(7))+1.00 times Total ((11)-(8)))</t>
  </si>
  <si>
    <t>times (.50 times Total ((10)+(11)-((8)+(9)))+1.00 times Total ((18)-(10)+(11)))</t>
  </si>
  <si>
    <t>(1)x(1+(2))x(1+(3)).</t>
  </si>
  <si>
    <t>Line 7. minus 1.00 times Line 8.</t>
  </si>
  <si>
    <t>Integris Insurance Company</t>
  </si>
  <si>
    <t>Physicians &amp; Surgeons Professional Liability</t>
  </si>
  <si>
    <t>Claims-Made, Occurrence &amp; Tail</t>
  </si>
  <si>
    <t>Connecticut Only</t>
  </si>
  <si>
    <t>Evaluation Age in Months</t>
  </si>
  <si>
    <t xml:space="preserve">N/A </t>
  </si>
  <si>
    <t>Age Interval in Months</t>
  </si>
  <si>
    <t>11-23</t>
  </si>
  <si>
    <t>23-35</t>
  </si>
  <si>
    <t>35-47</t>
  </si>
  <si>
    <t>47-59</t>
  </si>
  <si>
    <t>59-71</t>
  </si>
  <si>
    <t>71-83</t>
  </si>
  <si>
    <t>83-95</t>
  </si>
  <si>
    <t>95-107</t>
  </si>
  <si>
    <t>107-119</t>
  </si>
  <si>
    <t>119-131</t>
  </si>
  <si>
    <t>131-143</t>
  </si>
  <si>
    <t>143-155</t>
  </si>
  <si>
    <t>155-167</t>
  </si>
  <si>
    <t>167-179</t>
  </si>
  <si>
    <t>179-191</t>
  </si>
  <si>
    <t>191-203</t>
  </si>
  <si>
    <t>203-215</t>
  </si>
  <si>
    <t>215-227</t>
  </si>
  <si>
    <t>227-239</t>
  </si>
  <si>
    <t>Note: LDF Calcs stop in Coumn R</t>
  </si>
  <si>
    <t>Averages</t>
  </si>
  <si>
    <t xml:space="preserve">      Volume - 3</t>
  </si>
  <si>
    <t>1:</t>
  </si>
  <si>
    <t xml:space="preserve">      Volume - 5</t>
  </si>
  <si>
    <t>2:</t>
  </si>
  <si>
    <t xml:space="preserve">      Volume - 7</t>
  </si>
  <si>
    <t>3:</t>
  </si>
  <si>
    <t xml:space="preserve">      Prior Analysis</t>
  </si>
  <si>
    <t>4:</t>
  </si>
  <si>
    <t>Selected Values</t>
  </si>
  <si>
    <t>Exhibit R</t>
  </si>
  <si>
    <t>Note: LDF Calcs stop in row Q</t>
  </si>
  <si>
    <t>Excess of $500,000</t>
  </si>
  <si>
    <t>500K</t>
  </si>
  <si>
    <t>Note: LDF Calcs stop in Column R</t>
  </si>
  <si>
    <t>Note: LDF Calcs stop in column R</t>
  </si>
  <si>
    <t>Claims-Made &amp; Occurrence</t>
  </si>
  <si>
    <t>Massachusetts Only</t>
  </si>
  <si>
    <t>179-Ult.</t>
  </si>
  <si>
    <t>Shhet 6</t>
  </si>
  <si>
    <t>Total Limits</t>
  </si>
  <si>
    <t>TAB</t>
  </si>
  <si>
    <t>EXHIBIT</t>
  </si>
  <si>
    <t>RANGE</t>
  </si>
  <si>
    <t>Notes</t>
  </si>
  <si>
    <t>CRP Aggregate</t>
  </si>
  <si>
    <t>Summary Exhibit 1</t>
  </si>
  <si>
    <t>O53</t>
  </si>
  <si>
    <t>Could split between IIC &amp; RRG</t>
  </si>
  <si>
    <t>CRP by Line</t>
  </si>
  <si>
    <t>Summary Exhibit 2</t>
  </si>
  <si>
    <t>T50</t>
  </si>
  <si>
    <t>2020 LALAE Ratio</t>
  </si>
  <si>
    <t>Summary Exhibit 3</t>
  </si>
  <si>
    <t>AC50</t>
  </si>
  <si>
    <t>Portrait</t>
  </si>
  <si>
    <t>EA1IIC</t>
  </si>
  <si>
    <t>K60</t>
  </si>
  <si>
    <t>K61</t>
  </si>
  <si>
    <t>EB1IIC</t>
  </si>
  <si>
    <t>S56</t>
  </si>
  <si>
    <t>EB2</t>
  </si>
  <si>
    <t>T63</t>
  </si>
  <si>
    <t>EB3</t>
  </si>
  <si>
    <t>T52</t>
  </si>
  <si>
    <t>EC1</t>
  </si>
  <si>
    <t>K42</t>
  </si>
  <si>
    <t>ED</t>
  </si>
  <si>
    <t>M45</t>
  </si>
  <si>
    <t>EE</t>
  </si>
  <si>
    <t>K53</t>
  </si>
  <si>
    <t>EF1a</t>
  </si>
  <si>
    <t>AE65</t>
  </si>
  <si>
    <t>Smaller font</t>
  </si>
  <si>
    <t>EG1</t>
  </si>
  <si>
    <t>O58</t>
  </si>
  <si>
    <t>EG2</t>
  </si>
  <si>
    <t>K57</t>
  </si>
  <si>
    <t>EG3</t>
  </si>
  <si>
    <t>EH1</t>
  </si>
  <si>
    <t>EH2</t>
  </si>
  <si>
    <t>EH3</t>
  </si>
  <si>
    <t>EH4</t>
  </si>
  <si>
    <t>EH5</t>
  </si>
  <si>
    <t>EH6</t>
  </si>
  <si>
    <t>EH7</t>
  </si>
  <si>
    <t>EI1</t>
  </si>
  <si>
    <t>EI2</t>
  </si>
  <si>
    <t>EJ</t>
  </si>
  <si>
    <t>EK</t>
  </si>
  <si>
    <t>O57</t>
  </si>
  <si>
    <t>EL1</t>
  </si>
  <si>
    <t>EL2</t>
  </si>
  <si>
    <t>EL3</t>
  </si>
  <si>
    <t>EM1</t>
  </si>
  <si>
    <t>EM2</t>
  </si>
  <si>
    <t>EM3</t>
  </si>
  <si>
    <t>EN`</t>
  </si>
  <si>
    <t>EN2</t>
  </si>
  <si>
    <t>EN3</t>
  </si>
  <si>
    <t>EO1</t>
  </si>
  <si>
    <t>EO2</t>
  </si>
  <si>
    <t>EO3</t>
  </si>
  <si>
    <t>EP1</t>
  </si>
  <si>
    <t>K59</t>
  </si>
  <si>
    <t>EP3</t>
  </si>
  <si>
    <t>M55</t>
  </si>
  <si>
    <t>AA12</t>
  </si>
  <si>
    <t>AA22</t>
  </si>
  <si>
    <t>AA32</t>
  </si>
  <si>
    <t>AA42</t>
  </si>
  <si>
    <t>P50</t>
  </si>
  <si>
    <t>AA52</t>
  </si>
  <si>
    <t>AD1</t>
  </si>
  <si>
    <t>O56</t>
  </si>
  <si>
    <t>AD2</t>
  </si>
  <si>
    <t>AD3</t>
  </si>
  <si>
    <t>AD4</t>
  </si>
  <si>
    <t>AD5</t>
  </si>
  <si>
    <t>M62</t>
  </si>
  <si>
    <t>AE1</t>
  </si>
  <si>
    <t>M58</t>
  </si>
  <si>
    <t>AE2</t>
  </si>
  <si>
    <t>AE3</t>
  </si>
  <si>
    <t>AF1a</t>
  </si>
  <si>
    <t>AE63</t>
  </si>
  <si>
    <t>Split into 2 @ col P</t>
  </si>
  <si>
    <t>AG1</t>
  </si>
  <si>
    <t>S79</t>
  </si>
  <si>
    <t>AG1a</t>
  </si>
  <si>
    <t>AG1b</t>
  </si>
  <si>
    <t>AG21</t>
  </si>
  <si>
    <t>AG22</t>
  </si>
  <si>
    <t>S64</t>
  </si>
  <si>
    <t>AG23</t>
  </si>
  <si>
    <t>AG31</t>
  </si>
  <si>
    <t>Q62</t>
  </si>
  <si>
    <t>AG32</t>
  </si>
  <si>
    <t>AG33</t>
  </si>
  <si>
    <t>AG41</t>
  </si>
  <si>
    <t>M60</t>
  </si>
  <si>
    <t>AG42</t>
  </si>
  <si>
    <t>AH70</t>
  </si>
  <si>
    <t>Could split into 2 at row 34 and do portrait</t>
  </si>
  <si>
    <t>AG43</t>
  </si>
  <si>
    <t>O62</t>
  </si>
  <si>
    <t>EA1RRG</t>
  </si>
  <si>
    <t>M74</t>
  </si>
  <si>
    <t>EB1RRG</t>
  </si>
  <si>
    <t>S70</t>
  </si>
  <si>
    <t>CapA1</t>
  </si>
  <si>
    <t>M78</t>
  </si>
  <si>
    <t>CapA1a</t>
  </si>
  <si>
    <t>Could split at col P</t>
  </si>
  <si>
    <t>CapA2</t>
  </si>
  <si>
    <t>N80</t>
  </si>
  <si>
    <t>CapA3</t>
  </si>
  <si>
    <t>AK83</t>
  </si>
  <si>
    <t>CapB1</t>
  </si>
  <si>
    <t>CapB2</t>
  </si>
  <si>
    <t>W82</t>
  </si>
  <si>
    <t>CapB3</t>
  </si>
  <si>
    <t>AK85</t>
  </si>
  <si>
    <t>CapC1</t>
  </si>
  <si>
    <t>W49</t>
  </si>
  <si>
    <t>CapC2</t>
  </si>
  <si>
    <t>S40</t>
  </si>
  <si>
    <t>CapC3</t>
  </si>
  <si>
    <t>CapD3</t>
  </si>
  <si>
    <t>AG44</t>
  </si>
  <si>
    <t>CapD2</t>
  </si>
  <si>
    <t>AC69</t>
  </si>
  <si>
    <t>CapD1a</t>
  </si>
  <si>
    <t>PDR</t>
  </si>
  <si>
    <t>K44</t>
  </si>
  <si>
    <t>Exhibit A,S1</t>
  </si>
  <si>
    <t>Exhibit A,S2</t>
  </si>
  <si>
    <t>Exhibit B,S1</t>
  </si>
  <si>
    <t>Exhibit B,S2</t>
  </si>
  <si>
    <t>Exhibit B,S3</t>
  </si>
  <si>
    <t>Exhibit C,1</t>
  </si>
  <si>
    <t>Exhibit D,1</t>
  </si>
  <si>
    <t>Exhibit E,1</t>
  </si>
  <si>
    <t>Exhibit F,1</t>
  </si>
  <si>
    <t>Exhibit G,1</t>
  </si>
  <si>
    <t>Exhibit G,2</t>
  </si>
  <si>
    <t>Exhibit G,3</t>
  </si>
  <si>
    <t>Exhibit H,1</t>
  </si>
  <si>
    <t>Exhibit H,2</t>
  </si>
  <si>
    <t>Exhibit H,3</t>
  </si>
  <si>
    <t>Exhibit H,4</t>
  </si>
  <si>
    <t>Exhibit H,5</t>
  </si>
  <si>
    <t>Exhibit H,6</t>
  </si>
  <si>
    <t>Exhibit H,7</t>
  </si>
  <si>
    <t>Exhibit I,1</t>
  </si>
  <si>
    <t>Exhibit I,2</t>
  </si>
  <si>
    <t>Exhibit J,1</t>
  </si>
  <si>
    <t>Exhibit K,2</t>
  </si>
  <si>
    <t>Exhibit L,1</t>
  </si>
  <si>
    <t>Exhibit L,2</t>
  </si>
  <si>
    <t>Exhibit L,3</t>
  </si>
  <si>
    <t>Exhibit M,1</t>
  </si>
  <si>
    <t>Exhibit M,2</t>
  </si>
  <si>
    <t>Exhibit M,3</t>
  </si>
  <si>
    <t>Exhibit N,1</t>
  </si>
  <si>
    <t>Exhibit N,2</t>
  </si>
  <si>
    <t>Exhibit N,3</t>
  </si>
  <si>
    <t>Exhibit O,1</t>
  </si>
  <si>
    <t>Exhibit O,2</t>
  </si>
  <si>
    <t>Exhibit O,3</t>
  </si>
  <si>
    <t>Exhibit P,1</t>
  </si>
  <si>
    <t>Exhibit P,2</t>
  </si>
  <si>
    <t>Exhibit P,3</t>
  </si>
  <si>
    <t>Exhibit Q,1</t>
  </si>
  <si>
    <t>Exhibit Q,2</t>
  </si>
  <si>
    <t>Exhibit Q,3</t>
  </si>
  <si>
    <t>Exhibit Q,4</t>
  </si>
  <si>
    <t>Exhibit Q,5</t>
  </si>
  <si>
    <t>Exhibit Q,6</t>
  </si>
  <si>
    <t>Exhibit Q,7</t>
  </si>
  <si>
    <t>Exhibit Q,8</t>
  </si>
  <si>
    <t>Exhibit Q,9</t>
  </si>
  <si>
    <t>Exhibit Q,10</t>
  </si>
  <si>
    <t>Exhibit S,1</t>
  </si>
  <si>
    <t>Exhibit S,2</t>
  </si>
  <si>
    <t>Exhibit S,3</t>
  </si>
  <si>
    <t>Exhibit S,4</t>
  </si>
  <si>
    <t>Exhibit S,5</t>
  </si>
  <si>
    <t>Exhibit T,1</t>
  </si>
  <si>
    <t>Exhibit T,2</t>
  </si>
  <si>
    <t>Exhibit T,3</t>
  </si>
  <si>
    <t>Exhibit V,1</t>
  </si>
  <si>
    <t>Exhibit U,1</t>
  </si>
  <si>
    <t>Exhibit U,2</t>
  </si>
  <si>
    <t>Exhibit U,3</t>
  </si>
  <si>
    <t>Exhibit U,4</t>
  </si>
  <si>
    <t>Exhibit U,5</t>
  </si>
  <si>
    <t>Exhibit U,6</t>
  </si>
  <si>
    <t>Exhibit U,7</t>
  </si>
  <si>
    <t>Exhibit U,8</t>
  </si>
  <si>
    <t>Exhibit U,9</t>
  </si>
  <si>
    <t>Exhibit U,10</t>
  </si>
  <si>
    <t>Exhibit U,11</t>
  </si>
  <si>
    <t>Exhibit U,12</t>
  </si>
  <si>
    <t>Exhibit A,2</t>
  </si>
  <si>
    <t>Exhibit A,3</t>
  </si>
  <si>
    <t>Exhibit B,1</t>
  </si>
  <si>
    <t>Exhibit B,2</t>
  </si>
  <si>
    <t>Exhibit B,3</t>
  </si>
  <si>
    <t>Exhibit C,2</t>
  </si>
  <si>
    <t>Exhibit C,3</t>
  </si>
  <si>
    <t>Exhibit D,2</t>
  </si>
  <si>
    <t>Converted Triangles Ex1</t>
  </si>
  <si>
    <t>Converted Triangles Ex2</t>
  </si>
  <si>
    <t>Converted Triangles Ex3</t>
  </si>
  <si>
    <t>Converted Triangles Ex4</t>
  </si>
  <si>
    <t>Converted Triangles Ex1 (2)</t>
  </si>
  <si>
    <t>Converted Triangles Ex2 (2)</t>
  </si>
  <si>
    <t>Converted Triangles Ex3 (2)</t>
  </si>
  <si>
    <t>Converted Triangles Ex4 (2)</t>
  </si>
  <si>
    <t>U110</t>
  </si>
  <si>
    <t>Q66</t>
  </si>
  <si>
    <t>Base Class Mature Equivalents By Lag</t>
  </si>
  <si>
    <t>------------------($000)--------------------</t>
  </si>
  <si>
    <t>-----------------------------------------------</t>
  </si>
  <si>
    <t>Ultimate and Unpaid Losses - Medical Malpractice Only</t>
  </si>
  <si>
    <t>Third Party Cessions-Medical Malpractice Only</t>
  </si>
  <si>
    <t>Ultimate and Unpaid Losses - Total CM Plus MCM</t>
  </si>
  <si>
    <t>Section A. is Total of  Exhibit B, Sheets 2 and 3.</t>
  </si>
  <si>
    <t>A. RRG Medical Malpractice-Direct Limits</t>
  </si>
  <si>
    <t>B. RRG Medical Malpractice-Third Party Ceded Limits</t>
  </si>
  <si>
    <t>Study</t>
  </si>
  <si>
    <t>Finance</t>
  </si>
  <si>
    <t>Off-Balance</t>
  </si>
  <si>
    <t>Matters</t>
  </si>
  <si>
    <t>Frequency</t>
  </si>
  <si>
    <t>Account</t>
  </si>
  <si>
    <t>Realtive</t>
  </si>
  <si>
    <t>Manual</t>
  </si>
  <si>
    <t>Ratio of Total Reported ALAE to Reported Losses</t>
  </si>
  <si>
    <t>239-251</t>
  </si>
  <si>
    <t>251-263</t>
  </si>
  <si>
    <t>263-275</t>
  </si>
  <si>
    <t>275-287</t>
  </si>
  <si>
    <t>287-299</t>
  </si>
  <si>
    <t>299-311</t>
  </si>
  <si>
    <t>311-323</t>
  </si>
  <si>
    <t>323-335</t>
  </si>
  <si>
    <t>335-347</t>
  </si>
  <si>
    <t>347-359</t>
  </si>
  <si>
    <t>359-371</t>
  </si>
  <si>
    <t>371-383</t>
  </si>
  <si>
    <t>383-395</t>
  </si>
  <si>
    <t>395-407</t>
  </si>
  <si>
    <t>407-419</t>
  </si>
  <si>
    <t>419-431</t>
  </si>
  <si>
    <t>431-443</t>
  </si>
  <si>
    <t>443-455</t>
  </si>
  <si>
    <t>455-Ult.</t>
  </si>
  <si>
    <t xml:space="preserve">Direct Percentage is Column (1), Line 8. divided by Column (1), Line 7. </t>
  </si>
  <si>
    <t>Net Percentage is Column (3), Line 8. divided by Column (3), Line 7.</t>
  </si>
  <si>
    <t>Direct Percentage is Column (1), Line 13. divided by Coumn (1), Line 12.</t>
  </si>
  <si>
    <t>Net Percentage is Column (1), Line 13. divided by Coumn (1), Line 12.</t>
  </si>
  <si>
    <t>12.=7.+9.+10.</t>
  </si>
  <si>
    <t>Calculated from actual Sched X ceded loss experience.</t>
  </si>
  <si>
    <t>8. Direct is Column (5), Line 7. minus Column (6), Line 7; Net is Column (5), Line 7. minus Column (6), Line 7</t>
  </si>
  <si>
    <t xml:space="preserve">Direct Percentage is Column (5), Line 8. divided by Column (5), Line 7. </t>
  </si>
  <si>
    <t>Net Percentage is Column (7), Line 8. divided by Column (7), Line 7.</t>
  </si>
  <si>
    <t xml:space="preserve">13.=Column (5), Line 12. minus Column (6), Line 12. </t>
  </si>
  <si>
    <t>Direct Percentage is Column (5), Line 13. divided by Coumn (5), Line 12.</t>
  </si>
  <si>
    <t>Net Percentage is Column (5), Line 13. divided by Coumn (5), Line 12.</t>
  </si>
  <si>
    <t>CY 2021</t>
  </si>
  <si>
    <t>Unemerged Ceded Loss Analysis</t>
  </si>
  <si>
    <t>12.2020</t>
  </si>
  <si>
    <t>1993-2020</t>
  </si>
  <si>
    <t>2013-2017</t>
  </si>
  <si>
    <t>2011-2020 x Min,Max</t>
  </si>
  <si>
    <t>Selected 2021 Pure Premium</t>
  </si>
  <si>
    <t xml:space="preserve">(3)  From Exhibit P, Sheet 2, Column (4). </t>
  </si>
  <si>
    <t>From 12/31/2020 Reserve Analysis.</t>
  </si>
  <si>
    <t>Assumes increase of</t>
  </si>
  <si>
    <t>$500K Schedule X Input</t>
  </si>
  <si>
    <t>Exess Schedule X Input</t>
  </si>
  <si>
    <t>From 2020 Reserve Analysis.</t>
  </si>
  <si>
    <t>As of 12/31/2021</t>
  </si>
  <si>
    <t>xDDR</t>
  </si>
  <si>
    <t>Calendar Year</t>
  </si>
  <si>
    <t>On-Level</t>
  </si>
  <si>
    <t>2021*</t>
  </si>
  <si>
    <t>(*) @020 &amp;Prior</t>
  </si>
  <si>
    <t>Selected Ults used in Summary B-2 to reflect IIC Assumed only</t>
  </si>
  <si>
    <t>Selected Ults used in Summary B-2 to refelct IIC assumed only</t>
  </si>
  <si>
    <t>Trend</t>
  </si>
  <si>
    <t>From the 2020 Reserve Analysis.</t>
  </si>
  <si>
    <t>MA Total</t>
  </si>
  <si>
    <t>Coverage Year 2021 Premium Deficiency Reserve</t>
  </si>
  <si>
    <t>at 12/31/21</t>
  </si>
  <si>
    <t>Factor</t>
  </si>
  <si>
    <t xml:space="preserve">Report Year </t>
  </si>
  <si>
    <t>2010-2019 x Min,Max</t>
  </si>
  <si>
    <t>2015-2019</t>
  </si>
  <si>
    <t>Based on (4) adjusted to reflect the decrease in reported frequency due to the impact of Covid:</t>
  </si>
  <si>
    <t>(6)  [(9) x (2) + (9) x (3)]× (4).</t>
  </si>
  <si>
    <t>CY Paid</t>
  </si>
  <si>
    <t>CY Reported</t>
  </si>
  <si>
    <t>Sced X</t>
  </si>
  <si>
    <t xml:space="preserve">Reported </t>
  </si>
  <si>
    <t>Calims</t>
  </si>
  <si>
    <t>in Suit</t>
  </si>
  <si>
    <t>Exposure Equivalents</t>
  </si>
  <si>
    <t>Average 2011 through 2019</t>
  </si>
  <si>
    <t>(2)  Based on an internal exposure model. 2015 includes 133.1 exposures</t>
  </si>
  <si>
    <t>IIC</t>
  </si>
  <si>
    <t xml:space="preserve">LALAE </t>
  </si>
  <si>
    <t>(14)/(5).</t>
  </si>
  <si>
    <t xml:space="preserve">    ERE 6 Mos</t>
  </si>
  <si>
    <t xml:space="preserve">    ERE </t>
  </si>
  <si>
    <t xml:space="preserve">     ERE 6 Mos</t>
  </si>
  <si>
    <t xml:space="preserve">(9) balance to 100.0%. </t>
  </si>
  <si>
    <t>CT Excess-to-Basic</t>
  </si>
  <si>
    <t>Remium</t>
  </si>
  <si>
    <t>Covid and Trend</t>
  </si>
  <si>
    <t>Adjustment</t>
  </si>
  <si>
    <t>(20) Adjusts expected loss ratio to average premium level and trend of the experiience period used in Column (16)</t>
  </si>
  <si>
    <t>(16)/(4)</t>
  </si>
  <si>
    <t>IIC Direct</t>
  </si>
  <si>
    <t>IIC Dir Case O/S=</t>
  </si>
  <si>
    <t>IIC Dir IBNR=</t>
  </si>
  <si>
    <t>CY CM</t>
  </si>
  <si>
    <t>$500K Limits</t>
  </si>
  <si>
    <t>Pure</t>
  </si>
  <si>
    <t>2013 to 2020</t>
  </si>
  <si>
    <t>Paid differences due to deductibles</t>
  </si>
  <si>
    <t>With Assumed</t>
  </si>
  <si>
    <t xml:space="preserve">IIC Paid </t>
  </si>
  <si>
    <t xml:space="preserve"> IIC Reserve Change </t>
  </si>
  <si>
    <t xml:space="preserve">IIC Reserve </t>
  </si>
  <si>
    <t xml:space="preserve"> RRG Paid </t>
  </si>
  <si>
    <t xml:space="preserve"> RRG Reserve Change </t>
  </si>
  <si>
    <t xml:space="preserve"> -   </t>
  </si>
  <si>
    <t xml:space="preserve"> RRG Reserve </t>
  </si>
  <si>
    <t>ULAE from the GL:</t>
  </si>
  <si>
    <t>1. Excludes DDR and reinstatements.</t>
  </si>
  <si>
    <t>IIC D&amp;A Paid</t>
  </si>
  <si>
    <t>IIC Net Paid</t>
  </si>
  <si>
    <t>RRG Net Paid</t>
  </si>
  <si>
    <t>RRG D&amp;A Paid</t>
  </si>
  <si>
    <t>LALAE Paid from the GL:</t>
  </si>
  <si>
    <t>CT-CM</t>
  </si>
  <si>
    <t>CT-ERE/OCCM</t>
  </si>
  <si>
    <t>8. AY LLAE Ratio using Ex C1 ULAE</t>
  </si>
  <si>
    <t>2020 and 2021 set to $0 due to form following reinsurance.</t>
  </si>
  <si>
    <t>ERE/OC</t>
  </si>
  <si>
    <t>Used in EBS1a</t>
  </si>
  <si>
    <t>Detail</t>
  </si>
  <si>
    <t>CT 500K</t>
  </si>
  <si>
    <t>Notes:     (2)</t>
  </si>
  <si>
    <t>Exhibit K, Sheet 1, Column (4).</t>
  </si>
  <si>
    <t>Exhibit K, Sheet 1, Column (7).</t>
  </si>
  <si>
    <t>(4) to (7)</t>
  </si>
  <si>
    <t>Sum Columns (2) to (7).</t>
  </si>
  <si>
    <t>7. AY LLAE Ratio using CY ULAE</t>
  </si>
  <si>
    <t>(*) 2020 &amp;Prior</t>
  </si>
  <si>
    <t>CY Manual</t>
  </si>
  <si>
    <t>CY</t>
  </si>
  <si>
    <t>Limits have decreased</t>
  </si>
  <si>
    <t>Column (2) to Column (8) minus the cresponding Column (16) to (22)</t>
  </si>
  <si>
    <t>(18) to (21)</t>
  </si>
  <si>
    <t>Exhibit B, Sheet 2, Columns (9) to (12) minus Exhibit B, Sheet 3, Columns (9) to (12).</t>
  </si>
  <si>
    <t>(22)</t>
  </si>
  <si>
    <t>Sum of Columns (16) to (21).</t>
  </si>
  <si>
    <t>(9) to (14)</t>
  </si>
  <si>
    <t>Sum of Columns (9) to (14).</t>
  </si>
  <si>
    <t>------------------------------------------------------------------------------------Net Case O/S-------------------------------------------------------------------------------------------------------</t>
  </si>
  <si>
    <t>CT ERE/OC</t>
  </si>
  <si>
    <t xml:space="preserve">Direct Plus Assumed IBNR </t>
  </si>
  <si>
    <t>Indemnity plus Expense</t>
  </si>
  <si>
    <t>Indemnity Only</t>
  </si>
  <si>
    <t>Expense Only</t>
  </si>
  <si>
    <t xml:space="preserve">ULAE </t>
  </si>
  <si>
    <t xml:space="preserve">Ceded IBNR </t>
  </si>
  <si>
    <t xml:space="preserve">Net IBNR </t>
  </si>
  <si>
    <t xml:space="preserve">INTERGRIS RRG </t>
  </si>
  <si>
    <t>Relativity</t>
  </si>
  <si>
    <t>PP</t>
  </si>
  <si>
    <t>equals 2020 increased by the manual premium increase. Instead of flat 20% increase in P3 drops net IBNR by $1.4 M.</t>
  </si>
  <si>
    <t>OCC</t>
  </si>
  <si>
    <t>% Upaid</t>
  </si>
  <si>
    <t>Ex L3</t>
  </si>
  <si>
    <t>EX M3</t>
  </si>
  <si>
    <t>XS</t>
  </si>
  <si>
    <t>XS-to500k</t>
  </si>
  <si>
    <t>EX P2</t>
  </si>
  <si>
    <t>Based</t>
  </si>
  <si>
    <t>(21) Based on trend in Claims in suit frequency in (27)</t>
  </si>
  <si>
    <t>Non-Large IBNR</t>
  </si>
  <si>
    <t>% Urpt</t>
  </si>
  <si>
    <t>Ex L2</t>
  </si>
  <si>
    <t>EX M2</t>
  </si>
  <si>
    <t>Selected Ult</t>
  </si>
  <si>
    <t xml:space="preserve">Before Ceded </t>
  </si>
  <si>
    <t>Give Back</t>
  </si>
  <si>
    <t>MPL Only</t>
  </si>
  <si>
    <t>Selected xLarge</t>
  </si>
  <si>
    <t>Direct Plus Assumed Limits</t>
  </si>
  <si>
    <t xml:space="preserve">Coverage </t>
  </si>
  <si>
    <t xml:space="preserve">Based on a separate analysis of accident year 2019 &amp; Prior late reported cases. </t>
  </si>
  <si>
    <t>Exhibt I, Sheet 1, Column (5).</t>
  </si>
  <si>
    <t>(3) x (4)</t>
  </si>
  <si>
    <t xml:space="preserve">(2), (3), (4), (8)  </t>
  </si>
  <si>
    <t>Sheet 1e</t>
  </si>
  <si>
    <t>(5) x (16).</t>
  </si>
  <si>
    <t>Prior acts exposure assumed to be from Large Accounts.</t>
  </si>
  <si>
    <t>(9)/(2).</t>
  </si>
  <si>
    <t>(5)/(2).</t>
  </si>
  <si>
    <t>Exhibit D, Sheet 1, Column (17).</t>
  </si>
  <si>
    <t>Based on an internal assessment of Large Account cases.</t>
  </si>
  <si>
    <t xml:space="preserve">Exhibit D, Sheet 2, Column (6). </t>
  </si>
  <si>
    <t>Exhibit D, Sheet 4, Column (5)..</t>
  </si>
  <si>
    <t>MA xHAR</t>
  </si>
  <si>
    <t xml:space="preserve">(18), (25) From Off Balance Model as of 12.31.2021. </t>
  </si>
  <si>
    <t>5/10 Infections</t>
  </si>
  <si>
    <t>5/10 Injections</t>
  </si>
  <si>
    <t>Total x2021</t>
  </si>
  <si>
    <t>Total 2015 to 2020</t>
  </si>
  <si>
    <t xml:space="preserve">Ratio of Excess of $500,000 </t>
  </si>
  <si>
    <t>Direct CAO</t>
  </si>
  <si>
    <t>Ceded CAO</t>
  </si>
  <si>
    <t>Net CAO</t>
  </si>
  <si>
    <t>Calendar'</t>
  </si>
  <si>
    <t>From Exhibit AD, Sheet 8, 10 &amp;12, plus Exhibit N, Sheet 2, plus Exhibit O, Sheet 2, plus Exhibit U, Sheet 2, plus Exhibit V, Sheet 1</t>
  </si>
  <si>
    <t>From Schedule P.</t>
  </si>
  <si>
    <t>Exhibit V,1'!U29</t>
  </si>
  <si>
    <t>Exhibit V,1'!W29</t>
  </si>
  <si>
    <t>Includes deduction from RRG deducitbles in years 2016, 2018, &amp; 2019</t>
  </si>
  <si>
    <t>IIC Schedule P.</t>
  </si>
  <si>
    <t>(5)-(2)</t>
  </si>
  <si>
    <t>Sum Exhibit C, Sheets 1 and 2.</t>
  </si>
  <si>
    <t>RRG Deductibles</t>
  </si>
  <si>
    <t>Exhibit F, Sheet 1, Columns (7) and (8) for CT;  Exhibit U,Sheet 1, Columns (2) and (3) for MA;  RRG Exhibit A, Sheet 2, Column (11) and RRG Exhibit A, Sheet 3, Column (18) for RRG.</t>
  </si>
  <si>
    <t>Exhibit C, Sheet 1, Item 5..</t>
  </si>
  <si>
    <t>Based on payment patterns from Exhibits O and M for CT; Exhibit U, Sheets 5 and 8 for MA; RRG Exhibit A, Sheets 2 and 3 for RRG.</t>
  </si>
  <si>
    <t>Exhibit B, Sheet 2, Column (11).</t>
  </si>
  <si>
    <t xml:space="preserve">Direct from Exhibit B, Sheet 3, Net from Exhibit A, Sheet 1d, Item C. plus Exhibit A, Sheet 3, Item C. </t>
  </si>
  <si>
    <t xml:space="preserve">Direct from Exhibit B, Sheet 2, Net from Exhibit A, Sheet 1d, Item C. plus Exhibit A, Sheet 2, Item C. </t>
  </si>
  <si>
    <t>Items A. and C. are from Exhibit D, Sheet 3, Cloumn (9).</t>
  </si>
  <si>
    <t>Exhibit D, Sheet 4, Column (10).</t>
  </si>
  <si>
    <t>Item A: Exhibit B, Sheet 2 for CM and Exhibit B, Sheet 3 for MCM.</t>
  </si>
  <si>
    <t>Section B. is Section A., above, minus Total of Exhibit A, Section A., Sheets 2 and 3.</t>
  </si>
  <si>
    <t>Direct is Exhibit B, Sheet 2, Item D., Column (11)</t>
  </si>
  <si>
    <t>Direct is Exhibit B, Sheet 3, Item D., Column (18)</t>
  </si>
  <si>
    <t xml:space="preserve">Exhibit B, Sheet 2, Item E. plus Exhibit B, sheet 3, Item E. </t>
  </si>
  <si>
    <t>Exhibit V</t>
  </si>
  <si>
    <t>Item A: Appendix RRG, Exhibit B, Sheet 2 multiplied by 95%</t>
  </si>
  <si>
    <t xml:space="preserve">Item A: Appendix RRG, Exhibit B, Sheet 3 multiplied by 95% for </t>
  </si>
  <si>
    <t>Item B: Apendix RRG, Exhibit B, Sheet 2 minus Appendix RRG, Exhibt A, Sheet 2</t>
  </si>
  <si>
    <t>Item B: Apendix RRG, Exhibit B, Sheet 3 minus Appendix RRG, Exhibt A, Sheet 3</t>
  </si>
  <si>
    <t>Item A: Appendix RRG, Exhibit B, Sheet 2 multiplied by 100%</t>
  </si>
  <si>
    <t>Item A: Appendix RRG, Exhibit B, Sheet 3 multiplied by 100%</t>
  </si>
  <si>
    <t>Exhibit U, Sheet 10, Column (15) for Direct, Direct minus Exhibit U, Sheet 12, Column (11) for Net.</t>
  </si>
  <si>
    <t>Exhibit U, Sheet 10 for Direct, Exhibit U, Sheet 11 for Net.</t>
  </si>
  <si>
    <t xml:space="preserve">From Exhibit L, Sheet 2, plus Exhibit M, Sheet 2, plus Exhibit U, Sheet 2, plus Exhibit V, Sheet 1. </t>
  </si>
  <si>
    <t xml:space="preserve">From Exhibit L, Sheet 3, plus Exhibit M, Sheet 3, plus Exhibit U, Sheet 1, plus Exhibit V, Sheet 1. </t>
  </si>
  <si>
    <t>from Exhibit Q, Sheet 10.</t>
  </si>
  <si>
    <t>Based on product of (5) and occurrence emergence from Exhibit Q, Sheet 9.</t>
  </si>
  <si>
    <t>from Exhibit Q, Sheet 9.</t>
  </si>
  <si>
    <t>Based on product of (5) and occurrence emergence from Exhibit Q, Sheet 10.</t>
  </si>
  <si>
    <t>(3)  1-Exhibit Q, Sheet 5, Column (5).</t>
  </si>
  <si>
    <t>(10)-Exhibit G, Sheet 2, Column (2).</t>
  </si>
  <si>
    <t>Exhibit U, Sheet 1.</t>
  </si>
  <si>
    <t>Exhibit B, Sheet 1.</t>
  </si>
  <si>
    <t>Exhibit F, Sheet 1, Column (7) minus Exhibit F, Sheet 1, Column (7) from the 12/31/2020 Reserve Analysis.</t>
  </si>
  <si>
    <t>Exhibit F, Sheet 1, Column (8) minus Exhibit F, Sheet 1, Column (8) from the 12/31/2020 Reserve Analysis.</t>
  </si>
  <si>
    <t>Exhibit C, Line (5)*(.5xColumn (4), IIC Direct only+1.0xColumn (5), IIC Direct only)</t>
  </si>
  <si>
    <t>Based on product of (5) and ERE emergence pattern adjusted to mid year basis</t>
  </si>
  <si>
    <t>Direct and Net Limits - MPL OCC / ERE</t>
  </si>
  <si>
    <t>Assumed From Integris Risk Rention Group, Inc.</t>
  </si>
  <si>
    <t>INTEGRIS RISK RETENTION GROUP, INC.</t>
  </si>
  <si>
    <t>Based on (1) and (2).</t>
  </si>
  <si>
    <t>.</t>
  </si>
  <si>
    <t>Based on 12/31/2021 Reinsurance Bordereaux.</t>
  </si>
  <si>
    <t>From the 12/31/2021 Reserve Analysis.</t>
  </si>
  <si>
    <t>2020 and 2021 are set to $0 due to form following reinsurance:</t>
  </si>
  <si>
    <t>Item A. 2017 through 2019 include a provision for unemerged ceded losses based on a separate analysis of accident year 2019 &amp; Prior late reported claims.</t>
  </si>
  <si>
    <t xml:space="preserve">Sum Exhibit C, Sheets 1 and 2. </t>
  </si>
  <si>
    <t>levels and trend.</t>
  </si>
  <si>
    <t xml:space="preserve">(5)/(2). 2018 increased to reflect the uncertainty due to the low volume of reported losses </t>
  </si>
  <si>
    <t>to date. 2020 and 2021 based on Column (6) for 2020 &amp; Prior adjusted for premium</t>
  </si>
  <si>
    <t>Med ID is assumed fully developed and and Admin patterns are based on the med mal patterns accelerated 12 months.</t>
  </si>
  <si>
    <t>Admin patterns are based on the med mal patterns accelerated 12 months.</t>
  </si>
  <si>
    <t xml:space="preserve">2020 and 2021 selected pure premium from Exhibit T, Sheet 1; 2020 trended back </t>
  </si>
  <si>
    <t xml:space="preserve"> using a trend factor of</t>
  </si>
  <si>
    <t>Exhibit U, Sheet 5, Column (3) for CM; Exhibit U, Sheet 8, Column (3) for MCM.</t>
  </si>
  <si>
    <t>Exhibit U, Sheet 6, Column (3) for CM; Exhibit U, Sheet 9, Column (3) for MCM.</t>
  </si>
  <si>
    <t>Based on an internal review of operating expenses.</t>
  </si>
  <si>
    <t>Based on an internal  review of operating expenses.</t>
  </si>
  <si>
    <t>Data Evaluated as of 11/30/2022</t>
  </si>
  <si>
    <t>Coverage Year 2022 Premium Deficiency Reserve</t>
  </si>
  <si>
    <t>1. 2022 Net-of-Third-Party LALAE</t>
  </si>
  <si>
    <t>4. 2022 Net LLAE and Expense</t>
  </si>
  <si>
    <t>5. 2022 Net-of-Third Party Earned Premium</t>
  </si>
  <si>
    <t>8. 2022 Net Unearned Premium</t>
  </si>
  <si>
    <t>From the 12/31/2021 Reserve Report.</t>
  </si>
  <si>
    <t>Based on IIC's 2007-2021 Annual Statement - Schedule P Summary.</t>
  </si>
  <si>
    <t>(3)  At ultimate as evaluated at 12/31/21.</t>
  </si>
  <si>
    <t>(3)  At Ultimate as evaluated at 12/31/21.</t>
  </si>
  <si>
    <t>From IIC  12/31/20 Reserve Report.</t>
  </si>
  <si>
    <t xml:space="preserve">(4)  Selected 2022 initial selected pure premium from Exhibit T, Sheet 1 trended back </t>
  </si>
  <si>
    <t>Prior Reserve Review Pure Premium trended to 2022</t>
  </si>
  <si>
    <t>Selected 2022 Pure Premium</t>
  </si>
  <si>
    <t>From 12/31/21 Reserve Analysis trended to Report Year 2022 using a trend of</t>
  </si>
  <si>
    <t xml:space="preserve">(6) trended to 2022 assuming annual trend of </t>
  </si>
  <si>
    <t>From the December 2021 Actuarial Report.</t>
  </si>
  <si>
    <t>From 2021 Reserve Analysis.</t>
  </si>
  <si>
    <t>From Actual vs Expected analysis as of 12/31//2022.</t>
  </si>
  <si>
    <t>Note: The selected 47 to 59 LDF of 1.00 considers the accumulation of the 59 to 95 x2020 to 2022 LDFs which is slightly less than 1.000.</t>
  </si>
  <si>
    <t>Excess Schedule X Input</t>
  </si>
  <si>
    <t>(4)-(6)</t>
  </si>
  <si>
    <t>239-241</t>
  </si>
  <si>
    <t xml:space="preserve">Incremental </t>
  </si>
  <si>
    <t>2021 assumes an increase of</t>
  </si>
  <si>
    <t>Selected 2020 Pure Premium</t>
  </si>
  <si>
    <t>CY 2022</t>
  </si>
  <si>
    <t>As of 12/31/2022</t>
  </si>
  <si>
    <t>Paid based on total Sched X</t>
  </si>
  <si>
    <t>Paid based on sum of 500K and XS500K</t>
  </si>
  <si>
    <t>This column shows that the sum of 2021 500K plus XS500K equals the 2021 Total Sched x</t>
  </si>
  <si>
    <t>The $431K is the difference between the sum of the 2022 500K plus XS500K and the 2022 Total Shed X</t>
  </si>
  <si>
    <t>AS of 2021</t>
  </si>
  <si>
    <t>(18)-(15)</t>
  </si>
  <si>
    <t>Volume 7 Cumulative</t>
  </si>
  <si>
    <t>LOSS ONLY</t>
  </si>
  <si>
    <t>&gt;=LY 2000</t>
  </si>
  <si>
    <t>Change in</t>
  </si>
  <si>
    <t>(15)-(17)</t>
  </si>
  <si>
    <t>(11)-(19)</t>
  </si>
  <si>
    <t>1994-2021</t>
  </si>
  <si>
    <t>CEDED</t>
  </si>
  <si>
    <t>PAID</t>
  </si>
  <si>
    <t>Ceded Ultimate Losses</t>
  </si>
  <si>
    <t>SNR</t>
  </si>
  <si>
    <t>(22)-(24)</t>
  </si>
  <si>
    <t>(23)-(25)</t>
  </si>
  <si>
    <t>From</t>
  </si>
  <si>
    <t>Months</t>
  </si>
  <si>
    <t>Develped</t>
  </si>
  <si>
    <t>(14)-(16)</t>
  </si>
  <si>
    <t>Exhibit B, Sheet 3, Columns (3) and (4).</t>
  </si>
  <si>
    <t>From December 31,20122 Sched X for RRG MCM and individual large accounts.</t>
  </si>
  <si>
    <t>Selected.</t>
  </si>
  <si>
    <t>Adjusted for premium adequacy and trend.</t>
  </si>
  <si>
    <t xml:space="preserve">(3)+(4). </t>
  </si>
  <si>
    <t>Selected. Item C.=Item A.*(.025/.975)</t>
  </si>
  <si>
    <t>2022</t>
  </si>
  <si>
    <t>Case Number</t>
  </si>
  <si>
    <t>Severity</t>
  </si>
  <si>
    <t>Status</t>
  </si>
  <si>
    <t>Loss Year</t>
  </si>
  <si>
    <t>Incident Year</t>
  </si>
  <si>
    <t>4 Final</t>
  </si>
  <si>
    <t>Harrington Open Cases</t>
  </si>
  <si>
    <t>Policy Type</t>
  </si>
  <si>
    <t>OC</t>
  </si>
  <si>
    <t>Need to decide on retained</t>
  </si>
  <si>
    <t>(6)+(7).</t>
  </si>
  <si>
    <t>From December 31,2022 Sched X for MA MCM and individual large accounts.</t>
  </si>
  <si>
    <t xml:space="preserve">Internal Premium Reports. </t>
  </si>
  <si>
    <t>510s</t>
  </si>
  <si>
    <t>(Large Only)</t>
  </si>
  <si>
    <t>Seleted</t>
  </si>
  <si>
    <t>(7)+(23)-(25)</t>
  </si>
  <si>
    <t>at 12/31/22</t>
  </si>
  <si>
    <t>This appears to be the Amount from 2020 CM MedID</t>
  </si>
  <si>
    <t>Reported check to GL:</t>
  </si>
  <si>
    <t xml:space="preserve">Ultimate and Unpaid Losses </t>
  </si>
  <si>
    <t>A. Direct RRG Medical Malpractice CM</t>
  </si>
  <si>
    <t>B. Direct RRG Medical ID CM</t>
  </si>
  <si>
    <t>C. Direct RRG Administrative Expense CM</t>
  </si>
  <si>
    <t>D. Quota Share Ceded</t>
  </si>
  <si>
    <t>C. Quota Share Ceded</t>
  </si>
  <si>
    <t>D. Direct RRG Total CM</t>
  </si>
  <si>
    <t>D. Net</t>
  </si>
  <si>
    <t>B. Net</t>
  </si>
  <si>
    <t>From Alt Ults</t>
  </si>
  <si>
    <t>From Prior Reserve Analysis</t>
  </si>
  <si>
    <t>1994 to 2021</t>
  </si>
  <si>
    <t>Alt Ults IBNR</t>
  </si>
  <si>
    <t>Need to decide what to do here</t>
  </si>
  <si>
    <t xml:space="preserve"> </t>
  </si>
  <si>
    <t>3.2022 Ult LALAE</t>
  </si>
  <si>
    <t>4.2022 Paid LALAE</t>
  </si>
  <si>
    <t xml:space="preserve"> LALAE</t>
  </si>
  <si>
    <t>Added To</t>
  </si>
  <si>
    <t>IBNR Adjustment</t>
  </si>
  <si>
    <t>Col (6)</t>
  </si>
  <si>
    <t>(6a)</t>
  </si>
  <si>
    <t>(6b)</t>
  </si>
  <si>
    <t>2.5 projected ult cases from Alt Ults</t>
  </si>
  <si>
    <t>Severe</t>
  </si>
  <si>
    <t>Claims</t>
  </si>
  <si>
    <t>Average=</t>
  </si>
  <si>
    <t>Reported (CM)/</t>
  </si>
  <si>
    <t>Ultimate (MCM)</t>
  </si>
  <si>
    <t>x2022</t>
  </si>
  <si>
    <t>Annual</t>
  </si>
  <si>
    <t>2016 to 2021</t>
  </si>
  <si>
    <t>2008 to 2021</t>
  </si>
  <si>
    <t>(2)-(13)</t>
  </si>
  <si>
    <t>(2)-(15)</t>
  </si>
  <si>
    <t>(7)-(19)</t>
  </si>
  <si>
    <t>(8)-(20)</t>
  </si>
  <si>
    <t>(21)+(22)</t>
  </si>
  <si>
    <t>Alt Ults</t>
  </si>
  <si>
    <t>Reported 2012 to 2022=</t>
  </si>
  <si>
    <t>Ults 2012 to 2022=</t>
  </si>
  <si>
    <t>Reserve Model</t>
  </si>
  <si>
    <t>The $138 is less than the paid in the Alt Ults spreadsheet</t>
  </si>
  <si>
    <t>D. Quota Share Ceded-to-Direct Check:</t>
  </si>
  <si>
    <t>Third Party</t>
  </si>
  <si>
    <t xml:space="preserve">RRG CM </t>
  </si>
  <si>
    <t>2022 set eqaul to 2021 for now</t>
  </si>
  <si>
    <t>Check against CAO Model:</t>
  </si>
  <si>
    <t xml:space="preserve">From a separate analysis of IIC net-to-direct experience. </t>
  </si>
  <si>
    <t xml:space="preserve"> xCAO,xSNR</t>
  </si>
  <si>
    <t>Expected=</t>
  </si>
  <si>
    <t>per $1 Million</t>
  </si>
  <si>
    <t xml:space="preserve">Assumed weighted average </t>
  </si>
  <si>
    <t>Experiience period midpoint</t>
  </si>
  <si>
    <t>Experience Period</t>
  </si>
  <si>
    <t>Non-Large MCM</t>
  </si>
  <si>
    <t>Non-Large CM</t>
  </si>
  <si>
    <t>Intial</t>
  </si>
  <si>
    <t>Loss ratio</t>
  </si>
  <si>
    <t>````</t>
  </si>
  <si>
    <t>500 CM</t>
  </si>
  <si>
    <t>ON-Level</t>
  </si>
  <si>
    <t>500 OC</t>
  </si>
  <si>
    <t>XS OC</t>
  </si>
  <si>
    <t>XS CM</t>
  </si>
  <si>
    <t>CM Alt Ults</t>
  </si>
  <si>
    <t>MCM Alt Ults</t>
  </si>
  <si>
    <t>Rpt</t>
  </si>
  <si>
    <t>BF</t>
  </si>
  <si>
    <t>BF Adjustment</t>
  </si>
  <si>
    <t>RPT BF</t>
  </si>
  <si>
    <t>RPT BF SUM&gt;2016</t>
  </si>
  <si>
    <t>BF RPT</t>
  </si>
  <si>
    <t>2022 EP</t>
  </si>
  <si>
    <t>LALAE Ratio</t>
  </si>
  <si>
    <t>Med Mal Only</t>
  </si>
  <si>
    <t>Non Large</t>
  </si>
  <si>
    <t>Non Large inc 510s</t>
  </si>
  <si>
    <t>December 31, 2021 to  December 31, 2022</t>
  </si>
  <si>
    <t>3. Current Loss Year Ultimate LALAE</t>
  </si>
  <si>
    <t>5. 12/31/2021 Actuarial ULAE Reserve=</t>
  </si>
  <si>
    <t>2017 is negative because of CAO IBNR?</t>
  </si>
  <si>
    <t>2019,2022 are negative because Sched X is not ceding 95% of case O/S</t>
  </si>
  <si>
    <t>No open claims</t>
  </si>
  <si>
    <t>Only 2 cases non-final reserved</t>
  </si>
  <si>
    <t>x2020 to 2022</t>
  </si>
  <si>
    <t>5. 12/31/2021 ULAE Reserve=</t>
  </si>
  <si>
    <t>LLAE Ratio</t>
  </si>
  <si>
    <t>why is there negative IBNR in 2017?</t>
  </si>
  <si>
    <t>Col (2)/Col (3)=</t>
  </si>
  <si>
    <t>Selected Factor</t>
  </si>
  <si>
    <t>Reflects the decrease in frequency on these years</t>
  </si>
  <si>
    <t>No open severe</t>
  </si>
  <si>
    <t>1 open final reserve severe . RY Reported=</t>
  </si>
  <si>
    <t>2020-22</t>
  </si>
  <si>
    <t>1 open non-final</t>
  </si>
  <si>
    <t xml:space="preserve"> (7) IIC-RRG assumed ULAE reserve</t>
  </si>
  <si>
    <t>95% of  IIC-RRG gross ULAE reserve from RRG Appendix.</t>
  </si>
  <si>
    <t>Dir</t>
  </si>
  <si>
    <t>Selected Direct Ult</t>
  </si>
  <si>
    <t>Earned Premium xDDR</t>
  </si>
  <si>
    <t>4 open non-final reserve with Direct IBNR of</t>
  </si>
  <si>
    <t>and net IBNR of</t>
  </si>
  <si>
    <t>noreported/5.1 IBNR</t>
  </si>
  <si>
    <t>1 open severe Seaview file with $139K o/s. 4.6 ult.</t>
  </si>
  <si>
    <t>Current Indicated LALAE Ratio</t>
  </si>
  <si>
    <t xml:space="preserve">Coverage Year 2022 Loss and Allocated Loss Adjustment Expense </t>
  </si>
  <si>
    <t>Coverage Year 2022 Loss and Loss Adjustment Expense Ratio</t>
  </si>
  <si>
    <t>2022 vs 2021</t>
  </si>
  <si>
    <t>GL=</t>
  </si>
  <si>
    <t>IIC Sched X</t>
  </si>
  <si>
    <t>w/ IIC Sched X</t>
  </si>
  <si>
    <t>Reconciling</t>
  </si>
  <si>
    <t>Reserve Study</t>
  </si>
  <si>
    <t>Item</t>
  </si>
  <si>
    <t>On-Level EP</t>
  </si>
  <si>
    <t>Selected Direct Ult for 2019 and 2020</t>
  </si>
  <si>
    <t>2022 adjusted to get to 92.5</t>
  </si>
  <si>
    <t>Added $2.0 M of Direct and net IBNR to cover the 4 open severe</t>
  </si>
  <si>
    <t xml:space="preserve">RRG </t>
  </si>
  <si>
    <t>D&amp;A and Net</t>
  </si>
  <si>
    <t>Dir CY Paid</t>
  </si>
  <si>
    <t>IIG</t>
  </si>
  <si>
    <t>ALL</t>
  </si>
  <si>
    <t>O/S ULAE</t>
  </si>
  <si>
    <t>2011 to 2021</t>
  </si>
  <si>
    <t>Exhibit U, Sheet 4, Column (6) for CM and Exhbit U, Sheet 7, Column (7) for MCM.</t>
  </si>
  <si>
    <t>Exhibit U, Sheet 10, Column (6) for Direct, Exhibit U, Sheet 12, Column (4) for Net.</t>
  </si>
  <si>
    <t>% Ult</t>
  </si>
  <si>
    <t>at 12/31/2022</t>
  </si>
  <si>
    <t>Prior Ults</t>
  </si>
  <si>
    <t>Coverage Year 2022</t>
  </si>
  <si>
    <t>Name</t>
  </si>
  <si>
    <t>Ending Reserve</t>
  </si>
  <si>
    <t>Current Indicated Ultimate Loss Ratio</t>
  </si>
  <si>
    <t>Indicated Reserve - Net</t>
  </si>
  <si>
    <t>Indicated Reserve - D&amp;A</t>
  </si>
  <si>
    <t>Change in Ultimate Losses by portfolios</t>
  </si>
  <si>
    <t>Exhibit B,S1a</t>
  </si>
  <si>
    <t>Current indicated Ultimate Loss</t>
  </si>
  <si>
    <t>Prior Indicated Ultimate Loss</t>
  </si>
  <si>
    <t>Selected ULAE Ratio</t>
  </si>
  <si>
    <t>Selected ALAE Ratio</t>
  </si>
  <si>
    <t>CT Ceded Ultimate</t>
  </si>
  <si>
    <t>CT Direct, Ceded, Net details</t>
  </si>
  <si>
    <t>CT OCC Ceded Ultimate</t>
  </si>
  <si>
    <t>CT OCC Ceded Ultimate - based on reported</t>
  </si>
  <si>
    <t>CT OCC Ceded Ultimate - based on paid</t>
  </si>
  <si>
    <t>CT CM Ceded Ultimate - BF reported</t>
  </si>
  <si>
    <t>CT CM Ceded Ultimate - BF paid</t>
  </si>
  <si>
    <t>Selected CT CM Ceded Ultimate</t>
  </si>
  <si>
    <t>CT CM Ceded Ultimate - reported</t>
  </si>
  <si>
    <t>CT CM Ceded Ultimate - paid</t>
  </si>
  <si>
    <t>CT CM Ceded Ultimate - reporting pattern</t>
  </si>
  <si>
    <t>CT CM Ceded Ultimate - payment pattern</t>
  </si>
  <si>
    <t>Expected CT OCC Ceded Loss</t>
  </si>
  <si>
    <t>Expected CT CM Ceded Loss</t>
  </si>
  <si>
    <t>Selected CT Ultimate - Direct</t>
  </si>
  <si>
    <t>Selected CT Ultimate - Direct - Detail</t>
  </si>
  <si>
    <t>Selected CT OCC Ultimate - Excess</t>
  </si>
  <si>
    <t>CT OCC Ultimate - Excess - BF Reported</t>
  </si>
  <si>
    <t>CT OCC Ultimate - Excess - BF Paid</t>
  </si>
  <si>
    <t>Selected CT OCC Ultimate - 500K</t>
  </si>
  <si>
    <t>CT OCC Ultimate - 500K - BF Reported</t>
  </si>
  <si>
    <t>CT OCC Ultimate - 500K - BF Paid</t>
  </si>
  <si>
    <t>Selected CT CM Ultimate - Excess</t>
  </si>
  <si>
    <t>CT CM Ultimate - Excess - BF Reported</t>
  </si>
  <si>
    <t>CT CM Ultimate - Excess - BF Paid</t>
  </si>
  <si>
    <t>Selected CT CM Ultimate - 500K</t>
  </si>
  <si>
    <t>CT CM Ultimate - 500K - BF Reported</t>
  </si>
  <si>
    <t>CT CM Ultimate - 500K - BF Paid</t>
  </si>
  <si>
    <t>CT CM Expected Loss</t>
  </si>
  <si>
    <t>CT OCC Expected Loss</t>
  </si>
  <si>
    <t>CT CM Mature lag</t>
  </si>
  <si>
    <t>CT 500K Reporting Pattern</t>
  </si>
  <si>
    <t>MA 500K Reporting Pattern</t>
  </si>
  <si>
    <t>CT 500K Payment Pattern</t>
  </si>
  <si>
    <t>MA 500K Payment Pattern</t>
  </si>
  <si>
    <t>CT Excess Reporting Pattern</t>
  </si>
  <si>
    <t>CT Excess Payment Pattern</t>
  </si>
  <si>
    <t>MA Total Reporting Pattern</t>
  </si>
  <si>
    <t>MA Total Payment Pattern</t>
  </si>
  <si>
    <t>CT OCC Emergence Pattern</t>
  </si>
  <si>
    <t>MA OCC Emergence Pattern</t>
  </si>
  <si>
    <t>Reconciliation of Schedule P - CM</t>
  </si>
  <si>
    <t>Reconciliation of Schedule P - OCC</t>
  </si>
  <si>
    <t>Reconciliation of Schedule P - Total</t>
  </si>
  <si>
    <t>Selected 500K Pure Premium</t>
  </si>
  <si>
    <t>Selected 500K Pure Premium - Paid - CT CM</t>
  </si>
  <si>
    <t>Selected 500K Pure Premium - Reported - CT CM</t>
  </si>
  <si>
    <t>Selected Ultimate and Reserve MA Total - D&amp;A</t>
  </si>
  <si>
    <t>Selected Ultimate and IBNR MA Total - D&amp;A</t>
  </si>
  <si>
    <t>Change in Ultimate - MA</t>
  </si>
  <si>
    <t>Selected Ultimate - MA CM D&amp;A</t>
  </si>
  <si>
    <t>Ultimate based on Paid - MA CM D&amp;A</t>
  </si>
  <si>
    <t>Ultimate based on Reported - MA CM D&amp;A</t>
  </si>
  <si>
    <t>Selected Ultimate - MA MCM D&amp;A</t>
  </si>
  <si>
    <t>Ultimate based on Paid - MA MCM D&amp;A</t>
  </si>
  <si>
    <t>Ultimate based on Reported - MA MCM D&amp;A</t>
  </si>
  <si>
    <t>Expected Loss - MA - Direct</t>
  </si>
  <si>
    <t>Expected Loss - MA - Direct - Non-Large</t>
  </si>
  <si>
    <t>Expected Loss - MA - Net</t>
  </si>
  <si>
    <t>Assumed RRG</t>
  </si>
  <si>
    <t>Exhibit W,1</t>
  </si>
  <si>
    <t>CY PDR</t>
  </si>
  <si>
    <t>Med Mal Third-Party Cessions</t>
  </si>
  <si>
    <t>CM Net of Q/S</t>
  </si>
  <si>
    <t>MCM Net of Q/S</t>
  </si>
  <si>
    <t>MPL CM Net of Third-Party</t>
  </si>
  <si>
    <t>MPL MCM Net of Third-Party</t>
  </si>
  <si>
    <t>Reserve  - Direct</t>
  </si>
  <si>
    <t>Reserve  - Direct - CM</t>
  </si>
  <si>
    <t>Reserve  - Direct - MCM</t>
  </si>
  <si>
    <t xml:space="preserve">Reconciliation of Schedule P - CM </t>
  </si>
  <si>
    <t xml:space="preserve">Reconciliation of Schedule P - MCM </t>
  </si>
  <si>
    <t>Expected Loss - MCM Non-Large - Direct</t>
  </si>
  <si>
    <t>Expected Loss - CM - Direct</t>
  </si>
  <si>
    <t>Exhibit D,4</t>
  </si>
  <si>
    <t>Expected Loss - Net</t>
  </si>
  <si>
    <t>CT - Total - 500K - Reported</t>
  </si>
  <si>
    <t>CT - Total - 500K - Paid</t>
  </si>
  <si>
    <t>CT - Total - Excess - Reported</t>
  </si>
  <si>
    <t>CT - Total - Excess - Paid</t>
  </si>
  <si>
    <t>MA - Total - 500K - Reported</t>
  </si>
  <si>
    <t>MA - Total - 500K - Paid</t>
  </si>
  <si>
    <t>MA - Total - Total - Reported</t>
  </si>
  <si>
    <t>MA - Total - Total - Paid</t>
  </si>
  <si>
    <t>CT - Total - ALAE Ratio</t>
  </si>
  <si>
    <t>CT - Total - 500K-to-Excess Ratio</t>
  </si>
  <si>
    <t>Link</t>
  </si>
  <si>
    <t>Tab Link</t>
  </si>
  <si>
    <t>Exhibit D, 1</t>
  </si>
  <si>
    <t>Exhibit A, 1a</t>
  </si>
  <si>
    <t>Exhibit A, 1b</t>
  </si>
  <si>
    <t>Exhibit A, 1c</t>
  </si>
  <si>
    <t>Exhibit A, 1d</t>
  </si>
  <si>
    <t>Exhibit A, 1e</t>
  </si>
  <si>
    <t>Exhibit R,S1</t>
  </si>
  <si>
    <t>Exhibit R,S2</t>
  </si>
  <si>
    <t>Exhibit R,S3</t>
  </si>
  <si>
    <t>Exhibit R,S4</t>
  </si>
  <si>
    <t>Exhibit R,S5</t>
  </si>
  <si>
    <t>Exhibit R,S6</t>
  </si>
  <si>
    <t>Exhibit R,S7</t>
  </si>
  <si>
    <t>Exhibit R,S8</t>
  </si>
  <si>
    <t>Exhibit R,S9</t>
  </si>
  <si>
    <t>Exhibit E, 1</t>
  </si>
  <si>
    <t>Exhibit R,10</t>
  </si>
  <si>
    <t>MA+RRG</t>
  </si>
  <si>
    <t>8. Direct is Column (1), Line 7. minus Column (2), Line 7; Net is Column (3), Line 7. minus Column (4), Line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</si>
</sst>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yy"/>
    <numFmt numFmtId="165" formatCode="0.0%"/>
    <numFmt numFmtId="166" formatCode="0.000"/>
    <numFmt numFmtId="167" formatCode="[$$-409]#,##0"/>
    <numFmt numFmtId="168" formatCode="#,##0.000"/>
    <numFmt numFmtId="169" formatCode=";;;"/>
    <numFmt numFmtId="170" formatCode="0_);\(0\)"/>
    <numFmt numFmtId="171" formatCode="&quot;$&quot;#,##0"/>
    <numFmt numFmtId="172" formatCode="0.0000"/>
    <numFmt numFmtId="173" formatCode="_(&quot;$&quot;* #,##0_);_(&quot;$&quot;* \(#,##0\);_(&quot;$&quot;* &quot;-&quot;??_);_(@_)"/>
    <numFmt numFmtId="174" formatCode="_(* #,##0_);_(* \(#,##0\);_(* &quot;-&quot;??_);_(@_)"/>
    <numFmt numFmtId="175" formatCode="_(* #,##0.0_);_(* \(#,##0.0\);_(* &quot;-&quot;??_);_(@_)"/>
    <numFmt numFmtId="176" formatCode="[$-10409]&quot;$&quot;#,##0.00;\(&quot;$&quot;#,##0.00\)"/>
    <numFmt numFmtId="177" formatCode="#,##0.0"/>
    <numFmt numFmtId="178" formatCode="[$$-409]#,##0.00"/>
    <numFmt numFmtId="179" formatCode="0.000000000000000%"/>
    <numFmt numFmtId="180" formatCode="_(* #,##0.000_);_(* \(#,##0.000\);_(* &quot;-&quot;??_);_(@_)"/>
    <numFmt numFmtId="181" formatCode="_(&quot;$&quot;* #,##0.0_);_(&quot;$&quot;* \(#,##0.0\);_(&quot;$&quot;* &quot;-&quot;??_);_(@_)"/>
    <numFmt numFmtId="182" formatCode="_(&quot;$&quot;* #,##0.0_);_(&quot;$&quot;* \(#,##0.0\);_(&quot;$&quot;* &quot;-&quot;?_);_(@_)"/>
    <numFmt numFmtId="183" formatCode="_(&quot;$&quot;* #,##0.0000_);_(&quot;$&quot;* \(#,##0.0000\);_(&quot;$&quot;* &quot;-&quot;??_);_(@_)"/>
    <numFmt numFmtId="184" formatCode="_(* #,##0.0_);_(* \(#,##0.0\);_(* &quot;-&quot;?_);_(@_)"/>
    <numFmt numFmtId="185" formatCode="#,##0.000_)"/>
    <numFmt numFmtId="186" formatCode="#,##0.000_);\(#,##0.000\)"/>
    <numFmt numFmtId="187" formatCode="...000"/>
    <numFmt numFmtId="188" formatCode="&quot;$&quot;#,##0.00"/>
    <numFmt numFmtId="189" formatCode="_(* #,##0.000000_);_(* \(#,##0.000000\);_(* &quot;-&quot;??_);_(@_)"/>
    <numFmt numFmtId="190" formatCode="0.000000"/>
    <numFmt numFmtId="191" formatCode="0.0000%"/>
    <numFmt numFmtId="192" formatCode="_(* #,##0.0000_);_(* \(#,##0.0000\);_(* &quot;-&quot;??_);_(@_)"/>
    <numFmt numFmtId="193" formatCode="#,##0.000_);[Red]\(#,##0.000\)"/>
    <numFmt numFmtId="194" formatCode="[$$-409]#,##0_);\([$$-409]#,##0\)"/>
  </numFmts>
  <fonts count="47">
    <font>
      <sz val="12"/>
      <name val="Arial"/>
    </font>
    <font>
      <sz val="10"/>
      <color theme="1"/>
      <name val="open sans"/>
      <family val="2"/>
    </font>
    <font>
      <sz val="10"/>
      <color theme="1"/>
      <name val="Open Sans"/>
      <family val="2"/>
    </font>
    <font>
      <sz val="10"/>
      <color theme="1"/>
      <name val="Open Sans"/>
      <family val="2"/>
    </font>
    <font>
      <sz val="10"/>
      <color theme="1"/>
      <name val="Open Sans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name val="Open Sans"/>
      <family val="2"/>
    </font>
    <font>
      <b/>
      <sz val="11"/>
      <name val="Open Sans"/>
      <family val="2"/>
    </font>
    <font>
      <sz val="11"/>
      <color rgb="FFFF0000"/>
      <name val="Open Sans"/>
      <family val="2"/>
    </font>
    <font>
      <sz val="11"/>
      <color rgb="FF000000"/>
      <name val="Open Sans"/>
      <family val="2"/>
    </font>
    <font>
      <u/>
      <sz val="11"/>
      <color rgb="FF000000"/>
      <name val="Open Sans"/>
      <family val="2"/>
    </font>
    <font>
      <b/>
      <sz val="11"/>
      <color rgb="FF000000"/>
      <name val="Open Sans"/>
      <family val="2"/>
    </font>
    <font>
      <b/>
      <u/>
      <sz val="11"/>
      <color rgb="FF000000"/>
      <name val="Open Sans"/>
      <family val="2"/>
    </font>
    <font>
      <b/>
      <sz val="11"/>
      <color rgb="FFFF0000"/>
      <name val="Open Sans"/>
      <family val="2"/>
    </font>
    <font>
      <sz val="11"/>
      <color theme="1"/>
      <name val="Open Sans"/>
      <family val="2"/>
    </font>
    <font>
      <u/>
      <sz val="11"/>
      <color rgb="FFFF0000"/>
      <name val="Open Sans"/>
      <family val="2"/>
    </font>
    <font>
      <u/>
      <sz val="11"/>
      <name val="Open Sans"/>
      <family val="2"/>
    </font>
    <font>
      <sz val="11"/>
      <color rgb="FF00B0F0"/>
      <name val="Open Sans"/>
      <family val="2"/>
    </font>
    <font>
      <sz val="11"/>
      <color rgb="FF00B050"/>
      <name val="Open Sans"/>
      <family val="2"/>
    </font>
    <font>
      <sz val="11"/>
      <color theme="8"/>
      <name val="Open Sans"/>
      <family val="2"/>
    </font>
    <font>
      <sz val="11"/>
      <color rgb="FFFFC000"/>
      <name val="Open Sans"/>
      <family val="2"/>
    </font>
    <font>
      <sz val="10"/>
      <name val="Arial"/>
      <family val="2"/>
    </font>
    <font>
      <b/>
      <sz val="11"/>
      <color theme="1"/>
      <name val="Open Sans"/>
      <family val="2"/>
    </font>
    <font>
      <sz val="12"/>
      <color rgb="FF000000"/>
      <name val="Arial"/>
      <family val="2"/>
    </font>
    <font>
      <sz val="11"/>
      <name val="Calibri"/>
      <family val="2"/>
    </font>
    <font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Open Sans"/>
      <family val="2"/>
    </font>
    <font>
      <sz val="10"/>
      <name val="Open Sans"/>
      <family val="2"/>
    </font>
    <font>
      <sz val="12"/>
      <color rgb="FFFF0000"/>
      <name val="Arial"/>
      <family val="2"/>
    </font>
    <font>
      <sz val="12"/>
      <color rgb="FFFF0000"/>
      <name val="Arial"/>
      <family val="2"/>
    </font>
    <font>
      <sz val="10"/>
      <color rgb="FFFF0000"/>
      <name val="Open Sans"/>
      <family val="2"/>
    </font>
    <font>
      <b/>
      <sz val="10"/>
      <color rgb="FF000000"/>
      <name val="Open Sans"/>
      <family val="2"/>
    </font>
    <font>
      <sz val="11"/>
      <color rgb="FFFF0000"/>
      <name val="Calibri"/>
      <family val="2"/>
    </font>
    <font>
      <b/>
      <sz val="10"/>
      <name val="Open Sans"/>
      <family val="2"/>
    </font>
    <font>
      <strike/>
      <sz val="10"/>
      <name val="Open Sans"/>
      <family val="2"/>
    </font>
    <font>
      <b/>
      <sz val="10"/>
      <color theme="1"/>
      <name val="open sans"/>
      <family val="2"/>
    </font>
    <font>
      <u/>
      <sz val="12"/>
      <color theme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</borders>
  <cellStyleXfs count="27">
    <xf numFmtId="0" fontId="0" fillId="0" borderId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7" fillId="0" borderId="0"/>
    <xf numFmtId="0" fontId="6" fillId="0" borderId="0"/>
    <xf numFmtId="0" fontId="10" fillId="0" borderId="0"/>
    <xf numFmtId="43" fontId="5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1" fillId="0" borderId="0"/>
    <xf numFmtId="0" fontId="11" fillId="0" borderId="0"/>
    <xf numFmtId="0" fontId="4" fillId="0" borderId="0"/>
    <xf numFmtId="43" fontId="4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" fillId="0" borderId="0"/>
    <xf numFmtId="0" fontId="3" fillId="0" borderId="0"/>
    <xf numFmtId="43" fontId="3" fillId="0" borderId="0" applyFont="0" applyFill="0" applyBorder="0" applyAlignment="0" applyProtection="0"/>
    <xf numFmtId="0" fontId="28" fillId="0" borderId="0"/>
    <xf numFmtId="0" fontId="10" fillId="0" borderId="0"/>
    <xf numFmtId="0" fontId="35" fillId="0" borderId="0"/>
    <xf numFmtId="43" fontId="10" fillId="0" borderId="0" applyFont="0" applyFill="0" applyBorder="0" applyAlignment="0" applyProtection="0"/>
    <xf numFmtId="0" fontId="10" fillId="0" borderId="0"/>
    <xf numFmtId="0" fontId="46" fillId="0" borderId="0" applyNumberFormat="0" applyFill="0" applyBorder="0" applyAlignment="0" applyProtection="0"/>
  </cellStyleXfs>
  <cellXfs count="634">
    <xf numFmtId="0" fontId="0" fillId="0" borderId="0" xfId="0"/>
    <xf numFmtId="0" fontId="13" fillId="0" borderId="0" xfId="0" applyFont="1"/>
    <xf numFmtId="0" fontId="13" fillId="0" borderId="0" xfId="0" quotePrefix="1" applyFont="1" applyAlignment="1">
      <alignment horizontal="center"/>
    </xf>
    <xf numFmtId="0" fontId="13" fillId="0" borderId="0" xfId="0" quotePrefix="1" applyFont="1" applyAlignment="1">
      <alignment horizontal="left"/>
    </xf>
    <xf numFmtId="0" fontId="14" fillId="0" borderId="0" xfId="0" applyFont="1" applyAlignment="1">
      <alignment horizontal="centerContinuous"/>
    </xf>
    <xf numFmtId="0" fontId="13" fillId="0" borderId="0" xfId="0" applyFont="1" applyAlignment="1">
      <alignment horizontal="centerContinuous"/>
    </xf>
    <xf numFmtId="0" fontId="13" fillId="0" borderId="0" xfId="0" applyFont="1" applyAlignment="1">
      <alignment horizontal="center"/>
    </xf>
    <xf numFmtId="0" fontId="13" fillId="0" borderId="2" xfId="0" quotePrefix="1" applyFont="1" applyBorder="1" applyAlignment="1">
      <alignment horizontal="centerContinuous"/>
    </xf>
    <xf numFmtId="0" fontId="13" fillId="0" borderId="2" xfId="0" applyFont="1" applyBorder="1" applyAlignment="1">
      <alignment horizontal="centerContinuous"/>
    </xf>
    <xf numFmtId="170" fontId="13" fillId="0" borderId="1" xfId="0" applyNumberFormat="1" applyFont="1" applyBorder="1" applyAlignment="1">
      <alignment horizontal="center"/>
    </xf>
    <xf numFmtId="170" fontId="13" fillId="0" borderId="3" xfId="0" applyNumberFormat="1" applyFont="1" applyBorder="1" applyAlignment="1">
      <alignment horizontal="center"/>
    </xf>
    <xf numFmtId="170" fontId="13" fillId="0" borderId="0" xfId="0" applyNumberFormat="1" applyFont="1" applyAlignment="1">
      <alignment horizontal="center"/>
    </xf>
    <xf numFmtId="170" fontId="13" fillId="0" borderId="0" xfId="0" applyNumberFormat="1" applyFont="1" applyAlignment="1">
      <alignment horizontal="left"/>
    </xf>
    <xf numFmtId="173" fontId="13" fillId="0" borderId="0" xfId="2" applyNumberFormat="1" applyFont="1" applyFill="1" applyBorder="1" applyAlignment="1">
      <alignment horizontal="center"/>
    </xf>
    <xf numFmtId="174" fontId="13" fillId="0" borderId="0" xfId="1" applyNumberFormat="1" applyFont="1" applyFill="1" applyBorder="1" applyAlignment="1">
      <alignment horizontal="center"/>
    </xf>
    <xf numFmtId="0" fontId="14" fillId="0" borderId="0" xfId="0" applyFont="1"/>
    <xf numFmtId="173" fontId="13" fillId="0" borderId="0" xfId="2" applyNumberFormat="1" applyFont="1"/>
    <xf numFmtId="174" fontId="13" fillId="0" borderId="0" xfId="1" applyNumberFormat="1" applyFont="1"/>
    <xf numFmtId="3" fontId="13" fillId="0" borderId="0" xfId="0" applyNumberFormat="1" applyFont="1"/>
    <xf numFmtId="171" fontId="13" fillId="0" borderId="0" xfId="0" applyNumberFormat="1" applyFont="1"/>
    <xf numFmtId="174" fontId="13" fillId="0" borderId="0" xfId="1" applyNumberFormat="1" applyFont="1" applyFill="1"/>
    <xf numFmtId="173" fontId="13" fillId="0" borderId="0" xfId="0" applyNumberFormat="1" applyFont="1"/>
    <xf numFmtId="174" fontId="13" fillId="0" borderId="0" xfId="0" applyNumberFormat="1" applyFont="1"/>
    <xf numFmtId="0" fontId="13" fillId="0" borderId="0" xfId="0" quotePrefix="1" applyFont="1"/>
    <xf numFmtId="1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167" fontId="13" fillId="0" borderId="0" xfId="0" applyNumberFormat="1" applyFont="1"/>
    <xf numFmtId="3" fontId="16" fillId="0" borderId="0" xfId="0" applyNumberFormat="1" applyFont="1" applyAlignment="1">
      <alignment horizontal="center" vertical="center"/>
    </xf>
    <xf numFmtId="3" fontId="17" fillId="0" borderId="0" xfId="0" applyNumberFormat="1" applyFont="1" applyAlignment="1">
      <alignment horizontal="center" vertical="center"/>
    </xf>
    <xf numFmtId="174" fontId="16" fillId="0" borderId="0" xfId="1" applyNumberFormat="1" applyFont="1" applyAlignment="1">
      <alignment horizontal="center" vertical="center"/>
    </xf>
    <xf numFmtId="174" fontId="17" fillId="0" borderId="0" xfId="1" applyNumberFormat="1" applyFont="1" applyAlignment="1">
      <alignment horizontal="center" vertical="center"/>
    </xf>
    <xf numFmtId="3" fontId="13" fillId="0" borderId="0" xfId="4" applyNumberFormat="1" applyFont="1"/>
    <xf numFmtId="38" fontId="13" fillId="0" borderId="0" xfId="4" applyNumberFormat="1" applyFont="1"/>
    <xf numFmtId="38" fontId="16" fillId="0" borderId="0" xfId="6" applyNumberFormat="1" applyFont="1"/>
    <xf numFmtId="3" fontId="18" fillId="0" borderId="0" xfId="0" applyNumberFormat="1" applyFont="1" applyAlignment="1">
      <alignment horizontal="center" vertical="center"/>
    </xf>
    <xf numFmtId="3" fontId="19" fillId="0" borderId="0" xfId="0" applyNumberFormat="1" applyFont="1" applyAlignment="1">
      <alignment horizontal="center" vertical="center"/>
    </xf>
    <xf numFmtId="38" fontId="18" fillId="0" borderId="0" xfId="0" applyNumberFormat="1" applyFont="1"/>
    <xf numFmtId="3" fontId="20" fillId="0" borderId="0" xfId="0" applyNumberFormat="1" applyFont="1" applyAlignment="1">
      <alignment horizontal="center" vertical="center"/>
    </xf>
    <xf numFmtId="38" fontId="20" fillId="0" borderId="0" xfId="0" applyNumberFormat="1" applyFont="1"/>
    <xf numFmtId="3" fontId="15" fillId="0" borderId="0" xfId="4" applyNumberFormat="1" applyFont="1"/>
    <xf numFmtId="174" fontId="21" fillId="4" borderId="5" xfId="1" applyNumberFormat="1" applyFont="1" applyFill="1" applyBorder="1" applyAlignment="1">
      <alignment horizontal="center"/>
    </xf>
    <xf numFmtId="174" fontId="21" fillId="4" borderId="0" xfId="1" applyNumberFormat="1" applyFont="1" applyFill="1" applyBorder="1" applyAlignment="1">
      <alignment horizontal="center"/>
    </xf>
    <xf numFmtId="174" fontId="21" fillId="0" borderId="6" xfId="1" applyNumberFormat="1" applyFont="1" applyBorder="1" applyAlignment="1">
      <alignment horizontal="center"/>
    </xf>
    <xf numFmtId="44" fontId="13" fillId="0" borderId="0" xfId="2" applyFont="1" applyAlignment="1"/>
    <xf numFmtId="3" fontId="15" fillId="0" borderId="0" xfId="0" applyNumberFormat="1" applyFont="1" applyAlignment="1">
      <alignment horizontal="center" vertical="center"/>
    </xf>
    <xf numFmtId="3" fontId="22" fillId="0" borderId="0" xfId="0" applyNumberFormat="1" applyFont="1" applyAlignment="1">
      <alignment horizontal="center" vertical="center"/>
    </xf>
    <xf numFmtId="7" fontId="13" fillId="0" borderId="0" xfId="0" applyNumberFormat="1" applyFont="1"/>
    <xf numFmtId="176" fontId="13" fillId="0" borderId="0" xfId="0" applyNumberFormat="1" applyFont="1"/>
    <xf numFmtId="38" fontId="15" fillId="0" borderId="0" xfId="4" applyNumberFormat="1" applyFont="1"/>
    <xf numFmtId="0" fontId="19" fillId="0" borderId="0" xfId="0" applyFont="1" applyAlignment="1">
      <alignment horizontal="center" vertical="center"/>
    </xf>
    <xf numFmtId="0" fontId="18" fillId="0" borderId="0" xfId="0" applyFont="1"/>
    <xf numFmtId="0" fontId="14" fillId="0" borderId="0" xfId="0" applyFont="1" applyAlignment="1">
      <alignment horizontal="center"/>
    </xf>
    <xf numFmtId="0" fontId="13" fillId="0" borderId="0" xfId="0" applyFont="1" applyAlignment="1">
      <alignment horizontal="right"/>
    </xf>
    <xf numFmtId="43" fontId="13" fillId="0" borderId="0" xfId="0" applyNumberFormat="1" applyFont="1"/>
    <xf numFmtId="174" fontId="13" fillId="0" borderId="0" xfId="1" quotePrefix="1" applyNumberFormat="1" applyFont="1"/>
    <xf numFmtId="165" fontId="13" fillId="0" borderId="0" xfId="3" applyNumberFormat="1" applyFont="1"/>
    <xf numFmtId="174" fontId="13" fillId="0" borderId="0" xfId="0" applyNumberFormat="1" applyFont="1" applyAlignment="1">
      <alignment horizontal="center"/>
    </xf>
    <xf numFmtId="165" fontId="13" fillId="0" borderId="0" xfId="3" applyNumberFormat="1" applyFont="1" applyAlignment="1">
      <alignment horizontal="right"/>
    </xf>
    <xf numFmtId="174" fontId="13" fillId="0" borderId="3" xfId="1" applyNumberFormat="1" applyFont="1" applyFill="1" applyBorder="1"/>
    <xf numFmtId="180" fontId="13" fillId="0" borderId="0" xfId="1" applyNumberFormat="1" applyFont="1"/>
    <xf numFmtId="166" fontId="13" fillId="0" borderId="0" xfId="0" applyNumberFormat="1" applyFont="1"/>
    <xf numFmtId="0" fontId="15" fillId="0" borderId="0" xfId="0" applyFont="1"/>
    <xf numFmtId="170" fontId="13" fillId="0" borderId="0" xfId="0" quotePrefix="1" applyNumberFormat="1" applyFont="1" applyAlignment="1">
      <alignment horizontal="center"/>
    </xf>
    <xf numFmtId="0" fontId="13" fillId="0" borderId="3" xfId="0" applyFont="1" applyBorder="1"/>
    <xf numFmtId="0" fontId="13" fillId="0" borderId="0" xfId="0" quotePrefix="1" applyFont="1" applyAlignment="1">
      <alignment horizontal="right"/>
    </xf>
    <xf numFmtId="0" fontId="23" fillId="0" borderId="0" xfId="0" quotePrefix="1" applyFont="1" applyAlignment="1">
      <alignment horizontal="left"/>
    </xf>
    <xf numFmtId="173" fontId="13" fillId="0" borderId="0" xfId="2" applyNumberFormat="1" applyFont="1" applyFill="1"/>
    <xf numFmtId="174" fontId="15" fillId="0" borderId="0" xfId="1" applyNumberFormat="1" applyFont="1" applyFill="1" applyAlignment="1">
      <alignment horizontal="center"/>
    </xf>
    <xf numFmtId="167" fontId="15" fillId="0" borderId="0" xfId="0" applyNumberFormat="1" applyFont="1"/>
    <xf numFmtId="174" fontId="15" fillId="0" borderId="0" xfId="1" applyNumberFormat="1" applyFont="1"/>
    <xf numFmtId="0" fontId="15" fillId="0" borderId="3" xfId="0" applyFont="1" applyBorder="1"/>
    <xf numFmtId="17" fontId="13" fillId="0" borderId="0" xfId="0" quotePrefix="1" applyNumberFormat="1" applyFont="1" applyAlignment="1">
      <alignment horizontal="center"/>
    </xf>
    <xf numFmtId="165" fontId="15" fillId="0" borderId="0" xfId="3" applyNumberFormat="1" applyFont="1" applyFill="1"/>
    <xf numFmtId="165" fontId="13" fillId="0" borderId="0" xfId="3" applyNumberFormat="1" applyFont="1" applyFill="1"/>
    <xf numFmtId="165" fontId="13" fillId="0" borderId="0" xfId="0" applyNumberFormat="1" applyFont="1"/>
    <xf numFmtId="182" fontId="13" fillId="0" borderId="0" xfId="0" applyNumberFormat="1" applyFont="1"/>
    <xf numFmtId="44" fontId="13" fillId="0" borderId="0" xfId="0" applyNumberFormat="1" applyFont="1"/>
    <xf numFmtId="0" fontId="13" fillId="3" borderId="0" xfId="0" quotePrefix="1" applyFont="1" applyFill="1" applyAlignment="1">
      <alignment horizontal="left"/>
    </xf>
    <xf numFmtId="0" fontId="13" fillId="3" borderId="0" xfId="0" applyFont="1" applyFill="1" applyAlignment="1">
      <alignment horizontal="left"/>
    </xf>
    <xf numFmtId="165" fontId="13" fillId="0" borderId="0" xfId="3" applyNumberFormat="1" applyFont="1" applyAlignment="1">
      <alignment horizontal="center"/>
    </xf>
    <xf numFmtId="44" fontId="13" fillId="0" borderId="0" xfId="0" applyNumberFormat="1" applyFont="1" applyAlignment="1">
      <alignment horizontal="center"/>
    </xf>
    <xf numFmtId="174" fontId="13" fillId="0" borderId="0" xfId="1" applyNumberFormat="1" applyFont="1" applyAlignment="1">
      <alignment horizontal="center"/>
    </xf>
    <xf numFmtId="174" fontId="13" fillId="0" borderId="3" xfId="1" applyNumberFormat="1" applyFont="1" applyFill="1" applyBorder="1" applyAlignment="1">
      <alignment horizontal="center"/>
    </xf>
    <xf numFmtId="9" fontId="13" fillId="0" borderId="0" xfId="3" applyFont="1" applyAlignment="1">
      <alignment horizontal="center"/>
    </xf>
    <xf numFmtId="174" fontId="15" fillId="0" borderId="0" xfId="0" applyNumberFormat="1" applyFont="1"/>
    <xf numFmtId="9" fontId="13" fillId="0" borderId="0" xfId="0" applyNumberFormat="1" applyFont="1" applyAlignment="1">
      <alignment horizontal="center"/>
    </xf>
    <xf numFmtId="9" fontId="13" fillId="0" borderId="0" xfId="3" quotePrefix="1" applyFont="1" applyAlignment="1">
      <alignment horizontal="center"/>
    </xf>
    <xf numFmtId="174" fontId="13" fillId="0" borderId="0" xfId="15" applyNumberFormat="1" applyFont="1" applyAlignment="1">
      <alignment horizontal="center"/>
    </xf>
    <xf numFmtId="3" fontId="24" fillId="0" borderId="0" xfId="0" applyNumberFormat="1" applyFont="1"/>
    <xf numFmtId="174" fontId="13" fillId="0" borderId="0" xfId="15" applyNumberFormat="1" applyFont="1"/>
    <xf numFmtId="174" fontId="13" fillId="0" borderId="3" xfId="15" applyNumberFormat="1" applyFont="1" applyFill="1" applyBorder="1" applyAlignment="1">
      <alignment horizontal="center"/>
    </xf>
    <xf numFmtId="0" fontId="13" fillId="0" borderId="0" xfId="4" applyFont="1"/>
    <xf numFmtId="9" fontId="13" fillId="0" borderId="0" xfId="4" applyNumberFormat="1" applyFont="1" applyAlignment="1">
      <alignment horizontal="center"/>
    </xf>
    <xf numFmtId="170" fontId="13" fillId="0" borderId="3" xfId="4" applyNumberFormat="1" applyFont="1" applyBorder="1" applyAlignment="1">
      <alignment horizontal="center"/>
    </xf>
    <xf numFmtId="0" fontId="13" fillId="0" borderId="0" xfId="4" applyFont="1" applyAlignment="1">
      <alignment horizontal="center"/>
    </xf>
    <xf numFmtId="38" fontId="13" fillId="0" borderId="0" xfId="0" applyNumberFormat="1" applyFont="1"/>
    <xf numFmtId="174" fontId="13" fillId="0" borderId="0" xfId="0" quotePrefix="1" applyNumberFormat="1" applyFont="1" applyAlignment="1">
      <alignment horizontal="center"/>
    </xf>
    <xf numFmtId="0" fontId="15" fillId="0" borderId="0" xfId="0" quotePrefix="1" applyFont="1" applyAlignment="1">
      <alignment horizontal="center"/>
    </xf>
    <xf numFmtId="9" fontId="13" fillId="0" borderId="0" xfId="17" quotePrefix="1" applyFont="1" applyAlignment="1">
      <alignment horizontal="center"/>
    </xf>
    <xf numFmtId="43" fontId="13" fillId="0" borderId="0" xfId="1" applyFont="1" applyAlignment="1">
      <alignment horizontal="center"/>
    </xf>
    <xf numFmtId="43" fontId="13" fillId="0" borderId="0" xfId="15" applyFont="1"/>
    <xf numFmtId="174" fontId="13" fillId="0" borderId="0" xfId="1" quotePrefix="1" applyNumberFormat="1" applyFont="1" applyAlignment="1">
      <alignment horizontal="center"/>
    </xf>
    <xf numFmtId="38" fontId="13" fillId="5" borderId="0" xfId="0" applyNumberFormat="1" applyFont="1" applyFill="1"/>
    <xf numFmtId="175" fontId="13" fillId="0" borderId="0" xfId="1" applyNumberFormat="1" applyFont="1" applyAlignment="1">
      <alignment horizontal="center"/>
    </xf>
    <xf numFmtId="38" fontId="13" fillId="0" borderId="0" xfId="0" applyNumberFormat="1" applyFont="1" applyAlignment="1">
      <alignment horizontal="center"/>
    </xf>
    <xf numFmtId="0" fontId="13" fillId="0" borderId="1" xfId="0" applyFont="1" applyBorder="1"/>
    <xf numFmtId="0" fontId="13" fillId="0" borderId="1" xfId="0" applyFont="1" applyBorder="1" applyAlignment="1">
      <alignment horizontal="center"/>
    </xf>
    <xf numFmtId="164" fontId="13" fillId="0" borderId="0" xfId="0" quotePrefix="1" applyNumberFormat="1" applyFont="1" applyAlignment="1">
      <alignment horizontal="center"/>
    </xf>
    <xf numFmtId="164" fontId="13" fillId="2" borderId="0" xfId="0" applyNumberFormat="1" applyFont="1" applyFill="1" applyAlignment="1">
      <alignment horizontal="center"/>
    </xf>
    <xf numFmtId="164" fontId="13" fillId="0" borderId="0" xfId="0" applyNumberFormat="1" applyFont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3" fillId="2" borderId="0" xfId="0" applyFont="1" applyFill="1"/>
    <xf numFmtId="171" fontId="13" fillId="2" borderId="0" xfId="0" applyNumberFormat="1" applyFont="1" applyFill="1"/>
    <xf numFmtId="3" fontId="13" fillId="2" borderId="0" xfId="0" applyNumberFormat="1" applyFont="1" applyFill="1"/>
    <xf numFmtId="37" fontId="13" fillId="0" borderId="0" xfId="0" quotePrefix="1" applyNumberFormat="1" applyFont="1"/>
    <xf numFmtId="0" fontId="15" fillId="0" borderId="0" xfId="0" quotePrefix="1" applyFont="1" applyAlignment="1">
      <alignment horizontal="left"/>
    </xf>
    <xf numFmtId="0" fontId="13" fillId="2" borderId="0" xfId="0" applyFont="1" applyFill="1" applyAlignment="1">
      <alignment horizontal="right"/>
    </xf>
    <xf numFmtId="0" fontId="13" fillId="2" borderId="0" xfId="0" applyFont="1" applyFill="1" applyAlignment="1">
      <alignment horizontal="left"/>
    </xf>
    <xf numFmtId="0" fontId="13" fillId="0" borderId="1" xfId="0" quotePrefix="1" applyFont="1" applyBorder="1" applyAlignment="1">
      <alignment horizontal="center"/>
    </xf>
    <xf numFmtId="165" fontId="13" fillId="3" borderId="0" xfId="0" applyNumberFormat="1" applyFont="1" applyFill="1"/>
    <xf numFmtId="0" fontId="13" fillId="3" borderId="0" xfId="0" applyFont="1" applyFill="1"/>
    <xf numFmtId="0" fontId="15" fillId="0" borderId="0" xfId="0" quotePrefix="1" applyFont="1"/>
    <xf numFmtId="173" fontId="15" fillId="0" borderId="0" xfId="2" applyNumberFormat="1" applyFont="1" applyFill="1"/>
    <xf numFmtId="165" fontId="15" fillId="0" borderId="0" xfId="3" applyNumberFormat="1" applyFont="1"/>
    <xf numFmtId="174" fontId="15" fillId="0" borderId="0" xfId="7" applyNumberFormat="1" applyFont="1" applyFill="1"/>
    <xf numFmtId="44" fontId="15" fillId="0" borderId="0" xfId="2" applyFont="1" applyFill="1"/>
    <xf numFmtId="173" fontId="15" fillId="0" borderId="0" xfId="2" quotePrefix="1" applyNumberFormat="1" applyFont="1" applyFill="1"/>
    <xf numFmtId="165" fontId="15" fillId="0" borderId="0" xfId="3" quotePrefix="1" applyNumberFormat="1" applyFont="1" applyFill="1"/>
    <xf numFmtId="165" fontId="13" fillId="0" borderId="0" xfId="3" quotePrefix="1" applyNumberFormat="1" applyFont="1" applyFill="1"/>
    <xf numFmtId="173" fontId="13" fillId="0" borderId="0" xfId="2" quotePrefix="1" applyNumberFormat="1" applyFont="1" applyFill="1"/>
    <xf numFmtId="174" fontId="13" fillId="0" borderId="0" xfId="1" quotePrefix="1" applyNumberFormat="1" applyFont="1" applyFill="1"/>
    <xf numFmtId="9" fontId="15" fillId="0" borderId="0" xfId="3" quotePrefix="1" applyFont="1" applyFill="1"/>
    <xf numFmtId="43" fontId="13" fillId="0" borderId="0" xfId="1" applyFont="1"/>
    <xf numFmtId="0" fontId="13" fillId="0" borderId="0" xfId="0" quotePrefix="1" applyFont="1" applyAlignment="1">
      <alignment horizontal="centerContinuous"/>
    </xf>
    <xf numFmtId="0" fontId="15" fillId="0" borderId="0" xfId="0" quotePrefix="1" applyFont="1" applyAlignment="1">
      <alignment horizontal="centerContinuous"/>
    </xf>
    <xf numFmtId="0" fontId="15" fillId="0" borderId="0" xfId="0" applyFont="1" applyAlignment="1">
      <alignment horizontal="centerContinuous"/>
    </xf>
    <xf numFmtId="174" fontId="15" fillId="0" borderId="0" xfId="1" quotePrefix="1" applyNumberFormat="1" applyFont="1" applyFill="1"/>
    <xf numFmtId="174" fontId="15" fillId="0" borderId="0" xfId="1" applyNumberFormat="1" applyFont="1" applyFill="1"/>
    <xf numFmtId="167" fontId="13" fillId="0" borderId="1" xfId="0" applyNumberFormat="1" applyFont="1" applyBorder="1"/>
    <xf numFmtId="170" fontId="13" fillId="0" borderId="0" xfId="0" quotePrefix="1" applyNumberFormat="1" applyFont="1" applyAlignment="1">
      <alignment horizontal="right"/>
    </xf>
    <xf numFmtId="0" fontId="13" fillId="0" borderId="0" xfId="0" applyFont="1" applyAlignment="1">
      <alignment horizontal="left"/>
    </xf>
    <xf numFmtId="9" fontId="13" fillId="0" borderId="0" xfId="3" applyFont="1" applyFill="1"/>
    <xf numFmtId="0" fontId="15" fillId="0" borderId="1" xfId="0" applyFont="1" applyBorder="1" applyAlignment="1">
      <alignment horizontal="center"/>
    </xf>
    <xf numFmtId="170" fontId="15" fillId="0" borderId="3" xfId="0" applyNumberFormat="1" applyFont="1" applyBorder="1" applyAlignment="1">
      <alignment horizontal="center"/>
    </xf>
    <xf numFmtId="165" fontId="15" fillId="0" borderId="0" xfId="0" quotePrefix="1" applyNumberFormat="1" applyFont="1"/>
    <xf numFmtId="43" fontId="15" fillId="0" borderId="0" xfId="1" applyFont="1" applyFill="1"/>
    <xf numFmtId="176" fontId="16" fillId="0" borderId="4" xfId="0" applyNumberFormat="1" applyFont="1" applyBorder="1" applyAlignment="1">
      <alignment vertical="top" wrapText="1" readingOrder="1"/>
    </xf>
    <xf numFmtId="5" fontId="13" fillId="0" borderId="0" xfId="0" applyNumberFormat="1" applyFont="1"/>
    <xf numFmtId="167" fontId="13" fillId="3" borderId="0" xfId="0" applyNumberFormat="1" applyFont="1" applyFill="1"/>
    <xf numFmtId="165" fontId="15" fillId="0" borderId="0" xfId="0" applyNumberFormat="1" applyFont="1"/>
    <xf numFmtId="3" fontId="13" fillId="3" borderId="0" xfId="0" applyNumberFormat="1" applyFont="1" applyFill="1"/>
    <xf numFmtId="165" fontId="15" fillId="0" borderId="0" xfId="1" applyNumberFormat="1" applyFont="1" applyFill="1"/>
    <xf numFmtId="0" fontId="13" fillId="3" borderId="3" xfId="0" applyFont="1" applyFill="1" applyBorder="1"/>
    <xf numFmtId="9" fontId="15" fillId="0" borderId="0" xfId="3" applyFont="1" applyFill="1"/>
    <xf numFmtId="17" fontId="13" fillId="0" borderId="0" xfId="0" applyNumberFormat="1" applyFont="1"/>
    <xf numFmtId="0" fontId="13" fillId="3" borderId="0" xfId="0" quotePrefix="1" applyFont="1" applyFill="1" applyAlignment="1">
      <alignment horizontal="center"/>
    </xf>
    <xf numFmtId="170" fontId="13" fillId="3" borderId="3" xfId="0" applyNumberFormat="1" applyFont="1" applyFill="1" applyBorder="1" applyAlignment="1">
      <alignment horizontal="center"/>
    </xf>
    <xf numFmtId="5" fontId="15" fillId="0" borderId="0" xfId="0" applyNumberFormat="1" applyFont="1"/>
    <xf numFmtId="174" fontId="16" fillId="0" borderId="4" xfId="1" applyNumberFormat="1" applyFont="1" applyFill="1" applyBorder="1" applyAlignment="1">
      <alignment vertical="top" wrapText="1" readingOrder="1"/>
    </xf>
    <xf numFmtId="174" fontId="13" fillId="3" borderId="0" xfId="1" applyNumberFormat="1" applyFont="1" applyFill="1"/>
    <xf numFmtId="173" fontId="15" fillId="0" borderId="0" xfId="0" applyNumberFormat="1" applyFont="1"/>
    <xf numFmtId="178" fontId="15" fillId="0" borderId="0" xfId="0" applyNumberFormat="1" applyFont="1"/>
    <xf numFmtId="0" fontId="13" fillId="3" borderId="0" xfId="0" quotePrefix="1" applyFont="1" applyFill="1" applyAlignment="1">
      <alignment horizontal="right"/>
    </xf>
    <xf numFmtId="0" fontId="13" fillId="3" borderId="0" xfId="0" applyFont="1" applyFill="1" applyAlignment="1">
      <alignment horizontal="right"/>
    </xf>
    <xf numFmtId="170" fontId="15" fillId="0" borderId="0" xfId="0" applyNumberFormat="1" applyFont="1" applyAlignment="1">
      <alignment horizontal="center"/>
    </xf>
    <xf numFmtId="17" fontId="15" fillId="0" borderId="0" xfId="0" applyNumberFormat="1" applyFont="1"/>
    <xf numFmtId="0" fontId="15" fillId="3" borderId="0" xfId="0" quotePrefix="1" applyFont="1" applyFill="1" applyAlignment="1">
      <alignment horizontal="center"/>
    </xf>
    <xf numFmtId="170" fontId="15" fillId="3" borderId="3" xfId="0" applyNumberFormat="1" applyFont="1" applyFill="1" applyBorder="1" applyAlignment="1">
      <alignment horizontal="center"/>
    </xf>
    <xf numFmtId="170" fontId="15" fillId="3" borderId="0" xfId="0" applyNumberFormat="1" applyFont="1" applyFill="1" applyAlignment="1">
      <alignment horizontal="center"/>
    </xf>
    <xf numFmtId="176" fontId="15" fillId="0" borderId="4" xfId="0" applyNumberFormat="1" applyFont="1" applyBorder="1" applyAlignment="1">
      <alignment vertical="top" wrapText="1" readingOrder="1"/>
    </xf>
    <xf numFmtId="173" fontId="15" fillId="0" borderId="4" xfId="2" applyNumberFormat="1" applyFont="1" applyFill="1" applyBorder="1" applyAlignment="1">
      <alignment vertical="top" wrapText="1" readingOrder="1"/>
    </xf>
    <xf numFmtId="174" fontId="13" fillId="4" borderId="5" xfId="1" applyNumberFormat="1" applyFont="1" applyFill="1" applyBorder="1"/>
    <xf numFmtId="3" fontId="15" fillId="0" borderId="0" xfId="0" applyNumberFormat="1" applyFont="1"/>
    <xf numFmtId="174" fontId="15" fillId="0" borderId="4" xfId="1" applyNumberFormat="1" applyFont="1" applyFill="1" applyBorder="1" applyAlignment="1">
      <alignment vertical="top" wrapText="1" readingOrder="1"/>
    </xf>
    <xf numFmtId="175" fontId="13" fillId="0" borderId="0" xfId="1" applyNumberFormat="1" applyFont="1" applyFill="1"/>
    <xf numFmtId="0" fontId="14" fillId="0" borderId="0" xfId="0" quotePrefix="1" applyFont="1" applyAlignment="1">
      <alignment horizontal="left"/>
    </xf>
    <xf numFmtId="165" fontId="13" fillId="0" borderId="0" xfId="3" applyNumberFormat="1" applyFont="1" applyAlignment="1"/>
    <xf numFmtId="14" fontId="13" fillId="0" borderId="0" xfId="0" applyNumberFormat="1" applyFont="1" applyAlignment="1">
      <alignment horizontal="center"/>
    </xf>
    <xf numFmtId="173" fontId="21" fillId="0" borderId="0" xfId="2" applyNumberFormat="1" applyFont="1"/>
    <xf numFmtId="174" fontId="21" fillId="0" borderId="0" xfId="1" applyNumberFormat="1" applyFont="1"/>
    <xf numFmtId="0" fontId="24" fillId="0" borderId="0" xfId="0" applyFont="1"/>
    <xf numFmtId="173" fontId="13" fillId="0" borderId="0" xfId="2" applyNumberFormat="1" applyFont="1" applyAlignment="1"/>
    <xf numFmtId="174" fontId="13" fillId="0" borderId="0" xfId="1" applyNumberFormat="1" applyFont="1" applyAlignment="1"/>
    <xf numFmtId="0" fontId="24" fillId="0" borderId="3" xfId="0" applyFont="1" applyBorder="1"/>
    <xf numFmtId="167" fontId="13" fillId="0" borderId="0" xfId="0" quotePrefix="1" applyNumberFormat="1" applyFont="1"/>
    <xf numFmtId="0" fontId="15" fillId="3" borderId="0" xfId="0" applyFont="1" applyFill="1"/>
    <xf numFmtId="173" fontId="13" fillId="0" borderId="0" xfId="2" applyNumberFormat="1" applyFont="1" applyAlignment="1">
      <alignment horizontal="center"/>
    </xf>
    <xf numFmtId="37" fontId="13" fillId="0" borderId="0" xfId="0" applyNumberFormat="1" applyFont="1"/>
    <xf numFmtId="173" fontId="13" fillId="0" borderId="0" xfId="0" applyNumberFormat="1" applyFont="1" applyAlignment="1">
      <alignment horizontal="center"/>
    </xf>
    <xf numFmtId="174" fontId="13" fillId="0" borderId="0" xfId="1" applyNumberFormat="1" applyFont="1" applyFill="1" applyAlignment="1">
      <alignment horizontal="center"/>
    </xf>
    <xf numFmtId="6" fontId="13" fillId="0" borderId="0" xfId="0" applyNumberFormat="1" applyFont="1"/>
    <xf numFmtId="1" fontId="13" fillId="0" borderId="0" xfId="0" applyNumberFormat="1" applyFont="1"/>
    <xf numFmtId="178" fontId="13" fillId="0" borderId="0" xfId="0" applyNumberFormat="1" applyFont="1"/>
    <xf numFmtId="170" fontId="15" fillId="0" borderId="1" xfId="0" applyNumberFormat="1" applyFont="1" applyBorder="1" applyAlignment="1">
      <alignment horizontal="center"/>
    </xf>
    <xf numFmtId="182" fontId="15" fillId="0" borderId="0" xfId="0" applyNumberFormat="1" applyFont="1"/>
    <xf numFmtId="165" fontId="25" fillId="0" borderId="0" xfId="3" applyNumberFormat="1" applyFont="1" applyFill="1"/>
    <xf numFmtId="173" fontId="13" fillId="0" borderId="0" xfId="2" quotePrefix="1" applyNumberFormat="1" applyFont="1"/>
    <xf numFmtId="173" fontId="15" fillId="0" borderId="0" xfId="2" quotePrefix="1" applyNumberFormat="1" applyFont="1"/>
    <xf numFmtId="1" fontId="15" fillId="0" borderId="0" xfId="0" applyNumberFormat="1" applyFont="1"/>
    <xf numFmtId="174" fontId="13" fillId="0" borderId="0" xfId="1" quotePrefix="1" applyNumberFormat="1" applyFont="1" applyFill="1" applyAlignment="1">
      <alignment horizontal="left" indent="1"/>
    </xf>
    <xf numFmtId="3" fontId="13" fillId="0" borderId="3" xfId="0" applyNumberFormat="1" applyFont="1" applyBorder="1"/>
    <xf numFmtId="0" fontId="23" fillId="0" borderId="0" xfId="0" applyFont="1" applyAlignment="1">
      <alignment horizontal="centerContinuous"/>
    </xf>
    <xf numFmtId="174" fontId="15" fillId="0" borderId="1" xfId="1" applyNumberFormat="1" applyFont="1" applyFill="1" applyBorder="1" applyAlignment="1">
      <alignment horizontal="center"/>
    </xf>
    <xf numFmtId="0" fontId="15" fillId="0" borderId="1" xfId="0" quotePrefix="1" applyFont="1" applyBorder="1" applyAlignment="1">
      <alignment horizontal="center"/>
    </xf>
    <xf numFmtId="176" fontId="16" fillId="0" borderId="4" xfId="6" applyNumberFormat="1" applyFont="1" applyBorder="1" applyAlignment="1">
      <alignment vertical="top" wrapText="1" readingOrder="1"/>
    </xf>
    <xf numFmtId="38" fontId="15" fillId="0" borderId="0" xfId="0" applyNumberFormat="1" applyFont="1"/>
    <xf numFmtId="43" fontId="15" fillId="0" borderId="0" xfId="0" applyNumberFormat="1" applyFont="1"/>
    <xf numFmtId="17" fontId="13" fillId="0" borderId="0" xfId="0" applyNumberFormat="1" applyFont="1" applyAlignment="1">
      <alignment horizontal="center"/>
    </xf>
    <xf numFmtId="14" fontId="21" fillId="0" borderId="0" xfId="0" applyNumberFormat="1" applyFont="1" applyAlignment="1">
      <alignment horizontal="center"/>
    </xf>
    <xf numFmtId="44" fontId="13" fillId="0" borderId="0" xfId="2" quotePrefix="1" applyFont="1"/>
    <xf numFmtId="173" fontId="21" fillId="0" borderId="0" xfId="2" quotePrefix="1" applyNumberFormat="1" applyFont="1" applyFill="1" applyAlignment="1">
      <alignment horizontal="center"/>
    </xf>
    <xf numFmtId="181" fontId="13" fillId="0" borderId="0" xfId="2" applyNumberFormat="1" applyFont="1"/>
    <xf numFmtId="174" fontId="21" fillId="0" borderId="0" xfId="1" quotePrefix="1" applyNumberFormat="1" applyFont="1" applyFill="1" applyAlignment="1">
      <alignment horizontal="center"/>
    </xf>
    <xf numFmtId="0" fontId="26" fillId="0" borderId="0" xfId="0" applyFont="1"/>
    <xf numFmtId="183" fontId="13" fillId="0" borderId="0" xfId="2" applyNumberFormat="1" applyFont="1" applyFill="1"/>
    <xf numFmtId="183" fontId="13" fillId="0" borderId="0" xfId="2" applyNumberFormat="1" applyFont="1" applyAlignment="1"/>
    <xf numFmtId="173" fontId="21" fillId="0" borderId="0" xfId="0" applyNumberFormat="1" applyFont="1"/>
    <xf numFmtId="181" fontId="13" fillId="0" borderId="0" xfId="2" applyNumberFormat="1" applyFont="1" applyFill="1"/>
    <xf numFmtId="43" fontId="13" fillId="0" borderId="0" xfId="1" applyFont="1" applyAlignment="1"/>
    <xf numFmtId="44" fontId="15" fillId="0" borderId="0" xfId="2" quotePrefix="1" applyFont="1"/>
    <xf numFmtId="173" fontId="15" fillId="0" borderId="0" xfId="2" applyNumberFormat="1" applyFont="1"/>
    <xf numFmtId="174" fontId="15" fillId="0" borderId="0" xfId="1" applyNumberFormat="1" applyFont="1" applyAlignment="1"/>
    <xf numFmtId="0" fontId="13" fillId="0" borderId="2" xfId="0" applyFont="1" applyBorder="1" applyAlignment="1">
      <alignment horizontal="center"/>
    </xf>
    <xf numFmtId="171" fontId="15" fillId="0" borderId="0" xfId="0" applyNumberFormat="1" applyFont="1"/>
    <xf numFmtId="170" fontId="15" fillId="0" borderId="1" xfId="0" quotePrefix="1" applyNumberFormat="1" applyFont="1" applyBorder="1" applyAlignment="1">
      <alignment horizontal="center"/>
    </xf>
    <xf numFmtId="170" fontId="15" fillId="0" borderId="3" xfId="0" quotePrefix="1" applyNumberFormat="1" applyFont="1" applyBorder="1" applyAlignment="1">
      <alignment horizontal="center"/>
    </xf>
    <xf numFmtId="0" fontId="20" fillId="0" borderId="0" xfId="0" applyFont="1"/>
    <xf numFmtId="9" fontId="15" fillId="0" borderId="0" xfId="3" applyFont="1" applyFill="1" applyAlignment="1">
      <alignment horizontal="center"/>
    </xf>
    <xf numFmtId="43" fontId="13" fillId="0" borderId="0" xfId="1" applyFont="1" applyFill="1"/>
    <xf numFmtId="43" fontId="13" fillId="0" borderId="0" xfId="1" quotePrefix="1" applyFont="1" applyFill="1"/>
    <xf numFmtId="3" fontId="15" fillId="0" borderId="0" xfId="0" applyNumberFormat="1" applyFont="1" applyAlignment="1">
      <alignment horizontal="center"/>
    </xf>
    <xf numFmtId="3" fontId="13" fillId="0" borderId="0" xfId="0" quotePrefix="1" applyNumberFormat="1" applyFont="1"/>
    <xf numFmtId="165" fontId="15" fillId="0" borderId="0" xfId="3" applyNumberFormat="1" applyFont="1" applyFill="1" applyAlignment="1">
      <alignment horizontal="center"/>
    </xf>
    <xf numFmtId="3" fontId="15" fillId="0" borderId="3" xfId="0" applyNumberFormat="1" applyFont="1" applyBorder="1"/>
    <xf numFmtId="4" fontId="15" fillId="0" borderId="0" xfId="0" applyNumberFormat="1" applyFont="1"/>
    <xf numFmtId="44" fontId="15" fillId="0" borderId="0" xfId="0" applyNumberFormat="1" applyFont="1"/>
    <xf numFmtId="171" fontId="13" fillId="3" borderId="0" xfId="0" applyNumberFormat="1" applyFont="1" applyFill="1"/>
    <xf numFmtId="44" fontId="13" fillId="0" borderId="0" xfId="2" applyFont="1" applyFill="1"/>
    <xf numFmtId="173" fontId="15" fillId="0" borderId="0" xfId="2" applyNumberFormat="1" applyFont="1" applyFill="1" applyAlignment="1">
      <alignment horizontal="center"/>
    </xf>
    <xf numFmtId="176" fontId="15" fillId="0" borderId="4" xfId="0" applyNumberFormat="1" applyFont="1" applyBorder="1" applyAlignment="1">
      <alignment horizontal="center" vertical="top" wrapText="1"/>
    </xf>
    <xf numFmtId="167" fontId="15" fillId="0" borderId="0" xfId="0" applyNumberFormat="1" applyFont="1" applyAlignment="1">
      <alignment horizontal="center"/>
    </xf>
    <xf numFmtId="171" fontId="15" fillId="0" borderId="0" xfId="0" applyNumberFormat="1" applyFont="1" applyAlignment="1">
      <alignment horizontal="center"/>
    </xf>
    <xf numFmtId="3" fontId="15" fillId="0" borderId="3" xfId="0" applyNumberFormat="1" applyFont="1" applyBorder="1" applyAlignment="1">
      <alignment horizontal="center"/>
    </xf>
    <xf numFmtId="14" fontId="15" fillId="0" borderId="0" xfId="0" applyNumberFormat="1" applyFont="1"/>
    <xf numFmtId="43" fontId="15" fillId="0" borderId="0" xfId="1" quotePrefix="1" applyFont="1" applyFill="1"/>
    <xf numFmtId="3" fontId="13" fillId="0" borderId="0" xfId="0" applyNumberFormat="1" applyFont="1" applyAlignment="1">
      <alignment horizontal="right"/>
    </xf>
    <xf numFmtId="43" fontId="15" fillId="0" borderId="0" xfId="1" applyFont="1" applyFill="1" applyAlignment="1">
      <alignment horizontal="center"/>
    </xf>
    <xf numFmtId="165" fontId="15" fillId="0" borderId="0" xfId="0" applyNumberFormat="1" applyFont="1" applyAlignment="1">
      <alignment horizontal="center"/>
    </xf>
    <xf numFmtId="6" fontId="13" fillId="0" borderId="0" xfId="0" applyNumberFormat="1" applyFont="1" applyAlignment="1">
      <alignment horizontal="center"/>
    </xf>
    <xf numFmtId="6" fontId="13" fillId="0" borderId="0" xfId="0" quotePrefix="1" applyNumberFormat="1" applyFont="1" applyAlignment="1">
      <alignment horizontal="center"/>
    </xf>
    <xf numFmtId="171" fontId="13" fillId="0" borderId="0" xfId="0" quotePrefix="1" applyNumberFormat="1" applyFont="1"/>
    <xf numFmtId="174" fontId="13" fillId="0" borderId="0" xfId="1" quotePrefix="1" applyNumberFormat="1" applyFont="1" applyFill="1" applyProtection="1"/>
    <xf numFmtId="169" fontId="13" fillId="0" borderId="0" xfId="0" applyNumberFormat="1" applyFont="1" applyProtection="1">
      <protection hidden="1"/>
    </xf>
    <xf numFmtId="174" fontId="13" fillId="0" borderId="0" xfId="1" applyNumberFormat="1" applyFont="1" applyFill="1" applyProtection="1"/>
    <xf numFmtId="174" fontId="13" fillId="0" borderId="1" xfId="1" applyNumberFormat="1" applyFont="1" applyFill="1" applyBorder="1"/>
    <xf numFmtId="0" fontId="15" fillId="0" borderId="2" xfId="0" quotePrefix="1" applyFont="1" applyBorder="1" applyAlignment="1">
      <alignment horizontal="centerContinuous"/>
    </xf>
    <xf numFmtId="0" fontId="15" fillId="0" borderId="2" xfId="0" applyFont="1" applyBorder="1" applyAlignment="1">
      <alignment horizontal="centerContinuous"/>
    </xf>
    <xf numFmtId="37" fontId="13" fillId="0" borderId="3" xfId="0" applyNumberFormat="1" applyFont="1" applyBorder="1" applyAlignment="1">
      <alignment horizontal="center"/>
    </xf>
    <xf numFmtId="37" fontId="15" fillId="0" borderId="3" xfId="0" applyNumberFormat="1" applyFont="1" applyBorder="1" applyAlignment="1">
      <alignment horizontal="center"/>
    </xf>
    <xf numFmtId="166" fontId="15" fillId="0" borderId="0" xfId="0" applyNumberFormat="1" applyFont="1"/>
    <xf numFmtId="166" fontId="13" fillId="0" borderId="3" xfId="0" applyNumberFormat="1" applyFont="1" applyBorder="1"/>
    <xf numFmtId="166" fontId="15" fillId="0" borderId="3" xfId="0" applyNumberFormat="1" applyFont="1" applyBorder="1"/>
    <xf numFmtId="172" fontId="15" fillId="0" borderId="0" xfId="0" applyNumberFormat="1" applyFont="1"/>
    <xf numFmtId="10" fontId="15" fillId="0" borderId="0" xfId="0" applyNumberFormat="1" applyFont="1"/>
    <xf numFmtId="170" fontId="13" fillId="0" borderId="0" xfId="0" applyNumberFormat="1" applyFont="1"/>
    <xf numFmtId="169" fontId="13" fillId="0" borderId="0" xfId="0" applyNumberFormat="1" applyFont="1" applyProtection="1">
      <protection locked="0" hidden="1"/>
    </xf>
    <xf numFmtId="168" fontId="13" fillId="0" borderId="0" xfId="0" applyNumberFormat="1" applyFont="1" applyProtection="1">
      <protection locked="0"/>
    </xf>
    <xf numFmtId="3" fontId="13" fillId="0" borderId="0" xfId="0" applyNumberFormat="1" applyFont="1" applyProtection="1">
      <protection locked="0"/>
    </xf>
    <xf numFmtId="3" fontId="13" fillId="0" borderId="0" xfId="0" applyNumberFormat="1" applyFont="1" applyAlignment="1">
      <alignment horizontal="center"/>
    </xf>
    <xf numFmtId="168" fontId="13" fillId="0" borderId="0" xfId="0" quotePrefix="1" applyNumberFormat="1" applyFont="1" applyProtection="1">
      <protection locked="0"/>
    </xf>
    <xf numFmtId="165" fontId="13" fillId="0" borderId="0" xfId="0" quotePrefix="1" applyNumberFormat="1" applyFont="1"/>
    <xf numFmtId="0" fontId="14" fillId="0" borderId="0" xfId="0" applyFont="1" applyAlignment="1">
      <alignment horizontal="right"/>
    </xf>
    <xf numFmtId="0" fontId="13" fillId="3" borderId="0" xfId="0" applyFont="1" applyFill="1" applyAlignment="1">
      <alignment horizontal="centerContinuous"/>
    </xf>
    <xf numFmtId="166" fontId="13" fillId="0" borderId="0" xfId="0" applyNumberFormat="1" applyFont="1" applyProtection="1">
      <protection locked="0"/>
    </xf>
    <xf numFmtId="168" fontId="13" fillId="0" borderId="0" xfId="0" applyNumberFormat="1" applyFont="1"/>
    <xf numFmtId="172" fontId="13" fillId="0" borderId="0" xfId="0" quotePrefix="1" applyNumberFormat="1" applyFont="1"/>
    <xf numFmtId="172" fontId="13" fillId="0" borderId="0" xfId="0" applyNumberFormat="1" applyFont="1"/>
    <xf numFmtId="44" fontId="15" fillId="0" borderId="0" xfId="0" applyNumberFormat="1" applyFont="1" applyAlignment="1">
      <alignment horizontal="center"/>
    </xf>
    <xf numFmtId="174" fontId="15" fillId="0" borderId="3" xfId="1" applyNumberFormat="1" applyFont="1" applyFill="1" applyBorder="1" applyAlignment="1">
      <alignment horizontal="center"/>
    </xf>
    <xf numFmtId="174" fontId="15" fillId="0" borderId="1" xfId="1" quotePrefix="1" applyNumberFormat="1" applyFont="1" applyFill="1" applyBorder="1" applyAlignment="1">
      <alignment horizontal="center"/>
    </xf>
    <xf numFmtId="0" fontId="15" fillId="0" borderId="1" xfId="0" applyFont="1" applyBorder="1"/>
    <xf numFmtId="174" fontId="13" fillId="0" borderId="1" xfId="1" quotePrefix="1" applyNumberFormat="1" applyFont="1" applyFill="1" applyBorder="1" applyAlignment="1">
      <alignment horizontal="center"/>
    </xf>
    <xf numFmtId="176" fontId="16" fillId="0" borderId="0" xfId="0" applyNumberFormat="1" applyFont="1" applyAlignment="1">
      <alignment vertical="top" wrapText="1" readingOrder="1"/>
    </xf>
    <xf numFmtId="174" fontId="15" fillId="0" borderId="0" xfId="1" applyNumberFormat="1" applyFont="1" applyFill="1" applyBorder="1" applyAlignment="1">
      <alignment horizontal="center"/>
    </xf>
    <xf numFmtId="167" fontId="13" fillId="0" borderId="0" xfId="0" applyNumberFormat="1" applyFont="1" applyAlignment="1">
      <alignment horizontal="right"/>
    </xf>
    <xf numFmtId="174" fontId="15" fillId="0" borderId="0" xfId="1" applyNumberFormat="1" applyFont="1" applyAlignment="1">
      <alignment horizontal="center"/>
    </xf>
    <xf numFmtId="171" fontId="13" fillId="0" borderId="0" xfId="0" applyNumberFormat="1" applyFont="1" applyAlignment="1" applyProtection="1">
      <alignment horizontal="right"/>
      <protection locked="0"/>
    </xf>
    <xf numFmtId="3" fontId="13" fillId="0" borderId="0" xfId="0" applyNumberFormat="1" applyFont="1" applyAlignment="1" applyProtection="1">
      <alignment horizontal="right"/>
      <protection locked="0"/>
    </xf>
    <xf numFmtId="171" fontId="13" fillId="0" borderId="0" xfId="0" quotePrefix="1" applyNumberFormat="1" applyFont="1" applyAlignment="1" applyProtection="1">
      <alignment horizontal="right"/>
      <protection locked="0"/>
    </xf>
    <xf numFmtId="165" fontId="13" fillId="0" borderId="0" xfId="0" applyNumberFormat="1" applyFont="1" applyAlignment="1">
      <alignment horizontal="right"/>
    </xf>
    <xf numFmtId="3" fontId="13" fillId="0" borderId="1" xfId="0" applyNumberFormat="1" applyFont="1" applyBorder="1"/>
    <xf numFmtId="179" fontId="13" fillId="0" borderId="0" xfId="0" applyNumberFormat="1" applyFont="1"/>
    <xf numFmtId="165" fontId="13" fillId="0" borderId="0" xfId="0" applyNumberFormat="1" applyFont="1" applyAlignment="1">
      <alignment horizontal="center"/>
    </xf>
    <xf numFmtId="174" fontId="15" fillId="0" borderId="1" xfId="1" applyNumberFormat="1" applyFont="1" applyFill="1" applyBorder="1" applyAlignment="1"/>
    <xf numFmtId="3" fontId="13" fillId="0" borderId="0" xfId="0" quotePrefix="1" applyNumberFormat="1" applyFont="1" applyAlignment="1">
      <alignment horizontal="center"/>
    </xf>
    <xf numFmtId="171" fontId="13" fillId="0" borderId="3" xfId="0" applyNumberFormat="1" applyFont="1" applyBorder="1"/>
    <xf numFmtId="165" fontId="13" fillId="0" borderId="0" xfId="0" applyNumberFormat="1" applyFont="1" applyAlignment="1" applyProtection="1">
      <alignment horizontal="center"/>
      <protection locked="0"/>
    </xf>
    <xf numFmtId="173" fontId="13" fillId="0" borderId="1" xfId="2" applyNumberFormat="1" applyFont="1" applyFill="1" applyBorder="1"/>
    <xf numFmtId="173" fontId="15" fillId="0" borderId="1" xfId="2" applyNumberFormat="1" applyFont="1" applyFill="1" applyBorder="1"/>
    <xf numFmtId="3" fontId="13" fillId="0" borderId="0" xfId="0" quotePrefix="1" applyNumberFormat="1" applyFont="1" applyAlignment="1">
      <alignment horizontal="right"/>
    </xf>
    <xf numFmtId="176" fontId="15" fillId="0" borderId="0" xfId="0" applyNumberFormat="1" applyFont="1" applyAlignment="1">
      <alignment vertical="top" wrapText="1" readingOrder="1"/>
    </xf>
    <xf numFmtId="176" fontId="15" fillId="0" borderId="0" xfId="0" applyNumberFormat="1" applyFont="1" applyAlignment="1">
      <alignment horizontal="center" vertical="top" wrapText="1" readingOrder="1"/>
    </xf>
    <xf numFmtId="14" fontId="15" fillId="0" borderId="0" xfId="0" quotePrefix="1" applyNumberFormat="1" applyFont="1" applyAlignment="1">
      <alignment horizontal="center"/>
    </xf>
    <xf numFmtId="1" fontId="15" fillId="0" borderId="0" xfId="2" quotePrefix="1" applyNumberFormat="1" applyFont="1" applyFill="1"/>
    <xf numFmtId="174" fontId="15" fillId="0" borderId="0" xfId="1" applyNumberFormat="1" applyFont="1" applyFill="1" applyBorder="1" applyAlignment="1">
      <alignment vertical="top" wrapText="1" readingOrder="1"/>
    </xf>
    <xf numFmtId="180" fontId="13" fillId="0" borderId="0" xfId="1" applyNumberFormat="1" applyFont="1" applyFill="1"/>
    <xf numFmtId="174" fontId="15" fillId="0" borderId="0" xfId="0" quotePrefix="1" applyNumberFormat="1" applyFont="1"/>
    <xf numFmtId="3" fontId="15" fillId="0" borderId="0" xfId="0" quotePrefix="1" applyNumberFormat="1" applyFont="1"/>
    <xf numFmtId="180" fontId="13" fillId="0" borderId="0" xfId="0" applyNumberFormat="1" applyFont="1"/>
    <xf numFmtId="171" fontId="13" fillId="0" borderId="0" xfId="0" quotePrefix="1" applyNumberFormat="1" applyFont="1" applyAlignment="1">
      <alignment horizontal="right"/>
    </xf>
    <xf numFmtId="1" fontId="15" fillId="0" borderId="0" xfId="2" applyNumberFormat="1" applyFont="1" applyFill="1"/>
    <xf numFmtId="167" fontId="13" fillId="0" borderId="3" xfId="0" applyNumberFormat="1" applyFont="1" applyBorder="1"/>
    <xf numFmtId="175" fontId="15" fillId="0" borderId="0" xfId="1" applyNumberFormat="1" applyFont="1" applyFill="1"/>
    <xf numFmtId="174" fontId="21" fillId="0" borderId="0" xfId="13" applyNumberFormat="1" applyFont="1"/>
    <xf numFmtId="0" fontId="21" fillId="0" borderId="0" xfId="18" applyFont="1"/>
    <xf numFmtId="174" fontId="13" fillId="0" borderId="0" xfId="18" applyNumberFormat="1" applyFont="1"/>
    <xf numFmtId="0" fontId="13" fillId="0" borderId="0" xfId="18" applyFont="1"/>
    <xf numFmtId="174" fontId="13" fillId="0" borderId="0" xfId="7" applyNumberFormat="1" applyFont="1" applyFill="1" applyBorder="1"/>
    <xf numFmtId="0" fontId="13" fillId="0" borderId="0" xfId="18" applyFont="1" applyAlignment="1">
      <alignment horizontal="center"/>
    </xf>
    <xf numFmtId="37" fontId="13" fillId="0" borderId="0" xfId="18" applyNumberFormat="1" applyFont="1"/>
    <xf numFmtId="37" fontId="14" fillId="0" borderId="0" xfId="18" applyNumberFormat="1" applyFont="1"/>
    <xf numFmtId="37" fontId="14" fillId="0" borderId="2" xfId="18" applyNumberFormat="1" applyFont="1" applyBorder="1" applyAlignment="1">
      <alignment horizontal="center"/>
    </xf>
    <xf numFmtId="185" fontId="13" fillId="0" borderId="0" xfId="18" applyNumberFormat="1" applyFont="1" applyAlignment="1">
      <alignment horizontal="right"/>
    </xf>
    <xf numFmtId="185" fontId="13" fillId="0" borderId="0" xfId="18" applyNumberFormat="1" applyFont="1"/>
    <xf numFmtId="37" fontId="13" fillId="0" borderId="0" xfId="18" applyNumberFormat="1" applyFont="1" applyAlignment="1">
      <alignment horizontal="right"/>
    </xf>
    <xf numFmtId="0" fontId="14" fillId="0" borderId="2" xfId="18" quotePrefix="1" applyFont="1" applyBorder="1" applyAlignment="1">
      <alignment horizontal="center"/>
    </xf>
    <xf numFmtId="176" fontId="16" fillId="0" borderId="4" xfId="18" applyNumberFormat="1" applyFont="1" applyBorder="1" applyAlignment="1">
      <alignment vertical="top" wrapText="1" readingOrder="1"/>
    </xf>
    <xf numFmtId="174" fontId="16" fillId="0" borderId="4" xfId="7" applyNumberFormat="1" applyFont="1" applyFill="1" applyBorder="1" applyAlignment="1">
      <alignment vertical="top" wrapText="1" readingOrder="1"/>
    </xf>
    <xf numFmtId="43" fontId="13" fillId="0" borderId="0" xfId="0" applyNumberFormat="1" applyFont="1" applyAlignment="1">
      <alignment horizontal="centerContinuous"/>
    </xf>
    <xf numFmtId="0" fontId="14" fillId="0" borderId="0" xfId="18" quotePrefix="1" applyFont="1" applyAlignment="1">
      <alignment horizontal="center"/>
    </xf>
    <xf numFmtId="37" fontId="14" fillId="0" borderId="0" xfId="18" applyNumberFormat="1" applyFont="1" applyAlignment="1">
      <alignment horizontal="center"/>
    </xf>
    <xf numFmtId="174" fontId="16" fillId="0" borderId="0" xfId="7" applyNumberFormat="1" applyFont="1" applyFill="1" applyBorder="1" applyAlignment="1">
      <alignment vertical="top" wrapText="1" readingOrder="1"/>
    </xf>
    <xf numFmtId="185" fontId="13" fillId="0" borderId="0" xfId="18" applyNumberFormat="1" applyFont="1" applyAlignment="1">
      <alignment horizontal="left"/>
    </xf>
    <xf numFmtId="0" fontId="29" fillId="0" borderId="0" xfId="0" applyFont="1"/>
    <xf numFmtId="187" fontId="29" fillId="0" borderId="0" xfId="0" applyNumberFormat="1" applyFont="1"/>
    <xf numFmtId="187" fontId="13" fillId="0" borderId="0" xfId="0" applyNumberFormat="1" applyFont="1"/>
    <xf numFmtId="44" fontId="13" fillId="0" borderId="0" xfId="2" applyFont="1" applyAlignment="1">
      <alignment horizontal="center"/>
    </xf>
    <xf numFmtId="174" fontId="13" fillId="0" borderId="0" xfId="1" applyNumberFormat="1" applyFont="1" applyFill="1" applyBorder="1"/>
    <xf numFmtId="174" fontId="13" fillId="0" borderId="0" xfId="1" applyNumberFormat="1" applyFont="1" applyFill="1" applyAlignment="1">
      <alignment horizontal="right"/>
    </xf>
    <xf numFmtId="188" fontId="13" fillId="0" borderId="0" xfId="0" applyNumberFormat="1" applyFont="1"/>
    <xf numFmtId="17" fontId="15" fillId="0" borderId="0" xfId="0" applyNumberFormat="1" applyFont="1" applyAlignment="1">
      <alignment horizontal="center"/>
    </xf>
    <xf numFmtId="16" fontId="15" fillId="0" borderId="0" xfId="0" applyNumberFormat="1" applyFont="1" applyAlignment="1">
      <alignment horizontal="center"/>
    </xf>
    <xf numFmtId="189" fontId="13" fillId="0" borderId="0" xfId="0" applyNumberFormat="1" applyFont="1"/>
    <xf numFmtId="0" fontId="28" fillId="0" borderId="0" xfId="18" applyFont="1"/>
    <xf numFmtId="0" fontId="13" fillId="0" borderId="7" xfId="0" quotePrefix="1" applyFont="1" applyBorder="1" applyAlignment="1">
      <alignment horizontal="center"/>
    </xf>
    <xf numFmtId="0" fontId="13" fillId="0" borderId="7" xfId="0" applyFont="1" applyBorder="1"/>
    <xf numFmtId="0" fontId="13" fillId="0" borderId="7" xfId="0" applyFont="1" applyBorder="1" applyAlignment="1">
      <alignment horizontal="center"/>
    </xf>
    <xf numFmtId="0" fontId="13" fillId="0" borderId="2" xfId="0" applyFont="1" applyBorder="1"/>
    <xf numFmtId="165" fontId="15" fillId="0" borderId="0" xfId="0" quotePrefix="1" applyNumberFormat="1" applyFont="1" applyAlignment="1">
      <alignment horizontal="center"/>
    </xf>
    <xf numFmtId="184" fontId="15" fillId="0" borderId="0" xfId="0" applyNumberFormat="1" applyFont="1" applyAlignment="1">
      <alignment horizontal="center"/>
    </xf>
    <xf numFmtId="3" fontId="33" fillId="0" borderId="0" xfId="22" applyNumberFormat="1" applyFont="1" applyAlignment="1">
      <alignment horizontal="center"/>
    </xf>
    <xf numFmtId="3" fontId="34" fillId="0" borderId="0" xfId="22" applyNumberFormat="1" applyFont="1" applyAlignment="1">
      <alignment horizontal="center"/>
    </xf>
    <xf numFmtId="14" fontId="21" fillId="0" borderId="0" xfId="0" quotePrefix="1" applyNumberFormat="1" applyFont="1" applyAlignment="1">
      <alignment horizontal="center"/>
    </xf>
    <xf numFmtId="174" fontId="13" fillId="0" borderId="0" xfId="15" applyNumberFormat="1" applyFont="1" applyFill="1"/>
    <xf numFmtId="173" fontId="15" fillId="0" borderId="0" xfId="16" applyNumberFormat="1" applyFont="1" applyFill="1"/>
    <xf numFmtId="174" fontId="15" fillId="0" borderId="0" xfId="15" applyNumberFormat="1" applyFont="1" applyFill="1"/>
    <xf numFmtId="173" fontId="13" fillId="0" borderId="0" xfId="16" applyNumberFormat="1" applyFont="1" applyFill="1"/>
    <xf numFmtId="165" fontId="13" fillId="0" borderId="0" xfId="17" quotePrefix="1" applyNumberFormat="1" applyFont="1" applyFill="1"/>
    <xf numFmtId="165" fontId="15" fillId="0" borderId="0" xfId="17" applyNumberFormat="1" applyFont="1" applyFill="1"/>
    <xf numFmtId="0" fontId="15" fillId="0" borderId="2" xfId="0" quotePrefix="1" applyFont="1" applyBorder="1" applyAlignment="1">
      <alignment horizontal="left"/>
    </xf>
    <xf numFmtId="3" fontId="0" fillId="0" borderId="0" xfId="0" applyNumberFormat="1"/>
    <xf numFmtId="43" fontId="21" fillId="0" borderId="0" xfId="1" applyFont="1"/>
    <xf numFmtId="167" fontId="13" fillId="0" borderId="0" xfId="0" applyNumberFormat="1" applyFont="1" applyAlignment="1">
      <alignment horizontal="center"/>
    </xf>
    <xf numFmtId="174" fontId="31" fillId="0" borderId="0" xfId="24" applyNumberFormat="1" applyFont="1" applyFill="1" applyBorder="1"/>
    <xf numFmtId="38" fontId="0" fillId="0" borderId="0" xfId="0" applyNumberFormat="1"/>
    <xf numFmtId="3" fontId="32" fillId="0" borderId="0" xfId="4" applyNumberFormat="1" applyFont="1"/>
    <xf numFmtId="38" fontId="32" fillId="0" borderId="0" xfId="4" applyNumberFormat="1" applyFont="1"/>
    <xf numFmtId="38" fontId="33" fillId="0" borderId="0" xfId="0" applyNumberFormat="1" applyFont="1"/>
    <xf numFmtId="180" fontId="13" fillId="0" borderId="0" xfId="1" applyNumberFormat="1" applyFont="1" applyAlignment="1"/>
    <xf numFmtId="173" fontId="31" fillId="0" borderId="0" xfId="2" applyNumberFormat="1" applyFont="1" applyFill="1" applyBorder="1"/>
    <xf numFmtId="165" fontId="36" fillId="0" borderId="0" xfId="0" applyNumberFormat="1" applyFont="1"/>
    <xf numFmtId="166" fontId="13" fillId="0" borderId="0" xfId="0" applyNumberFormat="1" applyFont="1" applyAlignment="1">
      <alignment horizontal="center"/>
    </xf>
    <xf numFmtId="43" fontId="37" fillId="0" borderId="0" xfId="24" applyFont="1" applyFill="1" applyBorder="1"/>
    <xf numFmtId="174" fontId="0" fillId="0" borderId="0" xfId="24" applyNumberFormat="1" applyFont="1"/>
    <xf numFmtId="174" fontId="0" fillId="0" borderId="0" xfId="1" applyNumberFormat="1" applyFont="1"/>
    <xf numFmtId="190" fontId="13" fillId="0" borderId="0" xfId="0" applyNumberFormat="1" applyFont="1"/>
    <xf numFmtId="180" fontId="15" fillId="0" borderId="0" xfId="1" applyNumberFormat="1" applyFont="1" applyFill="1"/>
    <xf numFmtId="180" fontId="15" fillId="0" borderId="0" xfId="0" applyNumberFormat="1" applyFont="1"/>
    <xf numFmtId="3" fontId="38" fillId="0" borderId="0" xfId="0" applyNumberFormat="1" applyFont="1"/>
    <xf numFmtId="174" fontId="15" fillId="0" borderId="4" xfId="15" applyNumberFormat="1" applyFont="1" applyFill="1" applyBorder="1" applyAlignment="1">
      <alignment vertical="top" wrapText="1" readingOrder="1"/>
    </xf>
    <xf numFmtId="174" fontId="15" fillId="0" borderId="0" xfId="15" applyNumberFormat="1" applyFont="1" applyFill="1" applyBorder="1" applyAlignment="1">
      <alignment vertical="top" wrapText="1" readingOrder="1"/>
    </xf>
    <xf numFmtId="44" fontId="15" fillId="0" borderId="0" xfId="16" applyFont="1" applyFill="1"/>
    <xf numFmtId="38" fontId="39" fillId="0" borderId="0" xfId="0" applyNumberFormat="1" applyFont="1"/>
    <xf numFmtId="10" fontId="13" fillId="0" borderId="0" xfId="3" applyNumberFormat="1" applyFont="1" applyFill="1"/>
    <xf numFmtId="177" fontId="13" fillId="0" borderId="0" xfId="0" applyNumberFormat="1" applyFont="1" applyAlignment="1">
      <alignment horizontal="center"/>
    </xf>
    <xf numFmtId="0" fontId="37" fillId="0" borderId="0" xfId="0" applyFont="1" applyAlignment="1">
      <alignment horizontal="center" vertical="center" readingOrder="1"/>
    </xf>
    <xf numFmtId="0" fontId="37" fillId="0" borderId="0" xfId="0" applyFont="1" applyAlignment="1">
      <alignment horizontal="center" vertical="center" wrapText="1" readingOrder="1"/>
    </xf>
    <xf numFmtId="0" fontId="37" fillId="0" borderId="0" xfId="0" applyFont="1"/>
    <xf numFmtId="191" fontId="15" fillId="0" borderId="0" xfId="0" applyNumberFormat="1" applyFont="1"/>
    <xf numFmtId="0" fontId="36" fillId="6" borderId="0" xfId="0" applyFont="1" applyFill="1" applyAlignment="1">
      <alignment horizontal="center"/>
    </xf>
    <xf numFmtId="0" fontId="41" fillId="6" borderId="0" xfId="0" applyFont="1" applyFill="1" applyAlignment="1">
      <alignment horizontal="center"/>
    </xf>
    <xf numFmtId="0" fontId="40" fillId="0" borderId="0" xfId="0" applyFont="1"/>
    <xf numFmtId="165" fontId="40" fillId="0" borderId="0" xfId="3" applyNumberFormat="1" applyFont="1" applyFill="1" applyBorder="1"/>
    <xf numFmtId="9" fontId="42" fillId="0" borderId="0" xfId="3" applyFont="1" applyFill="1" applyBorder="1"/>
    <xf numFmtId="174" fontId="42" fillId="0" borderId="0" xfId="24" applyNumberFormat="1" applyFont="1" applyFill="1" applyBorder="1"/>
    <xf numFmtId="6" fontId="13" fillId="0" borderId="0" xfId="0" quotePrefix="1" applyNumberFormat="1" applyFont="1"/>
    <xf numFmtId="174" fontId="31" fillId="0" borderId="7" xfId="24" applyNumberFormat="1" applyFont="1" applyFill="1" applyBorder="1"/>
    <xf numFmtId="43" fontId="13" fillId="0" borderId="3" xfId="1" applyFont="1" applyFill="1" applyBorder="1"/>
    <xf numFmtId="165" fontId="15" fillId="0" borderId="0" xfId="3" applyNumberFormat="1" applyFont="1" applyAlignment="1">
      <alignment horizontal="center"/>
    </xf>
    <xf numFmtId="9" fontId="15" fillId="0" borderId="0" xfId="3" applyFont="1" applyAlignment="1">
      <alignment horizontal="center"/>
    </xf>
    <xf numFmtId="180" fontId="15" fillId="0" borderId="0" xfId="1" applyNumberFormat="1" applyFont="1" applyAlignment="1"/>
    <xf numFmtId="43" fontId="15" fillId="0" borderId="0" xfId="1" applyFont="1"/>
    <xf numFmtId="38" fontId="15" fillId="0" borderId="0" xfId="4" quotePrefix="1" applyNumberFormat="1" applyFont="1"/>
    <xf numFmtId="180" fontId="15" fillId="0" borderId="0" xfId="1" applyNumberFormat="1" applyFont="1"/>
    <xf numFmtId="1" fontId="15" fillId="0" borderId="0" xfId="0" applyNumberFormat="1" applyFont="1" applyAlignment="1">
      <alignment horizontal="center"/>
    </xf>
    <xf numFmtId="174" fontId="13" fillId="0" borderId="0" xfId="15" quotePrefix="1" applyNumberFormat="1" applyFont="1"/>
    <xf numFmtId="173" fontId="31" fillId="0" borderId="0" xfId="16" applyNumberFormat="1" applyFont="1" applyFill="1" applyBorder="1"/>
    <xf numFmtId="174" fontId="15" fillId="0" borderId="0" xfId="15" applyNumberFormat="1" applyFont="1"/>
    <xf numFmtId="0" fontId="33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174" fontId="13" fillId="0" borderId="0" xfId="0" applyNumberFormat="1" applyFont="1" applyAlignment="1">
      <alignment horizontal="right"/>
    </xf>
    <xf numFmtId="174" fontId="37" fillId="0" borderId="0" xfId="15" applyNumberFormat="1" applyFont="1" applyFill="1" applyBorder="1"/>
    <xf numFmtId="9" fontId="15" fillId="0" borderId="0" xfId="3" quotePrefix="1" applyFont="1" applyFill="1" applyAlignment="1">
      <alignment horizontal="center"/>
    </xf>
    <xf numFmtId="9" fontId="15" fillId="0" borderId="0" xfId="3" applyFont="1" applyFill="1" applyBorder="1" applyAlignment="1">
      <alignment horizontal="center"/>
    </xf>
    <xf numFmtId="175" fontId="15" fillId="0" borderId="0" xfId="0" applyNumberFormat="1" applyFont="1"/>
    <xf numFmtId="173" fontId="15" fillId="0" borderId="0" xfId="0" applyNumberFormat="1" applyFont="1" applyAlignment="1">
      <alignment horizontal="center"/>
    </xf>
    <xf numFmtId="174" fontId="15" fillId="0" borderId="0" xfId="1" applyNumberFormat="1" applyFont="1" applyFill="1" applyAlignment="1">
      <alignment horizontal="right"/>
    </xf>
    <xf numFmtId="175" fontId="13" fillId="0" borderId="0" xfId="1" applyNumberFormat="1" applyFont="1"/>
    <xf numFmtId="165" fontId="13" fillId="0" borderId="0" xfId="3" quotePrefix="1" applyNumberFormat="1" applyFont="1"/>
    <xf numFmtId="177" fontId="15" fillId="2" borderId="0" xfId="0" applyNumberFormat="1" applyFont="1" applyFill="1"/>
    <xf numFmtId="8" fontId="13" fillId="2" borderId="0" xfId="0" applyNumberFormat="1" applyFont="1" applyFill="1"/>
    <xf numFmtId="38" fontId="15" fillId="0" borderId="0" xfId="4" applyNumberFormat="1" applyFont="1" applyAlignment="1">
      <alignment horizontal="center"/>
    </xf>
    <xf numFmtId="9" fontId="15" fillId="0" borderId="0" xfId="3" applyFont="1" applyAlignment="1"/>
    <xf numFmtId="1" fontId="15" fillId="0" borderId="0" xfId="4" applyNumberFormat="1" applyFont="1"/>
    <xf numFmtId="165" fontId="15" fillId="0" borderId="0" xfId="3" applyNumberFormat="1" applyFont="1" applyAlignment="1"/>
    <xf numFmtId="1" fontId="15" fillId="2" borderId="0" xfId="4" applyNumberFormat="1" applyFont="1" applyFill="1"/>
    <xf numFmtId="9" fontId="15" fillId="2" borderId="0" xfId="3" applyFont="1" applyFill="1"/>
    <xf numFmtId="9" fontId="15" fillId="2" borderId="0" xfId="3" applyFont="1" applyFill="1" applyAlignment="1"/>
    <xf numFmtId="165" fontId="15" fillId="2" borderId="0" xfId="3" applyNumberFormat="1" applyFont="1" applyFill="1" applyAlignment="1"/>
    <xf numFmtId="165" fontId="15" fillId="2" borderId="0" xfId="3" applyNumberFormat="1" applyFont="1" applyFill="1"/>
    <xf numFmtId="192" fontId="15" fillId="0" borderId="0" xfId="0" applyNumberFormat="1" applyFont="1"/>
    <xf numFmtId="9" fontId="15" fillId="0" borderId="0" xfId="3" applyFont="1"/>
    <xf numFmtId="0" fontId="15" fillId="0" borderId="0" xfId="0" applyFont="1" applyAlignment="1">
      <alignment horizontal="right"/>
    </xf>
    <xf numFmtId="9" fontId="15" fillId="0" borderId="0" xfId="3" applyFont="1" applyFill="1" applyAlignment="1"/>
    <xf numFmtId="166" fontId="15" fillId="0" borderId="0" xfId="1" applyNumberFormat="1" applyFont="1"/>
    <xf numFmtId="193" fontId="15" fillId="0" borderId="0" xfId="4" applyNumberFormat="1" applyFont="1" applyAlignment="1">
      <alignment horizontal="center"/>
    </xf>
    <xf numFmtId="193" fontId="15" fillId="0" borderId="0" xfId="0" applyNumberFormat="1" applyFont="1" applyAlignment="1">
      <alignment horizontal="center"/>
    </xf>
    <xf numFmtId="165" fontId="15" fillId="0" borderId="0" xfId="3" quotePrefix="1" applyNumberFormat="1" applyFont="1"/>
    <xf numFmtId="174" fontId="15" fillId="0" borderId="0" xfId="1" applyNumberFormat="1" applyFont="1" applyFill="1" applyAlignment="1"/>
    <xf numFmtId="174" fontId="31" fillId="0" borderId="0" xfId="1" applyNumberFormat="1" applyFont="1" applyFill="1" applyBorder="1"/>
    <xf numFmtId="170" fontId="15" fillId="0" borderId="7" xfId="0" applyNumberFormat="1" applyFont="1" applyBorder="1" applyAlignment="1">
      <alignment horizontal="center"/>
    </xf>
    <xf numFmtId="0" fontId="15" fillId="0" borderId="7" xfId="0" applyFont="1" applyBorder="1"/>
    <xf numFmtId="174" fontId="13" fillId="0" borderId="0" xfId="1" applyNumberFormat="1" applyFont="1" applyAlignment="1">
      <alignment horizontal="right"/>
    </xf>
    <xf numFmtId="0" fontId="43" fillId="0" borderId="0" xfId="21" applyFont="1"/>
    <xf numFmtId="0" fontId="37" fillId="0" borderId="0" xfId="18" applyFont="1"/>
    <xf numFmtId="0" fontId="37" fillId="0" borderId="0" xfId="21" applyFont="1"/>
    <xf numFmtId="0" fontId="43" fillId="0" borderId="0" xfId="18" applyFont="1"/>
    <xf numFmtId="0" fontId="43" fillId="0" borderId="2" xfId="18" applyFont="1" applyBorder="1" applyAlignment="1">
      <alignment horizontal="center"/>
    </xf>
    <xf numFmtId="0" fontId="43" fillId="0" borderId="2" xfId="18" quotePrefix="1" applyFont="1" applyBorder="1" applyAlignment="1">
      <alignment horizontal="center"/>
    </xf>
    <xf numFmtId="0" fontId="37" fillId="0" borderId="0" xfId="18" applyFont="1" applyAlignment="1">
      <alignment horizontal="center"/>
    </xf>
    <xf numFmtId="37" fontId="37" fillId="0" borderId="0" xfId="18" applyNumberFormat="1" applyFont="1" applyAlignment="1">
      <alignment horizontal="right"/>
    </xf>
    <xf numFmtId="37" fontId="37" fillId="0" borderId="0" xfId="18" applyNumberFormat="1" applyFont="1"/>
    <xf numFmtId="37" fontId="43" fillId="0" borderId="0" xfId="18" applyNumberFormat="1" applyFont="1"/>
    <xf numFmtId="37" fontId="43" fillId="0" borderId="2" xfId="18" applyNumberFormat="1" applyFont="1" applyBorder="1" applyAlignment="1">
      <alignment horizontal="center"/>
    </xf>
    <xf numFmtId="185" fontId="37" fillId="0" borderId="0" xfId="18" applyNumberFormat="1" applyFont="1" applyAlignment="1">
      <alignment horizontal="right"/>
    </xf>
    <xf numFmtId="185" fontId="37" fillId="0" borderId="0" xfId="18" applyNumberFormat="1" applyFont="1"/>
    <xf numFmtId="185" fontId="43" fillId="0" borderId="0" xfId="18" applyNumberFormat="1" applyFont="1"/>
    <xf numFmtId="185" fontId="37" fillId="0" borderId="0" xfId="18" quotePrefix="1" applyNumberFormat="1" applyFont="1"/>
    <xf numFmtId="49" fontId="43" fillId="0" borderId="0" xfId="18" applyNumberFormat="1" applyFont="1" applyAlignment="1">
      <alignment horizontal="center"/>
    </xf>
    <xf numFmtId="174" fontId="36" fillId="0" borderId="0" xfId="7" applyNumberFormat="1" applyFont="1" applyFill="1" applyBorder="1" applyAlignment="1">
      <alignment vertical="top" wrapText="1" readingOrder="1"/>
    </xf>
    <xf numFmtId="0" fontId="43" fillId="0" borderId="2" xfId="18" applyFont="1" applyBorder="1" applyAlignment="1">
      <alignment horizontal="center" wrapText="1"/>
    </xf>
    <xf numFmtId="0" fontId="43" fillId="0" borderId="2" xfId="18" quotePrefix="1" applyFont="1" applyBorder="1" applyAlignment="1">
      <alignment horizontal="center" wrapText="1"/>
    </xf>
    <xf numFmtId="174" fontId="37" fillId="0" borderId="0" xfId="7" applyNumberFormat="1" applyFont="1" applyFill="1" applyBorder="1"/>
    <xf numFmtId="185" fontId="44" fillId="0" borderId="0" xfId="18" applyNumberFormat="1" applyFont="1" applyAlignment="1">
      <alignment horizontal="right"/>
    </xf>
    <xf numFmtId="174" fontId="37" fillId="0" borderId="0" xfId="18" applyNumberFormat="1" applyFont="1"/>
    <xf numFmtId="186" fontId="37" fillId="0" borderId="0" xfId="18" applyNumberFormat="1" applyFont="1" applyAlignment="1">
      <alignment horizontal="right"/>
    </xf>
    <xf numFmtId="0" fontId="2" fillId="0" borderId="0" xfId="18" applyFont="1"/>
    <xf numFmtId="0" fontId="43" fillId="0" borderId="2" xfId="18" applyFont="1" applyBorder="1" applyAlignment="1">
      <alignment horizontal="left"/>
    </xf>
    <xf numFmtId="180" fontId="37" fillId="0" borderId="0" xfId="7" applyNumberFormat="1" applyFont="1" applyFill="1" applyAlignment="1">
      <alignment horizontal="right"/>
    </xf>
    <xf numFmtId="168" fontId="13" fillId="0" borderId="0" xfId="0" quotePrefix="1" applyNumberFormat="1" applyFont="1"/>
    <xf numFmtId="180" fontId="15" fillId="0" borderId="0" xfId="1" applyNumberFormat="1" applyFont="1" applyFill="1" applyAlignment="1">
      <alignment horizontal="center"/>
    </xf>
    <xf numFmtId="3" fontId="13" fillId="0" borderId="7" xfId="0" applyNumberFormat="1" applyFont="1" applyBorder="1"/>
    <xf numFmtId="37" fontId="13" fillId="0" borderId="7" xfId="0" applyNumberFormat="1" applyFont="1" applyBorder="1"/>
    <xf numFmtId="170" fontId="13" fillId="0" borderId="7" xfId="0" applyNumberFormat="1" applyFont="1" applyBorder="1" applyAlignment="1">
      <alignment horizontal="center"/>
    </xf>
    <xf numFmtId="0" fontId="13" fillId="0" borderId="0" xfId="4" quotePrefix="1" applyFont="1" applyAlignment="1">
      <alignment horizontal="left"/>
    </xf>
    <xf numFmtId="0" fontId="13" fillId="0" borderId="0" xfId="4" quotePrefix="1" applyFont="1" applyAlignment="1">
      <alignment horizontal="right"/>
    </xf>
    <xf numFmtId="0" fontId="13" fillId="0" borderId="0" xfId="4" quotePrefix="1" applyFont="1" applyAlignment="1">
      <alignment horizontal="center"/>
    </xf>
    <xf numFmtId="167" fontId="13" fillId="0" borderId="0" xfId="4" applyNumberFormat="1" applyFont="1"/>
    <xf numFmtId="0" fontId="13" fillId="0" borderId="7" xfId="4" applyFont="1" applyBorder="1"/>
    <xf numFmtId="0" fontId="23" fillId="0" borderId="0" xfId="4" quotePrefix="1" applyFont="1" applyAlignment="1">
      <alignment horizontal="left"/>
    </xf>
    <xf numFmtId="0" fontId="15" fillId="0" borderId="0" xfId="4" applyFont="1"/>
    <xf numFmtId="170" fontId="13" fillId="0" borderId="0" xfId="4" quotePrefix="1" applyNumberFormat="1" applyFont="1" applyAlignment="1">
      <alignment horizontal="center"/>
    </xf>
    <xf numFmtId="170" fontId="13" fillId="0" borderId="0" xfId="4" applyNumberFormat="1" applyFont="1" applyAlignment="1">
      <alignment horizontal="center"/>
    </xf>
    <xf numFmtId="170" fontId="13" fillId="0" borderId="7" xfId="4" applyNumberFormat="1" applyFont="1" applyBorder="1" applyAlignment="1">
      <alignment horizontal="center"/>
    </xf>
    <xf numFmtId="0" fontId="13" fillId="0" borderId="2" xfId="4" applyFont="1" applyBorder="1" applyAlignment="1">
      <alignment horizontal="centerContinuous"/>
    </xf>
    <xf numFmtId="0" fontId="13" fillId="0" borderId="2" xfId="4" quotePrefix="1" applyFont="1" applyBorder="1" applyAlignment="1">
      <alignment horizontal="centerContinuous"/>
    </xf>
    <xf numFmtId="0" fontId="13" fillId="0" borderId="0" xfId="4" applyFont="1" applyAlignment="1">
      <alignment horizontal="centerContinuous"/>
    </xf>
    <xf numFmtId="0" fontId="15" fillId="0" borderId="0" xfId="4" applyFont="1" applyAlignment="1">
      <alignment horizontal="center"/>
    </xf>
    <xf numFmtId="173" fontId="13" fillId="0" borderId="0" xfId="4" applyNumberFormat="1" applyFont="1"/>
    <xf numFmtId="174" fontId="13" fillId="0" borderId="0" xfId="3" applyNumberFormat="1" applyFont="1" applyAlignment="1">
      <alignment horizontal="right"/>
    </xf>
    <xf numFmtId="174" fontId="13" fillId="0" borderId="0" xfId="3" applyNumberFormat="1" applyFont="1" applyAlignment="1"/>
    <xf numFmtId="174" fontId="13" fillId="0" borderId="0" xfId="3" applyNumberFormat="1" applyFont="1" applyAlignment="1">
      <alignment horizontal="center"/>
    </xf>
    <xf numFmtId="0" fontId="14" fillId="0" borderId="0" xfId="0" applyFont="1" applyAlignment="1">
      <alignment horizontal="left"/>
    </xf>
    <xf numFmtId="174" fontId="15" fillId="0" borderId="0" xfId="1" quotePrefix="1" applyNumberFormat="1" applyFont="1" applyFill="1" applyBorder="1" applyAlignment="1">
      <alignment horizontal="center"/>
    </xf>
    <xf numFmtId="37" fontId="13" fillId="0" borderId="0" xfId="1" applyNumberFormat="1" applyFont="1" applyFill="1"/>
    <xf numFmtId="5" fontId="13" fillId="0" borderId="0" xfId="1" applyNumberFormat="1" applyFont="1" applyFill="1"/>
    <xf numFmtId="5" fontId="13" fillId="0" borderId="0" xfId="2" quotePrefix="1" applyNumberFormat="1" applyFont="1" applyFill="1"/>
    <xf numFmtId="5" fontId="13" fillId="0" borderId="0" xfId="2" applyNumberFormat="1" applyFont="1" applyFill="1"/>
    <xf numFmtId="5" fontId="13" fillId="0" borderId="0" xfId="2" applyNumberFormat="1" applyFont="1" applyFill="1" applyProtection="1">
      <protection locked="0"/>
    </xf>
    <xf numFmtId="37" fontId="13" fillId="0" borderId="0" xfId="1" quotePrefix="1" applyNumberFormat="1" applyFont="1" applyFill="1"/>
    <xf numFmtId="37" fontId="13" fillId="0" borderId="0" xfId="0" applyNumberFormat="1" applyFont="1" applyProtection="1">
      <protection locked="0"/>
    </xf>
    <xf numFmtId="37" fontId="13" fillId="0" borderId="0" xfId="1" applyNumberFormat="1" applyFont="1"/>
    <xf numFmtId="37" fontId="15" fillId="0" borderId="0" xfId="0" applyNumberFormat="1" applyFont="1"/>
    <xf numFmtId="37" fontId="13" fillId="0" borderId="0" xfId="0" quotePrefix="1" applyNumberFormat="1" applyFont="1" applyAlignment="1">
      <alignment horizontal="left"/>
    </xf>
    <xf numFmtId="0" fontId="23" fillId="0" borderId="0" xfId="0" applyFont="1" applyAlignment="1">
      <alignment horizontal="left"/>
    </xf>
    <xf numFmtId="5" fontId="13" fillId="0" borderId="0" xfId="2" applyNumberFormat="1" applyFont="1"/>
    <xf numFmtId="37" fontId="13" fillId="0" borderId="0" xfId="1" applyNumberFormat="1" applyFont="1" applyFill="1" applyAlignment="1">
      <alignment horizontal="center"/>
    </xf>
    <xf numFmtId="37" fontId="27" fillId="0" borderId="0" xfId="1" applyNumberFormat="1" applyFont="1" applyFill="1"/>
    <xf numFmtId="5" fontId="13" fillId="0" borderId="0" xfId="0" applyNumberFormat="1" applyFont="1" applyAlignment="1">
      <alignment horizontal="center"/>
    </xf>
    <xf numFmtId="5" fontId="13" fillId="0" borderId="0" xfId="0" quotePrefix="1" applyNumberFormat="1" applyFont="1"/>
    <xf numFmtId="0" fontId="15" fillId="0" borderId="0" xfId="0" applyFont="1" applyAlignment="1">
      <alignment horizontal="left"/>
    </xf>
    <xf numFmtId="194" fontId="13" fillId="0" borderId="0" xfId="0" applyNumberFormat="1" applyFont="1"/>
    <xf numFmtId="5" fontId="13" fillId="0" borderId="0" xfId="1" applyNumberFormat="1" applyFont="1" applyFill="1" applyAlignment="1"/>
    <xf numFmtId="5" fontId="23" fillId="0" borderId="0" xfId="2" quotePrefix="1" applyNumberFormat="1" applyFont="1" applyAlignment="1">
      <alignment horizontal="left"/>
    </xf>
    <xf numFmtId="37" fontId="13" fillId="0" borderId="0" xfId="0" applyNumberFormat="1" applyFont="1" applyAlignment="1">
      <alignment horizontal="center"/>
    </xf>
    <xf numFmtId="37" fontId="13" fillId="0" borderId="0" xfId="15" applyNumberFormat="1" applyFont="1" applyFill="1"/>
    <xf numFmtId="37" fontId="13" fillId="0" borderId="0" xfId="15" applyNumberFormat="1" applyFont="1"/>
    <xf numFmtId="5" fontId="13" fillId="0" borderId="0" xfId="16" applyNumberFormat="1" applyFont="1"/>
    <xf numFmtId="5" fontId="13" fillId="0" borderId="0" xfId="16" applyNumberFormat="1" applyFont="1" applyFill="1"/>
    <xf numFmtId="37" fontId="13" fillId="0" borderId="0" xfId="16" applyNumberFormat="1" applyFont="1"/>
    <xf numFmtId="37" fontId="13" fillId="0" borderId="0" xfId="4" applyNumberFormat="1" applyFont="1"/>
    <xf numFmtId="5" fontId="13" fillId="0" borderId="0" xfId="2" quotePrefix="1" applyNumberFormat="1" applyFont="1"/>
    <xf numFmtId="37" fontId="13" fillId="0" borderId="0" xfId="15" quotePrefix="1" applyNumberFormat="1" applyFont="1" applyFill="1"/>
    <xf numFmtId="42" fontId="13" fillId="0" borderId="0" xfId="0" applyNumberFormat="1" applyFont="1" applyAlignment="1">
      <alignment horizontal="right"/>
    </xf>
    <xf numFmtId="42" fontId="13" fillId="0" borderId="0" xfId="2" applyNumberFormat="1" applyFont="1" applyFill="1"/>
    <xf numFmtId="42" fontId="13" fillId="0" borderId="0" xfId="0" applyNumberFormat="1" applyFont="1"/>
    <xf numFmtId="41" fontId="13" fillId="0" borderId="0" xfId="1" applyNumberFormat="1" applyFont="1" applyFill="1" applyAlignment="1">
      <alignment horizontal="right"/>
    </xf>
    <xf numFmtId="41" fontId="13" fillId="0" borderId="0" xfId="1" applyNumberFormat="1" applyFont="1" applyFill="1"/>
    <xf numFmtId="5" fontId="13" fillId="0" borderId="0" xfId="1" applyNumberFormat="1" applyFont="1" applyFill="1" applyAlignment="1">
      <alignment horizontal="center"/>
    </xf>
    <xf numFmtId="5" fontId="13" fillId="0" borderId="0" xfId="2" applyNumberFormat="1" applyFont="1" applyFill="1" applyAlignment="1">
      <alignment horizontal="right"/>
    </xf>
    <xf numFmtId="5" fontId="13" fillId="0" borderId="0" xfId="0" applyNumberFormat="1" applyFont="1" applyAlignment="1">
      <alignment horizontal="right"/>
    </xf>
    <xf numFmtId="5" fontId="13" fillId="0" borderId="0" xfId="1" applyNumberFormat="1" applyFont="1" applyFill="1" applyAlignment="1">
      <alignment horizontal="right"/>
    </xf>
    <xf numFmtId="37" fontId="13" fillId="0" borderId="0" xfId="1" applyNumberFormat="1" applyFont="1" applyFill="1" applyAlignment="1">
      <alignment horizontal="right"/>
    </xf>
    <xf numFmtId="37" fontId="13" fillId="0" borderId="0" xfId="0" applyNumberFormat="1" applyFont="1" applyAlignment="1">
      <alignment horizontal="right"/>
    </xf>
    <xf numFmtId="37" fontId="13" fillId="0" borderId="0" xfId="1" applyNumberFormat="1" applyFont="1" applyAlignment="1">
      <alignment horizontal="right"/>
    </xf>
    <xf numFmtId="37" fontId="13" fillId="0" borderId="3" xfId="0" applyNumberFormat="1" applyFont="1" applyBorder="1"/>
    <xf numFmtId="5" fontId="13" fillId="0" borderId="0" xfId="2" applyNumberFormat="1" applyFont="1" applyFill="1" applyAlignment="1">
      <alignment horizontal="center"/>
    </xf>
    <xf numFmtId="0" fontId="0" fillId="0" borderId="0" xfId="0" applyAlignment="1">
      <alignment horizontal="centerContinuous"/>
    </xf>
    <xf numFmtId="43" fontId="13" fillId="0" borderId="0" xfId="1" applyFont="1" applyAlignment="1">
      <alignment horizontal="centerContinuous"/>
    </xf>
    <xf numFmtId="5" fontId="13" fillId="0" borderId="0" xfId="0" applyNumberFormat="1" applyFont="1" applyAlignment="1">
      <alignment horizontal="centerContinuous"/>
    </xf>
    <xf numFmtId="5" fontId="15" fillId="0" borderId="0" xfId="0" applyNumberFormat="1" applyFont="1" applyAlignment="1">
      <alignment horizontal="center"/>
    </xf>
    <xf numFmtId="42" fontId="13" fillId="0" borderId="0" xfId="2" applyNumberFormat="1" applyFont="1"/>
    <xf numFmtId="1" fontId="13" fillId="0" borderId="0" xfId="1" applyNumberFormat="1" applyFont="1" applyFill="1"/>
    <xf numFmtId="164" fontId="13" fillId="0" borderId="0" xfId="0" applyNumberFormat="1" applyFont="1" applyAlignment="1">
      <alignment horizontal="centerContinuous"/>
    </xf>
    <xf numFmtId="5" fontId="13" fillId="0" borderId="0" xfId="0" quotePrefix="1" applyNumberFormat="1" applyFont="1" applyAlignment="1">
      <alignment horizontal="center"/>
    </xf>
    <xf numFmtId="37" fontId="24" fillId="0" borderId="0" xfId="0" applyNumberFormat="1" applyFont="1"/>
    <xf numFmtId="37" fontId="13" fillId="0" borderId="0" xfId="2" applyNumberFormat="1" applyFont="1" applyFill="1"/>
    <xf numFmtId="0" fontId="0" fillId="0" borderId="0" xfId="0" applyAlignment="1">
      <alignment horizontal="left"/>
    </xf>
    <xf numFmtId="5" fontId="13" fillId="0" borderId="0" xfId="1" applyNumberFormat="1" applyFont="1"/>
    <xf numFmtId="0" fontId="37" fillId="0" borderId="0" xfId="18" applyFont="1" applyAlignment="1">
      <alignment horizontal="right"/>
    </xf>
    <xf numFmtId="5" fontId="15" fillId="0" borderId="0" xfId="16" applyNumberFormat="1" applyFont="1" applyFill="1"/>
    <xf numFmtId="5" fontId="15" fillId="0" borderId="0" xfId="2" applyNumberFormat="1" applyFont="1" applyFill="1"/>
    <xf numFmtId="5" fontId="15" fillId="0" borderId="0" xfId="1" applyNumberFormat="1" applyFont="1" applyFill="1"/>
    <xf numFmtId="180" fontId="37" fillId="0" borderId="0" xfId="18" applyNumberFormat="1" applyFont="1" applyAlignment="1">
      <alignment horizontal="right"/>
    </xf>
    <xf numFmtId="180" fontId="2" fillId="0" borderId="0" xfId="18" applyNumberFormat="1" applyFont="1"/>
    <xf numFmtId="185" fontId="40" fillId="0" borderId="0" xfId="18" applyNumberFormat="1" applyFont="1"/>
    <xf numFmtId="39" fontId="37" fillId="0" borderId="0" xfId="18" applyNumberFormat="1" applyFont="1" applyAlignment="1">
      <alignment horizontal="right"/>
    </xf>
    <xf numFmtId="174" fontId="37" fillId="0" borderId="0" xfId="1" applyNumberFormat="1" applyFont="1" applyFill="1"/>
    <xf numFmtId="176" fontId="36" fillId="0" borderId="0" xfId="22" applyNumberFormat="1" applyFont="1" applyAlignment="1">
      <alignment vertical="top" wrapText="1" readingOrder="1"/>
    </xf>
    <xf numFmtId="185" fontId="1" fillId="0" borderId="0" xfId="18" applyNumberFormat="1" applyFont="1"/>
    <xf numFmtId="0" fontId="45" fillId="0" borderId="0" xfId="18" applyFont="1"/>
    <xf numFmtId="37" fontId="14" fillId="0" borderId="2" xfId="18" quotePrefix="1" applyNumberFormat="1" applyFont="1" applyBorder="1" applyAlignment="1">
      <alignment horizontal="center"/>
    </xf>
    <xf numFmtId="3" fontId="15" fillId="0" borderId="0" xfId="0" applyNumberFormat="1" applyFont="1" applyAlignment="1">
      <alignment horizontal="right"/>
    </xf>
    <xf numFmtId="3" fontId="32" fillId="0" borderId="0" xfId="4" quotePrefix="1" applyNumberFormat="1" applyFont="1"/>
    <xf numFmtId="0" fontId="15" fillId="0" borderId="0" xfId="16" applyNumberFormat="1" applyFont="1" applyFill="1" applyAlignment="1">
      <alignment horizontal="center"/>
    </xf>
    <xf numFmtId="173" fontId="13" fillId="0" borderId="0" xfId="0" quotePrefix="1" applyNumberFormat="1" applyFont="1"/>
    <xf numFmtId="185" fontId="2" fillId="0" borderId="0" xfId="18" applyNumberFormat="1" applyFont="1"/>
    <xf numFmtId="166" fontId="2" fillId="0" borderId="0" xfId="18" applyNumberFormat="1" applyFont="1"/>
    <xf numFmtId="3" fontId="22" fillId="0" borderId="0" xfId="0" quotePrefix="1" applyNumberFormat="1" applyFont="1" applyAlignment="1">
      <alignment horizontal="center" vertical="center"/>
    </xf>
    <xf numFmtId="174" fontId="13" fillId="0" borderId="0" xfId="2" quotePrefix="1" applyNumberFormat="1" applyFont="1" applyFill="1"/>
    <xf numFmtId="171" fontId="13" fillId="0" borderId="0" xfId="2" quotePrefix="1" applyNumberFormat="1" applyFont="1" applyFill="1"/>
    <xf numFmtId="1" fontId="13" fillId="0" borderId="0" xfId="2" quotePrefix="1" applyNumberFormat="1" applyFont="1" applyFill="1"/>
    <xf numFmtId="1" fontId="13" fillId="0" borderId="0" xfId="1" quotePrefix="1" applyNumberFormat="1" applyFont="1" applyFill="1"/>
    <xf numFmtId="1" fontId="13" fillId="0" borderId="0" xfId="1" applyNumberFormat="1" applyFont="1"/>
    <xf numFmtId="171" fontId="13" fillId="0" borderId="0" xfId="2" applyNumberFormat="1" applyFont="1"/>
    <xf numFmtId="173" fontId="13" fillId="0" borderId="0" xfId="1" applyNumberFormat="1" applyFont="1" applyFill="1"/>
    <xf numFmtId="43" fontId="13" fillId="0" borderId="0" xfId="1" quotePrefix="1" applyFont="1" applyAlignment="1">
      <alignment horizontal="right"/>
    </xf>
    <xf numFmtId="43" fontId="13" fillId="0" borderId="0" xfId="1" quotePrefix="1" applyFont="1" applyAlignment="1">
      <alignment horizontal="left"/>
    </xf>
    <xf numFmtId="43" fontId="14" fillId="0" borderId="0" xfId="1" applyFont="1" applyAlignment="1">
      <alignment horizontal="centerContinuous"/>
    </xf>
    <xf numFmtId="43" fontId="13" fillId="0" borderId="0" xfId="1" quotePrefix="1" applyFont="1" applyAlignment="1">
      <alignment horizontal="center"/>
    </xf>
    <xf numFmtId="1" fontId="13" fillId="0" borderId="0" xfId="1" applyNumberFormat="1" applyFont="1" applyAlignment="1">
      <alignment horizontal="center"/>
    </xf>
    <xf numFmtId="1" fontId="13" fillId="0" borderId="0" xfId="1" quotePrefix="1" applyNumberFormat="1" applyFont="1" applyAlignment="1">
      <alignment horizontal="center"/>
    </xf>
    <xf numFmtId="9" fontId="15" fillId="0" borderId="0" xfId="3" quotePrefix="1" applyFont="1" applyAlignment="1">
      <alignment horizontal="center"/>
    </xf>
    <xf numFmtId="6" fontId="15" fillId="0" borderId="0" xfId="0" quotePrefix="1" applyNumberFormat="1" applyFont="1" applyAlignment="1">
      <alignment horizontal="center"/>
    </xf>
    <xf numFmtId="173" fontId="13" fillId="0" borderId="0" xfId="0" applyNumberFormat="1" applyFont="1" applyAlignment="1">
      <alignment horizontal="right"/>
    </xf>
    <xf numFmtId="171" fontId="13" fillId="0" borderId="0" xfId="0" applyNumberFormat="1" applyFont="1" applyAlignment="1">
      <alignment horizontal="right"/>
    </xf>
    <xf numFmtId="1" fontId="13" fillId="0" borderId="0" xfId="1" applyNumberFormat="1" applyFont="1" applyFill="1" applyAlignment="1">
      <alignment horizontal="right"/>
    </xf>
    <xf numFmtId="43" fontId="13" fillId="0" borderId="0" xfId="1" applyFont="1" applyFill="1" applyBorder="1"/>
    <xf numFmtId="43" fontId="15" fillId="0" borderId="0" xfId="1" applyFont="1" applyAlignment="1">
      <alignment horizontal="center"/>
    </xf>
    <xf numFmtId="43" fontId="15" fillId="0" borderId="0" xfId="1" applyFont="1" applyAlignment="1">
      <alignment horizontal="centerContinuous"/>
    </xf>
    <xf numFmtId="174" fontId="16" fillId="0" borderId="4" xfId="1" applyNumberFormat="1" applyFont="1" applyBorder="1" applyAlignment="1">
      <alignment vertical="top" wrapText="1" readingOrder="1"/>
    </xf>
    <xf numFmtId="174" fontId="15" fillId="0" borderId="1" xfId="1" applyNumberFormat="1" applyFont="1" applyBorder="1" applyAlignment="1">
      <alignment horizontal="center"/>
    </xf>
    <xf numFmtId="171" fontId="13" fillId="0" borderId="0" xfId="2" applyNumberFormat="1" applyFont="1" applyFill="1"/>
    <xf numFmtId="0" fontId="15" fillId="0" borderId="0" xfId="0" applyFont="1" applyAlignment="1">
      <alignment horizontal="center" vertical="center"/>
    </xf>
    <xf numFmtId="171" fontId="13" fillId="0" borderId="0" xfId="1" applyNumberFormat="1" applyFont="1" applyFill="1"/>
    <xf numFmtId="165" fontId="13" fillId="0" borderId="0" xfId="0" quotePrefix="1" applyNumberFormat="1" applyFont="1" applyAlignment="1">
      <alignment horizontal="left"/>
    </xf>
    <xf numFmtId="0" fontId="15" fillId="0" borderId="2" xfId="0" applyFont="1" applyBorder="1" applyAlignment="1">
      <alignment horizontal="center"/>
    </xf>
    <xf numFmtId="5" fontId="15" fillId="0" borderId="0" xfId="0" quotePrefix="1" applyNumberFormat="1" applyFont="1"/>
    <xf numFmtId="174" fontId="15" fillId="0" borderId="0" xfId="1" quotePrefix="1" applyNumberFormat="1" applyFont="1"/>
    <xf numFmtId="7" fontId="15" fillId="0" borderId="0" xfId="0" applyNumberFormat="1" applyFont="1"/>
    <xf numFmtId="3" fontId="13" fillId="0" borderId="0" xfId="4" quotePrefix="1" applyNumberFormat="1" applyFont="1"/>
    <xf numFmtId="43" fontId="15" fillId="0" borderId="0" xfId="0" applyNumberFormat="1" applyFont="1" applyAlignment="1">
      <alignment horizontal="center"/>
    </xf>
    <xf numFmtId="38" fontId="13" fillId="0" borderId="0" xfId="0" quotePrefix="1" applyNumberFormat="1" applyFont="1"/>
    <xf numFmtId="174" fontId="13" fillId="0" borderId="0" xfId="0" quotePrefix="1" applyNumberFormat="1" applyFont="1"/>
    <xf numFmtId="44" fontId="13" fillId="0" borderId="0" xfId="0" quotePrefix="1" applyNumberFormat="1" applyFont="1"/>
    <xf numFmtId="166" fontId="13" fillId="0" borderId="0" xfId="0" quotePrefix="1" applyNumberFormat="1" applyFont="1"/>
    <xf numFmtId="166" fontId="15" fillId="0" borderId="0" xfId="0" quotePrefix="1" applyNumberFormat="1" applyFont="1"/>
    <xf numFmtId="37" fontId="13" fillId="0" borderId="0" xfId="1" quotePrefix="1" applyNumberFormat="1" applyFont="1" applyFill="1" applyAlignment="1">
      <alignment horizontal="right"/>
    </xf>
    <xf numFmtId="10" fontId="13" fillId="0" borderId="0" xfId="3" applyNumberFormat="1" applyFont="1"/>
    <xf numFmtId="1" fontId="15" fillId="0" borderId="0" xfId="1" applyNumberFormat="1" applyFont="1"/>
    <xf numFmtId="176" fontId="15" fillId="0" borderId="4" xfId="0" applyNumberFormat="1" applyFont="1" applyBorder="1" applyAlignment="1">
      <alignment horizontal="center" vertical="top" wrapText="1" readingOrder="1"/>
    </xf>
    <xf numFmtId="174" fontId="15" fillId="0" borderId="0" xfId="1" applyNumberFormat="1" applyFont="1" applyAlignment="1">
      <alignment vertical="top" wrapText="1" readingOrder="1"/>
    </xf>
    <xf numFmtId="1" fontId="15" fillId="0" borderId="0" xfId="1" applyNumberFormat="1" applyFont="1" applyFill="1" applyBorder="1" applyAlignment="1">
      <alignment vertical="top" wrapText="1" readingOrder="1"/>
    </xf>
    <xf numFmtId="37" fontId="15" fillId="0" borderId="0" xfId="0" applyNumberFormat="1" applyFont="1" applyAlignment="1">
      <alignment horizontal="center"/>
    </xf>
    <xf numFmtId="175" fontId="15" fillId="0" borderId="0" xfId="1" applyNumberFormat="1" applyFont="1"/>
    <xf numFmtId="44" fontId="15" fillId="0" borderId="0" xfId="2" applyFont="1"/>
    <xf numFmtId="171" fontId="15" fillId="0" borderId="0" xfId="1" applyNumberFormat="1" applyFont="1" applyFill="1"/>
    <xf numFmtId="181" fontId="15" fillId="0" borderId="0" xfId="2" applyNumberFormat="1" applyFont="1"/>
    <xf numFmtId="37" fontId="0" fillId="0" borderId="0" xfId="0" applyNumberFormat="1"/>
    <xf numFmtId="175" fontId="13" fillId="0" borderId="0" xfId="1" quotePrefix="1" applyNumberFormat="1" applyFont="1" applyAlignment="1">
      <alignment horizontal="center"/>
    </xf>
    <xf numFmtId="174" fontId="15" fillId="0" borderId="0" xfId="1" quotePrefix="1" applyNumberFormat="1" applyFont="1" applyAlignment="1">
      <alignment horizontal="center"/>
    </xf>
    <xf numFmtId="5" fontId="15" fillId="0" borderId="0" xfId="2" quotePrefix="1" applyNumberFormat="1" applyFont="1"/>
    <xf numFmtId="174" fontId="42" fillId="0" borderId="0" xfId="1" applyNumberFormat="1" applyFont="1" applyFill="1" applyBorder="1"/>
    <xf numFmtId="174" fontId="13" fillId="2" borderId="0" xfId="1" applyNumberFormat="1" applyFont="1" applyFill="1"/>
    <xf numFmtId="0" fontId="46" fillId="0" borderId="0" xfId="26"/>
    <xf numFmtId="9" fontId="13" fillId="0" borderId="0" xfId="0" applyNumberFormat="1" applyFont="1"/>
    <xf numFmtId="1" fontId="15" fillId="0" borderId="0" xfId="1" applyNumberFormat="1" applyFont="1" applyFill="1" applyAlignment="1">
      <alignment horizontal="right"/>
    </xf>
    <xf numFmtId="0" fontId="46" fillId="0" borderId="0" xfId="26" applyFill="1"/>
    <xf numFmtId="9" fontId="13" fillId="0" borderId="0" xfId="3" applyFont="1"/>
    <xf numFmtId="0" fontId="13" fillId="0" borderId="2" xfId="0" applyFont="1" applyBorder="1" applyAlignment="1">
      <alignment horizontal="center"/>
    </xf>
    <xf numFmtId="0" fontId="13" fillId="0" borderId="2" xfId="0" quotePrefix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3" fillId="0" borderId="0" xfId="0" quotePrefix="1" applyFont="1" applyAlignment="1">
      <alignment horizontal="center"/>
    </xf>
    <xf numFmtId="0" fontId="13" fillId="2" borderId="0" xfId="0" quotePrefix="1" applyFont="1" applyFill="1"/>
  </cellXfs>
  <cellStyles count="27">
    <cellStyle name="Comma" xfId="1" builtinId="3"/>
    <cellStyle name="Comma 2" xfId="7" xr:uid="{00000000-0005-0000-0000-000001000000}"/>
    <cellStyle name="Comma 2 2" xfId="24" xr:uid="{00000000-0005-0000-0000-000002000000}"/>
    <cellStyle name="Comma 3" xfId="8" xr:uid="{00000000-0005-0000-0000-000003000000}"/>
    <cellStyle name="Comma 4" xfId="13" xr:uid="{00000000-0005-0000-0000-000004000000}"/>
    <cellStyle name="Comma 4 2" xfId="20" xr:uid="{00000000-0005-0000-0000-000005000000}"/>
    <cellStyle name="Comma 5" xfId="15" xr:uid="{00000000-0005-0000-0000-000006000000}"/>
    <cellStyle name="Comma 6" xfId="14" xr:uid="{00000000-0005-0000-0000-000007000000}"/>
    <cellStyle name="Currency" xfId="2" builtinId="4"/>
    <cellStyle name="Currency 2" xfId="16" xr:uid="{00000000-0005-0000-0000-000009000000}"/>
    <cellStyle name="Hyperlink" xfId="26" builtinId="8"/>
    <cellStyle name="Normal" xfId="0" builtinId="0"/>
    <cellStyle name="Normal 2" xfId="4" xr:uid="{00000000-0005-0000-0000-00000C000000}"/>
    <cellStyle name="Normal 2 2" xfId="10" xr:uid="{00000000-0005-0000-0000-00000D000000}"/>
    <cellStyle name="Normal 2 3" xfId="22" xr:uid="{00000000-0005-0000-0000-00000E000000}"/>
    <cellStyle name="Normal 3" xfId="6" xr:uid="{00000000-0005-0000-0000-00000F000000}"/>
    <cellStyle name="Normal 3 2" xfId="11" xr:uid="{00000000-0005-0000-0000-000010000000}"/>
    <cellStyle name="Normal 3 2 2" xfId="25" xr:uid="{00000000-0005-0000-0000-000011000000}"/>
    <cellStyle name="Normal 3 3" xfId="21" xr:uid="{00000000-0005-0000-0000-000012000000}"/>
    <cellStyle name="Normal 3 4" xfId="23" xr:uid="{00000000-0005-0000-0000-000013000000}"/>
    <cellStyle name="Normal 4" xfId="5" xr:uid="{00000000-0005-0000-0000-000014000000}"/>
    <cellStyle name="Normal 4 2" xfId="18" xr:uid="{00000000-0005-0000-0000-000015000000}"/>
    <cellStyle name="Normal 5" xfId="9" xr:uid="{00000000-0005-0000-0000-000016000000}"/>
    <cellStyle name="Normal 6" xfId="12" xr:uid="{00000000-0005-0000-0000-000017000000}"/>
    <cellStyle name="Normal 6 2" xfId="19" xr:uid="{00000000-0005-0000-0000-000018000000}"/>
    <cellStyle name="Percent" xfId="3" builtinId="5"/>
    <cellStyle name="Percent 2" xfId="17" xr:uid="{00000000-0005-0000-0000-00001A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externalLink" Target="externalLinks/externalLink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825500</xdr:colOff>
          <xdr:row>1</xdr:row>
          <xdr:rowOff>12700</xdr:rowOff>
        </xdr:from>
        <xdr:to>
          <xdr:col>9</xdr:col>
          <xdr:colOff>76200</xdr:colOff>
          <xdr:row>2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Print Active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285750</xdr:colOff>
      <xdr:row>67</xdr:row>
      <xdr:rowOff>158750</xdr:rowOff>
    </xdr:from>
    <xdr:to>
      <xdr:col>32</xdr:col>
      <xdr:colOff>107950</xdr:colOff>
      <xdr:row>79</xdr:row>
      <xdr:rowOff>158750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C06FEE-8F5B-34EC-2038-D0A2EAB32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71250" y="12954000"/>
          <a:ext cx="6045200" cy="2286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g-nas-a/INTEGRIS/Actuarial/Members%20Only/2023/Entity%20Loss/Entity%20Losses%208.1.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IC"/>
      <sheetName val="RRG"/>
      <sheetName val="AY"/>
      <sheetName val="LY"/>
      <sheetName val="PY"/>
      <sheetName val="PY Summary"/>
      <sheetName val="Vicarious Liability"/>
      <sheetName val="Entity Claim List"/>
      <sheetName val="Entity Claim List_5YR"/>
      <sheetName val="Entity Only Claims_IIC"/>
      <sheetName val="Entity Only Claims_RRG"/>
      <sheetName val="VL LR Cal"/>
      <sheetName val="Severe Claims"/>
      <sheetName val="Entity Samples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15342980.110000001</v>
          </cell>
          <cell r="H14">
            <v>132624.63</v>
          </cell>
          <cell r="I14">
            <v>574396.1</v>
          </cell>
          <cell r="J14">
            <v>0</v>
          </cell>
          <cell r="Y14">
            <v>8016867.6370319687</v>
          </cell>
        </row>
        <row r="34">
          <cell r="G34">
            <v>2455920.58</v>
          </cell>
          <cell r="H34">
            <v>7820998.7999999989</v>
          </cell>
          <cell r="I34">
            <v>41046.07</v>
          </cell>
          <cell r="J34">
            <v>0</v>
          </cell>
          <cell r="Y34">
            <v>27133790.572813276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9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0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7.bin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8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6"/>
  <dimension ref="A1:F102"/>
  <sheetViews>
    <sheetView workbookViewId="0">
      <selection activeCell="C73" sqref="C73"/>
    </sheetView>
  </sheetViews>
  <sheetFormatPr baseColWidth="10" defaultColWidth="8.7109375" defaultRowHeight="15"/>
  <cols>
    <col min="1" max="1" width="15.7109375" style="1" bestFit="1" customWidth="1"/>
    <col min="2" max="2" width="38.85546875" style="1" bestFit="1" customWidth="1"/>
    <col min="3" max="3" width="8.28515625" style="1" customWidth="1"/>
    <col min="4" max="4" width="23.28515625" style="1" customWidth="1"/>
    <col min="5" max="5" width="6.42578125" style="1" bestFit="1" customWidth="1"/>
    <col min="6" max="6" width="33.85546875" style="1" bestFit="1" customWidth="1"/>
    <col min="7" max="7" width="9.85546875" style="1" bestFit="1" customWidth="1"/>
    <col min="8" max="16384" width="8.7109375" style="1"/>
  </cols>
  <sheetData>
    <row r="1" spans="1:6" ht="16">
      <c r="A1" s="333" t="s">
        <v>1075</v>
      </c>
      <c r="B1" s="333" t="s">
        <v>1779</v>
      </c>
      <c r="C1" s="333" t="s">
        <v>1876</v>
      </c>
      <c r="D1" s="333" t="s">
        <v>1074</v>
      </c>
      <c r="E1" s="334" t="s">
        <v>1076</v>
      </c>
      <c r="F1" s="333" t="s">
        <v>1077</v>
      </c>
    </row>
    <row r="2" spans="1:6" ht="16">
      <c r="A2" s="1" t="s">
        <v>1079</v>
      </c>
      <c r="B2" s="1" t="s">
        <v>728</v>
      </c>
      <c r="C2" s="624" t="s">
        <v>1877</v>
      </c>
      <c r="D2" s="1" t="s">
        <v>1078</v>
      </c>
      <c r="E2" s="335" t="s">
        <v>1080</v>
      </c>
      <c r="F2" s="1" t="s">
        <v>1081</v>
      </c>
    </row>
    <row r="3" spans="1:6" ht="16">
      <c r="A3" s="1" t="s">
        <v>1083</v>
      </c>
      <c r="B3" s="1" t="s">
        <v>1780</v>
      </c>
      <c r="C3" s="624" t="s">
        <v>1877</v>
      </c>
      <c r="D3" s="1" t="s">
        <v>1082</v>
      </c>
      <c r="E3" s="335" t="s">
        <v>1084</v>
      </c>
    </row>
    <row r="4" spans="1:6" ht="16">
      <c r="A4" s="1" t="s">
        <v>1086</v>
      </c>
      <c r="B4" s="1" t="s">
        <v>1781</v>
      </c>
      <c r="C4" s="624" t="s">
        <v>1877</v>
      </c>
      <c r="D4" s="1" t="s">
        <v>1085</v>
      </c>
      <c r="E4" s="335" t="s">
        <v>1087</v>
      </c>
      <c r="F4" s="1" t="s">
        <v>1088</v>
      </c>
    </row>
    <row r="5" spans="1:6" ht="16">
      <c r="A5" s="1" t="s">
        <v>1208</v>
      </c>
      <c r="B5" s="1" t="s">
        <v>1782</v>
      </c>
      <c r="C5" s="624" t="s">
        <v>1877</v>
      </c>
      <c r="D5" s="1" t="s">
        <v>1089</v>
      </c>
      <c r="E5" s="335" t="s">
        <v>1090</v>
      </c>
    </row>
    <row r="6" spans="1:6" ht="16">
      <c r="A6" s="1" t="s">
        <v>1209</v>
      </c>
      <c r="B6" s="1" t="s">
        <v>1783</v>
      </c>
      <c r="C6" s="624" t="s">
        <v>1877</v>
      </c>
      <c r="D6" s="1" t="s">
        <v>532</v>
      </c>
      <c r="E6" s="335" t="s">
        <v>1091</v>
      </c>
    </row>
    <row r="7" spans="1:6" ht="16">
      <c r="A7" s="1" t="s">
        <v>1210</v>
      </c>
      <c r="B7" s="1" t="s">
        <v>183</v>
      </c>
      <c r="C7" s="624" t="s">
        <v>1877</v>
      </c>
      <c r="D7" s="1" t="s">
        <v>1092</v>
      </c>
      <c r="E7" s="335" t="s">
        <v>1093</v>
      </c>
    </row>
    <row r="8" spans="1:6" ht="16">
      <c r="A8" s="1" t="s">
        <v>1785</v>
      </c>
      <c r="B8" s="1" t="s">
        <v>1784</v>
      </c>
      <c r="C8" s="624" t="s">
        <v>1877</v>
      </c>
      <c r="E8" s="335"/>
    </row>
    <row r="9" spans="1:6" ht="16">
      <c r="A9" s="1" t="s">
        <v>1211</v>
      </c>
      <c r="B9" s="1" t="s">
        <v>1786</v>
      </c>
      <c r="C9" s="624" t="s">
        <v>1877</v>
      </c>
      <c r="D9" s="1" t="s">
        <v>1094</v>
      </c>
      <c r="E9" s="335" t="s">
        <v>1095</v>
      </c>
    </row>
    <row r="10" spans="1:6" ht="16">
      <c r="A10" s="1" t="s">
        <v>1212</v>
      </c>
      <c r="B10" s="1" t="s">
        <v>1787</v>
      </c>
      <c r="C10" s="624" t="s">
        <v>1877</v>
      </c>
      <c r="D10" s="1" t="s">
        <v>1096</v>
      </c>
      <c r="E10" s="335" t="s">
        <v>1097</v>
      </c>
    </row>
    <row r="11" spans="1:6" ht="16">
      <c r="A11" s="1" t="s">
        <v>1213</v>
      </c>
      <c r="B11" s="1" t="s">
        <v>1788</v>
      </c>
      <c r="C11" s="627" t="s">
        <v>1877</v>
      </c>
      <c r="D11" s="1" t="s">
        <v>1098</v>
      </c>
      <c r="E11" s="335" t="s">
        <v>1099</v>
      </c>
    </row>
    <row r="12" spans="1:6" ht="16">
      <c r="A12" s="1" t="s">
        <v>1214</v>
      </c>
      <c r="B12" s="1" t="s">
        <v>1789</v>
      </c>
      <c r="C12" s="627" t="s">
        <v>1877</v>
      </c>
      <c r="D12" s="1" t="s">
        <v>1100</v>
      </c>
      <c r="E12" s="335" t="s">
        <v>1101</v>
      </c>
    </row>
    <row r="13" spans="1:6" ht="16">
      <c r="A13" s="1" t="s">
        <v>1215</v>
      </c>
      <c r="B13" s="1" t="s">
        <v>1790</v>
      </c>
      <c r="C13" s="627" t="s">
        <v>1877</v>
      </c>
      <c r="D13" s="1" t="s">
        <v>1102</v>
      </c>
      <c r="E13" s="335" t="s">
        <v>1103</v>
      </c>
    </row>
    <row r="14" spans="1:6" ht="16">
      <c r="A14" s="1" t="s">
        <v>1216</v>
      </c>
      <c r="B14" s="1" t="s">
        <v>1791</v>
      </c>
      <c r="C14" s="624" t="s">
        <v>1877</v>
      </c>
      <c r="D14" s="1" t="s">
        <v>1104</v>
      </c>
      <c r="E14" s="335" t="s">
        <v>1105</v>
      </c>
      <c r="F14" s="1" t="s">
        <v>1106</v>
      </c>
    </row>
    <row r="15" spans="1:6" ht="16">
      <c r="A15" s="1" t="s">
        <v>1217</v>
      </c>
      <c r="B15" s="1" t="s">
        <v>1792</v>
      </c>
      <c r="C15" s="624" t="s">
        <v>1877</v>
      </c>
      <c r="D15" s="1" t="s">
        <v>1107</v>
      </c>
      <c r="E15" s="335" t="s">
        <v>1108</v>
      </c>
    </row>
    <row r="16" spans="1:6" ht="16">
      <c r="A16" s="1" t="s">
        <v>1218</v>
      </c>
      <c r="B16" s="1" t="s">
        <v>1793</v>
      </c>
      <c r="C16" s="624" t="s">
        <v>1877</v>
      </c>
      <c r="D16" s="1" t="s">
        <v>1109</v>
      </c>
      <c r="E16" s="335" t="s">
        <v>1110</v>
      </c>
    </row>
    <row r="17" spans="1:5" ht="16">
      <c r="A17" s="1" t="s">
        <v>1219</v>
      </c>
      <c r="B17" s="1" t="s">
        <v>1794</v>
      </c>
      <c r="C17" s="624" t="s">
        <v>1877</v>
      </c>
      <c r="D17" s="1" t="s">
        <v>1111</v>
      </c>
      <c r="E17" s="335" t="s">
        <v>1110</v>
      </c>
    </row>
    <row r="18" spans="1:5" ht="16">
      <c r="A18" s="1" t="s">
        <v>1220</v>
      </c>
      <c r="B18" s="1" t="s">
        <v>1797</v>
      </c>
      <c r="C18" s="624" t="s">
        <v>1877</v>
      </c>
      <c r="D18" s="1" t="s">
        <v>1112</v>
      </c>
      <c r="E18" s="335" t="s">
        <v>1110</v>
      </c>
    </row>
    <row r="19" spans="1:5" ht="16">
      <c r="A19" s="1" t="s">
        <v>1221</v>
      </c>
      <c r="B19" s="1" t="s">
        <v>1795</v>
      </c>
      <c r="C19" s="624" t="s">
        <v>1877</v>
      </c>
      <c r="D19" s="1" t="s">
        <v>1113</v>
      </c>
      <c r="E19" s="335" t="s">
        <v>1110</v>
      </c>
    </row>
    <row r="20" spans="1:5" ht="16">
      <c r="A20" s="1" t="s">
        <v>1222</v>
      </c>
      <c r="B20" s="1" t="s">
        <v>1796</v>
      </c>
      <c r="C20" s="624" t="s">
        <v>1877</v>
      </c>
      <c r="D20" s="1" t="s">
        <v>1114</v>
      </c>
      <c r="E20" s="335" t="s">
        <v>1110</v>
      </c>
    </row>
    <row r="21" spans="1:5" ht="16">
      <c r="A21" s="1" t="s">
        <v>1223</v>
      </c>
      <c r="B21" s="1" t="s">
        <v>1798</v>
      </c>
      <c r="C21" s="624" t="s">
        <v>1877</v>
      </c>
      <c r="D21" s="1" t="s">
        <v>1115</v>
      </c>
      <c r="E21" s="335" t="s">
        <v>1110</v>
      </c>
    </row>
    <row r="22" spans="1:5" ht="16">
      <c r="A22" s="1" t="s">
        <v>1224</v>
      </c>
      <c r="B22" s="1" t="s">
        <v>1799</v>
      </c>
      <c r="C22" s="624" t="s">
        <v>1877</v>
      </c>
      <c r="D22" s="1" t="s">
        <v>1116</v>
      </c>
      <c r="E22" s="335" t="s">
        <v>1110</v>
      </c>
    </row>
    <row r="23" spans="1:5" ht="16">
      <c r="A23" s="1" t="s">
        <v>1225</v>
      </c>
      <c r="B23" s="1" t="s">
        <v>1800</v>
      </c>
      <c r="C23" s="624" t="s">
        <v>1877</v>
      </c>
      <c r="D23" s="1" t="s">
        <v>1117</v>
      </c>
      <c r="E23" s="335" t="s">
        <v>1110</v>
      </c>
    </row>
    <row r="24" spans="1:5" ht="16">
      <c r="A24" s="1" t="s">
        <v>1226</v>
      </c>
      <c r="B24" s="1" t="s">
        <v>1801</v>
      </c>
      <c r="C24" s="624" t="s">
        <v>1877</v>
      </c>
      <c r="D24" s="1" t="s">
        <v>1118</v>
      </c>
      <c r="E24" s="335" t="s">
        <v>1110</v>
      </c>
    </row>
    <row r="25" spans="1:5" ht="16">
      <c r="A25" s="1" t="s">
        <v>1227</v>
      </c>
      <c r="B25" s="1" t="s">
        <v>1802</v>
      </c>
      <c r="C25" s="624" t="s">
        <v>1877</v>
      </c>
      <c r="D25" s="1" t="s">
        <v>1119</v>
      </c>
      <c r="E25" s="335" t="s">
        <v>1110</v>
      </c>
    </row>
    <row r="26" spans="1:5" ht="16">
      <c r="A26" s="1" t="s">
        <v>1228</v>
      </c>
      <c r="B26" s="1" t="s">
        <v>1803</v>
      </c>
      <c r="C26" s="624" t="s">
        <v>1877</v>
      </c>
      <c r="D26" s="1" t="s">
        <v>1120</v>
      </c>
      <c r="E26" s="335" t="s">
        <v>1110</v>
      </c>
    </row>
    <row r="27" spans="1:5" ht="16">
      <c r="A27" s="1" t="s">
        <v>1229</v>
      </c>
      <c r="B27" s="1" t="s">
        <v>1804</v>
      </c>
      <c r="C27" s="624" t="s">
        <v>1877</v>
      </c>
      <c r="D27" s="1" t="s">
        <v>1121</v>
      </c>
      <c r="E27" s="335" t="s">
        <v>1110</v>
      </c>
    </row>
    <row r="28" spans="1:5" ht="16">
      <c r="A28" s="1" t="s">
        <v>1230</v>
      </c>
      <c r="B28" s="1" t="s">
        <v>1805</v>
      </c>
      <c r="C28" s="624" t="s">
        <v>1877</v>
      </c>
      <c r="D28" s="1" t="s">
        <v>1122</v>
      </c>
      <c r="E28" s="335" t="s">
        <v>1123</v>
      </c>
    </row>
    <row r="29" spans="1:5" ht="16">
      <c r="A29" s="1" t="s">
        <v>1231</v>
      </c>
      <c r="B29" s="1" t="s">
        <v>1806</v>
      </c>
      <c r="C29" s="624" t="s">
        <v>1877</v>
      </c>
      <c r="D29" s="1" t="s">
        <v>1124</v>
      </c>
      <c r="E29" s="335" t="s">
        <v>1110</v>
      </c>
    </row>
    <row r="30" spans="1:5" ht="16">
      <c r="A30" s="1" t="s">
        <v>1232</v>
      </c>
      <c r="B30" s="1" t="s">
        <v>1807</v>
      </c>
      <c r="C30" s="624" t="s">
        <v>1877</v>
      </c>
      <c r="D30" s="1" t="s">
        <v>1125</v>
      </c>
      <c r="E30" s="335" t="s">
        <v>1110</v>
      </c>
    </row>
    <row r="31" spans="1:5" ht="16">
      <c r="A31" s="1" t="s">
        <v>1233</v>
      </c>
      <c r="B31" s="1" t="s">
        <v>1808</v>
      </c>
      <c r="C31" s="624" t="s">
        <v>1877</v>
      </c>
      <c r="D31" s="1" t="s">
        <v>1126</v>
      </c>
      <c r="E31" s="335" t="s">
        <v>1110</v>
      </c>
    </row>
    <row r="32" spans="1:5" ht="16">
      <c r="A32" s="1" t="s">
        <v>1234</v>
      </c>
      <c r="B32" s="1" t="s">
        <v>1809</v>
      </c>
      <c r="C32" s="624" t="s">
        <v>1877</v>
      </c>
      <c r="D32" s="1" t="s">
        <v>1127</v>
      </c>
      <c r="E32" s="335" t="s">
        <v>1110</v>
      </c>
    </row>
    <row r="33" spans="1:6" ht="16">
      <c r="A33" s="1" t="s">
        <v>1235</v>
      </c>
      <c r="B33" s="1" t="s">
        <v>1810</v>
      </c>
      <c r="C33" s="624" t="s">
        <v>1877</v>
      </c>
      <c r="D33" s="1" t="s">
        <v>1128</v>
      </c>
      <c r="E33" s="335" t="s">
        <v>1110</v>
      </c>
    </row>
    <row r="34" spans="1:6" ht="16">
      <c r="A34" s="1" t="s">
        <v>1236</v>
      </c>
      <c r="B34" s="1" t="s">
        <v>1811</v>
      </c>
      <c r="C34" s="624" t="s">
        <v>1877</v>
      </c>
      <c r="D34" s="1" t="s">
        <v>1129</v>
      </c>
      <c r="E34" s="335" t="s">
        <v>1110</v>
      </c>
    </row>
    <row r="35" spans="1:6" ht="16">
      <c r="A35" s="1" t="s">
        <v>1237</v>
      </c>
      <c r="B35" s="1" t="s">
        <v>1812</v>
      </c>
      <c r="C35" s="624" t="s">
        <v>1877</v>
      </c>
      <c r="D35" s="1" t="s">
        <v>1130</v>
      </c>
      <c r="E35" s="335" t="s">
        <v>1110</v>
      </c>
    </row>
    <row r="36" spans="1:6" ht="16">
      <c r="A36" s="1" t="s">
        <v>1238</v>
      </c>
      <c r="B36" s="1" t="s">
        <v>1813</v>
      </c>
      <c r="C36" s="624" t="s">
        <v>1877</v>
      </c>
      <c r="D36" s="1" t="s">
        <v>1131</v>
      </c>
      <c r="E36" s="335" t="s">
        <v>1110</v>
      </c>
    </row>
    <row r="37" spans="1:6" ht="16">
      <c r="A37" s="1" t="s">
        <v>1239</v>
      </c>
      <c r="B37" s="1" t="s">
        <v>1814</v>
      </c>
      <c r="C37" s="624" t="s">
        <v>1877</v>
      </c>
      <c r="D37" s="1" t="s">
        <v>1132</v>
      </c>
      <c r="E37" s="335" t="s">
        <v>1110</v>
      </c>
      <c r="F37" s="624" t="str">
        <f>HYPERLINK("#'"&amp;A37&amp;"'!A1","Tab Link")</f>
        <v>Tab Link</v>
      </c>
    </row>
    <row r="38" spans="1:6" ht="16">
      <c r="A38" s="1" t="s">
        <v>1240</v>
      </c>
      <c r="B38" s="1" t="s">
        <v>1815</v>
      </c>
      <c r="C38" s="624" t="str">
        <f>HYPERLINK("#'"&amp;A38&amp;"'!A1","Tab Link")</f>
        <v>Tab Link</v>
      </c>
      <c r="D38" s="1" t="s">
        <v>1133</v>
      </c>
      <c r="E38" s="335" t="s">
        <v>1110</v>
      </c>
    </row>
    <row r="39" spans="1:6" ht="16">
      <c r="A39" s="1" t="s">
        <v>1241</v>
      </c>
      <c r="B39" s="1" t="s">
        <v>1816</v>
      </c>
      <c r="C39" s="624" t="str">
        <f t="shared" ref="C39:C102" si="0">HYPERLINK("#'"&amp;A39&amp;"'!A1","Tab Link")</f>
        <v>Tab Link</v>
      </c>
      <c r="D39" s="1" t="s">
        <v>1134</v>
      </c>
      <c r="E39" s="335" t="s">
        <v>1110</v>
      </c>
    </row>
    <row r="40" spans="1:6" ht="16">
      <c r="A40" s="1" t="s">
        <v>1242</v>
      </c>
      <c r="B40" s="1" t="s">
        <v>1817</v>
      </c>
      <c r="C40" s="624" t="str">
        <f t="shared" si="0"/>
        <v>Tab Link</v>
      </c>
      <c r="D40" s="1" t="s">
        <v>1135</v>
      </c>
      <c r="E40" s="335" t="s">
        <v>1110</v>
      </c>
    </row>
    <row r="41" spans="1:6" ht="16">
      <c r="A41" s="1" t="s">
        <v>1243</v>
      </c>
      <c r="B41" s="1" t="s">
        <v>1818</v>
      </c>
      <c r="C41" s="624" t="str">
        <f t="shared" si="0"/>
        <v>Tab Link</v>
      </c>
      <c r="D41" s="1" t="s">
        <v>1136</v>
      </c>
      <c r="E41" s="335" t="s">
        <v>1110</v>
      </c>
    </row>
    <row r="42" spans="1:6" ht="16">
      <c r="A42" s="1" t="s">
        <v>1244</v>
      </c>
      <c r="B42" s="1" t="s">
        <v>1819</v>
      </c>
      <c r="C42" s="624" t="str">
        <f t="shared" si="0"/>
        <v>Tab Link</v>
      </c>
      <c r="D42" s="1" t="s">
        <v>508</v>
      </c>
      <c r="E42" s="335" t="s">
        <v>1137</v>
      </c>
    </row>
    <row r="43" spans="1:6" ht="16">
      <c r="A43" s="1" t="s">
        <v>1245</v>
      </c>
      <c r="B43" s="1" t="s">
        <v>1820</v>
      </c>
      <c r="C43" s="624" t="str">
        <f t="shared" si="0"/>
        <v>Tab Link</v>
      </c>
      <c r="D43" s="1" t="s">
        <v>1138</v>
      </c>
      <c r="E43" s="335" t="s">
        <v>1110</v>
      </c>
    </row>
    <row r="44" spans="1:6" ht="16">
      <c r="A44" s="1" t="s">
        <v>1246</v>
      </c>
      <c r="B44" s="1" t="s">
        <v>1821</v>
      </c>
      <c r="C44" s="624" t="str">
        <f t="shared" si="0"/>
        <v>Tab Link</v>
      </c>
      <c r="D44" s="1" t="s">
        <v>509</v>
      </c>
      <c r="E44" s="335" t="s">
        <v>1139</v>
      </c>
    </row>
    <row r="45" spans="1:6" ht="16">
      <c r="A45" s="1" t="s">
        <v>1247</v>
      </c>
      <c r="B45" s="1" t="s">
        <v>1822</v>
      </c>
      <c r="C45" s="624" t="str">
        <f t="shared" si="0"/>
        <v>Tab Link</v>
      </c>
      <c r="D45" s="1" t="s">
        <v>1140</v>
      </c>
      <c r="E45" s="335" t="s">
        <v>1139</v>
      </c>
    </row>
    <row r="46" spans="1:6" ht="16">
      <c r="A46" s="1" t="s">
        <v>1248</v>
      </c>
      <c r="B46" s="1" t="s">
        <v>1823</v>
      </c>
      <c r="C46" s="624" t="str">
        <f t="shared" si="0"/>
        <v>Tab Link</v>
      </c>
      <c r="D46" s="1" t="s">
        <v>510</v>
      </c>
      <c r="E46" s="335" t="s">
        <v>1139</v>
      </c>
    </row>
    <row r="47" spans="1:6" ht="16">
      <c r="A47" s="1" t="s">
        <v>1249</v>
      </c>
      <c r="B47" s="1" t="s">
        <v>1824</v>
      </c>
      <c r="C47" s="624" t="str">
        <f t="shared" si="0"/>
        <v>Tab Link</v>
      </c>
      <c r="D47" s="1" t="s">
        <v>1141</v>
      </c>
      <c r="E47" s="335" t="s">
        <v>1139</v>
      </c>
    </row>
    <row r="48" spans="1:6" ht="16">
      <c r="A48" s="1" t="s">
        <v>1250</v>
      </c>
      <c r="B48" s="1" t="s">
        <v>1825</v>
      </c>
      <c r="C48" s="624" t="str">
        <f t="shared" si="0"/>
        <v>Tab Link</v>
      </c>
      <c r="D48" s="1" t="s">
        <v>512</v>
      </c>
      <c r="E48" s="335" t="s">
        <v>1139</v>
      </c>
    </row>
    <row r="49" spans="1:5" ht="16">
      <c r="A49" s="1" t="s">
        <v>1251</v>
      </c>
      <c r="B49" s="1" t="s">
        <v>1827</v>
      </c>
      <c r="C49" s="624" t="str">
        <f t="shared" si="0"/>
        <v>Tab Link</v>
      </c>
      <c r="D49" s="1" t="s">
        <v>1142</v>
      </c>
      <c r="E49" s="335" t="s">
        <v>1139</v>
      </c>
    </row>
    <row r="50" spans="1:5" ht="16">
      <c r="A50" s="1" t="s">
        <v>1252</v>
      </c>
      <c r="B50" s="1" t="s">
        <v>1826</v>
      </c>
      <c r="C50" s="624" t="str">
        <f t="shared" si="0"/>
        <v>Tab Link</v>
      </c>
      <c r="D50" s="1" t="s">
        <v>511</v>
      </c>
      <c r="E50" s="335" t="s">
        <v>1139</v>
      </c>
    </row>
    <row r="51" spans="1:5" ht="16">
      <c r="A51" s="1" t="s">
        <v>1253</v>
      </c>
      <c r="B51" s="1" t="s">
        <v>1828</v>
      </c>
      <c r="C51" s="624" t="str">
        <f t="shared" si="0"/>
        <v>Tab Link</v>
      </c>
      <c r="D51" s="1" t="s">
        <v>1143</v>
      </c>
      <c r="E51" s="335" t="s">
        <v>1139</v>
      </c>
    </row>
    <row r="52" spans="1:5" ht="16">
      <c r="A52" s="1" t="s">
        <v>1254</v>
      </c>
      <c r="B52" s="1" t="s">
        <v>1829</v>
      </c>
      <c r="C52" s="624" t="str">
        <f t="shared" si="0"/>
        <v>Tab Link</v>
      </c>
      <c r="D52" s="1" t="s">
        <v>513</v>
      </c>
      <c r="E52" s="335" t="s">
        <v>1144</v>
      </c>
    </row>
    <row r="53" spans="1:5" ht="16">
      <c r="A53" s="1" t="s">
        <v>1255</v>
      </c>
      <c r="B53" s="1" t="s">
        <v>1830</v>
      </c>
      <c r="C53" s="624" t="str">
        <f t="shared" si="0"/>
        <v>Tab Link</v>
      </c>
      <c r="D53" s="1" t="s">
        <v>1145</v>
      </c>
      <c r="E53" s="335" t="s">
        <v>1144</v>
      </c>
    </row>
    <row r="54" spans="1:5" ht="16">
      <c r="A54" s="1" t="s">
        <v>1256</v>
      </c>
      <c r="B54" s="1" t="s">
        <v>1831</v>
      </c>
      <c r="C54" s="624" t="str">
        <f t="shared" si="0"/>
        <v>Tab Link</v>
      </c>
      <c r="D54" s="1" t="s">
        <v>1146</v>
      </c>
      <c r="E54" s="335" t="s">
        <v>1147</v>
      </c>
    </row>
    <row r="55" spans="1:5" ht="16">
      <c r="A55" s="1" t="s">
        <v>1257</v>
      </c>
      <c r="B55" s="1" t="s">
        <v>1832</v>
      </c>
      <c r="C55" s="624" t="str">
        <f t="shared" si="0"/>
        <v>Tab Link</v>
      </c>
      <c r="D55" s="1" t="s">
        <v>1148</v>
      </c>
      <c r="E55" s="335" t="s">
        <v>1147</v>
      </c>
    </row>
    <row r="56" spans="1:5" ht="16">
      <c r="A56" s="1" t="s">
        <v>1258</v>
      </c>
      <c r="B56" s="1" t="s">
        <v>1833</v>
      </c>
      <c r="C56" s="624" t="str">
        <f t="shared" si="0"/>
        <v>Tab Link</v>
      </c>
      <c r="D56" s="1" t="s">
        <v>1149</v>
      </c>
      <c r="E56" s="335" t="s">
        <v>1147</v>
      </c>
    </row>
    <row r="57" spans="1:5" ht="16" hidden="1">
      <c r="A57" s="1" t="s">
        <v>1259</v>
      </c>
      <c r="C57" s="624" t="str">
        <f t="shared" si="0"/>
        <v>Tab Link</v>
      </c>
      <c r="D57" s="1" t="s">
        <v>1150</v>
      </c>
      <c r="E57" s="335" t="s">
        <v>1147</v>
      </c>
    </row>
    <row r="58" spans="1:5" ht="16" hidden="1">
      <c r="A58" s="1" t="s">
        <v>1260</v>
      </c>
      <c r="C58" s="624" t="str">
        <f t="shared" si="0"/>
        <v>Tab Link</v>
      </c>
      <c r="D58" s="1" t="s">
        <v>1151</v>
      </c>
      <c r="E58" s="335" t="s">
        <v>1152</v>
      </c>
    </row>
    <row r="59" spans="1:5" ht="16">
      <c r="A59" s="1" t="s">
        <v>1261</v>
      </c>
      <c r="B59" s="1" t="s">
        <v>1834</v>
      </c>
      <c r="C59" s="624" t="str">
        <f t="shared" si="0"/>
        <v>Tab Link</v>
      </c>
      <c r="D59" s="1" t="s">
        <v>1153</v>
      </c>
      <c r="E59" s="335" t="s">
        <v>1154</v>
      </c>
    </row>
    <row r="60" spans="1:5" ht="16">
      <c r="A60" s="1" t="s">
        <v>1262</v>
      </c>
      <c r="B60" s="1" t="s">
        <v>1835</v>
      </c>
      <c r="C60" s="624" t="str">
        <f t="shared" si="0"/>
        <v>Tab Link</v>
      </c>
      <c r="D60" s="1" t="s">
        <v>1155</v>
      </c>
      <c r="E60" s="335" t="s">
        <v>1154</v>
      </c>
    </row>
    <row r="61" spans="1:5" ht="16">
      <c r="A61" s="1" t="s">
        <v>1263</v>
      </c>
      <c r="B61" s="1" t="s">
        <v>1836</v>
      </c>
      <c r="C61" s="624" t="str">
        <f t="shared" si="0"/>
        <v>Tab Link</v>
      </c>
      <c r="D61" s="1" t="s">
        <v>1156</v>
      </c>
      <c r="E61" s="335" t="s">
        <v>1154</v>
      </c>
    </row>
    <row r="62" spans="1:5" ht="16">
      <c r="A62" s="1" t="s">
        <v>1265</v>
      </c>
      <c r="B62" s="1" t="s">
        <v>1837</v>
      </c>
      <c r="C62" s="624" t="str">
        <f t="shared" si="0"/>
        <v>Tab Link</v>
      </c>
      <c r="D62" s="1" t="s">
        <v>1160</v>
      </c>
      <c r="E62" s="335" t="s">
        <v>1161</v>
      </c>
    </row>
    <row r="63" spans="1:5" ht="16">
      <c r="A63" s="1" t="s">
        <v>1266</v>
      </c>
      <c r="B63" s="1" t="s">
        <v>1838</v>
      </c>
      <c r="C63" s="624" t="str">
        <f t="shared" si="0"/>
        <v>Tab Link</v>
      </c>
      <c r="D63" s="1" t="s">
        <v>1162</v>
      </c>
      <c r="E63" s="335" t="s">
        <v>1161</v>
      </c>
    </row>
    <row r="64" spans="1:5" ht="16">
      <c r="A64" s="1" t="s">
        <v>1267</v>
      </c>
      <c r="B64" s="1" t="s">
        <v>1839</v>
      </c>
      <c r="C64" s="624" t="str">
        <f t="shared" si="0"/>
        <v>Tab Link</v>
      </c>
      <c r="D64" s="1" t="s">
        <v>1163</v>
      </c>
      <c r="E64" s="335" t="s">
        <v>1161</v>
      </c>
    </row>
    <row r="65" spans="1:6" ht="16">
      <c r="A65" s="1" t="s">
        <v>1268</v>
      </c>
      <c r="B65" s="1" t="s">
        <v>1840</v>
      </c>
      <c r="C65" s="624" t="str">
        <f t="shared" si="0"/>
        <v>Tab Link</v>
      </c>
      <c r="D65" s="1" t="s">
        <v>1164</v>
      </c>
      <c r="E65" s="335" t="s">
        <v>1090</v>
      </c>
    </row>
    <row r="66" spans="1:6" ht="16">
      <c r="A66" s="1" t="s">
        <v>1269</v>
      </c>
      <c r="B66" s="1" t="s">
        <v>1841</v>
      </c>
      <c r="C66" s="624" t="str">
        <f t="shared" si="0"/>
        <v>Tab Link</v>
      </c>
      <c r="D66" s="1" t="s">
        <v>1165</v>
      </c>
      <c r="E66" s="335" t="s">
        <v>1166</v>
      </c>
    </row>
    <row r="67" spans="1:6" ht="16">
      <c r="A67" s="1" t="s">
        <v>1270</v>
      </c>
      <c r="B67" s="1" t="s">
        <v>1842</v>
      </c>
      <c r="C67" s="624" t="str">
        <f t="shared" si="0"/>
        <v>Tab Link</v>
      </c>
      <c r="D67" s="1" t="s">
        <v>1167</v>
      </c>
      <c r="E67" s="335" t="s">
        <v>1166</v>
      </c>
    </row>
    <row r="68" spans="1:6" ht="16">
      <c r="A68" s="1" t="s">
        <v>1271</v>
      </c>
      <c r="B68" s="1" t="s">
        <v>1843</v>
      </c>
      <c r="C68" s="624" t="str">
        <f t="shared" si="0"/>
        <v>Tab Link</v>
      </c>
      <c r="D68" s="1" t="s">
        <v>1168</v>
      </c>
      <c r="E68" s="335" t="s">
        <v>1169</v>
      </c>
    </row>
    <row r="69" spans="1:6" ht="16">
      <c r="A69" s="1" t="s">
        <v>1272</v>
      </c>
      <c r="B69" s="1" t="s">
        <v>1844</v>
      </c>
      <c r="C69" s="624" t="str">
        <f t="shared" si="0"/>
        <v>Tab Link</v>
      </c>
      <c r="D69" s="1" t="s">
        <v>1170</v>
      </c>
      <c r="E69" s="335" t="s">
        <v>1166</v>
      </c>
    </row>
    <row r="70" spans="1:6" ht="16">
      <c r="A70" s="1" t="s">
        <v>1273</v>
      </c>
      <c r="B70" s="1" t="s">
        <v>1845</v>
      </c>
      <c r="C70" s="624" t="str">
        <f t="shared" si="0"/>
        <v>Tab Link</v>
      </c>
      <c r="D70" s="1" t="s">
        <v>1171</v>
      </c>
      <c r="E70" s="335" t="s">
        <v>1166</v>
      </c>
    </row>
    <row r="71" spans="1:6" ht="16">
      <c r="A71" s="1" t="s">
        <v>1274</v>
      </c>
      <c r="B71" s="1" t="s">
        <v>1846</v>
      </c>
      <c r="C71" s="624" t="str">
        <f t="shared" si="0"/>
        <v>Tab Link</v>
      </c>
      <c r="D71" s="1" t="s">
        <v>1172</v>
      </c>
      <c r="E71" s="335" t="s">
        <v>1173</v>
      </c>
    </row>
    <row r="72" spans="1:6" ht="16">
      <c r="A72" s="1" t="s">
        <v>1275</v>
      </c>
      <c r="B72" s="1" t="s">
        <v>1847</v>
      </c>
      <c r="C72" s="624" t="str">
        <f t="shared" si="0"/>
        <v>Tab Link</v>
      </c>
      <c r="D72" s="1" t="s">
        <v>1174</v>
      </c>
      <c r="E72" s="335" t="s">
        <v>1175</v>
      </c>
      <c r="F72" s="1" t="s">
        <v>1176</v>
      </c>
    </row>
    <row r="73" spans="1:6" ht="16">
      <c r="A73" s="1" t="s">
        <v>1276</v>
      </c>
      <c r="B73" s="1" t="s">
        <v>1848</v>
      </c>
      <c r="C73" s="624" t="str">
        <f t="shared" si="0"/>
        <v>Tab Link</v>
      </c>
      <c r="D73" s="1" t="s">
        <v>1177</v>
      </c>
      <c r="E73" s="335" t="s">
        <v>1178</v>
      </c>
    </row>
    <row r="74" spans="1:6" ht="16">
      <c r="A74" s="1" t="s">
        <v>1264</v>
      </c>
      <c r="B74" s="1" t="s">
        <v>1849</v>
      </c>
      <c r="C74" s="624" t="str">
        <f t="shared" si="0"/>
        <v>Tab Link</v>
      </c>
      <c r="D74" s="1" t="s">
        <v>1157</v>
      </c>
      <c r="E74" s="335" t="s">
        <v>1158</v>
      </c>
      <c r="F74" s="1" t="s">
        <v>1159</v>
      </c>
    </row>
    <row r="75" spans="1:6" ht="16">
      <c r="A75" s="1" t="s">
        <v>1850</v>
      </c>
      <c r="B75" s="1" t="s">
        <v>1851</v>
      </c>
      <c r="C75" s="624" t="str">
        <f t="shared" si="0"/>
        <v>Tab Link</v>
      </c>
      <c r="E75" s="335"/>
    </row>
    <row r="76" spans="1:6" ht="16">
      <c r="A76" s="1" t="s">
        <v>1879</v>
      </c>
      <c r="B76" s="1" t="s">
        <v>1782</v>
      </c>
      <c r="C76" s="624" t="str">
        <f t="shared" si="0"/>
        <v>Tab Link</v>
      </c>
      <c r="D76" s="1" t="s">
        <v>1179</v>
      </c>
      <c r="E76" s="335" t="s">
        <v>1180</v>
      </c>
    </row>
    <row r="77" spans="1:6" ht="16">
      <c r="A77" s="1" t="s">
        <v>1880</v>
      </c>
      <c r="B77" s="1" t="s">
        <v>730</v>
      </c>
      <c r="C77" s="624" t="str">
        <f t="shared" si="0"/>
        <v>Tab Link</v>
      </c>
      <c r="D77" s="1" t="s">
        <v>1181</v>
      </c>
      <c r="E77" s="335" t="s">
        <v>1182</v>
      </c>
    </row>
    <row r="78" spans="1:6" ht="16">
      <c r="A78" s="1" t="s">
        <v>1881</v>
      </c>
      <c r="B78" s="1" t="s">
        <v>1852</v>
      </c>
      <c r="C78" s="624" t="str">
        <f t="shared" si="0"/>
        <v>Tab Link</v>
      </c>
      <c r="D78" s="1" t="s">
        <v>1183</v>
      </c>
      <c r="E78" s="335" t="s">
        <v>1184</v>
      </c>
    </row>
    <row r="79" spans="1:6" ht="16">
      <c r="A79" s="1" t="s">
        <v>1882</v>
      </c>
      <c r="B79" s="1" t="s">
        <v>1853</v>
      </c>
      <c r="C79" s="624" t="str">
        <f t="shared" si="0"/>
        <v>Tab Link</v>
      </c>
      <c r="D79" s="1" t="s">
        <v>1185</v>
      </c>
      <c r="E79" s="335" t="s">
        <v>1158</v>
      </c>
      <c r="F79" s="1" t="s">
        <v>1186</v>
      </c>
    </row>
    <row r="80" spans="1:6" ht="16">
      <c r="A80" s="1" t="s">
        <v>1883</v>
      </c>
      <c r="B80" s="1" t="s">
        <v>1854</v>
      </c>
      <c r="C80" s="624" t="str">
        <f t="shared" si="0"/>
        <v>Tab Link</v>
      </c>
      <c r="E80" s="335"/>
    </row>
    <row r="81" spans="1:5" ht="16">
      <c r="A81" s="1" t="s">
        <v>1277</v>
      </c>
      <c r="B81" s="1" t="s">
        <v>1855</v>
      </c>
      <c r="C81" s="624" t="str">
        <f t="shared" si="0"/>
        <v>Tab Link</v>
      </c>
      <c r="D81" s="1" t="s">
        <v>1187</v>
      </c>
      <c r="E81" s="335" t="s">
        <v>1188</v>
      </c>
    </row>
    <row r="82" spans="1:5" ht="16">
      <c r="A82" s="1" t="s">
        <v>1278</v>
      </c>
      <c r="B82" s="1" t="s">
        <v>1856</v>
      </c>
      <c r="C82" s="624" t="str">
        <f t="shared" si="0"/>
        <v>Tab Link</v>
      </c>
      <c r="D82" s="1" t="s">
        <v>1189</v>
      </c>
      <c r="E82" s="335" t="s">
        <v>1190</v>
      </c>
    </row>
    <row r="83" spans="1:5" ht="16">
      <c r="A83" s="1" t="s">
        <v>1279</v>
      </c>
      <c r="B83" s="1" t="s">
        <v>1857</v>
      </c>
      <c r="C83" s="624" t="str">
        <f t="shared" si="0"/>
        <v>Tab Link</v>
      </c>
      <c r="D83" s="1" t="s">
        <v>1191</v>
      </c>
      <c r="E83" s="335" t="s">
        <v>1184</v>
      </c>
    </row>
    <row r="84" spans="1:5" ht="16">
      <c r="A84" s="1" t="s">
        <v>1280</v>
      </c>
      <c r="B84" s="1" t="s">
        <v>1858</v>
      </c>
      <c r="C84" s="624" t="str">
        <f t="shared" si="0"/>
        <v>Tab Link</v>
      </c>
      <c r="D84" s="1" t="s">
        <v>1192</v>
      </c>
      <c r="E84" s="335" t="s">
        <v>1193</v>
      </c>
    </row>
    <row r="85" spans="1:5" ht="16">
      <c r="A85" s="1" t="s">
        <v>1281</v>
      </c>
      <c r="B85" s="1" t="s">
        <v>1859</v>
      </c>
      <c r="C85" s="624" t="str">
        <f t="shared" si="0"/>
        <v>Tab Link</v>
      </c>
      <c r="D85" s="1" t="s">
        <v>1194</v>
      </c>
      <c r="E85" s="335" t="s">
        <v>1195</v>
      </c>
    </row>
    <row r="86" spans="1:5" ht="16">
      <c r="A86" s="1" t="s">
        <v>1213</v>
      </c>
      <c r="B86" s="1" t="s">
        <v>1860</v>
      </c>
      <c r="C86" s="624" t="str">
        <f t="shared" si="0"/>
        <v>Tab Link</v>
      </c>
      <c r="D86" s="1" t="s">
        <v>1196</v>
      </c>
      <c r="E86" s="335" t="s">
        <v>1197</v>
      </c>
    </row>
    <row r="87" spans="1:5" ht="16">
      <c r="A87" s="1" t="s">
        <v>1282</v>
      </c>
      <c r="B87" s="1" t="s">
        <v>1861</v>
      </c>
      <c r="C87" s="624" t="str">
        <f t="shared" si="0"/>
        <v>Tab Link</v>
      </c>
      <c r="D87" s="1" t="s">
        <v>1198</v>
      </c>
      <c r="E87" s="335" t="s">
        <v>1199</v>
      </c>
    </row>
    <row r="88" spans="1:5" ht="16">
      <c r="A88" s="1" t="s">
        <v>1283</v>
      </c>
      <c r="B88" s="1" t="s">
        <v>1833</v>
      </c>
      <c r="C88" s="624" t="str">
        <f t="shared" si="0"/>
        <v>Tab Link</v>
      </c>
      <c r="D88" s="1" t="s">
        <v>1200</v>
      </c>
      <c r="E88" s="335" t="s">
        <v>1199</v>
      </c>
    </row>
    <row r="89" spans="1:5" ht="16">
      <c r="A89" s="1" t="s">
        <v>1878</v>
      </c>
      <c r="B89" s="1" t="s">
        <v>1862</v>
      </c>
      <c r="C89" s="624" t="str">
        <f t="shared" si="0"/>
        <v>Tab Link</v>
      </c>
      <c r="D89" s="1" t="s">
        <v>1201</v>
      </c>
      <c r="E89" s="335" t="s">
        <v>1202</v>
      </c>
    </row>
    <row r="90" spans="1:5" ht="16">
      <c r="A90" s="1" t="s">
        <v>1284</v>
      </c>
      <c r="B90" s="1" t="s">
        <v>1863</v>
      </c>
      <c r="C90" s="624" t="str">
        <f t="shared" si="0"/>
        <v>Tab Link</v>
      </c>
      <c r="D90" s="1" t="s">
        <v>1203</v>
      </c>
      <c r="E90" s="335" t="s">
        <v>1204</v>
      </c>
    </row>
    <row r="91" spans="1:5" ht="16">
      <c r="A91" s="1" t="s">
        <v>1864</v>
      </c>
      <c r="B91" s="1" t="s">
        <v>1865</v>
      </c>
      <c r="C91" s="624" t="str">
        <f t="shared" si="0"/>
        <v>Tab Link</v>
      </c>
      <c r="D91" s="1" t="s">
        <v>1205</v>
      </c>
      <c r="E91" s="335" t="s">
        <v>1204</v>
      </c>
    </row>
    <row r="92" spans="1:5" ht="16">
      <c r="A92" s="1" t="s">
        <v>1893</v>
      </c>
      <c r="B92" s="1" t="s">
        <v>1851</v>
      </c>
      <c r="C92" s="624" t="str">
        <f t="shared" si="0"/>
        <v>Tab Link</v>
      </c>
      <c r="D92" s="1" t="s">
        <v>1206</v>
      </c>
      <c r="E92" s="335" t="s">
        <v>1207</v>
      </c>
    </row>
    <row r="93" spans="1:5" ht="16">
      <c r="A93" s="1" t="s">
        <v>1884</v>
      </c>
      <c r="B93" s="1" t="s">
        <v>1866</v>
      </c>
      <c r="C93" s="624" t="str">
        <f t="shared" si="0"/>
        <v>Tab Link</v>
      </c>
      <c r="D93" s="1" t="s">
        <v>1285</v>
      </c>
      <c r="E93" s="1" t="s">
        <v>1293</v>
      </c>
    </row>
    <row r="94" spans="1:5" ht="16">
      <c r="A94" s="1" t="s">
        <v>1885</v>
      </c>
      <c r="B94" s="1" t="s">
        <v>1867</v>
      </c>
      <c r="C94" s="624" t="str">
        <f t="shared" si="0"/>
        <v>Tab Link</v>
      </c>
      <c r="D94" s="1" t="s">
        <v>1286</v>
      </c>
      <c r="E94" s="1" t="s">
        <v>1293</v>
      </c>
    </row>
    <row r="95" spans="1:5" ht="16">
      <c r="A95" s="1" t="s">
        <v>1886</v>
      </c>
      <c r="B95" s="1" t="s">
        <v>1868</v>
      </c>
      <c r="C95" s="624" t="str">
        <f t="shared" si="0"/>
        <v>Tab Link</v>
      </c>
      <c r="D95" s="1" t="s">
        <v>1287</v>
      </c>
      <c r="E95" s="1" t="s">
        <v>1293</v>
      </c>
    </row>
    <row r="96" spans="1:5" ht="16">
      <c r="A96" s="1" t="s">
        <v>1887</v>
      </c>
      <c r="B96" s="1" t="s">
        <v>1869</v>
      </c>
      <c r="C96" s="624" t="str">
        <f t="shared" si="0"/>
        <v>Tab Link</v>
      </c>
      <c r="D96" s="1" t="s">
        <v>1288</v>
      </c>
      <c r="E96" s="1" t="s">
        <v>1293</v>
      </c>
    </row>
    <row r="97" spans="1:5" ht="16">
      <c r="A97" s="1" t="s">
        <v>1888</v>
      </c>
      <c r="B97" s="1" t="s">
        <v>1870</v>
      </c>
      <c r="C97" s="624" t="str">
        <f t="shared" si="0"/>
        <v>Tab Link</v>
      </c>
      <c r="D97" s="1" t="s">
        <v>1289</v>
      </c>
      <c r="E97" s="1" t="s">
        <v>1294</v>
      </c>
    </row>
    <row r="98" spans="1:5" ht="16">
      <c r="A98" s="1" t="s">
        <v>1889</v>
      </c>
      <c r="B98" s="1" t="s">
        <v>1871</v>
      </c>
      <c r="C98" s="624" t="str">
        <f t="shared" si="0"/>
        <v>Tab Link</v>
      </c>
      <c r="D98" s="1" t="s">
        <v>1290</v>
      </c>
      <c r="E98" s="1" t="s">
        <v>1294</v>
      </c>
    </row>
    <row r="99" spans="1:5" ht="16">
      <c r="A99" s="1" t="s">
        <v>1890</v>
      </c>
      <c r="B99" s="1" t="s">
        <v>1872</v>
      </c>
      <c r="C99" s="624" t="str">
        <f t="shared" si="0"/>
        <v>Tab Link</v>
      </c>
      <c r="D99" s="1" t="s">
        <v>1291</v>
      </c>
      <c r="E99" s="1" t="s">
        <v>1294</v>
      </c>
    </row>
    <row r="100" spans="1:5" ht="16">
      <c r="A100" s="1" t="s">
        <v>1891</v>
      </c>
      <c r="B100" s="1" t="s">
        <v>1873</v>
      </c>
      <c r="C100" s="624" t="str">
        <f t="shared" si="0"/>
        <v>Tab Link</v>
      </c>
      <c r="D100" s="1" t="s">
        <v>1292</v>
      </c>
      <c r="E100" s="1" t="s">
        <v>1294</v>
      </c>
    </row>
    <row r="101" spans="1:5" ht="16">
      <c r="A101" s="1" t="s">
        <v>1892</v>
      </c>
      <c r="B101" s="1" t="s">
        <v>1874</v>
      </c>
      <c r="C101" s="624" t="str">
        <f t="shared" si="0"/>
        <v>Tab Link</v>
      </c>
    </row>
    <row r="102" spans="1:5" ht="16">
      <c r="A102" s="1" t="s">
        <v>1894</v>
      </c>
      <c r="B102" s="1" t="s">
        <v>1875</v>
      </c>
      <c r="C102" s="624" t="str">
        <f t="shared" si="0"/>
        <v>Tab Link</v>
      </c>
    </row>
  </sheetData>
  <phoneticPr fontId="8" type="noConversion"/>
  <hyperlinks>
    <hyperlink ref="C2" location="'Summary Exhibit 1'!A1" display="Tab Link" xr:uid="{00000000-0004-0000-0000-000000000000}"/>
    <hyperlink ref="C3" location="'Summary Exhibit 2'!A1" display="Tab Link" xr:uid="{00000000-0004-0000-0000-000001000000}"/>
    <hyperlink ref="C4" location="'Summary Exhibit 3'!A1" display="Tab Link" xr:uid="{00000000-0004-0000-0000-000002000000}"/>
    <hyperlink ref="C5" location="'Exhibit A,S1'!A1" display="Tab Link" xr:uid="{00000000-0004-0000-0000-000003000000}"/>
    <hyperlink ref="C6" location="'Exhibit A,S2'!A1" display="Tab Link" xr:uid="{00000000-0004-0000-0000-000004000000}"/>
    <hyperlink ref="C7" location="'Exhibit B,S1'!A1" display="Tab Link" xr:uid="{00000000-0004-0000-0000-000005000000}"/>
    <hyperlink ref="C8" location="'Exhibit B, S1a'!A1" display="Tab Link" xr:uid="{00000000-0004-0000-0000-000006000000}"/>
    <hyperlink ref="C9" location="'Exhibit B,S2'!A1" display="Tab Link" xr:uid="{00000000-0004-0000-0000-000007000000}"/>
    <hyperlink ref="C10" location="'Exhibit B,S3'!Print_Area" display="Tab Link" xr:uid="{00000000-0004-0000-0000-000008000000}"/>
    <hyperlink ref="C14" location="'Exhibit F,1'!A1" display="Tab Link" xr:uid="{00000000-0004-0000-0000-000009000000}"/>
    <hyperlink ref="C15" location="'Exhibit G,1'!A1" display="Tab Link" xr:uid="{00000000-0004-0000-0000-00000A000000}"/>
    <hyperlink ref="C16" location="'Exhibit G,2'!A1" display="Tab Link" xr:uid="{00000000-0004-0000-0000-00000B000000}"/>
    <hyperlink ref="C17" location="'Exhibit G,3'!A1" display="Tab Link" xr:uid="{00000000-0004-0000-0000-00000C000000}"/>
    <hyperlink ref="C11" location="'Exhibit C,1'!A1" display="Tab Link" xr:uid="{00000000-0004-0000-0000-00000D000000}"/>
    <hyperlink ref="C12" location="'Exhibit D,1'!A1" display="Tab Link" xr:uid="{00000000-0004-0000-0000-00000E000000}"/>
    <hyperlink ref="C13" location="'Exhibit E,1'!A1" display="Tab Link" xr:uid="{00000000-0004-0000-0000-00000F000000}"/>
    <hyperlink ref="C18" location="'Exhibit H,1'!A1" display="Tab Link" xr:uid="{00000000-0004-0000-0000-000010000000}"/>
    <hyperlink ref="C19" location="'Exhibit H,2'!A1" display="Tab Link" xr:uid="{00000000-0004-0000-0000-000011000000}"/>
    <hyperlink ref="C20" location="'Exhibit H,3'!A1" display="Tab Link" xr:uid="{00000000-0004-0000-0000-000012000000}"/>
    <hyperlink ref="C21" location="'Exhibit H,4'!A1" display="Tab Link" xr:uid="{00000000-0004-0000-0000-000013000000}"/>
    <hyperlink ref="C22" location="'Exhibit H,5'!A1" display="Tab Link" xr:uid="{00000000-0004-0000-0000-000014000000}"/>
    <hyperlink ref="C23" location="'Exhibit H,6'!A1" display="Tab Link" xr:uid="{00000000-0004-0000-0000-000015000000}"/>
    <hyperlink ref="C24" location="'Exhibit H,7'!A1" display="Tab Link" xr:uid="{00000000-0004-0000-0000-000016000000}"/>
    <hyperlink ref="C25" location="'Exhibit I,1'!A1" display="Tab Link" xr:uid="{00000000-0004-0000-0000-000017000000}"/>
    <hyperlink ref="C26" location="'Exhibit I,2'!A1" display="Tab Link" xr:uid="{00000000-0004-0000-0000-000018000000}"/>
    <hyperlink ref="C27" location="'Exhibit J,1'!A1" display="Tab Link" xr:uid="{00000000-0004-0000-0000-000019000000}"/>
    <hyperlink ref="C28" location="'Exhibit K,1'!A1" display="Tab Link" xr:uid="{00000000-0004-0000-0000-00001A000000}"/>
    <hyperlink ref="C29" location="'Exhibit L,1'!A1" display="Tab Link" xr:uid="{00000000-0004-0000-0000-00001B000000}"/>
    <hyperlink ref="C30" location="'Exhibit L,2'!A1" display="Tab Link" xr:uid="{00000000-0004-0000-0000-00001C000000}"/>
    <hyperlink ref="C31" location="'Exhibit L,3'!A1" display="Tab Link" xr:uid="{00000000-0004-0000-0000-00001D000000}"/>
    <hyperlink ref="C32" location="'Exhibit M,1'!A1" display="Tab Link" xr:uid="{00000000-0004-0000-0000-00001E000000}"/>
    <hyperlink ref="C33" location="'Exhibit M,2'!A1" display="Tab Link" xr:uid="{00000000-0004-0000-0000-00001F000000}"/>
    <hyperlink ref="C34" location="'Exhibit M,3'!A1" display="Tab Link" xr:uid="{00000000-0004-0000-0000-000020000000}"/>
    <hyperlink ref="C35" location="'Exhibit N,1'!A1" display="Tab Link" xr:uid="{00000000-0004-0000-0000-000021000000}"/>
    <hyperlink ref="C36" location="'Exhibit N,2'!A1" display="Tab Link" xr:uid="{00000000-0004-0000-0000-000022000000}"/>
    <hyperlink ref="C37" location="'Exhibit N,3'!A1" display="Tab Link" xr:uid="{00000000-0004-0000-0000-000023000000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6</xdr:col>
                    <xdr:colOff>825500</xdr:colOff>
                    <xdr:row>1</xdr:row>
                    <xdr:rowOff>12700</xdr:rowOff>
                  </from>
                  <to>
                    <xdr:col>9</xdr:col>
                    <xdr:colOff>76200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Q66"/>
  <sheetViews>
    <sheetView tabSelected="1" zoomScale="80" zoomScaleNormal="80" workbookViewId="0">
      <selection activeCell="J49" sqref="J49"/>
    </sheetView>
  </sheetViews>
  <sheetFormatPr baseColWidth="10" defaultColWidth="8.7109375" defaultRowHeight="15"/>
  <cols>
    <col min="1" max="1" width="30.28515625" style="1" customWidth="1"/>
    <col min="2" max="2" width="4.42578125" style="1" hidden="1" customWidth="1"/>
    <col min="3" max="3" width="2.28515625" style="1" hidden="1" customWidth="1"/>
    <col min="4" max="5" width="14.7109375" style="1" customWidth="1"/>
    <col min="6" max="6" width="4.7109375" style="1" customWidth="1"/>
    <col min="7" max="8" width="14.7109375" style="1" customWidth="1"/>
    <col min="9" max="9" width="5" style="1" bestFit="1" customWidth="1"/>
    <col min="10" max="10" width="27.85546875" style="1" customWidth="1"/>
    <col min="11" max="12" width="14.7109375" style="1" customWidth="1"/>
    <col min="13" max="13" width="4.7109375" style="1" customWidth="1"/>
    <col min="14" max="15" width="13.7109375" style="1" customWidth="1"/>
    <col min="16" max="16" width="5" style="1" customWidth="1"/>
    <col min="17" max="17" width="12.28515625" style="1" bestFit="1" customWidth="1"/>
    <col min="18" max="16384" width="8.7109375" style="1"/>
  </cols>
  <sheetData>
    <row r="1" spans="1:16">
      <c r="I1" s="52" t="s">
        <v>49</v>
      </c>
      <c r="P1" s="52" t="s">
        <v>49</v>
      </c>
    </row>
    <row r="2" spans="1:16">
      <c r="I2" s="52" t="s">
        <v>126</v>
      </c>
      <c r="P2" s="52" t="s">
        <v>126</v>
      </c>
    </row>
    <row r="3" spans="1:16">
      <c r="I3" s="52" t="s">
        <v>56</v>
      </c>
      <c r="P3" s="52" t="s">
        <v>45</v>
      </c>
    </row>
    <row r="4" spans="1:16" ht="16">
      <c r="F4" s="51" t="s">
        <v>872</v>
      </c>
      <c r="M4" s="51" t="s">
        <v>1550</v>
      </c>
    </row>
    <row r="5" spans="1:16">
      <c r="F5" s="6"/>
      <c r="M5" s="6"/>
    </row>
    <row r="6" spans="1:16">
      <c r="F6" s="6" t="s">
        <v>728</v>
      </c>
      <c r="M6" s="6" t="s">
        <v>728</v>
      </c>
    </row>
    <row r="7" spans="1:16">
      <c r="F7" s="6" t="s">
        <v>1725</v>
      </c>
      <c r="M7" s="6" t="s">
        <v>1725</v>
      </c>
    </row>
    <row r="8" spans="1:16">
      <c r="F8" s="2" t="s">
        <v>768</v>
      </c>
      <c r="M8" s="2" t="s">
        <v>768</v>
      </c>
    </row>
    <row r="11" spans="1:16">
      <c r="D11" s="6" t="s">
        <v>748</v>
      </c>
      <c r="E11" s="6" t="s">
        <v>748</v>
      </c>
      <c r="G11" s="6" t="s">
        <v>17</v>
      </c>
      <c r="H11" s="6" t="s">
        <v>17</v>
      </c>
      <c r="K11" s="6" t="s">
        <v>748</v>
      </c>
      <c r="L11" s="6" t="s">
        <v>748</v>
      </c>
      <c r="N11" s="6" t="s">
        <v>17</v>
      </c>
      <c r="O11" s="6" t="s">
        <v>17</v>
      </c>
    </row>
    <row r="12" spans="1:16">
      <c r="A12" s="53"/>
      <c r="D12" s="6" t="s">
        <v>744</v>
      </c>
      <c r="E12" s="6" t="s">
        <v>750</v>
      </c>
      <c r="G12" s="6" t="s">
        <v>744</v>
      </c>
      <c r="H12" s="6" t="s">
        <v>750</v>
      </c>
      <c r="J12" s="53"/>
      <c r="K12" s="6" t="s">
        <v>744</v>
      </c>
      <c r="L12" s="6" t="s">
        <v>750</v>
      </c>
      <c r="N12" s="6" t="s">
        <v>744</v>
      </c>
      <c r="O12" s="6" t="s">
        <v>750</v>
      </c>
    </row>
    <row r="13" spans="1:16">
      <c r="D13" s="6" t="s">
        <v>723</v>
      </c>
      <c r="E13" s="6" t="s">
        <v>723</v>
      </c>
      <c r="G13" s="6" t="s">
        <v>723</v>
      </c>
      <c r="H13" s="6" t="s">
        <v>723</v>
      </c>
      <c r="K13" s="6" t="s">
        <v>726</v>
      </c>
      <c r="L13" s="6" t="s">
        <v>726</v>
      </c>
      <c r="N13" s="6" t="s">
        <v>726</v>
      </c>
      <c r="O13" s="6" t="s">
        <v>726</v>
      </c>
    </row>
    <row r="14" spans="1:16">
      <c r="D14" s="10">
        <f>B14-1</f>
        <v>-1</v>
      </c>
      <c r="E14" s="10">
        <f>D14-1</f>
        <v>-2</v>
      </c>
      <c r="G14" s="10">
        <f>E14-1</f>
        <v>-3</v>
      </c>
      <c r="H14" s="10">
        <f>G14-1</f>
        <v>-4</v>
      </c>
      <c r="K14" s="10">
        <f>H14-1</f>
        <v>-5</v>
      </c>
      <c r="L14" s="10">
        <f>K14-1</f>
        <v>-6</v>
      </c>
      <c r="N14" s="10">
        <f>L14-1</f>
        <v>-7</v>
      </c>
      <c r="O14" s="10">
        <f>N14-1</f>
        <v>-8</v>
      </c>
    </row>
    <row r="16" spans="1:16">
      <c r="D16" s="96"/>
      <c r="E16" s="96"/>
      <c r="G16" s="22"/>
      <c r="H16" s="22"/>
      <c r="I16" s="22"/>
    </row>
    <row r="17" spans="1:17">
      <c r="A17" s="1" t="s">
        <v>900</v>
      </c>
      <c r="D17" s="96">
        <v>171735</v>
      </c>
      <c r="E17" s="442">
        <v>171797.48800000001</v>
      </c>
      <c r="F17" s="6"/>
      <c r="G17" s="186">
        <v>149464.48671995962</v>
      </c>
      <c r="H17" s="186">
        <v>149672.296</v>
      </c>
      <c r="I17" s="79"/>
      <c r="J17" s="1" t="s">
        <v>900</v>
      </c>
      <c r="K17" s="186">
        <v>41526.801250260978</v>
      </c>
      <c r="L17" s="186">
        <v>41235.065999999999</v>
      </c>
      <c r="M17" s="336"/>
      <c r="N17" s="186">
        <v>2632.960414028913</v>
      </c>
      <c r="O17" s="186">
        <v>2610.9920000000002</v>
      </c>
      <c r="P17" s="79"/>
    </row>
    <row r="18" spans="1:17">
      <c r="A18" s="11"/>
      <c r="D18" s="6"/>
      <c r="E18" s="6"/>
      <c r="F18" s="6"/>
      <c r="G18" s="81"/>
      <c r="H18" s="6"/>
      <c r="I18" s="6"/>
      <c r="J18" s="11"/>
      <c r="K18" s="6"/>
      <c r="L18" s="6"/>
      <c r="M18" s="6"/>
      <c r="N18" s="6"/>
      <c r="O18" s="6"/>
      <c r="P18" s="6"/>
    </row>
    <row r="19" spans="1:17">
      <c r="A19" s="1" t="s">
        <v>745</v>
      </c>
      <c r="D19" s="81">
        <f>'Exhibit B,S2'!M49/1000</f>
        <v>-1475.0966800290346</v>
      </c>
      <c r="E19" s="81">
        <v>-1475.097</v>
      </c>
      <c r="F19" s="6"/>
      <c r="G19" s="81">
        <f>'Summary Exhibit 2'!O39/1000</f>
        <v>-2310.5571264488885</v>
      </c>
      <c r="H19" s="81">
        <v>-2310.5569999999998</v>
      </c>
      <c r="I19" s="81"/>
      <c r="J19" s="1" t="s">
        <v>745</v>
      </c>
      <c r="K19" s="81">
        <f>'Summary Exhibit 2'!W18/1000</f>
        <v>6961.2554546468864</v>
      </c>
      <c r="L19" s="81">
        <v>6961.2550000000001</v>
      </c>
      <c r="M19" s="81"/>
      <c r="N19" s="81">
        <f>'Summary Exhibit 2'!W39/1000</f>
        <v>-208.55709370743421</v>
      </c>
      <c r="O19" s="81">
        <v>-208.55699999999999</v>
      </c>
      <c r="P19" s="6"/>
    </row>
    <row r="20" spans="1:17" ht="16">
      <c r="A20" s="15"/>
      <c r="D20" s="81"/>
      <c r="E20" s="6"/>
      <c r="F20" s="6"/>
      <c r="G20" s="81"/>
      <c r="H20" s="6"/>
      <c r="I20" s="6"/>
      <c r="J20" s="15"/>
      <c r="K20" s="81"/>
      <c r="L20" s="81"/>
      <c r="M20" s="81"/>
      <c r="N20" s="81"/>
      <c r="O20" s="81"/>
      <c r="P20" s="6"/>
    </row>
    <row r="21" spans="1:17">
      <c r="A21" s="1" t="s">
        <v>1726</v>
      </c>
      <c r="D21" s="81">
        <f>'Exhibit B,S2'!M45/1000</f>
        <v>26104.757141679202</v>
      </c>
      <c r="E21" s="56">
        <v>25837.414000000001</v>
      </c>
      <c r="F21" s="6"/>
      <c r="G21" s="81">
        <f>'Summary Exhibit 2'!O41/1000</f>
        <v>24007.279407974427</v>
      </c>
      <c r="H21" s="54">
        <v>23594.832999999999</v>
      </c>
      <c r="I21" s="81"/>
      <c r="J21" s="1" t="s">
        <v>1726</v>
      </c>
      <c r="K21" s="81">
        <f>'Summary Exhibit 2'!W20/1000</f>
        <v>4940.6119069666274</v>
      </c>
      <c r="L21" s="81">
        <v>5232.3469999999998</v>
      </c>
      <c r="M21" s="81"/>
      <c r="N21" s="81">
        <f>'Summary Exhibit 2'!W41/1000</f>
        <v>247.03059534833173</v>
      </c>
      <c r="O21" s="81">
        <v>268.99799999999999</v>
      </c>
      <c r="P21" s="6"/>
    </row>
    <row r="22" spans="1:17">
      <c r="D22" s="81"/>
      <c r="E22" s="6"/>
      <c r="F22" s="6"/>
      <c r="G22" s="81"/>
      <c r="H22" s="6"/>
      <c r="I22" s="6"/>
      <c r="K22" s="81"/>
      <c r="L22" s="81"/>
      <c r="M22" s="81"/>
      <c r="N22" s="81"/>
      <c r="O22" s="81"/>
      <c r="P22" s="6"/>
    </row>
    <row r="23" spans="1:17">
      <c r="A23" s="1" t="s">
        <v>747</v>
      </c>
      <c r="D23" s="81">
        <f>'Exhibit B,S2'!AL49/1000</f>
        <v>36046.714015999882</v>
      </c>
      <c r="E23" s="96">
        <v>35846.364000000001</v>
      </c>
      <c r="F23" s="56"/>
      <c r="G23" s="81">
        <f>'Exhibit B,S2'!BC49/1000</f>
        <v>31000.593005999875</v>
      </c>
      <c r="H23" s="81">
        <v>30800.242999999999</v>
      </c>
      <c r="I23" s="56"/>
      <c r="J23" s="1" t="s">
        <v>747</v>
      </c>
      <c r="K23" s="189">
        <f>'Summary Exhibit 2'!W22/1000</f>
        <v>9469.6589200000053</v>
      </c>
      <c r="L23" s="189">
        <v>9494.6839999999993</v>
      </c>
      <c r="M23" s="81"/>
      <c r="N23" s="81">
        <f>'Summary Exhibit 2'!W43/1000</f>
        <v>474.73419400000387</v>
      </c>
      <c r="O23" s="81">
        <v>474.73399999999998</v>
      </c>
      <c r="P23" s="81"/>
    </row>
    <row r="24" spans="1:17">
      <c r="A24" s="21"/>
      <c r="D24" s="81"/>
      <c r="E24" s="6"/>
      <c r="F24" s="6"/>
      <c r="G24" s="81"/>
      <c r="H24" s="6"/>
      <c r="I24" s="6"/>
      <c r="J24" s="21"/>
      <c r="K24" s="81"/>
      <c r="L24" s="81"/>
      <c r="M24" s="81"/>
      <c r="N24" s="81"/>
      <c r="O24" s="81"/>
      <c r="P24" s="6"/>
    </row>
    <row r="25" spans="1:17">
      <c r="A25" s="1" t="s">
        <v>746</v>
      </c>
      <c r="D25" s="81">
        <f>D27+('Exhibit A,S2'!K49+'Exhibit A,S2'!K50)/1000-D47/1000</f>
        <v>983.89593730422621</v>
      </c>
      <c r="E25" s="81">
        <v>982.39700000000005</v>
      </c>
      <c r="F25" s="6"/>
      <c r="G25" s="81">
        <f>D25</f>
        <v>983.89593730422621</v>
      </c>
      <c r="H25" s="81">
        <v>982.39700000000005</v>
      </c>
      <c r="I25" s="6"/>
      <c r="J25" s="1" t="s">
        <v>746</v>
      </c>
      <c r="K25" s="87">
        <f>(K27*1000+'Exhibit A, 1a'!K59-'Summary Exhibit 1'!K47)/1000</f>
        <v>1609.0320335830925</v>
      </c>
      <c r="L25" s="87">
        <v>1609.0319999999999</v>
      </c>
      <c r="M25" s="81"/>
      <c r="N25" s="87">
        <f>0.05*(K27+'Exhibit A, 1a'!K59/1000)-'Summary Exhibit 1'!K47</f>
        <v>80.451601679154635</v>
      </c>
      <c r="O25" s="87">
        <v>80.450999999999993</v>
      </c>
      <c r="P25" s="6"/>
    </row>
    <row r="26" spans="1:17">
      <c r="D26" s="81"/>
      <c r="E26" s="6"/>
      <c r="F26" s="6"/>
      <c r="G26" s="81"/>
      <c r="H26" s="6"/>
      <c r="I26" s="6"/>
      <c r="K26" s="81"/>
      <c r="L26" s="81"/>
      <c r="M26" s="81"/>
      <c r="N26" s="81"/>
      <c r="O26" s="81"/>
      <c r="P26" s="6"/>
    </row>
    <row r="27" spans="1:17">
      <c r="A27" s="1" t="s">
        <v>749</v>
      </c>
      <c r="D27" s="81">
        <f>E27</f>
        <v>1321.973</v>
      </c>
      <c r="E27" s="81">
        <v>1321.973</v>
      </c>
      <c r="F27" s="56"/>
      <c r="G27" s="81">
        <f>D27</f>
        <v>1321.973</v>
      </c>
      <c r="H27" s="81">
        <v>1321.973</v>
      </c>
      <c r="I27" s="6"/>
      <c r="J27" s="1" t="s">
        <v>749</v>
      </c>
      <c r="K27" s="81">
        <f>L27</f>
        <v>226.75800000000001</v>
      </c>
      <c r="L27" s="81">
        <v>226.75800000000001</v>
      </c>
      <c r="M27" s="81"/>
      <c r="N27" s="87">
        <f>O27</f>
        <v>11.337</v>
      </c>
      <c r="O27" s="87">
        <v>11.337</v>
      </c>
      <c r="P27" s="6"/>
      <c r="Q27" s="22"/>
    </row>
    <row r="28" spans="1:17">
      <c r="A28" s="22"/>
      <c r="D28" s="81"/>
      <c r="E28" s="6"/>
      <c r="F28" s="6"/>
      <c r="G28" s="81"/>
      <c r="H28" s="6"/>
      <c r="I28" s="6"/>
      <c r="J28" s="22"/>
      <c r="K28" s="81"/>
      <c r="L28" s="81"/>
      <c r="M28" s="81"/>
      <c r="N28" s="81"/>
      <c r="O28" s="81"/>
      <c r="P28" s="6"/>
    </row>
    <row r="29" spans="1:17">
      <c r="A29" s="1" t="s">
        <v>901</v>
      </c>
      <c r="D29" s="81">
        <f>D17+D19+D21-D23+D25-D27</f>
        <v>159979.86938295452</v>
      </c>
      <c r="E29" s="81">
        <f>E17+E19+E21-E23+E25-E27</f>
        <v>159973.86499999999</v>
      </c>
      <c r="F29" s="56"/>
      <c r="G29" s="81">
        <f>G17+G19+G21-G23+G25-G27</f>
        <v>139822.5389327895</v>
      </c>
      <c r="H29" s="81">
        <f>H17+H19+H21-H23+H25-H27</f>
        <v>139816.753</v>
      </c>
      <c r="I29" s="56"/>
      <c r="J29" s="22" t="s">
        <v>901</v>
      </c>
      <c r="K29" s="81">
        <f>K17+K19+K21-K23+K25-K27</f>
        <v>45341.283725457586</v>
      </c>
      <c r="L29" s="81">
        <v>45316.258000000002</v>
      </c>
      <c r="M29" s="81"/>
      <c r="N29" s="81">
        <f>N17+N19+N21-N23+N25-N27</f>
        <v>2265.8143233489609</v>
      </c>
      <c r="O29" s="81">
        <f>O17+O19+O21-O23+O25-O27</f>
        <v>2265.8130000000006</v>
      </c>
      <c r="P29" s="6"/>
    </row>
    <row r="30" spans="1:17">
      <c r="D30" s="67">
        <f>D29-'Summary Exhibit 2'!O26/1000</f>
        <v>5.0914106664131396</v>
      </c>
      <c r="E30" s="56"/>
      <c r="F30" s="56"/>
      <c r="G30" s="67">
        <f>G29-'Summary Exhibit 2'!O47/1000</f>
        <v>4.8741300000401679</v>
      </c>
      <c r="H30" s="56"/>
      <c r="I30" s="6"/>
      <c r="K30" s="626">
        <f>K29-'Summary Exhibit 2'!W26/1000</f>
        <v>0</v>
      </c>
      <c r="L30" s="626"/>
      <c r="M30" s="189"/>
      <c r="N30" s="626">
        <f>N29-'Summary Exhibit 2'!W47/1000</f>
        <v>0</v>
      </c>
      <c r="O30" s="626"/>
      <c r="P30" s="6"/>
      <c r="Q30" s="53"/>
    </row>
    <row r="31" spans="1:17">
      <c r="A31" s="1" t="s">
        <v>751</v>
      </c>
      <c r="D31" s="81">
        <f>D29-E29</f>
        <v>6.0043829545320477</v>
      </c>
      <c r="E31" s="489">
        <f>D31/D29</f>
        <v>3.7532115619865609E-5</v>
      </c>
      <c r="F31" s="56"/>
      <c r="G31" s="81">
        <f>G29-H29</f>
        <v>5.7859327894984744</v>
      </c>
      <c r="H31" s="490">
        <f>G31/G29</f>
        <v>4.1380544464864009E-5</v>
      </c>
      <c r="I31" s="81"/>
      <c r="J31" s="1" t="s">
        <v>751</v>
      </c>
      <c r="K31" s="81">
        <f>K29-L29</f>
        <v>25.025725457584485</v>
      </c>
      <c r="L31" s="81">
        <f>K31/K29</f>
        <v>5.5194126414937373E-4</v>
      </c>
      <c r="M31" s="81"/>
      <c r="N31" s="81">
        <f>N29-O29</f>
        <v>1.3233489603408088E-3</v>
      </c>
      <c r="O31" s="81">
        <f>N31/N29</f>
        <v>5.8405004624776497E-7</v>
      </c>
      <c r="P31" s="6"/>
    </row>
    <row r="32" spans="1:17">
      <c r="D32" s="56"/>
      <c r="E32" s="56"/>
      <c r="F32" s="56"/>
      <c r="G32" s="56"/>
      <c r="H32" s="56"/>
      <c r="I32" s="6"/>
      <c r="K32" s="56"/>
      <c r="L32" s="56"/>
      <c r="M32" s="56"/>
      <c r="N32" s="56"/>
      <c r="O32" s="56"/>
      <c r="P32" s="6"/>
    </row>
    <row r="33" spans="1:16">
      <c r="D33" s="56"/>
      <c r="E33" s="81"/>
      <c r="F33" s="56"/>
      <c r="G33" s="56"/>
      <c r="H33" s="81"/>
      <c r="I33" s="6"/>
      <c r="K33" s="56"/>
      <c r="L33" s="56"/>
      <c r="M33" s="56"/>
      <c r="N33" s="56"/>
      <c r="O33" s="56"/>
      <c r="P33" s="6"/>
    </row>
    <row r="34" spans="1:16">
      <c r="A34" s="1" t="s">
        <v>902</v>
      </c>
      <c r="D34" s="101">
        <f>('Exhibit E, 1'!M31+0.95*'Exhibit E, 1'!S31)/1000</f>
        <v>48.725467489445101</v>
      </c>
      <c r="E34" s="410">
        <v>48.725000000000001</v>
      </c>
      <c r="F34" s="56"/>
      <c r="G34" s="101">
        <f>D34</f>
        <v>48.725467489445101</v>
      </c>
      <c r="H34" s="410">
        <v>48.725000000000001</v>
      </c>
      <c r="I34" s="6"/>
      <c r="J34" s="1" t="s">
        <v>902</v>
      </c>
      <c r="K34" s="81">
        <f>'Exhibit E, 1'!S31/1000</f>
        <v>0</v>
      </c>
      <c r="L34" s="81">
        <v>0</v>
      </c>
      <c r="M34" s="56"/>
      <c r="N34" s="56">
        <f>0.05*K34</f>
        <v>0</v>
      </c>
      <c r="O34" s="56">
        <v>0</v>
      </c>
      <c r="P34" s="6"/>
    </row>
    <row r="35" spans="1:16">
      <c r="D35" s="56"/>
      <c r="E35" s="491"/>
      <c r="F35" s="56"/>
      <c r="G35" s="56"/>
      <c r="H35" s="491"/>
      <c r="I35" s="56"/>
      <c r="K35" s="56"/>
      <c r="L35" s="56"/>
      <c r="M35" s="56"/>
      <c r="N35" s="56"/>
      <c r="O35" s="56"/>
      <c r="P35" s="6"/>
    </row>
    <row r="36" spans="1:16">
      <c r="A36" s="1" t="s">
        <v>904</v>
      </c>
      <c r="D36" s="81">
        <v>8204.6257552816096</v>
      </c>
      <c r="E36" s="56">
        <v>8204.6260000000002</v>
      </c>
      <c r="F36" s="56"/>
      <c r="G36" s="81">
        <f>D36</f>
        <v>8204.6257552816096</v>
      </c>
      <c r="H36" s="81">
        <v>8204.6260000000002</v>
      </c>
      <c r="I36" s="6"/>
      <c r="J36" s="1" t="s">
        <v>904</v>
      </c>
      <c r="K36" s="81">
        <v>940.8465888240072</v>
      </c>
      <c r="L36" s="81">
        <v>940.84699999999998</v>
      </c>
      <c r="M36" s="56"/>
      <c r="N36" s="56">
        <f>0.05*K36</f>
        <v>47.042329441200366</v>
      </c>
      <c r="O36" s="56">
        <v>47.042000000000002</v>
      </c>
      <c r="P36" s="6"/>
    </row>
    <row r="37" spans="1:16">
      <c r="D37" s="6"/>
      <c r="E37" s="6"/>
      <c r="F37" s="6"/>
      <c r="G37" s="56"/>
      <c r="H37" s="6"/>
      <c r="I37" s="6"/>
      <c r="K37" s="56"/>
      <c r="L37" s="56"/>
      <c r="M37" s="56"/>
      <c r="N37" s="56"/>
      <c r="O37" s="56"/>
      <c r="P37" s="6"/>
    </row>
    <row r="38" spans="1:16">
      <c r="A38" s="22"/>
      <c r="D38" s="6"/>
      <c r="E38" s="6"/>
      <c r="F38" s="6"/>
      <c r="G38" s="6"/>
      <c r="H38" s="79"/>
      <c r="I38" s="6"/>
      <c r="K38" s="56"/>
      <c r="L38" s="56"/>
      <c r="M38" s="56"/>
      <c r="N38" s="56"/>
      <c r="O38" s="56"/>
      <c r="P38" s="6"/>
    </row>
    <row r="39" spans="1:16">
      <c r="A39" s="1" t="s">
        <v>903</v>
      </c>
      <c r="D39" s="56">
        <f>D29+D34+D36</f>
        <v>168233.2206057256</v>
      </c>
      <c r="E39" s="56">
        <f>E29+E34+E36</f>
        <v>168227.21599999999</v>
      </c>
      <c r="F39" s="56"/>
      <c r="G39" s="56">
        <f>G29+G34+G36</f>
        <v>148075.89015556057</v>
      </c>
      <c r="H39" s="56">
        <f>H29+H34+H36</f>
        <v>148070.10399999999</v>
      </c>
      <c r="I39" s="6"/>
      <c r="J39" s="1" t="s">
        <v>903</v>
      </c>
      <c r="K39" s="56">
        <f>K29+K34+K36</f>
        <v>46282.130314281596</v>
      </c>
      <c r="L39" s="56">
        <f>L29+L34+L36</f>
        <v>46257.105000000003</v>
      </c>
      <c r="M39" s="56"/>
      <c r="N39" s="56">
        <f>N29+N34+N36</f>
        <v>2312.8566527901612</v>
      </c>
      <c r="O39" s="56">
        <f>O29+O34+O36</f>
        <v>2312.8550000000005</v>
      </c>
      <c r="P39" s="6"/>
    </row>
    <row r="40" spans="1:16">
      <c r="D40" s="2"/>
      <c r="E40" s="6"/>
      <c r="F40" s="6"/>
      <c r="G40" s="2"/>
      <c r="H40" s="6"/>
      <c r="I40" s="6"/>
      <c r="K40" s="2"/>
      <c r="L40" s="6"/>
      <c r="M40" s="6"/>
      <c r="N40" s="2"/>
      <c r="O40" s="2"/>
      <c r="P40" s="6"/>
    </row>
    <row r="41" spans="1:16">
      <c r="A41" s="1" t="s">
        <v>905</v>
      </c>
      <c r="D41" s="81">
        <f>D39-E39</f>
        <v>6.0046057256113272</v>
      </c>
      <c r="E41" s="57">
        <f>D41/D39</f>
        <v>3.5692152263338219E-5</v>
      </c>
      <c r="F41" s="6"/>
      <c r="G41" s="81">
        <f>G39-H39</f>
        <v>5.7861555605777539</v>
      </c>
      <c r="H41" s="57">
        <f>G41/G39</f>
        <v>3.9075608828007921E-5</v>
      </c>
      <c r="I41" s="6"/>
      <c r="J41" s="1" t="s">
        <v>905</v>
      </c>
      <c r="K41" s="81">
        <f>K39-L39</f>
        <v>25.025314281592728</v>
      </c>
      <c r="L41" s="57">
        <f>K41/K39</f>
        <v>5.4071223843104937E-4</v>
      </c>
      <c r="M41" s="6"/>
      <c r="N41" s="81">
        <f>N39-O39</f>
        <v>1.6527901607332751E-3</v>
      </c>
      <c r="O41" s="57">
        <f>N41/N39</f>
        <v>7.1460985649041341E-7</v>
      </c>
      <c r="P41" s="6"/>
    </row>
    <row r="42" spans="1:16">
      <c r="D42" s="6"/>
      <c r="E42" s="6"/>
      <c r="F42" s="6"/>
      <c r="G42" s="6"/>
      <c r="H42" s="6"/>
      <c r="I42" s="6"/>
      <c r="K42" s="6"/>
      <c r="L42" s="6"/>
      <c r="M42" s="6"/>
      <c r="N42" s="6"/>
      <c r="O42" s="6"/>
      <c r="P42" s="6"/>
    </row>
    <row r="43" spans="1:16">
      <c r="D43" s="81"/>
      <c r="E43" s="81"/>
      <c r="F43" s="6"/>
      <c r="G43" s="81"/>
      <c r="H43" s="81"/>
      <c r="I43" s="6"/>
      <c r="K43" s="6"/>
      <c r="L43" s="6"/>
      <c r="M43" s="6"/>
      <c r="N43" s="6"/>
      <c r="O43" s="6"/>
      <c r="P43" s="6"/>
    </row>
    <row r="44" spans="1:16">
      <c r="D44" s="6"/>
      <c r="E44" s="6"/>
      <c r="F44" s="6"/>
      <c r="G44" s="81"/>
      <c r="H44" s="81"/>
      <c r="I44" s="6"/>
      <c r="K44" s="6"/>
      <c r="L44" s="6"/>
      <c r="M44" s="6"/>
      <c r="N44" s="81"/>
      <c r="O44" s="6"/>
      <c r="P44" s="6"/>
    </row>
    <row r="45" spans="1:16">
      <c r="A45" s="1" t="s">
        <v>50</v>
      </c>
      <c r="G45" s="21">
        <f>G17+G19+G21-G23+G25-G27+G36+G34</f>
        <v>148075.89015556057</v>
      </c>
      <c r="J45" s="1" t="s">
        <v>50</v>
      </c>
    </row>
    <row r="46" spans="1:16">
      <c r="K46" s="23"/>
    </row>
    <row r="47" spans="1:16">
      <c r="A47" s="23" t="s">
        <v>1727</v>
      </c>
      <c r="D47" s="16">
        <v>5021097.7837653467</v>
      </c>
      <c r="E47" s="18"/>
      <c r="J47" s="23" t="s">
        <v>1733</v>
      </c>
      <c r="K47" s="395">
        <v>0</v>
      </c>
    </row>
    <row r="48" spans="1:16">
      <c r="A48" s="23" t="s">
        <v>1009</v>
      </c>
      <c r="D48" s="16"/>
      <c r="J48" s="23" t="s">
        <v>1009</v>
      </c>
      <c r="K48" s="23"/>
    </row>
    <row r="49" spans="1:11">
      <c r="A49" s="633" t="s">
        <v>1896</v>
      </c>
      <c r="G49" s="17"/>
      <c r="J49" s="23" t="s">
        <v>1338</v>
      </c>
      <c r="K49" s="23"/>
    </row>
    <row r="50" spans="1:11">
      <c r="A50" s="23" t="s">
        <v>1332</v>
      </c>
      <c r="J50" s="23" t="s">
        <v>1339</v>
      </c>
      <c r="K50" s="23"/>
    </row>
    <row r="51" spans="1:11">
      <c r="A51" s="1" t="s">
        <v>1333</v>
      </c>
      <c r="J51" s="1" t="s">
        <v>1340</v>
      </c>
    </row>
    <row r="52" spans="1:11">
      <c r="A52" s="23" t="s">
        <v>1336</v>
      </c>
      <c r="J52" s="23" t="s">
        <v>1336</v>
      </c>
      <c r="K52" s="23"/>
    </row>
    <row r="53" spans="1:11">
      <c r="A53" s="23" t="s">
        <v>1010</v>
      </c>
      <c r="J53" s="23" t="s">
        <v>1341</v>
      </c>
      <c r="K53" s="23"/>
    </row>
    <row r="54" spans="1:11">
      <c r="A54" s="23" t="s">
        <v>1334</v>
      </c>
      <c r="J54" s="23" t="s">
        <v>1342</v>
      </c>
      <c r="K54" s="23"/>
    </row>
    <row r="55" spans="1:11">
      <c r="A55" s="23" t="s">
        <v>1335</v>
      </c>
      <c r="J55" s="23" t="s">
        <v>1343</v>
      </c>
      <c r="K55" s="23"/>
    </row>
    <row r="58" spans="1:11">
      <c r="A58" s="61" t="s">
        <v>1414</v>
      </c>
      <c r="B58" s="61"/>
      <c r="C58" s="61"/>
      <c r="D58" s="61"/>
      <c r="E58" s="61"/>
      <c r="F58" s="61"/>
      <c r="G58" s="61" t="s">
        <v>1420</v>
      </c>
      <c r="H58" s="61"/>
      <c r="I58" s="61"/>
    </row>
    <row r="59" spans="1:11">
      <c r="A59" s="61"/>
      <c r="B59" s="61"/>
      <c r="C59" s="61"/>
      <c r="D59" s="61"/>
      <c r="E59" s="61"/>
      <c r="F59" s="61"/>
      <c r="G59" s="61"/>
      <c r="H59" s="61"/>
      <c r="I59" s="61"/>
    </row>
    <row r="60" spans="1:11">
      <c r="A60" s="61" t="s">
        <v>1407</v>
      </c>
      <c r="B60" s="172">
        <v>1332908</v>
      </c>
      <c r="C60" s="61"/>
      <c r="D60" s="69">
        <v>1332908</v>
      </c>
      <c r="E60" s="61"/>
      <c r="F60" s="61"/>
      <c r="G60" s="61" t="s">
        <v>1416</v>
      </c>
      <c r="H60" s="69">
        <v>29796100.199999999</v>
      </c>
      <c r="I60" s="61"/>
    </row>
    <row r="61" spans="1:11">
      <c r="A61" s="61" t="s">
        <v>1408</v>
      </c>
      <c r="B61" s="172">
        <v>-250564</v>
      </c>
      <c r="C61" s="61"/>
      <c r="D61" s="69">
        <v>-250564</v>
      </c>
      <c r="E61" s="61"/>
      <c r="F61" s="61"/>
      <c r="G61" s="61" t="s">
        <v>1417</v>
      </c>
      <c r="H61" s="69">
        <v>24442095.300000001</v>
      </c>
      <c r="I61" s="61"/>
    </row>
    <row r="62" spans="1:11">
      <c r="A62" s="61" t="s">
        <v>1409</v>
      </c>
      <c r="B62" s="172">
        <v>3926970</v>
      </c>
      <c r="C62" s="61"/>
      <c r="D62" s="69">
        <v>3926970</v>
      </c>
      <c r="E62" s="61"/>
      <c r="F62" s="61"/>
      <c r="G62" s="61"/>
      <c r="H62" s="69"/>
      <c r="I62" s="61"/>
    </row>
    <row r="63" spans="1:11">
      <c r="A63" s="61" t="s">
        <v>1410</v>
      </c>
      <c r="B63" s="172">
        <v>39487</v>
      </c>
      <c r="C63" s="61"/>
      <c r="D63" s="69">
        <v>39487</v>
      </c>
      <c r="E63" s="61"/>
      <c r="F63" s="61"/>
      <c r="G63" s="61" t="s">
        <v>1419</v>
      </c>
      <c r="H63" s="69">
        <v>8090160.3300000001</v>
      </c>
      <c r="I63" s="61"/>
    </row>
    <row r="64" spans="1:11">
      <c r="A64" s="61" t="s">
        <v>1411</v>
      </c>
      <c r="B64" s="61" t="s">
        <v>1412</v>
      </c>
      <c r="C64" s="61"/>
      <c r="D64" s="61"/>
      <c r="E64" s="61"/>
      <c r="F64" s="61"/>
      <c r="G64" s="61" t="s">
        <v>1418</v>
      </c>
      <c r="H64" s="69">
        <v>600685.48</v>
      </c>
      <c r="I64" s="61"/>
    </row>
    <row r="65" spans="1:9">
      <c r="A65" s="61" t="s">
        <v>1413</v>
      </c>
      <c r="B65" s="61" t="s">
        <v>1412</v>
      </c>
      <c r="C65" s="61"/>
      <c r="D65" s="61"/>
      <c r="E65" s="61"/>
      <c r="F65" s="61"/>
      <c r="G65" s="61"/>
      <c r="H65" s="61"/>
      <c r="I65" s="61"/>
    </row>
    <row r="66" spans="1:9">
      <c r="A66" s="61"/>
      <c r="B66" s="61"/>
      <c r="C66" s="61"/>
      <c r="D66" s="61"/>
      <c r="E66" s="61"/>
      <c r="F66" s="61"/>
      <c r="G66" s="61"/>
      <c r="H66" s="61"/>
      <c r="I66" s="61"/>
    </row>
  </sheetData>
  <printOptions horizontalCentered="1"/>
  <pageMargins left="0.25" right="0.25" top="0.75" bottom="0.75" header="0.3" footer="0.3"/>
  <pageSetup scale="76" fitToWidth="2" orientation="portrait" r:id="rId1"/>
  <rowBreaks count="2" manualBreakCount="2">
    <brk id="10" max="38" man="1"/>
    <brk id="20" max="38" man="1"/>
  </rowBreaks>
  <colBreaks count="2" manualBreakCount="2">
    <brk id="8" max="54" man="1"/>
    <brk id="13" max="54" man="1"/>
  </colBreaks>
  <ignoredErrors>
    <ignoredError sqref="K5:L5 G5:I5" numberStoredAsText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BA78"/>
  <sheetViews>
    <sheetView topLeftCell="A4" zoomScaleNormal="100" workbookViewId="0">
      <selection activeCell="O47" sqref="O47"/>
    </sheetView>
  </sheetViews>
  <sheetFormatPr baseColWidth="10" defaultColWidth="8.7109375" defaultRowHeight="15"/>
  <cols>
    <col min="1" max="1" width="22.42578125" style="1" customWidth="1"/>
    <col min="2" max="2" width="1.7109375" style="1" customWidth="1"/>
    <col min="3" max="3" width="11.7109375" style="1" bestFit="1" customWidth="1"/>
    <col min="4" max="4" width="1.7109375" style="1" customWidth="1"/>
    <col min="5" max="5" width="11.28515625" style="1" bestFit="1" customWidth="1"/>
    <col min="6" max="6" width="1.7109375" style="1" customWidth="1"/>
    <col min="7" max="7" width="12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4.140625" style="1" bestFit="1" customWidth="1"/>
    <col min="12" max="12" width="1.7109375" style="1" customWidth="1"/>
    <col min="13" max="13" width="13.28515625" style="1" bestFit="1" customWidth="1"/>
    <col min="14" max="14" width="1.7109375" style="1" customWidth="1"/>
    <col min="15" max="15" width="13.7109375" style="1" customWidth="1"/>
    <col min="16" max="16" width="1.7109375" style="1" customWidth="1"/>
    <col min="17" max="17" width="11.5703125" style="1" bestFit="1" customWidth="1"/>
    <col min="18" max="18" width="1.7109375" style="1" customWidth="1"/>
    <col min="19" max="19" width="11.5703125" style="1" bestFit="1" customWidth="1"/>
    <col min="20" max="20" width="1.7109375" style="1" customWidth="1"/>
    <col min="21" max="21" width="11.5703125" style="1" bestFit="1" customWidth="1"/>
    <col min="22" max="22" width="1.7109375" style="1" customWidth="1"/>
    <col min="23" max="23" width="12.28515625" style="1" bestFit="1" customWidth="1"/>
    <col min="24" max="24" width="1.7109375" style="1" customWidth="1"/>
    <col min="25" max="25" width="13.7109375" style="1" customWidth="1"/>
    <col min="26" max="26" width="2.7109375" style="1" customWidth="1"/>
    <col min="27" max="27" width="12.7109375" style="1" customWidth="1"/>
    <col min="28" max="28" width="1.7109375" style="1" customWidth="1"/>
    <col min="29" max="29" width="12.7109375" style="1" customWidth="1"/>
    <col min="30" max="30" width="1.7109375" style="1" customWidth="1"/>
    <col min="31" max="31" width="12.7109375" style="1" customWidth="1"/>
    <col min="32" max="32" width="1.7109375" style="1" customWidth="1"/>
    <col min="33" max="33" width="12.7109375" style="1" customWidth="1"/>
    <col min="34" max="34" width="1.7109375" style="1" customWidth="1"/>
    <col min="35" max="35" width="12.7109375" style="1" customWidth="1"/>
    <col min="36" max="36" width="1.7109375" style="1" customWidth="1"/>
    <col min="37" max="37" width="12.7109375" style="1" customWidth="1"/>
    <col min="38" max="38" width="1.7109375" style="1" customWidth="1"/>
    <col min="39" max="39" width="13.7109375" style="1" customWidth="1"/>
    <col min="40" max="40" width="1.7109375" style="1" customWidth="1"/>
    <col min="41" max="41" width="11.7109375" style="1" customWidth="1"/>
    <col min="42" max="42" width="1.7109375" style="1" customWidth="1"/>
    <col min="43" max="43" width="11.7109375" style="1" customWidth="1"/>
    <col min="44" max="44" width="1.7109375" style="1" customWidth="1"/>
    <col min="45" max="45" width="12.7109375" style="1" customWidth="1"/>
    <col min="46" max="46" width="1.7109375" style="1" customWidth="1"/>
    <col min="47" max="47" width="12.7109375" style="1" customWidth="1"/>
    <col min="48" max="48" width="1.7109375" style="1" customWidth="1"/>
    <col min="49" max="49" width="13.7109375" style="1" customWidth="1"/>
    <col min="50" max="50" width="13.7109375" style="1" bestFit="1" customWidth="1"/>
    <col min="51" max="16384" width="8.7109375" style="1"/>
  </cols>
  <sheetData>
    <row r="1" spans="1:49">
      <c r="Y1" s="52" t="s">
        <v>49</v>
      </c>
      <c r="AW1" s="3" t="s">
        <v>116</v>
      </c>
    </row>
    <row r="2" spans="1:49">
      <c r="Y2" s="52" t="s">
        <v>127</v>
      </c>
      <c r="AW2" s="3" t="s">
        <v>96</v>
      </c>
    </row>
    <row r="4" spans="1:49" ht="16">
      <c r="A4" s="4" t="s">
        <v>886</v>
      </c>
      <c r="B4" s="4"/>
      <c r="C4" s="4"/>
      <c r="D4" s="4"/>
      <c r="E4" s="4"/>
      <c r="F4" s="4"/>
      <c r="G4" s="4"/>
      <c r="H4" s="4"/>
      <c r="I4" s="4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</row>
    <row r="7" spans="1:49">
      <c r="A7" s="5" t="s">
        <v>1753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</row>
    <row r="8" spans="1:49">
      <c r="A8" s="5" t="s">
        <v>431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</row>
    <row r="9" spans="1:49">
      <c r="A9" s="5" t="s">
        <v>729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</row>
    <row r="10" spans="1:49">
      <c r="F10" s="23"/>
    </row>
    <row r="11" spans="1:49" ht="16.25" customHeight="1">
      <c r="C11" s="629" t="s">
        <v>460</v>
      </c>
      <c r="D11" s="629"/>
      <c r="E11" s="629"/>
      <c r="F11" s="629"/>
      <c r="G11" s="629"/>
      <c r="H11" s="629"/>
      <c r="I11" s="629"/>
      <c r="J11" s="629"/>
      <c r="K11" s="629"/>
      <c r="L11" s="629"/>
      <c r="M11" s="629"/>
      <c r="N11" s="629"/>
      <c r="O11" s="629"/>
      <c r="Q11" s="629" t="s">
        <v>460</v>
      </c>
      <c r="R11" s="629"/>
      <c r="S11" s="629"/>
      <c r="T11" s="629"/>
      <c r="U11" s="629"/>
      <c r="V11" s="629"/>
      <c r="W11" s="629"/>
      <c r="Y11" s="222" t="s">
        <v>1008</v>
      </c>
      <c r="Z11" s="2"/>
    </row>
    <row r="12" spans="1:49">
      <c r="A12" s="7"/>
      <c r="C12" s="5"/>
      <c r="D12" s="5"/>
      <c r="E12" s="133"/>
      <c r="F12" s="5"/>
      <c r="G12" s="5"/>
      <c r="I12" s="5"/>
      <c r="K12" s="5"/>
      <c r="M12" s="5"/>
      <c r="N12" s="5"/>
      <c r="O12" s="5"/>
      <c r="P12" s="5"/>
      <c r="Q12" s="5"/>
      <c r="S12" s="5"/>
      <c r="T12" s="5"/>
      <c r="U12" s="5"/>
      <c r="W12" s="5"/>
      <c r="Y12" s="8"/>
      <c r="Z12" s="2"/>
    </row>
    <row r="13" spans="1:49">
      <c r="A13" s="6" t="s">
        <v>1778</v>
      </c>
      <c r="C13" s="344" t="s">
        <v>664</v>
      </c>
      <c r="E13" s="344" t="s">
        <v>348</v>
      </c>
      <c r="G13" s="344" t="s">
        <v>646</v>
      </c>
      <c r="I13" s="344" t="s">
        <v>505</v>
      </c>
      <c r="K13" s="345" t="s">
        <v>700</v>
      </c>
      <c r="M13" s="345" t="s">
        <v>721</v>
      </c>
      <c r="O13" s="346" t="s">
        <v>723</v>
      </c>
      <c r="Q13" s="344" t="s">
        <v>329</v>
      </c>
      <c r="S13" s="344" t="s">
        <v>478</v>
      </c>
      <c r="U13" s="344" t="s">
        <v>722</v>
      </c>
      <c r="W13" s="346" t="s">
        <v>726</v>
      </c>
      <c r="Y13" s="2" t="s">
        <v>727</v>
      </c>
    </row>
    <row r="14" spans="1:49">
      <c r="A14" s="9">
        <v>-1</v>
      </c>
      <c r="C14" s="10">
        <f>A14-1</f>
        <v>-2</v>
      </c>
      <c r="E14" s="10">
        <f>C14-1</f>
        <v>-3</v>
      </c>
      <c r="G14" s="10">
        <f>E14-1</f>
        <v>-4</v>
      </c>
      <c r="I14" s="10">
        <f>G14-1</f>
        <v>-5</v>
      </c>
      <c r="K14" s="10">
        <f t="shared" ref="K14:Q14" si="0">I14-1</f>
        <v>-6</v>
      </c>
      <c r="L14" s="11"/>
      <c r="M14" s="10">
        <f t="shared" si="0"/>
        <v>-7</v>
      </c>
      <c r="N14" s="11"/>
      <c r="O14" s="10">
        <f t="shared" si="0"/>
        <v>-8</v>
      </c>
      <c r="P14" s="11"/>
      <c r="Q14" s="10">
        <f t="shared" si="0"/>
        <v>-9</v>
      </c>
      <c r="S14" s="10">
        <f>Q14-1</f>
        <v>-10</v>
      </c>
      <c r="T14" s="11"/>
      <c r="U14" s="10">
        <f>S14-1</f>
        <v>-11</v>
      </c>
      <c r="W14" s="10">
        <f>U14-1</f>
        <v>-12</v>
      </c>
      <c r="Y14" s="10">
        <f>W14-1</f>
        <v>-13</v>
      </c>
    </row>
    <row r="15" spans="1:49">
      <c r="A15" s="11"/>
      <c r="C15" s="11"/>
      <c r="E15" s="11"/>
      <c r="G15" s="11"/>
      <c r="I15" s="11"/>
      <c r="K15" s="11"/>
      <c r="L15" s="11"/>
      <c r="M15" s="11"/>
      <c r="N15" s="11"/>
      <c r="O15" s="11"/>
      <c r="P15" s="11"/>
      <c r="Q15" s="11"/>
      <c r="S15" s="11"/>
      <c r="T15" s="11"/>
      <c r="U15" s="11"/>
      <c r="W15" s="11"/>
      <c r="Y15" s="11"/>
    </row>
    <row r="16" spans="1:49">
      <c r="A16" s="12" t="s">
        <v>1005</v>
      </c>
      <c r="C16" s="11"/>
      <c r="E16" s="11"/>
      <c r="G16" s="11"/>
      <c r="I16" s="11"/>
      <c r="K16" s="11"/>
      <c r="L16" s="11"/>
      <c r="M16" s="11"/>
      <c r="N16" s="11"/>
      <c r="O16" s="89">
        <v>171734908.30933398</v>
      </c>
      <c r="P16" s="11"/>
      <c r="Q16" s="11"/>
      <c r="S16" s="11"/>
      <c r="T16" s="11"/>
      <c r="U16" s="11"/>
      <c r="W16" s="14">
        <v>41526801.250261001</v>
      </c>
    </row>
    <row r="17" spans="1:53" ht="16">
      <c r="A17" s="15"/>
    </row>
    <row r="18" spans="1:53">
      <c r="A18" s="1" t="s">
        <v>745</v>
      </c>
      <c r="C18" s="16">
        <f>'Exhibit O,1'!P46+'Exhibit N,1'!P46</f>
        <v>-1059165.4660074622</v>
      </c>
      <c r="D18" s="16"/>
      <c r="E18" s="16">
        <f>'Exhibit M,1'!P46+'Exhibit L,1'!P46</f>
        <v>-71404.835104628699</v>
      </c>
      <c r="F18" s="16"/>
      <c r="G18" s="16">
        <f>'Exhibit B,S2'!E49</f>
        <v>-893195.03650595248</v>
      </c>
      <c r="H18" s="16"/>
      <c r="I18" s="16">
        <f>'Exhibit B,S2'!G49</f>
        <v>-6621143.8907656968</v>
      </c>
      <c r="J18" s="16"/>
      <c r="K18" s="16">
        <f>'Exhibit B,S2'!I49</f>
        <v>1499003.1437978111</v>
      </c>
      <c r="L18" s="16"/>
      <c r="M18" s="16">
        <f>'Exhibit B,S2'!K49</f>
        <v>5670809.4045565054</v>
      </c>
      <c r="N18" s="16"/>
      <c r="O18" s="16">
        <f>SUM(C18:M18)</f>
        <v>-1475096.6800294239</v>
      </c>
      <c r="P18" s="16"/>
      <c r="Q18" s="16">
        <f>'Exhibit A, 1b'!O29-U18</f>
        <v>1513328.2461029643</v>
      </c>
      <c r="R18" s="16"/>
      <c r="S18" s="16">
        <f>'Exhibit A, 1b'!Q29</f>
        <v>5447927.2085439218</v>
      </c>
      <c r="T18" s="16"/>
      <c r="U18" s="16">
        <f>'Exhibit B,2'!AG42</f>
        <v>0</v>
      </c>
      <c r="V18" s="16"/>
      <c r="W18" s="16">
        <f>Q18+S18+U18</f>
        <v>6961255.4546468863</v>
      </c>
      <c r="X18" s="16"/>
      <c r="Y18" s="16">
        <f>SUM(C18:I18)+W18</f>
        <v>-1683653.7737368541</v>
      </c>
      <c r="Z18" s="16"/>
      <c r="AX18" s="16"/>
      <c r="AY18" s="16"/>
      <c r="AZ18" s="16"/>
      <c r="BA18" s="16"/>
    </row>
    <row r="20" spans="1:53">
      <c r="A20" s="1" t="s">
        <v>1662</v>
      </c>
      <c r="C20" s="17">
        <f>'Summary Exhibit 3'!C17</f>
        <v>13146198.603999998</v>
      </c>
      <c r="E20" s="17">
        <f>'Summary Exhibit 3'!E17</f>
        <v>3101891.6849870766</v>
      </c>
      <c r="G20" s="17">
        <f>'Summary Exhibit 3'!G17</f>
        <v>1541153.4039999996</v>
      </c>
      <c r="I20" s="17">
        <f>'Summary Exhibit 3'!I17</f>
        <v>3621932.1370738312</v>
      </c>
      <c r="K20" s="17">
        <f>'Summary Exhibit 3'!K17</f>
        <v>2318921.9353191541</v>
      </c>
      <c r="M20" s="17">
        <f>'Summary Exhibit 3'!M17</f>
        <v>2374659.3762991414</v>
      </c>
      <c r="O20" s="17">
        <f>SUM(C20:M20)</f>
        <v>26104757.141679201</v>
      </c>
      <c r="Q20" s="17">
        <f>'Summary Exhibit 3'!S17</f>
        <v>2440970.4582306887</v>
      </c>
      <c r="S20" s="17">
        <f>'Summary Exhibit 3'!U17</f>
        <v>2499641.4487359389</v>
      </c>
      <c r="U20" s="17">
        <f>'Summary Exhibit 3'!W17</f>
        <v>0</v>
      </c>
      <c r="W20" s="16">
        <f>Q20+S20+U20</f>
        <v>4940611.9069666276</v>
      </c>
      <c r="Y20" s="17">
        <f>SUM(C20:I20)+W20</f>
        <v>26351787.73702753</v>
      </c>
    </row>
    <row r="21" spans="1:53">
      <c r="O21" s="17"/>
    </row>
    <row r="22" spans="1:53">
      <c r="A22" s="1" t="s">
        <v>1663</v>
      </c>
      <c r="C22" s="18">
        <f>'Exhibit B,S2'!AB49+'Exhibit B,S2'!AC49</f>
        <v>9852123.2299998999</v>
      </c>
      <c r="E22" s="18">
        <f>'Exhibit B,S2'!AD49+'Exhibit B,S2'!AE49</f>
        <v>2200357.0199999958</v>
      </c>
      <c r="G22" s="19">
        <f>'Exhibit B,S2'!AF49</f>
        <v>1508063.0900000036</v>
      </c>
      <c r="I22" s="17">
        <f>'Exhibit B,S2'!AG49</f>
        <v>13471220.709999993</v>
      </c>
      <c r="K22" s="17">
        <f>'Exhibit B,S2'!AI49</f>
        <v>3050842.0649999995</v>
      </c>
      <c r="M22" s="17">
        <f>'Exhibit B,S2'!AJ49</f>
        <v>5969107.6209999993</v>
      </c>
      <c r="O22" s="17">
        <f>SUM(C22:M22)</f>
        <v>36051713.73599989</v>
      </c>
      <c r="Q22" s="20">
        <f>'Exhibit A, 1a'!T33</f>
        <v>3186387.7400000021</v>
      </c>
      <c r="S22" s="20">
        <f>'Exhibit A, 1a'!Z33</f>
        <v>6283271.1800000034</v>
      </c>
      <c r="U22" s="17">
        <f>'Exhibit A, 1a'!BG32</f>
        <v>0</v>
      </c>
      <c r="W22" s="16">
        <f>Q22+S22+U22</f>
        <v>9469658.9200000055</v>
      </c>
      <c r="Y22" s="17">
        <f>SUM(C22:I22)+W22</f>
        <v>36501422.969999894</v>
      </c>
    </row>
    <row r="23" spans="1:53">
      <c r="O23" s="17"/>
    </row>
    <row r="24" spans="1:53">
      <c r="A24" s="1" t="s">
        <v>1006</v>
      </c>
      <c r="O24" s="17">
        <f>('Summary Exhibit 1'!D25-'Summary Exhibit 1'!D27)*1000</f>
        <v>-338077.06269577373</v>
      </c>
      <c r="W24" s="17">
        <f>('Summary Exhibit 1'!K25-'Summary Exhibit 1'!K27)*1000</f>
        <v>1382274.0335830925</v>
      </c>
      <c r="Y24" s="17">
        <f>O24+W24</f>
        <v>1044196.9708873187</v>
      </c>
    </row>
    <row r="25" spans="1:53">
      <c r="K25" s="22"/>
      <c r="O25" s="17"/>
    </row>
    <row r="26" spans="1:53">
      <c r="A26" s="1" t="s">
        <v>1007</v>
      </c>
      <c r="K26" s="22"/>
      <c r="M26" s="17"/>
      <c r="O26" s="17">
        <f>O16+O18+O20-O22+O24</f>
        <v>159974777.9722881</v>
      </c>
      <c r="W26" s="17">
        <f>W16+W18+W20-W22+W24</f>
        <v>45341283.725457594</v>
      </c>
      <c r="Y26" s="17"/>
    </row>
    <row r="27" spans="1:53">
      <c r="I27" s="18"/>
      <c r="K27" s="18"/>
      <c r="U27" s="22"/>
    </row>
    <row r="28" spans="1:53">
      <c r="K28" s="22"/>
      <c r="W28" s="21"/>
      <c r="AM28" s="21"/>
      <c r="AU28" s="21"/>
    </row>
    <row r="29" spans="1:53">
      <c r="O29" s="22"/>
    </row>
    <row r="31" spans="1:53">
      <c r="D31" s="3"/>
      <c r="E31" s="3"/>
      <c r="F31" s="3"/>
    </row>
    <row r="32" spans="1:53" ht="16.25" customHeight="1">
      <c r="C32" s="629" t="s">
        <v>118</v>
      </c>
      <c r="D32" s="629"/>
      <c r="E32" s="629"/>
      <c r="F32" s="629"/>
      <c r="G32" s="629"/>
      <c r="H32" s="629"/>
      <c r="I32" s="629"/>
      <c r="J32" s="629"/>
      <c r="K32" s="629"/>
      <c r="L32" s="629"/>
      <c r="M32" s="629"/>
      <c r="N32" s="629"/>
      <c r="O32" s="629"/>
      <c r="Q32" s="629" t="s">
        <v>118</v>
      </c>
      <c r="R32" s="629"/>
      <c r="S32" s="629"/>
      <c r="T32" s="629" t="s">
        <v>118</v>
      </c>
      <c r="U32" s="629"/>
      <c r="V32" s="629"/>
      <c r="W32" s="629"/>
      <c r="Y32" s="222" t="s">
        <v>118</v>
      </c>
    </row>
    <row r="33" spans="1:37">
      <c r="A33" s="8"/>
      <c r="C33" s="5"/>
      <c r="D33" s="5"/>
      <c r="E33" s="133"/>
      <c r="F33" s="5"/>
      <c r="G33" s="5"/>
      <c r="I33" s="5"/>
      <c r="K33" s="5"/>
      <c r="M33" s="5"/>
      <c r="N33" s="5"/>
      <c r="O33" s="5"/>
      <c r="P33" s="2"/>
      <c r="Q33" s="5"/>
      <c r="S33" s="5"/>
      <c r="T33" s="5"/>
      <c r="U33" s="5"/>
      <c r="W33" s="5"/>
      <c r="Y33" s="8"/>
      <c r="AK33" s="22"/>
    </row>
    <row r="34" spans="1:37">
      <c r="A34" s="6" t="s">
        <v>1778</v>
      </c>
      <c r="C34" s="344" t="s">
        <v>664</v>
      </c>
      <c r="E34" s="344" t="s">
        <v>348</v>
      </c>
      <c r="G34" s="344" t="s">
        <v>646</v>
      </c>
      <c r="I34" s="344" t="s">
        <v>505</v>
      </c>
      <c r="K34" s="345" t="s">
        <v>700</v>
      </c>
      <c r="M34" s="345" t="s">
        <v>721</v>
      </c>
      <c r="O34" s="346" t="s">
        <v>723</v>
      </c>
      <c r="Q34" s="344" t="s">
        <v>329</v>
      </c>
      <c r="S34" s="344" t="s">
        <v>478</v>
      </c>
      <c r="U34" s="344" t="s">
        <v>722</v>
      </c>
      <c r="W34" s="346" t="s">
        <v>726</v>
      </c>
      <c r="Y34" s="2" t="s">
        <v>727</v>
      </c>
    </row>
    <row r="35" spans="1:37">
      <c r="A35" s="9"/>
      <c r="C35" s="10">
        <f>Y14-1</f>
        <v>-14</v>
      </c>
      <c r="E35" s="10">
        <f>C35-1</f>
        <v>-15</v>
      </c>
      <c r="G35" s="10">
        <f>E35-1</f>
        <v>-16</v>
      </c>
      <c r="I35" s="10">
        <f>G35-1</f>
        <v>-17</v>
      </c>
      <c r="K35" s="10">
        <f>I35-1</f>
        <v>-18</v>
      </c>
      <c r="L35" s="11"/>
      <c r="M35" s="10">
        <f>K35-1</f>
        <v>-19</v>
      </c>
      <c r="N35" s="11"/>
      <c r="O35" s="10">
        <f>M35-1</f>
        <v>-20</v>
      </c>
      <c r="P35" s="11"/>
      <c r="Q35" s="10">
        <f>O35-1</f>
        <v>-21</v>
      </c>
      <c r="S35" s="10">
        <f>Q35-1</f>
        <v>-22</v>
      </c>
      <c r="T35" s="11"/>
      <c r="U35" s="10">
        <f>S35-1</f>
        <v>-23</v>
      </c>
      <c r="W35" s="10">
        <f>U35-1</f>
        <v>-24</v>
      </c>
      <c r="Y35" s="10">
        <f>W35-1</f>
        <v>-25</v>
      </c>
    </row>
    <row r="36" spans="1:37">
      <c r="A36" s="11"/>
      <c r="C36" s="11"/>
      <c r="E36" s="11"/>
      <c r="G36" s="11"/>
      <c r="I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</row>
    <row r="37" spans="1:37">
      <c r="A37" s="12" t="s">
        <v>1005</v>
      </c>
      <c r="C37" s="11"/>
      <c r="E37" s="11"/>
      <c r="G37" s="11"/>
      <c r="I37" s="11"/>
      <c r="K37" s="11"/>
      <c r="L37" s="11"/>
      <c r="M37" s="11"/>
      <c r="N37" s="11"/>
      <c r="O37" s="13">
        <v>149464486.71995959</v>
      </c>
      <c r="P37" s="11"/>
      <c r="Q37" s="11"/>
      <c r="R37" s="11"/>
      <c r="S37" s="11"/>
      <c r="T37" s="11"/>
      <c r="U37" s="11"/>
      <c r="V37" s="11"/>
      <c r="W37" s="13">
        <v>2632960.4140289128</v>
      </c>
      <c r="X37" s="11"/>
      <c r="Y37" s="16">
        <f>O37+W37</f>
        <v>152097447.1339885</v>
      </c>
      <c r="AC37" s="17"/>
    </row>
    <row r="38" spans="1:37" ht="16">
      <c r="A38" s="15"/>
      <c r="AC38" s="17"/>
    </row>
    <row r="39" spans="1:37">
      <c r="A39" s="1" t="s">
        <v>745</v>
      </c>
      <c r="C39" s="16">
        <f>C18-'Exhibit H,1'!P46</f>
        <v>-2150285.8489714288</v>
      </c>
      <c r="D39" s="16"/>
      <c r="E39" s="16">
        <f>E18-'Exhibit G,1'!U46</f>
        <v>371556.36418198701</v>
      </c>
      <c r="F39" s="16"/>
      <c r="G39" s="16">
        <f>'Exhibit B,S2'!Q49</f>
        <v>-1113962.5601511896</v>
      </c>
      <c r="H39" s="16"/>
      <c r="I39" s="16">
        <f>'Exhibit B,S2'!S49</f>
        <v>-6573996.3202676475</v>
      </c>
      <c r="J39" s="16"/>
      <c r="K39" s="16">
        <f>'Exhibit B,S2'!U49</f>
        <v>891243.09062580764</v>
      </c>
      <c r="L39" s="16"/>
      <c r="M39" s="16">
        <f>'Exhibit B,S2'!W49</f>
        <v>6264888.1481335834</v>
      </c>
      <c r="N39" s="16"/>
      <c r="O39" s="16">
        <f>SUM(C39:M39)</f>
        <v>-2310557.1264488883</v>
      </c>
      <c r="P39" s="16"/>
      <c r="Q39" s="16">
        <f>'Exhibit A, 1b'!O45</f>
        <v>14325.10230514803</v>
      </c>
      <c r="R39" s="16"/>
      <c r="S39" s="16">
        <f>'Exhibit A, 1b'!Q45</f>
        <v>-222882.19601258222</v>
      </c>
      <c r="T39" s="16"/>
      <c r="W39" s="16">
        <f>U39+Q39+S39</f>
        <v>-208557.09370743419</v>
      </c>
      <c r="X39" s="16"/>
      <c r="Y39" s="17">
        <f>O39+W39</f>
        <v>-2519114.2201563227</v>
      </c>
      <c r="AC39" s="17"/>
    </row>
    <row r="40" spans="1:37">
      <c r="AC40" s="17"/>
    </row>
    <row r="41" spans="1:37">
      <c r="A41" s="1" t="s">
        <v>1662</v>
      </c>
      <c r="C41" s="17">
        <f>'Summary Exhibit 3'!C35</f>
        <v>12462424.428943126</v>
      </c>
      <c r="E41" s="17">
        <f>'Summary Exhibit 3'!E35</f>
        <v>2938754.5803482933</v>
      </c>
      <c r="G41" s="17">
        <f>'Summary Exhibit 3'!G35</f>
        <v>1315092.6956908247</v>
      </c>
      <c r="I41" s="17">
        <f>'Summary Exhibit 3'!I35</f>
        <v>3038384.4169053682</v>
      </c>
      <c r="K41" s="17">
        <f>'Summary Exhibit 3'!K35</f>
        <v>2318921.9353191541</v>
      </c>
      <c r="M41" s="17">
        <f>'Summary Exhibit 3'!M35</f>
        <v>1933701.3507676579</v>
      </c>
      <c r="O41" s="17">
        <f>SUM(C41:M41)</f>
        <v>24007279.407974426</v>
      </c>
      <c r="Q41" s="17">
        <f>'Summary Exhibit 3'!S35</f>
        <v>122048.52291153457</v>
      </c>
      <c r="S41" s="17">
        <f>'Summary Exhibit 3'!U35</f>
        <v>124982.07243679717</v>
      </c>
      <c r="U41" s="17">
        <f>'Summary Exhibit 3'!W35</f>
        <v>0</v>
      </c>
      <c r="W41" s="17">
        <f>U41+Q41+S41</f>
        <v>247030.59534833173</v>
      </c>
      <c r="Y41" s="17">
        <f>O41+W41</f>
        <v>24254310.003322758</v>
      </c>
      <c r="AC41" s="17"/>
    </row>
    <row r="42" spans="1:37">
      <c r="AC42" s="17"/>
    </row>
    <row r="43" spans="1:37">
      <c r="A43" s="1" t="s">
        <v>1663</v>
      </c>
      <c r="C43" s="17">
        <f>'Exhibit B,S2'!AT49</f>
        <v>9259000.9499999285</v>
      </c>
      <c r="E43" s="17">
        <f>'Exhibit B,S2'!AV49</f>
        <v>2200357.0199999996</v>
      </c>
      <c r="G43" s="17">
        <f>'Exhibit B,S2'!AW49</f>
        <v>1508063.0900000017</v>
      </c>
      <c r="I43" s="17">
        <f>'Exhibit B,S2'!AX49</f>
        <v>10006018.879999965</v>
      </c>
      <c r="K43" s="17">
        <f>'Exhibit B,S2'!AZ49</f>
        <v>3050842.0649999985</v>
      </c>
      <c r="M43" s="17">
        <f>'Exhibit B,S2'!BA49</f>
        <v>4981185.131000001</v>
      </c>
      <c r="O43" s="17">
        <f>SUM(C43:M43)</f>
        <v>31005467.135999892</v>
      </c>
      <c r="Q43" s="17">
        <f>'Exhibit A, 1a'!T57</f>
        <v>160570.63499999978</v>
      </c>
      <c r="R43" s="17"/>
      <c r="S43" s="17">
        <f>'Exhibit A, 1a'!Z57</f>
        <v>314163.55900000408</v>
      </c>
      <c r="W43" s="17">
        <f>U43+Q43+S43</f>
        <v>474734.19400000386</v>
      </c>
      <c r="Y43" s="17">
        <f>O43+W43</f>
        <v>31480201.329999894</v>
      </c>
      <c r="AC43" s="17"/>
    </row>
    <row r="44" spans="1:37">
      <c r="Y44" s="17">
        <f>O44+W44</f>
        <v>0</v>
      </c>
      <c r="AC44" s="17"/>
    </row>
    <row r="45" spans="1:37">
      <c r="A45" s="1" t="s">
        <v>1006</v>
      </c>
      <c r="O45" s="22">
        <f>O24</f>
        <v>-338077.06269577373</v>
      </c>
      <c r="W45" s="22">
        <f>('Summary Exhibit 1'!N25-'Summary Exhibit 1'!N27)*1000</f>
        <v>69114.601679154628</v>
      </c>
      <c r="Y45" s="17">
        <f>O45+W45</f>
        <v>-268962.46101661911</v>
      </c>
      <c r="AC45" s="17"/>
    </row>
    <row r="46" spans="1:37">
      <c r="K46" s="22"/>
      <c r="AC46" s="17"/>
    </row>
    <row r="47" spans="1:37">
      <c r="A47" s="1" t="s">
        <v>1007</v>
      </c>
      <c r="K47" s="17"/>
      <c r="O47" s="17">
        <f>O37+O39+O41-O43+O45</f>
        <v>139817664.80278945</v>
      </c>
      <c r="U47" s="17"/>
      <c r="W47" s="17">
        <f>W37+W39+W41-W43+W45</f>
        <v>2265814.3233489608</v>
      </c>
      <c r="Y47" s="17">
        <f>O47+W47</f>
        <v>142083479.12613842</v>
      </c>
      <c r="AC47" s="17"/>
    </row>
    <row r="48" spans="1:37">
      <c r="K48" s="18"/>
      <c r="U48" s="22"/>
      <c r="AC48" s="22"/>
    </row>
    <row r="50" spans="1:43">
      <c r="A50" s="1" t="s">
        <v>50</v>
      </c>
    </row>
    <row r="51" spans="1:43">
      <c r="W51" s="21"/>
      <c r="AC51" s="22"/>
    </row>
    <row r="52" spans="1:43">
      <c r="A52" s="23" t="s">
        <v>1011</v>
      </c>
    </row>
    <row r="64" spans="1:43">
      <c r="S64" s="1" t="s">
        <v>700</v>
      </c>
      <c r="T64" s="1" t="s">
        <v>700</v>
      </c>
      <c r="U64" s="1" t="s">
        <v>700</v>
      </c>
      <c r="Y64" s="1" t="s">
        <v>721</v>
      </c>
      <c r="AA64" s="1" t="s">
        <v>721</v>
      </c>
      <c r="AG64" s="1" t="s">
        <v>787</v>
      </c>
      <c r="AI64" s="1" t="s">
        <v>787</v>
      </c>
      <c r="AO64" s="1" t="s">
        <v>788</v>
      </c>
      <c r="AQ64" s="1" t="s">
        <v>788</v>
      </c>
    </row>
    <row r="65" spans="17:51">
      <c r="S65" s="24">
        <v>43830</v>
      </c>
      <c r="T65" s="25"/>
      <c r="U65" s="24">
        <v>44196</v>
      </c>
      <c r="Y65" s="24">
        <v>43830</v>
      </c>
      <c r="Z65" s="25"/>
      <c r="AA65" s="24">
        <v>44196</v>
      </c>
      <c r="AG65" s="24">
        <v>43830</v>
      </c>
      <c r="AH65" s="25"/>
      <c r="AI65" s="24">
        <v>44196</v>
      </c>
      <c r="AK65" s="1" t="s">
        <v>787</v>
      </c>
      <c r="AO65" s="24">
        <v>43830</v>
      </c>
      <c r="AP65" s="25"/>
      <c r="AQ65" s="24">
        <v>44196</v>
      </c>
      <c r="AS65" s="1" t="s">
        <v>788</v>
      </c>
      <c r="AU65" s="6" t="s">
        <v>795</v>
      </c>
      <c r="AV65" s="25"/>
      <c r="AW65" s="24"/>
    </row>
    <row r="66" spans="17:51">
      <c r="Q66" s="1" t="s">
        <v>700</v>
      </c>
      <c r="S66" s="25" t="s">
        <v>686</v>
      </c>
      <c r="T66" s="25"/>
      <c r="U66" s="25" t="s">
        <v>732</v>
      </c>
      <c r="Y66" s="25" t="s">
        <v>686</v>
      </c>
      <c r="Z66" s="25"/>
      <c r="AA66" s="25" t="s">
        <v>731</v>
      </c>
      <c r="AG66" s="25" t="s">
        <v>686</v>
      </c>
      <c r="AH66" s="25"/>
      <c r="AI66" s="25" t="s">
        <v>792</v>
      </c>
      <c r="AK66" s="6" t="s">
        <v>793</v>
      </c>
      <c r="AO66" s="25" t="s">
        <v>686</v>
      </c>
      <c r="AP66" s="25"/>
      <c r="AQ66" s="25" t="s">
        <v>794</v>
      </c>
      <c r="AS66" s="6" t="s">
        <v>793</v>
      </c>
      <c r="AU66" s="6" t="s">
        <v>793</v>
      </c>
      <c r="AV66" s="25"/>
      <c r="AW66" s="25"/>
    </row>
    <row r="67" spans="17:51">
      <c r="Y67" s="26"/>
      <c r="AU67" s="26"/>
    </row>
    <row r="68" spans="17:51">
      <c r="Q68" s="1">
        <v>2012</v>
      </c>
      <c r="S68" s="18">
        <v>0</v>
      </c>
      <c r="U68" s="17">
        <f>'AD12'!R115</f>
        <v>16836.394</v>
      </c>
      <c r="Y68" s="18">
        <v>0</v>
      </c>
      <c r="AA68" s="17">
        <f>'AD13'!R115</f>
        <v>0</v>
      </c>
      <c r="AE68" s="6" t="s">
        <v>789</v>
      </c>
      <c r="AG68" s="18">
        <v>794328</v>
      </c>
      <c r="AI68" s="17">
        <f>'Exhibit A, 1d'!C56-'Exhibit A, 1d'!C53</f>
        <v>591589.91365612706</v>
      </c>
      <c r="AK68" s="22">
        <f>AI68-AG68</f>
        <v>-202738.08634387294</v>
      </c>
      <c r="AM68" s="6" t="s">
        <v>789</v>
      </c>
      <c r="AO68" s="18">
        <v>1831928</v>
      </c>
      <c r="AQ68" s="17">
        <f>'Exhibit A, 1d'!S56-'Exhibit A, 1d'!S53</f>
        <v>119005.47747332073</v>
      </c>
      <c r="AS68" s="22">
        <f>AQ68-AO68</f>
        <v>-1712922.5225266793</v>
      </c>
      <c r="AU68" s="18">
        <f>AK68+AS68</f>
        <v>-1915660.6088705524</v>
      </c>
      <c r="AW68" s="17"/>
    </row>
    <row r="69" spans="17:51">
      <c r="Q69" s="1">
        <f>Q68+1</f>
        <v>2013</v>
      </c>
      <c r="S69" s="18">
        <v>8418.1970000000001</v>
      </c>
      <c r="U69" s="17">
        <f>'AD12'!R116</f>
        <v>7759726.846673483</v>
      </c>
      <c r="Y69" s="18">
        <v>17030.986760714099</v>
      </c>
      <c r="AA69" s="17">
        <f>'AD13'!R116</f>
        <v>-861453.73231718037</v>
      </c>
      <c r="AE69" s="6" t="s">
        <v>790</v>
      </c>
      <c r="AG69" s="18">
        <v>387095</v>
      </c>
      <c r="AI69" s="17">
        <f>'Exhibit A,2'!U56-'Exhibit A,2'!U53</f>
        <v>591589.91365612706</v>
      </c>
      <c r="AK69" s="22">
        <f>AI69-AG69</f>
        <v>204494.91365612706</v>
      </c>
      <c r="AM69" s="6" t="s">
        <v>790</v>
      </c>
      <c r="AO69" s="18">
        <v>664222</v>
      </c>
      <c r="AQ69" s="17">
        <f>'Exhibit A,3'!AI56-'Exhibit A,3'!AI53</f>
        <v>593369.92473926768</v>
      </c>
      <c r="AS69" s="22">
        <f>AQ69-AO69</f>
        <v>-70852.075260732323</v>
      </c>
      <c r="AU69" s="18">
        <f>AK69+AS69</f>
        <v>133642.83839539473</v>
      </c>
      <c r="AW69" s="17"/>
    </row>
    <row r="70" spans="17:51">
      <c r="Q70" s="1">
        <f t="shared" ref="Q70:Q76" si="1">Q69+1</f>
        <v>2014</v>
      </c>
      <c r="S70" s="18">
        <v>903020.67799999984</v>
      </c>
      <c r="U70" s="17">
        <f>'AD12'!R117</f>
        <v>6065322.7005077824</v>
      </c>
      <c r="Y70" s="18">
        <v>97886.145599451193</v>
      </c>
      <c r="AA70" s="17">
        <f>'AD13'!R117</f>
        <v>169315.57146402681</v>
      </c>
      <c r="AE70" s="6"/>
      <c r="AG70" s="18"/>
      <c r="AI70" s="17"/>
      <c r="AM70" s="6"/>
      <c r="AO70" s="18"/>
      <c r="AQ70" s="17"/>
      <c r="AU70" s="18"/>
      <c r="AW70" s="17"/>
    </row>
    <row r="71" spans="17:51">
      <c r="Q71" s="1">
        <f t="shared" si="1"/>
        <v>2015</v>
      </c>
      <c r="S71" s="18">
        <v>2455021.1219999995</v>
      </c>
      <c r="U71" s="17">
        <f>'AD12'!R118</f>
        <v>5370011.1456265599</v>
      </c>
      <c r="Y71" s="18">
        <v>1043581.6150820504</v>
      </c>
      <c r="AA71" s="17">
        <f>'AD13'!R118</f>
        <v>-84156.757591985166</v>
      </c>
      <c r="AE71" s="6" t="s">
        <v>791</v>
      </c>
      <c r="AG71" s="18">
        <f>AG68+AG69</f>
        <v>1181423</v>
      </c>
      <c r="AI71" s="18">
        <f>AI68+AI69</f>
        <v>1183179.8273122541</v>
      </c>
      <c r="AK71" s="18">
        <f>AK68+AK69</f>
        <v>1756.8273122541141</v>
      </c>
      <c r="AM71" s="6" t="s">
        <v>791</v>
      </c>
      <c r="AO71" s="18">
        <f>AO68+AO69</f>
        <v>2496150</v>
      </c>
      <c r="AQ71" s="18">
        <f>AQ68+AQ69</f>
        <v>712375.40221258835</v>
      </c>
      <c r="AS71" s="18">
        <f>AS68+AS69</f>
        <v>-1783774.5977874117</v>
      </c>
      <c r="AU71" s="18">
        <f>AU68+AU69</f>
        <v>-1782017.7704751575</v>
      </c>
      <c r="AW71" s="17"/>
    </row>
    <row r="72" spans="17:51">
      <c r="Q72" s="1">
        <f t="shared" si="1"/>
        <v>2016</v>
      </c>
      <c r="S72" s="18">
        <v>1638998.2011435654</v>
      </c>
      <c r="U72" s="17">
        <f>'AD12'!R119</f>
        <v>5466412.9933675407</v>
      </c>
      <c r="Y72" s="18">
        <v>11889864.348585173</v>
      </c>
      <c r="AA72" s="17">
        <f>'AD13'!R119</f>
        <v>7371615.0206720009</v>
      </c>
      <c r="AG72" s="18"/>
      <c r="AI72" s="17"/>
      <c r="AU72" s="18"/>
      <c r="AW72" s="17"/>
    </row>
    <row r="73" spans="17:51">
      <c r="Q73" s="1">
        <f t="shared" si="1"/>
        <v>2017</v>
      </c>
      <c r="S73" s="18">
        <v>2379462.2702676975</v>
      </c>
      <c r="U73" s="17">
        <f>'AD12'!R120</f>
        <v>2449957.9493845282</v>
      </c>
      <c r="Y73" s="18">
        <v>5413605.6739554238</v>
      </c>
      <c r="AA73" s="17">
        <f>'AD13'!R120</f>
        <v>4004289.4080034085</v>
      </c>
      <c r="AG73" s="18"/>
      <c r="AI73" s="17"/>
      <c r="AU73" s="18"/>
      <c r="AW73" s="17"/>
    </row>
    <row r="74" spans="17:51">
      <c r="Q74" s="1">
        <f t="shared" si="1"/>
        <v>2018</v>
      </c>
      <c r="S74" s="18">
        <v>1568766.8096716392</v>
      </c>
      <c r="U74" s="17">
        <f>'AD12'!R121</f>
        <v>739907.25678762887</v>
      </c>
      <c r="Y74" s="18">
        <v>7352446.0738161942</v>
      </c>
      <c r="AA74" s="17">
        <f>'AD13'!R121</f>
        <v>10221721.541250549</v>
      </c>
      <c r="AG74" s="18"/>
      <c r="AI74" s="17"/>
      <c r="AU74" s="18"/>
      <c r="AW74" s="17"/>
    </row>
    <row r="75" spans="17:51">
      <c r="Q75" s="1">
        <f t="shared" si="1"/>
        <v>2019</v>
      </c>
      <c r="S75" s="18">
        <v>2485799.272305564</v>
      </c>
      <c r="U75" s="17">
        <f>'AD12'!R122</f>
        <v>2795549.4740275224</v>
      </c>
      <c r="Y75" s="18">
        <v>5801184.848615638</v>
      </c>
      <c r="AA75" s="17">
        <f>'AD13'!R122</f>
        <v>4244056.9536010874</v>
      </c>
      <c r="AG75" s="18"/>
      <c r="AI75" s="17"/>
      <c r="AU75" s="18"/>
      <c r="AW75" s="17"/>
    </row>
    <row r="76" spans="17:51">
      <c r="Q76" s="1">
        <f t="shared" si="1"/>
        <v>2020</v>
      </c>
      <c r="S76" s="18"/>
      <c r="U76" s="17"/>
      <c r="AG76" s="18"/>
      <c r="AI76" s="17"/>
    </row>
    <row r="78" spans="17:51">
      <c r="Q78" s="1" t="s">
        <v>0</v>
      </c>
      <c r="S78" s="18">
        <f>SUM(S68:S77)</f>
        <v>11439486.550388467</v>
      </c>
      <c r="U78" s="18">
        <f>SUM(U68:U77)</f>
        <v>30663724.760375045</v>
      </c>
      <c r="W78" s="18">
        <f>U78-S78</f>
        <v>19224238.209986579</v>
      </c>
      <c r="Y78" s="18">
        <f>SUM(Y68:Y77)</f>
        <v>31615599.692414649</v>
      </c>
      <c r="AA78" s="18">
        <f>SUM(AA68:AA77)</f>
        <v>25065388.005081911</v>
      </c>
      <c r="AG78" s="18"/>
      <c r="AI78" s="18"/>
      <c r="AK78" s="18"/>
      <c r="AS78" s="18"/>
      <c r="AU78" s="18"/>
      <c r="AW78" s="18"/>
      <c r="AY78" s="18"/>
    </row>
  </sheetData>
  <mergeCells count="4">
    <mergeCell ref="C11:O11"/>
    <mergeCell ref="Q11:W11"/>
    <mergeCell ref="C32:O32"/>
    <mergeCell ref="Q32:W32"/>
  </mergeCells>
  <printOptions horizontalCentered="1"/>
  <pageMargins left="0.7" right="0.7" top="0.75" bottom="0.75" header="0.3" footer="0.3"/>
  <pageSetup scale="53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BD77"/>
  <sheetViews>
    <sheetView view="pageBreakPreview" topLeftCell="A3" zoomScale="80" zoomScaleNormal="100" zoomScaleSheetLayoutView="80" workbookViewId="0">
      <selection activeCell="A42" sqref="A42:A44"/>
    </sheetView>
  </sheetViews>
  <sheetFormatPr baseColWidth="10" defaultColWidth="8.7109375" defaultRowHeight="15"/>
  <cols>
    <col min="1" max="1" width="25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2.7109375" style="1" customWidth="1"/>
    <col min="12" max="12" width="1.7109375" style="1" customWidth="1"/>
    <col min="13" max="13" width="12.7109375" style="1" customWidth="1"/>
    <col min="14" max="14" width="1.7109375" style="1" customWidth="1"/>
    <col min="15" max="15" width="12.7109375" style="1" customWidth="1"/>
    <col min="16" max="16" width="1.7109375" style="1" customWidth="1"/>
    <col min="17" max="17" width="12.7109375" style="1" customWidth="1"/>
    <col min="18" max="18" width="1.7109375" style="1" customWidth="1"/>
    <col min="19" max="19" width="11.7109375" style="1" customWidth="1"/>
    <col min="20" max="20" width="1.7109375" style="1" customWidth="1"/>
    <col min="21" max="21" width="11.7109375" style="1" customWidth="1"/>
    <col min="22" max="22" width="1.7109375" style="1" customWidth="1"/>
    <col min="23" max="23" width="11.7109375" style="1" customWidth="1"/>
    <col min="24" max="24" width="1.7109375" style="1" customWidth="1"/>
    <col min="25" max="25" width="12.7109375" style="1" customWidth="1"/>
    <col min="26" max="26" width="1.7109375" style="1" customWidth="1"/>
    <col min="27" max="27" width="13.7109375" style="1" customWidth="1"/>
    <col min="28" max="28" width="1.7109375" style="1" customWidth="1"/>
    <col min="29" max="29" width="13.7109375" style="1" customWidth="1"/>
    <col min="30" max="30" width="2.7109375" style="1" customWidth="1"/>
    <col min="31" max="31" width="12.7109375" style="1" customWidth="1"/>
    <col min="32" max="32" width="1.7109375" style="1" customWidth="1"/>
    <col min="33" max="33" width="12.7109375" style="1" customWidth="1"/>
    <col min="34" max="34" width="1.7109375" style="1" customWidth="1"/>
    <col min="35" max="35" width="12.7109375" style="1" customWidth="1"/>
    <col min="36" max="36" width="1.7109375" style="1" customWidth="1"/>
    <col min="37" max="37" width="12.7109375" style="1" customWidth="1"/>
    <col min="38" max="38" width="1.7109375" style="1" customWidth="1"/>
    <col min="39" max="39" width="12.7109375" style="1" customWidth="1"/>
    <col min="40" max="40" width="1.7109375" style="1" customWidth="1"/>
    <col min="41" max="41" width="12.7109375" style="1" customWidth="1"/>
    <col min="42" max="42" width="1.7109375" style="1" customWidth="1"/>
    <col min="43" max="43" width="12.7109375" style="1" customWidth="1"/>
    <col min="44" max="44" width="1.7109375" style="1" customWidth="1"/>
    <col min="45" max="45" width="12.7109375" style="1" customWidth="1"/>
    <col min="46" max="46" width="1.7109375" style="1" customWidth="1"/>
    <col min="47" max="47" width="11.7109375" style="1" customWidth="1"/>
    <col min="48" max="48" width="1.7109375" style="1" customWidth="1"/>
    <col min="49" max="49" width="12.7109375" style="1" customWidth="1"/>
    <col min="50" max="50" width="1.7109375" style="1" customWidth="1"/>
    <col min="51" max="51" width="12.7109375" style="1" customWidth="1"/>
    <col min="52" max="52" width="1.7109375" style="1" customWidth="1"/>
    <col min="53" max="53" width="12.7109375" style="1" customWidth="1"/>
    <col min="54" max="54" width="1.7109375" style="1" customWidth="1"/>
    <col min="55" max="55" width="13.7109375" style="1" customWidth="1"/>
    <col min="56" max="56" width="13.7109375" style="1" bestFit="1" customWidth="1"/>
    <col min="57" max="16384" width="8.7109375" style="1"/>
  </cols>
  <sheetData>
    <row r="1" spans="1:55">
      <c r="AC1" s="52" t="s">
        <v>49</v>
      </c>
      <c r="BC1" s="3" t="s">
        <v>116</v>
      </c>
    </row>
    <row r="2" spans="1:55">
      <c r="AC2" s="52" t="s">
        <v>159</v>
      </c>
      <c r="BC2" s="3" t="s">
        <v>96</v>
      </c>
    </row>
    <row r="3" spans="1:55">
      <c r="A3" s="140"/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BC3" s="3"/>
    </row>
    <row r="4" spans="1:55" ht="16">
      <c r="A4" s="4" t="s">
        <v>886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55" ht="16">
      <c r="A5" s="140"/>
      <c r="B5" s="492"/>
      <c r="C5" s="492"/>
      <c r="D5" s="492"/>
      <c r="E5" s="492"/>
      <c r="F5" s="492"/>
      <c r="G5" s="492"/>
      <c r="H5" s="492"/>
      <c r="I5" s="492"/>
      <c r="J5" s="140"/>
      <c r="K5" s="140"/>
      <c r="L5" s="140"/>
      <c r="M5" s="140"/>
      <c r="N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</row>
    <row r="6" spans="1:55">
      <c r="A6" s="5" t="s">
        <v>1754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55">
      <c r="A7" s="5" t="s">
        <v>431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55">
      <c r="A8" s="5" t="s">
        <v>729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5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</row>
    <row r="10" spans="1:55">
      <c r="F10" s="3"/>
      <c r="AA10" s="6"/>
    </row>
    <row r="11" spans="1:55" ht="16.25" customHeight="1">
      <c r="C11" s="630" t="s">
        <v>460</v>
      </c>
      <c r="D11" s="630"/>
      <c r="E11" s="630"/>
      <c r="F11" s="630"/>
      <c r="G11" s="630"/>
      <c r="H11" s="630"/>
      <c r="I11" s="630"/>
      <c r="J11" s="630"/>
      <c r="K11" s="630"/>
      <c r="L11" s="630"/>
      <c r="M11" s="630"/>
      <c r="N11" s="630"/>
      <c r="O11" s="630"/>
      <c r="Q11" s="222" t="s">
        <v>874</v>
      </c>
      <c r="S11" s="222"/>
      <c r="T11" s="347"/>
      <c r="U11" s="347"/>
      <c r="V11" s="347"/>
      <c r="W11" s="7" t="s">
        <v>460</v>
      </c>
      <c r="X11" s="347"/>
      <c r="Y11" s="347"/>
      <c r="Z11" s="347"/>
      <c r="AA11" s="347"/>
      <c r="AC11" s="222" t="s">
        <v>874</v>
      </c>
      <c r="AD11" s="2"/>
    </row>
    <row r="12" spans="1:55">
      <c r="A12" s="7"/>
      <c r="C12" s="7"/>
      <c r="D12" s="133"/>
      <c r="E12" s="7"/>
      <c r="F12" s="133"/>
      <c r="G12" s="7"/>
      <c r="H12" s="7"/>
      <c r="I12" s="7"/>
      <c r="J12" s="133"/>
      <c r="K12" s="7"/>
      <c r="L12" s="133"/>
      <c r="M12" s="7"/>
      <c r="N12" s="133"/>
      <c r="O12" s="7"/>
      <c r="P12" s="133"/>
      <c r="Q12" s="7"/>
      <c r="R12" s="133"/>
      <c r="S12" s="7"/>
      <c r="T12" s="133"/>
      <c r="U12" s="7"/>
      <c r="V12" s="133"/>
      <c r="W12" s="7"/>
      <c r="X12" s="133"/>
      <c r="Y12" s="7"/>
      <c r="Z12" s="133"/>
      <c r="AA12" s="7"/>
      <c r="AB12" s="133"/>
      <c r="AC12" s="7"/>
      <c r="AD12" s="2"/>
    </row>
    <row r="13" spans="1:55">
      <c r="A13" s="6" t="s">
        <v>1778</v>
      </c>
      <c r="C13" s="2" t="s">
        <v>664</v>
      </c>
      <c r="E13" s="2" t="s">
        <v>348</v>
      </c>
      <c r="G13" s="2" t="s">
        <v>646</v>
      </c>
      <c r="I13" s="2" t="s">
        <v>505</v>
      </c>
      <c r="K13" s="1" t="s">
        <v>700</v>
      </c>
      <c r="M13" s="1" t="s">
        <v>721</v>
      </c>
      <c r="O13" s="6" t="s">
        <v>723</v>
      </c>
      <c r="Q13" s="6" t="s">
        <v>723</v>
      </c>
      <c r="S13" s="2" t="s">
        <v>329</v>
      </c>
      <c r="U13" s="2" t="s">
        <v>478</v>
      </c>
      <c r="W13" s="2" t="s">
        <v>722</v>
      </c>
      <c r="Y13" s="6" t="s">
        <v>726</v>
      </c>
      <c r="AA13" s="2" t="s">
        <v>727</v>
      </c>
      <c r="AC13" s="2" t="s">
        <v>727</v>
      </c>
    </row>
    <row r="14" spans="1:55">
      <c r="A14" s="9">
        <v>-1</v>
      </c>
      <c r="C14" s="10">
        <f>A14-1</f>
        <v>-2</v>
      </c>
      <c r="E14" s="10">
        <f>C14-1</f>
        <v>-3</v>
      </c>
      <c r="G14" s="10">
        <f>E14-1</f>
        <v>-4</v>
      </c>
      <c r="I14" s="10">
        <f>G14-1</f>
        <v>-5</v>
      </c>
      <c r="K14" s="10">
        <f t="shared" ref="K14:S14" si="0">I14-1</f>
        <v>-6</v>
      </c>
      <c r="L14" s="11"/>
      <c r="M14" s="10">
        <f t="shared" si="0"/>
        <v>-7</v>
      </c>
      <c r="N14" s="11"/>
      <c r="O14" s="10">
        <f t="shared" si="0"/>
        <v>-8</v>
      </c>
      <c r="P14" s="11"/>
      <c r="Q14" s="10">
        <f t="shared" si="0"/>
        <v>-9</v>
      </c>
      <c r="R14" s="11"/>
      <c r="S14" s="10">
        <f t="shared" si="0"/>
        <v>-10</v>
      </c>
      <c r="U14" s="10">
        <f>S14-1</f>
        <v>-11</v>
      </c>
      <c r="V14" s="11"/>
      <c r="W14" s="10">
        <f>U14-1</f>
        <v>-12</v>
      </c>
      <c r="Y14" s="10">
        <f>W14-1</f>
        <v>-13</v>
      </c>
      <c r="AA14" s="10">
        <f>W14-1</f>
        <v>-13</v>
      </c>
      <c r="AC14" s="10">
        <f>Y14-1</f>
        <v>-14</v>
      </c>
    </row>
    <row r="15" spans="1:55" ht="16">
      <c r="A15" s="15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</row>
    <row r="16" spans="1:55">
      <c r="A16" s="1" t="s">
        <v>1012</v>
      </c>
      <c r="C16" s="16">
        <v>18780283.719999999</v>
      </c>
      <c r="D16" s="16"/>
      <c r="E16" s="16">
        <v>1321248.05</v>
      </c>
      <c r="F16" s="16"/>
      <c r="G16" s="16">
        <v>2201647.7199999997</v>
      </c>
      <c r="H16" s="16"/>
      <c r="I16" s="16">
        <v>4017772.8</v>
      </c>
      <c r="J16" s="16"/>
      <c r="K16" s="16">
        <v>3403817.0729999989</v>
      </c>
      <c r="L16" s="16"/>
      <c r="M16" s="16">
        <v>1945517.7014999979</v>
      </c>
      <c r="N16" s="16"/>
      <c r="O16" s="16">
        <f>SUM(C16:M16)</f>
        <v>31670287.064499997</v>
      </c>
      <c r="P16" s="16"/>
      <c r="Q16" s="16">
        <f>SUM(C16:I16)</f>
        <v>26320952.289999999</v>
      </c>
      <c r="R16" s="16"/>
      <c r="S16" s="16">
        <f>'Exhibit B,2'!Z68</f>
        <v>3582965.3400000003</v>
      </c>
      <c r="T16" s="16"/>
      <c r="U16" s="16">
        <v>2047913.3699999996</v>
      </c>
      <c r="V16" s="16"/>
      <c r="W16" s="16">
        <v>0</v>
      </c>
      <c r="X16" s="16"/>
      <c r="Y16" s="16">
        <f>S16+U16+W16</f>
        <v>5630878.71</v>
      </c>
      <c r="Z16" s="16"/>
      <c r="AA16" s="16">
        <f>O16+Y16</f>
        <v>37301165.774499997</v>
      </c>
      <c r="AB16" s="16"/>
      <c r="AC16" s="22">
        <f>Q16+Y16</f>
        <v>31951831</v>
      </c>
    </row>
    <row r="17" spans="1:56">
      <c r="A17" s="1" t="s">
        <v>1013</v>
      </c>
      <c r="C17" s="17">
        <f>EF!I43</f>
        <v>13146198.603999998</v>
      </c>
      <c r="D17" s="17"/>
      <c r="E17" s="17">
        <f>EF!K43</f>
        <v>3101891.6849870766</v>
      </c>
      <c r="G17" s="17">
        <f>'Exhibit U,2'!C31</f>
        <v>1541153.4039999996</v>
      </c>
      <c r="H17" s="17"/>
      <c r="I17" s="17">
        <f>'Exhibit U,2'!E31</f>
        <v>3621932.1370738312</v>
      </c>
      <c r="K17" s="17">
        <f>'Exhibit V,1'!C26</f>
        <v>2318921.9353191541</v>
      </c>
      <c r="L17" s="17"/>
      <c r="M17" s="405">
        <f>'Exhibit V,1'!S26</f>
        <v>2374659.3762991414</v>
      </c>
      <c r="O17" s="16">
        <f>SUM(C17:M17)</f>
        <v>26104757.141679201</v>
      </c>
      <c r="Q17" s="16">
        <f>SUM(C17:I17)</f>
        <v>21411175.830060903</v>
      </c>
      <c r="S17" s="17">
        <f>'Exhibit B,2'!U68</f>
        <v>2440970.4582306887</v>
      </c>
      <c r="T17" s="17"/>
      <c r="U17" s="17">
        <f>'Exhibit B,3'!AI68</f>
        <v>2499641.4487359389</v>
      </c>
      <c r="V17" s="17"/>
      <c r="W17" s="17">
        <f>'Exhibit B,2'!U40</f>
        <v>0</v>
      </c>
      <c r="Y17" s="17">
        <f>S17+U17+W17</f>
        <v>4940611.9069666276</v>
      </c>
      <c r="AA17" s="17">
        <f>O17+Y17</f>
        <v>31045369.048645828</v>
      </c>
      <c r="AC17" s="22">
        <f>Q17+Y17</f>
        <v>26351787.73702753</v>
      </c>
      <c r="BD17" s="53"/>
    </row>
    <row r="18" spans="1:56">
      <c r="C18" s="22"/>
    </row>
    <row r="19" spans="1:56">
      <c r="A19" s="1" t="s">
        <v>1014</v>
      </c>
      <c r="C19" s="55">
        <f>C17/C$16</f>
        <v>0.7</v>
      </c>
      <c r="E19" s="55">
        <f>E17/E$16</f>
        <v>2.3476982122978924</v>
      </c>
      <c r="G19" s="55">
        <f>G17/G$16</f>
        <v>0.7</v>
      </c>
      <c r="I19" s="55">
        <f>I17/I$16</f>
        <v>0.9014775890448139</v>
      </c>
      <c r="K19" s="55">
        <f>K17/K$16</f>
        <v>0.68127102179299603</v>
      </c>
      <c r="M19" s="55">
        <f>M17/M$16</f>
        <v>1.2205796814227259</v>
      </c>
      <c r="O19" s="55">
        <f>O17/O$16</f>
        <v>0.82426651480973356</v>
      </c>
      <c r="Q19" s="55">
        <f>Q17/Q$16</f>
        <v>0.81346509025038405</v>
      </c>
      <c r="S19" s="55">
        <f>S17/S$16</f>
        <v>0.68127102179299581</v>
      </c>
      <c r="U19" s="55">
        <f>U17/U$16</f>
        <v>1.220579681422725</v>
      </c>
      <c r="W19" s="55"/>
      <c r="Y19" s="55">
        <f>Y17/Y$16</f>
        <v>0.8774140167843586</v>
      </c>
      <c r="AA19" s="55">
        <f>AA17/AA$16</f>
        <v>0.83228951170928855</v>
      </c>
      <c r="AC19" s="55">
        <f>AC17/AC$16</f>
        <v>0.8247348246498778</v>
      </c>
      <c r="BD19" s="17"/>
    </row>
    <row r="20" spans="1:56">
      <c r="C20" s="22"/>
      <c r="G20" s="22"/>
      <c r="I20" s="22"/>
      <c r="K20" s="22"/>
      <c r="M20" s="22"/>
      <c r="O20" s="22"/>
    </row>
    <row r="21" spans="1:56">
      <c r="A21" s="1" t="s">
        <v>1015</v>
      </c>
      <c r="C21" s="17">
        <f>'Summary Exhibit 2'!C18</f>
        <v>-1059165.4660074622</v>
      </c>
      <c r="E21" s="17">
        <f>'Summary Exhibit 2'!E18</f>
        <v>-71404.835104628699</v>
      </c>
      <c r="G21" s="17">
        <f>'Summary Exhibit 2'!G18</f>
        <v>-893195.03650595248</v>
      </c>
      <c r="I21" s="17">
        <f>'Summary Exhibit 2'!I18</f>
        <v>-6621143.8907656968</v>
      </c>
      <c r="K21" s="17">
        <f>'Summary Exhibit 2'!K18</f>
        <v>1499003.1437978111</v>
      </c>
      <c r="M21" s="17">
        <f>'Summary Exhibit 2'!M18</f>
        <v>5670809.4045565054</v>
      </c>
      <c r="O21" s="17">
        <f>'Summary Exhibit 2'!O18</f>
        <v>-1475096.6800294239</v>
      </c>
      <c r="Q21" s="17">
        <f>SUM(C21:I21)</f>
        <v>-8644909.2283837404</v>
      </c>
      <c r="S21" s="16">
        <f>'Summary Exhibit 2'!Q18</f>
        <v>1513328.2461029643</v>
      </c>
      <c r="U21" s="16">
        <f>'Summary Exhibit 2'!S18</f>
        <v>5447927.2085439218</v>
      </c>
      <c r="W21" s="17">
        <f>'Summary Exhibit 2'!U18</f>
        <v>0</v>
      </c>
      <c r="Y21" s="17">
        <f>S21+U21+W21</f>
        <v>6961255.4546468863</v>
      </c>
      <c r="AA21" s="17">
        <f>O21+Y21</f>
        <v>5486158.7746174624</v>
      </c>
      <c r="AC21" s="22">
        <f>Q21+Y21</f>
        <v>-1683653.7737368541</v>
      </c>
    </row>
    <row r="22" spans="1:56">
      <c r="A22" s="1" t="s">
        <v>1016</v>
      </c>
      <c r="C22" s="17">
        <f>'Summary Exhibit 1'!$G25*C17/$O17*1000</f>
        <v>495484.07316223253</v>
      </c>
      <c r="E22" s="17">
        <f>'Summary Exhibit 1'!$G25*E17/$O17*1000</f>
        <v>116911.20550375777</v>
      </c>
      <c r="G22" s="17">
        <f>'Summary Exhibit 1'!$G25*G17/$O17*1000</f>
        <v>58086.522878896227</v>
      </c>
      <c r="I22" s="17">
        <f>'Summary Exhibit 1'!$G25*I17/$O17*1000</f>
        <v>136511.68235420424</v>
      </c>
      <c r="K22" s="17">
        <f>'Summary Exhibit 1'!$G25*K17/$O17*1000</f>
        <v>87400.846470368881</v>
      </c>
      <c r="M22" s="17">
        <f>'Summary Exhibit 1'!$G25*M17/$O17*1000</f>
        <v>89501.606934766605</v>
      </c>
      <c r="O22" s="17">
        <f>SUM(C22:M22)</f>
        <v>983895.93730422633</v>
      </c>
      <c r="Q22" s="17">
        <f>SUM(C22:I22)</f>
        <v>806993.48389909079</v>
      </c>
      <c r="S22" s="17">
        <f>(S17/($Y17-$W17))*'Summary Exhibit 1'!K25*1000</f>
        <v>794962.1897613476</v>
      </c>
      <c r="U22" s="17">
        <f>(U17/($Y17-$W17))*'Summary Exhibit 1'!$K25*1000</f>
        <v>814069.84382174467</v>
      </c>
      <c r="Y22" s="17">
        <f>S22+U22+W22</f>
        <v>1609032.0335830923</v>
      </c>
      <c r="AA22" s="17">
        <f>O22+Y22</f>
        <v>2592927.9708873187</v>
      </c>
      <c r="AC22" s="22">
        <f>Q22+Y22</f>
        <v>2416025.5174821829</v>
      </c>
    </row>
    <row r="23" spans="1:56">
      <c r="C23" s="17"/>
      <c r="E23" s="17"/>
      <c r="G23" s="17"/>
      <c r="I23" s="17"/>
      <c r="K23" s="17"/>
      <c r="M23" s="17"/>
      <c r="O23" s="17"/>
      <c r="Q23" s="17"/>
      <c r="S23" s="17"/>
      <c r="U23" s="17"/>
      <c r="W23" s="17"/>
      <c r="Y23" s="17"/>
      <c r="AC23" s="22"/>
    </row>
    <row r="24" spans="1:56">
      <c r="A24" s="1" t="s">
        <v>1017</v>
      </c>
      <c r="C24" s="55">
        <f>(C17+C21+C22)/C16</f>
        <v>0.66998546980177198</v>
      </c>
      <c r="E24" s="55">
        <f>(E17+E21+E22)/E16</f>
        <v>2.3821401707167746</v>
      </c>
      <c r="G24" s="55">
        <f>(G17+G21+G22)/G16</f>
        <v>0.320689310991562</v>
      </c>
      <c r="I24" s="55">
        <f>(I17+I21+I22)/I16</f>
        <v>-0.71250919697043635</v>
      </c>
      <c r="K24" s="55">
        <f>(K17+K21+K22)/K16</f>
        <v>1.1473371928725076</v>
      </c>
      <c r="M24" s="55">
        <f>(M17+M21+M22)/M16</f>
        <v>4.1813910927247457</v>
      </c>
      <c r="O24" s="55">
        <f>(O17+O21+O22)/O16</f>
        <v>0.80875668562110592</v>
      </c>
      <c r="Q24" s="55">
        <f>(Q17+Q21+Q22)/Q16</f>
        <v>0.51568271299716917</v>
      </c>
      <c r="S24" s="55">
        <f>(S17+S21+S22)/S16</f>
        <v>1.3255112576933272</v>
      </c>
      <c r="U24" s="55">
        <f>(U17+U21+U22)/U16</f>
        <v>4.2783247716682506</v>
      </c>
      <c r="W24" s="55"/>
      <c r="Y24" s="55">
        <f>(Y17+Y21+Y22)/Y16</f>
        <v>2.3994300163493674</v>
      </c>
      <c r="AA24" s="55">
        <f>(AA17+AA21+AA22)/AA16</f>
        <v>1.0488802422603385</v>
      </c>
      <c r="AC24" s="55">
        <f>(AC17+AC21+AC22)/AC16</f>
        <v>0.84765594437366865</v>
      </c>
    </row>
    <row r="25" spans="1:56">
      <c r="A25" s="1" t="s">
        <v>1434</v>
      </c>
      <c r="C25" s="55">
        <f>(C17+C22)/C16</f>
        <v>0.72638320488388397</v>
      </c>
      <c r="E25" s="55">
        <f>(E17+E22)/E16</f>
        <v>2.4361836450701548</v>
      </c>
      <c r="G25" s="55">
        <f>(G17+G22)/G16</f>
        <v>0.72638320488388397</v>
      </c>
      <c r="I25" s="55">
        <f>(I17+I22)/I16</f>
        <v>0.93545454323052701</v>
      </c>
      <c r="K25" s="55">
        <f>(K17+K22)/K16</f>
        <v>0.70694832600644986</v>
      </c>
      <c r="M25" s="55">
        <f>(M17+M22)/M16</f>
        <v>1.2665836868685572</v>
      </c>
      <c r="O25" s="55">
        <f>(O17+O22)/O16</f>
        <v>0.85533336100851964</v>
      </c>
      <c r="Q25" s="55">
        <f>(Q17+Q22)/Q16</f>
        <v>0.84412482759604568</v>
      </c>
      <c r="S25" s="55">
        <f>(S17+S22)/S16</f>
        <v>0.90314372061216641</v>
      </c>
      <c r="U25" s="55">
        <f>(U17+U22)/U16</f>
        <v>1.6180915370251645</v>
      </c>
      <c r="Y25" s="55">
        <f>(Y17+Y22)/Y16</f>
        <v>1.1631655160531278</v>
      </c>
    </row>
    <row r="26" spans="1:56">
      <c r="A26" s="1" t="s">
        <v>1423</v>
      </c>
      <c r="C26" s="55">
        <f>C17*(1+'Exhibit C,1'!$I$34)/C16</f>
        <v>0.72589999999999988</v>
      </c>
      <c r="E26" s="55">
        <f>E17*(1+'Exhibit C,1'!$I$34)/E16</f>
        <v>2.4345630461529142</v>
      </c>
      <c r="G26" s="55">
        <f>G17*(1+'Exhibit C,1'!$I$34)/G16</f>
        <v>0.72589999999999988</v>
      </c>
      <c r="I26" s="55">
        <f>I17*(1+'Exhibit C,1'!$I$34)/I16</f>
        <v>0.93483225983947194</v>
      </c>
      <c r="K26" s="55">
        <f>K17*(1+'Exhibit C,1'!$I$34)/K16</f>
        <v>0.70647804959933669</v>
      </c>
      <c r="M26" s="55">
        <f>M17*(1+'Exhibit C,1'!$I$34)/M16</f>
        <v>1.2657411296353667</v>
      </c>
      <c r="O26" s="55">
        <f>O17*(1+'Exhibit C,1'!$I$34)/O16</f>
        <v>0.85476437585769371</v>
      </c>
      <c r="Q26" s="55">
        <f>Q17*(1+'Exhibit C,1'!$I$34)/Q16</f>
        <v>0.84356329858964829</v>
      </c>
      <c r="S26" s="55">
        <f>S17*(1+'Exhibit C,1'!$I$34)/S16</f>
        <v>0.70647804959933658</v>
      </c>
      <c r="U26" s="55">
        <f>U17*(1+'Exhibit C,1'!$I$34)/U16</f>
        <v>1.265741129635366</v>
      </c>
      <c r="Y26" s="55">
        <f>Y17*(1+'Exhibit C,1'!$I$34)/Y16</f>
        <v>0.90987833540537988</v>
      </c>
    </row>
    <row r="27" spans="1:56">
      <c r="O27" s="6"/>
      <c r="P27" s="6"/>
      <c r="Q27" s="6" t="s">
        <v>17</v>
      </c>
      <c r="U27" s="20"/>
      <c r="W27" s="20"/>
      <c r="Y27" s="22"/>
    </row>
    <row r="28" spans="1:56">
      <c r="D28" s="3"/>
      <c r="E28" s="3"/>
      <c r="F28" s="3"/>
      <c r="O28" s="6"/>
      <c r="P28" s="6"/>
      <c r="Q28" s="6" t="s">
        <v>9</v>
      </c>
    </row>
    <row r="29" spans="1:56" ht="16.25" customHeight="1">
      <c r="C29" s="630" t="s">
        <v>118</v>
      </c>
      <c r="D29" s="630"/>
      <c r="E29" s="630"/>
      <c r="F29" s="630"/>
      <c r="G29" s="630"/>
      <c r="H29" s="630"/>
      <c r="I29" s="630"/>
      <c r="J29" s="630"/>
      <c r="K29" s="630"/>
      <c r="L29" s="630"/>
      <c r="M29" s="630"/>
      <c r="N29" s="630"/>
      <c r="O29" s="630"/>
      <c r="P29" s="6"/>
      <c r="Q29" s="222" t="s">
        <v>825</v>
      </c>
      <c r="S29" s="629" t="s">
        <v>118</v>
      </c>
      <c r="T29" s="629"/>
      <c r="U29" s="629"/>
      <c r="V29" s="629"/>
      <c r="W29" s="629"/>
      <c r="X29" s="629"/>
      <c r="Y29" s="629"/>
      <c r="Z29" s="629"/>
      <c r="AA29" s="629"/>
    </row>
    <row r="30" spans="1:56">
      <c r="A30" s="8"/>
      <c r="B30" s="8"/>
      <c r="C30" s="7"/>
      <c r="D30" s="133"/>
      <c r="E30" s="7"/>
      <c r="F30" s="133"/>
      <c r="G30" s="7"/>
      <c r="H30" s="7"/>
      <c r="I30" s="7"/>
      <c r="J30" s="133"/>
      <c r="K30" s="7"/>
      <c r="L30" s="133"/>
      <c r="M30" s="7"/>
      <c r="N30" s="133"/>
      <c r="O30" s="7"/>
      <c r="P30" s="8"/>
      <c r="Q30" s="8"/>
      <c r="R30" s="133"/>
      <c r="S30" s="7"/>
      <c r="T30" s="133"/>
      <c r="U30" s="7"/>
      <c r="V30" s="133"/>
      <c r="W30" s="7"/>
      <c r="X30" s="133"/>
      <c r="Y30" s="7"/>
      <c r="Z30" s="133"/>
      <c r="AA30" s="7"/>
      <c r="AB30" s="133"/>
    </row>
    <row r="31" spans="1:56">
      <c r="A31" s="6" t="s">
        <v>1778</v>
      </c>
      <c r="C31" s="2" t="s">
        <v>664</v>
      </c>
      <c r="E31" s="2" t="s">
        <v>348</v>
      </c>
      <c r="G31" s="2" t="s">
        <v>646</v>
      </c>
      <c r="I31" s="2" t="s">
        <v>505</v>
      </c>
      <c r="K31" s="1" t="s">
        <v>700</v>
      </c>
      <c r="M31" s="1" t="s">
        <v>721</v>
      </c>
      <c r="O31" s="6" t="s">
        <v>723</v>
      </c>
      <c r="P31" s="6"/>
      <c r="Q31" s="6" t="s">
        <v>723</v>
      </c>
      <c r="S31" s="2" t="s">
        <v>329</v>
      </c>
      <c r="U31" s="2" t="s">
        <v>478</v>
      </c>
      <c r="W31" s="2" t="s">
        <v>722</v>
      </c>
      <c r="Y31" s="6" t="s">
        <v>726</v>
      </c>
      <c r="AA31" s="2" t="s">
        <v>727</v>
      </c>
    </row>
    <row r="32" spans="1:56">
      <c r="A32" s="9">
        <v>-1</v>
      </c>
      <c r="C32" s="10">
        <f>A32-1</f>
        <v>-2</v>
      </c>
      <c r="E32" s="10">
        <f>C32-1</f>
        <v>-3</v>
      </c>
      <c r="G32" s="10">
        <f>E32-1</f>
        <v>-4</v>
      </c>
      <c r="I32" s="10">
        <f>G32-1</f>
        <v>-5</v>
      </c>
      <c r="K32" s="10">
        <f>I32-1</f>
        <v>-6</v>
      </c>
      <c r="L32" s="11"/>
      <c r="M32" s="10">
        <f>K32-1</f>
        <v>-7</v>
      </c>
      <c r="N32" s="11"/>
      <c r="O32" s="10">
        <f>M32-1</f>
        <v>-8</v>
      </c>
      <c r="P32" s="11"/>
      <c r="Q32" s="10">
        <f>O32-1</f>
        <v>-9</v>
      </c>
      <c r="R32" s="11"/>
      <c r="S32" s="10">
        <f>Q32-1</f>
        <v>-10</v>
      </c>
      <c r="U32" s="10">
        <f>S32-1</f>
        <v>-11</v>
      </c>
      <c r="V32" s="11"/>
      <c r="W32" s="10">
        <f>U32-1</f>
        <v>-12</v>
      </c>
      <c r="Y32" s="10">
        <f>W32-1</f>
        <v>-13</v>
      </c>
      <c r="AA32" s="10">
        <f>Y32-1</f>
        <v>-14</v>
      </c>
    </row>
    <row r="33" spans="1:35" ht="16">
      <c r="A33" s="15"/>
    </row>
    <row r="34" spans="1:35">
      <c r="A34" s="1" t="s">
        <v>1012</v>
      </c>
      <c r="C34" s="16">
        <v>15890167.78097108</v>
      </c>
      <c r="E34" s="16">
        <v>1134600.3793432082</v>
      </c>
      <c r="G34" s="16">
        <v>1998886.0042928304</v>
      </c>
      <c r="H34" s="16"/>
      <c r="I34" s="16">
        <v>3388129.2289063614</v>
      </c>
      <c r="J34" s="16"/>
      <c r="K34" s="16">
        <v>2878608.8350855825</v>
      </c>
      <c r="L34" s="16"/>
      <c r="M34" s="16">
        <v>1640158.2159009338</v>
      </c>
      <c r="O34" s="16">
        <f>SUM(C34:M34)</f>
        <v>26930550.444499996</v>
      </c>
      <c r="P34" s="16"/>
      <c r="Q34" s="16">
        <f>SUM(C34:I34)</f>
        <v>22411783.393513478</v>
      </c>
      <c r="S34" s="16">
        <v>179148.26700000139</v>
      </c>
      <c r="T34" s="16"/>
      <c r="U34" s="16">
        <v>102395.66850000178</v>
      </c>
      <c r="V34" s="16"/>
      <c r="W34" s="16">
        <v>0</v>
      </c>
      <c r="X34" s="16"/>
      <c r="Y34" s="16">
        <f>S34+U34+W34</f>
        <v>281543.93550000316</v>
      </c>
      <c r="Z34" s="16"/>
      <c r="AA34" s="22">
        <f>O34+Y34</f>
        <v>27212094.379999999</v>
      </c>
    </row>
    <row r="35" spans="1:35">
      <c r="A35" s="1" t="s">
        <v>1013</v>
      </c>
      <c r="C35" s="17">
        <f>EF!M43</f>
        <v>12462424.428943126</v>
      </c>
      <c r="D35" s="17"/>
      <c r="E35" s="17">
        <f>EF!O43</f>
        <v>2938754.5803482933</v>
      </c>
      <c r="G35" s="17">
        <f>'Exhibit U,2'!C50</f>
        <v>1315092.6956908247</v>
      </c>
      <c r="H35" s="17"/>
      <c r="I35" s="17">
        <f>'Exhibit U,2'!E50</f>
        <v>3038384.4169053682</v>
      </c>
      <c r="K35" s="17">
        <f>'Exhibit V,1'!C54</f>
        <v>2318921.9353191541</v>
      </c>
      <c r="M35" s="17">
        <f>'Exhibit V,1'!S54</f>
        <v>1933701.3507676579</v>
      </c>
      <c r="O35" s="17">
        <f>SUM(C35:M35)</f>
        <v>24007279.407974426</v>
      </c>
      <c r="P35" s="17"/>
      <c r="Q35" s="17">
        <f>SUM(C35:I35)</f>
        <v>19754656.121887613</v>
      </c>
      <c r="S35" s="17">
        <f>'Exhibit A, 1d'!AI68</f>
        <v>122048.52291153457</v>
      </c>
      <c r="T35" s="17"/>
      <c r="U35" s="17">
        <f>'EXhbit A, 1e'!AI68</f>
        <v>124982.07243679717</v>
      </c>
      <c r="Y35" s="17">
        <f>S35+U35+W35</f>
        <v>247030.59534833173</v>
      </c>
      <c r="AA35" s="22">
        <f>O35+Y35</f>
        <v>24254310.003322758</v>
      </c>
    </row>
    <row r="37" spans="1:35">
      <c r="A37" s="1" t="s">
        <v>1014</v>
      </c>
      <c r="C37" s="55">
        <f>C35/C$34</f>
        <v>0.7842852637381984</v>
      </c>
      <c r="E37" s="55">
        <f>E35/E$34</f>
        <v>2.5901230370198403</v>
      </c>
      <c r="G37" s="55">
        <f>G35/G$34</f>
        <v>0.65791280386501105</v>
      </c>
      <c r="I37" s="55">
        <f>I35/I$34</f>
        <v>0.89677347339142499</v>
      </c>
      <c r="K37" s="55">
        <f>K35/K$34</f>
        <v>0.80557035296190616</v>
      </c>
      <c r="M37" s="55">
        <f>M35/M$34</f>
        <v>1.1789724503532006</v>
      </c>
      <c r="O37" s="55">
        <f>O35/O$34</f>
        <v>0.8914514932567007</v>
      </c>
      <c r="P37" s="55"/>
      <c r="Q37" s="55">
        <f>Q35/Q$34</f>
        <v>0.88144061429779375</v>
      </c>
      <c r="S37" s="55">
        <f>S35/S$34</f>
        <v>0.68127102179299126</v>
      </c>
      <c r="U37" s="55">
        <f>U35/U$34</f>
        <v>1.2205796814227059</v>
      </c>
      <c r="W37" s="55"/>
      <c r="Y37" s="55">
        <f>Y35/Y$34</f>
        <v>0.87741401678434994</v>
      </c>
      <c r="AA37" s="55">
        <f>AA35/AA$34</f>
        <v>0.89130625760099103</v>
      </c>
    </row>
    <row r="39" spans="1:35">
      <c r="A39" s="1" t="s">
        <v>1015</v>
      </c>
      <c r="C39" s="17">
        <f>'Summary Exhibit 2'!C39</f>
        <v>-2150285.8489714288</v>
      </c>
      <c r="E39" s="17">
        <f>'Summary Exhibit 2'!E39</f>
        <v>371556.36418198701</v>
      </c>
      <c r="G39" s="17">
        <f>'Summary Exhibit 2'!G39</f>
        <v>-1113962.5601511896</v>
      </c>
      <c r="I39" s="17">
        <f>'Summary Exhibit 2'!I39</f>
        <v>-6573996.3202676475</v>
      </c>
      <c r="K39" s="17">
        <f>'Summary Exhibit 2'!K39</f>
        <v>891243.09062580764</v>
      </c>
      <c r="M39" s="17">
        <f>'Summary Exhibit 2'!M39</f>
        <v>6264888.1481335834</v>
      </c>
      <c r="O39" s="17">
        <f>SUM(C39:M39)</f>
        <v>-2310557.1264488883</v>
      </c>
      <c r="P39" s="17"/>
      <c r="Q39" s="17">
        <f>SUM(C39:I39)</f>
        <v>-9466688.3652082793</v>
      </c>
      <c r="S39" s="17">
        <f>'Summary Exhibit 2'!Q39</f>
        <v>14325.10230514803</v>
      </c>
      <c r="T39" s="17"/>
      <c r="U39" s="17">
        <f>'Summary Exhibit 2'!S39</f>
        <v>-222882.19601258222</v>
      </c>
      <c r="V39" s="17"/>
      <c r="W39" s="17">
        <f>'Summary Exhibit 2'!U39</f>
        <v>0</v>
      </c>
      <c r="Y39" s="17">
        <f>S39+U39+W39</f>
        <v>-208557.09370743419</v>
      </c>
      <c r="AA39" s="22">
        <f>O39+Y39</f>
        <v>-2519114.2201563227</v>
      </c>
    </row>
    <row r="40" spans="1:35">
      <c r="A40" s="1" t="s">
        <v>1016</v>
      </c>
      <c r="C40" s="22">
        <f>C22</f>
        <v>495484.07316223253</v>
      </c>
      <c r="E40" s="22">
        <f>E22</f>
        <v>116911.20550375777</v>
      </c>
      <c r="G40" s="22">
        <f>G22</f>
        <v>58086.522878896227</v>
      </c>
      <c r="I40" s="22">
        <f>I22</f>
        <v>136511.68235420424</v>
      </c>
      <c r="K40" s="22">
        <f>K22</f>
        <v>87400.846470368881</v>
      </c>
      <c r="M40" s="22">
        <f>M22</f>
        <v>89501.606934766605</v>
      </c>
      <c r="O40" s="17">
        <f>SUM(C40:M40)</f>
        <v>983895.93730422633</v>
      </c>
      <c r="P40" s="17"/>
      <c r="Q40" s="17">
        <f>SUM(C40:I40)</f>
        <v>806993.48389909079</v>
      </c>
      <c r="S40" s="17">
        <f>(S35/($Y35-$W35))*'Summary Exhibit 1'!N25*1000</f>
        <v>39748.109488067377</v>
      </c>
      <c r="T40" s="17"/>
      <c r="U40" s="17">
        <f>(U35/($Y35-$W35))*'Summary Exhibit 1'!$N25*1000</f>
        <v>40703.492191087258</v>
      </c>
      <c r="V40" s="17"/>
      <c r="W40" s="17"/>
      <c r="Y40" s="17">
        <f>S40+U40+W40</f>
        <v>80451.601679154643</v>
      </c>
      <c r="AA40" s="22">
        <f>O40+Y40</f>
        <v>1064347.5389833809</v>
      </c>
    </row>
    <row r="42" spans="1:35">
      <c r="A42" s="1" t="s">
        <v>1017</v>
      </c>
      <c r="C42" s="55">
        <f>(C35+C39+C40)/C34</f>
        <v>0.68014528242277961</v>
      </c>
      <c r="E42" s="55">
        <f>(E35+E39+E40)/E34</f>
        <v>3.0206425208653389</v>
      </c>
      <c r="G42" s="55">
        <f>(G35+G39+G40)/G34</f>
        <v>0.12968056100339623</v>
      </c>
      <c r="I42" s="55">
        <f>(I35+I39+I40)/I34</f>
        <v>-1.0032380677832808</v>
      </c>
      <c r="K42" s="55">
        <f>(K35+K39+K40)/K34</f>
        <v>1.1455414963726021</v>
      </c>
      <c r="M42" s="55">
        <f>(M35+M39+M40)/M34</f>
        <v>5.0532265884382284</v>
      </c>
      <c r="O42" s="418">
        <f>(O35+O39+O40)/O34</f>
        <v>0.84218918085507632</v>
      </c>
      <c r="P42" s="55"/>
      <c r="Q42" s="55">
        <f>(Q35+Q39+Q40)/Q34</f>
        <v>0.49505035122682733</v>
      </c>
      <c r="S42" s="55">
        <f>(S35+S39+S40)/S34</f>
        <v>0.98310599178025337</v>
      </c>
      <c r="U42" s="55">
        <f>(U35+U39+U40)/U34</f>
        <v>-0.55858448138064354</v>
      </c>
      <c r="W42" s="55"/>
      <c r="Y42" s="55">
        <f>(Y35+Y39+Y40)/Y34</f>
        <v>0.42240335636727233</v>
      </c>
      <c r="AA42" s="418">
        <f>(AA35+AA39+AA40)/AA34</f>
        <v>0.83784595936528639</v>
      </c>
    </row>
    <row r="43" spans="1:35">
      <c r="A43" s="1" t="s">
        <v>1434</v>
      </c>
      <c r="C43" s="55">
        <f>(C35+C40)/C34</f>
        <v>0.81546706622083731</v>
      </c>
      <c r="E43" s="55">
        <f>(E35+E40)/E34</f>
        <v>2.693164784257255</v>
      </c>
      <c r="G43" s="55">
        <f>(G35+G40)/G34</f>
        <v>0.68697225135433715</v>
      </c>
      <c r="I43" s="55">
        <f>(I35+I40)/I34</f>
        <v>0.93706464091524122</v>
      </c>
      <c r="K43" s="55">
        <f>(K35+K40)/K34</f>
        <v>0.83593253534844447</v>
      </c>
      <c r="M43" s="55">
        <f>(M35+M40)/M34</f>
        <v>1.2335413364930072</v>
      </c>
      <c r="O43" s="55">
        <f>(O35+O40)/O34</f>
        <v>0.92798605794493061</v>
      </c>
      <c r="Q43" s="55">
        <f>(Q35+Q40)/Q34</f>
        <v>0.91744816754465652</v>
      </c>
      <c r="S43" s="55">
        <f>(S35+S40)/S34</f>
        <v>0.90314372061216031</v>
      </c>
      <c r="U43" s="55">
        <f>(U35+U40)/U34</f>
        <v>1.6180915370251383</v>
      </c>
      <c r="W43" s="55"/>
      <c r="Y43" s="55">
        <f>(Y35+Y40)/Y34</f>
        <v>1.163165516053116</v>
      </c>
      <c r="AA43" s="55">
        <f>(AA35+AA40)/AA34</f>
        <v>0.93041929036210191</v>
      </c>
    </row>
    <row r="44" spans="1:35">
      <c r="A44" s="1" t="s">
        <v>1423</v>
      </c>
      <c r="C44" s="55">
        <f>C35*(1+'Exhibit C,1'!$I$34)/C34</f>
        <v>0.81330381849651157</v>
      </c>
      <c r="E44" s="55">
        <f>E35*(1+'Exhibit C,1'!$I34)/E34</f>
        <v>2.6859575893895742</v>
      </c>
      <c r="G44" s="55">
        <f>G35*(1+'Exhibit C,1'!$I34)/G34</f>
        <v>0.68225557760801647</v>
      </c>
      <c r="I44" s="55">
        <f>I35*(1+'Exhibit C,1'!$I34)/I34</f>
        <v>0.92995409190690759</v>
      </c>
      <c r="K44" s="55">
        <f>K35*(1+'Exhibit C,1'!$I34)/K34</f>
        <v>0.83537645602149657</v>
      </c>
      <c r="M44" s="55">
        <f>M35*(1+'Exhibit C,1'!$I34)/M34</f>
        <v>1.2225944310162691</v>
      </c>
      <c r="O44" s="55">
        <f>O35*(1+'Exhibit C,1'!$I34)/O34</f>
        <v>0.92443519850719846</v>
      </c>
      <c r="Q44" s="55">
        <f>Q35*(1+'Exhibit C,1'!$I34)/Q34</f>
        <v>0.91405391702681205</v>
      </c>
      <c r="S44" s="55">
        <f>S35*(1+'Exhibit C,1'!$I34)/S34</f>
        <v>0.70647804959933191</v>
      </c>
      <c r="U44" s="55">
        <f>U35*(1+'Exhibit C,1'!$I34)/U34</f>
        <v>1.265741129635346</v>
      </c>
      <c r="Y44" s="55">
        <f>Y35*(1+'Exhibit C,1'!$I34)/Y34</f>
        <v>0.90987833540537089</v>
      </c>
      <c r="AA44" s="55">
        <f>AA35*(1+'Exhibit C,1'!$I34)/AA34</f>
        <v>0.92428458913222755</v>
      </c>
    </row>
    <row r="46" spans="1:35">
      <c r="A46" s="1" t="s">
        <v>50</v>
      </c>
      <c r="E46" s="21"/>
      <c r="G46" s="604"/>
      <c r="K46" s="22"/>
      <c r="O46" s="17"/>
    </row>
    <row r="47" spans="1:35">
      <c r="A47" s="1" t="s">
        <v>1415</v>
      </c>
      <c r="C47" s="17"/>
      <c r="K47" s="132"/>
      <c r="O47" s="418"/>
      <c r="AI47" s="437">
        <f>(AA35+AA39+AA40+O46)/AI48</f>
        <v>1.0488026538067614</v>
      </c>
    </row>
    <row r="48" spans="1:35">
      <c r="A48" s="1" t="s">
        <v>1018</v>
      </c>
      <c r="K48" s="22"/>
      <c r="AI48" s="69">
        <v>21738640</v>
      </c>
    </row>
    <row r="49" spans="1:35">
      <c r="A49" s="1" t="s">
        <v>1019</v>
      </c>
      <c r="AI49" s="61"/>
    </row>
    <row r="50" spans="1:35">
      <c r="A50" s="1" t="s">
        <v>1020</v>
      </c>
    </row>
    <row r="62" spans="1:35">
      <c r="A62" s="6" t="s">
        <v>756</v>
      </c>
    </row>
    <row r="63" spans="1:35">
      <c r="A63" s="6"/>
      <c r="B63" s="6"/>
      <c r="C63" s="6" t="s">
        <v>17</v>
      </c>
      <c r="E63" s="6" t="s">
        <v>17</v>
      </c>
      <c r="F63" s="6"/>
      <c r="G63" s="6" t="s">
        <v>757</v>
      </c>
      <c r="H63" s="6"/>
      <c r="I63" s="6" t="s">
        <v>17</v>
      </c>
    </row>
    <row r="64" spans="1:35">
      <c r="A64" s="6"/>
      <c r="B64" s="6"/>
      <c r="C64" s="6" t="s">
        <v>14</v>
      </c>
      <c r="E64" s="6" t="s">
        <v>12</v>
      </c>
      <c r="F64" s="6"/>
      <c r="G64" s="6" t="s">
        <v>381</v>
      </c>
      <c r="H64" s="6"/>
      <c r="I64" s="6" t="s">
        <v>67</v>
      </c>
    </row>
    <row r="66" spans="1:9">
      <c r="A66" s="1" t="s">
        <v>758</v>
      </c>
      <c r="C66" s="1">
        <v>1</v>
      </c>
      <c r="E66" s="1">
        <v>7</v>
      </c>
      <c r="G66" s="1">
        <v>96</v>
      </c>
      <c r="I66" s="1">
        <f>E66+G66</f>
        <v>103</v>
      </c>
    </row>
    <row r="67" spans="1:9">
      <c r="A67" s="1" t="s">
        <v>759</v>
      </c>
      <c r="C67" s="1">
        <v>77</v>
      </c>
      <c r="E67" s="1">
        <v>163</v>
      </c>
      <c r="G67" s="1">
        <v>38</v>
      </c>
      <c r="I67" s="1">
        <f>E67+G67</f>
        <v>201</v>
      </c>
    </row>
    <row r="69" spans="1:9">
      <c r="A69" s="1" t="s">
        <v>760</v>
      </c>
      <c r="C69" s="1">
        <f>C66+C67</f>
        <v>78</v>
      </c>
      <c r="E69" s="1">
        <f>E66+E67</f>
        <v>170</v>
      </c>
      <c r="G69" s="1">
        <f>G66+G67</f>
        <v>134</v>
      </c>
      <c r="I69" s="1">
        <f>I66+I67</f>
        <v>304</v>
      </c>
    </row>
    <row r="71" spans="1:9">
      <c r="A71" s="1" t="s">
        <v>761</v>
      </c>
      <c r="C71" s="1">
        <v>1</v>
      </c>
      <c r="E71" s="1">
        <v>1</v>
      </c>
      <c r="G71" s="17">
        <f>'Exhibit A, 1d'!AA53/1000</f>
        <v>51.480793342415694</v>
      </c>
      <c r="I71" s="17">
        <f>E71+G71</f>
        <v>52.480793342415694</v>
      </c>
    </row>
    <row r="72" spans="1:9">
      <c r="A72" s="1" t="s">
        <v>762</v>
      </c>
      <c r="C72" s="17">
        <f>('Exhibit A,3'!O53+'Exhibit A,3'!Q53)/1000</f>
        <v>0</v>
      </c>
      <c r="E72" s="17">
        <f>('Exhibit A,3'!U53+'Exhibit A,3'!S53)/1000</f>
        <v>2.5</v>
      </c>
      <c r="G72" s="17">
        <f>('Exhibit A,3'!AI53/1000)-E72</f>
        <v>85.337790058966263</v>
      </c>
      <c r="I72" s="191">
        <f>E72+G72</f>
        <v>87.837790058966263</v>
      </c>
    </row>
    <row r="74" spans="1:9">
      <c r="A74" s="1" t="s">
        <v>765</v>
      </c>
      <c r="C74" s="1">
        <f>C71+C72</f>
        <v>1</v>
      </c>
      <c r="E74" s="1">
        <f>E71+E72</f>
        <v>3.5</v>
      </c>
      <c r="G74" s="17">
        <f>G71+G72</f>
        <v>136.81858340138194</v>
      </c>
      <c r="H74" s="17"/>
      <c r="I74" s="17">
        <f>I71+I72</f>
        <v>140.31858340138194</v>
      </c>
    </row>
    <row r="75" spans="1:9">
      <c r="G75" s="17"/>
      <c r="H75" s="17"/>
      <c r="I75" s="17"/>
    </row>
    <row r="76" spans="1:9">
      <c r="A76" s="1" t="s">
        <v>738</v>
      </c>
      <c r="C76" s="1">
        <f>C69+C74</f>
        <v>79</v>
      </c>
      <c r="E76" s="1">
        <f>E69+E74</f>
        <v>173.5</v>
      </c>
      <c r="G76" s="17">
        <f>G69+G74</f>
        <v>270.81858340138194</v>
      </c>
      <c r="H76" s="17"/>
      <c r="I76" s="17">
        <f>I69+I74</f>
        <v>444.31858340138194</v>
      </c>
    </row>
    <row r="77" spans="1:9">
      <c r="G77" s="17"/>
      <c r="H77" s="17"/>
      <c r="I77" s="17"/>
    </row>
  </sheetData>
  <mergeCells count="3">
    <mergeCell ref="C11:O11"/>
    <mergeCell ref="C29:O29"/>
    <mergeCell ref="S29:AA29"/>
  </mergeCells>
  <printOptions horizontalCentered="1"/>
  <pageMargins left="0.25" right="0.25" top="0.75" bottom="0.75" header="0.3" footer="0.3"/>
  <pageSetup scale="47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8">
    <tabColor rgb="FF92D050"/>
    <pageSetUpPr fitToPage="1"/>
  </sheetPr>
  <dimension ref="A1:BI61"/>
  <sheetViews>
    <sheetView showOutlineSymbols="0" zoomScale="80" zoomScaleNormal="80" workbookViewId="0">
      <selection activeCell="K36" sqref="K36"/>
    </sheetView>
  </sheetViews>
  <sheetFormatPr baseColWidth="10" defaultColWidth="9.7109375" defaultRowHeight="15"/>
  <cols>
    <col min="1" max="1" width="11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2.7109375" style="1" customWidth="1"/>
    <col min="12" max="12" width="10.85546875" style="1" bestFit="1" customWidth="1"/>
    <col min="13" max="13" width="13" style="1" bestFit="1" customWidth="1"/>
    <col min="14" max="14" width="9.7109375" style="1"/>
    <col min="15" max="20" width="12.7109375" style="1" customWidth="1"/>
    <col min="21" max="21" width="6.7109375" style="1" customWidth="1"/>
    <col min="22" max="29" width="12.7109375" style="1" customWidth="1"/>
    <col min="30" max="30" width="6.7109375" style="1" customWidth="1"/>
    <col min="31" max="51" width="12.7109375" style="1" customWidth="1"/>
    <col min="52" max="52" width="9.7109375" style="1"/>
    <col min="53" max="53" width="12.7109375" style="1" customWidth="1"/>
    <col min="54" max="54" width="1.7109375" style="1" customWidth="1"/>
    <col min="55" max="56" width="12.7109375" style="1" customWidth="1"/>
    <col min="57" max="57" width="6.7109375" style="1" customWidth="1"/>
    <col min="58" max="58" width="12.7109375" style="1" customWidth="1"/>
    <col min="59" max="59" width="1.7109375" style="1" customWidth="1"/>
    <col min="60" max="61" width="12.7109375" style="1" customWidth="1"/>
    <col min="62" max="16384" width="9.7109375" style="1"/>
  </cols>
  <sheetData>
    <row r="1" spans="1:61">
      <c r="K1" s="64" t="s">
        <v>121</v>
      </c>
    </row>
    <row r="2" spans="1:61">
      <c r="K2" s="64" t="s">
        <v>56</v>
      </c>
    </row>
    <row r="3" spans="1:61">
      <c r="K3" s="3"/>
    </row>
    <row r="4" spans="1:61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61">
      <c r="A5" s="5"/>
      <c r="B5" s="5"/>
      <c r="C5" s="5"/>
      <c r="D5" s="5"/>
      <c r="E5" s="5"/>
      <c r="F5" s="5"/>
      <c r="G5" s="5"/>
      <c r="H5" s="5"/>
      <c r="I5" s="5"/>
      <c r="J5" s="5"/>
      <c r="K5" s="5"/>
    </row>
    <row r="6" spans="1:61">
      <c r="A6" s="5" t="s">
        <v>306</v>
      </c>
      <c r="B6" s="5"/>
      <c r="C6" s="5"/>
      <c r="D6" s="5"/>
      <c r="E6" s="5"/>
      <c r="F6" s="5"/>
      <c r="G6" s="5"/>
      <c r="H6" s="5"/>
      <c r="I6" s="5"/>
      <c r="J6" s="5"/>
      <c r="K6" s="5"/>
      <c r="O6" s="61"/>
      <c r="S6" s="61"/>
      <c r="U6" s="61"/>
    </row>
    <row r="7" spans="1:61">
      <c r="A7" s="5" t="s">
        <v>118</v>
      </c>
      <c r="B7" s="5"/>
      <c r="C7" s="5"/>
      <c r="D7" s="5"/>
      <c r="E7" s="5"/>
      <c r="F7" s="5"/>
      <c r="G7" s="5"/>
      <c r="H7" s="5"/>
      <c r="I7" s="5"/>
      <c r="J7" s="5"/>
      <c r="K7" s="5"/>
      <c r="O7" s="61"/>
      <c r="S7" s="61"/>
      <c r="V7" s="25"/>
      <c r="AD7" s="25"/>
      <c r="AO7" s="25"/>
      <c r="AP7" s="25"/>
    </row>
    <row r="8" spans="1:61">
      <c r="A8" s="201"/>
      <c r="B8" s="5"/>
      <c r="C8" s="5"/>
      <c r="D8" s="5"/>
      <c r="E8" s="5"/>
      <c r="F8" s="5"/>
      <c r="G8" s="5"/>
      <c r="H8" s="5"/>
      <c r="I8" s="5"/>
      <c r="J8" s="5"/>
      <c r="K8" s="5"/>
      <c r="O8" s="61"/>
      <c r="P8" s="25" t="s">
        <v>17</v>
      </c>
      <c r="R8" s="25" t="s">
        <v>17</v>
      </c>
      <c r="S8" s="61"/>
      <c r="V8" s="25"/>
      <c r="W8" s="25"/>
      <c r="AA8" s="25"/>
      <c r="AB8" s="25"/>
      <c r="AE8" s="25"/>
      <c r="AF8" s="25"/>
      <c r="AO8" s="25"/>
      <c r="AP8" s="25"/>
      <c r="AR8" s="25"/>
      <c r="AT8" s="25"/>
      <c r="AU8" s="25"/>
      <c r="AV8" s="25"/>
      <c r="AW8" s="25"/>
      <c r="AX8" s="25"/>
      <c r="AY8" s="25"/>
      <c r="BB8" s="25"/>
      <c r="BG8" s="25"/>
    </row>
    <row r="9" spans="1:61">
      <c r="A9" s="201"/>
      <c r="B9" s="5"/>
      <c r="C9" s="5"/>
      <c r="D9" s="5"/>
      <c r="E9" s="5"/>
      <c r="F9" s="5"/>
      <c r="G9" s="5"/>
      <c r="H9" s="5"/>
      <c r="I9" s="5"/>
      <c r="J9" s="5"/>
      <c r="K9" s="5"/>
      <c r="O9" s="61"/>
      <c r="P9" s="25" t="s">
        <v>14</v>
      </c>
      <c r="Q9" s="61"/>
      <c r="R9" s="25" t="s">
        <v>12</v>
      </c>
      <c r="S9" s="61"/>
      <c r="V9" s="25"/>
      <c r="W9" s="25"/>
      <c r="AA9" s="25"/>
      <c r="AB9" s="25"/>
      <c r="AE9" s="25"/>
      <c r="AF9" s="25"/>
      <c r="AO9" s="25"/>
      <c r="AP9" s="25"/>
      <c r="AR9" s="25"/>
      <c r="AT9" s="25"/>
      <c r="AU9" s="25"/>
      <c r="AV9" s="25"/>
      <c r="AW9" s="25"/>
      <c r="AX9" s="25"/>
      <c r="AY9" s="25"/>
      <c r="BB9" s="25"/>
      <c r="BG9" s="25"/>
    </row>
    <row r="10" spans="1:61">
      <c r="A10" s="201"/>
      <c r="B10" s="5"/>
      <c r="C10" s="5"/>
      <c r="D10" s="5"/>
      <c r="E10" s="5"/>
      <c r="F10" s="5"/>
      <c r="G10" s="5"/>
      <c r="H10" s="5"/>
      <c r="I10" s="5"/>
      <c r="J10" s="5"/>
      <c r="K10" s="5"/>
      <c r="O10" s="25"/>
      <c r="P10" s="25">
        <v>2021</v>
      </c>
      <c r="Q10" s="61"/>
      <c r="R10" s="25">
        <v>2021</v>
      </c>
      <c r="S10" s="61"/>
      <c r="T10" s="25"/>
      <c r="U10" s="61"/>
      <c r="V10" s="25"/>
      <c r="W10" s="25"/>
      <c r="AA10" s="25"/>
      <c r="AB10" s="25"/>
      <c r="AE10" s="25"/>
      <c r="AF10" s="25"/>
      <c r="AO10" s="25"/>
      <c r="AP10" s="25"/>
      <c r="AR10" s="25"/>
      <c r="AT10" s="25"/>
      <c r="AU10" s="25"/>
      <c r="AV10" s="25"/>
      <c r="AW10" s="25"/>
      <c r="AX10" s="25"/>
      <c r="AY10" s="25"/>
      <c r="BB10" s="25"/>
      <c r="BG10" s="25"/>
    </row>
    <row r="11" spans="1:61">
      <c r="C11" s="5"/>
      <c r="O11" s="61"/>
      <c r="P11" s="25" t="s">
        <v>706</v>
      </c>
      <c r="R11" s="25" t="s">
        <v>706</v>
      </c>
      <c r="S11" s="61"/>
      <c r="T11" s="25"/>
      <c r="U11" s="61"/>
      <c r="V11" s="25"/>
      <c r="W11" s="25"/>
      <c r="X11" s="25"/>
      <c r="Y11" s="25"/>
      <c r="AA11" s="25"/>
      <c r="AB11" s="25"/>
      <c r="AC11" s="25"/>
      <c r="AD11" s="61"/>
      <c r="AE11" s="25"/>
      <c r="AF11" s="25"/>
      <c r="AG11" s="25"/>
      <c r="AH11" s="25"/>
      <c r="AI11" s="25"/>
      <c r="AJ11" s="25"/>
      <c r="AL11" s="350"/>
      <c r="AM11" s="350"/>
      <c r="AN11" s="350"/>
      <c r="AO11" s="25"/>
      <c r="AP11" s="25"/>
      <c r="AQ11" s="350"/>
      <c r="AR11" s="350"/>
      <c r="AS11" s="6"/>
      <c r="AT11" s="25"/>
      <c r="AU11" s="25"/>
      <c r="AV11" s="25"/>
      <c r="AW11" s="25"/>
      <c r="AX11" s="25"/>
      <c r="AY11" s="25"/>
      <c r="BA11" s="25"/>
      <c r="BB11" s="25"/>
      <c r="BC11" s="25"/>
      <c r="BF11" s="25"/>
      <c r="BG11" s="25"/>
      <c r="BH11" s="25"/>
    </row>
    <row r="12" spans="1:61">
      <c r="A12" s="6" t="s">
        <v>3</v>
      </c>
      <c r="B12" s="5"/>
      <c r="C12" s="2" t="s">
        <v>67</v>
      </c>
      <c r="E12" s="6" t="s">
        <v>14</v>
      </c>
      <c r="G12" s="2" t="s">
        <v>139</v>
      </c>
      <c r="H12" s="6"/>
      <c r="K12" s="6" t="s">
        <v>79</v>
      </c>
      <c r="O12" s="25" t="s">
        <v>3</v>
      </c>
      <c r="P12" s="25" t="s">
        <v>0</v>
      </c>
      <c r="Q12" s="61"/>
      <c r="R12" s="25" t="s">
        <v>0</v>
      </c>
      <c r="S12" s="97"/>
      <c r="T12" s="25"/>
      <c r="U12" s="61"/>
      <c r="V12" s="25"/>
      <c r="W12" s="25"/>
      <c r="X12" s="25"/>
      <c r="Y12" s="25"/>
      <c r="AA12" s="25"/>
      <c r="AB12" s="25"/>
      <c r="AC12" s="25"/>
      <c r="AD12" s="61"/>
      <c r="AE12" s="25"/>
      <c r="AF12" s="25"/>
      <c r="AG12" s="25"/>
      <c r="AH12" s="25"/>
      <c r="AK12" s="6"/>
      <c r="AL12" s="350"/>
      <c r="AM12" s="350"/>
      <c r="AN12" s="350"/>
      <c r="AO12" s="25"/>
      <c r="AP12" s="25"/>
      <c r="AQ12" s="350"/>
      <c r="AR12" s="350"/>
      <c r="AS12" s="25"/>
      <c r="AT12" s="25"/>
      <c r="AU12" s="25"/>
      <c r="AV12" s="25"/>
      <c r="AW12" s="25"/>
      <c r="AX12" s="25"/>
      <c r="AY12" s="25"/>
      <c r="BA12" s="25"/>
      <c r="BB12" s="25"/>
      <c r="BC12" s="25"/>
      <c r="BF12" s="25"/>
      <c r="BG12" s="25"/>
      <c r="BH12" s="25"/>
    </row>
    <row r="13" spans="1:61">
      <c r="A13" s="6" t="s">
        <v>4</v>
      </c>
      <c r="B13" s="5"/>
      <c r="C13" s="2" t="s">
        <v>55</v>
      </c>
      <c r="E13" s="6" t="s">
        <v>1776</v>
      </c>
      <c r="G13" s="6" t="s">
        <v>1776</v>
      </c>
      <c r="H13" s="6"/>
      <c r="I13" s="2" t="s">
        <v>381</v>
      </c>
      <c r="K13" s="6" t="s">
        <v>117</v>
      </c>
      <c r="O13" s="25" t="s">
        <v>4</v>
      </c>
      <c r="P13" s="61" t="s">
        <v>1406</v>
      </c>
      <c r="Q13" s="61" t="s">
        <v>18</v>
      </c>
      <c r="R13" s="61" t="s">
        <v>1406</v>
      </c>
      <c r="S13" s="61" t="s">
        <v>18</v>
      </c>
      <c r="T13" s="61"/>
      <c r="U13" s="61"/>
      <c r="V13" s="61"/>
      <c r="W13" s="25"/>
      <c r="X13" s="25"/>
      <c r="Y13" s="25"/>
      <c r="AA13" s="25"/>
      <c r="AB13" s="25"/>
      <c r="AC13" s="25"/>
      <c r="AD13" s="61"/>
      <c r="AE13" s="25"/>
      <c r="AF13" s="25"/>
      <c r="AG13" s="25"/>
      <c r="AH13" s="25"/>
      <c r="AK13" s="6"/>
      <c r="AL13" s="351"/>
      <c r="AM13" s="351"/>
      <c r="AN13" s="351"/>
      <c r="AO13" s="25"/>
      <c r="AP13" s="61"/>
      <c r="AQ13" s="351"/>
      <c r="AR13" s="351"/>
      <c r="AS13" s="25"/>
      <c r="AT13" s="61"/>
      <c r="AU13" s="25"/>
      <c r="AV13" s="25"/>
      <c r="AW13" s="25"/>
      <c r="AX13" s="25"/>
      <c r="AY13" s="25"/>
      <c r="BA13" s="25"/>
      <c r="BB13" s="25"/>
      <c r="BC13" s="25"/>
      <c r="BF13" s="25"/>
      <c r="BG13" s="25"/>
      <c r="BH13" s="25"/>
    </row>
    <row r="14" spans="1:61">
      <c r="A14" s="106" t="s">
        <v>27</v>
      </c>
      <c r="C14" s="106" t="s">
        <v>33</v>
      </c>
      <c r="E14" s="106" t="s">
        <v>36</v>
      </c>
      <c r="G14" s="118" t="s">
        <v>38</v>
      </c>
      <c r="I14" s="118" t="s">
        <v>40</v>
      </c>
      <c r="K14" s="118" t="s">
        <v>42</v>
      </c>
      <c r="O14" s="203" t="s">
        <v>30</v>
      </c>
      <c r="P14" s="203" t="s">
        <v>31</v>
      </c>
      <c r="Q14" s="279" t="s">
        <v>103</v>
      </c>
      <c r="R14" s="279" t="s">
        <v>106</v>
      </c>
      <c r="S14" s="279" t="s">
        <v>108</v>
      </c>
      <c r="T14" s="61"/>
      <c r="U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203"/>
      <c r="BF14" s="203"/>
      <c r="BG14" s="203"/>
      <c r="BH14" s="203"/>
      <c r="BI14" s="203"/>
    </row>
    <row r="15" spans="1:61">
      <c r="O15" s="97"/>
      <c r="P15" s="97"/>
      <c r="Q15" s="493"/>
      <c r="R15" s="493"/>
      <c r="S15" s="493"/>
      <c r="T15" s="61"/>
      <c r="U15" s="61"/>
      <c r="AO15" s="61"/>
      <c r="AP15" s="61"/>
      <c r="AR15" s="25"/>
      <c r="AS15" s="25"/>
      <c r="AT15" s="25"/>
      <c r="AU15" s="25"/>
      <c r="AV15" s="25"/>
      <c r="AW15" s="25"/>
      <c r="AX15" s="25"/>
    </row>
    <row r="16" spans="1:61">
      <c r="A16" s="2" t="s">
        <v>2</v>
      </c>
      <c r="K16" s="19"/>
      <c r="O16" s="61"/>
      <c r="P16" s="61"/>
      <c r="Q16" s="61"/>
      <c r="R16" s="61"/>
      <c r="S16" s="61"/>
      <c r="T16" s="61"/>
      <c r="U16" s="61"/>
      <c r="AK16" s="2"/>
      <c r="AO16" s="61"/>
      <c r="AP16" s="61"/>
      <c r="AR16" s="25"/>
      <c r="AS16" s="25"/>
      <c r="AT16" s="25"/>
      <c r="AU16" s="25"/>
      <c r="AV16" s="25"/>
      <c r="AW16" s="25"/>
      <c r="AX16" s="25"/>
    </row>
    <row r="17" spans="1:61">
      <c r="A17" s="6">
        <v>1994</v>
      </c>
      <c r="C17" s="147">
        <f>'Exhibit B,S2'!Y17</f>
        <v>22152982.66</v>
      </c>
      <c r="D17" s="147"/>
      <c r="E17" s="147">
        <f>'Exhibit B,S2'!BC17</f>
        <v>22152982.66</v>
      </c>
      <c r="F17" s="147"/>
      <c r="G17" s="495">
        <f>'Exhibit B,S2'!BC57-E17</f>
        <v>0</v>
      </c>
      <c r="H17" s="147"/>
      <c r="I17" s="147">
        <f>C17-E17-G17</f>
        <v>0</v>
      </c>
      <c r="J17" s="147"/>
      <c r="K17" s="147">
        <f>C17-E17</f>
        <v>0</v>
      </c>
      <c r="O17" s="97">
        <v>1993</v>
      </c>
      <c r="P17" s="172"/>
      <c r="Q17" s="223"/>
      <c r="R17" s="61"/>
      <c r="S17" s="61"/>
      <c r="T17" s="61"/>
      <c r="U17" s="61"/>
      <c r="AK17" s="6"/>
      <c r="AL17" s="18"/>
      <c r="AM17" s="20"/>
      <c r="AN17" s="95"/>
      <c r="AO17" s="61"/>
      <c r="AP17" s="61"/>
      <c r="AR17" s="25"/>
      <c r="AS17" s="25"/>
      <c r="AT17" s="25"/>
      <c r="AU17" s="25"/>
      <c r="AV17" s="25"/>
      <c r="AW17" s="25"/>
      <c r="AX17" s="25"/>
      <c r="AY17" s="19"/>
      <c r="BA17" s="313"/>
      <c r="BC17" s="18"/>
      <c r="BD17" s="19"/>
      <c r="BF17" s="18"/>
      <c r="BH17" s="18"/>
      <c r="BI17" s="19"/>
    </row>
    <row r="18" spans="1:61">
      <c r="A18" s="6">
        <f>A17+1</f>
        <v>1995</v>
      </c>
      <c r="C18" s="494">
        <f>'Exhibit B,S2'!Y18</f>
        <v>25982509.75</v>
      </c>
      <c r="D18" s="187"/>
      <c r="E18" s="494">
        <f>'Exhibit B,S2'!BC18</f>
        <v>25982509.75</v>
      </c>
      <c r="F18" s="187"/>
      <c r="G18" s="494">
        <f>'Exhibit B,S2'!BC58-E18</f>
        <v>0</v>
      </c>
      <c r="H18" s="187"/>
      <c r="I18" s="494">
        <f t="shared" ref="I18:I45" si="0">C18-E18-G18</f>
        <v>0</v>
      </c>
      <c r="J18" s="187"/>
      <c r="K18" s="494">
        <f t="shared" ref="K18:K45" si="1">C18-E18</f>
        <v>0</v>
      </c>
      <c r="O18" s="25">
        <f>O17+1</f>
        <v>1994</v>
      </c>
      <c r="P18" s="172"/>
      <c r="Q18" s="137"/>
      <c r="R18" s="61"/>
      <c r="S18" s="61"/>
      <c r="T18" s="61"/>
      <c r="U18" s="61"/>
      <c r="AK18" s="6"/>
      <c r="AL18" s="18"/>
      <c r="AM18" s="20"/>
      <c r="AN18" s="95"/>
      <c r="AO18" s="61"/>
      <c r="AP18" s="61"/>
      <c r="AR18" s="18"/>
      <c r="AS18" s="25"/>
      <c r="AT18" s="25"/>
      <c r="AU18" s="20"/>
      <c r="AV18" s="20"/>
      <c r="AW18" s="20"/>
      <c r="AX18" s="20"/>
      <c r="AY18" s="20"/>
      <c r="BA18" s="313"/>
      <c r="BC18" s="18"/>
      <c r="BD18" s="20"/>
      <c r="BF18" s="18"/>
      <c r="BH18" s="18"/>
      <c r="BI18" s="20"/>
    </row>
    <row r="19" spans="1:61">
      <c r="A19" s="6">
        <f t="shared" ref="A19:A45" si="2">A18+1</f>
        <v>1996</v>
      </c>
      <c r="C19" s="494">
        <f>'Exhibit B,S2'!Y19</f>
        <v>28051683.599999998</v>
      </c>
      <c r="D19" s="187"/>
      <c r="E19" s="494">
        <f>'Exhibit B,S2'!BC19</f>
        <v>28051683.599999994</v>
      </c>
      <c r="F19" s="187"/>
      <c r="G19" s="494">
        <f>'Exhibit B,S2'!BC59-E19</f>
        <v>0</v>
      </c>
      <c r="H19" s="187"/>
      <c r="I19" s="494">
        <f t="shared" si="0"/>
        <v>3.7252902984619141E-9</v>
      </c>
      <c r="J19" s="187"/>
      <c r="K19" s="494">
        <f t="shared" si="1"/>
        <v>0</v>
      </c>
      <c r="O19" s="25">
        <f>O18+1</f>
        <v>1995</v>
      </c>
      <c r="P19" s="172"/>
      <c r="Q19" s="137"/>
      <c r="R19" s="61"/>
      <c r="S19" s="61"/>
      <c r="T19" s="61"/>
      <c r="U19" s="61"/>
      <c r="AK19" s="6"/>
      <c r="AL19" s="18"/>
      <c r="AM19" s="20"/>
      <c r="AN19" s="95"/>
      <c r="AO19" s="61"/>
      <c r="AP19" s="61"/>
      <c r="AR19" s="18"/>
      <c r="AS19" s="25"/>
      <c r="AT19" s="25"/>
      <c r="AU19" s="20"/>
      <c r="AV19" s="20"/>
      <c r="AW19" s="20"/>
      <c r="AX19" s="20"/>
      <c r="AY19" s="20"/>
      <c r="BA19" s="313"/>
      <c r="BC19" s="18"/>
      <c r="BD19" s="20"/>
      <c r="BF19" s="18"/>
      <c r="BH19" s="18"/>
      <c r="BI19" s="20"/>
    </row>
    <row r="20" spans="1:61">
      <c r="A20" s="6">
        <f t="shared" si="2"/>
        <v>1997</v>
      </c>
      <c r="C20" s="494">
        <f>'Exhibit B,S2'!Y20</f>
        <v>26129239.219999995</v>
      </c>
      <c r="D20" s="187"/>
      <c r="E20" s="494">
        <f>'Exhibit B,S2'!BC20</f>
        <v>26129239.219999995</v>
      </c>
      <c r="F20" s="187"/>
      <c r="G20" s="494">
        <f>'Exhibit B,S2'!BC60-E20</f>
        <v>0</v>
      </c>
      <c r="H20" s="187"/>
      <c r="I20" s="494">
        <f t="shared" si="0"/>
        <v>0</v>
      </c>
      <c r="J20" s="187"/>
      <c r="K20" s="494">
        <f t="shared" si="1"/>
        <v>0</v>
      </c>
      <c r="O20" s="25">
        <f t="shared" ref="O20:O45" si="3">O19+1</f>
        <v>1996</v>
      </c>
      <c r="P20" s="172"/>
      <c r="Q20" s="137"/>
      <c r="R20" s="61"/>
      <c r="S20" s="61"/>
      <c r="T20" s="61"/>
      <c r="U20" s="61"/>
      <c r="AK20" s="6"/>
      <c r="AL20" s="18"/>
      <c r="AM20" s="20"/>
      <c r="AN20" s="95"/>
      <c r="AO20" s="61"/>
      <c r="AP20" s="61"/>
      <c r="AR20" s="18"/>
      <c r="AS20" s="25"/>
      <c r="AT20" s="25"/>
      <c r="AU20" s="20"/>
      <c r="AV20" s="20"/>
      <c r="AW20" s="20"/>
      <c r="AX20" s="20"/>
      <c r="AY20" s="20"/>
      <c r="BA20" s="313"/>
      <c r="BC20" s="18"/>
      <c r="BD20" s="20"/>
      <c r="BF20" s="18"/>
      <c r="BH20" s="18"/>
      <c r="BI20" s="20"/>
    </row>
    <row r="21" spans="1:61">
      <c r="A21" s="6">
        <f t="shared" si="2"/>
        <v>1998</v>
      </c>
      <c r="C21" s="494">
        <f>'Exhibit B,S2'!Y21</f>
        <v>26521604.890000004</v>
      </c>
      <c r="D21" s="187"/>
      <c r="E21" s="494">
        <f>'Exhibit B,S2'!BC21</f>
        <v>26521604.890000001</v>
      </c>
      <c r="F21" s="187"/>
      <c r="G21" s="494">
        <f>'Exhibit B,S2'!BC61-E21</f>
        <v>0</v>
      </c>
      <c r="H21" s="187"/>
      <c r="I21" s="494">
        <f t="shared" si="0"/>
        <v>3.7252902984619141E-9</v>
      </c>
      <c r="J21" s="187"/>
      <c r="K21" s="494">
        <f t="shared" si="1"/>
        <v>0</v>
      </c>
      <c r="O21" s="25">
        <f t="shared" si="3"/>
        <v>1997</v>
      </c>
      <c r="P21" s="172"/>
      <c r="Q21" s="137"/>
      <c r="R21" s="61"/>
      <c r="S21" s="61"/>
      <c r="T21" s="61"/>
      <c r="U21" s="61"/>
      <c r="AK21" s="6"/>
      <c r="AL21" s="18"/>
      <c r="AM21" s="20"/>
      <c r="AN21" s="95"/>
      <c r="AO21" s="61"/>
      <c r="AP21" s="61"/>
      <c r="AR21" s="18"/>
      <c r="AS21" s="25"/>
      <c r="AT21" s="25"/>
      <c r="AU21" s="20"/>
      <c r="AV21" s="20"/>
      <c r="AW21" s="20"/>
      <c r="AX21" s="20"/>
      <c r="AY21" s="20"/>
      <c r="BA21" s="313"/>
      <c r="BC21" s="18"/>
      <c r="BD21" s="20"/>
      <c r="BF21" s="18"/>
      <c r="BH21" s="18"/>
      <c r="BI21" s="20"/>
    </row>
    <row r="22" spans="1:61">
      <c r="A22" s="6">
        <f t="shared" si="2"/>
        <v>1999</v>
      </c>
      <c r="C22" s="494">
        <f>'Exhibit B,S2'!Y22</f>
        <v>31146188.350000005</v>
      </c>
      <c r="D22" s="187"/>
      <c r="E22" s="494">
        <f>'Exhibit B,S2'!BC22</f>
        <v>31146188.350000005</v>
      </c>
      <c r="F22" s="187"/>
      <c r="G22" s="494">
        <f>'Exhibit B,S2'!BC62-E22</f>
        <v>0</v>
      </c>
      <c r="H22" s="187"/>
      <c r="I22" s="494">
        <f t="shared" si="0"/>
        <v>0</v>
      </c>
      <c r="J22" s="187"/>
      <c r="K22" s="494">
        <f t="shared" si="1"/>
        <v>0</v>
      </c>
      <c r="O22" s="25">
        <f t="shared" si="3"/>
        <v>1998</v>
      </c>
      <c r="P22" s="172"/>
      <c r="Q22" s="137"/>
      <c r="R22" s="61"/>
      <c r="S22" s="61"/>
      <c r="T22" s="61"/>
      <c r="U22" s="61"/>
      <c r="AK22" s="6"/>
      <c r="AL22" s="18"/>
      <c r="AM22" s="20"/>
      <c r="AN22" s="95"/>
      <c r="AO22" s="61"/>
      <c r="AP22" s="61"/>
      <c r="AR22" s="18"/>
      <c r="AS22" s="25"/>
      <c r="AT22" s="25"/>
      <c r="AU22" s="20"/>
      <c r="AV22" s="20"/>
      <c r="AW22" s="20"/>
      <c r="AX22" s="20"/>
      <c r="AY22" s="20"/>
      <c r="BA22" s="313"/>
      <c r="BC22" s="18"/>
      <c r="BD22" s="20"/>
      <c r="BF22" s="18"/>
      <c r="BH22" s="18"/>
      <c r="BI22" s="20"/>
    </row>
    <row r="23" spans="1:61">
      <c r="A23" s="6">
        <f t="shared" si="2"/>
        <v>2000</v>
      </c>
      <c r="C23" s="494">
        <f>'Exhibit B,S2'!Y23</f>
        <v>28557380.479999997</v>
      </c>
      <c r="D23" s="187"/>
      <c r="E23" s="494">
        <f>'Exhibit B,S2'!BC23</f>
        <v>28557380.479999997</v>
      </c>
      <c r="F23" s="187"/>
      <c r="G23" s="494">
        <f>'Exhibit B,S2'!BC63-E23</f>
        <v>0</v>
      </c>
      <c r="H23" s="187"/>
      <c r="I23" s="494">
        <f t="shared" si="0"/>
        <v>0</v>
      </c>
      <c r="J23" s="187"/>
      <c r="K23" s="494">
        <f t="shared" si="1"/>
        <v>0</v>
      </c>
      <c r="O23" s="25">
        <f t="shared" si="3"/>
        <v>1999</v>
      </c>
      <c r="P23" s="172"/>
      <c r="Q23" s="137"/>
      <c r="R23" s="61"/>
      <c r="S23" s="61"/>
      <c r="T23" s="61"/>
      <c r="U23" s="61"/>
      <c r="AK23" s="6"/>
      <c r="AL23" s="18"/>
      <c r="AM23" s="20"/>
      <c r="AN23" s="95"/>
      <c r="AO23" s="61"/>
      <c r="AP23" s="61"/>
      <c r="AR23" s="18"/>
      <c r="AS23" s="25"/>
      <c r="AT23" s="25"/>
      <c r="AU23" s="20"/>
      <c r="AV23" s="20"/>
      <c r="AW23" s="20"/>
      <c r="AX23" s="20"/>
      <c r="AY23" s="20"/>
      <c r="BA23" s="313"/>
      <c r="BC23" s="18"/>
      <c r="BD23" s="20"/>
      <c r="BF23" s="18"/>
      <c r="BH23" s="18"/>
      <c r="BI23" s="20"/>
    </row>
    <row r="24" spans="1:61" ht="16">
      <c r="A24" s="6">
        <f t="shared" si="2"/>
        <v>2001</v>
      </c>
      <c r="C24" s="494">
        <f>'Exhibit B,S2'!Y24</f>
        <v>28317349.960000001</v>
      </c>
      <c r="D24" s="187"/>
      <c r="E24" s="494">
        <f>'Exhibit B,S2'!BC24</f>
        <v>28317349.960000005</v>
      </c>
      <c r="F24" s="187"/>
      <c r="G24" s="494">
        <f>'Exhibit B,S2'!BC64-E24</f>
        <v>0</v>
      </c>
      <c r="H24" s="187"/>
      <c r="I24" s="494">
        <f t="shared" si="0"/>
        <v>-3.7252902984619141E-9</v>
      </c>
      <c r="J24" s="187"/>
      <c r="K24" s="494">
        <f t="shared" si="1"/>
        <v>0</v>
      </c>
      <c r="O24" s="25">
        <f t="shared" si="3"/>
        <v>2000</v>
      </c>
      <c r="P24" s="378">
        <v>28557380.48</v>
      </c>
      <c r="Q24" s="137"/>
      <c r="R24" s="378">
        <v>28557380.48</v>
      </c>
      <c r="S24" s="61"/>
      <c r="T24" s="61"/>
      <c r="U24" s="61"/>
      <c r="V24" s="18"/>
      <c r="AK24" s="6"/>
      <c r="AL24" s="18"/>
      <c r="AM24" s="20"/>
      <c r="AN24" s="95"/>
      <c r="AO24" s="61"/>
      <c r="AP24" s="61"/>
      <c r="AR24" s="18"/>
      <c r="AS24" s="25"/>
      <c r="AT24" s="25"/>
      <c r="AU24" s="20"/>
      <c r="AV24" s="20"/>
      <c r="AW24" s="20"/>
      <c r="AX24" s="20"/>
      <c r="AY24" s="20"/>
      <c r="BA24" s="313"/>
      <c r="BC24" s="18"/>
      <c r="BD24" s="20"/>
      <c r="BF24" s="18"/>
      <c r="BH24" s="18"/>
      <c r="BI24" s="20"/>
    </row>
    <row r="25" spans="1:61" ht="16">
      <c r="A25" s="6">
        <f t="shared" si="2"/>
        <v>2002</v>
      </c>
      <c r="C25" s="494">
        <f>'Exhibit B,S2'!Y25</f>
        <v>33754333.779999986</v>
      </c>
      <c r="D25" s="187"/>
      <c r="E25" s="494">
        <f>'Exhibit B,S2'!BC25</f>
        <v>33754333.779999986</v>
      </c>
      <c r="F25" s="187"/>
      <c r="G25" s="494">
        <f>'Exhibit B,S2'!BC65-E25</f>
        <v>0</v>
      </c>
      <c r="H25" s="187"/>
      <c r="I25" s="494">
        <f>C25-E25-G25</f>
        <v>0</v>
      </c>
      <c r="J25" s="187"/>
      <c r="K25" s="494">
        <f t="shared" si="1"/>
        <v>0</v>
      </c>
      <c r="O25" s="25">
        <f t="shared" si="3"/>
        <v>2001</v>
      </c>
      <c r="P25" s="378">
        <v>28317349.960000012</v>
      </c>
      <c r="Q25" s="137">
        <f t="shared" ref="Q25:Q45" si="4">E25-P25</f>
        <v>5436983.8199999742</v>
      </c>
      <c r="R25" s="378">
        <v>28317349.960000012</v>
      </c>
      <c r="S25" s="61"/>
      <c r="T25" s="137"/>
      <c r="U25" s="61"/>
      <c r="V25" s="18"/>
      <c r="W25" s="18"/>
      <c r="X25" s="18"/>
      <c r="Y25" s="20"/>
      <c r="Z25" s="61"/>
      <c r="AA25" s="337"/>
      <c r="AB25" s="337"/>
      <c r="AC25" s="137"/>
      <c r="AE25" s="18"/>
      <c r="AF25" s="18"/>
      <c r="AG25" s="18"/>
      <c r="AH25" s="17"/>
      <c r="AI25" s="17"/>
      <c r="AJ25" s="18"/>
      <c r="AK25" s="6"/>
      <c r="AL25" s="18"/>
      <c r="AM25" s="20"/>
      <c r="AN25" s="95"/>
      <c r="AO25" s="61"/>
      <c r="AP25" s="61"/>
      <c r="AR25" s="18"/>
      <c r="AS25" s="25"/>
      <c r="AT25" s="25"/>
      <c r="AU25" s="20"/>
      <c r="AV25" s="20"/>
      <c r="AW25" s="20"/>
      <c r="AX25" s="20"/>
      <c r="AY25" s="20"/>
      <c r="BA25" s="313"/>
      <c r="BB25" s="18"/>
      <c r="BC25" s="18"/>
      <c r="BD25" s="20"/>
      <c r="BF25" s="18"/>
      <c r="BG25" s="18"/>
      <c r="BH25" s="18"/>
      <c r="BI25" s="20"/>
    </row>
    <row r="26" spans="1:61" ht="16">
      <c r="A26" s="6">
        <f t="shared" si="2"/>
        <v>2003</v>
      </c>
      <c r="C26" s="494">
        <f>'Exhibit B,S2'!Y26</f>
        <v>30975767.879999995</v>
      </c>
      <c r="D26" s="187"/>
      <c r="E26" s="494">
        <f>'Exhibit B,S2'!BC26</f>
        <v>30975767.880000003</v>
      </c>
      <c r="F26" s="187"/>
      <c r="G26" s="494">
        <f>'Exhibit B,S2'!BC66-E26</f>
        <v>0</v>
      </c>
      <c r="H26" s="187"/>
      <c r="I26" s="494">
        <f t="shared" si="0"/>
        <v>-7.4505805969238281E-9</v>
      </c>
      <c r="J26" s="187"/>
      <c r="K26" s="494">
        <f t="shared" si="1"/>
        <v>0</v>
      </c>
      <c r="O26" s="25">
        <f t="shared" si="3"/>
        <v>2002</v>
      </c>
      <c r="P26" s="378">
        <v>33754333.780000001</v>
      </c>
      <c r="Q26" s="137">
        <f t="shared" si="4"/>
        <v>-2778565.8999999985</v>
      </c>
      <c r="R26" s="378">
        <v>33754333.779999994</v>
      </c>
      <c r="S26" s="137">
        <f t="shared" ref="S26:S45" si="5">(E26+G26)-R26</f>
        <v>-2778565.8999999911</v>
      </c>
      <c r="T26" s="137"/>
      <c r="U26" s="61"/>
      <c r="V26" s="18"/>
      <c r="W26" s="18"/>
      <c r="X26" s="18"/>
      <c r="Y26" s="20"/>
      <c r="Z26" s="61"/>
      <c r="AA26" s="337"/>
      <c r="AB26" s="337"/>
      <c r="AC26" s="137"/>
      <c r="AE26" s="18"/>
      <c r="AF26" s="18"/>
      <c r="AG26" s="18"/>
      <c r="AH26" s="17"/>
      <c r="AI26" s="17"/>
      <c r="AJ26" s="18"/>
      <c r="AK26" s="6"/>
      <c r="AL26" s="18"/>
      <c r="AM26" s="20"/>
      <c r="AN26" s="95"/>
      <c r="AO26" s="61"/>
      <c r="AP26" s="61"/>
      <c r="AR26" s="18"/>
      <c r="AS26" s="25"/>
      <c r="AT26" s="25"/>
      <c r="AU26" s="20"/>
      <c r="AV26" s="20"/>
      <c r="AW26" s="20"/>
      <c r="AX26" s="20"/>
      <c r="AY26" s="20"/>
      <c r="BA26" s="313"/>
      <c r="BB26" s="18"/>
      <c r="BC26" s="18"/>
      <c r="BD26" s="20"/>
      <c r="BF26" s="18"/>
      <c r="BG26" s="18"/>
      <c r="BH26" s="18"/>
      <c r="BI26" s="20"/>
    </row>
    <row r="27" spans="1:61" ht="16">
      <c r="A27" s="6">
        <f t="shared" si="2"/>
        <v>2004</v>
      </c>
      <c r="C27" s="494">
        <f>'Exhibit B,S2'!Y27</f>
        <v>21800433.559999995</v>
      </c>
      <c r="D27" s="187"/>
      <c r="E27" s="494">
        <f>'Exhibit B,S2'!BC27</f>
        <v>21800433.559999995</v>
      </c>
      <c r="F27" s="187"/>
      <c r="G27" s="494">
        <f>'Exhibit B,S2'!BC67-E27</f>
        <v>0</v>
      </c>
      <c r="H27" s="187"/>
      <c r="I27" s="494">
        <f t="shared" si="0"/>
        <v>0</v>
      </c>
      <c r="J27" s="187"/>
      <c r="K27" s="494">
        <f t="shared" si="1"/>
        <v>0</v>
      </c>
      <c r="O27" s="25">
        <f t="shared" si="3"/>
        <v>2003</v>
      </c>
      <c r="P27" s="378">
        <v>30975767.880000003</v>
      </c>
      <c r="Q27" s="137">
        <f t="shared" si="4"/>
        <v>-9175334.3200000077</v>
      </c>
      <c r="R27" s="378">
        <v>30975767.879999999</v>
      </c>
      <c r="S27" s="137">
        <f t="shared" si="5"/>
        <v>-9175334.320000004</v>
      </c>
      <c r="T27" s="137"/>
      <c r="U27" s="61"/>
      <c r="V27" s="18"/>
      <c r="W27" s="18"/>
      <c r="X27" s="18"/>
      <c r="Y27" s="20"/>
      <c r="Z27" s="61"/>
      <c r="AA27" s="337"/>
      <c r="AB27" s="337"/>
      <c r="AC27" s="137"/>
      <c r="AE27" s="18"/>
      <c r="AF27" s="18"/>
      <c r="AG27" s="18"/>
      <c r="AH27" s="17"/>
      <c r="AI27" s="17"/>
      <c r="AJ27" s="18"/>
      <c r="AK27" s="6"/>
      <c r="AL27" s="18"/>
      <c r="AM27" s="20"/>
      <c r="AN27" s="95"/>
      <c r="AO27" s="61"/>
      <c r="AP27" s="61"/>
      <c r="AR27" s="18"/>
      <c r="AS27" s="25"/>
      <c r="AT27" s="25"/>
      <c r="AU27" s="20"/>
      <c r="AV27" s="20"/>
      <c r="AW27" s="20"/>
      <c r="AX27" s="20"/>
      <c r="AY27" s="20"/>
      <c r="BA27" s="313"/>
      <c r="BB27" s="18"/>
      <c r="BC27" s="18"/>
      <c r="BD27" s="20"/>
      <c r="BF27" s="18"/>
      <c r="BG27" s="18"/>
      <c r="BH27" s="18"/>
      <c r="BI27" s="20"/>
    </row>
    <row r="28" spans="1:61" ht="16">
      <c r="A28" s="6">
        <f t="shared" si="2"/>
        <v>2005</v>
      </c>
      <c r="C28" s="494">
        <f>'Exhibit B,S2'!Y28</f>
        <v>21882870.450000003</v>
      </c>
      <c r="D28" s="187"/>
      <c r="E28" s="494">
        <f>'Exhibit B,S2'!BC28</f>
        <v>21882870.450000003</v>
      </c>
      <c r="F28" s="187"/>
      <c r="G28" s="494">
        <f>'Exhibit B,S2'!BC68-E28</f>
        <v>0</v>
      </c>
      <c r="H28" s="187"/>
      <c r="I28" s="494">
        <f t="shared" si="0"/>
        <v>0</v>
      </c>
      <c r="J28" s="187"/>
      <c r="K28" s="494">
        <f t="shared" si="1"/>
        <v>0</v>
      </c>
      <c r="O28" s="25">
        <f t="shared" si="3"/>
        <v>2004</v>
      </c>
      <c r="P28" s="378">
        <v>21800433.560000002</v>
      </c>
      <c r="Q28" s="137">
        <f t="shared" si="4"/>
        <v>82436.890000000596</v>
      </c>
      <c r="R28" s="378">
        <v>21800433.559999999</v>
      </c>
      <c r="S28" s="137">
        <f t="shared" si="5"/>
        <v>82436.890000004321</v>
      </c>
      <c r="T28" s="137"/>
      <c r="U28" s="61"/>
      <c r="V28" s="18"/>
      <c r="W28" s="18"/>
      <c r="X28" s="18"/>
      <c r="Y28" s="20"/>
      <c r="Z28" s="61"/>
      <c r="AA28" s="337"/>
      <c r="AB28" s="337"/>
      <c r="AC28" s="137"/>
      <c r="AE28" s="18"/>
      <c r="AF28" s="18"/>
      <c r="AG28" s="18"/>
      <c r="AH28" s="17"/>
      <c r="AI28" s="17"/>
      <c r="AJ28" s="18"/>
      <c r="AK28" s="6"/>
      <c r="AL28" s="18"/>
      <c r="AM28" s="20"/>
      <c r="AN28" s="95"/>
      <c r="AO28" s="61"/>
      <c r="AP28" s="61"/>
      <c r="AR28" s="18"/>
      <c r="AS28" s="25"/>
      <c r="AT28" s="25"/>
      <c r="AU28" s="20"/>
      <c r="AV28" s="20"/>
      <c r="AW28" s="20"/>
      <c r="AX28" s="20"/>
      <c r="AY28" s="20"/>
      <c r="BA28" s="313"/>
      <c r="BB28" s="18"/>
      <c r="BC28" s="18"/>
      <c r="BD28" s="20"/>
      <c r="BF28" s="18"/>
      <c r="BG28" s="18"/>
      <c r="BH28" s="18"/>
      <c r="BI28" s="20"/>
    </row>
    <row r="29" spans="1:61" ht="16">
      <c r="A29" s="6">
        <f t="shared" si="2"/>
        <v>2006</v>
      </c>
      <c r="C29" s="494">
        <f>'Exhibit B,S2'!Y29</f>
        <v>20611568.370000001</v>
      </c>
      <c r="D29" s="187"/>
      <c r="E29" s="494">
        <f>'Exhibit B,S2'!BC29</f>
        <v>20572948.359999999</v>
      </c>
      <c r="F29" s="187"/>
      <c r="G29" s="494">
        <f>'Exhibit B,S2'!BC69-E29</f>
        <v>38619.730000000447</v>
      </c>
      <c r="H29" s="187"/>
      <c r="I29" s="494">
        <f t="shared" si="0"/>
        <v>0.2800000011920929</v>
      </c>
      <c r="J29" s="187"/>
      <c r="K29" s="494">
        <f t="shared" si="1"/>
        <v>38620.010000001639</v>
      </c>
      <c r="O29" s="25">
        <f t="shared" si="3"/>
        <v>2005</v>
      </c>
      <c r="P29" s="378">
        <v>21882870.449999992</v>
      </c>
      <c r="Q29" s="137">
        <f t="shared" si="4"/>
        <v>-1309922.0899999924</v>
      </c>
      <c r="R29" s="378">
        <v>21882870.449999996</v>
      </c>
      <c r="S29" s="137">
        <f t="shared" si="5"/>
        <v>-1271302.3599999957</v>
      </c>
      <c r="T29" s="137"/>
      <c r="U29" s="61"/>
      <c r="V29" s="18"/>
      <c r="W29" s="18"/>
      <c r="X29" s="18"/>
      <c r="Y29" s="20"/>
      <c r="Z29" s="61"/>
      <c r="AA29" s="337"/>
      <c r="AB29" s="337"/>
      <c r="AC29" s="137"/>
      <c r="AE29" s="18"/>
      <c r="AF29" s="18"/>
      <c r="AG29" s="18"/>
      <c r="AH29" s="17"/>
      <c r="AI29" s="17"/>
      <c r="AJ29" s="18"/>
      <c r="AK29" s="6"/>
      <c r="AL29" s="18"/>
      <c r="AM29" s="20"/>
      <c r="AN29" s="95"/>
      <c r="AO29" s="61"/>
      <c r="AP29" s="61"/>
      <c r="AR29" s="18"/>
      <c r="AS29" s="25"/>
      <c r="AT29" s="25"/>
      <c r="AU29" s="20"/>
      <c r="AV29" s="20"/>
      <c r="AW29" s="20"/>
      <c r="AX29" s="20"/>
      <c r="AY29" s="20"/>
      <c r="BA29" s="313"/>
      <c r="BB29" s="18"/>
      <c r="BC29" s="18"/>
      <c r="BD29" s="20"/>
      <c r="BF29" s="18"/>
      <c r="BG29" s="18"/>
      <c r="BH29" s="18"/>
      <c r="BI29" s="20"/>
    </row>
    <row r="30" spans="1:61" ht="16">
      <c r="A30" s="6">
        <f t="shared" si="2"/>
        <v>2007</v>
      </c>
      <c r="C30" s="494">
        <f>'Exhibit B,S2'!Y30</f>
        <v>22412148.219999999</v>
      </c>
      <c r="D30" s="187"/>
      <c r="E30" s="494">
        <f>'Exhibit B,S2'!BC30</f>
        <v>22412148.219999999</v>
      </c>
      <c r="F30" s="187"/>
      <c r="G30" s="494">
        <f>'Exhibit B,S2'!BC70-E30</f>
        <v>0</v>
      </c>
      <c r="H30" s="187"/>
      <c r="I30" s="494">
        <f t="shared" si="0"/>
        <v>0</v>
      </c>
      <c r="J30" s="187"/>
      <c r="K30" s="494">
        <f t="shared" si="1"/>
        <v>0</v>
      </c>
      <c r="O30" s="25">
        <f t="shared" si="3"/>
        <v>2006</v>
      </c>
      <c r="P30" s="378">
        <v>20539781.59</v>
      </c>
      <c r="Q30" s="137">
        <f t="shared" si="4"/>
        <v>1872366.629999999</v>
      </c>
      <c r="R30" s="378">
        <v>20797704.390000001</v>
      </c>
      <c r="S30" s="137">
        <f t="shared" si="5"/>
        <v>1614443.8299999982</v>
      </c>
      <c r="T30" s="137"/>
      <c r="U30" s="61"/>
      <c r="V30" s="18"/>
      <c r="W30" s="18"/>
      <c r="X30" s="18"/>
      <c r="Y30" s="20"/>
      <c r="Z30" s="61"/>
      <c r="AA30" s="337"/>
      <c r="AB30" s="337"/>
      <c r="AC30" s="137"/>
      <c r="AE30" s="18"/>
      <c r="AF30" s="18"/>
      <c r="AG30" s="18"/>
      <c r="AH30" s="17"/>
      <c r="AI30" s="17"/>
      <c r="AJ30" s="18"/>
      <c r="AK30" s="6"/>
      <c r="AL30" s="18"/>
      <c r="AM30" s="20"/>
      <c r="AN30" s="95"/>
      <c r="AO30" s="61"/>
      <c r="AP30" s="61"/>
      <c r="AR30" s="18"/>
      <c r="AS30" s="25"/>
      <c r="AT30" s="25"/>
      <c r="AU30" s="20"/>
      <c r="AV30" s="20"/>
      <c r="AW30" s="20"/>
      <c r="AX30" s="20"/>
      <c r="AY30" s="20"/>
      <c r="BA30" s="313"/>
      <c r="BB30" s="18"/>
      <c r="BC30" s="18"/>
      <c r="BD30" s="20"/>
      <c r="BF30" s="18"/>
      <c r="BG30" s="18"/>
      <c r="BH30" s="18"/>
      <c r="BI30" s="20"/>
    </row>
    <row r="31" spans="1:61" ht="16">
      <c r="A31" s="6">
        <f t="shared" si="2"/>
        <v>2008</v>
      </c>
      <c r="C31" s="494">
        <f>'Exhibit B,S2'!Y31</f>
        <v>23727229.329999998</v>
      </c>
      <c r="D31" s="187"/>
      <c r="E31" s="494">
        <f>'Exhibit B,S2'!BC31</f>
        <v>23727229.329999998</v>
      </c>
      <c r="F31" s="187"/>
      <c r="G31" s="494">
        <f>'Exhibit B,S2'!BC71-E31</f>
        <v>0</v>
      </c>
      <c r="H31" s="187"/>
      <c r="I31" s="494">
        <f t="shared" si="0"/>
        <v>0</v>
      </c>
      <c r="J31" s="187"/>
      <c r="K31" s="494">
        <f t="shared" si="1"/>
        <v>0</v>
      </c>
      <c r="O31" s="25">
        <f t="shared" si="3"/>
        <v>2007</v>
      </c>
      <c r="P31" s="378">
        <v>22412148.219999995</v>
      </c>
      <c r="Q31" s="137">
        <f t="shared" si="4"/>
        <v>1315081.1100000031</v>
      </c>
      <c r="R31" s="378">
        <v>22412148.219999995</v>
      </c>
      <c r="S31" s="137">
        <f t="shared" si="5"/>
        <v>1315081.1100000031</v>
      </c>
      <c r="T31" s="137"/>
      <c r="U31" s="61"/>
      <c r="V31" s="18"/>
      <c r="W31" s="18"/>
      <c r="X31" s="18"/>
      <c r="Y31" s="20"/>
      <c r="Z31" s="61"/>
      <c r="AA31" s="337"/>
      <c r="AB31" s="337"/>
      <c r="AC31" s="137"/>
      <c r="AE31" s="18"/>
      <c r="AF31" s="18"/>
      <c r="AG31" s="18"/>
      <c r="AH31" s="17"/>
      <c r="AI31" s="17"/>
      <c r="AJ31" s="18"/>
      <c r="AK31" s="6"/>
      <c r="AL31" s="18"/>
      <c r="AM31" s="20"/>
      <c r="AN31" s="95"/>
      <c r="AO31" s="61"/>
      <c r="AP31" s="61"/>
      <c r="AR31" s="18"/>
      <c r="AS31" s="25"/>
      <c r="AT31" s="25"/>
      <c r="AU31" s="20"/>
      <c r="AV31" s="20"/>
      <c r="AW31" s="20"/>
      <c r="AX31" s="20"/>
      <c r="AY31" s="20"/>
      <c r="BA31" s="313"/>
      <c r="BB31" s="18"/>
      <c r="BC31" s="18"/>
      <c r="BD31" s="20"/>
      <c r="BF31" s="18"/>
      <c r="BG31" s="18"/>
      <c r="BH31" s="18"/>
      <c r="BI31" s="20"/>
    </row>
    <row r="32" spans="1:61" ht="16">
      <c r="A32" s="6">
        <f t="shared" si="2"/>
        <v>2009</v>
      </c>
      <c r="C32" s="494">
        <f>'Exhibit B,S2'!Y32</f>
        <v>19477283.030000001</v>
      </c>
      <c r="D32" s="187"/>
      <c r="E32" s="494">
        <f>'Exhibit B,S2'!BC32</f>
        <v>19477283.030000001</v>
      </c>
      <c r="F32" s="187"/>
      <c r="G32" s="494">
        <f>'Exhibit B,S2'!BC72-E32</f>
        <v>0</v>
      </c>
      <c r="H32" s="187"/>
      <c r="I32" s="494">
        <f t="shared" si="0"/>
        <v>0</v>
      </c>
      <c r="J32" s="187"/>
      <c r="K32" s="494">
        <f t="shared" si="1"/>
        <v>0</v>
      </c>
      <c r="O32" s="25">
        <f t="shared" si="3"/>
        <v>2008</v>
      </c>
      <c r="P32" s="378">
        <v>23727229.329999998</v>
      </c>
      <c r="Q32" s="137">
        <f t="shared" si="4"/>
        <v>-4249946.299999997</v>
      </c>
      <c r="R32" s="378">
        <v>23727229.329999998</v>
      </c>
      <c r="S32" s="137">
        <f t="shared" si="5"/>
        <v>-4249946.299999997</v>
      </c>
      <c r="T32" s="137"/>
      <c r="U32" s="61"/>
      <c r="V32" s="18"/>
      <c r="W32" s="18"/>
      <c r="X32" s="18"/>
      <c r="Y32" s="20"/>
      <c r="Z32" s="61"/>
      <c r="AA32" s="337"/>
      <c r="AB32" s="337"/>
      <c r="AC32" s="137"/>
      <c r="AE32" s="18"/>
      <c r="AF32" s="18"/>
      <c r="AG32" s="18"/>
      <c r="AH32" s="17"/>
      <c r="AI32" s="17"/>
      <c r="AJ32" s="18"/>
      <c r="AK32" s="6"/>
      <c r="AL32" s="18"/>
      <c r="AM32" s="20"/>
      <c r="AN32" s="95"/>
      <c r="AO32" s="61"/>
      <c r="AP32" s="61"/>
      <c r="AR32" s="18"/>
      <c r="AS32" s="25"/>
      <c r="AT32" s="25"/>
      <c r="AU32" s="20"/>
      <c r="AV32" s="20"/>
      <c r="AW32" s="20"/>
      <c r="AX32" s="20"/>
      <c r="AY32" s="20"/>
      <c r="BA32" s="313"/>
      <c r="BB32" s="18"/>
      <c r="BC32" s="18"/>
      <c r="BD32" s="20"/>
      <c r="BF32" s="18"/>
      <c r="BG32" s="18"/>
      <c r="BH32" s="18"/>
      <c r="BI32" s="20"/>
    </row>
    <row r="33" spans="1:61" ht="16">
      <c r="A33" s="6">
        <f t="shared" si="2"/>
        <v>2010</v>
      </c>
      <c r="C33" s="494">
        <f>'Exhibit B,S2'!Y33</f>
        <v>30693203.049999997</v>
      </c>
      <c r="D33" s="187"/>
      <c r="E33" s="494">
        <f>'Exhibit B,S2'!BC33</f>
        <v>30693203.049999997</v>
      </c>
      <c r="F33" s="187"/>
      <c r="G33" s="494">
        <f>'Exhibit B,S2'!BC73-E33</f>
        <v>0</v>
      </c>
      <c r="H33" s="187"/>
      <c r="I33" s="494">
        <f t="shared" si="0"/>
        <v>0</v>
      </c>
      <c r="J33" s="187"/>
      <c r="K33" s="494">
        <f t="shared" si="1"/>
        <v>0</v>
      </c>
      <c r="O33" s="25">
        <f t="shared" si="3"/>
        <v>2009</v>
      </c>
      <c r="P33" s="378">
        <v>19477283.030000001</v>
      </c>
      <c r="Q33" s="137">
        <f t="shared" si="4"/>
        <v>11215920.019999996</v>
      </c>
      <c r="R33" s="378">
        <v>19477283.030000001</v>
      </c>
      <c r="S33" s="137">
        <f t="shared" si="5"/>
        <v>11215920.019999996</v>
      </c>
      <c r="T33" s="137"/>
      <c r="U33" s="61"/>
      <c r="V33" s="18"/>
      <c r="W33" s="18"/>
      <c r="X33" s="18"/>
      <c r="Y33" s="20"/>
      <c r="Z33" s="61"/>
      <c r="AA33" s="337"/>
      <c r="AB33" s="337"/>
      <c r="AC33" s="137"/>
      <c r="AE33" s="18"/>
      <c r="AF33" s="18"/>
      <c r="AG33" s="18"/>
      <c r="AH33" s="17"/>
      <c r="AI33" s="17"/>
      <c r="AJ33" s="18"/>
      <c r="AK33" s="6"/>
      <c r="AL33" s="18"/>
      <c r="AM33" s="20"/>
      <c r="AN33" s="95"/>
      <c r="AO33" s="61"/>
      <c r="AP33" s="61"/>
      <c r="AR33" s="18"/>
      <c r="AS33" s="25"/>
      <c r="AT33" s="25"/>
      <c r="AU33" s="20"/>
      <c r="AV33" s="20"/>
      <c r="AW33" s="20"/>
      <c r="AX33" s="20"/>
      <c r="AY33" s="20"/>
      <c r="BA33" s="313"/>
      <c r="BB33" s="18"/>
      <c r="BC33" s="18"/>
      <c r="BD33" s="20"/>
      <c r="BF33" s="18"/>
      <c r="BG33" s="18"/>
      <c r="BH33" s="18"/>
      <c r="BI33" s="20"/>
    </row>
    <row r="34" spans="1:61" ht="16">
      <c r="A34" s="6">
        <f t="shared" si="2"/>
        <v>2011</v>
      </c>
      <c r="C34" s="494">
        <f>'Exhibit B,S2'!Y34</f>
        <v>21892845.310521472</v>
      </c>
      <c r="D34" s="187"/>
      <c r="E34" s="494">
        <f>'Exhibit B,S2'!BC34</f>
        <v>21895156.519999996</v>
      </c>
      <c r="F34" s="187"/>
      <c r="G34" s="494">
        <f>'Exhibit B,S2'!BC74-E34</f>
        <v>0</v>
      </c>
      <c r="H34" s="187"/>
      <c r="I34" s="494">
        <f t="shared" si="0"/>
        <v>-2311.2094785235822</v>
      </c>
      <c r="J34" s="187"/>
      <c r="K34" s="494">
        <f>C34-E34</f>
        <v>-2311.2094785235822</v>
      </c>
      <c r="M34" s="20"/>
      <c r="O34" s="25">
        <f t="shared" si="3"/>
        <v>2010</v>
      </c>
      <c r="P34" s="378">
        <v>30690988.049999997</v>
      </c>
      <c r="Q34" s="137">
        <f t="shared" si="4"/>
        <v>-8795831.5300000012</v>
      </c>
      <c r="R34" s="378">
        <v>30692959.869999997</v>
      </c>
      <c r="S34" s="137">
        <f t="shared" si="5"/>
        <v>-8797803.3500000015</v>
      </c>
      <c r="T34" s="137"/>
      <c r="U34" s="61"/>
      <c r="V34" s="18"/>
      <c r="W34" s="18"/>
      <c r="X34" s="18"/>
      <c r="Y34" s="20"/>
      <c r="Z34" s="61"/>
      <c r="AA34" s="337"/>
      <c r="AB34" s="337"/>
      <c r="AC34" s="137"/>
      <c r="AE34" s="18"/>
      <c r="AF34" s="18"/>
      <c r="AG34" s="18"/>
      <c r="AH34" s="17"/>
      <c r="AI34" s="17"/>
      <c r="AJ34" s="18"/>
      <c r="AK34" s="6"/>
      <c r="AL34" s="18"/>
      <c r="AM34" s="20"/>
      <c r="AN34" s="95"/>
      <c r="AO34" s="61"/>
      <c r="AP34" s="61"/>
      <c r="AR34" s="18"/>
      <c r="AS34" s="25"/>
      <c r="AT34" s="25"/>
      <c r="AU34" s="20"/>
      <c r="AV34" s="20"/>
      <c r="AW34" s="20"/>
      <c r="AX34" s="20"/>
      <c r="AY34" s="20"/>
      <c r="BA34" s="313"/>
      <c r="BB34" s="18"/>
      <c r="BC34" s="18"/>
      <c r="BD34" s="20"/>
      <c r="BF34" s="18"/>
      <c r="BG34" s="18"/>
      <c r="BH34" s="18"/>
      <c r="BI34" s="20"/>
    </row>
    <row r="35" spans="1:61" ht="16">
      <c r="A35" s="6">
        <f t="shared" si="2"/>
        <v>2012</v>
      </c>
      <c r="C35" s="494">
        <f>'Exhibit B,S2'!Y35</f>
        <v>36594274.740252517</v>
      </c>
      <c r="D35" s="187"/>
      <c r="E35" s="494">
        <f>'Exhibit B,S2'!BC35</f>
        <v>36147388.790000007</v>
      </c>
      <c r="F35" s="187"/>
      <c r="G35" s="494">
        <f>'Exhibit B,S2'!BC75-E35</f>
        <v>443718.89999999851</v>
      </c>
      <c r="H35" s="187"/>
      <c r="I35" s="494">
        <f t="shared" si="0"/>
        <v>3167.0502525120974</v>
      </c>
      <c r="J35" s="187"/>
      <c r="K35" s="494">
        <f t="shared" si="1"/>
        <v>446885.95025251061</v>
      </c>
      <c r="M35" s="20"/>
      <c r="O35" s="25">
        <f t="shared" si="3"/>
        <v>2011</v>
      </c>
      <c r="P35" s="378">
        <v>21873129.66</v>
      </c>
      <c r="Q35" s="137">
        <f t="shared" si="4"/>
        <v>14274259.130000006</v>
      </c>
      <c r="R35" s="378">
        <v>22416121.109999999</v>
      </c>
      <c r="S35" s="137">
        <f t="shared" si="5"/>
        <v>14174986.580000006</v>
      </c>
      <c r="T35" s="137"/>
      <c r="U35" s="61"/>
      <c r="V35" s="18"/>
      <c r="W35" s="18"/>
      <c r="X35" s="18"/>
      <c r="Y35" s="20"/>
      <c r="Z35" s="61"/>
      <c r="AA35" s="337"/>
      <c r="AB35" s="337"/>
      <c r="AC35" s="137"/>
      <c r="AE35" s="18"/>
      <c r="AF35" s="18"/>
      <c r="AG35" s="18"/>
      <c r="AH35" s="17"/>
      <c r="AI35" s="17"/>
      <c r="AJ35" s="18"/>
      <c r="AK35" s="6"/>
      <c r="AL35" s="18"/>
      <c r="AM35" s="20"/>
      <c r="AN35" s="95"/>
      <c r="AO35" s="61"/>
      <c r="AP35" s="61"/>
      <c r="AR35" s="18"/>
      <c r="AS35" s="25"/>
      <c r="AT35" s="25"/>
      <c r="AU35" s="20"/>
      <c r="AV35" s="20"/>
      <c r="AW35" s="20"/>
      <c r="AX35" s="20"/>
      <c r="AY35" s="20"/>
      <c r="BA35" s="313"/>
      <c r="BB35" s="18"/>
      <c r="BC35" s="18"/>
      <c r="BD35" s="20"/>
      <c r="BF35" s="18"/>
      <c r="BG35" s="18"/>
      <c r="BH35" s="18"/>
      <c r="BI35" s="20"/>
    </row>
    <row r="36" spans="1:61" ht="16">
      <c r="A36" s="6">
        <f t="shared" si="2"/>
        <v>2013</v>
      </c>
      <c r="C36" s="494">
        <f>'Exhibit B,S2'!Y36</f>
        <v>31944982.363882102</v>
      </c>
      <c r="D36" s="187"/>
      <c r="E36" s="494">
        <f>'Exhibit B,S2'!BC36</f>
        <v>29974023.357000001</v>
      </c>
      <c r="F36" s="187"/>
      <c r="G36" s="494">
        <f>'Exhibit B,S2'!BC76-E36</f>
        <v>1964258.3599999994</v>
      </c>
      <c r="H36" s="187"/>
      <c r="I36" s="494">
        <f t="shared" si="0"/>
        <v>6700.6468821018934</v>
      </c>
      <c r="J36" s="187"/>
      <c r="K36" s="494">
        <f t="shared" si="1"/>
        <v>1970959.0068821013</v>
      </c>
      <c r="M36" s="20"/>
      <c r="N36" s="22"/>
      <c r="O36" s="25">
        <f t="shared" si="3"/>
        <v>2012</v>
      </c>
      <c r="P36" s="378">
        <v>35214452.030000009</v>
      </c>
      <c r="Q36" s="137">
        <f t="shared" si="4"/>
        <v>-5240428.6730000079</v>
      </c>
      <c r="R36" s="378">
        <v>37700884.820000008</v>
      </c>
      <c r="S36" s="137">
        <f t="shared" si="5"/>
        <v>-5762603.1030000076</v>
      </c>
      <c r="T36" s="137"/>
      <c r="U36" s="61"/>
      <c r="V36" s="18"/>
      <c r="W36" s="18"/>
      <c r="X36" s="18"/>
      <c r="Y36" s="20"/>
      <c r="Z36" s="61"/>
      <c r="AA36" s="337"/>
      <c r="AB36" s="337"/>
      <c r="AC36" s="137"/>
      <c r="AE36" s="18"/>
      <c r="AF36" s="18"/>
      <c r="AG36" s="18"/>
      <c r="AH36" s="17"/>
      <c r="AI36" s="17"/>
      <c r="AJ36" s="18"/>
      <c r="AK36" s="6"/>
      <c r="AL36" s="18"/>
      <c r="AM36" s="20"/>
      <c r="AN36" s="95"/>
      <c r="AO36" s="61"/>
      <c r="AP36" s="61"/>
      <c r="AR36" s="18"/>
      <c r="AS36" s="25"/>
      <c r="AT36" s="25"/>
      <c r="AU36" s="20"/>
      <c r="AV36" s="20"/>
      <c r="AW36" s="20"/>
      <c r="AX36" s="20"/>
      <c r="AY36" s="20"/>
      <c r="BA36" s="313"/>
      <c r="BB36" s="18"/>
      <c r="BC36" s="18"/>
      <c r="BD36" s="20"/>
      <c r="BF36" s="18"/>
      <c r="BG36" s="18"/>
      <c r="BH36" s="18"/>
      <c r="BI36" s="20"/>
    </row>
    <row r="37" spans="1:61" ht="16">
      <c r="A37" s="6">
        <f t="shared" si="2"/>
        <v>2014</v>
      </c>
      <c r="C37" s="494">
        <f>'Exhibit B,S2'!Y37</f>
        <v>35667999.227230929</v>
      </c>
      <c r="D37" s="187"/>
      <c r="E37" s="494">
        <f>'Exhibit B,S2'!BC37</f>
        <v>29197073.883999996</v>
      </c>
      <c r="F37" s="187"/>
      <c r="G37" s="187">
        <f>'Exhibit B,S2'!BC77-E37</f>
        <v>6421673.5240000039</v>
      </c>
      <c r="H37" s="187"/>
      <c r="I37" s="494">
        <f t="shared" si="0"/>
        <v>49251.819230929017</v>
      </c>
      <c r="J37" s="187"/>
      <c r="K37" s="494">
        <f t="shared" si="1"/>
        <v>6470925.343230933</v>
      </c>
      <c r="M37" s="20"/>
      <c r="O37" s="25">
        <f t="shared" si="3"/>
        <v>2013</v>
      </c>
      <c r="P37" s="378">
        <v>27733617.976999994</v>
      </c>
      <c r="Q37" s="137">
        <f t="shared" si="4"/>
        <v>1463455.9070000015</v>
      </c>
      <c r="R37" s="378">
        <v>33532301.486999992</v>
      </c>
      <c r="S37" s="137">
        <f t="shared" si="5"/>
        <v>2086445.9210000075</v>
      </c>
      <c r="T37" s="137"/>
      <c r="U37" s="61"/>
      <c r="V37" s="18"/>
      <c r="W37" s="18"/>
      <c r="X37" s="18"/>
      <c r="Y37" s="20"/>
      <c r="Z37" s="61"/>
      <c r="AA37" s="337"/>
      <c r="AB37" s="337"/>
      <c r="AC37" s="137"/>
      <c r="AE37" s="18"/>
      <c r="AF37" s="18"/>
      <c r="AG37" s="18"/>
      <c r="AH37" s="17"/>
      <c r="AI37" s="17"/>
      <c r="AJ37" s="18"/>
      <c r="AK37" s="6"/>
      <c r="AL37" s="18"/>
      <c r="AM37" s="20"/>
      <c r="AN37" s="95"/>
      <c r="AO37" s="61"/>
      <c r="AP37" s="61"/>
      <c r="AR37" s="18"/>
      <c r="AS37" s="25"/>
      <c r="AT37" s="25"/>
      <c r="AU37" s="20"/>
      <c r="AV37" s="20"/>
      <c r="AW37" s="20"/>
      <c r="AX37" s="20"/>
      <c r="AY37" s="20"/>
      <c r="BA37" s="313"/>
      <c r="BB37" s="18"/>
      <c r="BC37" s="18"/>
      <c r="BD37" s="20"/>
      <c r="BF37" s="18"/>
      <c r="BG37" s="18"/>
      <c r="BH37" s="18"/>
      <c r="BI37" s="20"/>
    </row>
    <row r="38" spans="1:61" ht="16">
      <c r="A38" s="6">
        <f t="shared" si="2"/>
        <v>2015</v>
      </c>
      <c r="C38" s="494">
        <f>'Exhibit B,S2'!Y38</f>
        <v>28508390.363955352</v>
      </c>
      <c r="D38" s="187"/>
      <c r="E38" s="494">
        <f>'Exhibit B,S2'!BC38</f>
        <v>24955368.049499992</v>
      </c>
      <c r="F38" s="187"/>
      <c r="G38" s="187">
        <f>'Exhibit B,S2'!BC78-E38</f>
        <v>3412745.6300000027</v>
      </c>
      <c r="H38" s="187"/>
      <c r="I38" s="494">
        <f t="shared" si="0"/>
        <v>140276.68445535749</v>
      </c>
      <c r="J38" s="187"/>
      <c r="K38" s="494">
        <f t="shared" si="1"/>
        <v>3553022.3144553602</v>
      </c>
      <c r="M38" s="20"/>
      <c r="O38" s="25">
        <f t="shared" si="3"/>
        <v>2014</v>
      </c>
      <c r="P38" s="378">
        <v>27791197.279000003</v>
      </c>
      <c r="Q38" s="137">
        <f t="shared" si="4"/>
        <v>-2835829.2295000106</v>
      </c>
      <c r="R38" s="378">
        <v>36283731.947999999</v>
      </c>
      <c r="S38" s="137">
        <f t="shared" si="5"/>
        <v>-7915618.268500004</v>
      </c>
      <c r="T38" s="137"/>
      <c r="U38" s="61"/>
      <c r="V38" s="18"/>
      <c r="W38" s="18"/>
      <c r="X38" s="18"/>
      <c r="Y38" s="20"/>
      <c r="Z38" s="61"/>
      <c r="AA38" s="337"/>
      <c r="AB38" s="337"/>
      <c r="AC38" s="137"/>
      <c r="AE38" s="18"/>
      <c r="AF38" s="18"/>
      <c r="AG38" s="18"/>
      <c r="AH38" s="17"/>
      <c r="AI38" s="17"/>
      <c r="AJ38" s="18"/>
      <c r="AK38" s="6"/>
      <c r="AL38" s="18"/>
      <c r="AM38" s="20"/>
      <c r="AN38" s="95"/>
      <c r="AO38" s="61"/>
      <c r="AP38" s="61"/>
      <c r="AR38" s="18"/>
      <c r="AS38" s="25"/>
      <c r="AT38" s="25"/>
      <c r="AU38" s="20"/>
      <c r="AV38" s="20"/>
      <c r="AW38" s="20"/>
      <c r="AX38" s="20"/>
      <c r="AY38" s="20"/>
      <c r="BA38" s="313"/>
      <c r="BB38" s="18"/>
      <c r="BC38" s="18"/>
      <c r="BD38" s="20"/>
      <c r="BF38" s="18"/>
      <c r="BG38" s="18"/>
      <c r="BH38" s="18"/>
      <c r="BI38" s="20"/>
    </row>
    <row r="39" spans="1:61" ht="16">
      <c r="A39" s="6">
        <f t="shared" si="2"/>
        <v>2016</v>
      </c>
      <c r="C39" s="494">
        <f>'Exhibit B,S2'!Y39</f>
        <v>38330012.130346186</v>
      </c>
      <c r="D39" s="187"/>
      <c r="E39" s="494">
        <f>'Exhibit B,S2'!BC39</f>
        <v>30943538.522999998</v>
      </c>
      <c r="F39" s="187"/>
      <c r="G39" s="187">
        <f>'Exhibit B,S2'!BC79-E39</f>
        <v>5347786.5604999997</v>
      </c>
      <c r="H39" s="187"/>
      <c r="I39" s="494">
        <f t="shared" si="0"/>
        <v>2038687.0468461886</v>
      </c>
      <c r="J39" s="187"/>
      <c r="K39" s="494">
        <f t="shared" si="1"/>
        <v>7386473.6073461883</v>
      </c>
      <c r="M39" s="20"/>
      <c r="O39" s="25">
        <f t="shared" si="3"/>
        <v>2015</v>
      </c>
      <c r="P39" s="378">
        <v>22788684.009499997</v>
      </c>
      <c r="Q39" s="137">
        <f t="shared" si="4"/>
        <v>8154854.5135000013</v>
      </c>
      <c r="R39" s="378">
        <v>28461718.749499999</v>
      </c>
      <c r="S39" s="137">
        <f t="shared" si="5"/>
        <v>7829606.3339999989</v>
      </c>
      <c r="T39" s="137"/>
      <c r="U39" s="61"/>
      <c r="V39" s="18"/>
      <c r="W39" s="18"/>
      <c r="X39" s="18"/>
      <c r="Y39" s="20"/>
      <c r="Z39" s="61"/>
      <c r="AA39" s="337"/>
      <c r="AB39" s="337"/>
      <c r="AC39" s="137"/>
      <c r="AE39" s="18"/>
      <c r="AF39" s="18"/>
      <c r="AG39" s="18"/>
      <c r="AH39" s="17"/>
      <c r="AI39" s="17"/>
      <c r="AJ39" s="18"/>
      <c r="AK39" s="6"/>
      <c r="AL39" s="18"/>
      <c r="AM39" s="20"/>
      <c r="AN39" s="95"/>
      <c r="AO39" s="61"/>
      <c r="AP39" s="61"/>
      <c r="AR39" s="18"/>
      <c r="AS39" s="25"/>
      <c r="AT39" s="25"/>
      <c r="AU39" s="20"/>
      <c r="AV39" s="20"/>
      <c r="AW39" s="20"/>
      <c r="AX39" s="20"/>
      <c r="AY39" s="20"/>
      <c r="BA39" s="313"/>
      <c r="BB39" s="18"/>
      <c r="BC39" s="18"/>
      <c r="BD39" s="20"/>
      <c r="BF39" s="18"/>
      <c r="BG39" s="18"/>
      <c r="BH39" s="18"/>
      <c r="BI39" s="20"/>
    </row>
    <row r="40" spans="1:61" ht="16">
      <c r="A40" s="6">
        <f t="shared" si="2"/>
        <v>2017</v>
      </c>
      <c r="C40" s="494">
        <f>'Exhibit B,S2'!Y40</f>
        <v>25849020.833211146</v>
      </c>
      <c r="D40" s="187"/>
      <c r="E40" s="494">
        <f>'Exhibit B,S2'!BC40</f>
        <v>16493681.407000002</v>
      </c>
      <c r="F40" s="187"/>
      <c r="G40" s="187">
        <f>'Exhibit B,S2'!BC80-E40</f>
        <v>5269963.1094999947</v>
      </c>
      <c r="H40" s="187"/>
      <c r="I40" s="494">
        <f t="shared" si="0"/>
        <v>4085376.3167111501</v>
      </c>
      <c r="J40" s="187"/>
      <c r="K40" s="494">
        <f t="shared" si="1"/>
        <v>9355339.4262111448</v>
      </c>
      <c r="M40" s="20"/>
      <c r="O40" s="25">
        <f t="shared" si="3"/>
        <v>2016</v>
      </c>
      <c r="P40" s="378">
        <v>26431330.858500004</v>
      </c>
      <c r="Q40" s="137">
        <f t="shared" si="4"/>
        <v>-9937649.4515000023</v>
      </c>
      <c r="R40" s="378">
        <v>34637569.544500001</v>
      </c>
      <c r="S40" s="137">
        <f t="shared" si="5"/>
        <v>-12873925.028000005</v>
      </c>
      <c r="T40" s="137"/>
      <c r="U40" s="61"/>
      <c r="V40" s="18"/>
      <c r="W40" s="18"/>
      <c r="X40" s="18"/>
      <c r="Y40" s="20"/>
      <c r="Z40" s="61"/>
      <c r="AA40" s="337"/>
      <c r="AB40" s="337"/>
      <c r="AC40" s="137"/>
      <c r="AE40" s="18"/>
      <c r="AF40" s="18"/>
      <c r="AG40" s="18"/>
      <c r="AH40" s="17"/>
      <c r="AI40" s="17"/>
      <c r="AJ40" s="18"/>
      <c r="AK40" s="6"/>
      <c r="AL40" s="18"/>
      <c r="AM40" s="20"/>
      <c r="AN40" s="95"/>
      <c r="AO40" s="61"/>
      <c r="AP40" s="61"/>
      <c r="AR40" s="18"/>
      <c r="AS40" s="25"/>
      <c r="AT40" s="25"/>
      <c r="AU40" s="20"/>
      <c r="AV40" s="20"/>
      <c r="AW40" s="20"/>
      <c r="AX40" s="20"/>
      <c r="AY40" s="20"/>
      <c r="BA40" s="313"/>
      <c r="BB40" s="18"/>
      <c r="BC40" s="18"/>
      <c r="BD40" s="20"/>
      <c r="BF40" s="18"/>
      <c r="BG40" s="18"/>
      <c r="BH40" s="18"/>
      <c r="BI40" s="20"/>
    </row>
    <row r="41" spans="1:61" ht="16">
      <c r="A41" s="6">
        <f t="shared" si="2"/>
        <v>2018</v>
      </c>
      <c r="C41" s="494">
        <f>'Exhibit B,S2'!Y41</f>
        <v>40974253.122349977</v>
      </c>
      <c r="D41" s="187"/>
      <c r="E41" s="494">
        <f>'Exhibit B,S2'!BC41</f>
        <v>16888825.967999998</v>
      </c>
      <c r="F41" s="187"/>
      <c r="G41" s="187">
        <f>'Exhibit B,S2'!BC81-E41</f>
        <v>11732496.848000001</v>
      </c>
      <c r="H41" s="187"/>
      <c r="I41" s="494">
        <f t="shared" si="0"/>
        <v>12352930.306349978</v>
      </c>
      <c r="J41" s="187"/>
      <c r="K41" s="494">
        <f t="shared" si="1"/>
        <v>24085427.154349979</v>
      </c>
      <c r="M41" s="20"/>
      <c r="O41" s="25">
        <f t="shared" si="3"/>
        <v>2017</v>
      </c>
      <c r="P41" s="378">
        <v>13854071.368999999</v>
      </c>
      <c r="Q41" s="137">
        <f t="shared" si="4"/>
        <v>3034754.5989999995</v>
      </c>
      <c r="R41" s="378">
        <v>22166524.965999998</v>
      </c>
      <c r="S41" s="137">
        <f t="shared" si="5"/>
        <v>6454797.8500000015</v>
      </c>
      <c r="T41" s="137"/>
      <c r="U41" s="61"/>
      <c r="V41" s="18"/>
      <c r="W41" s="18"/>
      <c r="X41" s="18"/>
      <c r="Y41" s="20"/>
      <c r="Z41" s="61"/>
      <c r="AA41" s="337"/>
      <c r="AB41" s="337"/>
      <c r="AC41" s="137"/>
      <c r="AE41" s="18"/>
      <c r="AF41" s="18"/>
      <c r="AG41" s="18"/>
      <c r="AH41" s="17"/>
      <c r="AI41" s="17"/>
      <c r="AJ41" s="18"/>
      <c r="AK41" s="6"/>
      <c r="AL41" s="18"/>
      <c r="AM41" s="20"/>
      <c r="AN41" s="95"/>
      <c r="AO41" s="61"/>
      <c r="AP41" s="61"/>
      <c r="AR41" s="18"/>
      <c r="AS41" s="25"/>
      <c r="AT41" s="25"/>
      <c r="AU41" s="20"/>
      <c r="AV41" s="20"/>
      <c r="AW41" s="20"/>
      <c r="AX41" s="20"/>
      <c r="AY41" s="20"/>
      <c r="BA41" s="313"/>
      <c r="BB41" s="18"/>
      <c r="BC41" s="18"/>
      <c r="BD41" s="20"/>
      <c r="BF41" s="18"/>
      <c r="BG41" s="18"/>
      <c r="BH41" s="18"/>
      <c r="BI41" s="20"/>
    </row>
    <row r="42" spans="1:61" ht="16">
      <c r="A42" s="6">
        <f t="shared" si="2"/>
        <v>2019</v>
      </c>
      <c r="C42" s="494">
        <f>'Exhibit B,S2'!Y42</f>
        <v>37498152.101805389</v>
      </c>
      <c r="D42" s="187"/>
      <c r="E42" s="494">
        <f>'Exhibit B,S2'!BC42</f>
        <v>15206049.501</v>
      </c>
      <c r="F42" s="187"/>
      <c r="G42" s="187">
        <f>'Exhibit B,S2'!BC82-E42</f>
        <v>8132070.5204999987</v>
      </c>
      <c r="H42" s="187"/>
      <c r="I42" s="494">
        <f t="shared" si="0"/>
        <v>14160032.080305388</v>
      </c>
      <c r="J42" s="187"/>
      <c r="K42" s="494">
        <f t="shared" si="1"/>
        <v>22292102.600805387</v>
      </c>
      <c r="M42" s="20"/>
      <c r="O42" s="25">
        <f t="shared" si="3"/>
        <v>2018</v>
      </c>
      <c r="P42" s="378">
        <v>13394859.743499998</v>
      </c>
      <c r="Q42" s="137">
        <f t="shared" si="4"/>
        <v>1811189.7575000022</v>
      </c>
      <c r="R42" s="378">
        <v>21974994.654499996</v>
      </c>
      <c r="S42" s="137">
        <f t="shared" si="5"/>
        <v>1363125.3670000024</v>
      </c>
      <c r="T42" s="137"/>
      <c r="U42" s="61"/>
      <c r="V42" s="18"/>
      <c r="W42" s="18"/>
      <c r="X42" s="18"/>
      <c r="Y42" s="20"/>
      <c r="Z42" s="61"/>
      <c r="AA42" s="337"/>
      <c r="AB42" s="337"/>
      <c r="AC42" s="137"/>
      <c r="AE42" s="18"/>
      <c r="AF42" s="18"/>
      <c r="AG42" s="18"/>
      <c r="AH42" s="17"/>
      <c r="AI42" s="17"/>
      <c r="AJ42" s="18"/>
      <c r="AK42" s="6"/>
      <c r="AL42" s="18"/>
      <c r="AM42" s="20"/>
      <c r="AN42" s="95"/>
      <c r="AO42" s="61"/>
      <c r="AP42" s="61"/>
      <c r="AR42" s="18"/>
      <c r="AS42" s="25"/>
      <c r="AT42" s="25"/>
      <c r="AU42" s="20"/>
      <c r="AV42" s="20"/>
      <c r="AW42" s="20"/>
      <c r="AX42" s="20"/>
      <c r="AY42" s="20"/>
      <c r="BA42" s="313"/>
      <c r="BB42" s="18"/>
      <c r="BC42" s="18"/>
      <c r="BD42" s="20"/>
      <c r="BF42" s="18"/>
      <c r="BG42" s="18"/>
      <c r="BH42" s="18"/>
      <c r="BI42" s="20"/>
    </row>
    <row r="43" spans="1:61" ht="16">
      <c r="A43" s="6">
        <f t="shared" si="2"/>
        <v>2020</v>
      </c>
      <c r="C43" s="494">
        <f>'Exhibit B,S2'!Y43</f>
        <v>21534351.938711051</v>
      </c>
      <c r="D43" s="187"/>
      <c r="E43" s="494">
        <f>'Exhibit B,S2'!BC43</f>
        <v>7401578.9354999997</v>
      </c>
      <c r="F43" s="187"/>
      <c r="G43" s="187">
        <f>'Exhibit B,S2'!BC83-E43</f>
        <v>3106830.7434999999</v>
      </c>
      <c r="H43" s="187"/>
      <c r="I43" s="494">
        <f t="shared" si="0"/>
        <v>11025942.259711051</v>
      </c>
      <c r="J43" s="187"/>
      <c r="K43" s="494">
        <f t="shared" si="1"/>
        <v>14132773.003211051</v>
      </c>
      <c r="M43" s="20"/>
      <c r="O43" s="25">
        <f t="shared" si="3"/>
        <v>2019</v>
      </c>
      <c r="P43" s="378">
        <v>10206312.714</v>
      </c>
      <c r="Q43" s="137">
        <f t="shared" si="4"/>
        <v>-2804733.7785</v>
      </c>
      <c r="R43" s="378">
        <v>19194775.775000002</v>
      </c>
      <c r="S43" s="137">
        <f t="shared" si="5"/>
        <v>-8686366.0960000027</v>
      </c>
      <c r="T43" s="137"/>
      <c r="U43" s="61"/>
      <c r="V43" s="18"/>
      <c r="W43" s="18"/>
      <c r="X43" s="18"/>
      <c r="Y43" s="20"/>
      <c r="Z43" s="61"/>
      <c r="AA43" s="337"/>
      <c r="AB43" s="337"/>
      <c r="AC43" s="137"/>
      <c r="AE43" s="18"/>
      <c r="AF43" s="18"/>
      <c r="AG43" s="18"/>
      <c r="AH43" s="17"/>
      <c r="AI43" s="17"/>
      <c r="AJ43" s="18"/>
      <c r="AK43" s="6"/>
      <c r="AL43" s="18"/>
      <c r="AM43" s="20"/>
      <c r="AN43" s="95"/>
      <c r="AO43" s="61"/>
      <c r="AP43" s="61"/>
      <c r="AR43" s="18"/>
      <c r="AS43" s="25"/>
      <c r="AT43" s="25"/>
      <c r="AU43" s="20"/>
      <c r="AV43" s="20"/>
      <c r="AW43" s="20"/>
      <c r="AX43" s="20"/>
      <c r="AY43" s="20"/>
      <c r="BA43" s="313"/>
      <c r="BB43" s="18"/>
      <c r="BC43" s="18"/>
      <c r="BD43" s="20"/>
      <c r="BF43" s="18"/>
      <c r="BG43" s="18"/>
      <c r="BH43" s="18"/>
      <c r="BI43" s="20"/>
    </row>
    <row r="44" spans="1:61" ht="16">
      <c r="A44" s="6">
        <f t="shared" si="2"/>
        <v>2021</v>
      </c>
      <c r="C44" s="494">
        <f>'Exhibit B,S2'!Y44</f>
        <v>23569861.384767875</v>
      </c>
      <c r="D44" s="187"/>
      <c r="E44" s="494">
        <f>'Exhibit B,S2'!BC44</f>
        <v>1712678.2279999999</v>
      </c>
      <c r="F44" s="187"/>
      <c r="G44" s="187">
        <f>'Exhibit B,S2'!BC84-E44</f>
        <v>3536196.9394999994</v>
      </c>
      <c r="H44" s="187"/>
      <c r="I44" s="494">
        <f t="shared" si="0"/>
        <v>18320986.217267875</v>
      </c>
      <c r="J44" s="187"/>
      <c r="K44" s="494">
        <f t="shared" si="1"/>
        <v>21857183.156767875</v>
      </c>
      <c r="M44" s="20"/>
      <c r="O44" s="25">
        <f t="shared" si="3"/>
        <v>2020</v>
      </c>
      <c r="P44" s="378">
        <v>773778.11899999995</v>
      </c>
      <c r="Q44" s="137">
        <f t="shared" si="4"/>
        <v>938900.10899999994</v>
      </c>
      <c r="R44" s="378">
        <v>4034463.1349999998</v>
      </c>
      <c r="S44" s="137">
        <f t="shared" si="5"/>
        <v>1214412.0324999997</v>
      </c>
      <c r="T44" s="137"/>
      <c r="U44" s="61"/>
      <c r="W44" s="18"/>
      <c r="X44" s="18"/>
      <c r="Y44" s="20"/>
      <c r="Z44" s="61"/>
      <c r="AA44" s="337"/>
      <c r="AB44" s="337"/>
      <c r="AC44" s="137"/>
      <c r="AE44" s="18"/>
      <c r="AF44" s="18"/>
      <c r="AG44" s="18"/>
      <c r="AH44" s="17"/>
      <c r="AI44" s="17"/>
      <c r="AJ44" s="18"/>
      <c r="AK44" s="6"/>
      <c r="AL44" s="18"/>
      <c r="AM44" s="20"/>
      <c r="AN44" s="95"/>
      <c r="AO44" s="61"/>
      <c r="AP44" s="61"/>
      <c r="AR44" s="18"/>
      <c r="AS44" s="25"/>
      <c r="AT44" s="25"/>
      <c r="AU44" s="20"/>
      <c r="AV44" s="20"/>
      <c r="AW44" s="20"/>
      <c r="AX44" s="20"/>
      <c r="AY44" s="20"/>
      <c r="BA44" s="313"/>
      <c r="BB44" s="18"/>
      <c r="BC44" s="18"/>
      <c r="BD44" s="20"/>
      <c r="BF44" s="18"/>
      <c r="BG44" s="18"/>
      <c r="BH44" s="18"/>
      <c r="BI44" s="20"/>
    </row>
    <row r="45" spans="1:61" ht="16">
      <c r="A45" s="6">
        <f t="shared" si="2"/>
        <v>2022</v>
      </c>
      <c r="C45" s="494">
        <f>'Exhibit B,S2'!Y45</f>
        <v>24007279.407974426</v>
      </c>
      <c r="D45" s="187"/>
      <c r="E45" s="494">
        <f>'Exhibit B,S2'!BC45</f>
        <v>460036.10499999998</v>
      </c>
      <c r="F45" s="187"/>
      <c r="G45" s="187">
        <f>'Exhibit B,S2'!BC85-E45</f>
        <v>2433157.94</v>
      </c>
      <c r="H45" s="187"/>
      <c r="I45" s="494">
        <f t="shared" si="0"/>
        <v>21114085.362974424</v>
      </c>
      <c r="J45" s="187"/>
      <c r="K45" s="494">
        <f t="shared" si="1"/>
        <v>23547243.302974425</v>
      </c>
      <c r="N45" s="61"/>
      <c r="O45" s="25">
        <f t="shared" si="3"/>
        <v>2021</v>
      </c>
      <c r="P45" s="378">
        <v>248753.99250000002</v>
      </c>
      <c r="Q45" s="137">
        <f t="shared" si="4"/>
        <v>211282.11249999996</v>
      </c>
      <c r="R45" s="378">
        <v>1559839.49</v>
      </c>
      <c r="S45" s="137">
        <f t="shared" si="5"/>
        <v>1333354.5549999999</v>
      </c>
      <c r="T45" s="137"/>
      <c r="U45" s="61"/>
      <c r="W45" s="18"/>
      <c r="X45" s="18"/>
      <c r="Y45" s="20"/>
      <c r="Z45" s="61"/>
      <c r="AA45" s="20"/>
      <c r="AB45" s="337"/>
      <c r="AC45" s="137"/>
      <c r="AF45" s="18"/>
      <c r="AG45" s="18"/>
      <c r="AH45" s="17"/>
      <c r="AI45" s="17"/>
      <c r="AJ45" s="18"/>
      <c r="AK45" s="6"/>
      <c r="AM45" s="20"/>
      <c r="AN45" s="20"/>
      <c r="AO45" s="61"/>
      <c r="AP45" s="61"/>
      <c r="AR45" s="20"/>
      <c r="AS45" s="25"/>
      <c r="AT45" s="25"/>
      <c r="AU45" s="20"/>
      <c r="AV45" s="20"/>
      <c r="AW45" s="20"/>
      <c r="AX45" s="20"/>
      <c r="AY45" s="20"/>
      <c r="BA45" s="313"/>
      <c r="BC45" s="18"/>
      <c r="BD45" s="20"/>
      <c r="BH45" s="18"/>
      <c r="BI45" s="20"/>
    </row>
    <row r="46" spans="1:61">
      <c r="A46" s="6"/>
      <c r="C46" s="105"/>
      <c r="E46" s="105"/>
      <c r="G46" s="105"/>
      <c r="I46" s="105"/>
      <c r="K46" s="105"/>
      <c r="N46" s="61"/>
      <c r="O46" s="25"/>
      <c r="P46" s="280"/>
      <c r="Q46" s="280"/>
      <c r="R46" s="280"/>
      <c r="S46" s="280"/>
      <c r="T46" s="137"/>
      <c r="U46" s="26"/>
      <c r="V46" s="26"/>
      <c r="Y46" s="20"/>
      <c r="AA46" s="20"/>
      <c r="AB46" s="20"/>
      <c r="AC46" s="137"/>
      <c r="AF46" s="26"/>
      <c r="AG46" s="26"/>
      <c r="AJ46" s="18"/>
      <c r="AK46" s="6"/>
      <c r="AO46" s="61"/>
      <c r="AP46" s="61"/>
      <c r="AR46" s="20"/>
      <c r="AW46" s="20"/>
      <c r="BC46" s="26"/>
      <c r="BH46" s="26"/>
    </row>
    <row r="47" spans="1:61">
      <c r="A47" s="6" t="s">
        <v>0</v>
      </c>
      <c r="C47" s="26">
        <f>SUM(C17:C46)</f>
        <v>808565199.50500846</v>
      </c>
      <c r="E47" s="26">
        <f>SUM(E17:E46)</f>
        <v>673430555.83800006</v>
      </c>
      <c r="G47" s="26">
        <f>SUM(G17:G46)</f>
        <v>51839518.805499993</v>
      </c>
      <c r="I47" s="26">
        <f>SUM(I17:I46)</f>
        <v>83295124.861508429</v>
      </c>
      <c r="K47" s="26">
        <f>SUM(K17:K46)</f>
        <v>135134643.66700843</v>
      </c>
      <c r="N47" s="61"/>
      <c r="O47" s="25" t="s">
        <v>0</v>
      </c>
      <c r="P47" s="68">
        <f>SUM(P17:P46)</f>
        <v>482445754.08200008</v>
      </c>
      <c r="Q47" s="160">
        <f>SUM(Q17:Q46)</f>
        <v>2683243.3259999659</v>
      </c>
      <c r="R47" s="68">
        <f>SUM(R17:R46)</f>
        <v>544358386.62950003</v>
      </c>
      <c r="S47" s="68">
        <f>SUM(S17:S46)</f>
        <v>-12826854.23599999</v>
      </c>
      <c r="T47" s="26"/>
      <c r="U47" s="61"/>
      <c r="V47" s="26"/>
      <c r="W47" s="26"/>
      <c r="X47" s="26"/>
      <c r="Y47" s="26"/>
      <c r="AA47" s="105"/>
      <c r="AB47" s="105"/>
      <c r="AC47" s="105"/>
      <c r="AE47" s="105"/>
      <c r="AF47" s="105"/>
      <c r="AG47" s="105"/>
      <c r="AH47" s="105"/>
      <c r="AI47" s="105"/>
      <c r="AJ47" s="105"/>
      <c r="AK47" s="6"/>
      <c r="AL47" s="105"/>
      <c r="AM47" s="105"/>
      <c r="AN47" s="105"/>
      <c r="AO47" s="280"/>
      <c r="AP47" s="280"/>
      <c r="AQ47" s="280"/>
      <c r="AR47" s="280"/>
      <c r="AS47" s="280"/>
      <c r="AT47" s="280"/>
      <c r="AW47" s="20"/>
      <c r="BA47" s="105"/>
      <c r="BB47" s="105"/>
      <c r="BC47" s="105"/>
      <c r="BD47" s="105"/>
      <c r="BF47" s="105"/>
      <c r="BG47" s="105"/>
      <c r="BH47" s="105"/>
      <c r="BI47" s="105"/>
    </row>
    <row r="48" spans="1:61">
      <c r="E48" s="26">
        <f>E47-E17-E18</f>
        <v>625295063.42800009</v>
      </c>
      <c r="N48" s="61"/>
      <c r="O48" s="25"/>
      <c r="P48" s="68"/>
      <c r="Q48" s="68"/>
      <c r="R48" s="68"/>
      <c r="S48" s="68"/>
      <c r="T48" s="26"/>
      <c r="U48" s="61"/>
      <c r="W48" s="26"/>
      <c r="X48" s="26"/>
      <c r="Y48" s="26"/>
      <c r="AA48" s="26"/>
      <c r="AB48" s="26"/>
      <c r="AC48" s="26"/>
      <c r="AE48" s="26"/>
      <c r="AF48" s="26"/>
      <c r="AG48" s="26"/>
      <c r="AH48" s="26"/>
      <c r="AI48" s="26"/>
      <c r="AJ48" s="26"/>
      <c r="AL48" s="26"/>
      <c r="AM48" s="26"/>
      <c r="AN48" s="26"/>
      <c r="AO48" s="68"/>
      <c r="AP48" s="68"/>
      <c r="AQ48" s="68"/>
      <c r="AR48" s="68"/>
      <c r="AS48" s="68"/>
      <c r="AT48" s="68"/>
      <c r="AU48" s="26"/>
      <c r="AV48" s="26"/>
      <c r="AW48" s="20"/>
      <c r="AX48" s="26"/>
      <c r="AY48" s="26"/>
      <c r="BA48" s="26"/>
      <c r="BB48" s="26"/>
      <c r="BC48" s="26"/>
      <c r="BD48" s="26"/>
      <c r="BF48" s="26"/>
      <c r="BG48" s="26"/>
      <c r="BH48" s="26"/>
      <c r="BI48" s="26"/>
    </row>
    <row r="49" spans="1:49">
      <c r="B49" s="3" t="s">
        <v>461</v>
      </c>
      <c r="K49" s="184">
        <f>'Exhibit A,S2'!K50+'Exhibit A,S2'!K49</f>
        <v>4683020.7210695725</v>
      </c>
      <c r="O49" s="61"/>
      <c r="P49" s="61"/>
      <c r="Q49" s="61"/>
      <c r="R49" s="61"/>
      <c r="S49" s="61"/>
      <c r="T49" s="61"/>
      <c r="U49" s="61"/>
      <c r="AJ49" s="18"/>
      <c r="AO49" s="61"/>
      <c r="AW49" s="20"/>
    </row>
    <row r="50" spans="1:49">
      <c r="B50" s="3" t="s">
        <v>462</v>
      </c>
      <c r="K50" s="184">
        <v>0</v>
      </c>
      <c r="O50" s="61"/>
      <c r="P50" s="61"/>
      <c r="Q50" s="61"/>
      <c r="R50" s="61"/>
      <c r="S50" s="61"/>
      <c r="T50" s="61"/>
      <c r="AJ50" s="18"/>
      <c r="AO50" s="61"/>
    </row>
    <row r="51" spans="1:49">
      <c r="B51" s="3" t="s">
        <v>463</v>
      </c>
      <c r="K51" s="311">
        <f>K47+K49+K50</f>
        <v>139817664.388078</v>
      </c>
      <c r="L51" s="26"/>
      <c r="O51" s="61"/>
      <c r="P51" s="61"/>
      <c r="Q51" s="61"/>
      <c r="R51" s="61"/>
      <c r="S51" s="61"/>
      <c r="AJ51" s="18"/>
    </row>
    <row r="52" spans="1:49">
      <c r="O52" s="61"/>
      <c r="P52" s="61"/>
      <c r="Q52" s="61"/>
      <c r="R52" s="61"/>
      <c r="S52" s="61"/>
      <c r="AJ52" s="18"/>
    </row>
    <row r="53" spans="1:49">
      <c r="K53" s="69">
        <f>K51/1000-'Summary Exhibit 1'!G29</f>
        <v>-4.87454471149249</v>
      </c>
      <c r="O53" s="61"/>
      <c r="P53" s="61"/>
      <c r="Q53" s="61"/>
      <c r="R53" s="61"/>
      <c r="S53" s="61"/>
      <c r="AJ53" s="18"/>
    </row>
    <row r="54" spans="1:49">
      <c r="A54" s="52" t="s">
        <v>104</v>
      </c>
      <c r="C54" s="3" t="s">
        <v>433</v>
      </c>
      <c r="K54" s="192"/>
      <c r="AJ54" s="18"/>
    </row>
    <row r="55" spans="1:49">
      <c r="A55" s="52" t="s">
        <v>36</v>
      </c>
      <c r="C55" s="1" t="s">
        <v>740</v>
      </c>
      <c r="AJ55" s="18"/>
    </row>
    <row r="56" spans="1:49">
      <c r="A56" s="52" t="s">
        <v>38</v>
      </c>
      <c r="C56" s="1" t="s">
        <v>740</v>
      </c>
      <c r="AJ56" s="18"/>
    </row>
    <row r="57" spans="1:49">
      <c r="A57" s="52" t="s">
        <v>40</v>
      </c>
      <c r="C57" s="3" t="s">
        <v>464</v>
      </c>
      <c r="AJ57" s="18"/>
    </row>
    <row r="58" spans="1:49">
      <c r="A58" s="52" t="s">
        <v>42</v>
      </c>
      <c r="C58" s="1" t="s">
        <v>120</v>
      </c>
      <c r="AJ58" s="18"/>
    </row>
    <row r="59" spans="1:49">
      <c r="A59" s="52" t="s">
        <v>30</v>
      </c>
      <c r="C59" s="3" t="s">
        <v>465</v>
      </c>
      <c r="AJ59" s="18"/>
    </row>
    <row r="60" spans="1:49">
      <c r="A60" s="64" t="s">
        <v>31</v>
      </c>
      <c r="C60" s="1" t="s">
        <v>709</v>
      </c>
      <c r="AJ60" s="18"/>
    </row>
    <row r="61" spans="1:49">
      <c r="A61" s="64" t="s">
        <v>103</v>
      </c>
      <c r="C61" s="3" t="s">
        <v>466</v>
      </c>
      <c r="AJ61" s="18"/>
    </row>
  </sheetData>
  <phoneticPr fontId="8" type="noConversion"/>
  <printOptions horizontalCentered="1"/>
  <pageMargins left="0.7" right="0.7" top="0.75" bottom="0.75" header="0.3" footer="0.3"/>
  <pageSetup scale="70" orientation="portrait" r:id="rId1"/>
  <ignoredErrors>
    <ignoredError sqref="A14:K14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7">
    <pageSetUpPr fitToPage="1"/>
  </sheetPr>
  <dimension ref="A1:X73"/>
  <sheetViews>
    <sheetView showOutlineSymbols="0" topLeftCell="A4" zoomScaleNormal="100" workbookViewId="0">
      <selection activeCell="C17" sqref="C17"/>
    </sheetView>
  </sheetViews>
  <sheetFormatPr baseColWidth="10" defaultColWidth="9.7109375" defaultRowHeight="15"/>
  <cols>
    <col min="1" max="1" width="11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2.7109375" style="1" customWidth="1"/>
    <col min="12" max="12" width="9.7109375" style="1"/>
    <col min="13" max="13" width="13" style="1" bestFit="1" customWidth="1"/>
    <col min="14" max="14" width="9.7109375" style="1"/>
    <col min="15" max="20" width="12.7109375" style="1" customWidth="1"/>
    <col min="21" max="21" width="6.7109375" style="1" customWidth="1"/>
    <col min="22" max="29" width="12.7109375" style="1" customWidth="1"/>
    <col min="30" max="30" width="6.7109375" style="1" customWidth="1"/>
    <col min="31" max="51" width="12.7109375" style="1" customWidth="1"/>
    <col min="52" max="52" width="9.7109375" style="1"/>
    <col min="53" max="53" width="12.7109375" style="1" customWidth="1"/>
    <col min="54" max="54" width="1.7109375" style="1" customWidth="1"/>
    <col min="55" max="56" width="12.7109375" style="1" customWidth="1"/>
    <col min="57" max="57" width="6.7109375" style="1" customWidth="1"/>
    <col min="58" max="58" width="12.7109375" style="1" customWidth="1"/>
    <col min="59" max="59" width="1.7109375" style="1" customWidth="1"/>
    <col min="60" max="61" width="12.7109375" style="1" customWidth="1"/>
    <col min="62" max="16384" width="9.7109375" style="1"/>
  </cols>
  <sheetData>
    <row r="1" spans="1:19">
      <c r="K1" s="64" t="s">
        <v>121</v>
      </c>
    </row>
    <row r="2" spans="1:19">
      <c r="K2" s="64" t="s">
        <v>45</v>
      </c>
    </row>
    <row r="3" spans="1:19">
      <c r="K3" s="3"/>
    </row>
    <row r="4" spans="1:19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</row>
    <row r="6" spans="1:19">
      <c r="A6" s="5" t="s">
        <v>306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9">
      <c r="A7" s="5" t="s">
        <v>1477</v>
      </c>
      <c r="B7" s="5"/>
      <c r="C7" s="5"/>
      <c r="D7" s="5"/>
      <c r="E7" s="5"/>
      <c r="F7" s="5"/>
      <c r="G7" s="5"/>
      <c r="H7" s="5"/>
      <c r="I7" s="5"/>
      <c r="J7" s="5"/>
      <c r="K7" s="5"/>
      <c r="S7" s="61"/>
    </row>
    <row r="8" spans="1:19">
      <c r="A8" s="201"/>
      <c r="B8" s="5"/>
      <c r="C8" s="5"/>
      <c r="D8" s="5"/>
      <c r="E8" s="5"/>
      <c r="F8" s="5"/>
      <c r="G8" s="5"/>
      <c r="H8" s="5"/>
      <c r="I8" s="5"/>
      <c r="J8" s="5"/>
      <c r="K8" s="5"/>
      <c r="O8" s="25"/>
      <c r="P8" s="25" t="s">
        <v>9</v>
      </c>
      <c r="Q8" s="61"/>
      <c r="R8" s="25" t="s">
        <v>9</v>
      </c>
      <c r="S8" s="61"/>
    </row>
    <row r="9" spans="1:19">
      <c r="A9" s="201"/>
      <c r="B9" s="5"/>
      <c r="C9" s="5"/>
      <c r="D9" s="5"/>
      <c r="E9" s="5"/>
      <c r="F9" s="5"/>
      <c r="G9" s="5"/>
      <c r="H9" s="5"/>
      <c r="I9" s="5"/>
      <c r="J9" s="5"/>
      <c r="K9" s="5"/>
      <c r="O9" s="25"/>
      <c r="P9" s="25" t="s">
        <v>14</v>
      </c>
      <c r="Q9" s="61"/>
      <c r="R9" s="25" t="s">
        <v>12</v>
      </c>
      <c r="S9" s="61"/>
    </row>
    <row r="10" spans="1:19">
      <c r="A10" s="201"/>
      <c r="B10" s="5"/>
      <c r="C10" s="5"/>
      <c r="D10" s="5"/>
      <c r="E10" s="5"/>
      <c r="F10" s="5"/>
      <c r="G10" s="5"/>
      <c r="H10" s="5"/>
      <c r="I10" s="5"/>
      <c r="J10" s="5"/>
      <c r="K10" s="5"/>
      <c r="O10" s="25"/>
      <c r="P10" s="25">
        <v>2021</v>
      </c>
      <c r="Q10" s="61"/>
      <c r="R10" s="25">
        <v>2021</v>
      </c>
      <c r="S10" s="61"/>
    </row>
    <row r="11" spans="1:19">
      <c r="O11" s="61"/>
      <c r="P11" s="25" t="s">
        <v>706</v>
      </c>
      <c r="R11" s="25" t="s">
        <v>706</v>
      </c>
      <c r="S11" s="61"/>
    </row>
    <row r="12" spans="1:19">
      <c r="A12" s="6" t="s">
        <v>3</v>
      </c>
      <c r="B12" s="5"/>
      <c r="C12" s="2" t="s">
        <v>67</v>
      </c>
      <c r="E12" s="6" t="s">
        <v>14</v>
      </c>
      <c r="G12" s="2" t="s">
        <v>139</v>
      </c>
      <c r="H12" s="6"/>
      <c r="K12" s="6" t="s">
        <v>79</v>
      </c>
      <c r="O12" s="25" t="s">
        <v>3</v>
      </c>
      <c r="P12" s="25" t="s">
        <v>0</v>
      </c>
      <c r="Q12" s="61"/>
      <c r="R12" s="25" t="s">
        <v>0</v>
      </c>
      <c r="S12" s="97"/>
    </row>
    <row r="13" spans="1:19">
      <c r="A13" s="6" t="s">
        <v>4</v>
      </c>
      <c r="B13" s="5"/>
      <c r="C13" s="2" t="s">
        <v>55</v>
      </c>
      <c r="E13" s="6" t="s">
        <v>1644</v>
      </c>
      <c r="G13" s="6" t="s">
        <v>1644</v>
      </c>
      <c r="H13" s="6"/>
      <c r="I13" s="2" t="s">
        <v>381</v>
      </c>
      <c r="K13" s="6" t="s">
        <v>117</v>
      </c>
      <c r="O13" s="25" t="s">
        <v>4</v>
      </c>
      <c r="P13" s="61" t="s">
        <v>1406</v>
      </c>
      <c r="Q13" s="61" t="s">
        <v>18</v>
      </c>
      <c r="R13" s="61" t="s">
        <v>1406</v>
      </c>
      <c r="S13" s="61" t="s">
        <v>18</v>
      </c>
    </row>
    <row r="14" spans="1:19">
      <c r="A14" s="106" t="s">
        <v>27</v>
      </c>
      <c r="C14" s="106" t="s">
        <v>33</v>
      </c>
      <c r="E14" s="106" t="s">
        <v>36</v>
      </c>
      <c r="G14" s="118" t="s">
        <v>38</v>
      </c>
      <c r="I14" s="118" t="s">
        <v>40</v>
      </c>
      <c r="K14" s="118" t="s">
        <v>42</v>
      </c>
      <c r="O14" s="203" t="s">
        <v>30</v>
      </c>
      <c r="P14" s="203" t="s">
        <v>31</v>
      </c>
      <c r="Q14" s="279" t="s">
        <v>103</v>
      </c>
      <c r="R14" s="279" t="s">
        <v>106</v>
      </c>
      <c r="S14" s="279" t="s">
        <v>108</v>
      </c>
    </row>
    <row r="15" spans="1:19">
      <c r="O15" s="61"/>
      <c r="P15" s="61"/>
      <c r="Q15" s="61"/>
      <c r="R15" s="61"/>
      <c r="S15" s="61"/>
    </row>
    <row r="16" spans="1:19">
      <c r="A16" s="2" t="s">
        <v>2</v>
      </c>
      <c r="K16" s="19"/>
      <c r="O16" s="97" t="s">
        <v>2</v>
      </c>
      <c r="P16" s="172"/>
      <c r="Q16" s="223"/>
      <c r="R16" s="61"/>
      <c r="S16" s="61"/>
    </row>
    <row r="17" spans="1:19">
      <c r="A17" s="6">
        <v>1994</v>
      </c>
      <c r="B17" s="267"/>
      <c r="C17" s="147">
        <f>'Exhibit B,S2'!M17</f>
        <v>34683046.140000001</v>
      </c>
      <c r="D17" s="147"/>
      <c r="E17" s="147">
        <f>'Exhibit B,S2'!AL17</f>
        <v>34683046.140000001</v>
      </c>
      <c r="F17" s="147"/>
      <c r="G17" s="147">
        <f>'Exhibit B,S2'!AL57-E17</f>
        <v>0</v>
      </c>
      <c r="H17" s="147"/>
      <c r="I17" s="495">
        <f t="shared" ref="I17:I24" si="0">C17-E17-G17</f>
        <v>0</v>
      </c>
      <c r="J17" s="147"/>
      <c r="K17" s="495">
        <f t="shared" ref="K17:K24" si="1">G17+I17</f>
        <v>0</v>
      </c>
      <c r="N17" s="61"/>
      <c r="O17" s="25">
        <v>1993</v>
      </c>
      <c r="P17" s="172"/>
      <c r="Q17" s="137"/>
      <c r="R17" s="61"/>
      <c r="S17" s="61"/>
    </row>
    <row r="18" spans="1:19">
      <c r="A18" s="6">
        <f>A17+1</f>
        <v>1995</v>
      </c>
      <c r="B18" s="267"/>
      <c r="C18" s="494">
        <f>'Exhibit B,S2'!M18</f>
        <v>53979371.119999997</v>
      </c>
      <c r="D18" s="187"/>
      <c r="E18" s="494">
        <f>'Exhibit B,S2'!AL18</f>
        <v>53979371.119999997</v>
      </c>
      <c r="F18" s="187"/>
      <c r="G18" s="494">
        <f>'Exhibit B,S2'!AL58-E18</f>
        <v>0</v>
      </c>
      <c r="H18" s="187"/>
      <c r="I18" s="494">
        <f t="shared" si="0"/>
        <v>0</v>
      </c>
      <c r="J18" s="187"/>
      <c r="K18" s="494">
        <f t="shared" si="1"/>
        <v>0</v>
      </c>
      <c r="N18" s="61"/>
      <c r="O18" s="25">
        <f>O17+1</f>
        <v>1994</v>
      </c>
      <c r="P18" s="172"/>
      <c r="Q18" s="137"/>
      <c r="R18" s="61"/>
      <c r="S18" s="61"/>
    </row>
    <row r="19" spans="1:19">
      <c r="A19" s="6">
        <f t="shared" ref="A19:A45" si="2">A18+1</f>
        <v>1996</v>
      </c>
      <c r="B19" s="267"/>
      <c r="C19" s="494">
        <f>'Exhibit B,S2'!M19</f>
        <v>47587557.219999999</v>
      </c>
      <c r="D19" s="187"/>
      <c r="E19" s="494">
        <f>'Exhibit B,S2'!AL19</f>
        <v>47587557.219999999</v>
      </c>
      <c r="F19" s="187"/>
      <c r="G19" s="494">
        <f>'Exhibit B,S2'!AL59-E19</f>
        <v>0</v>
      </c>
      <c r="H19" s="187"/>
      <c r="I19" s="494">
        <f t="shared" si="0"/>
        <v>0</v>
      </c>
      <c r="J19" s="187"/>
      <c r="K19" s="494">
        <f t="shared" si="1"/>
        <v>0</v>
      </c>
      <c r="N19" s="61"/>
      <c r="O19" s="25">
        <f t="shared" ref="O19:O45" si="3">O18+1</f>
        <v>1995</v>
      </c>
      <c r="P19" s="172"/>
      <c r="Q19" s="137"/>
      <c r="R19" s="61"/>
      <c r="S19" s="61"/>
    </row>
    <row r="20" spans="1:19">
      <c r="A20" s="6">
        <f t="shared" si="2"/>
        <v>1997</v>
      </c>
      <c r="B20" s="267"/>
      <c r="C20" s="494">
        <f>'Exhibit B,S2'!M20</f>
        <v>38095972.339999996</v>
      </c>
      <c r="D20" s="187"/>
      <c r="E20" s="494">
        <f>'Exhibit B,S2'!AL20</f>
        <v>38095972.339999996</v>
      </c>
      <c r="F20" s="187"/>
      <c r="G20" s="494">
        <f>'Exhibit B,S2'!AL60-E20</f>
        <v>0</v>
      </c>
      <c r="H20" s="187"/>
      <c r="I20" s="494">
        <f t="shared" si="0"/>
        <v>0</v>
      </c>
      <c r="J20" s="187"/>
      <c r="K20" s="494">
        <f t="shared" si="1"/>
        <v>0</v>
      </c>
      <c r="N20" s="61"/>
      <c r="O20" s="25">
        <f t="shared" si="3"/>
        <v>1996</v>
      </c>
      <c r="P20" s="172"/>
      <c r="Q20" s="137"/>
      <c r="R20" s="61"/>
      <c r="S20" s="61"/>
    </row>
    <row r="21" spans="1:19">
      <c r="A21" s="6">
        <f t="shared" si="2"/>
        <v>1998</v>
      </c>
      <c r="B21" s="267"/>
      <c r="C21" s="494">
        <f>'Exhibit B,S2'!M21</f>
        <v>54775172.740000002</v>
      </c>
      <c r="D21" s="187"/>
      <c r="E21" s="494">
        <f>'Exhibit B,S2'!AL21</f>
        <v>54775172.739999995</v>
      </c>
      <c r="F21" s="187"/>
      <c r="G21" s="494">
        <f>'Exhibit B,S2'!AL61-E21</f>
        <v>0</v>
      </c>
      <c r="H21" s="187"/>
      <c r="I21" s="494">
        <f t="shared" si="0"/>
        <v>7.4505805969238281E-9</v>
      </c>
      <c r="J21" s="187"/>
      <c r="K21" s="494">
        <f t="shared" si="1"/>
        <v>7.4505805969238281E-9</v>
      </c>
      <c r="N21" s="61"/>
      <c r="O21" s="25">
        <f t="shared" si="3"/>
        <v>1997</v>
      </c>
      <c r="P21" s="172"/>
      <c r="Q21" s="137"/>
      <c r="R21" s="61"/>
      <c r="S21" s="61"/>
    </row>
    <row r="22" spans="1:19">
      <c r="A22" s="6">
        <f t="shared" si="2"/>
        <v>1999</v>
      </c>
      <c r="B22" s="267"/>
      <c r="C22" s="494">
        <f>'Exhibit B,S2'!M22</f>
        <v>54239618.760000005</v>
      </c>
      <c r="D22" s="187"/>
      <c r="E22" s="494">
        <f>'Exhibit B,S2'!AL22</f>
        <v>54239618.760000005</v>
      </c>
      <c r="F22" s="187"/>
      <c r="G22" s="494">
        <f>'Exhibit B,S2'!AL62-E22</f>
        <v>0</v>
      </c>
      <c r="H22" s="187"/>
      <c r="I22" s="494">
        <f t="shared" si="0"/>
        <v>0</v>
      </c>
      <c r="J22" s="187"/>
      <c r="K22" s="494">
        <f t="shared" si="1"/>
        <v>0</v>
      </c>
      <c r="N22" s="61"/>
      <c r="O22" s="25">
        <f t="shared" si="3"/>
        <v>1998</v>
      </c>
      <c r="P22" s="172"/>
      <c r="Q22" s="137"/>
      <c r="R22" s="61"/>
      <c r="S22" s="61"/>
    </row>
    <row r="23" spans="1:19">
      <c r="A23" s="6">
        <f t="shared" si="2"/>
        <v>2000</v>
      </c>
      <c r="B23" s="267"/>
      <c r="C23" s="494">
        <f>'Exhibit B,S2'!M23</f>
        <v>45510428.719999999</v>
      </c>
      <c r="D23" s="187"/>
      <c r="E23" s="494">
        <f>'Exhibit B,S2'!AL23</f>
        <v>45510428.719999999</v>
      </c>
      <c r="F23" s="187"/>
      <c r="G23" s="494">
        <f>'Exhibit B,S2'!AL63-E23</f>
        <v>0</v>
      </c>
      <c r="H23" s="187"/>
      <c r="I23" s="494">
        <f>C23-E23-G23</f>
        <v>0</v>
      </c>
      <c r="J23" s="494"/>
      <c r="K23" s="494">
        <f>G23+I23</f>
        <v>0</v>
      </c>
      <c r="N23" s="61"/>
      <c r="O23" s="25">
        <f t="shared" si="3"/>
        <v>1999</v>
      </c>
      <c r="P23" s="172"/>
      <c r="Q23" s="137"/>
      <c r="R23" s="61"/>
      <c r="S23" s="61"/>
    </row>
    <row r="24" spans="1:19" ht="16">
      <c r="A24" s="6">
        <f t="shared" si="2"/>
        <v>2001</v>
      </c>
      <c r="C24" s="494">
        <f>'Exhibit B,S2'!M24</f>
        <v>37643921.560000002</v>
      </c>
      <c r="D24" s="187"/>
      <c r="E24" s="494">
        <f>'Exhibit B,S2'!AL24</f>
        <v>37643921.560000002</v>
      </c>
      <c r="F24" s="187"/>
      <c r="G24" s="494">
        <f>'Exhibit B,S2'!AL64-E24</f>
        <v>0</v>
      </c>
      <c r="H24" s="187"/>
      <c r="I24" s="494">
        <f t="shared" si="0"/>
        <v>0</v>
      </c>
      <c r="J24" s="187"/>
      <c r="K24" s="494">
        <f t="shared" si="1"/>
        <v>0</v>
      </c>
      <c r="N24" s="61"/>
      <c r="O24" s="25">
        <f t="shared" si="3"/>
        <v>2000</v>
      </c>
      <c r="P24" s="378">
        <v>45510428.719999999</v>
      </c>
      <c r="Q24" s="137">
        <f>E24-P24</f>
        <v>-7866507.1599999964</v>
      </c>
      <c r="R24" s="378">
        <v>45510428.719999999</v>
      </c>
      <c r="S24" s="61"/>
    </row>
    <row r="25" spans="1:19" ht="16">
      <c r="A25" s="6">
        <f t="shared" si="2"/>
        <v>2002</v>
      </c>
      <c r="C25" s="494">
        <f>'Exhibit B,S2'!M25</f>
        <v>39658038.149999991</v>
      </c>
      <c r="D25" s="187"/>
      <c r="E25" s="494">
        <f>'Exhibit B,S2'!AL25</f>
        <v>39658038.149999991</v>
      </c>
      <c r="F25" s="187"/>
      <c r="G25" s="494">
        <f>'Exhibit B,S2'!AL65-E25</f>
        <v>0</v>
      </c>
      <c r="H25" s="187"/>
      <c r="I25" s="494">
        <f t="shared" ref="I25:I45" si="4">C25-E25-G25</f>
        <v>0</v>
      </c>
      <c r="J25" s="187"/>
      <c r="K25" s="494">
        <f t="shared" ref="K25:K45" si="5">G25+I25</f>
        <v>0</v>
      </c>
      <c r="N25" s="61"/>
      <c r="O25" s="25">
        <f t="shared" si="3"/>
        <v>2001</v>
      </c>
      <c r="P25" s="378">
        <v>37643921.560000017</v>
      </c>
      <c r="Q25" s="137">
        <f t="shared" ref="Q25:Q45" si="6">E25-P25</f>
        <v>2014116.5899999738</v>
      </c>
      <c r="R25" s="378">
        <v>37643921.560000017</v>
      </c>
      <c r="S25" s="137">
        <f t="shared" ref="S25:S45" si="7">(E25+G25)-R25</f>
        <v>2014116.5899999738</v>
      </c>
    </row>
    <row r="26" spans="1:19" ht="16">
      <c r="A26" s="6">
        <f t="shared" si="2"/>
        <v>2003</v>
      </c>
      <c r="C26" s="494">
        <f>'Exhibit B,S2'!M26</f>
        <v>39621657.030000001</v>
      </c>
      <c r="D26" s="187"/>
      <c r="E26" s="494">
        <f>'Exhibit B,S2'!AL26</f>
        <v>39621657.030000001</v>
      </c>
      <c r="F26" s="187"/>
      <c r="G26" s="494">
        <f>'Exhibit B,S2'!AL66-E26</f>
        <v>0</v>
      </c>
      <c r="H26" s="187"/>
      <c r="I26" s="494">
        <f t="shared" si="4"/>
        <v>0</v>
      </c>
      <c r="J26" s="187"/>
      <c r="K26" s="494">
        <f t="shared" si="5"/>
        <v>0</v>
      </c>
      <c r="N26" s="61"/>
      <c r="O26" s="25">
        <f t="shared" si="3"/>
        <v>2002</v>
      </c>
      <c r="P26" s="378">
        <v>39658038.149999999</v>
      </c>
      <c r="Q26" s="137">
        <f t="shared" si="6"/>
        <v>-36381.119999997318</v>
      </c>
      <c r="R26" s="378">
        <v>39658038.149999999</v>
      </c>
      <c r="S26" s="137">
        <f t="shared" si="7"/>
        <v>-36381.119999997318</v>
      </c>
    </row>
    <row r="27" spans="1:19" ht="16">
      <c r="A27" s="6">
        <f t="shared" si="2"/>
        <v>2004</v>
      </c>
      <c r="C27" s="494">
        <f>'Exhibit B,S2'!M27</f>
        <v>22345826.459999993</v>
      </c>
      <c r="D27" s="187"/>
      <c r="E27" s="494">
        <f>'Exhibit B,S2'!AL27</f>
        <v>22345826.459999993</v>
      </c>
      <c r="F27" s="187"/>
      <c r="G27" s="494">
        <f>'Exhibit B,S2'!AL67-E27</f>
        <v>0</v>
      </c>
      <c r="H27" s="187"/>
      <c r="I27" s="494">
        <f t="shared" si="4"/>
        <v>0</v>
      </c>
      <c r="J27" s="187"/>
      <c r="K27" s="494">
        <f t="shared" si="5"/>
        <v>0</v>
      </c>
      <c r="N27" s="61"/>
      <c r="O27" s="25">
        <f t="shared" si="3"/>
        <v>2003</v>
      </c>
      <c r="P27" s="378">
        <v>39621657.030000001</v>
      </c>
      <c r="Q27" s="137">
        <f t="shared" si="6"/>
        <v>-17275830.570000008</v>
      </c>
      <c r="R27" s="378">
        <v>39621657.030000001</v>
      </c>
      <c r="S27" s="137">
        <f t="shared" si="7"/>
        <v>-17275830.570000008</v>
      </c>
    </row>
    <row r="28" spans="1:19" ht="16">
      <c r="A28" s="6">
        <f t="shared" si="2"/>
        <v>2005</v>
      </c>
      <c r="C28" s="494">
        <f>'Exhibit B,S2'!M28</f>
        <v>23212899.960000001</v>
      </c>
      <c r="D28" s="187"/>
      <c r="E28" s="494">
        <f>'Exhibit B,S2'!AL28</f>
        <v>23212899.960000001</v>
      </c>
      <c r="F28" s="187"/>
      <c r="G28" s="494">
        <f>'Exhibit B,S2'!AL68-E28</f>
        <v>0</v>
      </c>
      <c r="H28" s="187"/>
      <c r="I28" s="494">
        <f t="shared" si="4"/>
        <v>0</v>
      </c>
      <c r="J28" s="187"/>
      <c r="K28" s="494">
        <f t="shared" si="5"/>
        <v>0</v>
      </c>
      <c r="N28" s="61"/>
      <c r="O28" s="25">
        <f t="shared" si="3"/>
        <v>2004</v>
      </c>
      <c r="P28" s="378">
        <v>22345826.460000001</v>
      </c>
      <c r="Q28" s="137">
        <f t="shared" si="6"/>
        <v>867073.5</v>
      </c>
      <c r="R28" s="378">
        <v>22345826.460000001</v>
      </c>
      <c r="S28" s="137">
        <f t="shared" si="7"/>
        <v>867073.5</v>
      </c>
    </row>
    <row r="29" spans="1:19" ht="16">
      <c r="A29" s="6">
        <f t="shared" si="2"/>
        <v>2006</v>
      </c>
      <c r="C29" s="494">
        <f>'Exhibit B,S2'!M29</f>
        <v>20611568.370000001</v>
      </c>
      <c r="D29" s="187"/>
      <c r="E29" s="494">
        <f>'Exhibit B,S2'!AL29</f>
        <v>20572948.359999999</v>
      </c>
      <c r="F29" s="187"/>
      <c r="G29" s="494">
        <f>'Exhibit B,S2'!AL69-E29</f>
        <v>38619.730000000447</v>
      </c>
      <c r="H29" s="187"/>
      <c r="I29" s="494">
        <f t="shared" si="4"/>
        <v>0.2800000011920929</v>
      </c>
      <c r="J29" s="187"/>
      <c r="K29" s="494">
        <f t="shared" si="5"/>
        <v>38620.010000001639</v>
      </c>
      <c r="N29" s="61"/>
      <c r="O29" s="25">
        <f t="shared" si="3"/>
        <v>2005</v>
      </c>
      <c r="P29" s="378">
        <v>23212899.959999993</v>
      </c>
      <c r="Q29" s="137">
        <f t="shared" si="6"/>
        <v>-2639951.599999994</v>
      </c>
      <c r="R29" s="378">
        <v>23212899.959999993</v>
      </c>
      <c r="S29" s="137">
        <f t="shared" si="7"/>
        <v>-2601331.8699999936</v>
      </c>
    </row>
    <row r="30" spans="1:19" ht="16">
      <c r="A30" s="6">
        <f t="shared" si="2"/>
        <v>2007</v>
      </c>
      <c r="C30" s="494">
        <f>'Exhibit B,S2'!M30</f>
        <v>23145613.18</v>
      </c>
      <c r="D30" s="187"/>
      <c r="E30" s="494">
        <f>'Exhibit B,S2'!AL30</f>
        <v>23145613.18</v>
      </c>
      <c r="F30" s="187"/>
      <c r="G30" s="494">
        <f>'Exhibit B,S2'!AL70-E30</f>
        <v>0</v>
      </c>
      <c r="H30" s="187"/>
      <c r="I30" s="494">
        <f t="shared" si="4"/>
        <v>0</v>
      </c>
      <c r="J30" s="187"/>
      <c r="K30" s="494">
        <f t="shared" si="5"/>
        <v>0</v>
      </c>
      <c r="N30" s="61"/>
      <c r="O30" s="25">
        <f t="shared" si="3"/>
        <v>2006</v>
      </c>
      <c r="P30" s="378">
        <v>20539781.59</v>
      </c>
      <c r="Q30" s="137">
        <f t="shared" si="6"/>
        <v>2605831.59</v>
      </c>
      <c r="R30" s="378">
        <v>20797704.390000001</v>
      </c>
      <c r="S30" s="137">
        <f t="shared" si="7"/>
        <v>2347908.7899999991</v>
      </c>
    </row>
    <row r="31" spans="1:19" ht="16">
      <c r="A31" s="6">
        <f t="shared" si="2"/>
        <v>2008</v>
      </c>
      <c r="C31" s="494">
        <f>'Exhibit B,S2'!M31</f>
        <v>24591736.629999995</v>
      </c>
      <c r="D31" s="187"/>
      <c r="E31" s="494">
        <f>'Exhibit B,S2'!AL31</f>
        <v>24591736.629999995</v>
      </c>
      <c r="F31" s="187"/>
      <c r="G31" s="494">
        <f>'Exhibit B,S2'!AL71-E31</f>
        <v>0</v>
      </c>
      <c r="H31" s="187"/>
      <c r="I31" s="494">
        <f t="shared" si="4"/>
        <v>0</v>
      </c>
      <c r="J31" s="187"/>
      <c r="K31" s="494">
        <f t="shared" si="5"/>
        <v>0</v>
      </c>
      <c r="N31" s="61"/>
      <c r="O31" s="25">
        <f t="shared" si="3"/>
        <v>2007</v>
      </c>
      <c r="P31" s="378">
        <v>23145613.179999996</v>
      </c>
      <c r="Q31" s="137">
        <f t="shared" si="6"/>
        <v>1446123.4499999993</v>
      </c>
      <c r="R31" s="378">
        <v>23145613.179999996</v>
      </c>
      <c r="S31" s="137">
        <f t="shared" si="7"/>
        <v>1446123.4499999993</v>
      </c>
    </row>
    <row r="32" spans="1:19" ht="16">
      <c r="A32" s="6">
        <f t="shared" si="2"/>
        <v>2009</v>
      </c>
      <c r="C32" s="494">
        <f>'Exhibit B,S2'!M32</f>
        <v>21193970.850000001</v>
      </c>
      <c r="D32" s="187"/>
      <c r="E32" s="494">
        <f>'Exhibit B,S2'!AL32</f>
        <v>21193970.850000001</v>
      </c>
      <c r="F32" s="187"/>
      <c r="G32" s="494">
        <f>'Exhibit B,S2'!AL72-E32</f>
        <v>0</v>
      </c>
      <c r="H32" s="187"/>
      <c r="I32" s="494">
        <f t="shared" si="4"/>
        <v>0</v>
      </c>
      <c r="J32" s="187"/>
      <c r="K32" s="494">
        <f t="shared" si="5"/>
        <v>0</v>
      </c>
      <c r="N32" s="61"/>
      <c r="O32" s="25">
        <f t="shared" si="3"/>
        <v>2008</v>
      </c>
      <c r="P32" s="378">
        <v>24591736.629999999</v>
      </c>
      <c r="Q32" s="137">
        <f t="shared" si="6"/>
        <v>-3397765.7799999975</v>
      </c>
      <c r="R32" s="378">
        <v>24591736.629999999</v>
      </c>
      <c r="S32" s="137">
        <f t="shared" si="7"/>
        <v>-3397765.7799999975</v>
      </c>
    </row>
    <row r="33" spans="1:21" ht="16">
      <c r="A33" s="6">
        <f t="shared" si="2"/>
        <v>2010</v>
      </c>
      <c r="C33" s="494">
        <f>'Exhibit B,S2'!M33</f>
        <v>34671613.590000004</v>
      </c>
      <c r="D33" s="187"/>
      <c r="E33" s="494">
        <f>'Exhibit B,S2'!AL33</f>
        <v>34671613.590000004</v>
      </c>
      <c r="F33" s="187"/>
      <c r="G33" s="494">
        <f>'Exhibit B,S2'!AL73-E33</f>
        <v>0</v>
      </c>
      <c r="H33" s="187"/>
      <c r="I33" s="494">
        <f t="shared" si="4"/>
        <v>0</v>
      </c>
      <c r="J33" s="187"/>
      <c r="K33" s="494">
        <f t="shared" si="5"/>
        <v>0</v>
      </c>
      <c r="N33" s="61"/>
      <c r="O33" s="25">
        <f t="shared" si="3"/>
        <v>2009</v>
      </c>
      <c r="P33" s="378">
        <v>21193970.850000001</v>
      </c>
      <c r="Q33" s="137">
        <f t="shared" si="6"/>
        <v>13477642.740000002</v>
      </c>
      <c r="R33" s="378">
        <v>21193970.850000001</v>
      </c>
      <c r="S33" s="137">
        <f t="shared" si="7"/>
        <v>13477642.740000002</v>
      </c>
    </row>
    <row r="34" spans="1:21" ht="16">
      <c r="A34" s="6">
        <f t="shared" si="2"/>
        <v>2011</v>
      </c>
      <c r="C34" s="494">
        <f>'Exhibit B,S2'!M34</f>
        <v>24222675.330521472</v>
      </c>
      <c r="D34" s="187"/>
      <c r="E34" s="494">
        <f>'Exhibit B,S2'!AL34</f>
        <v>24224986.539999999</v>
      </c>
      <c r="F34" s="187"/>
      <c r="G34" s="494">
        <f>'Exhibit B,S2'!AL74-E34</f>
        <v>0</v>
      </c>
      <c r="H34" s="187"/>
      <c r="I34" s="494">
        <f t="shared" si="4"/>
        <v>-2311.2094785273075</v>
      </c>
      <c r="J34" s="187"/>
      <c r="K34" s="494">
        <f t="shared" si="5"/>
        <v>-2311.2094785273075</v>
      </c>
      <c r="N34" s="61"/>
      <c r="O34" s="25">
        <f t="shared" si="3"/>
        <v>2010</v>
      </c>
      <c r="P34" s="378">
        <v>34669398.589999996</v>
      </c>
      <c r="Q34" s="137">
        <f t="shared" si="6"/>
        <v>-10444412.049999997</v>
      </c>
      <c r="R34" s="378">
        <v>34671370.409999996</v>
      </c>
      <c r="S34" s="137">
        <f t="shared" si="7"/>
        <v>-10446383.869999997</v>
      </c>
    </row>
    <row r="35" spans="1:21" ht="16">
      <c r="A35" s="6">
        <f t="shared" si="2"/>
        <v>2012</v>
      </c>
      <c r="C35" s="494">
        <f>'Exhibit B,S2'!M35</f>
        <v>46913926.320252515</v>
      </c>
      <c r="D35" s="187"/>
      <c r="E35" s="494">
        <f>'Exhibit B,S2'!AL35</f>
        <v>46467040.370000005</v>
      </c>
      <c r="F35" s="187"/>
      <c r="G35" s="494">
        <f>'Exhibit B,S2'!AL75-E35</f>
        <v>443718.89999999851</v>
      </c>
      <c r="H35" s="187"/>
      <c r="I35" s="494">
        <f t="shared" si="4"/>
        <v>3167.0502525120974</v>
      </c>
      <c r="J35" s="187"/>
      <c r="K35" s="494">
        <f t="shared" si="5"/>
        <v>446885.95025251061</v>
      </c>
      <c r="N35" s="61"/>
      <c r="O35" s="25">
        <f t="shared" si="3"/>
        <v>2011</v>
      </c>
      <c r="P35" s="378">
        <v>24202959.68</v>
      </c>
      <c r="Q35" s="137">
        <f t="shared" si="6"/>
        <v>22264080.690000005</v>
      </c>
      <c r="R35" s="378">
        <v>24745951.129999999</v>
      </c>
      <c r="S35" s="137">
        <f t="shared" si="7"/>
        <v>22164808.140000004</v>
      </c>
    </row>
    <row r="36" spans="1:21" ht="16">
      <c r="A36" s="6">
        <f t="shared" si="2"/>
        <v>2013</v>
      </c>
      <c r="C36" s="494">
        <f>'Exhibit B,S2'!M36</f>
        <v>40941788.236907132</v>
      </c>
      <c r="D36" s="187"/>
      <c r="E36" s="494">
        <f>'Exhibit B,S2'!AL36</f>
        <v>38695828.886999995</v>
      </c>
      <c r="F36" s="187"/>
      <c r="G36" s="494">
        <f>'Exhibit B,S2'!AL76-E36</f>
        <v>2239258.3599999994</v>
      </c>
      <c r="H36" s="187"/>
      <c r="I36" s="494">
        <f t="shared" si="4"/>
        <v>6700.9899071380496</v>
      </c>
      <c r="J36" s="187"/>
      <c r="K36" s="494">
        <f t="shared" si="5"/>
        <v>2245959.3499071375</v>
      </c>
      <c r="N36" s="61"/>
      <c r="O36" s="25">
        <f t="shared" si="3"/>
        <v>2012</v>
      </c>
      <c r="P36" s="378">
        <v>45534103.610000007</v>
      </c>
      <c r="Q36" s="137">
        <f t="shared" si="6"/>
        <v>-6838274.7230000123</v>
      </c>
      <c r="R36" s="378">
        <v>48457679.400000006</v>
      </c>
      <c r="S36" s="137">
        <f t="shared" si="7"/>
        <v>-7522592.153000012</v>
      </c>
    </row>
    <row r="37" spans="1:21" ht="16">
      <c r="A37" s="6">
        <f t="shared" si="2"/>
        <v>2014</v>
      </c>
      <c r="C37" s="494">
        <f>'Exhibit B,S2'!M37</f>
        <v>45076314.976064682</v>
      </c>
      <c r="D37" s="187"/>
      <c r="E37" s="494">
        <f>'Exhibit B,S2'!AL37</f>
        <v>38594239.644000001</v>
      </c>
      <c r="F37" s="187"/>
      <c r="G37" s="494">
        <f>'Exhibit B,S2'!AL77-E37</f>
        <v>6421673.5240000039</v>
      </c>
      <c r="H37" s="187"/>
      <c r="I37" s="494">
        <f t="shared" si="4"/>
        <v>60401.808064676821</v>
      </c>
      <c r="J37" s="187"/>
      <c r="K37" s="494">
        <f t="shared" si="5"/>
        <v>6482075.3320646808</v>
      </c>
      <c r="N37" s="61"/>
      <c r="O37" s="25">
        <f t="shared" si="3"/>
        <v>2013</v>
      </c>
      <c r="P37" s="378">
        <v>34331635.176999994</v>
      </c>
      <c r="Q37" s="137">
        <f t="shared" si="6"/>
        <v>4262604.4670000076</v>
      </c>
      <c r="R37" s="378">
        <v>42513318.686999992</v>
      </c>
      <c r="S37" s="137">
        <f t="shared" si="7"/>
        <v>2502594.4810000136</v>
      </c>
    </row>
    <row r="38" spans="1:21" ht="16">
      <c r="A38" s="6">
        <f t="shared" si="2"/>
        <v>2015</v>
      </c>
      <c r="C38" s="494">
        <f>'Exhibit B,S2'!M38</f>
        <v>30546993.626958255</v>
      </c>
      <c r="D38" s="187"/>
      <c r="E38" s="494">
        <f>'Exhibit B,S2'!AL38</f>
        <v>26977621.019499999</v>
      </c>
      <c r="F38" s="187"/>
      <c r="G38" s="494">
        <f>'Exhibit B,S2'!AL78-E38</f>
        <v>3412745.629999999</v>
      </c>
      <c r="H38" s="187"/>
      <c r="I38" s="494">
        <f t="shared" si="4"/>
        <v>156626.97745825723</v>
      </c>
      <c r="J38" s="187"/>
      <c r="K38" s="494">
        <f t="shared" si="5"/>
        <v>3569372.6074582562</v>
      </c>
      <c r="N38" s="61"/>
      <c r="O38" s="25">
        <f t="shared" si="3"/>
        <v>2014</v>
      </c>
      <c r="P38" s="378">
        <v>37188363.039000005</v>
      </c>
      <c r="Q38" s="137">
        <f t="shared" si="6"/>
        <v>-10210742.019500006</v>
      </c>
      <c r="R38" s="378">
        <v>46780897.708000004</v>
      </c>
      <c r="S38" s="137">
        <f t="shared" si="7"/>
        <v>-16390531.058500007</v>
      </c>
    </row>
    <row r="39" spans="1:21" ht="16">
      <c r="A39" s="6">
        <f t="shared" si="2"/>
        <v>2016</v>
      </c>
      <c r="C39" s="494">
        <f>'Exhibit B,S2'!M39</f>
        <v>49593619.659121223</v>
      </c>
      <c r="D39" s="187"/>
      <c r="E39" s="494">
        <f>'Exhibit B,S2'!AL39</f>
        <v>40189160.762999997</v>
      </c>
      <c r="F39" s="187"/>
      <c r="G39" s="494">
        <f>'Exhibit B,S2'!AL79-E39</f>
        <v>6393333.5604999959</v>
      </c>
      <c r="H39" s="187"/>
      <c r="I39" s="494">
        <f t="shared" si="4"/>
        <v>3011125.3356212303</v>
      </c>
      <c r="J39" s="187"/>
      <c r="K39" s="494">
        <f t="shared" si="5"/>
        <v>9404458.8961212263</v>
      </c>
      <c r="N39" s="61"/>
      <c r="O39" s="25">
        <f t="shared" si="3"/>
        <v>2015</v>
      </c>
      <c r="P39" s="378">
        <v>24114288.949499998</v>
      </c>
      <c r="Q39" s="137">
        <f t="shared" si="6"/>
        <v>16074871.813499998</v>
      </c>
      <c r="R39" s="378">
        <v>29787323.6895</v>
      </c>
      <c r="S39" s="137">
        <f t="shared" si="7"/>
        <v>16795170.633999992</v>
      </c>
      <c r="T39" s="61"/>
      <c r="U39" s="61"/>
    </row>
    <row r="40" spans="1:21" ht="16">
      <c r="A40" s="6">
        <f t="shared" si="2"/>
        <v>2017</v>
      </c>
      <c r="C40" s="494">
        <f>'Exhibit B,S2'!M40</f>
        <v>29690399.541592192</v>
      </c>
      <c r="D40" s="187"/>
      <c r="E40" s="494">
        <f>'Exhibit B,S2'!AL40</f>
        <v>19804069.666999996</v>
      </c>
      <c r="F40" s="187"/>
      <c r="G40" s="494">
        <f>'Exhibit B,S2'!AL80-E40</f>
        <v>5490123.1095000021</v>
      </c>
      <c r="H40" s="187"/>
      <c r="I40" s="494">
        <f t="shared" si="4"/>
        <v>4396206.7650921941</v>
      </c>
      <c r="J40" s="187"/>
      <c r="K40" s="494">
        <f t="shared" si="5"/>
        <v>9886329.8745921962</v>
      </c>
      <c r="N40" s="61"/>
      <c r="O40" s="25">
        <f t="shared" si="3"/>
        <v>2016</v>
      </c>
      <c r="P40" s="378">
        <v>34869820.868500002</v>
      </c>
      <c r="Q40" s="137">
        <f t="shared" si="6"/>
        <v>-15065751.201500006</v>
      </c>
      <c r="R40" s="378">
        <v>44990409.554499999</v>
      </c>
      <c r="S40" s="137">
        <f t="shared" si="7"/>
        <v>-19696216.778000001</v>
      </c>
    </row>
    <row r="41" spans="1:21" ht="16">
      <c r="A41" s="6">
        <f t="shared" si="2"/>
        <v>2018</v>
      </c>
      <c r="C41" s="494">
        <f>'Exhibit B,S2'!M41</f>
        <v>45197038.973268539</v>
      </c>
      <c r="D41" s="187"/>
      <c r="E41" s="494">
        <f>'Exhibit B,S2'!AL41</f>
        <v>16963778.158</v>
      </c>
      <c r="F41" s="187"/>
      <c r="G41" s="494">
        <f>'Exhibit B,S2'!AL81-E41</f>
        <v>13732496.848000001</v>
      </c>
      <c r="H41" s="187"/>
      <c r="I41" s="494">
        <f t="shared" si="4"/>
        <v>14500763.967268538</v>
      </c>
      <c r="J41" s="187"/>
      <c r="K41" s="494">
        <f t="shared" si="5"/>
        <v>28233260.815268539</v>
      </c>
      <c r="N41" s="61"/>
      <c r="O41" s="25">
        <f t="shared" si="3"/>
        <v>2017</v>
      </c>
      <c r="P41" s="378">
        <v>16495669.089</v>
      </c>
      <c r="Q41" s="137">
        <f t="shared" si="6"/>
        <v>468109.06900000013</v>
      </c>
      <c r="R41" s="378">
        <v>25954827.685999997</v>
      </c>
      <c r="S41" s="137">
        <f t="shared" si="7"/>
        <v>4741447.320000004</v>
      </c>
    </row>
    <row r="42" spans="1:21" ht="16">
      <c r="A42" s="6">
        <f t="shared" si="2"/>
        <v>2019</v>
      </c>
      <c r="C42" s="494">
        <f>'Exhibit B,S2'!M42</f>
        <v>42382770.435190924</v>
      </c>
      <c r="D42" s="187"/>
      <c r="E42" s="494">
        <f>'Exhibit B,S2'!AL42</f>
        <v>15983950.620999999</v>
      </c>
      <c r="F42" s="187"/>
      <c r="G42" s="494">
        <f>'Exhibit B,S2'!AL82-E42</f>
        <v>9049946.5205000006</v>
      </c>
      <c r="H42" s="187"/>
      <c r="I42" s="494">
        <f t="shared" si="4"/>
        <v>17348873.293690924</v>
      </c>
      <c r="J42" s="187"/>
      <c r="K42" s="494">
        <f t="shared" si="5"/>
        <v>26398819.814190924</v>
      </c>
      <c r="N42" s="61"/>
      <c r="O42" s="25">
        <f t="shared" si="3"/>
        <v>2018</v>
      </c>
      <c r="P42" s="378">
        <v>13394859.743499998</v>
      </c>
      <c r="Q42" s="137">
        <f t="shared" si="6"/>
        <v>2589090.8775000013</v>
      </c>
      <c r="R42" s="378">
        <v>22345994.654499996</v>
      </c>
      <c r="S42" s="137">
        <f t="shared" si="7"/>
        <v>2687902.4870000035</v>
      </c>
    </row>
    <row r="43" spans="1:21" ht="16">
      <c r="A43" s="6">
        <f t="shared" si="2"/>
        <v>2020</v>
      </c>
      <c r="C43" s="494">
        <f>'Exhibit B,S2'!M43</f>
        <v>25428567.39776738</v>
      </c>
      <c r="D43" s="187"/>
      <c r="E43" s="494">
        <f>'Exhibit B,S2'!AL43</f>
        <v>7994575.3454999998</v>
      </c>
      <c r="F43" s="187"/>
      <c r="G43" s="494">
        <f>'Exhibit B,S2'!AL83-E43</f>
        <v>3485638.7434999999</v>
      </c>
      <c r="H43" s="187"/>
      <c r="I43" s="494">
        <f t="shared" si="4"/>
        <v>13948353.30876738</v>
      </c>
      <c r="J43" s="187"/>
      <c r="K43" s="494">
        <f t="shared" si="5"/>
        <v>17433992.05226738</v>
      </c>
      <c r="N43" s="61"/>
      <c r="O43" s="25">
        <f t="shared" si="3"/>
        <v>2019</v>
      </c>
      <c r="P43" s="378">
        <v>10328329.864</v>
      </c>
      <c r="Q43" s="137">
        <f t="shared" si="6"/>
        <v>-2333754.5185000002</v>
      </c>
      <c r="R43" s="378">
        <v>20088695.585000001</v>
      </c>
      <c r="S43" s="137">
        <f t="shared" si="7"/>
        <v>-8608481.4960000012</v>
      </c>
      <c r="U43" s="76"/>
    </row>
    <row r="44" spans="1:21" ht="16">
      <c r="A44" s="6">
        <f t="shared" si="2"/>
        <v>2021</v>
      </c>
      <c r="C44" s="494">
        <f>'Exhibit B,S2'!M44</f>
        <v>27222251.197901461</v>
      </c>
      <c r="D44" s="187"/>
      <c r="E44" s="494">
        <f>'Exhibit B,S2'!AL44</f>
        <v>1712678.2279999999</v>
      </c>
      <c r="F44" s="187"/>
      <c r="G44" s="494">
        <f>'Exhibit B,S2'!AL84-E44</f>
        <v>4306546.9394999994</v>
      </c>
      <c r="H44" s="187"/>
      <c r="I44" s="494">
        <f t="shared" si="4"/>
        <v>21203026.030401461</v>
      </c>
      <c r="J44" s="187"/>
      <c r="K44" s="494">
        <f t="shared" si="5"/>
        <v>25509572.969901461</v>
      </c>
      <c r="N44" s="61"/>
      <c r="O44" s="25">
        <f t="shared" si="3"/>
        <v>2020</v>
      </c>
      <c r="P44" s="378">
        <v>1347849.0889999999</v>
      </c>
      <c r="Q44" s="137">
        <f t="shared" si="6"/>
        <v>364829.13899999997</v>
      </c>
      <c r="R44" s="378">
        <v>4608534.1050000004</v>
      </c>
      <c r="S44" s="137">
        <f t="shared" si="7"/>
        <v>1410691.0624999991</v>
      </c>
    </row>
    <row r="45" spans="1:21" ht="16">
      <c r="A45" s="6">
        <f t="shared" si="2"/>
        <v>2022</v>
      </c>
      <c r="C45" s="494">
        <f>'Exhibit B,S2'!M45</f>
        <v>26104757.141679201</v>
      </c>
      <c r="D45" s="187"/>
      <c r="E45" s="494">
        <f>'Exhibit B,S2'!AL45</f>
        <v>460036.10499999998</v>
      </c>
      <c r="F45" s="187"/>
      <c r="G45" s="494">
        <f>'Exhibit B,S2'!AL85-E45</f>
        <v>2433157.94</v>
      </c>
      <c r="H45" s="187"/>
      <c r="I45" s="494">
        <f t="shared" si="4"/>
        <v>23211563.096679199</v>
      </c>
      <c r="J45" s="187"/>
      <c r="K45" s="494">
        <f t="shared" si="5"/>
        <v>25644721.036679201</v>
      </c>
      <c r="N45" s="61"/>
      <c r="O45" s="25">
        <f t="shared" si="3"/>
        <v>2021</v>
      </c>
      <c r="P45" s="378">
        <v>248753.99250000002</v>
      </c>
      <c r="Q45" s="137">
        <f t="shared" si="6"/>
        <v>211282.11249999996</v>
      </c>
      <c r="R45" s="378">
        <v>1559839.49</v>
      </c>
      <c r="S45" s="137">
        <f t="shared" si="7"/>
        <v>1333354.5549999999</v>
      </c>
    </row>
    <row r="46" spans="1:21">
      <c r="A46" s="6"/>
      <c r="C46" s="105"/>
      <c r="E46" s="105"/>
      <c r="G46" s="105"/>
      <c r="I46" s="105"/>
      <c r="K46" s="105"/>
      <c r="N46" s="61"/>
      <c r="O46" s="25"/>
      <c r="P46" s="280"/>
      <c r="Q46" s="280"/>
      <c r="R46" s="280"/>
      <c r="S46" s="280"/>
    </row>
    <row r="47" spans="1:21">
      <c r="A47" s="6" t="s">
        <v>0</v>
      </c>
      <c r="C47" s="26">
        <f>SUM(C17:C46)</f>
        <v>1048889115.657225</v>
      </c>
      <c r="E47" s="26">
        <f t="shared" ref="E47:K47" si="8">SUM(E17:E46)</f>
        <v>893597358.15800011</v>
      </c>
      <c r="F47" s="26"/>
      <c r="G47" s="26">
        <f t="shared" si="8"/>
        <v>57447259.805500001</v>
      </c>
      <c r="H47" s="26"/>
      <c r="I47" s="26">
        <f t="shared" si="8"/>
        <v>97844497.693724975</v>
      </c>
      <c r="J47" s="26"/>
      <c r="K47" s="26">
        <f t="shared" si="8"/>
        <v>155291757.49922499</v>
      </c>
      <c r="N47" s="61"/>
      <c r="O47" s="25" t="s">
        <v>0</v>
      </c>
      <c r="P47" s="68">
        <f>SUM(P16:P46)</f>
        <v>574189905.82200003</v>
      </c>
      <c r="Q47" s="68">
        <f>SUM(Q16:Q46)</f>
        <v>-9463714.704000026</v>
      </c>
      <c r="R47" s="68">
        <f>SUM(R16:R46)</f>
        <v>644226639.02950001</v>
      </c>
      <c r="S47" s="68">
        <f>SUM(S16:S46)</f>
        <v>-14186680.946000025</v>
      </c>
    </row>
    <row r="48" spans="1:21">
      <c r="C48" s="609">
        <f>C47-'Exhibit B,S2'!M47</f>
        <v>0</v>
      </c>
      <c r="E48" s="609">
        <f>E47-'Exhibit B,S2'!AL47</f>
        <v>0</v>
      </c>
      <c r="G48" s="69">
        <f>G47-('Exhibit B,S2'!AL87-'Exhibit B,S2'!AL47)</f>
        <v>2.0861625671386719E-7</v>
      </c>
      <c r="I48" s="69">
        <f>I47-('Exhibit B,S2'!M47-'Exhibit B,S2'!AL87)</f>
        <v>-1.3411045074462891E-7</v>
      </c>
      <c r="O48" s="61"/>
      <c r="P48" s="61"/>
      <c r="Q48" s="61"/>
      <c r="R48" s="61"/>
      <c r="S48" s="61"/>
    </row>
    <row r="49" spans="1:24">
      <c r="B49" s="3" t="s">
        <v>1743</v>
      </c>
      <c r="K49" s="18">
        <f>0.95*'Exhibit A, 1a'!K59</f>
        <v>1313160.3319039377</v>
      </c>
      <c r="M49" s="17"/>
    </row>
    <row r="50" spans="1:24">
      <c r="B50" s="3" t="s">
        <v>907</v>
      </c>
      <c r="K50" s="18">
        <f>0.5*'Exhibit C,1'!I34*(U55-T55)+(1)*'Exhibit C,1'!I34*(S55-U55)</f>
        <v>3369860.3891656343</v>
      </c>
      <c r="M50" s="18">
        <f>K50+K49</f>
        <v>4683020.7210695725</v>
      </c>
      <c r="S50" s="61" t="s">
        <v>0</v>
      </c>
      <c r="T50" s="61" t="s">
        <v>0</v>
      </c>
      <c r="U50" s="61" t="s">
        <v>0</v>
      </c>
    </row>
    <row r="51" spans="1:24">
      <c r="B51" s="3" t="s">
        <v>468</v>
      </c>
      <c r="K51" s="26">
        <v>0</v>
      </c>
      <c r="S51" s="61" t="s">
        <v>9</v>
      </c>
      <c r="T51" s="61" t="s">
        <v>9</v>
      </c>
      <c r="U51" s="61" t="s">
        <v>9</v>
      </c>
    </row>
    <row r="52" spans="1:24">
      <c r="B52" s="3" t="s">
        <v>467</v>
      </c>
      <c r="G52" s="22"/>
      <c r="K52" s="311">
        <f>K47+K49+K50</f>
        <v>159974778.22029456</v>
      </c>
      <c r="M52" s="26"/>
      <c r="S52" s="61" t="s">
        <v>67</v>
      </c>
      <c r="T52" s="61" t="s">
        <v>14</v>
      </c>
      <c r="U52" s="61" t="s">
        <v>12</v>
      </c>
    </row>
    <row r="53" spans="1:24">
      <c r="S53" s="61"/>
      <c r="T53" s="61"/>
      <c r="U53" s="61"/>
    </row>
    <row r="54" spans="1:24">
      <c r="K54" s="609">
        <f>K52-'Summary Exhibit 2'!O26</f>
        <v>0.24800646305084229</v>
      </c>
      <c r="R54" s="61" t="s">
        <v>703</v>
      </c>
      <c r="S54" s="122">
        <f>'Exhibit V,1'!C28+'Exhibit V,1'!S28</f>
        <v>86902606.17193751</v>
      </c>
      <c r="T54" s="122">
        <f>'Exhibit V,1'!E28+'Exhibit V,1'!U28</f>
        <v>45165320.317999996</v>
      </c>
      <c r="U54" s="122">
        <f>'Exhibit V,1'!G28+'Exhibit V,1'!W28</f>
        <v>57658252.463500001</v>
      </c>
      <c r="V54" s="76"/>
    </row>
    <row r="55" spans="1:24">
      <c r="A55" s="52" t="s">
        <v>104</v>
      </c>
      <c r="C55" s="3" t="s">
        <v>434</v>
      </c>
      <c r="R55" s="61" t="s">
        <v>1398</v>
      </c>
      <c r="S55" s="312">
        <f>C47-S54</f>
        <v>961986509.48528755</v>
      </c>
      <c r="T55" s="137">
        <f>E47-T54</f>
        <v>848432037.84000015</v>
      </c>
      <c r="U55" s="160">
        <f>(E47+G47)-U54</f>
        <v>893386365.50000012</v>
      </c>
    </row>
    <row r="56" spans="1:24">
      <c r="A56" s="52" t="s">
        <v>36</v>
      </c>
      <c r="C56" s="1" t="s">
        <v>740</v>
      </c>
      <c r="S56" s="53"/>
      <c r="T56" s="21"/>
      <c r="U56" s="21"/>
    </row>
    <row r="57" spans="1:24">
      <c r="A57" s="64" t="s">
        <v>38</v>
      </c>
      <c r="C57" s="1" t="s">
        <v>740</v>
      </c>
    </row>
    <row r="58" spans="1:24">
      <c r="A58" s="64" t="s">
        <v>40</v>
      </c>
      <c r="C58" s="3" t="s">
        <v>464</v>
      </c>
    </row>
    <row r="59" spans="1:24">
      <c r="A59" s="64" t="s">
        <v>42</v>
      </c>
      <c r="C59" s="1" t="s">
        <v>120</v>
      </c>
    </row>
    <row r="60" spans="1:24">
      <c r="A60" s="64" t="s">
        <v>30</v>
      </c>
      <c r="C60" s="3" t="s">
        <v>1744</v>
      </c>
    </row>
    <row r="61" spans="1:24">
      <c r="A61" s="64" t="s">
        <v>31</v>
      </c>
      <c r="C61" s="1" t="s">
        <v>1546</v>
      </c>
    </row>
    <row r="62" spans="1:24">
      <c r="A62" s="64" t="s">
        <v>103</v>
      </c>
      <c r="C62" s="1" t="s">
        <v>709</v>
      </c>
      <c r="R62" s="61" t="s">
        <v>753</v>
      </c>
      <c r="S62" s="206"/>
      <c r="T62" s="61"/>
      <c r="U62" s="61"/>
      <c r="V62" s="61"/>
      <c r="X62" s="61"/>
    </row>
    <row r="63" spans="1:24">
      <c r="A63" s="64" t="s">
        <v>106</v>
      </c>
      <c r="C63" s="3" t="s">
        <v>469</v>
      </c>
      <c r="S63" s="61"/>
      <c r="T63" s="61"/>
      <c r="U63" s="61"/>
      <c r="V63" s="61" t="s">
        <v>861</v>
      </c>
      <c r="W63" s="61" t="s">
        <v>686</v>
      </c>
      <c r="X63" s="61" t="s">
        <v>686</v>
      </c>
    </row>
    <row r="64" spans="1:24">
      <c r="S64" s="61" t="s">
        <v>139</v>
      </c>
      <c r="T64" s="61" t="s">
        <v>864</v>
      </c>
      <c r="U64" s="61"/>
      <c r="V64" s="61" t="s">
        <v>865</v>
      </c>
      <c r="W64" s="61" t="s">
        <v>866</v>
      </c>
      <c r="X64" s="61" t="s">
        <v>661</v>
      </c>
    </row>
    <row r="65" spans="18:24">
      <c r="S65" s="61" t="s">
        <v>117</v>
      </c>
      <c r="T65" s="160" t="s">
        <v>381</v>
      </c>
      <c r="U65" s="61" t="s">
        <v>661</v>
      </c>
      <c r="V65" s="72">
        <v>3.5999999999999997E-2</v>
      </c>
      <c r="W65" s="72">
        <v>0.1729212091037827</v>
      </c>
      <c r="X65" s="61"/>
    </row>
    <row r="66" spans="18:24">
      <c r="S66" s="61"/>
      <c r="T66" s="61"/>
      <c r="U66" s="61"/>
      <c r="V66" s="61"/>
      <c r="W66" s="61"/>
      <c r="X66" s="61"/>
    </row>
    <row r="67" spans="18:24">
      <c r="R67" s="61" t="s">
        <v>703</v>
      </c>
      <c r="S67" s="137"/>
      <c r="T67" s="137"/>
      <c r="U67" s="137"/>
      <c r="V67" s="137"/>
      <c r="W67" s="137"/>
      <c r="X67" s="137"/>
    </row>
    <row r="68" spans="18:24">
      <c r="R68" s="61" t="s">
        <v>739</v>
      </c>
      <c r="S68" s="137">
        <f>U55-T55</f>
        <v>44954327.659999967</v>
      </c>
      <c r="T68" s="137">
        <f>S55-U55</f>
        <v>68600143.985287428</v>
      </c>
      <c r="U68" s="137">
        <f>S68*0.5*'Exhibit C,1'!I34+T68*'Exhibit C,1'!I34</f>
        <v>3369860.3891656343</v>
      </c>
      <c r="V68" s="137"/>
      <c r="W68" s="137"/>
      <c r="X68" s="137">
        <f>(V65*(0.5*(1-W$65)+W$65))*(S68+T68)</f>
        <v>2397428.0672639702</v>
      </c>
    </row>
    <row r="69" spans="18:24">
      <c r="S69" s="61"/>
      <c r="T69" s="61"/>
      <c r="U69" s="61"/>
      <c r="V69" s="61"/>
      <c r="W69" s="61"/>
      <c r="X69" s="61"/>
    </row>
    <row r="70" spans="18:24">
      <c r="R70" s="73"/>
      <c r="S70" s="72" t="s">
        <v>867</v>
      </c>
      <c r="T70" s="72">
        <f>U68/(S68+T68)</f>
        <v>2.967615753338311E-2</v>
      </c>
    </row>
    <row r="71" spans="18:24">
      <c r="S71" s="61" t="s">
        <v>868</v>
      </c>
      <c r="T71" s="72">
        <f>X68/(S68+T68)</f>
        <v>2.1112581763868085E-2</v>
      </c>
    </row>
    <row r="72" spans="18:24">
      <c r="S72" s="61"/>
      <c r="T72" s="61"/>
    </row>
    <row r="73" spans="18:24">
      <c r="S73" s="61"/>
      <c r="T73" s="61"/>
    </row>
  </sheetData>
  <phoneticPr fontId="8" type="noConversion"/>
  <printOptions horizontalCentered="1"/>
  <pageMargins left="0.7" right="0.7" top="0.75" bottom="0.75" header="0.3" footer="0.3"/>
  <pageSetup scale="69" orientation="portrait" r:id="rId1"/>
  <ignoredErrors>
    <ignoredError sqref="A14:K14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pageSetUpPr fitToPage="1"/>
  </sheetPr>
  <dimension ref="A1:AA52"/>
  <sheetViews>
    <sheetView zoomScaleNormal="100" workbookViewId="0">
      <selection activeCell="S46" sqref="S46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3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3.7109375" style="1" customWidth="1"/>
    <col min="10" max="10" width="1.7109375" style="1" customWidth="1"/>
    <col min="11" max="11" width="12.7109375" style="1" customWidth="1"/>
    <col min="12" max="12" width="1.7109375" style="1" customWidth="1"/>
    <col min="13" max="13" width="12.7109375" style="1" customWidth="1"/>
    <col min="14" max="14" width="1.7109375" style="1" customWidth="1"/>
    <col min="15" max="15" width="12.7109375" style="1" customWidth="1"/>
    <col min="16" max="16" width="1.7109375" style="1" customWidth="1"/>
    <col min="17" max="17" width="11.7109375" style="1" customWidth="1"/>
    <col min="18" max="18" width="1.7109375" style="1" customWidth="1"/>
    <col min="19" max="19" width="11.7109375" style="1" customWidth="1"/>
    <col min="20" max="20" width="8.7109375" style="1"/>
    <col min="21" max="21" width="9.85546875" style="1" bestFit="1" customWidth="1"/>
    <col min="22" max="24" width="8.7109375" style="1"/>
    <col min="25" max="25" width="14.7109375" style="1" bestFit="1" customWidth="1"/>
    <col min="26" max="26" width="8.85546875" style="1" bestFit="1" customWidth="1"/>
    <col min="27" max="16384" width="8.7109375" style="1"/>
  </cols>
  <sheetData>
    <row r="1" spans="1:19">
      <c r="S1" s="64" t="s">
        <v>934</v>
      </c>
    </row>
    <row r="2" spans="1:19">
      <c r="S2" s="64" t="s">
        <v>56</v>
      </c>
    </row>
    <row r="4" spans="1:19" ht="16">
      <c r="A4" s="4" t="s">
        <v>872</v>
      </c>
      <c r="B4" s="4"/>
      <c r="C4" s="4"/>
      <c r="D4" s="4"/>
      <c r="E4" s="4"/>
      <c r="F4" s="4"/>
      <c r="G4" s="4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</row>
    <row r="5" spans="1:19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19">
      <c r="A6" s="5" t="s">
        <v>183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19">
      <c r="A7" s="5" t="s">
        <v>49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19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1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19">
      <c r="A10" s="201"/>
      <c r="B10" s="201"/>
      <c r="C10" s="201"/>
      <c r="D10" s="201"/>
      <c r="E10" s="201"/>
      <c r="F10" s="201"/>
      <c r="G10" s="201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9">
      <c r="I11" s="5"/>
    </row>
    <row r="12" spans="1:19">
      <c r="A12" s="6" t="s">
        <v>3</v>
      </c>
      <c r="C12" s="5" t="s">
        <v>310</v>
      </c>
      <c r="D12" s="5"/>
      <c r="E12" s="5"/>
      <c r="F12" s="5"/>
      <c r="G12" s="5"/>
      <c r="H12" s="6"/>
      <c r="I12" s="5" t="s">
        <v>184</v>
      </c>
      <c r="J12" s="5"/>
      <c r="K12" s="5"/>
      <c r="L12" s="5"/>
      <c r="M12" s="5"/>
      <c r="O12" s="5" t="s">
        <v>119</v>
      </c>
      <c r="P12" s="5"/>
      <c r="Q12" s="5"/>
      <c r="R12" s="5"/>
      <c r="S12" s="5"/>
    </row>
    <row r="13" spans="1:19">
      <c r="A13" s="6" t="s">
        <v>4</v>
      </c>
      <c r="C13" s="118" t="s">
        <v>459</v>
      </c>
      <c r="D13" s="105"/>
      <c r="E13" s="106" t="s">
        <v>13</v>
      </c>
      <c r="F13" s="106"/>
      <c r="G13" s="106" t="s">
        <v>17</v>
      </c>
      <c r="H13" s="6"/>
      <c r="I13" s="118" t="s">
        <v>459</v>
      </c>
      <c r="J13" s="105"/>
      <c r="K13" s="106" t="s">
        <v>13</v>
      </c>
      <c r="L13" s="106"/>
      <c r="M13" s="106" t="s">
        <v>17</v>
      </c>
      <c r="O13" s="118" t="s">
        <v>459</v>
      </c>
      <c r="P13" s="105"/>
      <c r="Q13" s="106" t="s">
        <v>13</v>
      </c>
      <c r="R13" s="106"/>
      <c r="S13" s="106" t="s">
        <v>17</v>
      </c>
    </row>
    <row r="14" spans="1:19">
      <c r="A14" s="9">
        <v>-1</v>
      </c>
      <c r="C14" s="9">
        <v>-2</v>
      </c>
      <c r="E14" s="9">
        <v>-3</v>
      </c>
      <c r="G14" s="9">
        <v>-4</v>
      </c>
      <c r="I14" s="9">
        <v>-5</v>
      </c>
      <c r="K14" s="9">
        <v>-6</v>
      </c>
      <c r="M14" s="9">
        <v>-7</v>
      </c>
      <c r="O14" s="9">
        <v>-8</v>
      </c>
      <c r="Q14" s="9">
        <v>-9</v>
      </c>
      <c r="S14" s="9">
        <v>-10</v>
      </c>
    </row>
    <row r="15" spans="1:19">
      <c r="I15" s="309"/>
      <c r="J15" s="19"/>
      <c r="K15" s="309"/>
      <c r="L15" s="19"/>
      <c r="M15" s="309"/>
    </row>
    <row r="16" spans="1:19">
      <c r="A16" s="2" t="s">
        <v>185</v>
      </c>
      <c r="C16" s="309" t="s">
        <v>202</v>
      </c>
      <c r="D16" s="19"/>
      <c r="E16" s="309" t="s">
        <v>202</v>
      </c>
      <c r="F16" s="19"/>
      <c r="G16" s="309" t="s">
        <v>202</v>
      </c>
      <c r="I16" s="309" t="s">
        <v>202</v>
      </c>
      <c r="J16" s="19"/>
      <c r="K16" s="309" t="s">
        <v>202</v>
      </c>
      <c r="L16" s="19"/>
      <c r="M16" s="309" t="s">
        <v>202</v>
      </c>
      <c r="N16" s="19"/>
      <c r="O16" s="309" t="s">
        <v>71</v>
      </c>
      <c r="P16" s="19"/>
      <c r="Q16" s="309" t="s">
        <v>202</v>
      </c>
      <c r="R16" s="19"/>
      <c r="S16" s="309" t="s">
        <v>202</v>
      </c>
    </row>
    <row r="17" spans="1:27">
      <c r="A17" s="6">
        <v>1994</v>
      </c>
      <c r="C17" s="496">
        <f>'Exhibit B,S2'!M17</f>
        <v>34683046.140000001</v>
      </c>
      <c r="D17" s="497"/>
      <c r="E17" s="496">
        <f>C17-G17</f>
        <v>12530063.48</v>
      </c>
      <c r="F17" s="497"/>
      <c r="G17" s="496">
        <f>SUM('Exhibit B,S2'!O17:'Exhibit B,S2'!W17)</f>
        <v>22152982.66</v>
      </c>
      <c r="H17" s="498"/>
      <c r="I17" s="497">
        <f>'Exhibit B,S3'!M17</f>
        <v>34683046.140000001</v>
      </c>
      <c r="J17" s="497"/>
      <c r="K17" s="497">
        <f>I17-M17</f>
        <v>12530063.48</v>
      </c>
      <c r="L17" s="497"/>
      <c r="M17" s="497">
        <f>'Exhibit B,S3'!Y17</f>
        <v>22152982.66</v>
      </c>
      <c r="N17" s="147"/>
      <c r="O17" s="495">
        <f>C17-I17</f>
        <v>0</v>
      </c>
      <c r="P17" s="147"/>
      <c r="Q17" s="495">
        <f>E17-K17</f>
        <v>0</v>
      </c>
      <c r="R17" s="147"/>
      <c r="S17" s="495">
        <f>G17-M17</f>
        <v>0</v>
      </c>
      <c r="Y17" s="198"/>
      <c r="Z17" s="198"/>
      <c r="AA17" s="198"/>
    </row>
    <row r="18" spans="1:27">
      <c r="A18" s="6">
        <f>A17+1</f>
        <v>1995</v>
      </c>
      <c r="C18" s="499">
        <f>'Exhibit B,S2'!M18</f>
        <v>53979371.119999997</v>
      </c>
      <c r="D18" s="187"/>
      <c r="E18" s="114">
        <f t="shared" ref="E18:E44" si="0">C18-G18</f>
        <v>27996861.369999997</v>
      </c>
      <c r="F18" s="187"/>
      <c r="G18" s="114">
        <f>SUM('Exhibit B,S2'!O18:'Exhibit B,S2'!W18)</f>
        <v>25982509.75</v>
      </c>
      <c r="H18" s="500"/>
      <c r="I18" s="187">
        <f>'Exhibit B,S3'!M18</f>
        <v>53979371.119999997</v>
      </c>
      <c r="J18" s="187"/>
      <c r="K18" s="187">
        <f t="shared" ref="K18:K44" si="1">I18-M18</f>
        <v>27996861.369999997</v>
      </c>
      <c r="L18" s="187"/>
      <c r="M18" s="494">
        <f>'Exhibit B,S3'!Y18</f>
        <v>25982509.75</v>
      </c>
      <c r="N18" s="187"/>
      <c r="O18" s="494">
        <f t="shared" ref="O18:O44" si="2">C18-I18</f>
        <v>0</v>
      </c>
      <c r="P18" s="187"/>
      <c r="Q18" s="494">
        <f t="shared" ref="Q18:Q44" si="3">E18-K18</f>
        <v>0</v>
      </c>
      <c r="R18" s="187"/>
      <c r="S18" s="494">
        <f t="shared" ref="S18:S44" si="4">G18-M18</f>
        <v>0</v>
      </c>
      <c r="Y18" s="198"/>
      <c r="Z18" s="198"/>
      <c r="AA18" s="198"/>
    </row>
    <row r="19" spans="1:27">
      <c r="A19" s="6">
        <f t="shared" ref="A19:A44" si="5">A18+1</f>
        <v>1996</v>
      </c>
      <c r="C19" s="499">
        <f>'Exhibit B,S2'!M19</f>
        <v>47587557.219999999</v>
      </c>
      <c r="D19" s="187"/>
      <c r="E19" s="114">
        <f t="shared" si="0"/>
        <v>19535873.620000001</v>
      </c>
      <c r="F19" s="187"/>
      <c r="G19" s="114">
        <f>SUM('Exhibit B,S2'!O19:'Exhibit B,S2'!W19)</f>
        <v>28051683.599999998</v>
      </c>
      <c r="H19" s="500"/>
      <c r="I19" s="187">
        <f>'Exhibit B,S3'!M19</f>
        <v>47587557.219999999</v>
      </c>
      <c r="J19" s="187"/>
      <c r="K19" s="187">
        <f t="shared" si="1"/>
        <v>19535873.620000001</v>
      </c>
      <c r="L19" s="187"/>
      <c r="M19" s="494">
        <f>'Exhibit B,S3'!Y19</f>
        <v>28051683.599999998</v>
      </c>
      <c r="N19" s="187"/>
      <c r="O19" s="494">
        <f t="shared" si="2"/>
        <v>0</v>
      </c>
      <c r="P19" s="187"/>
      <c r="Q19" s="494">
        <f t="shared" si="3"/>
        <v>0</v>
      </c>
      <c r="R19" s="187"/>
      <c r="S19" s="494">
        <f t="shared" si="4"/>
        <v>0</v>
      </c>
      <c r="Y19" s="198"/>
      <c r="Z19" s="198"/>
      <c r="AA19" s="198"/>
    </row>
    <row r="20" spans="1:27">
      <c r="A20" s="6">
        <f t="shared" si="5"/>
        <v>1997</v>
      </c>
      <c r="C20" s="499">
        <f>'Exhibit B,S2'!M20</f>
        <v>38095972.339999996</v>
      </c>
      <c r="D20" s="187"/>
      <c r="E20" s="114">
        <f t="shared" si="0"/>
        <v>11966733.120000001</v>
      </c>
      <c r="F20" s="187"/>
      <c r="G20" s="114">
        <f>SUM('Exhibit B,S2'!O20:'Exhibit B,S2'!W20)</f>
        <v>26129239.219999995</v>
      </c>
      <c r="H20" s="500"/>
      <c r="I20" s="187">
        <f>'Exhibit B,S3'!M20</f>
        <v>38095972.339999996</v>
      </c>
      <c r="J20" s="187"/>
      <c r="K20" s="187">
        <f t="shared" si="1"/>
        <v>11966733.120000001</v>
      </c>
      <c r="L20" s="187"/>
      <c r="M20" s="494">
        <f>'Exhibit B,S3'!Y20</f>
        <v>26129239.219999995</v>
      </c>
      <c r="N20" s="187"/>
      <c r="O20" s="494">
        <f t="shared" si="2"/>
        <v>0</v>
      </c>
      <c r="P20" s="187"/>
      <c r="Q20" s="494">
        <f t="shared" si="3"/>
        <v>0</v>
      </c>
      <c r="R20" s="187"/>
      <c r="S20" s="494">
        <f t="shared" si="4"/>
        <v>0</v>
      </c>
      <c r="Y20" s="198"/>
      <c r="Z20" s="198"/>
      <c r="AA20" s="198"/>
    </row>
    <row r="21" spans="1:27">
      <c r="A21" s="6">
        <f t="shared" si="5"/>
        <v>1998</v>
      </c>
      <c r="C21" s="499">
        <f>'Exhibit B,S2'!M21</f>
        <v>54775172.740000002</v>
      </c>
      <c r="D21" s="187"/>
      <c r="E21" s="114">
        <f t="shared" si="0"/>
        <v>28253567.849999998</v>
      </c>
      <c r="F21" s="187"/>
      <c r="G21" s="114">
        <f>SUM('Exhibit B,S2'!O21:'Exhibit B,S2'!W21)</f>
        <v>26521604.890000004</v>
      </c>
      <c r="H21" s="500"/>
      <c r="I21" s="187">
        <f>'Exhibit B,S3'!M21</f>
        <v>54775172.740000002</v>
      </c>
      <c r="J21" s="187"/>
      <c r="K21" s="187">
        <f t="shared" si="1"/>
        <v>28253567.849999998</v>
      </c>
      <c r="L21" s="187"/>
      <c r="M21" s="494">
        <f>'Exhibit B,S3'!Y21</f>
        <v>26521604.890000004</v>
      </c>
      <c r="N21" s="187"/>
      <c r="O21" s="494">
        <f t="shared" si="2"/>
        <v>0</v>
      </c>
      <c r="P21" s="187"/>
      <c r="Q21" s="494">
        <f t="shared" si="3"/>
        <v>0</v>
      </c>
      <c r="R21" s="187"/>
      <c r="S21" s="494">
        <f t="shared" si="4"/>
        <v>0</v>
      </c>
      <c r="Y21" s="198"/>
      <c r="Z21" s="198"/>
      <c r="AA21" s="198"/>
    </row>
    <row r="22" spans="1:27">
      <c r="A22" s="6">
        <f t="shared" si="5"/>
        <v>1999</v>
      </c>
      <c r="C22" s="499">
        <f>'Exhibit B,S2'!M22</f>
        <v>54239618.760000005</v>
      </c>
      <c r="D22" s="187"/>
      <c r="E22" s="114">
        <f t="shared" si="0"/>
        <v>23093430.41</v>
      </c>
      <c r="F22" s="187"/>
      <c r="G22" s="114">
        <f>SUM('Exhibit B,S2'!O22:'Exhibit B,S2'!W22)</f>
        <v>31146188.350000005</v>
      </c>
      <c r="H22" s="500"/>
      <c r="I22" s="187">
        <f>'Exhibit B,S3'!M22</f>
        <v>54239618.760000005</v>
      </c>
      <c r="J22" s="187"/>
      <c r="K22" s="187">
        <f t="shared" si="1"/>
        <v>23093430.41</v>
      </c>
      <c r="L22" s="187"/>
      <c r="M22" s="494">
        <f>'Exhibit B,S3'!Y22</f>
        <v>31146188.350000005</v>
      </c>
      <c r="N22" s="187"/>
      <c r="O22" s="494">
        <f t="shared" si="2"/>
        <v>0</v>
      </c>
      <c r="P22" s="187"/>
      <c r="Q22" s="494">
        <f t="shared" si="3"/>
        <v>0</v>
      </c>
      <c r="R22" s="187"/>
      <c r="S22" s="494">
        <f t="shared" si="4"/>
        <v>0</v>
      </c>
      <c r="Y22" s="198"/>
      <c r="Z22" s="198"/>
      <c r="AA22" s="198"/>
    </row>
    <row r="23" spans="1:27">
      <c r="A23" s="6">
        <f t="shared" si="5"/>
        <v>2000</v>
      </c>
      <c r="C23" s="499">
        <f>'Exhibit B,S2'!M23</f>
        <v>45510428.719999999</v>
      </c>
      <c r="D23" s="187"/>
      <c r="E23" s="114">
        <f t="shared" si="0"/>
        <v>16953048.240000002</v>
      </c>
      <c r="F23" s="187"/>
      <c r="G23" s="114">
        <f>SUM('Exhibit B,S2'!O23:'Exhibit B,S2'!W23)</f>
        <v>28557380.479999997</v>
      </c>
      <c r="H23" s="500"/>
      <c r="I23" s="187">
        <f>'Exhibit B,S3'!M23</f>
        <v>45510428.719999999</v>
      </c>
      <c r="J23" s="187"/>
      <c r="K23" s="187">
        <f t="shared" si="1"/>
        <v>16953048.240000002</v>
      </c>
      <c r="L23" s="187"/>
      <c r="M23" s="494">
        <f>'Exhibit B,S3'!Y23</f>
        <v>28557380.479999997</v>
      </c>
      <c r="N23" s="187"/>
      <c r="O23" s="494">
        <f t="shared" si="2"/>
        <v>0</v>
      </c>
      <c r="P23" s="187"/>
      <c r="Q23" s="494">
        <f t="shared" si="3"/>
        <v>0</v>
      </c>
      <c r="R23" s="187"/>
      <c r="S23" s="494">
        <f t="shared" si="4"/>
        <v>0</v>
      </c>
      <c r="Y23" s="198"/>
      <c r="Z23" s="198"/>
      <c r="AA23" s="198"/>
    </row>
    <row r="24" spans="1:27">
      <c r="A24" s="6">
        <f t="shared" si="5"/>
        <v>2001</v>
      </c>
      <c r="C24" s="499">
        <f>'Exhibit B,S2'!M24</f>
        <v>37643921.560000002</v>
      </c>
      <c r="D24" s="187"/>
      <c r="E24" s="114">
        <f t="shared" si="0"/>
        <v>9326571.6000000015</v>
      </c>
      <c r="F24" s="187"/>
      <c r="G24" s="114">
        <f>SUM('Exhibit B,S2'!O24:'Exhibit B,S2'!W24)</f>
        <v>28317349.960000001</v>
      </c>
      <c r="H24" s="500"/>
      <c r="I24" s="187">
        <f>'Exhibit B,S3'!M24</f>
        <v>37643921.560000002</v>
      </c>
      <c r="J24" s="187"/>
      <c r="K24" s="187">
        <f t="shared" si="1"/>
        <v>9326571.6000000015</v>
      </c>
      <c r="L24" s="187"/>
      <c r="M24" s="494">
        <f>'Exhibit B,S3'!Y24</f>
        <v>28317349.960000001</v>
      </c>
      <c r="N24" s="187"/>
      <c r="O24" s="494">
        <f t="shared" si="2"/>
        <v>0</v>
      </c>
      <c r="P24" s="187"/>
      <c r="Q24" s="494">
        <f t="shared" si="3"/>
        <v>0</v>
      </c>
      <c r="R24" s="187"/>
      <c r="S24" s="494">
        <f t="shared" si="4"/>
        <v>0</v>
      </c>
      <c r="Y24" s="198"/>
      <c r="Z24" s="198"/>
      <c r="AA24" s="198"/>
    </row>
    <row r="25" spans="1:27">
      <c r="A25" s="6">
        <f t="shared" si="5"/>
        <v>2002</v>
      </c>
      <c r="C25" s="499">
        <f>'Exhibit B,S2'!M25</f>
        <v>39658038.149999991</v>
      </c>
      <c r="D25" s="187"/>
      <c r="E25" s="114">
        <f t="shared" si="0"/>
        <v>5903704.3700000048</v>
      </c>
      <c r="F25" s="187"/>
      <c r="G25" s="114">
        <f>SUM('Exhibit B,S2'!O25:'Exhibit B,S2'!W25)</f>
        <v>33754333.779999986</v>
      </c>
      <c r="H25" s="500"/>
      <c r="I25" s="187">
        <f>'Exhibit B,S3'!M25</f>
        <v>39658038.149999991</v>
      </c>
      <c r="J25" s="187"/>
      <c r="K25" s="187">
        <f t="shared" si="1"/>
        <v>5903704.3699999973</v>
      </c>
      <c r="L25" s="187"/>
      <c r="M25" s="494">
        <f>'Exhibit B,S3'!Y25</f>
        <v>33754333.779999994</v>
      </c>
      <c r="N25" s="187"/>
      <c r="O25" s="494">
        <f t="shared" si="2"/>
        <v>0</v>
      </c>
      <c r="P25" s="187"/>
      <c r="Q25" s="494">
        <f t="shared" si="3"/>
        <v>7.4505805969238281E-9</v>
      </c>
      <c r="R25" s="187"/>
      <c r="S25" s="494">
        <f t="shared" si="4"/>
        <v>0</v>
      </c>
      <c r="Y25" s="198"/>
      <c r="Z25" s="198"/>
      <c r="AA25" s="198"/>
    </row>
    <row r="26" spans="1:27">
      <c r="A26" s="6">
        <f t="shared" si="5"/>
        <v>2003</v>
      </c>
      <c r="C26" s="499">
        <f>'Exhibit B,S2'!M26</f>
        <v>39621657.030000001</v>
      </c>
      <c r="D26" s="187"/>
      <c r="E26" s="114">
        <f t="shared" si="0"/>
        <v>8645889.150000006</v>
      </c>
      <c r="F26" s="187"/>
      <c r="G26" s="114">
        <f>SUM('Exhibit B,S2'!O26:'Exhibit B,S2'!W26)</f>
        <v>30975767.879999995</v>
      </c>
      <c r="H26" s="500"/>
      <c r="I26" s="187">
        <f>'Exhibit B,S3'!M26</f>
        <v>39621657.030000001</v>
      </c>
      <c r="J26" s="187"/>
      <c r="K26" s="187">
        <f t="shared" si="1"/>
        <v>8645889.1499999985</v>
      </c>
      <c r="L26" s="187"/>
      <c r="M26" s="494">
        <f>'Exhibit B,S3'!Y26</f>
        <v>30975767.880000003</v>
      </c>
      <c r="N26" s="187"/>
      <c r="O26" s="494">
        <f t="shared" si="2"/>
        <v>0</v>
      </c>
      <c r="P26" s="187"/>
      <c r="Q26" s="494">
        <f t="shared" si="3"/>
        <v>0</v>
      </c>
      <c r="R26" s="187"/>
      <c r="S26" s="494">
        <f t="shared" si="4"/>
        <v>0</v>
      </c>
      <c r="Y26" s="198"/>
      <c r="Z26" s="198"/>
      <c r="AA26" s="198"/>
    </row>
    <row r="27" spans="1:27">
      <c r="A27" s="6">
        <f t="shared" si="5"/>
        <v>2004</v>
      </c>
      <c r="C27" s="499">
        <f>'Exhibit B,S2'!M27</f>
        <v>22345826.459999993</v>
      </c>
      <c r="D27" s="187"/>
      <c r="E27" s="114">
        <f t="shared" si="0"/>
        <v>545392.89999999851</v>
      </c>
      <c r="F27" s="187"/>
      <c r="G27" s="114">
        <f>SUM('Exhibit B,S2'!O27:'Exhibit B,S2'!W27)</f>
        <v>21800433.559999995</v>
      </c>
      <c r="H27" s="500"/>
      <c r="I27" s="187">
        <f>'Exhibit B,S3'!M27</f>
        <v>22340826.459999993</v>
      </c>
      <c r="J27" s="187"/>
      <c r="K27" s="187">
        <f t="shared" si="1"/>
        <v>545392.89999999851</v>
      </c>
      <c r="L27" s="187"/>
      <c r="M27" s="494">
        <f>'Exhibit B,S3'!Y27</f>
        <v>21795433.559999995</v>
      </c>
      <c r="N27" s="187"/>
      <c r="O27" s="494">
        <f t="shared" si="2"/>
        <v>5000</v>
      </c>
      <c r="P27" s="187"/>
      <c r="Q27" s="494">
        <f t="shared" si="3"/>
        <v>0</v>
      </c>
      <c r="R27" s="187"/>
      <c r="S27" s="494">
        <f t="shared" si="4"/>
        <v>5000</v>
      </c>
      <c r="Y27" s="198"/>
      <c r="Z27" s="198"/>
      <c r="AA27" s="198"/>
    </row>
    <row r="28" spans="1:27">
      <c r="A28" s="6">
        <f t="shared" si="5"/>
        <v>2005</v>
      </c>
      <c r="C28" s="499">
        <f>'Exhibit B,S2'!M28</f>
        <v>23212899.960000001</v>
      </c>
      <c r="D28" s="187"/>
      <c r="E28" s="114">
        <f t="shared" si="0"/>
        <v>1330029.5099999979</v>
      </c>
      <c r="F28" s="187"/>
      <c r="G28" s="114">
        <f>SUM('Exhibit B,S2'!O28:'Exhibit B,S2'!W28)</f>
        <v>21882870.450000003</v>
      </c>
      <c r="H28" s="500"/>
      <c r="I28" s="187">
        <f>'Exhibit B,S3'!M28</f>
        <v>23212899.960000001</v>
      </c>
      <c r="J28" s="187"/>
      <c r="K28" s="187">
        <f t="shared" si="1"/>
        <v>1330029.5100000016</v>
      </c>
      <c r="L28" s="187"/>
      <c r="M28" s="494">
        <f>'Exhibit B,S3'!Y28</f>
        <v>21882870.449999999</v>
      </c>
      <c r="N28" s="187"/>
      <c r="O28" s="494">
        <f t="shared" si="2"/>
        <v>0</v>
      </c>
      <c r="P28" s="187"/>
      <c r="Q28" s="494">
        <f t="shared" si="3"/>
        <v>-3.7252902984619141E-9</v>
      </c>
      <c r="R28" s="187"/>
      <c r="S28" s="494">
        <f t="shared" si="4"/>
        <v>0</v>
      </c>
      <c r="Y28" s="198"/>
      <c r="Z28" s="198"/>
      <c r="AA28" s="198"/>
    </row>
    <row r="29" spans="1:27">
      <c r="A29" s="6">
        <f t="shared" si="5"/>
        <v>2006</v>
      </c>
      <c r="C29" s="499">
        <f>'Exhibit B,S2'!M29</f>
        <v>20611568.370000001</v>
      </c>
      <c r="D29" s="187"/>
      <c r="E29" s="114">
        <f t="shared" si="0"/>
        <v>0</v>
      </c>
      <c r="F29" s="187"/>
      <c r="G29" s="114">
        <f>SUM('Exhibit B,S2'!O29:'Exhibit B,S2'!W29)</f>
        <v>20611568.370000001</v>
      </c>
      <c r="H29" s="500"/>
      <c r="I29" s="187">
        <f>'Exhibit B,S3'!M29</f>
        <v>20797704.669999998</v>
      </c>
      <c r="J29" s="187"/>
      <c r="K29" s="187">
        <f t="shared" si="1"/>
        <v>0</v>
      </c>
      <c r="L29" s="187"/>
      <c r="M29" s="494">
        <f>'Exhibit B,S3'!Y29</f>
        <v>20797704.669999998</v>
      </c>
      <c r="N29" s="187"/>
      <c r="O29" s="494">
        <f t="shared" si="2"/>
        <v>-186136.29999999702</v>
      </c>
      <c r="P29" s="187"/>
      <c r="Q29" s="494">
        <f t="shared" si="3"/>
        <v>0</v>
      </c>
      <c r="R29" s="187"/>
      <c r="S29" s="494">
        <f t="shared" si="4"/>
        <v>-186136.29999999702</v>
      </c>
      <c r="Y29" s="198"/>
      <c r="Z29" s="198"/>
      <c r="AA29" s="198"/>
    </row>
    <row r="30" spans="1:27">
      <c r="A30" s="6">
        <f t="shared" si="5"/>
        <v>2007</v>
      </c>
      <c r="C30" s="499">
        <f>'Exhibit B,S2'!M30</f>
        <v>23145613.18</v>
      </c>
      <c r="D30" s="187"/>
      <c r="E30" s="114">
        <f t="shared" si="0"/>
        <v>733464.96000000089</v>
      </c>
      <c r="F30" s="187"/>
      <c r="G30" s="114">
        <f>SUM('Exhibit B,S2'!O30:'Exhibit B,S2'!W30)</f>
        <v>22412148.219999999</v>
      </c>
      <c r="H30" s="500"/>
      <c r="I30" s="187">
        <f>'Exhibit B,S3'!M30</f>
        <v>23145613.18</v>
      </c>
      <c r="J30" s="187"/>
      <c r="K30" s="187">
        <f t="shared" si="1"/>
        <v>733464.96000000089</v>
      </c>
      <c r="L30" s="187"/>
      <c r="M30" s="494">
        <f>'Exhibit B,S3'!Y30</f>
        <v>22412148.219999999</v>
      </c>
      <c r="N30" s="187"/>
      <c r="O30" s="494">
        <f t="shared" si="2"/>
        <v>0</v>
      </c>
      <c r="P30" s="187"/>
      <c r="Q30" s="494">
        <f t="shared" si="3"/>
        <v>0</v>
      </c>
      <c r="R30" s="187"/>
      <c r="S30" s="494">
        <f t="shared" si="4"/>
        <v>0</v>
      </c>
      <c r="Y30" s="198"/>
      <c r="Z30" s="198"/>
      <c r="AA30" s="198"/>
    </row>
    <row r="31" spans="1:27">
      <c r="A31" s="6">
        <f t="shared" si="5"/>
        <v>2008</v>
      </c>
      <c r="C31" s="499">
        <f>'Exhibit B,S2'!M31</f>
        <v>24591736.629999995</v>
      </c>
      <c r="D31" s="187"/>
      <c r="E31" s="114">
        <f t="shared" si="0"/>
        <v>864507.29999999702</v>
      </c>
      <c r="F31" s="187"/>
      <c r="G31" s="114">
        <f>SUM('Exhibit B,S2'!O31:'Exhibit B,S2'!W31)</f>
        <v>23727229.329999998</v>
      </c>
      <c r="H31" s="500"/>
      <c r="I31" s="187">
        <f>'Exhibit B,S3'!M31</f>
        <v>24591736.629999995</v>
      </c>
      <c r="J31" s="187"/>
      <c r="K31" s="187">
        <f t="shared" si="1"/>
        <v>864507.29999999702</v>
      </c>
      <c r="L31" s="187"/>
      <c r="M31" s="494">
        <f>'Exhibit B,S3'!Y31</f>
        <v>23727229.329999998</v>
      </c>
      <c r="N31" s="187"/>
      <c r="O31" s="494">
        <f t="shared" si="2"/>
        <v>0</v>
      </c>
      <c r="P31" s="187"/>
      <c r="Q31" s="494">
        <f t="shared" si="3"/>
        <v>0</v>
      </c>
      <c r="R31" s="187"/>
      <c r="S31" s="494">
        <f t="shared" si="4"/>
        <v>0</v>
      </c>
      <c r="Y31" s="198"/>
      <c r="Z31" s="198"/>
      <c r="AA31" s="198"/>
    </row>
    <row r="32" spans="1:27">
      <c r="A32" s="6">
        <f t="shared" si="5"/>
        <v>2009</v>
      </c>
      <c r="C32" s="499">
        <f>'Exhibit B,S2'!M32</f>
        <v>21193970.850000001</v>
      </c>
      <c r="D32" s="187"/>
      <c r="E32" s="114">
        <f t="shared" si="0"/>
        <v>1716687.8200000003</v>
      </c>
      <c r="F32" s="187"/>
      <c r="G32" s="114">
        <f>SUM('Exhibit B,S2'!O32:'Exhibit B,S2'!W32)</f>
        <v>19477283.030000001</v>
      </c>
      <c r="H32" s="500"/>
      <c r="I32" s="187">
        <f>'Exhibit B,S3'!M32</f>
        <v>21193970.8756935</v>
      </c>
      <c r="J32" s="187"/>
      <c r="K32" s="187">
        <f t="shared" si="1"/>
        <v>1716687.8200000003</v>
      </c>
      <c r="L32" s="187"/>
      <c r="M32" s="494">
        <f>'Exhibit B,S3'!Y32</f>
        <v>19477283.0556935</v>
      </c>
      <c r="N32" s="187"/>
      <c r="O32" s="494">
        <f t="shared" si="2"/>
        <v>-2.5693498551845551E-2</v>
      </c>
      <c r="P32" s="187"/>
      <c r="Q32" s="494">
        <f t="shared" si="3"/>
        <v>0</v>
      </c>
      <c r="R32" s="187"/>
      <c r="S32" s="494">
        <f t="shared" si="4"/>
        <v>-2.5693498551845551E-2</v>
      </c>
      <c r="Y32" s="198"/>
      <c r="Z32" s="198"/>
      <c r="AA32" s="198"/>
    </row>
    <row r="33" spans="1:27">
      <c r="A33" s="6">
        <f t="shared" si="5"/>
        <v>2010</v>
      </c>
      <c r="C33" s="499">
        <f>'Exhibit B,S2'!M33</f>
        <v>34671613.590000004</v>
      </c>
      <c r="D33" s="187"/>
      <c r="E33" s="114">
        <f t="shared" si="0"/>
        <v>3978410.5400000066</v>
      </c>
      <c r="F33" s="187"/>
      <c r="G33" s="114">
        <f>SUM('Exhibit B,S2'!O33:'Exhibit B,S2'!W33)</f>
        <v>30693203.049999997</v>
      </c>
      <c r="H33" s="500"/>
      <c r="I33" s="187">
        <f>'Exhibit B,S3'!M33</f>
        <v>34671370.409999996</v>
      </c>
      <c r="J33" s="187"/>
      <c r="K33" s="187">
        <f t="shared" si="1"/>
        <v>3978410.5399999991</v>
      </c>
      <c r="L33" s="187"/>
      <c r="M33" s="494">
        <f>'Exhibit B,S3'!Y33</f>
        <v>30692959.869999997</v>
      </c>
      <c r="N33" s="187"/>
      <c r="O33" s="494">
        <f t="shared" si="2"/>
        <v>243.18000000715256</v>
      </c>
      <c r="P33" s="187"/>
      <c r="Q33" s="494">
        <f t="shared" si="3"/>
        <v>7.4505805969238281E-9</v>
      </c>
      <c r="R33" s="187"/>
      <c r="S33" s="494">
        <f t="shared" si="4"/>
        <v>243.17999999970198</v>
      </c>
      <c r="Y33" s="198"/>
      <c r="Z33" s="198"/>
      <c r="AA33" s="198"/>
    </row>
    <row r="34" spans="1:27">
      <c r="A34" s="6">
        <f t="shared" si="5"/>
        <v>2011</v>
      </c>
      <c r="C34" s="499">
        <f>'Exhibit B,S2'!M34</f>
        <v>24222675.330521472</v>
      </c>
      <c r="D34" s="187"/>
      <c r="E34" s="114">
        <f t="shared" si="0"/>
        <v>2329830.0199999996</v>
      </c>
      <c r="F34" s="187"/>
      <c r="G34" s="114">
        <f>SUM('Exhibit B,S2'!O34:'Exhibit B,S2'!W34)</f>
        <v>21892845.310521472</v>
      </c>
      <c r="H34" s="500"/>
      <c r="I34" s="187">
        <f>'Exhibit B,S3'!M34</f>
        <v>24743852.413838964</v>
      </c>
      <c r="J34" s="187"/>
      <c r="K34" s="187">
        <f t="shared" si="1"/>
        <v>2329830.0199999996</v>
      </c>
      <c r="L34" s="187"/>
      <c r="M34" s="494">
        <f>'Exhibit B,S3'!Y34</f>
        <v>22414022.393838964</v>
      </c>
      <c r="N34" s="187"/>
      <c r="O34" s="494">
        <f t="shared" si="2"/>
        <v>-521177.08331749216</v>
      </c>
      <c r="P34" s="187"/>
      <c r="Q34" s="494">
        <f t="shared" si="3"/>
        <v>0</v>
      </c>
      <c r="R34" s="187"/>
      <c r="S34" s="494">
        <f t="shared" si="4"/>
        <v>-521177.08331749216</v>
      </c>
      <c r="Y34" s="198"/>
      <c r="Z34" s="198"/>
      <c r="AA34" s="198"/>
    </row>
    <row r="35" spans="1:27">
      <c r="A35" s="6">
        <f t="shared" si="5"/>
        <v>2012</v>
      </c>
      <c r="C35" s="499">
        <f>'Exhibit B,S2'!M35</f>
        <v>46913926.320252515</v>
      </c>
      <c r="D35" s="187"/>
      <c r="E35" s="114">
        <f t="shared" si="0"/>
        <v>10319651.579999998</v>
      </c>
      <c r="F35" s="187"/>
      <c r="G35" s="114">
        <f>SUM('Exhibit B,S2'!O35:'Exhibit B,S2'!W35)</f>
        <v>36594274.740252517</v>
      </c>
      <c r="H35" s="500"/>
      <c r="I35" s="187">
        <f>'Exhibit B,S3'!M35</f>
        <v>48463157.789611444</v>
      </c>
      <c r="J35" s="187"/>
      <c r="K35" s="187">
        <f t="shared" si="1"/>
        <v>10756806.280915692</v>
      </c>
      <c r="L35" s="187"/>
      <c r="M35" s="494">
        <f>'Exhibit B,S3'!Y35</f>
        <v>37706351.508695751</v>
      </c>
      <c r="N35" s="187"/>
      <c r="O35" s="494">
        <f t="shared" si="2"/>
        <v>-1549231.4693589285</v>
      </c>
      <c r="P35" s="187"/>
      <c r="Q35" s="494">
        <f t="shared" si="3"/>
        <v>-437154.70091569424</v>
      </c>
      <c r="R35" s="187"/>
      <c r="S35" s="494">
        <f t="shared" si="4"/>
        <v>-1112076.7684432343</v>
      </c>
      <c r="Y35" s="198"/>
      <c r="Z35" s="198"/>
      <c r="AA35" s="198"/>
    </row>
    <row r="36" spans="1:27">
      <c r="A36" s="6">
        <f t="shared" si="5"/>
        <v>2013</v>
      </c>
      <c r="C36" s="499">
        <f>'Exhibit B,S2'!M36</f>
        <v>40941788.236907132</v>
      </c>
      <c r="D36" s="187"/>
      <c r="E36" s="114">
        <f t="shared" si="0"/>
        <v>8996805.8730250299</v>
      </c>
      <c r="F36" s="187"/>
      <c r="G36" s="114">
        <f>SUM('Exhibit B,S2'!O36:'Exhibit B,S2'!W36)</f>
        <v>31944982.363882102</v>
      </c>
      <c r="H36" s="500"/>
      <c r="I36" s="187">
        <f>'Exhibit B,S3'!M36</f>
        <v>42571357.432500884</v>
      </c>
      <c r="J36" s="187"/>
      <c r="K36" s="187">
        <f t="shared" si="1"/>
        <v>8989647.0490694791</v>
      </c>
      <c r="L36" s="187"/>
      <c r="M36" s="494">
        <f>'Exhibit B,S3'!Y36</f>
        <v>33581710.383431405</v>
      </c>
      <c r="N36" s="187"/>
      <c r="O36" s="494">
        <f t="shared" si="2"/>
        <v>-1629569.195593752</v>
      </c>
      <c r="P36" s="187"/>
      <c r="Q36" s="494">
        <f t="shared" si="3"/>
        <v>7158.8239555507898</v>
      </c>
      <c r="R36" s="187"/>
      <c r="S36" s="494">
        <f t="shared" si="4"/>
        <v>-1636728.0195493028</v>
      </c>
      <c r="Y36" s="198"/>
      <c r="Z36" s="198"/>
      <c r="AA36" s="198"/>
    </row>
    <row r="37" spans="1:27">
      <c r="A37" s="6">
        <f t="shared" si="5"/>
        <v>2014</v>
      </c>
      <c r="C37" s="499">
        <f>'Exhibit B,S2'!M37</f>
        <v>45076314.976064682</v>
      </c>
      <c r="D37" s="187"/>
      <c r="E37" s="114">
        <f t="shared" si="0"/>
        <v>9408315.7488337532</v>
      </c>
      <c r="F37" s="187"/>
      <c r="G37" s="114">
        <f>SUM('Exhibit B,S2'!O37:'Exhibit B,S2'!W37)</f>
        <v>35667999.227230929</v>
      </c>
      <c r="H37" s="500"/>
      <c r="I37" s="187">
        <f>'Exhibit B,S3'!M37</f>
        <v>47207440.266171314</v>
      </c>
      <c r="J37" s="187"/>
      <c r="K37" s="187">
        <f t="shared" si="1"/>
        <v>10590305.9859078</v>
      </c>
      <c r="L37" s="187"/>
      <c r="M37" s="494">
        <f>'Exhibit B,S3'!Y37</f>
        <v>36617134.280263513</v>
      </c>
      <c r="N37" s="187"/>
      <c r="O37" s="494">
        <f t="shared" si="2"/>
        <v>-2131125.2901066318</v>
      </c>
      <c r="P37" s="187"/>
      <c r="Q37" s="494">
        <f t="shared" si="3"/>
        <v>-1181990.2370740473</v>
      </c>
      <c r="R37" s="187"/>
      <c r="S37" s="494">
        <f t="shared" si="4"/>
        <v>-949135.05303258449</v>
      </c>
      <c r="Y37" s="198"/>
      <c r="Z37" s="198"/>
      <c r="AA37" s="198"/>
    </row>
    <row r="38" spans="1:27">
      <c r="A38" s="6">
        <f t="shared" si="5"/>
        <v>2015</v>
      </c>
      <c r="C38" s="499">
        <f>'Exhibit B,S2'!M38</f>
        <v>30546993.626958255</v>
      </c>
      <c r="D38" s="187"/>
      <c r="E38" s="114">
        <f t="shared" si="0"/>
        <v>2038603.2630029023</v>
      </c>
      <c r="F38" s="187"/>
      <c r="G38" s="114">
        <f>SUM('Exhibit B,S2'!O38:'Exhibit B,S2'!W38)</f>
        <v>28508390.363955352</v>
      </c>
      <c r="H38" s="500"/>
      <c r="I38" s="187">
        <f>'Exhibit B,S3'!M38</f>
        <v>30420140.451591149</v>
      </c>
      <c r="J38" s="187"/>
      <c r="K38" s="187">
        <f t="shared" si="1"/>
        <v>1362055.3975873776</v>
      </c>
      <c r="L38" s="187"/>
      <c r="M38" s="494">
        <f>'Exhibit B,S3'!Y38</f>
        <v>29058085.054003771</v>
      </c>
      <c r="N38" s="187"/>
      <c r="O38" s="494">
        <f t="shared" si="2"/>
        <v>126853.17536710575</v>
      </c>
      <c r="P38" s="187"/>
      <c r="Q38" s="494">
        <f t="shared" si="3"/>
        <v>676547.86541552469</v>
      </c>
      <c r="R38" s="187"/>
      <c r="S38" s="494">
        <f t="shared" si="4"/>
        <v>-549694.69004841894</v>
      </c>
      <c r="Y38" s="198"/>
      <c r="Z38" s="198"/>
      <c r="AA38" s="198"/>
    </row>
    <row r="39" spans="1:27">
      <c r="A39" s="6">
        <f t="shared" si="5"/>
        <v>2016</v>
      </c>
      <c r="C39" s="499">
        <f>'Exhibit B,S2'!M39</f>
        <v>49593619.659121223</v>
      </c>
      <c r="D39" s="187"/>
      <c r="E39" s="114">
        <f t="shared" si="0"/>
        <v>11263607.528775036</v>
      </c>
      <c r="F39" s="187"/>
      <c r="G39" s="114">
        <f>SUM('Exhibit B,S2'!O39:'Exhibit B,S2'!W39)</f>
        <v>38330012.130346186</v>
      </c>
      <c r="H39" s="500"/>
      <c r="I39" s="187">
        <f>'Exhibit B,S3'!M39</f>
        <v>52329673.619747311</v>
      </c>
      <c r="J39" s="187"/>
      <c r="K39" s="187">
        <f t="shared" si="1"/>
        <v>11790323.180490106</v>
      </c>
      <c r="L39" s="187"/>
      <c r="M39" s="494">
        <f>'Exhibit B,S3'!Y39</f>
        <v>40539350.439257205</v>
      </c>
      <c r="N39" s="187"/>
      <c r="O39" s="494">
        <f t="shared" si="2"/>
        <v>-2736053.9606260881</v>
      </c>
      <c r="P39" s="187"/>
      <c r="Q39" s="494">
        <f t="shared" si="3"/>
        <v>-526715.65171507001</v>
      </c>
      <c r="R39" s="187"/>
      <c r="S39" s="494">
        <f t="shared" si="4"/>
        <v>-2209338.3089110181</v>
      </c>
      <c r="Y39" s="198"/>
      <c r="Z39" s="198"/>
      <c r="AA39" s="198"/>
    </row>
    <row r="40" spans="1:27">
      <c r="A40" s="6">
        <f t="shared" si="5"/>
        <v>2017</v>
      </c>
      <c r="C40" s="499">
        <f>'Exhibit B,S2'!M40</f>
        <v>29690399.541592192</v>
      </c>
      <c r="D40" s="187"/>
      <c r="E40" s="114">
        <f t="shared" si="0"/>
        <v>3841378.7083810456</v>
      </c>
      <c r="F40" s="187"/>
      <c r="G40" s="114">
        <f>SUM('Exhibit B,S2'!O40:'Exhibit B,S2'!W40)</f>
        <v>25849020.833211146</v>
      </c>
      <c r="H40" s="500"/>
      <c r="I40" s="187">
        <f>'Exhibit B,S3'!M40</f>
        <v>35747154.786109142</v>
      </c>
      <c r="J40" s="187"/>
      <c r="K40" s="187">
        <f t="shared" si="1"/>
        <v>5936661.8296375126</v>
      </c>
      <c r="L40" s="187"/>
      <c r="M40" s="494">
        <f>'Exhibit B,S3'!Y40</f>
        <v>29810492.956471629</v>
      </c>
      <c r="N40" s="187"/>
      <c r="O40" s="494">
        <f t="shared" si="2"/>
        <v>-6056755.2445169501</v>
      </c>
      <c r="P40" s="187"/>
      <c r="Q40" s="494">
        <f t="shared" si="3"/>
        <v>-2095283.121256467</v>
      </c>
      <c r="R40" s="187"/>
      <c r="S40" s="494">
        <f t="shared" si="4"/>
        <v>-3961472.1232604831</v>
      </c>
      <c r="Y40" s="198"/>
      <c r="Z40" s="198"/>
      <c r="AA40" s="198"/>
    </row>
    <row r="41" spans="1:27">
      <c r="A41" s="6">
        <f t="shared" si="5"/>
        <v>2018</v>
      </c>
      <c r="C41" s="499">
        <f>'Exhibit B,S2'!M41</f>
        <v>45197038.973268539</v>
      </c>
      <c r="D41" s="187"/>
      <c r="E41" s="114">
        <f t="shared" si="0"/>
        <v>4222785.8509185612</v>
      </c>
      <c r="F41" s="187"/>
      <c r="G41" s="114">
        <f>SUM('Exhibit B,S2'!O41:'Exhibit B,S2'!W41)</f>
        <v>40974253.122349977</v>
      </c>
      <c r="H41" s="500"/>
      <c r="I41" s="187">
        <f>'Exhibit B,S3'!M41</f>
        <v>39466068.816823401</v>
      </c>
      <c r="J41" s="187"/>
      <c r="K41" s="187">
        <f t="shared" si="1"/>
        <v>2838792.2714634612</v>
      </c>
      <c r="L41" s="187"/>
      <c r="M41" s="494">
        <f>'Exhibit B,S3'!Y41</f>
        <v>36627276.545359939</v>
      </c>
      <c r="N41" s="187"/>
      <c r="O41" s="494">
        <f t="shared" si="2"/>
        <v>5730970.1564451382</v>
      </c>
      <c r="P41" s="187"/>
      <c r="Q41" s="494">
        <f t="shared" si="3"/>
        <v>1383993.5794551</v>
      </c>
      <c r="R41" s="187"/>
      <c r="S41" s="494">
        <f t="shared" si="4"/>
        <v>4346976.5769900382</v>
      </c>
      <c r="Y41" s="198"/>
      <c r="Z41" s="198"/>
      <c r="AA41" s="198"/>
    </row>
    <row r="42" spans="1:27">
      <c r="A42" s="6">
        <f t="shared" si="5"/>
        <v>2019</v>
      </c>
      <c r="C42" s="499">
        <f>'Exhibit B,S2'!M42</f>
        <v>42382770.435190924</v>
      </c>
      <c r="D42" s="187"/>
      <c r="E42" s="114">
        <f t="shared" si="0"/>
        <v>4884618.3333855346</v>
      </c>
      <c r="F42" s="187"/>
      <c r="G42" s="114">
        <f>SUM('Exhibit B,S2'!O42:'Exhibit B,S2'!W42)</f>
        <v>37498152.101805389</v>
      </c>
      <c r="H42" s="500"/>
      <c r="I42" s="187">
        <f>'Exhibit B,S3'!M42</f>
        <v>44650885.47651884</v>
      </c>
      <c r="J42" s="187"/>
      <c r="K42" s="187">
        <f t="shared" si="1"/>
        <v>4387952.1361251175</v>
      </c>
      <c r="L42" s="187"/>
      <c r="M42" s="494">
        <f>'Exhibit B,S3'!Y42</f>
        <v>40262933.340393722</v>
      </c>
      <c r="N42" s="187"/>
      <c r="O42" s="494">
        <f t="shared" si="2"/>
        <v>-2268115.0413279161</v>
      </c>
      <c r="P42" s="187"/>
      <c r="Q42" s="494">
        <f t="shared" si="3"/>
        <v>496666.19726041704</v>
      </c>
      <c r="R42" s="187"/>
      <c r="S42" s="494">
        <f t="shared" si="4"/>
        <v>-2764781.2385883331</v>
      </c>
      <c r="Y42" s="198"/>
      <c r="Z42" s="198"/>
      <c r="AA42" s="198"/>
    </row>
    <row r="43" spans="1:27">
      <c r="A43" s="6">
        <f t="shared" si="5"/>
        <v>2020</v>
      </c>
      <c r="C43" s="499">
        <f>'Exhibit B,S2'!M43</f>
        <v>25428567.39776738</v>
      </c>
      <c r="D43" s="187"/>
      <c r="E43" s="114">
        <f t="shared" si="0"/>
        <v>3894215.459056329</v>
      </c>
      <c r="F43" s="187"/>
      <c r="G43" s="114">
        <f>SUM('Exhibit B,S2'!O43:'Exhibit B,S2'!W43)</f>
        <v>21534351.938711051</v>
      </c>
      <c r="H43" s="500"/>
      <c r="I43" s="187">
        <f>'Exhibit B,S3'!M43</f>
        <v>20819762.647645827</v>
      </c>
      <c r="J43" s="187"/>
      <c r="K43" s="187">
        <f t="shared" si="1"/>
        <v>2537770.4785916917</v>
      </c>
      <c r="L43" s="187"/>
      <c r="M43" s="494">
        <f>'Exhibit B,S3'!Y43</f>
        <v>18281992.169054136</v>
      </c>
      <c r="N43" s="187"/>
      <c r="O43" s="494">
        <f t="shared" si="2"/>
        <v>4608804.7501215525</v>
      </c>
      <c r="P43" s="187"/>
      <c r="Q43" s="494">
        <f t="shared" si="3"/>
        <v>1356444.9804646373</v>
      </c>
      <c r="R43" s="187"/>
      <c r="S43" s="494">
        <f t="shared" si="4"/>
        <v>3252359.7696569152</v>
      </c>
      <c r="Y43" s="198"/>
      <c r="Z43" s="198"/>
      <c r="AA43" s="198"/>
    </row>
    <row r="44" spans="1:27">
      <c r="A44" s="6">
        <f t="shared" si="5"/>
        <v>2021</v>
      </c>
      <c r="C44" s="499">
        <f>'Exhibit B,S2'!M44</f>
        <v>27222251.197901461</v>
      </c>
      <c r="D44" s="187"/>
      <c r="E44" s="114">
        <f t="shared" si="0"/>
        <v>3652389.8131335862</v>
      </c>
      <c r="F44" s="187"/>
      <c r="G44" s="114">
        <f>SUM('Exhibit B,S2'!O44:'Exhibit B,S2'!W44)</f>
        <v>23569861.384767875</v>
      </c>
      <c r="H44" s="500"/>
      <c r="I44" s="187">
        <f>'Exhibit B,S3'!M44</f>
        <v>22091055.529323384</v>
      </c>
      <c r="J44" s="187"/>
      <c r="K44" s="187">
        <f t="shared" si="1"/>
        <v>2496597.1023039967</v>
      </c>
      <c r="L44" s="187"/>
      <c r="M44" s="494">
        <f>'Exhibit B,S3'!Y44</f>
        <v>19594458.427019387</v>
      </c>
      <c r="N44" s="187"/>
      <c r="O44" s="494">
        <f t="shared" si="2"/>
        <v>5131195.6685780771</v>
      </c>
      <c r="P44" s="187"/>
      <c r="Q44" s="494">
        <f t="shared" si="3"/>
        <v>1155792.7108295895</v>
      </c>
      <c r="R44" s="187"/>
      <c r="S44" s="494">
        <f t="shared" si="4"/>
        <v>3975402.9577484876</v>
      </c>
      <c r="Y44" s="198"/>
      <c r="Z44" s="198"/>
      <c r="AA44" s="198"/>
    </row>
    <row r="45" spans="1:27">
      <c r="A45" s="6"/>
      <c r="C45" s="105"/>
      <c r="E45" s="105"/>
      <c r="G45" s="105"/>
      <c r="I45" s="105"/>
      <c r="K45" s="105"/>
      <c r="M45" s="105"/>
      <c r="O45" s="105"/>
      <c r="Q45" s="105"/>
      <c r="S45" s="105"/>
      <c r="Y45" s="25"/>
      <c r="Z45" s="25"/>
      <c r="AA45" s="198"/>
    </row>
    <row r="46" spans="1:27">
      <c r="A46" s="6" t="s">
        <v>0</v>
      </c>
      <c r="C46" s="26">
        <f>SUM(C17:C45)</f>
        <v>1022784358.5155458</v>
      </c>
      <c r="E46" s="26">
        <f>SUM(E17:E45)</f>
        <v>238226438.41851181</v>
      </c>
      <c r="G46" s="26">
        <f>SUM(G17:G45)</f>
        <v>784557920.09703398</v>
      </c>
      <c r="I46" s="26">
        <f>SUM(I17:I45)</f>
        <v>1024259455.1955749</v>
      </c>
      <c r="K46" s="26">
        <f>SUM(K17:K45)</f>
        <v>237390977.97209221</v>
      </c>
      <c r="M46" s="26">
        <f>SUM(M17:M45)</f>
        <v>786868477.22348297</v>
      </c>
      <c r="O46" s="66">
        <f>SUM(O17:O45)</f>
        <v>-1475096.6800293736</v>
      </c>
      <c r="P46" s="66"/>
      <c r="Q46" s="66">
        <f>SUM(Q17:Q45)</f>
        <v>835460.44641955197</v>
      </c>
      <c r="R46" s="66"/>
      <c r="S46" s="66">
        <f>SUM(S17:S45)</f>
        <v>-2310557.1264489219</v>
      </c>
      <c r="U46" s="18"/>
      <c r="X46" s="25"/>
      <c r="Y46" s="310"/>
      <c r="Z46" s="310"/>
      <c r="AA46" s="198"/>
    </row>
    <row r="47" spans="1:27">
      <c r="A47" s="6"/>
      <c r="C47" s="26"/>
      <c r="E47" s="26"/>
      <c r="I47" s="26"/>
      <c r="K47" s="26"/>
      <c r="Q47" s="26"/>
      <c r="Y47" s="198"/>
      <c r="Z47" s="198"/>
      <c r="AA47" s="198"/>
    </row>
    <row r="48" spans="1:27">
      <c r="A48" s="6"/>
      <c r="B48" s="6"/>
      <c r="C48" s="6"/>
      <c r="D48" s="6"/>
      <c r="E48" s="6"/>
      <c r="F48" s="6"/>
      <c r="H48" s="6"/>
      <c r="I48" s="362"/>
      <c r="J48" s="6"/>
      <c r="K48" s="6"/>
      <c r="L48" s="6"/>
      <c r="M48" s="6"/>
      <c r="N48" s="6"/>
      <c r="O48" s="6"/>
      <c r="P48" s="6"/>
      <c r="U48" s="25"/>
      <c r="V48" s="25"/>
      <c r="W48" s="67"/>
    </row>
    <row r="49" spans="1:23">
      <c r="A49" s="6"/>
      <c r="B49" s="6"/>
      <c r="C49" s="6"/>
      <c r="D49" s="6"/>
      <c r="E49" s="6"/>
      <c r="F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</row>
    <row r="50" spans="1:23">
      <c r="A50" s="64" t="s">
        <v>180</v>
      </c>
      <c r="B50" s="64"/>
      <c r="C50" s="3" t="s">
        <v>707</v>
      </c>
      <c r="U50" s="61"/>
      <c r="W50" s="61"/>
    </row>
    <row r="51" spans="1:23">
      <c r="A51" s="64" t="s">
        <v>186</v>
      </c>
      <c r="B51" s="64"/>
      <c r="C51" s="3" t="s">
        <v>708</v>
      </c>
      <c r="D51" s="64"/>
      <c r="E51" s="64"/>
      <c r="F51" s="64"/>
      <c r="G51" s="64"/>
    </row>
    <row r="52" spans="1:23">
      <c r="A52" s="64" t="s">
        <v>196</v>
      </c>
      <c r="C52" s="3" t="s">
        <v>908</v>
      </c>
      <c r="D52" s="64"/>
      <c r="E52" s="64"/>
      <c r="F52" s="64"/>
      <c r="G52" s="64"/>
    </row>
  </sheetData>
  <printOptions horizontalCentered="1"/>
  <pageMargins left="0.7" right="0.7" top="0.75" bottom="0.75" header="0.3" footer="0.3"/>
  <pageSetup scale="52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AS73"/>
  <sheetViews>
    <sheetView topLeftCell="Q1" zoomScale="80" zoomScaleNormal="80" workbookViewId="0">
      <selection activeCell="AQ47" sqref="AQ47"/>
    </sheetView>
  </sheetViews>
  <sheetFormatPr baseColWidth="10" defaultColWidth="8.7109375" defaultRowHeight="16"/>
  <cols>
    <col min="1" max="1" width="10.7109375" customWidth="1"/>
    <col min="2" max="2" width="1.7109375" customWidth="1"/>
    <col min="3" max="3" width="12.7109375" customWidth="1"/>
    <col min="4" max="4" width="1.7109375" customWidth="1"/>
    <col min="5" max="5" width="12.7109375" customWidth="1"/>
    <col min="6" max="6" width="1.7109375" customWidth="1"/>
    <col min="7" max="7" width="12.7109375" customWidth="1"/>
    <col min="8" max="8" width="1.7109375" customWidth="1"/>
    <col min="9" max="9" width="12.7109375" customWidth="1"/>
    <col min="10" max="10" width="1.7109375" customWidth="1"/>
    <col min="11" max="11" width="11.7109375" customWidth="1"/>
    <col min="12" max="12" width="1.7109375" customWidth="1"/>
    <col min="13" max="13" width="11.7109375" customWidth="1"/>
    <col min="14" max="14" width="1.7109375" customWidth="1"/>
    <col min="15" max="15" width="11.7109375" customWidth="1"/>
    <col min="16" max="16" width="2.7109375" customWidth="1"/>
    <col min="17" max="17" width="12.7109375" customWidth="1"/>
    <col min="18" max="18" width="1.7109375" customWidth="1"/>
    <col min="19" max="19" width="12.7109375" customWidth="1"/>
    <col min="20" max="20" width="1.7109375" customWidth="1"/>
    <col min="21" max="21" width="12.7109375" customWidth="1"/>
    <col min="22" max="22" width="1.7109375" customWidth="1"/>
    <col min="23" max="23" width="12.7109375" customWidth="1"/>
    <col min="24" max="24" width="1.7109375" customWidth="1"/>
    <col min="25" max="25" width="11.7109375" customWidth="1"/>
    <col min="26" max="26" width="1.7109375" customWidth="1"/>
    <col min="27" max="27" width="11.7109375" customWidth="1"/>
    <col min="28" max="28" width="1.7109375" customWidth="1"/>
    <col min="29" max="29" width="11.7109375" customWidth="1"/>
    <col min="30" max="30" width="2.7109375" customWidth="1"/>
    <col min="31" max="31" width="12.7109375" customWidth="1"/>
    <col min="32" max="32" width="1.7109375" customWidth="1"/>
    <col min="33" max="33" width="12.7109375" customWidth="1"/>
    <col min="34" max="34" width="1.7109375" customWidth="1"/>
    <col min="35" max="35" width="12.7109375" customWidth="1"/>
    <col min="36" max="36" width="1.7109375" customWidth="1"/>
    <col min="37" max="37" width="12.7109375" customWidth="1"/>
    <col min="38" max="38" width="1.7109375" customWidth="1"/>
    <col min="39" max="39" width="11.7109375" customWidth="1"/>
    <col min="40" max="40" width="1.7109375" customWidth="1"/>
    <col min="41" max="41" width="11.7109375" customWidth="1"/>
    <col min="42" max="42" width="1.7109375" customWidth="1"/>
    <col min="43" max="43" width="13.7109375" customWidth="1"/>
  </cols>
  <sheetData>
    <row r="1" spans="1:4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64" t="s">
        <v>116</v>
      </c>
      <c r="AR1" s="1"/>
      <c r="AS1" s="1"/>
    </row>
    <row r="2" spans="1:4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64" t="s">
        <v>884</v>
      </c>
      <c r="AR2" s="1"/>
      <c r="AS2" s="1"/>
    </row>
    <row r="3" spans="1:4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37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1"/>
      <c r="AS4" s="1"/>
    </row>
    <row r="5" spans="1:4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37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1"/>
      <c r="AS5" s="1"/>
    </row>
    <row r="6" spans="1:45">
      <c r="A6" s="5" t="s">
        <v>183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37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1"/>
      <c r="AS6" s="1"/>
    </row>
    <row r="7" spans="1:45">
      <c r="A7" s="5" t="s">
        <v>1427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37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1"/>
      <c r="AS7" s="1"/>
    </row>
    <row r="8" spans="1:45">
      <c r="A8" s="1"/>
      <c r="B8" s="1"/>
      <c r="C8" s="1"/>
      <c r="D8" s="3"/>
      <c r="E8" s="3"/>
      <c r="F8" s="3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3"/>
      <c r="S8" s="3"/>
      <c r="T8" s="3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>
      <c r="A9" s="1"/>
      <c r="B9" s="1"/>
      <c r="C9" s="1"/>
      <c r="D9" s="3"/>
      <c r="E9" s="3"/>
      <c r="F9" s="3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3"/>
      <c r="S9" s="3"/>
      <c r="T9" s="3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>
      <c r="A10" s="1"/>
      <c r="B10" s="1"/>
      <c r="C10" s="1"/>
      <c r="D10" s="3"/>
      <c r="E10" s="3"/>
      <c r="F10" s="3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3"/>
      <c r="S10" s="3"/>
      <c r="T10" s="3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2"/>
      <c r="AC11" s="2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>
      <c r="A12" s="6" t="s">
        <v>3</v>
      </c>
      <c r="B12" s="1"/>
      <c r="C12" s="7" t="s">
        <v>460</v>
      </c>
      <c r="D12" s="8"/>
      <c r="E12" s="8"/>
      <c r="F12" s="8"/>
      <c r="G12" s="8"/>
      <c r="H12" s="8"/>
      <c r="I12" s="8"/>
      <c r="J12" s="8"/>
      <c r="K12" s="8"/>
      <c r="L12" s="8"/>
      <c r="M12" s="8"/>
      <c r="N12" s="1"/>
      <c r="O12" s="1"/>
      <c r="P12" s="2"/>
      <c r="Q12" s="7" t="s">
        <v>85</v>
      </c>
      <c r="R12" s="8"/>
      <c r="S12" s="8"/>
      <c r="T12" s="8"/>
      <c r="U12" s="8"/>
      <c r="V12" s="8"/>
      <c r="W12" s="8"/>
      <c r="X12" s="8"/>
      <c r="Y12" s="8"/>
      <c r="Z12" s="8"/>
      <c r="AA12" s="8"/>
      <c r="AB12" s="2"/>
      <c r="AC12" s="2"/>
      <c r="AD12" s="1"/>
      <c r="AE12" s="7" t="s">
        <v>118</v>
      </c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2"/>
      <c r="AQ12" s="2"/>
      <c r="AR12" s="1"/>
      <c r="AS12" s="1"/>
    </row>
    <row r="13" spans="1:45">
      <c r="A13" s="6" t="s">
        <v>4</v>
      </c>
      <c r="B13" s="1"/>
      <c r="C13" s="2" t="s">
        <v>1421</v>
      </c>
      <c r="D13" s="1"/>
      <c r="E13" s="2" t="s">
        <v>1422</v>
      </c>
      <c r="F13" s="1"/>
      <c r="G13" s="2" t="s">
        <v>646</v>
      </c>
      <c r="H13" s="1"/>
      <c r="I13" s="2" t="s">
        <v>505</v>
      </c>
      <c r="J13" s="1"/>
      <c r="K13" s="2" t="s">
        <v>329</v>
      </c>
      <c r="L13" s="1"/>
      <c r="M13" s="2" t="s">
        <v>478</v>
      </c>
      <c r="N13" s="1"/>
      <c r="O13" s="2" t="s">
        <v>0</v>
      </c>
      <c r="P13" s="1"/>
      <c r="Q13" s="2" t="s">
        <v>1421</v>
      </c>
      <c r="R13" s="1"/>
      <c r="S13" s="2" t="s">
        <v>1422</v>
      </c>
      <c r="T13" s="1"/>
      <c r="U13" s="2" t="s">
        <v>646</v>
      </c>
      <c r="V13" s="1"/>
      <c r="W13" s="2" t="s">
        <v>505</v>
      </c>
      <c r="X13" s="1"/>
      <c r="Y13" s="2" t="s">
        <v>329</v>
      </c>
      <c r="Z13" s="1"/>
      <c r="AA13" s="2" t="s">
        <v>478</v>
      </c>
      <c r="AB13" s="1"/>
      <c r="AC13" s="2" t="s">
        <v>0</v>
      </c>
      <c r="AD13" s="1"/>
      <c r="AE13" s="2" t="s">
        <v>1421</v>
      </c>
      <c r="AF13" s="1"/>
      <c r="AG13" s="2" t="s">
        <v>1422</v>
      </c>
      <c r="AH13" s="1"/>
      <c r="AI13" s="2" t="s">
        <v>646</v>
      </c>
      <c r="AJ13" s="1"/>
      <c r="AK13" s="2" t="s">
        <v>505</v>
      </c>
      <c r="AL13" s="1"/>
      <c r="AM13" s="2" t="s">
        <v>329</v>
      </c>
      <c r="AN13" s="1"/>
      <c r="AO13" s="2" t="s">
        <v>478</v>
      </c>
      <c r="AP13" s="1"/>
      <c r="AQ13" s="2" t="s">
        <v>0</v>
      </c>
      <c r="AR13" s="1"/>
      <c r="AS13" s="1"/>
    </row>
    <row r="14" spans="1:45">
      <c r="A14" s="9">
        <v>-1</v>
      </c>
      <c r="B14" s="1"/>
      <c r="C14" s="10">
        <v>-2</v>
      </c>
      <c r="D14" s="1"/>
      <c r="E14" s="9">
        <v>-3</v>
      </c>
      <c r="F14" s="1"/>
      <c r="G14" s="9">
        <v>-4</v>
      </c>
      <c r="H14" s="1"/>
      <c r="I14" s="9">
        <v>-5</v>
      </c>
      <c r="J14" s="1"/>
      <c r="K14" s="9">
        <v>-6</v>
      </c>
      <c r="L14" s="1"/>
      <c r="M14" s="9">
        <v>-7</v>
      </c>
      <c r="N14" s="1"/>
      <c r="O14" s="9">
        <v>-8</v>
      </c>
      <c r="P14" s="1"/>
      <c r="Q14" s="9">
        <v>-9</v>
      </c>
      <c r="R14" s="1"/>
      <c r="S14" s="9">
        <v>-10</v>
      </c>
      <c r="T14" s="1"/>
      <c r="U14" s="9">
        <v>-11</v>
      </c>
      <c r="V14" s="1"/>
      <c r="W14" s="9">
        <v>-12</v>
      </c>
      <c r="X14" s="1"/>
      <c r="Y14" s="9">
        <v>-13</v>
      </c>
      <c r="Z14" s="1"/>
      <c r="AA14" s="9">
        <v>-14</v>
      </c>
      <c r="AB14" s="9"/>
      <c r="AC14" s="9">
        <v>-15</v>
      </c>
      <c r="AD14" s="1"/>
      <c r="AE14" s="9">
        <f>AC14-1</f>
        <v>-16</v>
      </c>
      <c r="AF14" s="1"/>
      <c r="AG14" s="9">
        <f>AE14-1</f>
        <v>-17</v>
      </c>
      <c r="AH14" s="1"/>
      <c r="AI14" s="9">
        <f>AG14-1</f>
        <v>-18</v>
      </c>
      <c r="AJ14" s="1"/>
      <c r="AK14" s="9">
        <f>AI14-1</f>
        <v>-19</v>
      </c>
      <c r="AL14" s="1"/>
      <c r="AM14" s="9">
        <f>AK14-1</f>
        <v>-20</v>
      </c>
      <c r="AN14" s="1"/>
      <c r="AO14" s="9">
        <f>AM14-1</f>
        <v>-21</v>
      </c>
      <c r="AP14" s="1"/>
      <c r="AQ14" s="9">
        <f>AO14-1</f>
        <v>-22</v>
      </c>
      <c r="AR14" s="1"/>
      <c r="AS14" s="1"/>
    </row>
    <row r="15" spans="1:45">
      <c r="A15" s="11"/>
      <c r="B15" s="1"/>
      <c r="C15" s="11"/>
      <c r="D15" s="1"/>
      <c r="E15" s="1"/>
      <c r="F15" s="1"/>
      <c r="G15" s="11"/>
      <c r="H15" s="1"/>
      <c r="I15" s="11"/>
      <c r="J15" s="1"/>
      <c r="K15" s="11"/>
      <c r="L15" s="1"/>
      <c r="M15" s="11"/>
      <c r="N15" s="1"/>
      <c r="O15" s="1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1"/>
      <c r="AF15" s="1"/>
      <c r="AG15" s="1"/>
      <c r="AH15" s="1"/>
      <c r="AI15" s="11"/>
      <c r="AJ15" s="1"/>
      <c r="AK15" s="11"/>
      <c r="AL15" s="1"/>
      <c r="AM15" s="11"/>
      <c r="AN15" s="1"/>
      <c r="AO15" s="11"/>
      <c r="AP15" s="1"/>
      <c r="AQ15" s="11"/>
      <c r="AR15" s="1"/>
      <c r="AS15" s="1"/>
    </row>
    <row r="16" spans="1:4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>
      <c r="A17" s="6">
        <v>1994</v>
      </c>
      <c r="B17" s="1"/>
      <c r="C17" s="147">
        <f>'Exhibit F,1'!I16-'Exhibit F,1'!AH16</f>
        <v>0</v>
      </c>
      <c r="D17" s="147"/>
      <c r="E17" s="147">
        <f>'Exhibit F,1'!K16-'Exhibit F,1'!AJ16</f>
        <v>0</v>
      </c>
      <c r="F17" s="147"/>
      <c r="G17" s="147">
        <f>'Exhibit B,S2'!E17-'Exhibit B,S3'!E17</f>
        <v>0</v>
      </c>
      <c r="H17" s="147"/>
      <c r="I17" s="147">
        <f>'Exhibit B,S2'!G17-'Exhibit B,S3'!G17</f>
        <v>0</v>
      </c>
      <c r="J17" s="147"/>
      <c r="K17" s="147">
        <f>'Exhibit B,S2'!I17-'Exhibit B,S3'!I17</f>
        <v>0</v>
      </c>
      <c r="L17" s="147"/>
      <c r="M17" s="147">
        <f>'Exhibit B,S2'!K17-'Exhibit B,S3'!K17</f>
        <v>0</v>
      </c>
      <c r="N17" s="147"/>
      <c r="O17" s="497">
        <f>SUM(C17:M17)</f>
        <v>0</v>
      </c>
      <c r="P17" s="147"/>
      <c r="Q17" s="147">
        <f>C17-AE17</f>
        <v>0</v>
      </c>
      <c r="R17" s="147"/>
      <c r="S17" s="147">
        <f>E17-AG17</f>
        <v>0</v>
      </c>
      <c r="T17" s="147"/>
      <c r="U17" s="147">
        <f>G17-AI17</f>
        <v>0</v>
      </c>
      <c r="V17" s="147"/>
      <c r="W17" s="147">
        <f>I17-AK17</f>
        <v>0</v>
      </c>
      <c r="X17" s="147"/>
      <c r="Y17" s="147">
        <f>K17-AM17</f>
        <v>0</v>
      </c>
      <c r="Z17" s="147"/>
      <c r="AA17" s="147">
        <f>M17-AO17</f>
        <v>0</v>
      </c>
      <c r="AB17" s="147"/>
      <c r="AC17" s="497">
        <f>SUM(Q17:AA17)</f>
        <v>0</v>
      </c>
      <c r="AD17" s="147"/>
      <c r="AE17" s="147">
        <f>'Exhibit F,1'!M16-'Exhibit F,1'!AL16</f>
        <v>0</v>
      </c>
      <c r="AF17" s="147"/>
      <c r="AG17" s="147">
        <f>'Exhibit F,1'!O16-'Exhibit F,1'!AN16</f>
        <v>0</v>
      </c>
      <c r="AH17" s="147"/>
      <c r="AI17" s="147">
        <f>'Exhibit B,S2'!Q17-'Exhibit B,S3'!Q17</f>
        <v>0</v>
      </c>
      <c r="AJ17" s="147"/>
      <c r="AK17" s="147">
        <f>'Exhibit B,S2'!S17-'Exhibit B,S3'!S17</f>
        <v>0</v>
      </c>
      <c r="AL17" s="147"/>
      <c r="AM17" s="147">
        <f>'Exhibit B,S2'!U17-'Exhibit B,S3'!U17</f>
        <v>0</v>
      </c>
      <c r="AN17" s="147"/>
      <c r="AO17" s="147">
        <f>'Exhibit B,S2'!W17-'Exhibit B,S3'!W17</f>
        <v>0</v>
      </c>
      <c r="AP17" s="147"/>
      <c r="AQ17" s="497">
        <f>SUM(AE17:AO17)</f>
        <v>0</v>
      </c>
      <c r="AR17" s="1"/>
      <c r="AS17" s="1"/>
    </row>
    <row r="18" spans="1:45">
      <c r="A18" s="6">
        <f>A17+1</f>
        <v>1995</v>
      </c>
      <c r="B18" s="1"/>
      <c r="C18" s="494">
        <f>'Exhibit F,1'!I17-'Exhibit F,1'!AH17</f>
        <v>0</v>
      </c>
      <c r="D18" s="494"/>
      <c r="E18" s="494">
        <f>'Exhibit F,1'!K17-'Exhibit F,1'!AJ17</f>
        <v>0</v>
      </c>
      <c r="F18" s="187"/>
      <c r="G18" s="494">
        <f>'Exhibit B,S2'!E18-'Exhibit B,S3'!E18</f>
        <v>0</v>
      </c>
      <c r="H18" s="494"/>
      <c r="I18" s="494">
        <f>'Exhibit B,S2'!G18-'Exhibit B,S3'!G18</f>
        <v>0</v>
      </c>
      <c r="J18" s="494"/>
      <c r="K18" s="494">
        <f>'Exhibit B,S2'!I18-'Exhibit B,S3'!I18</f>
        <v>0</v>
      </c>
      <c r="L18" s="494"/>
      <c r="M18" s="494">
        <f>'Exhibit B,S2'!K18-'Exhibit B,S3'!K18</f>
        <v>0</v>
      </c>
      <c r="N18" s="187"/>
      <c r="O18" s="494">
        <f t="shared" ref="O18:O44" si="0">SUM(C18:M18)</f>
        <v>0</v>
      </c>
      <c r="P18" s="187"/>
      <c r="Q18" s="501">
        <f t="shared" ref="Q18:Q44" si="1">C18-AE18</f>
        <v>0</v>
      </c>
      <c r="R18" s="501"/>
      <c r="S18" s="501">
        <f t="shared" ref="S18:S44" si="2">E18-AG18</f>
        <v>0</v>
      </c>
      <c r="T18" s="501"/>
      <c r="U18" s="501">
        <f t="shared" ref="U18:U44" si="3">G18-AI18</f>
        <v>0</v>
      </c>
      <c r="V18" s="501"/>
      <c r="W18" s="501">
        <f t="shared" ref="W18:W44" si="4">I18-AK18</f>
        <v>0</v>
      </c>
      <c r="X18" s="501"/>
      <c r="Y18" s="501">
        <f t="shared" ref="Y18:Y44" si="5">K18-AM18</f>
        <v>0</v>
      </c>
      <c r="Z18" s="501"/>
      <c r="AA18" s="501">
        <f t="shared" ref="AA18:AA44" si="6">M18-AO18</f>
        <v>0</v>
      </c>
      <c r="AB18" s="501"/>
      <c r="AC18" s="494">
        <f t="shared" ref="AC18:AC44" si="7">SUM(Q18:AA18)</f>
        <v>0</v>
      </c>
      <c r="AD18" s="187"/>
      <c r="AE18" s="494">
        <f>'Exhibit F,1'!M17-'Exhibit F,1'!AL17</f>
        <v>0</v>
      </c>
      <c r="AF18" s="494"/>
      <c r="AG18" s="494">
        <f>'Exhibit F,1'!O17-'Exhibit F,1'!AN17</f>
        <v>0</v>
      </c>
      <c r="AH18" s="187"/>
      <c r="AI18" s="494">
        <f>'Exhibit B,S2'!Q18-'Exhibit B,S3'!Q18</f>
        <v>0</v>
      </c>
      <c r="AJ18" s="494"/>
      <c r="AK18" s="494">
        <f>'Exhibit B,S2'!S18-'Exhibit B,S3'!S18</f>
        <v>0</v>
      </c>
      <c r="AL18" s="494"/>
      <c r="AM18" s="494">
        <f>'Exhibit B,S2'!U18-'Exhibit B,S3'!U18</f>
        <v>0</v>
      </c>
      <c r="AN18" s="494"/>
      <c r="AO18" s="494">
        <f>'Exhibit B,S2'!W18-'Exhibit B,S3'!W18</f>
        <v>0</v>
      </c>
      <c r="AP18" s="187"/>
      <c r="AQ18" s="494">
        <f t="shared" ref="AQ18:AQ44" si="8">SUM(AE18:AO18)</f>
        <v>0</v>
      </c>
      <c r="AR18" s="1"/>
      <c r="AS18" s="1"/>
    </row>
    <row r="19" spans="1:45">
      <c r="A19" s="6">
        <f t="shared" ref="A19:A45" si="9">A18+1</f>
        <v>1996</v>
      </c>
      <c r="B19" s="1"/>
      <c r="C19" s="494">
        <f>'Exhibit F,1'!I18-'Exhibit F,1'!AH18</f>
        <v>0</v>
      </c>
      <c r="D19" s="494"/>
      <c r="E19" s="494">
        <f>'Exhibit F,1'!K18-'Exhibit F,1'!AJ18</f>
        <v>0</v>
      </c>
      <c r="F19" s="187"/>
      <c r="G19" s="494">
        <f>'Exhibit B,S2'!E19-'Exhibit B,S3'!E19</f>
        <v>0</v>
      </c>
      <c r="H19" s="494"/>
      <c r="I19" s="494">
        <f>'Exhibit B,S2'!G19-'Exhibit B,S3'!G19</f>
        <v>0</v>
      </c>
      <c r="J19" s="494"/>
      <c r="K19" s="494">
        <f>'Exhibit B,S2'!I19-'Exhibit B,S3'!I19</f>
        <v>0</v>
      </c>
      <c r="L19" s="494"/>
      <c r="M19" s="494">
        <f>'Exhibit B,S2'!K19-'Exhibit B,S3'!K19</f>
        <v>0</v>
      </c>
      <c r="N19" s="187"/>
      <c r="O19" s="494">
        <f t="shared" si="0"/>
        <v>0</v>
      </c>
      <c r="P19" s="187"/>
      <c r="Q19" s="501">
        <f t="shared" si="1"/>
        <v>0</v>
      </c>
      <c r="R19" s="501"/>
      <c r="S19" s="501">
        <f t="shared" si="2"/>
        <v>0</v>
      </c>
      <c r="T19" s="501"/>
      <c r="U19" s="501">
        <f t="shared" si="3"/>
        <v>0</v>
      </c>
      <c r="V19" s="501"/>
      <c r="W19" s="501">
        <f t="shared" si="4"/>
        <v>0</v>
      </c>
      <c r="X19" s="501"/>
      <c r="Y19" s="501">
        <f t="shared" si="5"/>
        <v>0</v>
      </c>
      <c r="Z19" s="501"/>
      <c r="AA19" s="501">
        <f t="shared" si="6"/>
        <v>0</v>
      </c>
      <c r="AB19" s="501"/>
      <c r="AC19" s="494">
        <f t="shared" si="7"/>
        <v>0</v>
      </c>
      <c r="AD19" s="187"/>
      <c r="AE19" s="494">
        <f>'Exhibit F,1'!M18-'Exhibit F,1'!AL18</f>
        <v>0</v>
      </c>
      <c r="AF19" s="494"/>
      <c r="AG19" s="494">
        <f>'Exhibit F,1'!O18-'Exhibit F,1'!AN18</f>
        <v>0</v>
      </c>
      <c r="AH19" s="187"/>
      <c r="AI19" s="494">
        <f>'Exhibit B,S2'!Q19-'Exhibit B,S3'!Q19</f>
        <v>0</v>
      </c>
      <c r="AJ19" s="494"/>
      <c r="AK19" s="494">
        <f>'Exhibit B,S2'!S19-'Exhibit B,S3'!S19</f>
        <v>0</v>
      </c>
      <c r="AL19" s="494"/>
      <c r="AM19" s="494">
        <f>'Exhibit B,S2'!U19-'Exhibit B,S3'!U19</f>
        <v>0</v>
      </c>
      <c r="AN19" s="494"/>
      <c r="AO19" s="494">
        <f>'Exhibit B,S2'!W19-'Exhibit B,S3'!W19</f>
        <v>0</v>
      </c>
      <c r="AP19" s="187"/>
      <c r="AQ19" s="494">
        <f t="shared" si="8"/>
        <v>0</v>
      </c>
      <c r="AR19" s="1"/>
      <c r="AS19" s="1"/>
    </row>
    <row r="20" spans="1:45">
      <c r="A20" s="6">
        <f t="shared" si="9"/>
        <v>1997</v>
      </c>
      <c r="B20" s="1"/>
      <c r="C20" s="494">
        <f>'Exhibit F,1'!I19-'Exhibit F,1'!AH19</f>
        <v>0</v>
      </c>
      <c r="D20" s="494"/>
      <c r="E20" s="494">
        <f>'Exhibit F,1'!K19-'Exhibit F,1'!AJ19</f>
        <v>0</v>
      </c>
      <c r="F20" s="187"/>
      <c r="G20" s="494">
        <f>'Exhibit B,S2'!E20-'Exhibit B,S3'!E20</f>
        <v>0</v>
      </c>
      <c r="H20" s="494"/>
      <c r="I20" s="494">
        <f>'Exhibit B,S2'!G20-'Exhibit B,S3'!G20</f>
        <v>0</v>
      </c>
      <c r="J20" s="494"/>
      <c r="K20" s="494">
        <f>'Exhibit B,S2'!I20-'Exhibit B,S3'!I20</f>
        <v>0</v>
      </c>
      <c r="L20" s="494"/>
      <c r="M20" s="494">
        <f>'Exhibit B,S2'!K20-'Exhibit B,S3'!K20</f>
        <v>0</v>
      </c>
      <c r="N20" s="187"/>
      <c r="O20" s="494">
        <f t="shared" si="0"/>
        <v>0</v>
      </c>
      <c r="P20" s="187"/>
      <c r="Q20" s="501">
        <f t="shared" si="1"/>
        <v>0</v>
      </c>
      <c r="R20" s="501"/>
      <c r="S20" s="501">
        <f t="shared" si="2"/>
        <v>0</v>
      </c>
      <c r="T20" s="501"/>
      <c r="U20" s="501">
        <f t="shared" si="3"/>
        <v>0</v>
      </c>
      <c r="V20" s="501"/>
      <c r="W20" s="501">
        <f t="shared" si="4"/>
        <v>0</v>
      </c>
      <c r="X20" s="501"/>
      <c r="Y20" s="501">
        <f t="shared" si="5"/>
        <v>0</v>
      </c>
      <c r="Z20" s="501"/>
      <c r="AA20" s="501">
        <f t="shared" si="6"/>
        <v>0</v>
      </c>
      <c r="AB20" s="501"/>
      <c r="AC20" s="494">
        <f t="shared" si="7"/>
        <v>0</v>
      </c>
      <c r="AD20" s="187"/>
      <c r="AE20" s="494">
        <f>'Exhibit F,1'!M19-'Exhibit F,1'!AL19</f>
        <v>0</v>
      </c>
      <c r="AF20" s="494"/>
      <c r="AG20" s="494">
        <f>'Exhibit F,1'!O19-'Exhibit F,1'!AN19</f>
        <v>0</v>
      </c>
      <c r="AH20" s="187"/>
      <c r="AI20" s="494">
        <f>'Exhibit B,S2'!Q20-'Exhibit B,S3'!Q20</f>
        <v>0</v>
      </c>
      <c r="AJ20" s="494"/>
      <c r="AK20" s="494">
        <f>'Exhibit B,S2'!S20-'Exhibit B,S3'!S20</f>
        <v>0</v>
      </c>
      <c r="AL20" s="494"/>
      <c r="AM20" s="494">
        <f>'Exhibit B,S2'!U20-'Exhibit B,S3'!U20</f>
        <v>0</v>
      </c>
      <c r="AN20" s="494"/>
      <c r="AO20" s="494">
        <f>'Exhibit B,S2'!W20-'Exhibit B,S3'!W20</f>
        <v>0</v>
      </c>
      <c r="AP20" s="187"/>
      <c r="AQ20" s="494">
        <f t="shared" si="8"/>
        <v>0</v>
      </c>
      <c r="AR20" s="1"/>
      <c r="AS20" s="1"/>
    </row>
    <row r="21" spans="1:45">
      <c r="A21" s="6">
        <f t="shared" si="9"/>
        <v>1998</v>
      </c>
      <c r="B21" s="1"/>
      <c r="C21" s="494">
        <f>'Exhibit F,1'!I20-'Exhibit F,1'!AH20</f>
        <v>0</v>
      </c>
      <c r="D21" s="494"/>
      <c r="E21" s="494">
        <f>'Exhibit F,1'!K20-'Exhibit F,1'!AJ20</f>
        <v>0</v>
      </c>
      <c r="F21" s="187"/>
      <c r="G21" s="494">
        <f>'Exhibit B,S2'!E21-'Exhibit B,S3'!E21</f>
        <v>0</v>
      </c>
      <c r="H21" s="494"/>
      <c r="I21" s="494">
        <f>'Exhibit B,S2'!G21-'Exhibit B,S3'!G21</f>
        <v>0</v>
      </c>
      <c r="J21" s="494"/>
      <c r="K21" s="494">
        <f>'Exhibit B,S2'!I21-'Exhibit B,S3'!I21</f>
        <v>0</v>
      </c>
      <c r="L21" s="494"/>
      <c r="M21" s="494">
        <f>'Exhibit B,S2'!K21-'Exhibit B,S3'!K21</f>
        <v>0</v>
      </c>
      <c r="N21" s="187"/>
      <c r="O21" s="494">
        <f t="shared" si="0"/>
        <v>0</v>
      </c>
      <c r="P21" s="187"/>
      <c r="Q21" s="501">
        <f t="shared" si="1"/>
        <v>0</v>
      </c>
      <c r="R21" s="501"/>
      <c r="S21" s="501">
        <f t="shared" si="2"/>
        <v>0</v>
      </c>
      <c r="T21" s="501"/>
      <c r="U21" s="501">
        <f t="shared" si="3"/>
        <v>0</v>
      </c>
      <c r="V21" s="501"/>
      <c r="W21" s="501">
        <f t="shared" si="4"/>
        <v>0</v>
      </c>
      <c r="X21" s="501"/>
      <c r="Y21" s="501">
        <f t="shared" si="5"/>
        <v>0</v>
      </c>
      <c r="Z21" s="501"/>
      <c r="AA21" s="501">
        <f t="shared" si="6"/>
        <v>0</v>
      </c>
      <c r="AB21" s="501"/>
      <c r="AC21" s="494">
        <f t="shared" si="7"/>
        <v>0</v>
      </c>
      <c r="AD21" s="187"/>
      <c r="AE21" s="494">
        <f>'Exhibit F,1'!M20-'Exhibit F,1'!AL20</f>
        <v>0</v>
      </c>
      <c r="AF21" s="494"/>
      <c r="AG21" s="494">
        <f>'Exhibit F,1'!O20-'Exhibit F,1'!AN20</f>
        <v>0</v>
      </c>
      <c r="AH21" s="187"/>
      <c r="AI21" s="494">
        <f>'Exhibit B,S2'!Q21-'Exhibit B,S3'!Q21</f>
        <v>0</v>
      </c>
      <c r="AJ21" s="494"/>
      <c r="AK21" s="494">
        <f>'Exhibit B,S2'!S21-'Exhibit B,S3'!S21</f>
        <v>0</v>
      </c>
      <c r="AL21" s="494"/>
      <c r="AM21" s="494">
        <f>'Exhibit B,S2'!U21-'Exhibit B,S3'!U21</f>
        <v>0</v>
      </c>
      <c r="AN21" s="494"/>
      <c r="AO21" s="494">
        <f>'Exhibit B,S2'!W21-'Exhibit B,S3'!W21</f>
        <v>0</v>
      </c>
      <c r="AP21" s="187"/>
      <c r="AQ21" s="494">
        <f t="shared" si="8"/>
        <v>0</v>
      </c>
      <c r="AR21" s="1"/>
      <c r="AS21" s="1"/>
    </row>
    <row r="22" spans="1:45">
      <c r="A22" s="6">
        <f t="shared" si="9"/>
        <v>1999</v>
      </c>
      <c r="B22" s="1"/>
      <c r="C22" s="494">
        <f>'Exhibit F,1'!I21-'Exhibit F,1'!AH21</f>
        <v>0</v>
      </c>
      <c r="D22" s="494"/>
      <c r="E22" s="494">
        <f>'Exhibit F,1'!K21-'Exhibit F,1'!AJ21</f>
        <v>0</v>
      </c>
      <c r="F22" s="187"/>
      <c r="G22" s="494">
        <f>'Exhibit B,S2'!E22-'Exhibit B,S3'!E22</f>
        <v>0</v>
      </c>
      <c r="H22" s="494"/>
      <c r="I22" s="494">
        <f>'Exhibit B,S2'!G22-'Exhibit B,S3'!G22</f>
        <v>0</v>
      </c>
      <c r="J22" s="494"/>
      <c r="K22" s="494">
        <f>'Exhibit B,S2'!I22-'Exhibit B,S3'!I22</f>
        <v>0</v>
      </c>
      <c r="L22" s="494"/>
      <c r="M22" s="494">
        <f>'Exhibit B,S2'!K22-'Exhibit B,S3'!K22</f>
        <v>0</v>
      </c>
      <c r="N22" s="187"/>
      <c r="O22" s="494">
        <f t="shared" si="0"/>
        <v>0</v>
      </c>
      <c r="P22" s="187"/>
      <c r="Q22" s="501">
        <f t="shared" si="1"/>
        <v>0</v>
      </c>
      <c r="R22" s="501"/>
      <c r="S22" s="501">
        <f t="shared" si="2"/>
        <v>0</v>
      </c>
      <c r="T22" s="501"/>
      <c r="U22" s="501">
        <f t="shared" si="3"/>
        <v>0</v>
      </c>
      <c r="V22" s="501"/>
      <c r="W22" s="501">
        <f t="shared" si="4"/>
        <v>0</v>
      </c>
      <c r="X22" s="501"/>
      <c r="Y22" s="501">
        <f t="shared" si="5"/>
        <v>0</v>
      </c>
      <c r="Z22" s="501"/>
      <c r="AA22" s="501">
        <f t="shared" si="6"/>
        <v>0</v>
      </c>
      <c r="AB22" s="501"/>
      <c r="AC22" s="494">
        <f t="shared" si="7"/>
        <v>0</v>
      </c>
      <c r="AD22" s="187"/>
      <c r="AE22" s="494">
        <f>'Exhibit F,1'!M21-'Exhibit F,1'!AL21</f>
        <v>0</v>
      </c>
      <c r="AF22" s="494"/>
      <c r="AG22" s="494">
        <f>'Exhibit F,1'!O21-'Exhibit F,1'!AN21</f>
        <v>0</v>
      </c>
      <c r="AH22" s="187"/>
      <c r="AI22" s="494">
        <f>'Exhibit B,S2'!Q22-'Exhibit B,S3'!Q22</f>
        <v>0</v>
      </c>
      <c r="AJ22" s="494"/>
      <c r="AK22" s="494">
        <f>'Exhibit B,S2'!S22-'Exhibit B,S3'!S22</f>
        <v>0</v>
      </c>
      <c r="AL22" s="494"/>
      <c r="AM22" s="494">
        <f>'Exhibit B,S2'!U22-'Exhibit B,S3'!U22</f>
        <v>0</v>
      </c>
      <c r="AN22" s="494"/>
      <c r="AO22" s="494">
        <f>'Exhibit B,S2'!W22-'Exhibit B,S3'!W22</f>
        <v>0</v>
      </c>
      <c r="AP22" s="187"/>
      <c r="AQ22" s="494">
        <f t="shared" si="8"/>
        <v>0</v>
      </c>
      <c r="AR22" s="1"/>
      <c r="AS22" s="1"/>
    </row>
    <row r="23" spans="1:45">
      <c r="A23" s="6">
        <f t="shared" si="9"/>
        <v>2000</v>
      </c>
      <c r="B23" s="1"/>
      <c r="C23" s="494">
        <f>'Exhibit F,1'!I22-'Exhibit F,1'!AH22</f>
        <v>0</v>
      </c>
      <c r="D23" s="494"/>
      <c r="E23" s="494">
        <f>'Exhibit F,1'!K22-'Exhibit F,1'!AJ22</f>
        <v>0</v>
      </c>
      <c r="F23" s="187"/>
      <c r="G23" s="494">
        <f>'Exhibit B,S2'!E23-'Exhibit B,S3'!E23</f>
        <v>0</v>
      </c>
      <c r="H23" s="494"/>
      <c r="I23" s="494">
        <f>'Exhibit B,S2'!G23-'Exhibit B,S3'!G23</f>
        <v>0</v>
      </c>
      <c r="J23" s="494"/>
      <c r="K23" s="494">
        <f>'Exhibit B,S2'!I23-'Exhibit B,S3'!I23</f>
        <v>0</v>
      </c>
      <c r="L23" s="494"/>
      <c r="M23" s="494">
        <f>'Exhibit B,S2'!K23-'Exhibit B,S3'!K23</f>
        <v>0</v>
      </c>
      <c r="N23" s="187"/>
      <c r="O23" s="494">
        <f t="shared" si="0"/>
        <v>0</v>
      </c>
      <c r="P23" s="187"/>
      <c r="Q23" s="501">
        <f t="shared" si="1"/>
        <v>0</v>
      </c>
      <c r="R23" s="501"/>
      <c r="S23" s="501">
        <f t="shared" si="2"/>
        <v>0</v>
      </c>
      <c r="T23" s="501"/>
      <c r="U23" s="501">
        <f t="shared" si="3"/>
        <v>0</v>
      </c>
      <c r="V23" s="501"/>
      <c r="W23" s="501">
        <f t="shared" si="4"/>
        <v>0</v>
      </c>
      <c r="X23" s="501"/>
      <c r="Y23" s="501">
        <f t="shared" si="5"/>
        <v>0</v>
      </c>
      <c r="Z23" s="501"/>
      <c r="AA23" s="501">
        <f t="shared" si="6"/>
        <v>0</v>
      </c>
      <c r="AB23" s="501"/>
      <c r="AC23" s="494">
        <f t="shared" si="7"/>
        <v>0</v>
      </c>
      <c r="AD23" s="187"/>
      <c r="AE23" s="494">
        <f>'Exhibit F,1'!M22-'Exhibit F,1'!AL22</f>
        <v>0</v>
      </c>
      <c r="AF23" s="494"/>
      <c r="AG23" s="494">
        <f>'Exhibit F,1'!O22-'Exhibit F,1'!AN22</f>
        <v>0</v>
      </c>
      <c r="AH23" s="187"/>
      <c r="AI23" s="494">
        <f>'Exhibit B,S2'!Q23-'Exhibit B,S3'!Q23</f>
        <v>0</v>
      </c>
      <c r="AJ23" s="494"/>
      <c r="AK23" s="494">
        <f>'Exhibit B,S2'!S23-'Exhibit B,S3'!S23</f>
        <v>0</v>
      </c>
      <c r="AL23" s="494"/>
      <c r="AM23" s="494">
        <f>'Exhibit B,S2'!U23-'Exhibit B,S3'!U23</f>
        <v>0</v>
      </c>
      <c r="AN23" s="494"/>
      <c r="AO23" s="494">
        <f>'Exhibit B,S2'!W23-'Exhibit B,S3'!W23</f>
        <v>0</v>
      </c>
      <c r="AP23" s="187"/>
      <c r="AQ23" s="494">
        <f t="shared" si="8"/>
        <v>0</v>
      </c>
      <c r="AR23" s="1"/>
      <c r="AS23" s="1"/>
    </row>
    <row r="24" spans="1:45">
      <c r="A24" s="6">
        <f t="shared" si="9"/>
        <v>2001</v>
      </c>
      <c r="B24" s="1"/>
      <c r="C24" s="494">
        <f>'Exhibit F,1'!I23-'Exhibit F,1'!AH23</f>
        <v>0</v>
      </c>
      <c r="D24" s="494"/>
      <c r="E24" s="494">
        <f>'Exhibit F,1'!K23-'Exhibit F,1'!AJ23</f>
        <v>0</v>
      </c>
      <c r="F24" s="187"/>
      <c r="G24" s="494">
        <f>'Exhibit B,S2'!E24-'Exhibit B,S3'!E24</f>
        <v>0</v>
      </c>
      <c r="H24" s="494"/>
      <c r="I24" s="494">
        <f>'Exhibit B,S2'!G24-'Exhibit B,S3'!G24</f>
        <v>0</v>
      </c>
      <c r="J24" s="494"/>
      <c r="K24" s="494">
        <f>'Exhibit B,S2'!I24-'Exhibit B,S3'!I24</f>
        <v>0</v>
      </c>
      <c r="L24" s="494"/>
      <c r="M24" s="494">
        <f>'Exhibit B,S2'!K24-'Exhibit B,S3'!K24</f>
        <v>0</v>
      </c>
      <c r="N24" s="187"/>
      <c r="O24" s="494">
        <f t="shared" si="0"/>
        <v>0</v>
      </c>
      <c r="P24" s="187"/>
      <c r="Q24" s="501">
        <f t="shared" si="1"/>
        <v>0</v>
      </c>
      <c r="R24" s="501"/>
      <c r="S24" s="501">
        <f t="shared" si="2"/>
        <v>0</v>
      </c>
      <c r="T24" s="501"/>
      <c r="U24" s="501">
        <f t="shared" si="3"/>
        <v>0</v>
      </c>
      <c r="V24" s="501"/>
      <c r="W24" s="501">
        <f t="shared" si="4"/>
        <v>0</v>
      </c>
      <c r="X24" s="501"/>
      <c r="Y24" s="501">
        <f t="shared" si="5"/>
        <v>0</v>
      </c>
      <c r="Z24" s="501"/>
      <c r="AA24" s="501">
        <f t="shared" si="6"/>
        <v>0</v>
      </c>
      <c r="AB24" s="501"/>
      <c r="AC24" s="494">
        <f t="shared" si="7"/>
        <v>0</v>
      </c>
      <c r="AD24" s="187"/>
      <c r="AE24" s="494">
        <f>'Exhibit F,1'!M23-'Exhibit F,1'!AL23</f>
        <v>0</v>
      </c>
      <c r="AF24" s="494"/>
      <c r="AG24" s="494">
        <f>'Exhibit F,1'!O23-'Exhibit F,1'!AN23</f>
        <v>0</v>
      </c>
      <c r="AH24" s="187"/>
      <c r="AI24" s="494">
        <f>'Exhibit B,S2'!Q24-'Exhibit B,S3'!Q24</f>
        <v>0</v>
      </c>
      <c r="AJ24" s="494"/>
      <c r="AK24" s="494">
        <f>'Exhibit B,S2'!S24-'Exhibit B,S3'!S24</f>
        <v>0</v>
      </c>
      <c r="AL24" s="494"/>
      <c r="AM24" s="494">
        <f>'Exhibit B,S2'!U24-'Exhibit B,S3'!U24</f>
        <v>0</v>
      </c>
      <c r="AN24" s="494"/>
      <c r="AO24" s="494">
        <f>'Exhibit B,S2'!W24-'Exhibit B,S3'!W24</f>
        <v>0</v>
      </c>
      <c r="AP24" s="187"/>
      <c r="AQ24" s="494">
        <f t="shared" si="8"/>
        <v>0</v>
      </c>
      <c r="AR24" s="1"/>
      <c r="AS24" s="1"/>
    </row>
    <row r="25" spans="1:45">
      <c r="A25" s="6">
        <f t="shared" si="9"/>
        <v>2002</v>
      </c>
      <c r="B25" s="1"/>
      <c r="C25" s="494">
        <f>'Exhibit F,1'!I24-'Exhibit F,1'!AH24</f>
        <v>0</v>
      </c>
      <c r="D25" s="494"/>
      <c r="E25" s="494">
        <f>'Exhibit F,1'!K24-'Exhibit F,1'!AJ24</f>
        <v>0</v>
      </c>
      <c r="F25" s="187"/>
      <c r="G25" s="494">
        <f>'Exhibit B,S2'!E25-'Exhibit B,S3'!E25</f>
        <v>0</v>
      </c>
      <c r="H25" s="494"/>
      <c r="I25" s="494">
        <f>'Exhibit B,S2'!G25-'Exhibit B,S3'!G25</f>
        <v>0</v>
      </c>
      <c r="J25" s="494"/>
      <c r="K25" s="494">
        <f>'Exhibit B,S2'!I25-'Exhibit B,S3'!I25</f>
        <v>0</v>
      </c>
      <c r="L25" s="494"/>
      <c r="M25" s="494">
        <f>'Exhibit B,S2'!K25-'Exhibit B,S3'!K25</f>
        <v>0</v>
      </c>
      <c r="N25" s="187"/>
      <c r="O25" s="494">
        <f t="shared" si="0"/>
        <v>0</v>
      </c>
      <c r="P25" s="187"/>
      <c r="Q25" s="501">
        <f t="shared" si="1"/>
        <v>0</v>
      </c>
      <c r="R25" s="501"/>
      <c r="S25" s="501">
        <f t="shared" si="2"/>
        <v>0</v>
      </c>
      <c r="T25" s="501"/>
      <c r="U25" s="501">
        <f t="shared" si="3"/>
        <v>0</v>
      </c>
      <c r="V25" s="501"/>
      <c r="W25" s="501">
        <f t="shared" si="4"/>
        <v>0</v>
      </c>
      <c r="X25" s="501"/>
      <c r="Y25" s="501">
        <f t="shared" si="5"/>
        <v>0</v>
      </c>
      <c r="Z25" s="501"/>
      <c r="AA25" s="501">
        <f t="shared" si="6"/>
        <v>0</v>
      </c>
      <c r="AB25" s="501"/>
      <c r="AC25" s="494">
        <f t="shared" si="7"/>
        <v>0</v>
      </c>
      <c r="AD25" s="187"/>
      <c r="AE25" s="494">
        <f>'Exhibit F,1'!M24-'Exhibit F,1'!AL24</f>
        <v>0</v>
      </c>
      <c r="AF25" s="494"/>
      <c r="AG25" s="494">
        <f>'Exhibit F,1'!O24-'Exhibit F,1'!AN24</f>
        <v>0</v>
      </c>
      <c r="AH25" s="187"/>
      <c r="AI25" s="494">
        <f>'Exhibit B,S2'!Q25-'Exhibit B,S3'!Q25</f>
        <v>0</v>
      </c>
      <c r="AJ25" s="494"/>
      <c r="AK25" s="494">
        <f>'Exhibit B,S2'!S25-'Exhibit B,S3'!S25</f>
        <v>0</v>
      </c>
      <c r="AL25" s="494"/>
      <c r="AM25" s="494">
        <f>'Exhibit B,S2'!U25-'Exhibit B,S3'!U25</f>
        <v>0</v>
      </c>
      <c r="AN25" s="494"/>
      <c r="AO25" s="494">
        <f>'Exhibit B,S2'!W25-'Exhibit B,S3'!W25</f>
        <v>0</v>
      </c>
      <c r="AP25" s="187"/>
      <c r="AQ25" s="494">
        <f t="shared" si="8"/>
        <v>0</v>
      </c>
      <c r="AR25" s="1"/>
      <c r="AS25" s="1"/>
    </row>
    <row r="26" spans="1:45">
      <c r="A26" s="6">
        <f t="shared" si="9"/>
        <v>2003</v>
      </c>
      <c r="B26" s="1"/>
      <c r="C26" s="494">
        <f>'Exhibit F,1'!I25-'Exhibit F,1'!AH25</f>
        <v>0</v>
      </c>
      <c r="D26" s="494"/>
      <c r="E26" s="494">
        <f>'Exhibit F,1'!K25-'Exhibit F,1'!AJ25</f>
        <v>0</v>
      </c>
      <c r="F26" s="187"/>
      <c r="G26" s="494">
        <f>'Exhibit B,S2'!E26-'Exhibit B,S3'!E26</f>
        <v>0</v>
      </c>
      <c r="H26" s="494"/>
      <c r="I26" s="494">
        <f>'Exhibit B,S2'!G26-'Exhibit B,S3'!G26</f>
        <v>0</v>
      </c>
      <c r="J26" s="494"/>
      <c r="K26" s="494">
        <f>'Exhibit B,S2'!I26-'Exhibit B,S3'!I26</f>
        <v>0</v>
      </c>
      <c r="L26" s="494"/>
      <c r="M26" s="494">
        <f>'Exhibit B,S2'!K26-'Exhibit B,S3'!K26</f>
        <v>0</v>
      </c>
      <c r="N26" s="187"/>
      <c r="O26" s="494">
        <f t="shared" si="0"/>
        <v>0</v>
      </c>
      <c r="P26" s="187"/>
      <c r="Q26" s="501">
        <f t="shared" si="1"/>
        <v>0</v>
      </c>
      <c r="R26" s="501"/>
      <c r="S26" s="501">
        <f t="shared" si="2"/>
        <v>0</v>
      </c>
      <c r="T26" s="501"/>
      <c r="U26" s="501">
        <f t="shared" si="3"/>
        <v>0</v>
      </c>
      <c r="V26" s="501"/>
      <c r="W26" s="501">
        <f t="shared" si="4"/>
        <v>0</v>
      </c>
      <c r="X26" s="501"/>
      <c r="Y26" s="501">
        <f t="shared" si="5"/>
        <v>0</v>
      </c>
      <c r="Z26" s="501"/>
      <c r="AA26" s="501">
        <f t="shared" si="6"/>
        <v>0</v>
      </c>
      <c r="AB26" s="501"/>
      <c r="AC26" s="494">
        <f t="shared" si="7"/>
        <v>0</v>
      </c>
      <c r="AD26" s="187"/>
      <c r="AE26" s="494">
        <f>'Exhibit F,1'!M25-'Exhibit F,1'!AL25</f>
        <v>0</v>
      </c>
      <c r="AF26" s="494"/>
      <c r="AG26" s="494">
        <f>'Exhibit F,1'!O25-'Exhibit F,1'!AN25</f>
        <v>0</v>
      </c>
      <c r="AH26" s="187"/>
      <c r="AI26" s="494">
        <f>'Exhibit B,S2'!Q26-'Exhibit B,S3'!Q26</f>
        <v>0</v>
      </c>
      <c r="AJ26" s="494"/>
      <c r="AK26" s="494">
        <f>'Exhibit B,S2'!S26-'Exhibit B,S3'!S26</f>
        <v>0</v>
      </c>
      <c r="AL26" s="494"/>
      <c r="AM26" s="494">
        <f>'Exhibit B,S2'!U26-'Exhibit B,S3'!U26</f>
        <v>0</v>
      </c>
      <c r="AN26" s="494"/>
      <c r="AO26" s="494">
        <f>'Exhibit B,S2'!W26-'Exhibit B,S3'!W26</f>
        <v>0</v>
      </c>
      <c r="AP26" s="187"/>
      <c r="AQ26" s="494">
        <f t="shared" si="8"/>
        <v>0</v>
      </c>
      <c r="AR26" s="1"/>
      <c r="AS26" s="1"/>
    </row>
    <row r="27" spans="1:45">
      <c r="A27" s="6">
        <f t="shared" si="9"/>
        <v>2004</v>
      </c>
      <c r="B27" s="1"/>
      <c r="C27" s="494">
        <f>'Exhibit F,1'!I26-'Exhibit F,1'!AH26</f>
        <v>0</v>
      </c>
      <c r="D27" s="494"/>
      <c r="E27" s="494">
        <f>'Exhibit F,1'!K26-'Exhibit F,1'!AJ26</f>
        <v>5000</v>
      </c>
      <c r="F27" s="187"/>
      <c r="G27" s="494">
        <f>'Exhibit B,S2'!E27-'Exhibit B,S3'!E27</f>
        <v>0</v>
      </c>
      <c r="H27" s="494"/>
      <c r="I27" s="494">
        <f>'Exhibit B,S2'!G27-'Exhibit B,S3'!G27</f>
        <v>0</v>
      </c>
      <c r="J27" s="494"/>
      <c r="K27" s="494">
        <f>'Exhibit B,S2'!I27-'Exhibit B,S3'!I27</f>
        <v>0</v>
      </c>
      <c r="L27" s="494"/>
      <c r="M27" s="494">
        <f>'Exhibit B,S2'!K27-'Exhibit B,S3'!K27</f>
        <v>0</v>
      </c>
      <c r="N27" s="187"/>
      <c r="O27" s="494">
        <f t="shared" si="0"/>
        <v>5000</v>
      </c>
      <c r="P27" s="187"/>
      <c r="Q27" s="501">
        <f t="shared" si="1"/>
        <v>0</v>
      </c>
      <c r="R27" s="501"/>
      <c r="S27" s="501">
        <f t="shared" si="2"/>
        <v>0</v>
      </c>
      <c r="T27" s="501"/>
      <c r="U27" s="501">
        <f t="shared" si="3"/>
        <v>0</v>
      </c>
      <c r="V27" s="501"/>
      <c r="W27" s="501">
        <f t="shared" si="4"/>
        <v>0</v>
      </c>
      <c r="X27" s="501"/>
      <c r="Y27" s="501">
        <f t="shared" si="5"/>
        <v>0</v>
      </c>
      <c r="Z27" s="501"/>
      <c r="AA27" s="501">
        <f t="shared" si="6"/>
        <v>0</v>
      </c>
      <c r="AB27" s="501"/>
      <c r="AC27" s="494">
        <f t="shared" si="7"/>
        <v>0</v>
      </c>
      <c r="AD27" s="187"/>
      <c r="AE27" s="494">
        <f>'Exhibit F,1'!M26-'Exhibit F,1'!AL26</f>
        <v>0</v>
      </c>
      <c r="AF27" s="494"/>
      <c r="AG27" s="494">
        <f>'Exhibit F,1'!O26-'Exhibit F,1'!AN26</f>
        <v>5000</v>
      </c>
      <c r="AH27" s="187"/>
      <c r="AI27" s="494">
        <f>'Exhibit B,S2'!Q27-'Exhibit B,S3'!Q27</f>
        <v>0</v>
      </c>
      <c r="AJ27" s="494"/>
      <c r="AK27" s="494">
        <f>'Exhibit B,S2'!S27-'Exhibit B,S3'!S27</f>
        <v>0</v>
      </c>
      <c r="AL27" s="494"/>
      <c r="AM27" s="494">
        <f>'Exhibit B,S2'!U27-'Exhibit B,S3'!U27</f>
        <v>0</v>
      </c>
      <c r="AN27" s="494"/>
      <c r="AO27" s="494">
        <f>'Exhibit B,S2'!W27-'Exhibit B,S3'!W27</f>
        <v>0</v>
      </c>
      <c r="AP27" s="187"/>
      <c r="AQ27" s="494">
        <f t="shared" si="8"/>
        <v>5000</v>
      </c>
      <c r="AR27" s="1"/>
      <c r="AS27" s="1"/>
    </row>
    <row r="28" spans="1:45">
      <c r="A28" s="6">
        <f t="shared" si="9"/>
        <v>2005</v>
      </c>
      <c r="B28" s="1"/>
      <c r="C28" s="494">
        <f>'Exhibit F,1'!I27-'Exhibit F,1'!AH27</f>
        <v>0</v>
      </c>
      <c r="D28" s="494"/>
      <c r="E28" s="494">
        <f>'Exhibit F,1'!K27-'Exhibit F,1'!AJ27</f>
        <v>0</v>
      </c>
      <c r="F28" s="187"/>
      <c r="G28" s="494">
        <f>'Exhibit B,S2'!E28-'Exhibit B,S3'!E28</f>
        <v>0</v>
      </c>
      <c r="H28" s="494"/>
      <c r="I28" s="494">
        <f>'Exhibit B,S2'!G28-'Exhibit B,S3'!G28</f>
        <v>0</v>
      </c>
      <c r="J28" s="494"/>
      <c r="K28" s="494">
        <f>'Exhibit B,S2'!I28-'Exhibit B,S3'!I28</f>
        <v>0</v>
      </c>
      <c r="L28" s="494"/>
      <c r="M28" s="494">
        <f>'Exhibit B,S2'!K28-'Exhibit B,S3'!K28</f>
        <v>0</v>
      </c>
      <c r="N28" s="187"/>
      <c r="O28" s="494">
        <f t="shared" si="0"/>
        <v>0</v>
      </c>
      <c r="P28" s="187"/>
      <c r="Q28" s="501">
        <f t="shared" si="1"/>
        <v>0</v>
      </c>
      <c r="R28" s="501"/>
      <c r="S28" s="501">
        <f t="shared" si="2"/>
        <v>0</v>
      </c>
      <c r="T28" s="501"/>
      <c r="U28" s="501">
        <f t="shared" si="3"/>
        <v>0</v>
      </c>
      <c r="V28" s="501"/>
      <c r="W28" s="501">
        <f t="shared" si="4"/>
        <v>0</v>
      </c>
      <c r="X28" s="501"/>
      <c r="Y28" s="501">
        <f t="shared" si="5"/>
        <v>0</v>
      </c>
      <c r="Z28" s="501"/>
      <c r="AA28" s="501">
        <f t="shared" si="6"/>
        <v>0</v>
      </c>
      <c r="AB28" s="501"/>
      <c r="AC28" s="494">
        <f t="shared" si="7"/>
        <v>0</v>
      </c>
      <c r="AD28" s="187"/>
      <c r="AE28" s="494">
        <f>'Exhibit F,1'!M27-'Exhibit F,1'!AL27</f>
        <v>0</v>
      </c>
      <c r="AF28" s="494"/>
      <c r="AG28" s="494">
        <f>'Exhibit F,1'!O27-'Exhibit F,1'!AN27</f>
        <v>0</v>
      </c>
      <c r="AH28" s="187"/>
      <c r="AI28" s="494">
        <f>'Exhibit B,S2'!Q28-'Exhibit B,S3'!Q28</f>
        <v>0</v>
      </c>
      <c r="AJ28" s="494"/>
      <c r="AK28" s="494">
        <f>'Exhibit B,S2'!S28-'Exhibit B,S3'!S28</f>
        <v>0</v>
      </c>
      <c r="AL28" s="494"/>
      <c r="AM28" s="494">
        <f>'Exhibit B,S2'!U28-'Exhibit B,S3'!U28</f>
        <v>0</v>
      </c>
      <c r="AN28" s="494"/>
      <c r="AO28" s="494">
        <f>'Exhibit B,S2'!W28-'Exhibit B,S3'!W28</f>
        <v>0</v>
      </c>
      <c r="AP28" s="187"/>
      <c r="AQ28" s="494">
        <f t="shared" si="8"/>
        <v>0</v>
      </c>
      <c r="AR28" s="1"/>
      <c r="AS28" s="1"/>
    </row>
    <row r="29" spans="1:45">
      <c r="A29" s="6">
        <f t="shared" si="9"/>
        <v>2006</v>
      </c>
      <c r="B29" s="1"/>
      <c r="C29" s="494">
        <f>'Exhibit F,1'!I28-'Exhibit F,1'!AH28</f>
        <v>-206136.29999999702</v>
      </c>
      <c r="D29" s="494"/>
      <c r="E29" s="494">
        <f>'Exhibit F,1'!K28-'Exhibit F,1'!AJ28</f>
        <v>20000</v>
      </c>
      <c r="F29" s="187"/>
      <c r="G29" s="494">
        <f>'Exhibit B,S2'!E29-'Exhibit B,S3'!E29</f>
        <v>0</v>
      </c>
      <c r="H29" s="494"/>
      <c r="I29" s="494">
        <f>'Exhibit B,S2'!G29-'Exhibit B,S3'!G29</f>
        <v>0</v>
      </c>
      <c r="J29" s="494"/>
      <c r="K29" s="494">
        <f>'Exhibit B,S2'!I29-'Exhibit B,S3'!I29</f>
        <v>0</v>
      </c>
      <c r="L29" s="494"/>
      <c r="M29" s="494">
        <f>'Exhibit B,S2'!K29-'Exhibit B,S3'!K29</f>
        <v>0</v>
      </c>
      <c r="N29" s="187"/>
      <c r="O29" s="494">
        <f t="shared" si="0"/>
        <v>-186136.29999999702</v>
      </c>
      <c r="P29" s="187"/>
      <c r="Q29" s="501">
        <f t="shared" si="1"/>
        <v>0</v>
      </c>
      <c r="R29" s="501"/>
      <c r="S29" s="501">
        <f t="shared" si="2"/>
        <v>0</v>
      </c>
      <c r="T29" s="501"/>
      <c r="U29" s="501">
        <f t="shared" si="3"/>
        <v>0</v>
      </c>
      <c r="V29" s="501"/>
      <c r="W29" s="501">
        <f t="shared" si="4"/>
        <v>0</v>
      </c>
      <c r="X29" s="501"/>
      <c r="Y29" s="501">
        <f t="shared" si="5"/>
        <v>0</v>
      </c>
      <c r="Z29" s="501"/>
      <c r="AA29" s="501">
        <f t="shared" si="6"/>
        <v>0</v>
      </c>
      <c r="AB29" s="501"/>
      <c r="AC29" s="494">
        <f t="shared" si="7"/>
        <v>0</v>
      </c>
      <c r="AD29" s="187"/>
      <c r="AE29" s="494">
        <f>'Exhibit F,1'!M28-'Exhibit F,1'!AL28</f>
        <v>-206136.29999999702</v>
      </c>
      <c r="AF29" s="494"/>
      <c r="AG29" s="494">
        <f>'Exhibit F,1'!O28-'Exhibit F,1'!AN28</f>
        <v>20000</v>
      </c>
      <c r="AH29" s="187"/>
      <c r="AI29" s="494">
        <f>'Exhibit B,S2'!Q29-'Exhibit B,S3'!Q29</f>
        <v>0</v>
      </c>
      <c r="AJ29" s="494"/>
      <c r="AK29" s="494">
        <f>'Exhibit B,S2'!S29-'Exhibit B,S3'!S29</f>
        <v>0</v>
      </c>
      <c r="AL29" s="494"/>
      <c r="AM29" s="494">
        <f>'Exhibit B,S2'!U29-'Exhibit B,S3'!U29</f>
        <v>0</v>
      </c>
      <c r="AN29" s="494"/>
      <c r="AO29" s="494">
        <f>'Exhibit B,S2'!W29-'Exhibit B,S3'!W29</f>
        <v>0</v>
      </c>
      <c r="AP29" s="187"/>
      <c r="AQ29" s="494">
        <f t="shared" si="8"/>
        <v>-186136.29999999702</v>
      </c>
      <c r="AR29" s="1"/>
      <c r="AS29" s="1"/>
    </row>
    <row r="30" spans="1:45">
      <c r="A30" s="6">
        <f t="shared" si="9"/>
        <v>2007</v>
      </c>
      <c r="B30" s="1"/>
      <c r="C30" s="494">
        <f>'Exhibit F,1'!I29-'Exhibit F,1'!AH29</f>
        <v>0</v>
      </c>
      <c r="D30" s="494"/>
      <c r="E30" s="494">
        <f>'Exhibit F,1'!K29-'Exhibit F,1'!AJ29</f>
        <v>0</v>
      </c>
      <c r="F30" s="187"/>
      <c r="G30" s="494">
        <f>'Exhibit B,S2'!E30-'Exhibit B,S3'!E30</f>
        <v>0</v>
      </c>
      <c r="H30" s="494"/>
      <c r="I30" s="494">
        <f>'Exhibit B,S2'!G30-'Exhibit B,S3'!G30</f>
        <v>0</v>
      </c>
      <c r="J30" s="494"/>
      <c r="K30" s="494">
        <f>'Exhibit B,S2'!I30-'Exhibit B,S3'!I30</f>
        <v>0</v>
      </c>
      <c r="L30" s="494"/>
      <c r="M30" s="494">
        <f>'Exhibit B,S2'!K30-'Exhibit B,S3'!K30</f>
        <v>0</v>
      </c>
      <c r="N30" s="187"/>
      <c r="O30" s="494">
        <f t="shared" si="0"/>
        <v>0</v>
      </c>
      <c r="P30" s="187"/>
      <c r="Q30" s="501">
        <f t="shared" si="1"/>
        <v>0</v>
      </c>
      <c r="R30" s="501"/>
      <c r="S30" s="501">
        <f t="shared" si="2"/>
        <v>0</v>
      </c>
      <c r="T30" s="501"/>
      <c r="U30" s="501">
        <f t="shared" si="3"/>
        <v>0</v>
      </c>
      <c r="V30" s="501"/>
      <c r="W30" s="501">
        <f t="shared" si="4"/>
        <v>0</v>
      </c>
      <c r="X30" s="501"/>
      <c r="Y30" s="501">
        <f t="shared" si="5"/>
        <v>0</v>
      </c>
      <c r="Z30" s="501"/>
      <c r="AA30" s="501">
        <f t="shared" si="6"/>
        <v>0</v>
      </c>
      <c r="AB30" s="501"/>
      <c r="AC30" s="494">
        <f t="shared" si="7"/>
        <v>0</v>
      </c>
      <c r="AD30" s="187"/>
      <c r="AE30" s="494">
        <f>'Exhibit F,1'!M29-'Exhibit F,1'!AL29</f>
        <v>0</v>
      </c>
      <c r="AF30" s="494"/>
      <c r="AG30" s="494">
        <f>'Exhibit F,1'!O29-'Exhibit F,1'!AN29</f>
        <v>0</v>
      </c>
      <c r="AH30" s="187"/>
      <c r="AI30" s="494">
        <f>'Exhibit B,S2'!Q30-'Exhibit B,S3'!Q30</f>
        <v>0</v>
      </c>
      <c r="AJ30" s="494"/>
      <c r="AK30" s="494">
        <f>'Exhibit B,S2'!S30-'Exhibit B,S3'!S30</f>
        <v>0</v>
      </c>
      <c r="AL30" s="494"/>
      <c r="AM30" s="494">
        <f>'Exhibit B,S2'!U30-'Exhibit B,S3'!U30</f>
        <v>0</v>
      </c>
      <c r="AN30" s="494"/>
      <c r="AO30" s="494">
        <f>'Exhibit B,S2'!W30-'Exhibit B,S3'!W30</f>
        <v>0</v>
      </c>
      <c r="AP30" s="187"/>
      <c r="AQ30" s="494">
        <f t="shared" si="8"/>
        <v>0</v>
      </c>
      <c r="AR30" s="1"/>
      <c r="AS30" s="1"/>
    </row>
    <row r="31" spans="1:45">
      <c r="A31" s="6">
        <f t="shared" si="9"/>
        <v>2008</v>
      </c>
      <c r="B31" s="1"/>
      <c r="C31" s="494">
        <f>'Exhibit F,1'!I30-'Exhibit F,1'!AH30</f>
        <v>0</v>
      </c>
      <c r="D31" s="494"/>
      <c r="E31" s="494">
        <f>'Exhibit F,1'!K30-'Exhibit F,1'!AJ30</f>
        <v>0</v>
      </c>
      <c r="F31" s="187"/>
      <c r="G31" s="494">
        <f>'Exhibit B,S2'!E31-'Exhibit B,S3'!E31</f>
        <v>0</v>
      </c>
      <c r="H31" s="494"/>
      <c r="I31" s="494">
        <f>'Exhibit B,S2'!G31-'Exhibit B,S3'!G31</f>
        <v>0</v>
      </c>
      <c r="J31" s="494"/>
      <c r="K31" s="494">
        <f>'Exhibit B,S2'!I31-'Exhibit B,S3'!I31</f>
        <v>0</v>
      </c>
      <c r="L31" s="494"/>
      <c r="M31" s="494">
        <f>'Exhibit B,S2'!K31-'Exhibit B,S3'!K31</f>
        <v>0</v>
      </c>
      <c r="N31" s="187"/>
      <c r="O31" s="494">
        <f t="shared" si="0"/>
        <v>0</v>
      </c>
      <c r="P31" s="187"/>
      <c r="Q31" s="501">
        <f t="shared" si="1"/>
        <v>0</v>
      </c>
      <c r="R31" s="501"/>
      <c r="S31" s="501">
        <f t="shared" si="2"/>
        <v>0</v>
      </c>
      <c r="T31" s="501"/>
      <c r="U31" s="501">
        <f t="shared" si="3"/>
        <v>0</v>
      </c>
      <c r="V31" s="501"/>
      <c r="W31" s="501">
        <f t="shared" si="4"/>
        <v>0</v>
      </c>
      <c r="X31" s="501"/>
      <c r="Y31" s="501">
        <f t="shared" si="5"/>
        <v>0</v>
      </c>
      <c r="Z31" s="501"/>
      <c r="AA31" s="501">
        <f t="shared" si="6"/>
        <v>0</v>
      </c>
      <c r="AB31" s="501"/>
      <c r="AC31" s="494">
        <f t="shared" si="7"/>
        <v>0</v>
      </c>
      <c r="AD31" s="187"/>
      <c r="AE31" s="494">
        <f>'Exhibit F,1'!M30-'Exhibit F,1'!AL30</f>
        <v>0</v>
      </c>
      <c r="AF31" s="494"/>
      <c r="AG31" s="494">
        <f>'Exhibit F,1'!O30-'Exhibit F,1'!AN30</f>
        <v>0</v>
      </c>
      <c r="AH31" s="187"/>
      <c r="AI31" s="494">
        <f>'Exhibit B,S2'!Q31-'Exhibit B,S3'!Q31</f>
        <v>0</v>
      </c>
      <c r="AJ31" s="494"/>
      <c r="AK31" s="494">
        <f>'Exhibit B,S2'!S31-'Exhibit B,S3'!S31</f>
        <v>0</v>
      </c>
      <c r="AL31" s="494"/>
      <c r="AM31" s="494">
        <f>'Exhibit B,S2'!U31-'Exhibit B,S3'!U31</f>
        <v>0</v>
      </c>
      <c r="AN31" s="494"/>
      <c r="AO31" s="494">
        <f>'Exhibit B,S2'!W31-'Exhibit B,S3'!W31</f>
        <v>0</v>
      </c>
      <c r="AP31" s="187"/>
      <c r="AQ31" s="494">
        <f t="shared" si="8"/>
        <v>0</v>
      </c>
      <c r="AR31" s="1"/>
      <c r="AS31" s="1"/>
    </row>
    <row r="32" spans="1:45">
      <c r="A32" s="6">
        <f t="shared" si="9"/>
        <v>2009</v>
      </c>
      <c r="B32" s="1"/>
      <c r="C32" s="494">
        <f>'Exhibit F,1'!I31-'Exhibit F,1'!AH31</f>
        <v>0</v>
      </c>
      <c r="D32" s="494"/>
      <c r="E32" s="494">
        <f>'Exhibit F,1'!K31-'Exhibit F,1'!AJ31</f>
        <v>-2.5693499009776133E-2</v>
      </c>
      <c r="F32" s="187"/>
      <c r="G32" s="494">
        <f>'Exhibit B,S2'!E32-'Exhibit B,S3'!E32</f>
        <v>0</v>
      </c>
      <c r="H32" s="494"/>
      <c r="I32" s="494">
        <f>'Exhibit B,S2'!G32-'Exhibit B,S3'!G32</f>
        <v>0</v>
      </c>
      <c r="J32" s="494"/>
      <c r="K32" s="494">
        <f>'Exhibit B,S2'!I32-'Exhibit B,S3'!I32</f>
        <v>0</v>
      </c>
      <c r="L32" s="494"/>
      <c r="M32" s="494">
        <f>'Exhibit B,S2'!K32-'Exhibit B,S3'!K32</f>
        <v>0</v>
      </c>
      <c r="N32" s="187"/>
      <c r="O32" s="494">
        <f t="shared" si="0"/>
        <v>-2.5693499009776133E-2</v>
      </c>
      <c r="P32" s="187"/>
      <c r="Q32" s="501">
        <f t="shared" si="1"/>
        <v>0</v>
      </c>
      <c r="R32" s="501"/>
      <c r="S32" s="501">
        <f t="shared" si="2"/>
        <v>0</v>
      </c>
      <c r="T32" s="501"/>
      <c r="U32" s="501">
        <f t="shared" si="3"/>
        <v>0</v>
      </c>
      <c r="V32" s="501"/>
      <c r="W32" s="501">
        <f t="shared" si="4"/>
        <v>0</v>
      </c>
      <c r="X32" s="501"/>
      <c r="Y32" s="501">
        <f t="shared" si="5"/>
        <v>0</v>
      </c>
      <c r="Z32" s="501"/>
      <c r="AA32" s="501">
        <f t="shared" si="6"/>
        <v>0</v>
      </c>
      <c r="AB32" s="501"/>
      <c r="AC32" s="494">
        <f t="shared" si="7"/>
        <v>0</v>
      </c>
      <c r="AD32" s="187"/>
      <c r="AE32" s="494">
        <f>'Exhibit F,1'!M31-'Exhibit F,1'!AL31</f>
        <v>0</v>
      </c>
      <c r="AF32" s="494"/>
      <c r="AG32" s="494">
        <f>'Exhibit F,1'!O31-'Exhibit F,1'!AN31</f>
        <v>-2.5693499009776133E-2</v>
      </c>
      <c r="AH32" s="187"/>
      <c r="AI32" s="494">
        <f>'Exhibit B,S2'!Q32-'Exhibit B,S3'!Q32</f>
        <v>0</v>
      </c>
      <c r="AJ32" s="494"/>
      <c r="AK32" s="494">
        <f>'Exhibit B,S2'!S32-'Exhibit B,S3'!S32</f>
        <v>0</v>
      </c>
      <c r="AL32" s="494"/>
      <c r="AM32" s="494">
        <f>'Exhibit B,S2'!U32-'Exhibit B,S3'!U32</f>
        <v>0</v>
      </c>
      <c r="AN32" s="494"/>
      <c r="AO32" s="494">
        <f>'Exhibit B,S2'!W32-'Exhibit B,S3'!W32</f>
        <v>0</v>
      </c>
      <c r="AP32" s="187"/>
      <c r="AQ32" s="494">
        <f t="shared" si="8"/>
        <v>-2.5693499009776133E-2</v>
      </c>
      <c r="AR32" s="1"/>
      <c r="AS32" s="1"/>
    </row>
    <row r="33" spans="1:45">
      <c r="A33" s="6">
        <f t="shared" si="9"/>
        <v>2010</v>
      </c>
      <c r="B33" s="1"/>
      <c r="C33" s="494">
        <f>'Exhibit F,1'!I32-'Exhibit F,1'!AH32</f>
        <v>0</v>
      </c>
      <c r="D33" s="494"/>
      <c r="E33" s="494">
        <f>'Exhibit F,1'!K32-'Exhibit F,1'!AJ32</f>
        <v>0</v>
      </c>
      <c r="F33" s="187"/>
      <c r="G33" s="494">
        <f>'Exhibit B,S2'!E33-'Exhibit B,S3'!E33</f>
        <v>0</v>
      </c>
      <c r="H33" s="494"/>
      <c r="I33" s="494">
        <f>'Exhibit B,S2'!G33-'Exhibit B,S3'!G33</f>
        <v>243.17999999970198</v>
      </c>
      <c r="J33" s="494"/>
      <c r="K33" s="494">
        <f>'Exhibit B,S2'!I33-'Exhibit B,S3'!I33</f>
        <v>0</v>
      </c>
      <c r="L33" s="494"/>
      <c r="M33" s="494">
        <f>'Exhibit B,S2'!K33-'Exhibit B,S3'!K33</f>
        <v>0</v>
      </c>
      <c r="N33" s="187"/>
      <c r="O33" s="494">
        <f t="shared" si="0"/>
        <v>243.17999999970198</v>
      </c>
      <c r="P33" s="187"/>
      <c r="Q33" s="501">
        <f t="shared" si="1"/>
        <v>0</v>
      </c>
      <c r="R33" s="501"/>
      <c r="S33" s="501">
        <f t="shared" si="2"/>
        <v>0</v>
      </c>
      <c r="T33" s="501"/>
      <c r="U33" s="501">
        <f t="shared" si="3"/>
        <v>0</v>
      </c>
      <c r="V33" s="501"/>
      <c r="W33" s="501">
        <f t="shared" si="4"/>
        <v>0</v>
      </c>
      <c r="X33" s="501"/>
      <c r="Y33" s="501">
        <f t="shared" si="5"/>
        <v>0</v>
      </c>
      <c r="Z33" s="501"/>
      <c r="AA33" s="501">
        <f t="shared" si="6"/>
        <v>0</v>
      </c>
      <c r="AB33" s="501"/>
      <c r="AC33" s="494">
        <f t="shared" si="7"/>
        <v>0</v>
      </c>
      <c r="AD33" s="187"/>
      <c r="AE33" s="494">
        <f>'Exhibit F,1'!M32-'Exhibit F,1'!AL32</f>
        <v>0</v>
      </c>
      <c r="AF33" s="494"/>
      <c r="AG33" s="494">
        <f>'Exhibit F,1'!O32-'Exhibit F,1'!AN32</f>
        <v>0</v>
      </c>
      <c r="AH33" s="187"/>
      <c r="AI33" s="494">
        <f>'Exhibit B,S2'!Q33-'Exhibit B,S3'!Q33</f>
        <v>0</v>
      </c>
      <c r="AJ33" s="494"/>
      <c r="AK33" s="494">
        <f>'Exhibit B,S2'!S33-'Exhibit B,S3'!S33</f>
        <v>243.17999999970198</v>
      </c>
      <c r="AL33" s="494"/>
      <c r="AM33" s="494">
        <f>'Exhibit B,S2'!U33-'Exhibit B,S3'!U33</f>
        <v>0</v>
      </c>
      <c r="AN33" s="494"/>
      <c r="AO33" s="494">
        <f>'Exhibit B,S2'!W33-'Exhibit B,S3'!W33</f>
        <v>0</v>
      </c>
      <c r="AP33" s="187"/>
      <c r="AQ33" s="494">
        <f t="shared" si="8"/>
        <v>243.17999999970198</v>
      </c>
      <c r="AR33" s="1"/>
      <c r="AS33" s="1"/>
    </row>
    <row r="34" spans="1:45">
      <c r="A34" s="6">
        <f t="shared" si="9"/>
        <v>2011</v>
      </c>
      <c r="B34" s="1"/>
      <c r="C34" s="494">
        <f>'Exhibit F,1'!I33-'Exhibit F,1'!AH33</f>
        <v>0</v>
      </c>
      <c r="D34" s="494"/>
      <c r="E34" s="494">
        <f>'Exhibit F,1'!K33-'Exhibit F,1'!AJ33</f>
        <v>-212.49331749160774</v>
      </c>
      <c r="F34" s="187"/>
      <c r="G34" s="494">
        <f>'Exhibit B,S2'!E34-'Exhibit B,S3'!E34</f>
        <v>0</v>
      </c>
      <c r="H34" s="494"/>
      <c r="I34" s="494">
        <f>'Exhibit B,S2'!G34-'Exhibit B,S3'!G34</f>
        <v>-520964.58999999985</v>
      </c>
      <c r="J34" s="494"/>
      <c r="K34" s="494">
        <f>'Exhibit B,S2'!I34-'Exhibit B,S3'!I34</f>
        <v>0</v>
      </c>
      <c r="L34" s="494"/>
      <c r="M34" s="494">
        <f>'Exhibit B,S2'!K34-'Exhibit B,S3'!K34</f>
        <v>0</v>
      </c>
      <c r="N34" s="187"/>
      <c r="O34" s="494">
        <f t="shared" si="0"/>
        <v>-521177.08331749146</v>
      </c>
      <c r="P34" s="187"/>
      <c r="Q34" s="501">
        <f t="shared" si="1"/>
        <v>0</v>
      </c>
      <c r="R34" s="501"/>
      <c r="S34" s="501">
        <f t="shared" si="2"/>
        <v>0</v>
      </c>
      <c r="T34" s="501"/>
      <c r="U34" s="501">
        <f t="shared" si="3"/>
        <v>0</v>
      </c>
      <c r="V34" s="501"/>
      <c r="W34" s="501">
        <f t="shared" si="4"/>
        <v>0</v>
      </c>
      <c r="X34" s="501"/>
      <c r="Y34" s="501">
        <f t="shared" si="5"/>
        <v>0</v>
      </c>
      <c r="Z34" s="501"/>
      <c r="AA34" s="501">
        <f t="shared" si="6"/>
        <v>0</v>
      </c>
      <c r="AB34" s="501"/>
      <c r="AC34" s="494">
        <f t="shared" si="7"/>
        <v>0</v>
      </c>
      <c r="AD34" s="187"/>
      <c r="AE34" s="494">
        <f>'Exhibit F,1'!M33-'Exhibit F,1'!AL33</f>
        <v>0</v>
      </c>
      <c r="AF34" s="494"/>
      <c r="AG34" s="494">
        <f>'Exhibit F,1'!O33-'Exhibit F,1'!AN33</f>
        <v>-212.49331749160774</v>
      </c>
      <c r="AH34" s="187"/>
      <c r="AI34" s="494">
        <f>'Exhibit B,S2'!Q34-'Exhibit B,S3'!Q34</f>
        <v>0</v>
      </c>
      <c r="AJ34" s="494"/>
      <c r="AK34" s="494">
        <f>'Exhibit B,S2'!S34-'Exhibit B,S3'!S34</f>
        <v>-520964.58999999985</v>
      </c>
      <c r="AL34" s="494"/>
      <c r="AM34" s="494">
        <f>'Exhibit B,S2'!U34-'Exhibit B,S3'!U34</f>
        <v>0</v>
      </c>
      <c r="AN34" s="494"/>
      <c r="AO34" s="494">
        <f>'Exhibit B,S2'!W34-'Exhibit B,S3'!W34</f>
        <v>0</v>
      </c>
      <c r="AP34" s="187"/>
      <c r="AQ34" s="494">
        <f t="shared" si="8"/>
        <v>-521177.08331749146</v>
      </c>
      <c r="AR34" s="1"/>
      <c r="AS34" s="1"/>
    </row>
    <row r="35" spans="1:45">
      <c r="A35" s="6">
        <f t="shared" si="9"/>
        <v>2012</v>
      </c>
      <c r="B35" s="1"/>
      <c r="C35" s="494">
        <f>'Exhibit F,1'!I34-'Exhibit F,1'!AH34</f>
        <v>23293.170000001788</v>
      </c>
      <c r="D35" s="494"/>
      <c r="E35" s="494">
        <f>'Exhibit F,1'!K34-'Exhibit F,1'!AJ34</f>
        <v>-2311.3393589328043</v>
      </c>
      <c r="F35" s="187"/>
      <c r="G35" s="494">
        <f>'Exhibit B,S2'!E35-'Exhibit B,S3'!E35</f>
        <v>0</v>
      </c>
      <c r="H35" s="494"/>
      <c r="I35" s="494">
        <f>'Exhibit B,S2'!G35-'Exhibit B,S3'!G35</f>
        <v>-1570213.3000000007</v>
      </c>
      <c r="J35" s="494"/>
      <c r="K35" s="494">
        <f>'Exhibit B,S2'!I35-'Exhibit B,S3'!I35</f>
        <v>0</v>
      </c>
      <c r="L35" s="494"/>
      <c r="M35" s="494">
        <f>'Exhibit B,S2'!K35-'Exhibit B,S3'!K35</f>
        <v>0</v>
      </c>
      <c r="N35" s="187"/>
      <c r="O35" s="494">
        <f t="shared" si="0"/>
        <v>-1549231.4693589318</v>
      </c>
      <c r="P35" s="187"/>
      <c r="Q35" s="501">
        <f t="shared" si="1"/>
        <v>0</v>
      </c>
      <c r="R35" s="501"/>
      <c r="S35" s="501">
        <f t="shared" si="2"/>
        <v>-11.700915699126199</v>
      </c>
      <c r="T35" s="501"/>
      <c r="U35" s="501">
        <f t="shared" si="3"/>
        <v>0</v>
      </c>
      <c r="V35" s="501"/>
      <c r="W35" s="501">
        <f t="shared" si="4"/>
        <v>-437143.00000000186</v>
      </c>
      <c r="X35" s="501"/>
      <c r="Y35" s="501">
        <f t="shared" si="5"/>
        <v>0</v>
      </c>
      <c r="Z35" s="501"/>
      <c r="AA35" s="501">
        <f t="shared" si="6"/>
        <v>0</v>
      </c>
      <c r="AB35" s="501"/>
      <c r="AC35" s="494">
        <f t="shared" si="7"/>
        <v>-437154.70091570099</v>
      </c>
      <c r="AD35" s="187"/>
      <c r="AE35" s="494">
        <f>'Exhibit F,1'!M34-'Exhibit F,1'!AL34</f>
        <v>23293.170000001788</v>
      </c>
      <c r="AF35" s="494"/>
      <c r="AG35" s="494">
        <f>'Exhibit F,1'!O34-'Exhibit F,1'!AN34</f>
        <v>-2299.6384432336781</v>
      </c>
      <c r="AH35" s="187"/>
      <c r="AI35" s="494">
        <f>'Exhibit B,S2'!Q35-'Exhibit B,S3'!Q35</f>
        <v>0</v>
      </c>
      <c r="AJ35" s="494"/>
      <c r="AK35" s="494">
        <f>'Exhibit B,S2'!S35-'Exhibit B,S3'!S35</f>
        <v>-1133070.2999999989</v>
      </c>
      <c r="AL35" s="494"/>
      <c r="AM35" s="494">
        <f>'Exhibit B,S2'!U35-'Exhibit B,S3'!U35</f>
        <v>0</v>
      </c>
      <c r="AN35" s="494"/>
      <c r="AO35" s="494">
        <f>'Exhibit B,S2'!W35-'Exhibit B,S3'!W35</f>
        <v>0</v>
      </c>
      <c r="AP35" s="187"/>
      <c r="AQ35" s="494">
        <f t="shared" si="8"/>
        <v>-1112076.7684432308</v>
      </c>
      <c r="AR35" s="1"/>
      <c r="AS35" s="1"/>
    </row>
    <row r="36" spans="1:45">
      <c r="A36" s="6">
        <f t="shared" si="9"/>
        <v>2013</v>
      </c>
      <c r="B36" s="1"/>
      <c r="C36" s="494">
        <f>'Exhibit F,1'!I35-'Exhibit F,1'!AH35</f>
        <v>0</v>
      </c>
      <c r="D36" s="494"/>
      <c r="E36" s="494">
        <f>'Exhibit F,1'!K35-'Exhibit F,1'!AJ35</f>
        <v>-14618.441966749262</v>
      </c>
      <c r="F36" s="187"/>
      <c r="G36" s="494">
        <f>'Exhibit B,S2'!E36-'Exhibit B,S3'!E36</f>
        <v>2633.7300000000978</v>
      </c>
      <c r="H36" s="494"/>
      <c r="I36" s="494">
        <f>'Exhibit B,S2'!G36-'Exhibit B,S3'!G36</f>
        <v>-1617579.7058062069</v>
      </c>
      <c r="J36" s="494"/>
      <c r="K36" s="494">
        <f>'Exhibit B,S2'!I36-'Exhibit B,S3'!I36</f>
        <v>-4.7778207906158059</v>
      </c>
      <c r="L36" s="494"/>
      <c r="M36" s="494">
        <f>'Exhibit B,S2'!K36-'Exhibit B,S3'!K36</f>
        <v>0</v>
      </c>
      <c r="N36" s="187"/>
      <c r="O36" s="494">
        <f t="shared" si="0"/>
        <v>-1629569.1955937468</v>
      </c>
      <c r="P36" s="187"/>
      <c r="Q36" s="501">
        <f t="shared" si="1"/>
        <v>0</v>
      </c>
      <c r="R36" s="501"/>
      <c r="S36" s="501">
        <f t="shared" si="2"/>
        <v>-77.245979612693191</v>
      </c>
      <c r="T36" s="501"/>
      <c r="U36" s="501">
        <f t="shared" si="3"/>
        <v>0</v>
      </c>
      <c r="V36" s="501"/>
      <c r="W36" s="501">
        <f t="shared" si="4"/>
        <v>7237.7463192939758</v>
      </c>
      <c r="X36" s="501"/>
      <c r="Y36" s="501">
        <f t="shared" si="5"/>
        <v>-1.6763841167557985</v>
      </c>
      <c r="Z36" s="501"/>
      <c r="AA36" s="501">
        <f t="shared" si="6"/>
        <v>0</v>
      </c>
      <c r="AB36" s="501"/>
      <c r="AC36" s="494">
        <f t="shared" si="7"/>
        <v>7158.8239555645268</v>
      </c>
      <c r="AD36" s="187"/>
      <c r="AE36" s="494">
        <f>'Exhibit F,1'!M35-'Exhibit F,1'!AL35</f>
        <v>0</v>
      </c>
      <c r="AF36" s="494"/>
      <c r="AG36" s="494">
        <f>'Exhibit F,1'!O35-'Exhibit F,1'!AN35</f>
        <v>-14541.195987136569</v>
      </c>
      <c r="AH36" s="187"/>
      <c r="AI36" s="494">
        <f>'Exhibit B,S2'!Q36-'Exhibit B,S3'!Q36</f>
        <v>2633.7300000000978</v>
      </c>
      <c r="AJ36" s="494"/>
      <c r="AK36" s="494">
        <f>'Exhibit B,S2'!S36-'Exhibit B,S3'!S36</f>
        <v>-1624817.4521255009</v>
      </c>
      <c r="AL36" s="494"/>
      <c r="AM36" s="494">
        <f>'Exhibit B,S2'!U36-'Exhibit B,S3'!U36</f>
        <v>-3.1014366738600074</v>
      </c>
      <c r="AN36" s="494"/>
      <c r="AO36" s="494">
        <f>'Exhibit B,S2'!W36-'Exhibit B,S3'!W36</f>
        <v>0</v>
      </c>
      <c r="AP36" s="187"/>
      <c r="AQ36" s="494">
        <f t="shared" si="8"/>
        <v>-1636728.0195493114</v>
      </c>
      <c r="AR36" s="1"/>
      <c r="AS36" s="1"/>
    </row>
    <row r="37" spans="1:45">
      <c r="A37" s="6">
        <f t="shared" si="9"/>
        <v>2014</v>
      </c>
      <c r="B37" s="1"/>
      <c r="C37" s="494">
        <f>'Exhibit F,1'!I36-'Exhibit F,1'!AH36</f>
        <v>-11555.546905107796</v>
      </c>
      <c r="D37" s="494"/>
      <c r="E37" s="494">
        <f>'Exhibit F,1'!K36-'Exhibit F,1'!AJ36</f>
        <v>-9148.9130208024289</v>
      </c>
      <c r="F37" s="187"/>
      <c r="G37" s="494">
        <f>'Exhibit B,S2'!E37-'Exhibit B,S3'!E37</f>
        <v>-212948.29000000004</v>
      </c>
      <c r="H37" s="494"/>
      <c r="I37" s="494">
        <f>'Exhibit B,S2'!G37-'Exhibit B,S3'!G37</f>
        <v>-2772860.8012510985</v>
      </c>
      <c r="J37" s="494"/>
      <c r="K37" s="494">
        <f>'Exhibit B,S2'!I37-'Exhibit B,S3'!I37</f>
        <v>-16826.941310905386</v>
      </c>
      <c r="L37" s="494"/>
      <c r="M37" s="494">
        <f>'Exhibit B,S2'!K37-'Exhibit B,S3'!K37</f>
        <v>892215.20238127757</v>
      </c>
      <c r="N37" s="187"/>
      <c r="O37" s="494">
        <f t="shared" si="0"/>
        <v>-2131125.2901066369</v>
      </c>
      <c r="P37" s="187"/>
      <c r="Q37" s="501">
        <f t="shared" si="1"/>
        <v>0</v>
      </c>
      <c r="R37" s="501"/>
      <c r="S37" s="501">
        <f t="shared" si="2"/>
        <v>-712.32259350805543</v>
      </c>
      <c r="T37" s="501"/>
      <c r="U37" s="501">
        <f t="shared" si="3"/>
        <v>0</v>
      </c>
      <c r="V37" s="501"/>
      <c r="W37" s="501">
        <f t="shared" si="4"/>
        <v>-1176398.7929297127</v>
      </c>
      <c r="X37" s="501"/>
      <c r="Y37" s="501">
        <f t="shared" si="5"/>
        <v>-6195.9742136215791</v>
      </c>
      <c r="Z37" s="501"/>
      <c r="AA37" s="501">
        <f t="shared" si="6"/>
        <v>1316.8526627863757</v>
      </c>
      <c r="AB37" s="501"/>
      <c r="AC37" s="494">
        <f t="shared" si="7"/>
        <v>-1181990.2370740559</v>
      </c>
      <c r="AD37" s="187"/>
      <c r="AE37" s="494">
        <f>'Exhibit F,1'!M36-'Exhibit F,1'!AL36</f>
        <v>-11555.546905107796</v>
      </c>
      <c r="AF37" s="494"/>
      <c r="AG37" s="494">
        <f>'Exhibit F,1'!O36-'Exhibit F,1'!AN36</f>
        <v>-8436.5904272943735</v>
      </c>
      <c r="AH37" s="187"/>
      <c r="AI37" s="494">
        <f>'Exhibit B,S2'!Q37-'Exhibit B,S3'!Q37</f>
        <v>-212948.29000000004</v>
      </c>
      <c r="AJ37" s="494"/>
      <c r="AK37" s="494">
        <f>'Exhibit B,S2'!S37-'Exhibit B,S3'!S37</f>
        <v>-1596462.0083213858</v>
      </c>
      <c r="AL37" s="494"/>
      <c r="AM37" s="494">
        <f>'Exhibit B,S2'!U37-'Exhibit B,S3'!U37</f>
        <v>-10630.967097283807</v>
      </c>
      <c r="AN37" s="494"/>
      <c r="AO37" s="494">
        <f>'Exhibit B,S2'!W37-'Exhibit B,S3'!W37</f>
        <v>890898.3497184912</v>
      </c>
      <c r="AP37" s="187"/>
      <c r="AQ37" s="494">
        <f t="shared" si="8"/>
        <v>-949135.05303258065</v>
      </c>
      <c r="AR37" s="1"/>
      <c r="AS37" s="1"/>
    </row>
    <row r="38" spans="1:45">
      <c r="A38" s="6">
        <f t="shared" si="9"/>
        <v>2015</v>
      </c>
      <c r="B38" s="1"/>
      <c r="C38" s="494">
        <f>'Exhibit F,1'!I37-'Exhibit F,1'!AH37</f>
        <v>-146633.963163957</v>
      </c>
      <c r="D38" s="494"/>
      <c r="E38" s="494">
        <f>'Exhibit F,1'!K37-'Exhibit F,1'!AJ37</f>
        <v>-30257.134522169828</v>
      </c>
      <c r="F38" s="187"/>
      <c r="G38" s="494">
        <f>'Exhibit B,S2'!E38-'Exhibit B,S3'!E38</f>
        <v>324948.86999999988</v>
      </c>
      <c r="H38" s="494"/>
      <c r="I38" s="494">
        <f>'Exhibit B,S2'!G38-'Exhibit B,S3'!G38</f>
        <v>-20930.51350494381</v>
      </c>
      <c r="J38" s="494"/>
      <c r="K38" s="494">
        <f>'Exhibit B,S2'!I38-'Exhibit B,S3'!I38</f>
        <v>-33280.075847360771</v>
      </c>
      <c r="L38" s="494"/>
      <c r="M38" s="494">
        <f>'Exhibit B,S2'!K38-'Exhibit B,S3'!K38</f>
        <v>33005.99240553804</v>
      </c>
      <c r="N38" s="187"/>
      <c r="O38" s="494">
        <f t="shared" si="0"/>
        <v>126853.17536710651</v>
      </c>
      <c r="P38" s="187"/>
      <c r="Q38" s="501">
        <f t="shared" si="1"/>
        <v>-1273.885200843215</v>
      </c>
      <c r="R38" s="501"/>
      <c r="S38" s="501">
        <f t="shared" si="2"/>
        <v>-9074.2399652880849</v>
      </c>
      <c r="T38" s="501"/>
      <c r="U38" s="501">
        <f t="shared" si="3"/>
        <v>0</v>
      </c>
      <c r="V38" s="501"/>
      <c r="W38" s="501">
        <f t="shared" si="4"/>
        <v>436543.18548820075</v>
      </c>
      <c r="X38" s="501"/>
      <c r="Y38" s="501">
        <f t="shared" si="5"/>
        <v>-4384.0538282841444</v>
      </c>
      <c r="Z38" s="501"/>
      <c r="AA38" s="501">
        <f t="shared" si="6"/>
        <v>254736.85892173962</v>
      </c>
      <c r="AB38" s="501"/>
      <c r="AC38" s="494">
        <f t="shared" si="7"/>
        <v>676547.86541552492</v>
      </c>
      <c r="AD38" s="187"/>
      <c r="AE38" s="494">
        <f>'Exhibit F,1'!M37-'Exhibit F,1'!AL37</f>
        <v>-145360.07796311378</v>
      </c>
      <c r="AF38" s="494"/>
      <c r="AG38" s="494">
        <f>'Exhibit F,1'!O37-'Exhibit F,1'!AN37</f>
        <v>-21182.894556881743</v>
      </c>
      <c r="AH38" s="187"/>
      <c r="AI38" s="494">
        <f>'Exhibit B,S2'!Q38-'Exhibit B,S3'!Q38</f>
        <v>324948.86999999988</v>
      </c>
      <c r="AJ38" s="494"/>
      <c r="AK38" s="494">
        <f>'Exhibit B,S2'!S38-'Exhibit B,S3'!S38</f>
        <v>-457473.69899314456</v>
      </c>
      <c r="AL38" s="494"/>
      <c r="AM38" s="494">
        <f>'Exhibit B,S2'!U38-'Exhibit B,S3'!U38</f>
        <v>-28896.022019076627</v>
      </c>
      <c r="AN38" s="494"/>
      <c r="AO38" s="494">
        <f>'Exhibit B,S2'!W38-'Exhibit B,S3'!W38</f>
        <v>-221730.86651620158</v>
      </c>
      <c r="AP38" s="187"/>
      <c r="AQ38" s="494">
        <f t="shared" si="8"/>
        <v>-549694.69004841847</v>
      </c>
      <c r="AR38" s="1"/>
      <c r="AS38" s="1"/>
    </row>
    <row r="39" spans="1:45">
      <c r="A39" s="6">
        <f t="shared" si="9"/>
        <v>2016</v>
      </c>
      <c r="B39" s="1"/>
      <c r="C39" s="494">
        <f>'Exhibit F,1'!I38-'Exhibit F,1'!AH38</f>
        <v>-1077297.3991902247</v>
      </c>
      <c r="D39" s="494"/>
      <c r="E39" s="494">
        <f>'Exhibit F,1'!K38-'Exhibit F,1'!AJ38</f>
        <v>-383330.09389885701</v>
      </c>
      <c r="F39" s="187"/>
      <c r="G39" s="494">
        <f>'Exhibit B,S2'!E39-'Exhibit B,S3'!E39</f>
        <v>682857.61000000034</v>
      </c>
      <c r="H39" s="494"/>
      <c r="I39" s="494">
        <f>'Exhibit B,S2'!G39-'Exhibit B,S3'!G39</f>
        <v>-1479898.1774426587</v>
      </c>
      <c r="J39" s="494"/>
      <c r="K39" s="494">
        <f>'Exhibit B,S2'!I39-'Exhibit B,S3'!I39</f>
        <v>-73529.817050055601</v>
      </c>
      <c r="L39" s="494"/>
      <c r="M39" s="494">
        <f>'Exhibit B,S2'!K39-'Exhibit B,S3'!K39</f>
        <v>-404856.08304430172</v>
      </c>
      <c r="N39" s="187"/>
      <c r="O39" s="494">
        <f t="shared" si="0"/>
        <v>-2736053.9606260974</v>
      </c>
      <c r="P39" s="187"/>
      <c r="Q39" s="501">
        <f t="shared" si="1"/>
        <v>-124642.55862216651</v>
      </c>
      <c r="R39" s="501"/>
      <c r="S39" s="501">
        <f t="shared" si="2"/>
        <v>-511223.37150888285</v>
      </c>
      <c r="T39" s="501"/>
      <c r="U39" s="501">
        <f t="shared" si="3"/>
        <v>0</v>
      </c>
      <c r="V39" s="501"/>
      <c r="W39" s="501">
        <f t="shared" si="4"/>
        <v>218088.79005170614</v>
      </c>
      <c r="X39" s="501"/>
      <c r="Y39" s="501">
        <f t="shared" si="5"/>
        <v>-105185.63980382821</v>
      </c>
      <c r="Z39" s="501"/>
      <c r="AA39" s="501">
        <f t="shared" si="6"/>
        <v>-3752.8718319106847</v>
      </c>
      <c r="AB39" s="501"/>
      <c r="AC39" s="494">
        <f t="shared" si="7"/>
        <v>-526715.65171508212</v>
      </c>
      <c r="AD39" s="187"/>
      <c r="AE39" s="494">
        <f>'Exhibit F,1'!M38-'Exhibit F,1'!AL38</f>
        <v>-952654.84056805819</v>
      </c>
      <c r="AF39" s="494"/>
      <c r="AG39" s="494">
        <f>'Exhibit F,1'!O38-'Exhibit F,1'!AN38</f>
        <v>127893.27761002583</v>
      </c>
      <c r="AH39" s="187"/>
      <c r="AI39" s="494">
        <f>'Exhibit B,S2'!Q39-'Exhibit B,S3'!Q39</f>
        <v>682857.60999999987</v>
      </c>
      <c r="AJ39" s="494"/>
      <c r="AK39" s="494">
        <f>'Exhibit B,S2'!S39-'Exhibit B,S3'!S39</f>
        <v>-1697986.9674943648</v>
      </c>
      <c r="AL39" s="494"/>
      <c r="AM39" s="494">
        <f>'Exhibit B,S2'!U39-'Exhibit B,S3'!U39</f>
        <v>31655.822753772605</v>
      </c>
      <c r="AN39" s="494"/>
      <c r="AO39" s="494">
        <f>'Exhibit B,S2'!W39-'Exhibit B,S3'!W39</f>
        <v>-401103.21121239103</v>
      </c>
      <c r="AP39" s="187"/>
      <c r="AQ39" s="494">
        <f t="shared" si="8"/>
        <v>-2209338.3089110157</v>
      </c>
      <c r="AR39" s="1"/>
      <c r="AS39" s="1"/>
    </row>
    <row r="40" spans="1:45">
      <c r="A40" s="6">
        <f t="shared" si="9"/>
        <v>2017</v>
      </c>
      <c r="B40" s="1"/>
      <c r="C40" s="494">
        <f>'Exhibit F,1'!I39-'Exhibit F,1'!AH39</f>
        <v>-2497970.206662707</v>
      </c>
      <c r="D40" s="494"/>
      <c r="E40" s="494">
        <f>'Exhibit F,1'!K39-'Exhibit F,1'!AJ39</f>
        <v>-581513.69171029143</v>
      </c>
      <c r="F40" s="187"/>
      <c r="G40" s="494">
        <f>'Exhibit B,S2'!E40-'Exhibit B,S3'!E40</f>
        <v>522.09999999997672</v>
      </c>
      <c r="H40" s="494"/>
      <c r="I40" s="494">
        <f>'Exhibit B,S2'!G40-'Exhibit B,S3'!G40</f>
        <v>-1888033.8508446217</v>
      </c>
      <c r="J40" s="494"/>
      <c r="K40" s="494">
        <f>'Exhibit B,S2'!I40-'Exhibit B,S3'!I40</f>
        <v>-349520.74908237159</v>
      </c>
      <c r="L40" s="494"/>
      <c r="M40" s="494">
        <f>'Exhibit B,S2'!K40-'Exhibit B,S3'!K40</f>
        <v>-740238.84621695895</v>
      </c>
      <c r="N40" s="187"/>
      <c r="O40" s="494">
        <f t="shared" si="0"/>
        <v>-6056755.244516951</v>
      </c>
      <c r="P40" s="187"/>
      <c r="Q40" s="501">
        <f t="shared" si="1"/>
        <v>-1210518.4665316697</v>
      </c>
      <c r="R40" s="501"/>
      <c r="S40" s="501">
        <f t="shared" si="2"/>
        <v>-28214.693972191424</v>
      </c>
      <c r="T40" s="501"/>
      <c r="U40" s="501">
        <f t="shared" si="3"/>
        <v>0</v>
      </c>
      <c r="V40" s="501"/>
      <c r="W40" s="501">
        <f t="shared" si="4"/>
        <v>-677541.38322674111</v>
      </c>
      <c r="X40" s="501"/>
      <c r="Y40" s="501">
        <f t="shared" si="5"/>
        <v>-20031.322703424376</v>
      </c>
      <c r="Z40" s="501"/>
      <c r="AA40" s="501">
        <f t="shared" si="6"/>
        <v>-158977.25482244603</v>
      </c>
      <c r="AB40" s="501"/>
      <c r="AC40" s="494">
        <f t="shared" si="7"/>
        <v>-2095283.1212564725</v>
      </c>
      <c r="AD40" s="187"/>
      <c r="AE40" s="494">
        <f>'Exhibit F,1'!M39-'Exhibit F,1'!AL39</f>
        <v>-1287451.7401310373</v>
      </c>
      <c r="AF40" s="494"/>
      <c r="AG40" s="494">
        <f>'Exhibit F,1'!O39-'Exhibit F,1'!AN39</f>
        <v>-553298.99773810001</v>
      </c>
      <c r="AH40" s="187"/>
      <c r="AI40" s="494">
        <f>'Exhibit B,S2'!Q40-'Exhibit B,S3'!Q40</f>
        <v>522.09999999997672</v>
      </c>
      <c r="AJ40" s="494"/>
      <c r="AK40" s="494">
        <f>'Exhibit B,S2'!S40-'Exhibit B,S3'!S40</f>
        <v>-1210492.4676178806</v>
      </c>
      <c r="AL40" s="494"/>
      <c r="AM40" s="494">
        <f>'Exhibit B,S2'!U40-'Exhibit B,S3'!U40</f>
        <v>-329489.42637894722</v>
      </c>
      <c r="AN40" s="494"/>
      <c r="AO40" s="494">
        <f>'Exhibit B,S2'!W40-'Exhibit B,S3'!W40</f>
        <v>-581261.59139451291</v>
      </c>
      <c r="AP40" s="187"/>
      <c r="AQ40" s="494">
        <f t="shared" si="8"/>
        <v>-3961472.123260478</v>
      </c>
      <c r="AR40" s="1"/>
      <c r="AS40" s="1"/>
    </row>
    <row r="41" spans="1:45">
      <c r="A41" s="6">
        <f t="shared" si="9"/>
        <v>2018</v>
      </c>
      <c r="B41" s="1"/>
      <c r="C41" s="494">
        <f>'Exhibit F,1'!I40-'Exhibit F,1'!AH40</f>
        <v>1970479.1592501625</v>
      </c>
      <c r="D41" s="494"/>
      <c r="E41" s="494">
        <f>'Exhibit F,1'!K40-'Exhibit F,1'!AJ40</f>
        <v>663087.03890956473</v>
      </c>
      <c r="F41" s="187"/>
      <c r="G41" s="494">
        <f>'Exhibit B,S2'!E41-'Exhibit B,S3'!E41</f>
        <v>-1139494.4390649181</v>
      </c>
      <c r="H41" s="494"/>
      <c r="I41" s="494">
        <f>'Exhibit B,S2'!G41-'Exhibit B,S3'!G41</f>
        <v>-344855.59710825048</v>
      </c>
      <c r="J41" s="494"/>
      <c r="K41" s="494">
        <f>'Exhibit B,S2'!I41-'Exhibit B,S3'!I41</f>
        <v>-313489.37272788456</v>
      </c>
      <c r="L41" s="494"/>
      <c r="M41" s="494">
        <f>'Exhibit B,S2'!K41-'Exhibit B,S3'!K41</f>
        <v>4895243.3671864625</v>
      </c>
      <c r="N41" s="187"/>
      <c r="O41" s="494">
        <f t="shared" si="0"/>
        <v>5730970.1564451363</v>
      </c>
      <c r="P41" s="187"/>
      <c r="Q41" s="501">
        <f t="shared" si="1"/>
        <v>2300732.5768664703</v>
      </c>
      <c r="R41" s="501"/>
      <c r="S41" s="501">
        <f t="shared" si="2"/>
        <v>15917.374327069847</v>
      </c>
      <c r="T41" s="501"/>
      <c r="U41" s="501">
        <f t="shared" si="3"/>
        <v>-169683.6905808606</v>
      </c>
      <c r="V41" s="501"/>
      <c r="W41" s="501">
        <f t="shared" si="4"/>
        <v>-296466.32197256293</v>
      </c>
      <c r="X41" s="501"/>
      <c r="Y41" s="501">
        <f t="shared" si="5"/>
        <v>-58118.477132350672</v>
      </c>
      <c r="Z41" s="501"/>
      <c r="AA41" s="501">
        <f t="shared" si="6"/>
        <v>-408387.88205266558</v>
      </c>
      <c r="AB41" s="501"/>
      <c r="AC41" s="494">
        <f t="shared" si="7"/>
        <v>1383993.5794551005</v>
      </c>
      <c r="AD41" s="187"/>
      <c r="AE41" s="494">
        <f>'Exhibit F,1'!M40-'Exhibit F,1'!AL40</f>
        <v>-330253.41761630774</v>
      </c>
      <c r="AF41" s="494"/>
      <c r="AG41" s="494">
        <f>'Exhibit F,1'!O40-'Exhibit F,1'!AN40</f>
        <v>647169.66458249488</v>
      </c>
      <c r="AH41" s="187"/>
      <c r="AI41" s="494">
        <f>'Exhibit B,S2'!Q41-'Exhibit B,S3'!Q41</f>
        <v>-969810.74848405749</v>
      </c>
      <c r="AJ41" s="494"/>
      <c r="AK41" s="494">
        <f>'Exhibit B,S2'!S41-'Exhibit B,S3'!S41</f>
        <v>-48389.275135687552</v>
      </c>
      <c r="AL41" s="494"/>
      <c r="AM41" s="494">
        <f>'Exhibit B,S2'!U41-'Exhibit B,S3'!U41</f>
        <v>-255370.89559553389</v>
      </c>
      <c r="AN41" s="494"/>
      <c r="AO41" s="494">
        <f>'Exhibit B,S2'!W41-'Exhibit B,S3'!W41</f>
        <v>5303631.2492391281</v>
      </c>
      <c r="AP41" s="187"/>
      <c r="AQ41" s="494">
        <f t="shared" si="8"/>
        <v>4346976.5769900363</v>
      </c>
      <c r="AR41" s="1"/>
      <c r="AS41" s="1"/>
    </row>
    <row r="42" spans="1:45">
      <c r="A42" s="6">
        <f t="shared" si="9"/>
        <v>2019</v>
      </c>
      <c r="B42" s="1"/>
      <c r="C42" s="494">
        <f>'Exhibit F,1'!I41-'Exhibit F,1'!AH41</f>
        <v>-225289.52424171194</v>
      </c>
      <c r="D42" s="494"/>
      <c r="E42" s="494">
        <f>'Exhibit F,1'!K41-'Exhibit F,1'!AJ41</f>
        <v>661543.21798117738</v>
      </c>
      <c r="F42" s="187"/>
      <c r="G42" s="494">
        <f>'Exhibit B,S2'!E42-'Exhibit B,S3'!E42</f>
        <v>-142092.86871548166</v>
      </c>
      <c r="H42" s="494"/>
      <c r="I42" s="494">
        <f>'Exhibit B,S2'!G42-'Exhibit B,S3'!G42</f>
        <v>-74544.072117402218</v>
      </c>
      <c r="J42" s="494"/>
      <c r="K42" s="494">
        <f>'Exhibit B,S2'!I42-'Exhibit B,S3'!I42</f>
        <v>-1008957.6412345096</v>
      </c>
      <c r="L42" s="494"/>
      <c r="M42" s="494">
        <f>'Exhibit B,S2'!K42-'Exhibit B,S3'!K42</f>
        <v>-1478774.152999986</v>
      </c>
      <c r="N42" s="187"/>
      <c r="O42" s="494">
        <f t="shared" si="0"/>
        <v>-2268115.0413279142</v>
      </c>
      <c r="P42" s="187"/>
      <c r="Q42" s="501">
        <f t="shared" si="1"/>
        <v>-111304.85713567398</v>
      </c>
      <c r="R42" s="501"/>
      <c r="S42" s="501">
        <f t="shared" si="2"/>
        <v>141781.85242679343</v>
      </c>
      <c r="T42" s="501"/>
      <c r="U42" s="501">
        <f t="shared" si="3"/>
        <v>-2321.3106478491682</v>
      </c>
      <c r="V42" s="501"/>
      <c r="W42" s="501">
        <f t="shared" si="4"/>
        <v>844132.30979035143</v>
      </c>
      <c r="X42" s="501"/>
      <c r="Y42" s="501">
        <f t="shared" si="5"/>
        <v>407774.10475128097</v>
      </c>
      <c r="Z42" s="501"/>
      <c r="AA42" s="501">
        <f t="shared" si="6"/>
        <v>-783395.90192448348</v>
      </c>
      <c r="AB42" s="501"/>
      <c r="AC42" s="494">
        <f t="shared" si="7"/>
        <v>496666.19726041914</v>
      </c>
      <c r="AD42" s="187"/>
      <c r="AE42" s="494">
        <f>'Exhibit F,1'!M41-'Exhibit F,1'!AL41</f>
        <v>-113984.66710603796</v>
      </c>
      <c r="AF42" s="494"/>
      <c r="AG42" s="494">
        <f>'Exhibit F,1'!O41-'Exhibit F,1'!AN41</f>
        <v>519761.36555438396</v>
      </c>
      <c r="AH42" s="187"/>
      <c r="AI42" s="494">
        <f>'Exhibit B,S2'!Q42-'Exhibit B,S3'!Q42</f>
        <v>-139771.55806763249</v>
      </c>
      <c r="AJ42" s="494"/>
      <c r="AK42" s="494">
        <f>'Exhibit B,S2'!S42-'Exhibit B,S3'!S42</f>
        <v>-918676.38190775365</v>
      </c>
      <c r="AL42" s="494"/>
      <c r="AM42" s="494">
        <f>'Exhibit B,S2'!U42-'Exhibit B,S3'!U42</f>
        <v>-1416731.7459857906</v>
      </c>
      <c r="AN42" s="494"/>
      <c r="AO42" s="494">
        <f>'Exhibit B,S2'!W42-'Exhibit B,S3'!W42</f>
        <v>-695378.25107550249</v>
      </c>
      <c r="AP42" s="187"/>
      <c r="AQ42" s="494">
        <f t="shared" si="8"/>
        <v>-2764781.2385883331</v>
      </c>
      <c r="AR42" s="1"/>
      <c r="AS42" s="1"/>
    </row>
    <row r="43" spans="1:45">
      <c r="A43" s="6">
        <f t="shared" si="9"/>
        <v>2020</v>
      </c>
      <c r="B43" s="1"/>
      <c r="C43" s="494">
        <f>'Exhibit F,1'!I42-'Exhibit F,1'!AH42</f>
        <v>2001177.9273390248</v>
      </c>
      <c r="D43" s="494"/>
      <c r="E43" s="494">
        <f>'Exhibit F,1'!K42-'Exhibit F,1'!AJ42</f>
        <v>-40963.793148273835</v>
      </c>
      <c r="F43" s="187"/>
      <c r="G43" s="494">
        <f>'Exhibit B,S2'!E43-'Exhibit B,S3'!E43</f>
        <v>-150742.91838765296</v>
      </c>
      <c r="H43" s="494"/>
      <c r="I43" s="494">
        <f>'Exhibit B,S2'!G43-'Exhibit B,S3'!G43</f>
        <v>1952158.9201777112</v>
      </c>
      <c r="J43" s="494"/>
      <c r="K43" s="494">
        <f>'Exhibit B,S2'!I43-'Exhibit B,S3'!I43</f>
        <v>191219.57115191268</v>
      </c>
      <c r="L43" s="494"/>
      <c r="M43" s="494">
        <f>'Exhibit B,S2'!K43-'Exhibit B,S3'!K43</f>
        <v>655955.04298882931</v>
      </c>
      <c r="N43" s="187"/>
      <c r="O43" s="494">
        <f t="shared" si="0"/>
        <v>4608804.7501215506</v>
      </c>
      <c r="P43" s="187"/>
      <c r="Q43" s="501">
        <f t="shared" si="1"/>
        <v>441496.34327280894</v>
      </c>
      <c r="R43" s="501"/>
      <c r="S43" s="501">
        <f t="shared" si="2"/>
        <v>-20966.842997814529</v>
      </c>
      <c r="T43" s="501"/>
      <c r="U43" s="501">
        <f t="shared" si="3"/>
        <v>141100.29592305847</v>
      </c>
      <c r="V43" s="501"/>
      <c r="W43" s="501">
        <f t="shared" si="4"/>
        <v>667842.21971511561</v>
      </c>
      <c r="X43" s="501"/>
      <c r="Y43" s="501">
        <f t="shared" si="5"/>
        <v>-37604.94482181943</v>
      </c>
      <c r="Z43" s="501"/>
      <c r="AA43" s="501">
        <f t="shared" si="6"/>
        <v>164577.90937328525</v>
      </c>
      <c r="AB43" s="501"/>
      <c r="AC43" s="494">
        <f t="shared" si="7"/>
        <v>1356444.9804646343</v>
      </c>
      <c r="AD43" s="187"/>
      <c r="AE43" s="494">
        <f>'Exhibit F,1'!M42-'Exhibit F,1'!AL42</f>
        <v>1559681.5840662159</v>
      </c>
      <c r="AF43" s="494"/>
      <c r="AG43" s="494">
        <f>'Exhibit F,1'!O42-'Exhibit F,1'!AN42</f>
        <v>-19996.950150459306</v>
      </c>
      <c r="AH43" s="187"/>
      <c r="AI43" s="494">
        <f>'Exhibit B,S2'!Q43-'Exhibit B,S3'!Q43</f>
        <v>-291843.21431071142</v>
      </c>
      <c r="AJ43" s="494"/>
      <c r="AK43" s="494">
        <f>'Exhibit B,S2'!S43-'Exhibit B,S3'!S43</f>
        <v>1284316.7004625956</v>
      </c>
      <c r="AL43" s="494"/>
      <c r="AM43" s="494">
        <f>'Exhibit B,S2'!U43-'Exhibit B,S3'!U43</f>
        <v>228824.51597373211</v>
      </c>
      <c r="AN43" s="494"/>
      <c r="AO43" s="494">
        <f>'Exhibit B,S2'!W43-'Exhibit B,S3'!W43</f>
        <v>491377.13361554407</v>
      </c>
      <c r="AP43" s="187"/>
      <c r="AQ43" s="494">
        <f t="shared" si="8"/>
        <v>3252359.7696569171</v>
      </c>
      <c r="AR43" s="1"/>
      <c r="AS43" s="1"/>
    </row>
    <row r="44" spans="1:45">
      <c r="A44" s="6">
        <f t="shared" si="9"/>
        <v>2021</v>
      </c>
      <c r="B44" s="1"/>
      <c r="C44" s="494">
        <f>'Exhibit F,1'!I43-'Exhibit F,1'!AH43</f>
        <v>-889232.78243293613</v>
      </c>
      <c r="D44" s="494"/>
      <c r="E44" s="494">
        <f>'Exhibit F,1'!K43-'Exhibit F,1'!AJ43</f>
        <v>-358679.16535830358</v>
      </c>
      <c r="F44" s="187"/>
      <c r="G44" s="494">
        <f>'Exhibit B,S2'!E44-'Exhibit B,S3'!E44</f>
        <v>-258878.83033789601</v>
      </c>
      <c r="H44" s="494"/>
      <c r="I44" s="494">
        <f>'Exhibit B,S2'!G44-'Exhibit B,S3'!G44</f>
        <v>1716334.6171317869</v>
      </c>
      <c r="J44" s="494"/>
      <c r="K44" s="494">
        <f>'Exhibit B,S2'!I44-'Exhibit B,S3'!I44</f>
        <v>3103392.9477197807</v>
      </c>
      <c r="L44" s="494"/>
      <c r="M44" s="494">
        <f>'Exhibit B,S2'!K44-'Exhibit B,S3'!K44</f>
        <v>1818258.8818556457</v>
      </c>
      <c r="N44" s="187"/>
      <c r="O44" s="494">
        <f t="shared" si="0"/>
        <v>5131195.6685780771</v>
      </c>
      <c r="P44" s="187"/>
      <c r="Q44" s="501">
        <f t="shared" si="1"/>
        <v>-203368.7696849592</v>
      </c>
      <c r="R44" s="501"/>
      <c r="S44" s="501">
        <f t="shared" si="2"/>
        <v>-30380.008107481757</v>
      </c>
      <c r="T44" s="501"/>
      <c r="U44" s="501">
        <f t="shared" si="3"/>
        <v>251672.2289508977</v>
      </c>
      <c r="V44" s="501"/>
      <c r="W44" s="501">
        <f t="shared" si="4"/>
        <v>366557.67626633588</v>
      </c>
      <c r="X44" s="501"/>
      <c r="Y44" s="501">
        <f t="shared" si="5"/>
        <v>431508.03730817325</v>
      </c>
      <c r="Z44" s="501"/>
      <c r="AA44" s="501">
        <f t="shared" si="6"/>
        <v>339803.54609662597</v>
      </c>
      <c r="AB44" s="501"/>
      <c r="AC44" s="494">
        <f t="shared" si="7"/>
        <v>1155792.7108295918</v>
      </c>
      <c r="AD44" s="187"/>
      <c r="AE44" s="494">
        <f>'Exhibit F,1'!M43-'Exhibit F,1'!AL43</f>
        <v>-685864.01274797693</v>
      </c>
      <c r="AF44" s="494"/>
      <c r="AG44" s="494">
        <f>'Exhibit F,1'!O43-'Exhibit F,1'!AN43</f>
        <v>-328299.15725082182</v>
      </c>
      <c r="AH44" s="187"/>
      <c r="AI44" s="494">
        <f>'Exhibit B,S2'!Q44-'Exhibit B,S3'!Q44</f>
        <v>-510551.05928879371</v>
      </c>
      <c r="AJ44" s="494"/>
      <c r="AK44" s="494">
        <f>'Exhibit B,S2'!S44-'Exhibit B,S3'!S44</f>
        <v>1349776.940865451</v>
      </c>
      <c r="AL44" s="494"/>
      <c r="AM44" s="494">
        <f>'Exhibit B,S2'!U44-'Exhibit B,S3'!U44</f>
        <v>2671884.9104116075</v>
      </c>
      <c r="AN44" s="494"/>
      <c r="AO44" s="494">
        <f>'Exhibit B,S2'!W44-'Exhibit B,S3'!W44</f>
        <v>1478455.3357590197</v>
      </c>
      <c r="AP44" s="187"/>
      <c r="AQ44" s="494">
        <f t="shared" si="8"/>
        <v>3975402.9577484857</v>
      </c>
      <c r="AR44" s="1"/>
      <c r="AS44" s="1"/>
    </row>
    <row r="45" spans="1:45">
      <c r="A45" s="6">
        <f t="shared" si="9"/>
        <v>2022</v>
      </c>
      <c r="B45" s="1"/>
      <c r="C45" s="20"/>
      <c r="D45" s="20"/>
      <c r="E45" s="20"/>
      <c r="F45" s="18"/>
      <c r="G45" s="20"/>
      <c r="H45" s="20"/>
      <c r="I45" s="20"/>
      <c r="J45" s="20"/>
      <c r="K45" s="20"/>
      <c r="L45" s="20"/>
      <c r="M45" s="20"/>
      <c r="N45" s="18"/>
      <c r="O45" s="20"/>
      <c r="P45" s="18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20"/>
      <c r="AF45" s="18"/>
      <c r="AG45" s="18"/>
      <c r="AH45" s="18"/>
      <c r="AI45" s="20"/>
      <c r="AJ45" s="20"/>
      <c r="AK45" s="20"/>
      <c r="AL45" s="20"/>
      <c r="AM45" s="20"/>
      <c r="AN45" s="20"/>
      <c r="AO45" s="20"/>
      <c r="AP45" s="18"/>
      <c r="AQ45" s="20"/>
      <c r="AR45" s="1"/>
      <c r="AS45" s="1"/>
    </row>
    <row r="46" spans="1:45">
      <c r="A46" s="1"/>
      <c r="B46" s="1"/>
      <c r="C46" s="200"/>
      <c r="D46" s="18"/>
      <c r="E46" s="200"/>
      <c r="F46" s="18"/>
      <c r="G46" s="200"/>
      <c r="H46" s="18"/>
      <c r="I46" s="200"/>
      <c r="J46" s="18"/>
      <c r="K46" s="200"/>
      <c r="L46" s="18"/>
      <c r="M46" s="200"/>
      <c r="N46" s="18"/>
      <c r="O46" s="200"/>
      <c r="P46" s="18"/>
      <c r="Q46" s="200"/>
      <c r="R46" s="18"/>
      <c r="S46" s="200"/>
      <c r="T46" s="18"/>
      <c r="U46" s="200"/>
      <c r="V46" s="18"/>
      <c r="W46" s="200"/>
      <c r="X46" s="1"/>
      <c r="Y46" s="200"/>
      <c r="Z46" s="18"/>
      <c r="AA46" s="200"/>
      <c r="AB46" s="1"/>
      <c r="AC46" s="200"/>
      <c r="AD46" s="1"/>
      <c r="AE46" s="200"/>
      <c r="AF46" s="18"/>
      <c r="AG46" s="200"/>
      <c r="AH46" s="18"/>
      <c r="AI46" s="200"/>
      <c r="AJ46" s="18"/>
      <c r="AK46" s="200"/>
      <c r="AL46" s="18"/>
      <c r="AM46" s="200"/>
      <c r="AN46" s="18"/>
      <c r="AO46" s="200"/>
      <c r="AP46" s="18"/>
      <c r="AQ46" s="200"/>
      <c r="AR46" s="1"/>
      <c r="AS46" s="1"/>
    </row>
    <row r="47" spans="1:45">
      <c r="A47" s="2" t="s">
        <v>0</v>
      </c>
      <c r="B47" s="1"/>
      <c r="C47" s="19">
        <f>SUM(C17:C46)</f>
        <v>-1059165.4660074525</v>
      </c>
      <c r="D47" s="19"/>
      <c r="E47" s="19">
        <f>SUM(E17:E46)</f>
        <v>-71404.835104628699</v>
      </c>
      <c r="F47" s="19"/>
      <c r="G47" s="19">
        <f>SUM(G17:G46)</f>
        <v>-893195.03650594852</v>
      </c>
      <c r="H47" s="19"/>
      <c r="I47" s="66">
        <f>SUM(I17:I46)</f>
        <v>-6621143.8907656856</v>
      </c>
      <c r="J47" s="19"/>
      <c r="K47" s="19">
        <f>SUM(K17:K46)</f>
        <v>1499003.1437978153</v>
      </c>
      <c r="L47" s="19"/>
      <c r="M47" s="19">
        <f>SUM(M17:M46)</f>
        <v>5670809.4045565072</v>
      </c>
      <c r="N47" s="19"/>
      <c r="O47" s="19">
        <f>SUM(O17:O46)</f>
        <v>-1475096.6800293941</v>
      </c>
      <c r="P47" s="19"/>
      <c r="Q47" s="19">
        <f>SUM(Q17:Q46)</f>
        <v>1091120.3829639666</v>
      </c>
      <c r="R47" s="1"/>
      <c r="S47" s="19">
        <f>SUM(S17:S46)</f>
        <v>-442961.19928661524</v>
      </c>
      <c r="T47" s="1"/>
      <c r="U47" s="19">
        <f>SUM(U17:U46)</f>
        <v>220767.5236452464</v>
      </c>
      <c r="V47" s="1"/>
      <c r="W47" s="19">
        <f>SUM(W17:W46)</f>
        <v>-47147.5704980148</v>
      </c>
      <c r="X47" s="1"/>
      <c r="Y47" s="19">
        <f>SUM(Y17:Y46)</f>
        <v>607760.05317200907</v>
      </c>
      <c r="Z47" s="1"/>
      <c r="AA47" s="19">
        <f>SUM(AA17:AA46)</f>
        <v>-594078.74357706844</v>
      </c>
      <c r="AB47" s="1"/>
      <c r="AC47" s="20">
        <f>SUM(Q47:AA47)</f>
        <v>835460.44641952356</v>
      </c>
      <c r="AD47" s="1"/>
      <c r="AE47" s="19">
        <f>SUM(AE17:AE46)</f>
        <v>-2150285.848971419</v>
      </c>
      <c r="AF47" s="19"/>
      <c r="AG47" s="19">
        <f>SUM(AG17:AG46)</f>
        <v>371556.36418198654</v>
      </c>
      <c r="AH47" s="19"/>
      <c r="AI47" s="19">
        <f>SUM(AI17:AI46)</f>
        <v>-1113962.5601511954</v>
      </c>
      <c r="AJ47" s="19"/>
      <c r="AK47" s="66">
        <f>SUM(AK17:AK46)</f>
        <v>-6573996.3202676717</v>
      </c>
      <c r="AL47" s="19"/>
      <c r="AM47" s="19">
        <f>SUM(AM17:AM46)</f>
        <v>891243.09062580625</v>
      </c>
      <c r="AN47" s="19"/>
      <c r="AO47" s="19">
        <f>SUM(AO17:AO46)</f>
        <v>6264888.148133575</v>
      </c>
      <c r="AP47" s="19"/>
      <c r="AQ47" s="19">
        <f>SUM(AQ17:AQ46)</f>
        <v>-2310557.1264489163</v>
      </c>
      <c r="AR47" s="1"/>
      <c r="AS47" s="1"/>
    </row>
    <row r="48" spans="1:4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>
      <c r="A49" s="1"/>
      <c r="B49" s="1"/>
      <c r="C49" s="1"/>
      <c r="D49" s="1"/>
      <c r="E49" s="19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9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>
      <c r="A50" s="23" t="s">
        <v>1429</v>
      </c>
      <c r="B50" s="1"/>
      <c r="C50" s="1" t="s">
        <v>1430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>
      <c r="A51" s="64" t="s">
        <v>36</v>
      </c>
      <c r="B51" s="1"/>
      <c r="C51" s="1" t="s">
        <v>1431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>
      <c r="A52" s="64" t="s">
        <v>1432</v>
      </c>
      <c r="B52" s="1"/>
      <c r="C52" s="1" t="s">
        <v>1543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>
      <c r="A53" s="64" t="s">
        <v>31</v>
      </c>
      <c r="B53" s="1"/>
      <c r="C53" s="1" t="s">
        <v>1433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>
      <c r="A54" s="64" t="s">
        <v>1444</v>
      </c>
      <c r="B54" s="1"/>
      <c r="C54" s="1" t="s">
        <v>1439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>
      <c r="A55" s="64" t="s">
        <v>571</v>
      </c>
      <c r="B55" s="1"/>
      <c r="C55" s="1" t="s">
        <v>1445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>
      <c r="A56" s="64" t="s">
        <v>599</v>
      </c>
      <c r="B56" s="1"/>
      <c r="C56" s="1" t="s">
        <v>1544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>
      <c r="A57" s="64" t="s">
        <v>592</v>
      </c>
      <c r="B57" s="1"/>
      <c r="C57" s="1" t="s">
        <v>1545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>
      <c r="A58" s="64" t="s">
        <v>1440</v>
      </c>
      <c r="B58" s="1"/>
      <c r="C58" s="1" t="s">
        <v>1441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>
      <c r="A59" s="64" t="s">
        <v>1442</v>
      </c>
      <c r="B59" s="1"/>
      <c r="C59" s="1" t="s">
        <v>1443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</sheetData>
  <printOptions horizontalCentered="1"/>
  <pageMargins left="0.25" right="0.25" top="0.75" bottom="0.75" header="0.3" footer="0.3"/>
  <pageSetup paperSize="5" scale="4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2">
    <pageSetUpPr fitToPage="1"/>
  </sheetPr>
  <dimension ref="A1:CT210"/>
  <sheetViews>
    <sheetView topLeftCell="E95" zoomScale="90" zoomScaleNormal="90" workbookViewId="0">
      <selection activeCell="W134" sqref="W134"/>
    </sheetView>
  </sheetViews>
  <sheetFormatPr baseColWidth="10" defaultColWidth="8.7109375" defaultRowHeight="15"/>
  <cols>
    <col min="1" max="1" width="10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3.7109375" style="1" customWidth="1"/>
    <col min="14" max="14" width="2.7109375" style="1" customWidth="1"/>
    <col min="15" max="15" width="12.7109375" style="1" customWidth="1"/>
    <col min="16" max="16" width="1.7109375" style="1" customWidth="1"/>
    <col min="17" max="17" width="12.7109375" style="1" customWidth="1"/>
    <col min="18" max="18" width="1.7109375" style="1" customWidth="1"/>
    <col min="19" max="19" width="12.7109375" style="1" customWidth="1"/>
    <col min="20" max="20" width="1.7109375" style="1" customWidth="1"/>
    <col min="21" max="21" width="11.7109375" style="1" customWidth="1"/>
    <col min="22" max="22" width="1.7109375" style="1" customWidth="1"/>
    <col min="23" max="23" width="11.7109375" style="1" customWidth="1"/>
    <col min="24" max="24" width="1.7109375" style="1" customWidth="1"/>
    <col min="25" max="25" width="13.7109375" style="1" customWidth="1"/>
    <col min="26" max="26" width="7.28515625" style="1" customWidth="1"/>
    <col min="27" max="27" width="13.28515625" style="1" bestFit="1" customWidth="1"/>
    <col min="28" max="28" width="15.140625" style="1" bestFit="1" customWidth="1"/>
    <col min="29" max="29" width="18.28515625" style="1" bestFit="1" customWidth="1"/>
    <col min="30" max="31" width="13.7109375" style="1" bestFit="1" customWidth="1"/>
    <col min="32" max="32" width="15" style="1" bestFit="1" customWidth="1"/>
    <col min="33" max="35" width="14" style="1" bestFit="1" customWidth="1"/>
    <col min="36" max="36" width="13.7109375" style="1" bestFit="1" customWidth="1"/>
    <col min="37" max="37" width="12.7109375" style="1" customWidth="1"/>
    <col min="38" max="38" width="14.85546875" style="1" bestFit="1" customWidth="1"/>
    <col min="39" max="39" width="12.28515625" style="1" bestFit="1" customWidth="1"/>
    <col min="40" max="78" width="12.7109375" style="1" customWidth="1"/>
    <col min="79" max="80" width="8.7109375" style="1"/>
    <col min="81" max="81" width="1.7109375" style="1" customWidth="1"/>
    <col min="82" max="82" width="12.7109375" style="1" customWidth="1"/>
    <col min="83" max="83" width="1.7109375" style="1" customWidth="1"/>
    <col min="84" max="84" width="12.7109375" style="1" customWidth="1"/>
    <col min="85" max="85" width="1.7109375" style="1" customWidth="1"/>
    <col min="86" max="86" width="12.7109375" style="1" customWidth="1"/>
    <col min="87" max="87" width="1.7109375" style="1" customWidth="1"/>
    <col min="88" max="88" width="12.7109375" style="1" customWidth="1"/>
    <col min="89" max="89" width="1.7109375" style="1" customWidth="1"/>
    <col min="90" max="90" width="12.7109375" style="1" customWidth="1"/>
    <col min="91" max="91" width="1.7109375" style="1" customWidth="1"/>
    <col min="92" max="94" width="12.7109375" style="1" customWidth="1"/>
    <col min="95" max="95" width="1.7109375" style="1" customWidth="1"/>
    <col min="96" max="96" width="12.7109375" style="1" customWidth="1"/>
    <col min="97" max="97" width="1.7109375" style="1" customWidth="1"/>
    <col min="98" max="98" width="12.7109375" style="1" customWidth="1"/>
    <col min="99" max="99" width="1.7109375" style="1" customWidth="1"/>
    <col min="100" max="100" width="12.7109375" style="1" customWidth="1"/>
    <col min="101" max="101" width="1.7109375" style="1" customWidth="1"/>
    <col min="102" max="102" width="12.7109375" style="1" customWidth="1"/>
    <col min="103" max="103" width="1.7109375" style="1" customWidth="1"/>
    <col min="104" max="104" width="12.7109375" style="1" customWidth="1"/>
    <col min="105" max="16384" width="8.7109375" style="1"/>
  </cols>
  <sheetData>
    <row r="1" spans="1:98">
      <c r="Y1" s="64" t="s">
        <v>116</v>
      </c>
    </row>
    <row r="2" spans="1:98">
      <c r="Y2" s="64" t="s">
        <v>45</v>
      </c>
    </row>
    <row r="4" spans="1:98" ht="16">
      <c r="A4" s="4" t="s">
        <v>872</v>
      </c>
      <c r="B4" s="4"/>
      <c r="C4" s="4"/>
      <c r="D4" s="4"/>
      <c r="E4" s="4"/>
      <c r="F4" s="4"/>
      <c r="G4" s="4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</row>
    <row r="5" spans="1:98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</row>
    <row r="6" spans="1:98">
      <c r="A6" s="5" t="s">
        <v>183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</row>
    <row r="7" spans="1:98">
      <c r="A7" s="133" t="s">
        <v>431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</row>
    <row r="10" spans="1:98">
      <c r="D10" s="3"/>
      <c r="P10" s="3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223"/>
      <c r="AO10" s="173"/>
      <c r="AP10" s="173"/>
      <c r="AQ10" s="173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223"/>
      <c r="BF10" s="173"/>
      <c r="BG10" s="169"/>
      <c r="BH10" s="300"/>
      <c r="BI10" s="300"/>
      <c r="BJ10" s="301"/>
      <c r="BK10" s="61"/>
      <c r="BL10" s="61"/>
      <c r="BM10" s="61"/>
      <c r="BN10" s="61"/>
      <c r="BO10" s="61"/>
      <c r="BP10" s="61"/>
      <c r="CH10" s="6"/>
      <c r="CT10" s="6"/>
    </row>
    <row r="11" spans="1:98" ht="16">
      <c r="N11" s="2"/>
      <c r="X11" s="2"/>
      <c r="Y11" s="2"/>
      <c r="AA11" s="121" t="s">
        <v>515</v>
      </c>
      <c r="AB11" s="61"/>
      <c r="AC11" s="61"/>
      <c r="AD11" s="61"/>
      <c r="AE11" s="61"/>
      <c r="AF11" s="61"/>
      <c r="AG11" s="61"/>
      <c r="AH11" s="61"/>
      <c r="AI11" s="61"/>
      <c r="AJ11" s="61"/>
      <c r="AK11" s="25" t="s">
        <v>1759</v>
      </c>
      <c r="AL11" s="61"/>
      <c r="AM11" s="61"/>
      <c r="AN11" s="172"/>
      <c r="AO11" s="173" t="s">
        <v>1755</v>
      </c>
      <c r="AP11" s="173"/>
      <c r="AQ11" s="173"/>
      <c r="AR11" s="121" t="s">
        <v>733</v>
      </c>
      <c r="AS11" s="61"/>
      <c r="AT11" s="61"/>
      <c r="AU11" s="61"/>
      <c r="AV11" s="61"/>
      <c r="AW11" s="61"/>
      <c r="AX11" s="61"/>
      <c r="AY11" s="61"/>
      <c r="AZ11" s="61"/>
      <c r="BA11" s="61"/>
      <c r="BB11" s="25" t="s">
        <v>1759</v>
      </c>
      <c r="BC11" s="61"/>
      <c r="BD11" s="61"/>
      <c r="BE11" s="172"/>
      <c r="BG11" s="169"/>
      <c r="BH11" s="301"/>
      <c r="BI11" s="300"/>
      <c r="BJ11" s="301"/>
      <c r="BK11" s="61"/>
    </row>
    <row r="12" spans="1:98" ht="16">
      <c r="A12" s="6" t="s">
        <v>3</v>
      </c>
      <c r="C12" s="7" t="s">
        <v>460</v>
      </c>
      <c r="D12" s="8"/>
      <c r="E12" s="8"/>
      <c r="F12" s="8"/>
      <c r="G12" s="8"/>
      <c r="H12" s="8"/>
      <c r="I12" s="8"/>
      <c r="J12" s="8"/>
      <c r="K12" s="8"/>
      <c r="N12" s="2"/>
      <c r="O12" s="7" t="s">
        <v>118</v>
      </c>
      <c r="P12" s="8"/>
      <c r="Q12" s="8"/>
      <c r="R12" s="8"/>
      <c r="S12" s="8"/>
      <c r="T12" s="8"/>
      <c r="U12" s="8"/>
      <c r="V12" s="8"/>
      <c r="W12" s="8"/>
      <c r="X12" s="2"/>
      <c r="Y12" s="2"/>
      <c r="AA12" s="25" t="s">
        <v>3</v>
      </c>
      <c r="AB12" s="61"/>
      <c r="AC12" s="255" t="s">
        <v>460</v>
      </c>
      <c r="AD12" s="256"/>
      <c r="AE12" s="256"/>
      <c r="AF12" s="256"/>
      <c r="AG12" s="256"/>
      <c r="AH12" s="256"/>
      <c r="AI12" s="256"/>
      <c r="AJ12" s="256"/>
      <c r="AK12" s="25" t="s">
        <v>1761</v>
      </c>
      <c r="AL12" s="256"/>
      <c r="AO12" s="25" t="s">
        <v>706</v>
      </c>
      <c r="AQ12" s="230"/>
      <c r="AR12" s="25" t="s">
        <v>3</v>
      </c>
      <c r="AS12" s="61"/>
      <c r="AT12" s="255" t="s">
        <v>734</v>
      </c>
      <c r="AU12" s="256"/>
      <c r="AV12" s="256"/>
      <c r="AW12" s="256"/>
      <c r="AX12" s="256"/>
      <c r="AY12" s="256"/>
      <c r="AZ12" s="256"/>
      <c r="BA12" s="256"/>
      <c r="BB12" s="25" t="s">
        <v>1761</v>
      </c>
      <c r="BC12" s="256"/>
      <c r="BD12" s="61"/>
      <c r="BE12" s="172"/>
      <c r="BG12" s="610" t="s">
        <v>287</v>
      </c>
      <c r="BH12" s="610" t="s">
        <v>287</v>
      </c>
      <c r="BI12" s="97" t="s">
        <v>0</v>
      </c>
      <c r="BJ12" s="301"/>
      <c r="BK12" s="61"/>
    </row>
    <row r="13" spans="1:98">
      <c r="A13" s="6" t="s">
        <v>4</v>
      </c>
      <c r="C13" s="2" t="s">
        <v>115</v>
      </c>
      <c r="E13" s="2" t="s">
        <v>646</v>
      </c>
      <c r="G13" s="2" t="s">
        <v>505</v>
      </c>
      <c r="I13" s="2" t="s">
        <v>329</v>
      </c>
      <c r="K13" s="2" t="s">
        <v>478</v>
      </c>
      <c r="M13" s="2" t="s">
        <v>0</v>
      </c>
      <c r="O13" s="2" t="s">
        <v>115</v>
      </c>
      <c r="Q13" s="2" t="s">
        <v>646</v>
      </c>
      <c r="S13" s="2" t="s">
        <v>505</v>
      </c>
      <c r="U13" s="2" t="s">
        <v>329</v>
      </c>
      <c r="W13" s="2" t="s">
        <v>478</v>
      </c>
      <c r="Y13" s="2" t="s">
        <v>0</v>
      </c>
      <c r="AA13" s="25" t="s">
        <v>4</v>
      </c>
      <c r="AB13" s="97" t="s">
        <v>516</v>
      </c>
      <c r="AC13" s="97" t="s">
        <v>517</v>
      </c>
      <c r="AD13" s="25" t="s">
        <v>518</v>
      </c>
      <c r="AE13" s="97" t="s">
        <v>519</v>
      </c>
      <c r="AF13" s="97" t="s">
        <v>520</v>
      </c>
      <c r="AG13" s="97" t="s">
        <v>521</v>
      </c>
      <c r="AH13" s="25" t="s">
        <v>522</v>
      </c>
      <c r="AI13" s="97" t="s">
        <v>329</v>
      </c>
      <c r="AJ13" s="97" t="s">
        <v>478</v>
      </c>
      <c r="AK13" s="25" t="s">
        <v>1760</v>
      </c>
      <c r="AL13" s="97" t="s">
        <v>0</v>
      </c>
      <c r="AM13" s="25" t="s">
        <v>706</v>
      </c>
      <c r="AN13" s="25" t="s">
        <v>18</v>
      </c>
      <c r="AO13" s="25" t="s">
        <v>18</v>
      </c>
      <c r="AQ13" s="230"/>
      <c r="AR13" s="25" t="s">
        <v>4</v>
      </c>
      <c r="AS13" s="97"/>
      <c r="AT13" s="97" t="s">
        <v>664</v>
      </c>
      <c r="AU13" s="25"/>
      <c r="AV13" s="97" t="s">
        <v>736</v>
      </c>
      <c r="AW13" s="97" t="s">
        <v>520</v>
      </c>
      <c r="AX13" s="97" t="s">
        <v>521</v>
      </c>
      <c r="AY13" s="25" t="s">
        <v>522</v>
      </c>
      <c r="AZ13" s="97" t="s">
        <v>329</v>
      </c>
      <c r="BA13" s="97" t="s">
        <v>478</v>
      </c>
      <c r="BB13" s="25" t="s">
        <v>1760</v>
      </c>
      <c r="BC13" s="97" t="s">
        <v>0</v>
      </c>
      <c r="BD13" s="25" t="s">
        <v>706</v>
      </c>
      <c r="BE13" s="25" t="s">
        <v>18</v>
      </c>
      <c r="BG13" s="25" t="s">
        <v>1757</v>
      </c>
      <c r="BH13" s="25" t="s">
        <v>1757</v>
      </c>
      <c r="BI13" s="25" t="s">
        <v>1758</v>
      </c>
      <c r="BJ13" s="25" t="s">
        <v>18</v>
      </c>
      <c r="BK13" s="61"/>
    </row>
    <row r="14" spans="1:98">
      <c r="A14" s="9">
        <v>-1</v>
      </c>
      <c r="C14" s="10">
        <v>-2</v>
      </c>
      <c r="E14" s="9">
        <v>-3</v>
      </c>
      <c r="G14" s="9">
        <v>-4</v>
      </c>
      <c r="I14" s="9">
        <v>-5</v>
      </c>
      <c r="K14" s="9">
        <v>-6</v>
      </c>
      <c r="M14" s="9">
        <v>-7</v>
      </c>
      <c r="O14" s="9">
        <v>-8</v>
      </c>
      <c r="Q14" s="9">
        <v>-9</v>
      </c>
      <c r="S14" s="9">
        <v>-10</v>
      </c>
      <c r="U14" s="9">
        <v>-11</v>
      </c>
      <c r="W14" s="9">
        <v>-12</v>
      </c>
      <c r="Y14" s="9">
        <v>-13</v>
      </c>
      <c r="AA14" s="193">
        <v>-1</v>
      </c>
      <c r="AB14" s="61"/>
      <c r="AC14" s="143"/>
      <c r="AD14" s="61"/>
      <c r="AE14" s="193"/>
      <c r="AF14" s="193"/>
      <c r="AG14" s="193"/>
      <c r="AH14" s="61"/>
      <c r="AI14" s="193"/>
      <c r="AJ14" s="61"/>
      <c r="AK14" s="193"/>
      <c r="AL14" s="193"/>
      <c r="AM14" s="61"/>
      <c r="AQ14" s="25"/>
      <c r="AR14" s="193">
        <v>-1</v>
      </c>
      <c r="AS14" s="143"/>
      <c r="AT14" s="143"/>
      <c r="AU14" s="143"/>
      <c r="AV14" s="193"/>
      <c r="AW14" s="193"/>
      <c r="AX14" s="193"/>
      <c r="AY14" s="61"/>
      <c r="AZ14" s="193"/>
      <c r="BA14" s="61"/>
      <c r="BB14" s="193"/>
      <c r="BC14" s="193"/>
      <c r="BD14" s="61"/>
      <c r="BG14" s="169"/>
      <c r="BJ14" s="164"/>
      <c r="BK14" s="61"/>
    </row>
    <row r="15" spans="1:98">
      <c r="A15" s="11"/>
      <c r="C15" s="11"/>
      <c r="E15" s="11"/>
      <c r="G15" s="11"/>
      <c r="I15" s="11"/>
      <c r="K15" s="11"/>
      <c r="M15" s="11"/>
      <c r="O15" s="11"/>
      <c r="Q15" s="11"/>
      <c r="S15" s="11"/>
      <c r="U15" s="11"/>
      <c r="W15" s="11"/>
      <c r="Y15" s="11"/>
      <c r="AA15" s="164"/>
      <c r="AB15" s="61"/>
      <c r="AC15" s="164">
        <f>AB23+AC23+AD23+AE23</f>
        <v>45510428.719999999</v>
      </c>
      <c r="AD15" s="172">
        <v>37643921.560000017</v>
      </c>
      <c r="AE15" s="164"/>
      <c r="AF15" s="164"/>
      <c r="AG15" s="164"/>
      <c r="AH15" s="61"/>
      <c r="AI15" s="164"/>
      <c r="AJ15" s="61"/>
      <c r="AK15" s="164"/>
      <c r="AL15" s="61"/>
      <c r="AM15" s="164"/>
      <c r="AQ15" s="173"/>
      <c r="AR15" s="164"/>
      <c r="AS15" s="61"/>
      <c r="AT15" s="164"/>
      <c r="AU15" s="61"/>
      <c r="AV15" s="164"/>
      <c r="AW15" s="164"/>
      <c r="AX15" s="164"/>
      <c r="AY15" s="61"/>
      <c r="AZ15" s="164"/>
      <c r="BA15" s="61"/>
      <c r="BB15" s="164"/>
      <c r="BC15" s="61"/>
      <c r="BD15" s="164"/>
      <c r="BG15" s="169"/>
      <c r="BH15" s="300"/>
      <c r="BI15" s="300"/>
      <c r="BJ15" s="300"/>
      <c r="BK15" s="61"/>
    </row>
    <row r="16" spans="1:98"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1"/>
      <c r="AS16" s="61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</row>
    <row r="17" spans="1:92">
      <c r="A17" s="6">
        <v>1994</v>
      </c>
      <c r="C17" s="147">
        <f>'Exhibit J,1'!I16</f>
        <v>34683046.140000001</v>
      </c>
      <c r="D17" s="147"/>
      <c r="E17" s="494">
        <v>0</v>
      </c>
      <c r="F17" s="187"/>
      <c r="G17" s="494">
        <v>0</v>
      </c>
      <c r="H17" s="187"/>
      <c r="I17" s="494">
        <v>0</v>
      </c>
      <c r="J17" s="147"/>
      <c r="K17" s="594">
        <v>0</v>
      </c>
      <c r="L17" s="147"/>
      <c r="M17" s="497">
        <f>SUM(C17:K17)</f>
        <v>34683046.140000001</v>
      </c>
      <c r="N17" s="147"/>
      <c r="O17" s="147">
        <f>C17-('Exhibit E,1'!I16)</f>
        <v>22152982.66</v>
      </c>
      <c r="P17" s="147"/>
      <c r="Q17" s="147"/>
      <c r="R17" s="147"/>
      <c r="S17" s="147"/>
      <c r="T17" s="147"/>
      <c r="U17" s="147"/>
      <c r="V17" s="147"/>
      <c r="W17" s="147"/>
      <c r="X17" s="147"/>
      <c r="Y17" s="497">
        <f>SUM(O17:W17)</f>
        <v>22152982.66</v>
      </c>
      <c r="AA17" s="25">
        <v>1994</v>
      </c>
      <c r="AB17" s="122">
        <f>'Exhibit O,3'!I16</f>
        <v>25659084.629999999</v>
      </c>
      <c r="AC17" s="223">
        <f>'Exhibit N,3'!I16</f>
        <v>9014361.5099999998</v>
      </c>
      <c r="AD17" s="223">
        <f>'Exhibit M,3'!I16</f>
        <v>9600</v>
      </c>
      <c r="AE17" s="223">
        <f>'Exhibit L,3'!I16</f>
        <v>0</v>
      </c>
      <c r="AF17" s="223"/>
      <c r="AG17" s="223"/>
      <c r="AH17" s="223"/>
      <c r="AI17" s="223"/>
      <c r="AJ17" s="223"/>
      <c r="AK17" s="223"/>
      <c r="AL17" s="223">
        <f>SUM(AB17:AJ17)</f>
        <v>34683046.140000001</v>
      </c>
      <c r="AM17" s="303"/>
      <c r="AN17" s="172"/>
      <c r="AO17" s="39"/>
      <c r="AP17" s="31"/>
      <c r="AQ17" s="173"/>
      <c r="AR17" s="25">
        <v>1994</v>
      </c>
      <c r="AS17" s="122"/>
      <c r="AT17" s="137">
        <f>AB17+AC17-'Exhibit H,5'!C16</f>
        <v>22143382.66</v>
      </c>
      <c r="AU17" s="137"/>
      <c r="AV17" s="137">
        <f>AD17+AE17-'Exhibit G,3'!G16</f>
        <v>9600</v>
      </c>
      <c r="AW17" s="137"/>
      <c r="AY17" s="223"/>
      <c r="BB17" s="223"/>
      <c r="BC17" s="137">
        <f t="shared" ref="BC17:BC45" si="0">SUM(AS17:BA17)</f>
        <v>22152982.66</v>
      </c>
      <c r="BD17" s="303"/>
      <c r="BE17" s="172"/>
      <c r="BF17" s="39"/>
      <c r="BG17" s="169"/>
      <c r="BH17" s="18"/>
      <c r="BI17" s="300"/>
      <c r="BJ17" s="304"/>
      <c r="BK17" s="198"/>
      <c r="CB17" s="198"/>
      <c r="CC17" s="198"/>
    </row>
    <row r="18" spans="1:92">
      <c r="A18" s="6">
        <f>A17+1</f>
        <v>1995</v>
      </c>
      <c r="C18" s="494">
        <f>'Exhibit J,1'!I17</f>
        <v>53979371.119999997</v>
      </c>
      <c r="D18" s="187"/>
      <c r="E18" s="494">
        <v>0</v>
      </c>
      <c r="F18" s="187"/>
      <c r="G18" s="494">
        <v>0</v>
      </c>
      <c r="H18" s="187"/>
      <c r="I18" s="494">
        <v>0</v>
      </c>
      <c r="J18" s="187"/>
      <c r="K18" s="494">
        <v>0</v>
      </c>
      <c r="L18" s="187"/>
      <c r="M18" s="494">
        <f t="shared" ref="M18:M45" si="1">SUM(C18:K18)</f>
        <v>53979371.119999997</v>
      </c>
      <c r="N18" s="187"/>
      <c r="O18" s="494">
        <f>C18-('Exhibit E,1'!I17)</f>
        <v>25982509.75</v>
      </c>
      <c r="P18" s="187"/>
      <c r="Q18" s="187"/>
      <c r="R18" s="187"/>
      <c r="S18" s="187"/>
      <c r="T18" s="187"/>
      <c r="U18" s="187"/>
      <c r="V18" s="187"/>
      <c r="W18" s="187"/>
      <c r="X18" s="187"/>
      <c r="Y18" s="494">
        <f t="shared" ref="Y18:Y44" si="2">SUM(O18:W18)</f>
        <v>25982509.75</v>
      </c>
      <c r="AA18" s="25">
        <f>AA17+1</f>
        <v>1995</v>
      </c>
      <c r="AB18" s="137">
        <f>'Exhibit O,3'!I17</f>
        <v>27896034.309999995</v>
      </c>
      <c r="AC18" s="137">
        <f>'Exhibit N,3'!I17</f>
        <v>25158701.43</v>
      </c>
      <c r="AD18" s="137">
        <f>'Exhibit M,3'!I17</f>
        <v>674635.38</v>
      </c>
      <c r="AE18" s="137">
        <f>'Exhibit L,3'!I17</f>
        <v>250000</v>
      </c>
      <c r="AF18" s="172"/>
      <c r="AG18" s="172"/>
      <c r="AH18" s="172"/>
      <c r="AI18" s="172"/>
      <c r="AJ18" s="172"/>
      <c r="AK18" s="172"/>
      <c r="AL18" s="137">
        <f t="shared" ref="AL18:AL45" si="3">SUM(AB18:AJ18)</f>
        <v>53979371.119999997</v>
      </c>
      <c r="AM18" s="303"/>
      <c r="AN18" s="172"/>
      <c r="AO18" s="39"/>
      <c r="AP18" s="31"/>
      <c r="AQ18" s="173"/>
      <c r="AR18" s="25">
        <f>AR17+1</f>
        <v>1995</v>
      </c>
      <c r="AS18" s="137"/>
      <c r="AT18" s="137">
        <f>AB18+AC18-'Exhibit H,5'!C17</f>
        <v>25331942.579999998</v>
      </c>
      <c r="AU18" s="137"/>
      <c r="AV18" s="137">
        <f>AD18+AE18-'Exhibit G,3'!G17</f>
        <v>650567.16999999993</v>
      </c>
      <c r="AW18" s="137"/>
      <c r="AX18" s="172"/>
      <c r="AY18" s="172"/>
      <c r="AZ18" s="172"/>
      <c r="BA18" s="172"/>
      <c r="BB18" s="172"/>
      <c r="BC18" s="137">
        <f t="shared" si="0"/>
        <v>25982509.75</v>
      </c>
      <c r="BD18" s="303"/>
      <c r="BE18" s="172"/>
      <c r="BF18" s="39"/>
      <c r="BG18" s="169"/>
      <c r="BH18" s="18"/>
      <c r="BI18" s="300"/>
      <c r="BJ18" s="304"/>
      <c r="BK18" s="198"/>
      <c r="CB18" s="198"/>
      <c r="CC18" s="198"/>
    </row>
    <row r="19" spans="1:92">
      <c r="A19" s="6">
        <f t="shared" ref="A19:A45" si="4">A18+1</f>
        <v>1996</v>
      </c>
      <c r="C19" s="494">
        <f>'Exhibit J,1'!I18</f>
        <v>47587557.219999999</v>
      </c>
      <c r="D19" s="187"/>
      <c r="E19" s="494">
        <v>0</v>
      </c>
      <c r="F19" s="187"/>
      <c r="G19" s="494">
        <v>0</v>
      </c>
      <c r="H19" s="187"/>
      <c r="I19" s="494">
        <v>0</v>
      </c>
      <c r="J19" s="187"/>
      <c r="K19" s="494">
        <v>0</v>
      </c>
      <c r="L19" s="187"/>
      <c r="M19" s="494">
        <f t="shared" si="1"/>
        <v>47587557.219999999</v>
      </c>
      <c r="N19" s="187"/>
      <c r="O19" s="494">
        <f>C19-('Exhibit E,1'!I18)</f>
        <v>28051683.599999998</v>
      </c>
      <c r="P19" s="187"/>
      <c r="Q19" s="187"/>
      <c r="R19" s="187"/>
      <c r="S19" s="187"/>
      <c r="T19" s="187"/>
      <c r="U19" s="187"/>
      <c r="V19" s="187"/>
      <c r="W19" s="187"/>
      <c r="X19" s="187"/>
      <c r="Y19" s="494">
        <f t="shared" si="2"/>
        <v>28051683.599999998</v>
      </c>
      <c r="AA19" s="25">
        <f t="shared" ref="AA19:AA45" si="5">AA18+1</f>
        <v>1996</v>
      </c>
      <c r="AB19" s="137">
        <f>'Exhibit O,3'!I18</f>
        <v>30198928.089999996</v>
      </c>
      <c r="AC19" s="137">
        <f>'Exhibit N,3'!I18</f>
        <v>16457011</v>
      </c>
      <c r="AD19" s="137">
        <f>'Exhibit M,3'!I18</f>
        <v>931618.13</v>
      </c>
      <c r="AE19" s="137">
        <f>'Exhibit L,3'!I18</f>
        <v>0</v>
      </c>
      <c r="AF19" s="172"/>
      <c r="AG19" s="172"/>
      <c r="AH19" s="172"/>
      <c r="AI19" s="172"/>
      <c r="AJ19" s="172"/>
      <c r="AK19" s="172"/>
      <c r="AL19" s="137">
        <f t="shared" si="3"/>
        <v>47587557.219999999</v>
      </c>
      <c r="AM19" s="303"/>
      <c r="AN19" s="172"/>
      <c r="AO19" s="39"/>
      <c r="AP19" s="31"/>
      <c r="AQ19" s="173"/>
      <c r="AR19" s="25">
        <f t="shared" ref="AR19:AR45" si="6">AR18+1</f>
        <v>1996</v>
      </c>
      <c r="AS19" s="137"/>
      <c r="AT19" s="137">
        <f>AB19+AC19-'Exhibit H,5'!C18</f>
        <v>27120065.469999995</v>
      </c>
      <c r="AU19" s="137"/>
      <c r="AV19" s="137">
        <f>AD19+AE19-'Exhibit G,3'!G18</f>
        <v>931618.13</v>
      </c>
      <c r="AW19" s="137"/>
      <c r="AX19" s="172"/>
      <c r="AY19" s="172"/>
      <c r="AZ19" s="172"/>
      <c r="BA19" s="172"/>
      <c r="BB19" s="172"/>
      <c r="BC19" s="137">
        <f t="shared" si="0"/>
        <v>28051683.599999994</v>
      </c>
      <c r="BD19" s="303"/>
      <c r="BE19" s="172"/>
      <c r="BF19" s="39"/>
      <c r="BG19" s="169"/>
      <c r="BH19" s="18"/>
      <c r="BI19" s="300"/>
      <c r="BJ19" s="304"/>
      <c r="BK19" s="198"/>
      <c r="CB19" s="198"/>
      <c r="CC19" s="198"/>
      <c r="CD19" s="18"/>
      <c r="CN19" s="18"/>
    </row>
    <row r="20" spans="1:92">
      <c r="A20" s="6">
        <f t="shared" si="4"/>
        <v>1997</v>
      </c>
      <c r="C20" s="494">
        <f>'Exhibit J,1'!I19</f>
        <v>38095972.339999996</v>
      </c>
      <c r="D20" s="187"/>
      <c r="E20" s="494">
        <v>0</v>
      </c>
      <c r="F20" s="187"/>
      <c r="G20" s="494">
        <v>0</v>
      </c>
      <c r="H20" s="187"/>
      <c r="I20" s="494">
        <v>0</v>
      </c>
      <c r="J20" s="187"/>
      <c r="K20" s="494">
        <v>0</v>
      </c>
      <c r="L20" s="187"/>
      <c r="M20" s="494">
        <f t="shared" si="1"/>
        <v>38095972.339999996</v>
      </c>
      <c r="N20" s="187"/>
      <c r="O20" s="494">
        <f>C20-('Exhibit E,1'!I19)</f>
        <v>26129239.219999995</v>
      </c>
      <c r="P20" s="187"/>
      <c r="Q20" s="187"/>
      <c r="R20" s="187"/>
      <c r="S20" s="187"/>
      <c r="T20" s="187"/>
      <c r="U20" s="187"/>
      <c r="V20" s="187"/>
      <c r="W20" s="187"/>
      <c r="X20" s="187"/>
      <c r="Y20" s="494">
        <f t="shared" si="2"/>
        <v>26129239.219999995</v>
      </c>
      <c r="AA20" s="25">
        <f t="shared" si="5"/>
        <v>1997</v>
      </c>
      <c r="AB20" s="137">
        <f>'Exhibit O,3'!I19</f>
        <v>26713733.369999997</v>
      </c>
      <c r="AC20" s="137">
        <f>'Exhibit N,3'!I19</f>
        <v>9461637.870000001</v>
      </c>
      <c r="AD20" s="137">
        <f>'Exhibit M,3'!I19</f>
        <v>520601.1</v>
      </c>
      <c r="AE20" s="137">
        <f>'Exhibit L,3'!I19</f>
        <v>1400000</v>
      </c>
      <c r="AF20" s="172"/>
      <c r="AG20" s="172"/>
      <c r="AH20" s="172"/>
      <c r="AI20" s="172"/>
      <c r="AJ20" s="172"/>
      <c r="AK20" s="172"/>
      <c r="AL20" s="137">
        <f t="shared" si="3"/>
        <v>38095972.339999996</v>
      </c>
      <c r="AM20" s="303"/>
      <c r="AN20" s="172"/>
      <c r="AO20" s="39"/>
      <c r="AP20" s="31"/>
      <c r="AQ20" s="173"/>
      <c r="AR20" s="25">
        <f t="shared" si="6"/>
        <v>1997</v>
      </c>
      <c r="AS20" s="137"/>
      <c r="AT20" s="137">
        <f>AB20+AC20-'Exhibit H,5'!C19</f>
        <v>25623817.869999994</v>
      </c>
      <c r="AU20" s="137"/>
      <c r="AV20" s="137">
        <f>AD20+AE20-'Exhibit G,3'!G19</f>
        <v>505421.35000000009</v>
      </c>
      <c r="AW20" s="137"/>
      <c r="AX20" s="172"/>
      <c r="AY20" s="172"/>
      <c r="AZ20" s="172"/>
      <c r="BA20" s="172"/>
      <c r="BB20" s="172"/>
      <c r="BC20" s="137">
        <f t="shared" si="0"/>
        <v>26129239.219999995</v>
      </c>
      <c r="BD20" s="303"/>
      <c r="BE20" s="172"/>
      <c r="BF20" s="39"/>
      <c r="BG20" s="169"/>
      <c r="BH20" s="18"/>
      <c r="BI20" s="300"/>
      <c r="BJ20" s="304"/>
      <c r="BK20" s="198"/>
      <c r="CB20" s="198"/>
      <c r="CC20" s="198"/>
      <c r="CD20" s="18"/>
      <c r="CN20" s="18"/>
    </row>
    <row r="21" spans="1:92">
      <c r="A21" s="6">
        <f t="shared" si="4"/>
        <v>1998</v>
      </c>
      <c r="C21" s="494">
        <f>'Exhibit J,1'!I20</f>
        <v>54775172.740000002</v>
      </c>
      <c r="D21" s="187"/>
      <c r="E21" s="494">
        <v>0</v>
      </c>
      <c r="F21" s="187"/>
      <c r="G21" s="494">
        <v>0</v>
      </c>
      <c r="H21" s="187"/>
      <c r="I21" s="494">
        <v>0</v>
      </c>
      <c r="J21" s="187"/>
      <c r="K21" s="494">
        <v>0</v>
      </c>
      <c r="L21" s="187"/>
      <c r="M21" s="494">
        <f t="shared" si="1"/>
        <v>54775172.740000002</v>
      </c>
      <c r="N21" s="187"/>
      <c r="O21" s="494">
        <f>C21-('Exhibit E,1'!I20)</f>
        <v>26521604.890000004</v>
      </c>
      <c r="P21" s="187"/>
      <c r="Q21" s="187"/>
      <c r="R21" s="187"/>
      <c r="S21" s="187"/>
      <c r="T21" s="187"/>
      <c r="U21" s="187"/>
      <c r="V21" s="187"/>
      <c r="W21" s="187"/>
      <c r="X21" s="187"/>
      <c r="Y21" s="494">
        <f t="shared" si="2"/>
        <v>26521604.890000004</v>
      </c>
      <c r="AA21" s="25">
        <f t="shared" si="5"/>
        <v>1998</v>
      </c>
      <c r="AB21" s="137">
        <f>'Exhibit O,3'!I20</f>
        <v>29164670.75</v>
      </c>
      <c r="AC21" s="137">
        <f>'Exhibit N,3'!I20</f>
        <v>24800000</v>
      </c>
      <c r="AD21" s="137">
        <f>'Exhibit M,3'!I20</f>
        <v>606234.30000000005</v>
      </c>
      <c r="AE21" s="137">
        <f>'Exhibit L,3'!I20</f>
        <v>204267.68999999994</v>
      </c>
      <c r="AF21" s="172"/>
      <c r="AG21" s="172"/>
      <c r="AH21" s="172"/>
      <c r="AI21" s="172"/>
      <c r="AJ21" s="172"/>
      <c r="AK21" s="172"/>
      <c r="AL21" s="137">
        <f t="shared" si="3"/>
        <v>54775172.739999995</v>
      </c>
      <c r="AM21" s="303"/>
      <c r="AN21" s="172"/>
      <c r="AO21" s="39"/>
      <c r="AP21" s="31"/>
      <c r="AQ21" s="173"/>
      <c r="AR21" s="25">
        <f t="shared" si="6"/>
        <v>1998</v>
      </c>
      <c r="AS21" s="137"/>
      <c r="AT21" s="137">
        <f>AB21+AC21-'Exhibit H,5'!C20</f>
        <v>25918211.300000001</v>
      </c>
      <c r="AU21" s="137"/>
      <c r="AV21" s="137">
        <f>AD21+AE21-'Exhibit G,3'!G20</f>
        <v>603393.59</v>
      </c>
      <c r="AW21" s="137"/>
      <c r="AX21" s="172"/>
      <c r="AY21" s="172"/>
      <c r="AZ21" s="172"/>
      <c r="BA21" s="172"/>
      <c r="BB21" s="172"/>
      <c r="BC21" s="137">
        <f t="shared" si="0"/>
        <v>26521604.890000001</v>
      </c>
      <c r="BD21" s="303"/>
      <c r="BE21" s="172"/>
      <c r="BF21" s="39"/>
      <c r="BG21" s="169"/>
      <c r="BH21" s="18"/>
      <c r="BI21" s="300"/>
      <c r="BJ21" s="304"/>
      <c r="BK21" s="198"/>
      <c r="BL21" s="61"/>
      <c r="BM21" s="61"/>
      <c r="BN21" s="18"/>
      <c r="BO21" s="61"/>
      <c r="BP21" s="18"/>
      <c r="BW21" s="20"/>
      <c r="BY21" s="18"/>
      <c r="BZ21" s="18"/>
      <c r="CB21" s="198"/>
      <c r="CC21" s="198"/>
      <c r="CD21" s="18"/>
      <c r="CN21" s="18"/>
    </row>
    <row r="22" spans="1:92">
      <c r="A22" s="6">
        <f t="shared" si="4"/>
        <v>1999</v>
      </c>
      <c r="C22" s="494">
        <f>'Exhibit J,1'!I21</f>
        <v>54239618.760000005</v>
      </c>
      <c r="D22" s="187"/>
      <c r="E22" s="494">
        <v>0</v>
      </c>
      <c r="F22" s="187"/>
      <c r="G22" s="494">
        <v>0</v>
      </c>
      <c r="H22" s="187"/>
      <c r="I22" s="494">
        <v>0</v>
      </c>
      <c r="J22" s="187"/>
      <c r="K22" s="494">
        <v>0</v>
      </c>
      <c r="L22" s="187"/>
      <c r="M22" s="494">
        <f t="shared" si="1"/>
        <v>54239618.760000005</v>
      </c>
      <c r="N22" s="187"/>
      <c r="O22" s="494">
        <f>C22-('Exhibit E,1'!I21)</f>
        <v>31146188.350000005</v>
      </c>
      <c r="P22" s="187"/>
      <c r="Q22" s="187"/>
      <c r="R22" s="187"/>
      <c r="S22" s="187"/>
      <c r="T22" s="187"/>
      <c r="U22" s="187"/>
      <c r="V22" s="187"/>
      <c r="W22" s="187"/>
      <c r="X22" s="187"/>
      <c r="Y22" s="494">
        <f t="shared" si="2"/>
        <v>31146188.350000005</v>
      </c>
      <c r="AA22" s="25">
        <f t="shared" si="5"/>
        <v>1999</v>
      </c>
      <c r="AB22" s="137">
        <f>'Exhibit O,3'!I21</f>
        <v>35137110.340000004</v>
      </c>
      <c r="AC22" s="137">
        <f>'Exhibit N,3'!I21</f>
        <v>18284000</v>
      </c>
      <c r="AD22" s="137">
        <f>'Exhibit M,3'!I21</f>
        <v>818508.42</v>
      </c>
      <c r="AE22" s="137">
        <f>'Exhibit L,3'!I21</f>
        <v>0</v>
      </c>
      <c r="AF22" s="172"/>
      <c r="AG22" s="172"/>
      <c r="AH22" s="172"/>
      <c r="AI22" s="172"/>
      <c r="AJ22" s="172"/>
      <c r="AK22" s="172"/>
      <c r="AL22" s="137">
        <f t="shared" si="3"/>
        <v>54239618.760000005</v>
      </c>
      <c r="AM22" s="303"/>
      <c r="AN22" s="172"/>
      <c r="AO22" s="39"/>
      <c r="AP22" s="31"/>
      <c r="AQ22" s="173"/>
      <c r="AR22" s="25">
        <f t="shared" si="6"/>
        <v>1999</v>
      </c>
      <c r="AS22" s="137"/>
      <c r="AT22" s="137">
        <f>AB22+AC22-'Exhibit H,5'!C21</f>
        <v>30327679.930000003</v>
      </c>
      <c r="AU22" s="137"/>
      <c r="AV22" s="137">
        <f>AD22+AE22-'Exhibit G,3'!G21</f>
        <v>818508.42</v>
      </c>
      <c r="AW22" s="137"/>
      <c r="AX22" s="172"/>
      <c r="AY22" s="172"/>
      <c r="AZ22" s="172"/>
      <c r="BA22" s="172"/>
      <c r="BB22" s="172"/>
      <c r="BC22" s="137">
        <f t="shared" si="0"/>
        <v>31146188.350000005</v>
      </c>
      <c r="BD22" s="303"/>
      <c r="BE22" s="172"/>
      <c r="BF22" s="39"/>
      <c r="BG22" s="169"/>
      <c r="BH22" s="18"/>
      <c r="BI22" s="300"/>
      <c r="BJ22" s="304"/>
      <c r="BK22" s="198"/>
      <c r="BL22" s="61"/>
      <c r="BM22" s="61"/>
      <c r="BN22" s="18"/>
      <c r="BO22" s="61"/>
      <c r="BP22" s="18"/>
      <c r="BW22" s="20"/>
      <c r="BY22" s="18"/>
      <c r="BZ22" s="18"/>
      <c r="CB22" s="198"/>
      <c r="CC22" s="198"/>
      <c r="CD22" s="18"/>
      <c r="CN22" s="18"/>
    </row>
    <row r="23" spans="1:92" ht="16">
      <c r="A23" s="6">
        <f t="shared" si="4"/>
        <v>2000</v>
      </c>
      <c r="C23" s="494">
        <f>'Exhibit J,1'!I22</f>
        <v>45510428.719999999</v>
      </c>
      <c r="D23" s="187"/>
      <c r="E23" s="494">
        <v>0</v>
      </c>
      <c r="F23" s="187"/>
      <c r="G23" s="494">
        <v>0</v>
      </c>
      <c r="H23" s="187"/>
      <c r="I23" s="494">
        <v>0</v>
      </c>
      <c r="J23" s="187"/>
      <c r="K23" s="494">
        <v>0</v>
      </c>
      <c r="L23" s="187"/>
      <c r="M23" s="494">
        <f t="shared" si="1"/>
        <v>45510428.719999999</v>
      </c>
      <c r="N23" s="187"/>
      <c r="O23" s="494">
        <f>C23-('Exhibit E,1'!I22)</f>
        <v>28557380.479999997</v>
      </c>
      <c r="P23" s="187"/>
      <c r="Q23" s="187"/>
      <c r="R23" s="187"/>
      <c r="S23" s="187"/>
      <c r="T23" s="187"/>
      <c r="U23" s="187"/>
      <c r="V23" s="187"/>
      <c r="W23" s="187"/>
      <c r="X23" s="187"/>
      <c r="Y23" s="494">
        <f t="shared" si="2"/>
        <v>28557380.479999997</v>
      </c>
      <c r="AA23" s="25">
        <f t="shared" si="5"/>
        <v>2000</v>
      </c>
      <c r="AB23" s="137">
        <f>'Exhibit O,3'!I22</f>
        <v>27795495.93</v>
      </c>
      <c r="AC23" s="137">
        <f>'Exhibit N,3'!I22</f>
        <v>16115000</v>
      </c>
      <c r="AD23" s="137">
        <f>'Exhibit M,3'!I22</f>
        <v>1349932.79</v>
      </c>
      <c r="AE23" s="137">
        <f>'Exhibit L,3'!I22</f>
        <v>250000</v>
      </c>
      <c r="AF23" s="172"/>
      <c r="AG23" s="172"/>
      <c r="AH23" s="223"/>
      <c r="AI23" s="172"/>
      <c r="AJ23" s="172"/>
      <c r="AK23" s="172"/>
      <c r="AL23" s="137">
        <f t="shared" si="3"/>
        <v>45510428.719999999</v>
      </c>
      <c r="AM23" s="137">
        <v>45510428.719999999</v>
      </c>
      <c r="AN23" s="172">
        <f>AL23-AM23</f>
        <v>0</v>
      </c>
      <c r="AO23" s="39">
        <f>AM23-'Exhibit B,S3'!AM23</f>
        <v>0</v>
      </c>
      <c r="AP23" s="31"/>
      <c r="AQ23" s="173"/>
      <c r="AR23" s="25">
        <f t="shared" si="6"/>
        <v>2000</v>
      </c>
      <c r="AS23" s="137"/>
      <c r="AT23" s="137">
        <f>AB23+AC23-'Exhibit H,5'!C22</f>
        <v>27096652.149999999</v>
      </c>
      <c r="AU23" s="137"/>
      <c r="AV23" s="137">
        <f>AD23+AE23-'Exhibit G,3'!G22</f>
        <v>1460728.33</v>
      </c>
      <c r="AW23" s="137"/>
      <c r="AX23" s="172"/>
      <c r="AY23" s="172"/>
      <c r="AZ23" s="172"/>
      <c r="BA23" s="172"/>
      <c r="BB23" s="172"/>
      <c r="BC23" s="137">
        <f t="shared" si="0"/>
        <v>28557380.479999997</v>
      </c>
      <c r="BD23" s="136">
        <v>28557380.48</v>
      </c>
      <c r="BE23" s="172">
        <f>BC23-BD23</f>
        <v>0</v>
      </c>
      <c r="BF23" s="39">
        <f>BC23-AL23</f>
        <v>-16953048.240000002</v>
      </c>
      <c r="BG23" s="378">
        <v>0</v>
      </c>
      <c r="BH23" s="172">
        <v>0</v>
      </c>
      <c r="BI23" s="611">
        <f>SUM(AT23:AY23)+BG23+BH23</f>
        <v>28557380.479999997</v>
      </c>
      <c r="BJ23" s="612">
        <f>BC23-BI23</f>
        <v>0</v>
      </c>
      <c r="BK23" s="198"/>
      <c r="BL23" s="61"/>
      <c r="BM23" s="61"/>
      <c r="BN23" s="18"/>
      <c r="BO23" s="61"/>
      <c r="BP23" s="18"/>
      <c r="BW23" s="20"/>
      <c r="BY23" s="18"/>
      <c r="BZ23" s="18"/>
      <c r="CB23" s="198"/>
      <c r="CC23" s="198"/>
      <c r="CD23" s="18"/>
      <c r="CN23" s="18"/>
    </row>
    <row r="24" spans="1:92" ht="16">
      <c r="A24" s="6">
        <f t="shared" si="4"/>
        <v>2001</v>
      </c>
      <c r="C24" s="494">
        <f>'Exhibit J,1'!I23</f>
        <v>37643921.560000002</v>
      </c>
      <c r="D24" s="187"/>
      <c r="E24" s="494">
        <v>0</v>
      </c>
      <c r="F24" s="187"/>
      <c r="G24" s="494">
        <v>0</v>
      </c>
      <c r="H24" s="187"/>
      <c r="I24" s="494">
        <v>0</v>
      </c>
      <c r="J24" s="187"/>
      <c r="K24" s="494">
        <v>0</v>
      </c>
      <c r="L24" s="187"/>
      <c r="M24" s="494">
        <f t="shared" si="1"/>
        <v>37643921.560000002</v>
      </c>
      <c r="N24" s="187"/>
      <c r="O24" s="494">
        <f>C24-('Exhibit E,1'!I23)</f>
        <v>28317349.960000001</v>
      </c>
      <c r="P24" s="187"/>
      <c r="Q24" s="187"/>
      <c r="R24" s="187"/>
      <c r="S24" s="187"/>
      <c r="T24" s="187"/>
      <c r="U24" s="187"/>
      <c r="V24" s="187"/>
      <c r="W24" s="187"/>
      <c r="X24" s="187"/>
      <c r="Y24" s="494">
        <f t="shared" si="2"/>
        <v>28317349.960000001</v>
      </c>
      <c r="AA24" s="25">
        <f t="shared" si="5"/>
        <v>2001</v>
      </c>
      <c r="AB24" s="137">
        <f>'Exhibit O,3'!I23</f>
        <v>22560712.330000006</v>
      </c>
      <c r="AC24" s="137">
        <f>'Exhibit N,3'!I23</f>
        <v>12067167</v>
      </c>
      <c r="AD24" s="137">
        <f>'Exhibit M,3'!I23</f>
        <v>1732780</v>
      </c>
      <c r="AE24" s="137">
        <f>'Exhibit L,3'!I23</f>
        <v>1283262.23</v>
      </c>
      <c r="AF24" s="172"/>
      <c r="AG24" s="172"/>
      <c r="AH24" s="172"/>
      <c r="AI24" s="172"/>
      <c r="AJ24" s="172"/>
      <c r="AK24" s="172"/>
      <c r="AL24" s="137">
        <f t="shared" si="3"/>
        <v>37643921.560000002</v>
      </c>
      <c r="AM24" s="137">
        <v>37643921.560000017</v>
      </c>
      <c r="AN24" s="172">
        <f>AL24-AM24</f>
        <v>0</v>
      </c>
      <c r="AO24" s="39">
        <f>AM24-'Exhibit B,S3'!AM24</f>
        <v>0</v>
      </c>
      <c r="AP24" s="31"/>
      <c r="AQ24" s="173"/>
      <c r="AR24" s="25">
        <f t="shared" si="6"/>
        <v>2001</v>
      </c>
      <c r="AS24" s="137"/>
      <c r="AT24" s="137">
        <f>AB24+AC24-'Exhibit H,5'!C23</f>
        <v>25656954.810000006</v>
      </c>
      <c r="AU24" s="137"/>
      <c r="AV24" s="137">
        <f>AD24+AE24-'Exhibit G,3'!G23</f>
        <v>2660395.15</v>
      </c>
      <c r="AW24" s="137"/>
      <c r="AX24" s="172"/>
      <c r="AY24" s="172"/>
      <c r="AZ24" s="172"/>
      <c r="BA24" s="172"/>
      <c r="BB24" s="172"/>
      <c r="BC24" s="137">
        <f t="shared" si="0"/>
        <v>28317349.960000005</v>
      </c>
      <c r="BD24" s="136">
        <v>28317349.960000016</v>
      </c>
      <c r="BE24" s="172">
        <f>BC24-BD24</f>
        <v>0</v>
      </c>
      <c r="BF24" s="39">
        <f t="shared" ref="BF24:BF45" si="7">BC24-AL24</f>
        <v>-9326571.5999999978</v>
      </c>
      <c r="BG24" s="378">
        <v>0</v>
      </c>
      <c r="BH24" s="172">
        <v>0</v>
      </c>
      <c r="BI24" s="611">
        <f t="shared" ref="BI24:BI47" si="8">SUM(AT24:AY24)+BG24+BH24</f>
        <v>28317349.960000005</v>
      </c>
      <c r="BJ24" s="612">
        <f t="shared" ref="BJ24:BJ45" si="9">BC24-BI24</f>
        <v>0</v>
      </c>
      <c r="BK24" s="198"/>
      <c r="BL24" s="61"/>
      <c r="BM24" s="61"/>
      <c r="BN24" s="18"/>
      <c r="BO24" s="61"/>
      <c r="BP24" s="18"/>
      <c r="BW24" s="20"/>
      <c r="BY24" s="18"/>
      <c r="BZ24" s="18"/>
      <c r="CB24" s="198"/>
      <c r="CC24" s="198"/>
      <c r="CD24" s="18"/>
      <c r="CN24" s="18"/>
    </row>
    <row r="25" spans="1:92" ht="16">
      <c r="A25" s="6">
        <f t="shared" si="4"/>
        <v>2002</v>
      </c>
      <c r="C25" s="494">
        <f>'Exhibit J,1'!I24</f>
        <v>39658038.149999991</v>
      </c>
      <c r="D25" s="187"/>
      <c r="E25" s="494">
        <v>0</v>
      </c>
      <c r="F25" s="187"/>
      <c r="G25" s="494">
        <v>0</v>
      </c>
      <c r="H25" s="187"/>
      <c r="I25" s="494">
        <v>0</v>
      </c>
      <c r="J25" s="187"/>
      <c r="K25" s="494">
        <v>0</v>
      </c>
      <c r="L25" s="187"/>
      <c r="M25" s="494">
        <f t="shared" si="1"/>
        <v>39658038.149999991</v>
      </c>
      <c r="N25" s="187"/>
      <c r="O25" s="494">
        <f>C25-('Exhibit E,1'!I24)</f>
        <v>33754333.779999986</v>
      </c>
      <c r="P25" s="187"/>
      <c r="Q25" s="187"/>
      <c r="R25" s="187"/>
      <c r="S25" s="187"/>
      <c r="T25" s="187"/>
      <c r="U25" s="187"/>
      <c r="V25" s="187"/>
      <c r="W25" s="187"/>
      <c r="X25" s="187"/>
      <c r="Y25" s="494">
        <f t="shared" si="2"/>
        <v>33754333.779999986</v>
      </c>
      <c r="AA25" s="25">
        <f t="shared" si="5"/>
        <v>2002</v>
      </c>
      <c r="AB25" s="137">
        <f>'Exhibit O,3'!I24</f>
        <v>26310397.339999992</v>
      </c>
      <c r="AC25" s="137">
        <f>'Exhibit N,3'!I24</f>
        <v>12700000</v>
      </c>
      <c r="AD25" s="137">
        <f>'Exhibit M,3'!I24</f>
        <v>647640.80999999994</v>
      </c>
      <c r="AE25" s="137">
        <f>'Exhibit L,3'!I24</f>
        <v>0</v>
      </c>
      <c r="AF25" s="172"/>
      <c r="AG25" s="172"/>
      <c r="AH25" s="172"/>
      <c r="AI25" s="172"/>
      <c r="AJ25" s="172"/>
      <c r="AK25" s="172"/>
      <c r="AL25" s="137">
        <f t="shared" si="3"/>
        <v>39658038.149999991</v>
      </c>
      <c r="AM25" s="137">
        <v>39658038.149999999</v>
      </c>
      <c r="AN25" s="172">
        <f t="shared" ref="AN25:AN45" si="10">AL25-AM25</f>
        <v>0</v>
      </c>
      <c r="AO25" s="39">
        <f>AM25-'Exhibit B,S3'!AM25</f>
        <v>0</v>
      </c>
      <c r="AP25" s="31"/>
      <c r="AQ25" s="32"/>
      <c r="AR25" s="25">
        <f t="shared" si="6"/>
        <v>2002</v>
      </c>
      <c r="AS25" s="137"/>
      <c r="AT25" s="137">
        <f>AB25+AC25-'Exhibit H,5'!C24</f>
        <v>33106692.969999988</v>
      </c>
      <c r="AU25" s="137"/>
      <c r="AV25" s="137">
        <f>AD25+AE25-'Exhibit G,3'!G24</f>
        <v>647640.80999999994</v>
      </c>
      <c r="AW25" s="137"/>
      <c r="AX25" s="172"/>
      <c r="AY25" s="172"/>
      <c r="AZ25" s="172"/>
      <c r="BA25" s="172"/>
      <c r="BB25" s="172"/>
      <c r="BC25" s="137">
        <f t="shared" si="0"/>
        <v>33754333.779999986</v>
      </c>
      <c r="BD25" s="136">
        <v>33754333.780000001</v>
      </c>
      <c r="BE25" s="172">
        <f t="shared" ref="BE25:BE45" si="11">BC25-BD25</f>
        <v>0</v>
      </c>
      <c r="BF25" s="39">
        <f t="shared" si="7"/>
        <v>-5903704.3700000048</v>
      </c>
      <c r="BG25" s="378">
        <v>0</v>
      </c>
      <c r="BH25" s="172">
        <v>0</v>
      </c>
      <c r="BI25" s="611">
        <f t="shared" si="8"/>
        <v>33754333.779999986</v>
      </c>
      <c r="BJ25" s="612">
        <f t="shared" si="9"/>
        <v>0</v>
      </c>
      <c r="BK25" s="198"/>
      <c r="BL25" s="61"/>
      <c r="BM25" s="61"/>
      <c r="BN25" s="18"/>
      <c r="BO25" s="84"/>
      <c r="BP25" s="18"/>
      <c r="BQ25" s="22"/>
      <c r="BR25" s="22"/>
      <c r="BS25" s="22"/>
      <c r="BU25" s="18"/>
      <c r="BW25" s="20"/>
      <c r="BY25" s="18"/>
      <c r="BZ25" s="18"/>
      <c r="CB25" s="198"/>
      <c r="CC25" s="198"/>
      <c r="CD25" s="18"/>
      <c r="CE25" s="18"/>
      <c r="CN25" s="18"/>
    </row>
    <row r="26" spans="1:92" ht="16">
      <c r="A26" s="6">
        <f t="shared" si="4"/>
        <v>2003</v>
      </c>
      <c r="C26" s="494">
        <f>'Exhibit J,1'!I25</f>
        <v>39621657.030000001</v>
      </c>
      <c r="D26" s="187"/>
      <c r="E26" s="494">
        <v>0</v>
      </c>
      <c r="F26" s="187"/>
      <c r="G26" s="494">
        <v>0</v>
      </c>
      <c r="H26" s="187"/>
      <c r="I26" s="494">
        <v>0</v>
      </c>
      <c r="J26" s="187"/>
      <c r="K26" s="494">
        <v>0</v>
      </c>
      <c r="L26" s="187"/>
      <c r="M26" s="494">
        <f t="shared" si="1"/>
        <v>39621657.030000001</v>
      </c>
      <c r="N26" s="187"/>
      <c r="O26" s="494">
        <f>C26-('Exhibit E,1'!I25)</f>
        <v>30975767.879999995</v>
      </c>
      <c r="P26" s="187"/>
      <c r="Q26" s="187"/>
      <c r="R26" s="187"/>
      <c r="S26" s="187"/>
      <c r="T26" s="187"/>
      <c r="U26" s="187"/>
      <c r="V26" s="187"/>
      <c r="W26" s="187"/>
      <c r="X26" s="187"/>
      <c r="Y26" s="494">
        <f t="shared" si="2"/>
        <v>30975767.879999995</v>
      </c>
      <c r="AA26" s="25">
        <f t="shared" si="5"/>
        <v>2003</v>
      </c>
      <c r="AB26" s="137">
        <f>'Exhibit O,3'!I25</f>
        <v>20878044.309999999</v>
      </c>
      <c r="AC26" s="137">
        <f>'Exhibit N,3'!I25</f>
        <v>15540000</v>
      </c>
      <c r="AD26" s="137">
        <f>'Exhibit M,3'!I25</f>
        <v>2003612.72</v>
      </c>
      <c r="AE26" s="137">
        <f>'Exhibit L,3'!I25</f>
        <v>1200000</v>
      </c>
      <c r="AF26" s="172"/>
      <c r="AG26" s="172"/>
      <c r="AH26" s="172"/>
      <c r="AI26" s="172"/>
      <c r="AJ26" s="172"/>
      <c r="AK26" s="172"/>
      <c r="AL26" s="137">
        <f t="shared" si="3"/>
        <v>39621657.030000001</v>
      </c>
      <c r="AM26" s="137">
        <v>39621657.030000001</v>
      </c>
      <c r="AN26" s="172">
        <f t="shared" si="10"/>
        <v>0</v>
      </c>
      <c r="AO26" s="39">
        <f>AM26-'Exhibit B,S3'!AM26</f>
        <v>0</v>
      </c>
      <c r="AP26" s="31"/>
      <c r="AQ26" s="32"/>
      <c r="AR26" s="25">
        <f t="shared" si="6"/>
        <v>2003</v>
      </c>
      <c r="AS26" s="137"/>
      <c r="AT26" s="137">
        <f>AB26+AC26-'Exhibit H,5'!C25</f>
        <v>27999908.040000003</v>
      </c>
      <c r="AU26" s="137"/>
      <c r="AV26" s="137">
        <f>AD26+AE26-'Exhibit G,3'!G25</f>
        <v>2975859.84</v>
      </c>
      <c r="AW26" s="137"/>
      <c r="AX26" s="172"/>
      <c r="AY26" s="172"/>
      <c r="AZ26" s="172"/>
      <c r="BA26" s="172"/>
      <c r="BB26" s="172"/>
      <c r="BC26" s="137">
        <f t="shared" si="0"/>
        <v>30975767.880000003</v>
      </c>
      <c r="BD26" s="136">
        <v>30975767.880000003</v>
      </c>
      <c r="BE26" s="172">
        <f t="shared" si="11"/>
        <v>0</v>
      </c>
      <c r="BF26" s="39">
        <f t="shared" si="7"/>
        <v>-8645889.1499999985</v>
      </c>
      <c r="BG26" s="378">
        <v>0</v>
      </c>
      <c r="BH26" s="172">
        <v>0</v>
      </c>
      <c r="BI26" s="611">
        <f t="shared" si="8"/>
        <v>30975767.880000003</v>
      </c>
      <c r="BJ26" s="612">
        <f t="shared" si="9"/>
        <v>0</v>
      </c>
      <c r="BK26" s="198"/>
      <c r="BL26" s="61"/>
      <c r="BM26" s="61"/>
      <c r="BN26" s="18"/>
      <c r="BO26" s="84"/>
      <c r="BP26" s="18"/>
      <c r="BQ26" s="22"/>
      <c r="BR26" s="22"/>
      <c r="BS26" s="22"/>
      <c r="BU26" s="18"/>
      <c r="BW26" s="20"/>
      <c r="BY26" s="18"/>
      <c r="BZ26" s="18"/>
      <c r="CB26" s="198"/>
      <c r="CC26" s="198"/>
      <c r="CD26" s="18"/>
      <c r="CE26" s="18"/>
      <c r="CN26" s="18"/>
    </row>
    <row r="27" spans="1:92" ht="16">
      <c r="A27" s="6">
        <f t="shared" si="4"/>
        <v>2004</v>
      </c>
      <c r="C27" s="494">
        <f>'Exhibit J,1'!I26</f>
        <v>22345826.459999993</v>
      </c>
      <c r="D27" s="187"/>
      <c r="E27" s="494">
        <v>0</v>
      </c>
      <c r="F27" s="187"/>
      <c r="G27" s="494">
        <v>0</v>
      </c>
      <c r="H27" s="187"/>
      <c r="I27" s="494">
        <v>0</v>
      </c>
      <c r="J27" s="187"/>
      <c r="K27" s="494">
        <v>0</v>
      </c>
      <c r="L27" s="187"/>
      <c r="M27" s="494">
        <f t="shared" si="1"/>
        <v>22345826.459999993</v>
      </c>
      <c r="N27" s="187"/>
      <c r="O27" s="494">
        <f>C27-('Exhibit E,1'!I26)</f>
        <v>21800433.559999995</v>
      </c>
      <c r="P27" s="187"/>
      <c r="Q27" s="187"/>
      <c r="R27" s="187"/>
      <c r="S27" s="187"/>
      <c r="T27" s="187"/>
      <c r="U27" s="187"/>
      <c r="V27" s="187"/>
      <c r="W27" s="187"/>
      <c r="X27" s="187"/>
      <c r="Y27" s="494">
        <f t="shared" si="2"/>
        <v>21800433.559999995</v>
      </c>
      <c r="AA27" s="25">
        <f t="shared" si="5"/>
        <v>2004</v>
      </c>
      <c r="AB27" s="137">
        <f>'Exhibit O,3'!I26</f>
        <v>14303436.559999997</v>
      </c>
      <c r="AC27" s="137">
        <f>'Exhibit N,3'!I26</f>
        <v>5025000</v>
      </c>
      <c r="AD27" s="137">
        <f>'Exhibit M,3'!I26</f>
        <v>2277389.9</v>
      </c>
      <c r="AE27" s="137">
        <f>'Exhibit L,3'!I26</f>
        <v>740000</v>
      </c>
      <c r="AF27" s="172"/>
      <c r="AG27" s="172"/>
      <c r="AH27" s="172"/>
      <c r="AI27" s="172"/>
      <c r="AJ27" s="172"/>
      <c r="AK27" s="172"/>
      <c r="AL27" s="137">
        <f t="shared" si="3"/>
        <v>22345826.459999993</v>
      </c>
      <c r="AM27" s="137">
        <v>22345826.460000001</v>
      </c>
      <c r="AN27" s="172">
        <f t="shared" si="10"/>
        <v>0</v>
      </c>
      <c r="AO27" s="39">
        <f>AM27-'Exhibit B,S3'!AM27</f>
        <v>0</v>
      </c>
      <c r="AP27" s="31"/>
      <c r="AQ27" s="32"/>
      <c r="AR27" s="25">
        <f t="shared" si="6"/>
        <v>2004</v>
      </c>
      <c r="AS27" s="137"/>
      <c r="AT27" s="137">
        <f>AB27+AC27-'Exhibit H,5'!C26</f>
        <v>18783043.659999996</v>
      </c>
      <c r="AU27" s="137"/>
      <c r="AV27" s="137">
        <f>AD27+AE27-'Exhibit G,3'!G26</f>
        <v>3017389.9</v>
      </c>
      <c r="AW27" s="137"/>
      <c r="AX27" s="172"/>
      <c r="AY27" s="172"/>
      <c r="AZ27" s="172"/>
      <c r="BA27" s="172"/>
      <c r="BB27" s="172"/>
      <c r="BC27" s="137">
        <f t="shared" si="0"/>
        <v>21800433.559999995</v>
      </c>
      <c r="BD27" s="136">
        <v>21800433.560000002</v>
      </c>
      <c r="BE27" s="172">
        <f t="shared" si="11"/>
        <v>0</v>
      </c>
      <c r="BF27" s="39">
        <f t="shared" si="7"/>
        <v>-545392.89999999851</v>
      </c>
      <c r="BG27" s="378">
        <v>0</v>
      </c>
      <c r="BH27" s="172">
        <v>0</v>
      </c>
      <c r="BI27" s="611">
        <f t="shared" si="8"/>
        <v>21800433.559999995</v>
      </c>
      <c r="BJ27" s="612">
        <f t="shared" si="9"/>
        <v>0</v>
      </c>
      <c r="BK27" s="198"/>
      <c r="BL27" s="61"/>
      <c r="BM27" s="61"/>
      <c r="BN27" s="18"/>
      <c r="BO27" s="84"/>
      <c r="BP27" s="18"/>
      <c r="BQ27" s="22"/>
      <c r="BR27" s="22"/>
      <c r="BS27" s="22"/>
      <c r="BU27" s="18"/>
      <c r="BW27" s="20"/>
      <c r="BY27" s="18"/>
      <c r="BZ27" s="18"/>
      <c r="CB27" s="198"/>
      <c r="CC27" s="198"/>
      <c r="CD27" s="18"/>
      <c r="CE27" s="18"/>
      <c r="CN27" s="18"/>
    </row>
    <row r="28" spans="1:92" ht="16">
      <c r="A28" s="6">
        <f t="shared" si="4"/>
        <v>2005</v>
      </c>
      <c r="C28" s="494">
        <f>'Exhibit J,1'!I27</f>
        <v>23049293.75</v>
      </c>
      <c r="D28" s="187"/>
      <c r="E28" s="494">
        <v>163606.21</v>
      </c>
      <c r="F28" s="187"/>
      <c r="G28" s="494">
        <v>0</v>
      </c>
      <c r="H28" s="187"/>
      <c r="I28" s="494">
        <v>0</v>
      </c>
      <c r="J28" s="187"/>
      <c r="K28" s="494">
        <v>0</v>
      </c>
      <c r="L28" s="187"/>
      <c r="M28" s="494">
        <f t="shared" si="1"/>
        <v>23212899.960000001</v>
      </c>
      <c r="N28" s="187"/>
      <c r="O28" s="494">
        <f>C28-('Exhibit E,1'!I27)</f>
        <v>21719264.240000002</v>
      </c>
      <c r="P28" s="187"/>
      <c r="Q28" s="494">
        <v>163606.21</v>
      </c>
      <c r="R28" s="187"/>
      <c r="S28" s="187"/>
      <c r="T28" s="187"/>
      <c r="U28" s="187"/>
      <c r="V28" s="187"/>
      <c r="W28" s="187"/>
      <c r="X28" s="187"/>
      <c r="Y28" s="494">
        <f t="shared" si="2"/>
        <v>21882870.450000003</v>
      </c>
      <c r="AA28" s="25">
        <f t="shared" si="5"/>
        <v>2005</v>
      </c>
      <c r="AB28" s="137">
        <f>'Exhibit O,3'!I27</f>
        <v>16243160.280000001</v>
      </c>
      <c r="AC28" s="137">
        <f>'Exhibit N,3'!I27</f>
        <v>4275000</v>
      </c>
      <c r="AD28" s="137">
        <f>'Exhibit M,3'!I27</f>
        <v>1556133.47</v>
      </c>
      <c r="AE28" s="137">
        <f>'Exhibit L,3'!I27</f>
        <v>975000</v>
      </c>
      <c r="AF28" s="360">
        <f>AF68</f>
        <v>163606.21</v>
      </c>
      <c r="AG28" s="172"/>
      <c r="AH28" s="172"/>
      <c r="AI28" s="172"/>
      <c r="AJ28" s="172"/>
      <c r="AK28" s="172"/>
      <c r="AL28" s="137">
        <f t="shared" si="3"/>
        <v>23212899.960000001</v>
      </c>
      <c r="AM28" s="137">
        <v>23212899.959999993</v>
      </c>
      <c r="AN28" s="172">
        <f t="shared" si="10"/>
        <v>0</v>
      </c>
      <c r="AO28" s="39">
        <f>AM28-'Exhibit B,S3'!AM28</f>
        <v>0</v>
      </c>
      <c r="AP28" s="31"/>
      <c r="AQ28" s="32"/>
      <c r="AR28" s="25">
        <f t="shared" si="6"/>
        <v>2005</v>
      </c>
      <c r="AS28" s="137"/>
      <c r="AT28" s="137">
        <f>AB28+AC28-'Exhibit H,5'!C27</f>
        <v>19241902.600000001</v>
      </c>
      <c r="AU28" s="137"/>
      <c r="AV28" s="137">
        <f>AD28+AE28-'Exhibit G,3'!G27</f>
        <v>2477361.6399999997</v>
      </c>
      <c r="AW28" s="20">
        <f>AF28</f>
        <v>163606.21</v>
      </c>
      <c r="AX28" s="20">
        <f>AG28</f>
        <v>0</v>
      </c>
      <c r="AY28" s="172"/>
      <c r="AZ28" s="172"/>
      <c r="BA28" s="172"/>
      <c r="BB28" s="172"/>
      <c r="BC28" s="137">
        <f t="shared" si="0"/>
        <v>21882870.450000003</v>
      </c>
      <c r="BD28" s="136">
        <v>21882870.449999992</v>
      </c>
      <c r="BE28" s="172">
        <f t="shared" si="11"/>
        <v>0</v>
      </c>
      <c r="BF28" s="39">
        <f t="shared" si="7"/>
        <v>-1330029.5099999979</v>
      </c>
      <c r="BG28" s="378">
        <v>0</v>
      </c>
      <c r="BH28" s="172">
        <v>0</v>
      </c>
      <c r="BI28" s="611">
        <f t="shared" si="8"/>
        <v>21882870.450000003</v>
      </c>
      <c r="BJ28" s="612">
        <f t="shared" si="9"/>
        <v>0</v>
      </c>
      <c r="BK28" s="198"/>
      <c r="BL28" s="61"/>
      <c r="BM28" s="61"/>
      <c r="BN28" s="18"/>
      <c r="BO28" s="84"/>
      <c r="BP28" s="18"/>
      <c r="BQ28" s="22"/>
      <c r="BR28" s="22"/>
      <c r="BS28" s="22"/>
      <c r="BU28" s="18"/>
      <c r="BW28" s="20"/>
      <c r="BY28" s="18"/>
      <c r="BZ28" s="18"/>
      <c r="CB28" s="198"/>
      <c r="CC28" s="198"/>
      <c r="CD28" s="18"/>
      <c r="CE28" s="18"/>
      <c r="CN28" s="18"/>
    </row>
    <row r="29" spans="1:92" ht="16">
      <c r="A29" s="6">
        <f t="shared" si="4"/>
        <v>2006</v>
      </c>
      <c r="C29" s="494">
        <f>'Exhibit J,1'!I28</f>
        <v>20087669.5</v>
      </c>
      <c r="D29" s="187"/>
      <c r="E29" s="494">
        <v>474648.87</v>
      </c>
      <c r="F29" s="187"/>
      <c r="G29" s="494">
        <v>49250</v>
      </c>
      <c r="H29" s="187"/>
      <c r="I29" s="494">
        <v>0</v>
      </c>
      <c r="J29" s="187"/>
      <c r="K29" s="494">
        <v>0</v>
      </c>
      <c r="L29" s="187"/>
      <c r="M29" s="494">
        <f t="shared" si="1"/>
        <v>20611568.370000001</v>
      </c>
      <c r="N29" s="187"/>
      <c r="O29" s="494">
        <f>C29-('Exhibit E,1'!I28)</f>
        <v>20087669.5</v>
      </c>
      <c r="P29" s="187"/>
      <c r="Q29" s="494">
        <v>474648.87</v>
      </c>
      <c r="R29" s="187"/>
      <c r="S29" s="494">
        <v>49250</v>
      </c>
      <c r="T29" s="187"/>
      <c r="U29" s="187"/>
      <c r="V29" s="187"/>
      <c r="W29" s="187"/>
      <c r="X29" s="187"/>
      <c r="Y29" s="494">
        <f t="shared" si="2"/>
        <v>20611568.370000001</v>
      </c>
      <c r="AA29" s="25">
        <f t="shared" si="5"/>
        <v>2006</v>
      </c>
      <c r="AB29" s="137">
        <f>'Exhibit O,3'!I28</f>
        <v>14659669.499999998</v>
      </c>
      <c r="AC29" s="137">
        <f>'Exhibit N,3'!I28</f>
        <v>5350000</v>
      </c>
      <c r="AD29" s="137">
        <f>'Exhibit M,3'!I28</f>
        <v>39380.269999999997</v>
      </c>
      <c r="AE29" s="137">
        <f>'Exhibit L,3'!I28</f>
        <v>0</v>
      </c>
      <c r="AF29" s="360">
        <f>AF69</f>
        <v>474648.87</v>
      </c>
      <c r="AG29" s="18">
        <f>AG69</f>
        <v>49249.72</v>
      </c>
      <c r="AH29" s="172"/>
      <c r="AI29" s="172"/>
      <c r="AJ29" s="172"/>
      <c r="AK29" s="172"/>
      <c r="AL29" s="137">
        <f t="shared" si="3"/>
        <v>20572948.359999999</v>
      </c>
      <c r="AM29" s="137">
        <v>20572948.359999999</v>
      </c>
      <c r="AN29" s="172">
        <f t="shared" si="10"/>
        <v>0</v>
      </c>
      <c r="AO29" s="39">
        <f>AM29-'Exhibit B,S3'!AM29</f>
        <v>32816.769999999553</v>
      </c>
      <c r="AP29" s="31"/>
      <c r="AQ29" s="32"/>
      <c r="AR29" s="25">
        <f t="shared" si="6"/>
        <v>2006</v>
      </c>
      <c r="AS29" s="137"/>
      <c r="AT29" s="137">
        <f>AB29+AC29-'Exhibit H,5'!C28</f>
        <v>20009669.5</v>
      </c>
      <c r="AU29" s="137"/>
      <c r="AV29" s="137">
        <f>AD29+AE29-'Exhibit G,3'!G28</f>
        <v>39380.269999999997</v>
      </c>
      <c r="AW29" s="20">
        <f t="shared" ref="AW29:AW30" si="12">AF29</f>
        <v>474648.87</v>
      </c>
      <c r="AX29" s="20">
        <f t="shared" ref="AX29:AX30" si="13">AG29</f>
        <v>49249.72</v>
      </c>
      <c r="AY29" s="172"/>
      <c r="AZ29" s="172"/>
      <c r="BA29" s="172"/>
      <c r="BB29" s="172"/>
      <c r="BC29" s="137">
        <f t="shared" si="0"/>
        <v>20572948.359999999</v>
      </c>
      <c r="BD29" s="136">
        <v>20572948.359999999</v>
      </c>
      <c r="BE29" s="172">
        <f t="shared" si="11"/>
        <v>0</v>
      </c>
      <c r="BF29" s="39">
        <f t="shared" si="7"/>
        <v>0</v>
      </c>
      <c r="BG29" s="378">
        <v>0</v>
      </c>
      <c r="BH29" s="172">
        <v>0</v>
      </c>
      <c r="BI29" s="611">
        <f t="shared" si="8"/>
        <v>20572948.359999999</v>
      </c>
      <c r="BJ29" s="612">
        <f t="shared" si="9"/>
        <v>0</v>
      </c>
      <c r="BK29" s="198"/>
      <c r="BL29" s="61"/>
      <c r="BM29" s="61"/>
      <c r="BN29" s="18"/>
      <c r="BO29" s="84"/>
      <c r="BP29" s="18"/>
      <c r="BQ29" s="22"/>
      <c r="BR29" s="22"/>
      <c r="BS29" s="22"/>
      <c r="BU29" s="18"/>
      <c r="BW29" s="20"/>
      <c r="BY29" s="18"/>
      <c r="BZ29" s="18"/>
      <c r="CB29" s="198"/>
      <c r="CC29" s="198"/>
      <c r="CD29" s="18"/>
      <c r="CE29" s="18"/>
      <c r="CN29" s="18"/>
    </row>
    <row r="30" spans="1:92" ht="16">
      <c r="A30" s="6">
        <f t="shared" si="4"/>
        <v>2007</v>
      </c>
      <c r="C30" s="494">
        <f>'Exhibit J,1'!I29</f>
        <v>22370711.530000001</v>
      </c>
      <c r="D30" s="187"/>
      <c r="E30" s="494">
        <v>639550.64999999991</v>
      </c>
      <c r="F30" s="187"/>
      <c r="G30" s="494">
        <v>135351</v>
      </c>
      <c r="H30" s="187"/>
      <c r="I30" s="494">
        <v>0</v>
      </c>
      <c r="J30" s="187"/>
      <c r="K30" s="494">
        <v>0</v>
      </c>
      <c r="L30" s="187"/>
      <c r="M30" s="494">
        <f t="shared" si="1"/>
        <v>23145613.18</v>
      </c>
      <c r="N30" s="187"/>
      <c r="O30" s="494">
        <f>C30-('Exhibit E,1'!I29)</f>
        <v>21637246.57</v>
      </c>
      <c r="P30" s="187"/>
      <c r="Q30" s="494">
        <v>639550.64999999991</v>
      </c>
      <c r="R30" s="187"/>
      <c r="S30" s="494">
        <v>135351</v>
      </c>
      <c r="T30" s="187"/>
      <c r="U30" s="187"/>
      <c r="V30" s="187"/>
      <c r="W30" s="187"/>
      <c r="X30" s="187"/>
      <c r="Y30" s="494">
        <f t="shared" si="2"/>
        <v>22412148.219999999</v>
      </c>
      <c r="AA30" s="25">
        <f t="shared" si="5"/>
        <v>2007</v>
      </c>
      <c r="AB30" s="137">
        <f>'Exhibit O,3'!I29</f>
        <v>16719584.209999999</v>
      </c>
      <c r="AC30" s="137">
        <f>'Exhibit N,3'!I29</f>
        <v>4345000</v>
      </c>
      <c r="AD30" s="137">
        <f>'Exhibit M,3'!I29</f>
        <v>806127.32000000007</v>
      </c>
      <c r="AE30" s="137">
        <f>'Exhibit L,3'!I29</f>
        <v>500000</v>
      </c>
      <c r="AF30" s="360">
        <f>AF70</f>
        <v>639550.64999999991</v>
      </c>
      <c r="AG30" s="18">
        <f>AG70</f>
        <v>135351</v>
      </c>
      <c r="AH30" s="172"/>
      <c r="AI30" s="172"/>
      <c r="AJ30" s="172"/>
      <c r="AK30" s="172"/>
      <c r="AL30" s="137">
        <f t="shared" si="3"/>
        <v>23145613.18</v>
      </c>
      <c r="AM30" s="137">
        <v>23145613.179999996</v>
      </c>
      <c r="AN30" s="172">
        <f t="shared" si="10"/>
        <v>0</v>
      </c>
      <c r="AO30" s="39">
        <f>AM30-'Exhibit B,S3'!AM30</f>
        <v>0</v>
      </c>
      <c r="AP30" s="31"/>
      <c r="AQ30" s="32"/>
      <c r="AR30" s="25">
        <f t="shared" si="6"/>
        <v>2007</v>
      </c>
      <c r="AS30" s="137"/>
      <c r="AT30" s="137">
        <f>AB30+AC30-'Exhibit H,5'!C29</f>
        <v>20426353.330000002</v>
      </c>
      <c r="AU30" s="137"/>
      <c r="AV30" s="137">
        <f>AD30+AE30-'Exhibit G,3'!G29</f>
        <v>1210893.24</v>
      </c>
      <c r="AW30" s="20">
        <f t="shared" si="12"/>
        <v>639550.64999999991</v>
      </c>
      <c r="AX30" s="20">
        <f t="shared" si="13"/>
        <v>135351</v>
      </c>
      <c r="AY30" s="172"/>
      <c r="AZ30" s="172"/>
      <c r="BA30" s="172"/>
      <c r="BB30" s="172"/>
      <c r="BC30" s="137">
        <f t="shared" si="0"/>
        <v>22412148.219999999</v>
      </c>
      <c r="BD30" s="136">
        <v>22412148.219999995</v>
      </c>
      <c r="BE30" s="172">
        <f t="shared" si="11"/>
        <v>0</v>
      </c>
      <c r="BF30" s="39">
        <f t="shared" si="7"/>
        <v>-733464.96000000089</v>
      </c>
      <c r="BG30" s="378">
        <v>0</v>
      </c>
      <c r="BH30" s="172">
        <v>0</v>
      </c>
      <c r="BI30" s="611">
        <f t="shared" si="8"/>
        <v>22412148.219999999</v>
      </c>
      <c r="BJ30" s="612">
        <f t="shared" si="9"/>
        <v>0</v>
      </c>
      <c r="BK30" s="198"/>
      <c r="BL30" s="61"/>
      <c r="BM30" s="61"/>
      <c r="BN30" s="18"/>
      <c r="BO30" s="84"/>
      <c r="BP30" s="18"/>
      <c r="BQ30" s="22"/>
      <c r="BR30" s="22"/>
      <c r="BS30" s="22"/>
      <c r="BU30" s="18"/>
      <c r="BW30" s="20"/>
      <c r="BY30" s="18"/>
      <c r="BZ30" s="18"/>
      <c r="CB30" s="198"/>
      <c r="CC30" s="198"/>
      <c r="CD30" s="18"/>
      <c r="CE30" s="18"/>
      <c r="CF30" s="18"/>
      <c r="CH30" s="18"/>
      <c r="CJ30" s="18"/>
      <c r="CN30" s="18"/>
    </row>
    <row r="31" spans="1:92" ht="16">
      <c r="A31" s="6">
        <f t="shared" si="4"/>
        <v>2008</v>
      </c>
      <c r="C31" s="494">
        <f>'Exhibit J,1'!I30</f>
        <v>22102527.079999998</v>
      </c>
      <c r="D31" s="187"/>
      <c r="E31" s="187">
        <f>'Exhibit U,1'!C17</f>
        <v>577451.15</v>
      </c>
      <c r="F31" s="187"/>
      <c r="G31" s="187">
        <f>'Exhibit U,1'!E17</f>
        <v>1911758.4000000001</v>
      </c>
      <c r="H31" s="187"/>
      <c r="I31" s="494">
        <v>0</v>
      </c>
      <c r="J31" s="187"/>
      <c r="K31" s="494">
        <v>0</v>
      </c>
      <c r="L31" s="187"/>
      <c r="M31" s="494">
        <f t="shared" si="1"/>
        <v>24591736.629999995</v>
      </c>
      <c r="N31" s="187"/>
      <c r="O31" s="494">
        <f>C31-('Exhibit E,1'!I30)</f>
        <v>21278631.969999999</v>
      </c>
      <c r="P31" s="187"/>
      <c r="Q31" s="187">
        <f>'Exhibit U,1'!C36</f>
        <v>577451.15</v>
      </c>
      <c r="R31" s="187"/>
      <c r="S31" s="187">
        <f>'Exhibit U,1'!E36</f>
        <v>1871146.2100000002</v>
      </c>
      <c r="T31" s="187"/>
      <c r="U31" s="187"/>
      <c r="V31" s="187"/>
      <c r="W31" s="187"/>
      <c r="X31" s="187"/>
      <c r="Y31" s="494">
        <f t="shared" si="2"/>
        <v>23727229.329999998</v>
      </c>
      <c r="Z31" s="305"/>
      <c r="AA31" s="25">
        <f t="shared" si="5"/>
        <v>2008</v>
      </c>
      <c r="AB31" s="137">
        <f>'Exhibit O,3'!I30</f>
        <v>15508781.949999999</v>
      </c>
      <c r="AC31" s="137">
        <f>'Exhibit N,3'!I30</f>
        <v>5515000</v>
      </c>
      <c r="AD31" s="137">
        <f>'Exhibit M,3'!I30</f>
        <v>728745.13</v>
      </c>
      <c r="AE31" s="137">
        <f>'Exhibit L,3'!I30</f>
        <v>350000</v>
      </c>
      <c r="AF31" s="172">
        <f>'Exhibit U,1'!I17</f>
        <v>577451.15</v>
      </c>
      <c r="AG31" s="172">
        <f>'Exhibit U,1'!K17</f>
        <v>1911758.4000000001</v>
      </c>
      <c r="AH31" s="172"/>
      <c r="AI31" s="172"/>
      <c r="AJ31" s="172"/>
      <c r="AK31" s="172"/>
      <c r="AL31" s="137">
        <f t="shared" si="3"/>
        <v>24591736.629999995</v>
      </c>
      <c r="AM31" s="137">
        <v>24591736.629999999</v>
      </c>
      <c r="AN31" s="172">
        <f t="shared" si="10"/>
        <v>0</v>
      </c>
      <c r="AO31" s="39">
        <f>AM31-'Exhibit B,S3'!AM31</f>
        <v>0</v>
      </c>
      <c r="AP31" s="31"/>
      <c r="AQ31" s="32"/>
      <c r="AR31" s="25">
        <f t="shared" si="6"/>
        <v>2008</v>
      </c>
      <c r="AS31" s="137"/>
      <c r="AT31" s="137">
        <f>AB31+AC31-'Exhibit H,5'!C30</f>
        <v>20199886.84</v>
      </c>
      <c r="AU31" s="137"/>
      <c r="AV31" s="137">
        <f>AD31+AE31-'Exhibit G,3'!G30</f>
        <v>1078745.1299999999</v>
      </c>
      <c r="AW31" s="223">
        <f>'Exhibit U,5'!AB36</f>
        <v>577451.15</v>
      </c>
      <c r="AX31" s="223">
        <f>'Exhibit U,8'!AB36</f>
        <v>1871146.2100000002</v>
      </c>
      <c r="AY31" s="172"/>
      <c r="AZ31" s="172"/>
      <c r="BA31" s="172"/>
      <c r="BB31" s="172"/>
      <c r="BC31" s="137">
        <f t="shared" si="0"/>
        <v>23727229.329999998</v>
      </c>
      <c r="BD31" s="136">
        <v>23727229.329999998</v>
      </c>
      <c r="BE31" s="172">
        <f t="shared" si="11"/>
        <v>0</v>
      </c>
      <c r="BF31" s="39">
        <f t="shared" si="7"/>
        <v>-864507.29999999702</v>
      </c>
      <c r="BG31" s="378">
        <v>0</v>
      </c>
      <c r="BH31" s="172">
        <v>0</v>
      </c>
      <c r="BI31" s="611">
        <f t="shared" si="8"/>
        <v>23727229.329999998</v>
      </c>
      <c r="BJ31" s="612">
        <f t="shared" si="9"/>
        <v>0</v>
      </c>
      <c r="BK31" s="198"/>
      <c r="BL31" s="61"/>
      <c r="BM31" s="61"/>
      <c r="BN31" s="18"/>
      <c r="BO31" s="84"/>
      <c r="BP31" s="18"/>
      <c r="BQ31" s="22"/>
      <c r="BR31" s="22"/>
      <c r="BS31" s="22"/>
      <c r="BU31" s="18"/>
      <c r="BW31" s="20"/>
      <c r="BY31" s="18"/>
      <c r="BZ31" s="18"/>
      <c r="CB31" s="198"/>
      <c r="CC31" s="198"/>
      <c r="CD31" s="18"/>
      <c r="CE31" s="18"/>
      <c r="CF31" s="18"/>
      <c r="CH31" s="18"/>
      <c r="CJ31" s="18"/>
      <c r="CN31" s="18"/>
    </row>
    <row r="32" spans="1:92" ht="16">
      <c r="A32" s="6">
        <f t="shared" si="4"/>
        <v>2009</v>
      </c>
      <c r="C32" s="494">
        <f>'Exhibit J,1'!I31</f>
        <v>18973589.100000001</v>
      </c>
      <c r="D32" s="187"/>
      <c r="E32" s="187">
        <f>'Exhibit U,1'!C18</f>
        <v>28875.5</v>
      </c>
      <c r="F32" s="187"/>
      <c r="G32" s="187">
        <f>'Exhibit U,1'!E18</f>
        <v>2191506.25</v>
      </c>
      <c r="H32" s="187"/>
      <c r="I32" s="494">
        <v>0</v>
      </c>
      <c r="J32" s="187"/>
      <c r="K32" s="494">
        <v>0</v>
      </c>
      <c r="L32" s="187"/>
      <c r="M32" s="494">
        <f t="shared" si="1"/>
        <v>21193970.850000001</v>
      </c>
      <c r="N32" s="187"/>
      <c r="O32" s="494">
        <f>C32-('Exhibit E,1'!I31)</f>
        <v>17256901.280000001</v>
      </c>
      <c r="P32" s="187"/>
      <c r="Q32" s="187">
        <f>'Exhibit U,1'!C37</f>
        <v>28875.5</v>
      </c>
      <c r="R32" s="187"/>
      <c r="S32" s="187">
        <f>'Exhibit U,1'!E37</f>
        <v>2191506.25</v>
      </c>
      <c r="T32" s="187"/>
      <c r="U32" s="187"/>
      <c r="V32" s="187"/>
      <c r="W32" s="187"/>
      <c r="X32" s="187"/>
      <c r="Y32" s="494">
        <f t="shared" si="2"/>
        <v>19477283.030000001</v>
      </c>
      <c r="Z32" s="305"/>
      <c r="AA32" s="25">
        <f t="shared" si="5"/>
        <v>2009</v>
      </c>
      <c r="AB32" s="137">
        <f>'Exhibit O,3'!I31</f>
        <v>12635738.100000003</v>
      </c>
      <c r="AC32" s="137">
        <f>'Exhibit N,3'!I31</f>
        <v>6335000</v>
      </c>
      <c r="AD32" s="137">
        <f>'Exhibit M,3'!I31</f>
        <v>2851</v>
      </c>
      <c r="AE32" s="137">
        <f>'Exhibit L,3'!I31</f>
        <v>0</v>
      </c>
      <c r="AF32" s="172">
        <f>'Exhibit U,1'!I18</f>
        <v>28875.5</v>
      </c>
      <c r="AG32" s="172">
        <f>'Exhibit U,1'!K18</f>
        <v>2191506.25</v>
      </c>
      <c r="AH32" s="172"/>
      <c r="AI32" s="172"/>
      <c r="AJ32" s="172"/>
      <c r="AK32" s="172"/>
      <c r="AL32" s="137">
        <f t="shared" si="3"/>
        <v>21193970.850000001</v>
      </c>
      <c r="AM32" s="137">
        <v>21193970.850000001</v>
      </c>
      <c r="AN32" s="172">
        <f t="shared" si="10"/>
        <v>0</v>
      </c>
      <c r="AO32" s="39">
        <f>AM32-'Exhibit B,S3'!AM32</f>
        <v>0</v>
      </c>
      <c r="AP32" s="31"/>
      <c r="AQ32" s="32"/>
      <c r="AR32" s="25">
        <f t="shared" si="6"/>
        <v>2009</v>
      </c>
      <c r="AS32" s="137"/>
      <c r="AT32" s="137">
        <f>AB32+AC32-'Exhibit H,5'!C31</f>
        <v>17254050.280000001</v>
      </c>
      <c r="AU32" s="137"/>
      <c r="AV32" s="137">
        <f>AD32+AE32-'Exhibit G,3'!G31</f>
        <v>2851</v>
      </c>
      <c r="AW32" s="137">
        <f>'Exhibit U,5'!AB37</f>
        <v>28875.5</v>
      </c>
      <c r="AX32" s="137">
        <f>'Exhibit U,8'!AB37</f>
        <v>2191506.25</v>
      </c>
      <c r="AY32" s="172"/>
      <c r="AZ32" s="172"/>
      <c r="BA32" s="172"/>
      <c r="BB32" s="172"/>
      <c r="BC32" s="137">
        <f t="shared" si="0"/>
        <v>19477283.030000001</v>
      </c>
      <c r="BD32" s="136">
        <v>19477283.030000001</v>
      </c>
      <c r="BE32" s="172">
        <f t="shared" si="11"/>
        <v>0</v>
      </c>
      <c r="BF32" s="39">
        <f t="shared" si="7"/>
        <v>-1716687.8200000003</v>
      </c>
      <c r="BG32" s="378">
        <v>0</v>
      </c>
      <c r="BH32" s="172">
        <v>0</v>
      </c>
      <c r="BI32" s="611">
        <f t="shared" si="8"/>
        <v>19477283.030000001</v>
      </c>
      <c r="BJ32" s="612">
        <f t="shared" si="9"/>
        <v>0</v>
      </c>
      <c r="BK32" s="198"/>
      <c r="BL32" s="61"/>
      <c r="BM32" s="61"/>
      <c r="BN32" s="18"/>
      <c r="BO32" s="84"/>
      <c r="BP32" s="18"/>
      <c r="BQ32" s="22"/>
      <c r="BR32" s="22"/>
      <c r="BS32" s="22"/>
      <c r="BU32" s="18"/>
      <c r="BW32" s="20"/>
      <c r="BY32" s="18"/>
      <c r="BZ32" s="18"/>
      <c r="CB32" s="198"/>
      <c r="CC32" s="198"/>
      <c r="CD32" s="18"/>
      <c r="CE32" s="18"/>
      <c r="CF32" s="18"/>
      <c r="CH32" s="18"/>
      <c r="CJ32" s="18"/>
      <c r="CN32" s="18"/>
    </row>
    <row r="33" spans="1:92" ht="16">
      <c r="A33" s="6">
        <f t="shared" si="4"/>
        <v>2010</v>
      </c>
      <c r="C33" s="494">
        <f>'Exhibit J,1'!I32</f>
        <v>25135887.52</v>
      </c>
      <c r="D33" s="187"/>
      <c r="E33" s="187">
        <f>'Exhibit U,1'!C19</f>
        <v>1056390.7999999998</v>
      </c>
      <c r="F33" s="187"/>
      <c r="G33" s="187">
        <f>'Exhibit U,1'!E19</f>
        <v>8479335.2699999996</v>
      </c>
      <c r="H33" s="187"/>
      <c r="I33" s="494">
        <v>0</v>
      </c>
      <c r="J33" s="187"/>
      <c r="K33" s="494">
        <v>0</v>
      </c>
      <c r="L33" s="187"/>
      <c r="M33" s="494">
        <f t="shared" si="1"/>
        <v>34671613.590000004</v>
      </c>
      <c r="N33" s="187"/>
      <c r="O33" s="494">
        <f>C33-('Exhibit E,1'!I32)</f>
        <v>23008986.829999998</v>
      </c>
      <c r="P33" s="187"/>
      <c r="Q33" s="187">
        <f>'Exhibit U,1'!C38</f>
        <v>1056390.7999999998</v>
      </c>
      <c r="R33" s="187"/>
      <c r="S33" s="187">
        <f>'Exhibit U,1'!E38</f>
        <v>6627825.4199999999</v>
      </c>
      <c r="T33" s="187"/>
      <c r="U33" s="187"/>
      <c r="V33" s="187"/>
      <c r="W33" s="187"/>
      <c r="X33" s="187"/>
      <c r="Y33" s="494">
        <f t="shared" si="2"/>
        <v>30693203.049999997</v>
      </c>
      <c r="Z33" s="305"/>
      <c r="AA33" s="25">
        <f t="shared" si="5"/>
        <v>2010</v>
      </c>
      <c r="AB33" s="137">
        <f>'Exhibit O,3'!I32</f>
        <v>16673387.52</v>
      </c>
      <c r="AC33" s="137">
        <f>'Exhibit N,3'!I32</f>
        <v>8462500</v>
      </c>
      <c r="AD33" s="137">
        <f>'Exhibit M,3'!I32</f>
        <v>0</v>
      </c>
      <c r="AE33" s="137">
        <f>'Exhibit L,3'!I32</f>
        <v>0</v>
      </c>
      <c r="AF33" s="172">
        <f>'Exhibit U,1'!I19</f>
        <v>1056390.7999999998</v>
      </c>
      <c r="AG33" s="172">
        <f>'Exhibit U,1'!K19</f>
        <v>8479335.2699999996</v>
      </c>
      <c r="AH33" s="172"/>
      <c r="AI33" s="172"/>
      <c r="AJ33" s="172"/>
      <c r="AK33" s="172"/>
      <c r="AL33" s="137">
        <f t="shared" si="3"/>
        <v>34671613.590000004</v>
      </c>
      <c r="AM33" s="137">
        <v>34671613.590000004</v>
      </c>
      <c r="AN33" s="172">
        <f t="shared" si="10"/>
        <v>0</v>
      </c>
      <c r="AO33" s="39">
        <f>AM33-'Exhibit B,S3'!AM33</f>
        <v>2215.0000000074506</v>
      </c>
      <c r="AQ33" s="32"/>
      <c r="AR33" s="25">
        <f t="shared" si="6"/>
        <v>2010</v>
      </c>
      <c r="AS33" s="137"/>
      <c r="AT33" s="137">
        <f>AB33+AC33-'Exhibit H,5'!C32</f>
        <v>23008986.829999998</v>
      </c>
      <c r="AU33" s="137"/>
      <c r="AV33" s="137">
        <f>AD33+AE33-'Exhibit G,3'!G32</f>
        <v>0</v>
      </c>
      <c r="AW33" s="137">
        <f>'Exhibit U,5'!AB38</f>
        <v>1056390.7999999998</v>
      </c>
      <c r="AX33" s="137">
        <f>'Exhibit U,8'!AB38</f>
        <v>6627825.4199999999</v>
      </c>
      <c r="AY33" s="172"/>
      <c r="AZ33" s="172"/>
      <c r="BA33" s="172"/>
      <c r="BB33" s="172"/>
      <c r="BC33" s="137">
        <f t="shared" si="0"/>
        <v>30693203.049999997</v>
      </c>
      <c r="BD33" s="136">
        <v>30693203.050000004</v>
      </c>
      <c r="BE33" s="172">
        <f t="shared" si="11"/>
        <v>0</v>
      </c>
      <c r="BF33" s="39">
        <f t="shared" si="7"/>
        <v>-3978410.5400000066</v>
      </c>
      <c r="BG33" s="378">
        <v>0</v>
      </c>
      <c r="BH33" s="172">
        <v>0</v>
      </c>
      <c r="BI33" s="611">
        <f t="shared" si="8"/>
        <v>30693203.049999997</v>
      </c>
      <c r="BJ33" s="612">
        <f t="shared" si="9"/>
        <v>0</v>
      </c>
      <c r="BK33" s="198"/>
      <c r="BL33" s="61"/>
      <c r="BM33" s="61"/>
      <c r="BN33" s="18"/>
      <c r="BO33" s="84"/>
      <c r="BP33" s="18"/>
      <c r="BQ33" s="22"/>
      <c r="BR33" s="22"/>
      <c r="BS33" s="22"/>
      <c r="BU33" s="18"/>
      <c r="BW33" s="20"/>
      <c r="BY33" s="18"/>
      <c r="BZ33" s="18"/>
      <c r="CB33" s="198"/>
      <c r="CC33" s="198"/>
      <c r="CD33" s="18"/>
      <c r="CE33" s="18"/>
      <c r="CF33" s="18"/>
      <c r="CH33" s="18"/>
      <c r="CJ33" s="18"/>
      <c r="CN33" s="18"/>
    </row>
    <row r="34" spans="1:92" ht="16">
      <c r="A34" s="6">
        <f t="shared" si="4"/>
        <v>2011</v>
      </c>
      <c r="C34" s="494">
        <f>'Exhibit J,1'!I33</f>
        <v>17266538.520521469</v>
      </c>
      <c r="D34" s="187"/>
      <c r="E34" s="187">
        <f>'Exhibit U,1'!C20</f>
        <v>640869.17000000004</v>
      </c>
      <c r="F34" s="187"/>
      <c r="G34" s="187">
        <f>'Exhibit U,1'!E20</f>
        <v>6315267.6400000006</v>
      </c>
      <c r="H34" s="187"/>
      <c r="I34" s="494">
        <v>0</v>
      </c>
      <c r="J34" s="187"/>
      <c r="K34" s="494">
        <v>0</v>
      </c>
      <c r="L34" s="187"/>
      <c r="M34" s="494">
        <f t="shared" si="1"/>
        <v>24222675.330521472</v>
      </c>
      <c r="N34" s="187"/>
      <c r="O34" s="494">
        <f>C34-('Exhibit E,1'!I33)</f>
        <v>15030690.170521472</v>
      </c>
      <c r="P34" s="187"/>
      <c r="Q34" s="187">
        <f>'Exhibit U,1'!C39</f>
        <v>640869.17000000004</v>
      </c>
      <c r="R34" s="187"/>
      <c r="S34" s="187">
        <f>'Exhibit U,1'!E39</f>
        <v>6221285.9700000007</v>
      </c>
      <c r="T34" s="187"/>
      <c r="U34" s="187"/>
      <c r="V34" s="187"/>
      <c r="W34" s="187"/>
      <c r="X34" s="187"/>
      <c r="Y34" s="494">
        <f t="shared" si="2"/>
        <v>21892845.310521472</v>
      </c>
      <c r="Z34" s="305"/>
      <c r="AA34" s="25">
        <f t="shared" si="5"/>
        <v>2011</v>
      </c>
      <c r="AB34" s="137">
        <f>'Exhibit O,3'!I33</f>
        <v>9644676.9399999995</v>
      </c>
      <c r="AC34" s="137">
        <f>'Exhibit N,3'!I33</f>
        <v>7214500</v>
      </c>
      <c r="AD34" s="137">
        <f>'Exhibit M,3'!I33</f>
        <v>407297.79</v>
      </c>
      <c r="AE34" s="137">
        <f>'Exhibit L,3'!I33</f>
        <v>0</v>
      </c>
      <c r="AF34" s="172">
        <f>'Exhibit U,1'!I20</f>
        <v>640869.17000000004</v>
      </c>
      <c r="AG34" s="172">
        <f>'Exhibit U,1'!K20</f>
        <v>6315267.6400000006</v>
      </c>
      <c r="AH34" s="172"/>
      <c r="AI34" s="172">
        <f>'Exhibit V,1'!E16</f>
        <v>2375</v>
      </c>
      <c r="AJ34" s="172"/>
      <c r="AK34" s="172"/>
      <c r="AL34" s="137">
        <f t="shared" si="3"/>
        <v>24224986.539999999</v>
      </c>
      <c r="AM34" s="137">
        <v>24224986.539999999</v>
      </c>
      <c r="AN34" s="172">
        <f t="shared" si="10"/>
        <v>0</v>
      </c>
      <c r="AO34" s="39">
        <f>AM34-'Exhibit B,S3'!AM34</f>
        <v>22026.859999999404</v>
      </c>
      <c r="AP34" s="18"/>
      <c r="AQ34" s="32"/>
      <c r="AR34" s="25">
        <f t="shared" si="6"/>
        <v>2011</v>
      </c>
      <c r="AS34" s="137"/>
      <c r="AT34" s="137">
        <f>AB34+AC34-'Exhibit H,5'!C33</f>
        <v>14623328.589999998</v>
      </c>
      <c r="AU34" s="137"/>
      <c r="AV34" s="137">
        <f>AD34+AE34-'Exhibit G,3'!G33</f>
        <v>407297.79</v>
      </c>
      <c r="AW34" s="137">
        <f>'Exhibit U,5'!AB39</f>
        <v>640869.17000000004</v>
      </c>
      <c r="AX34" s="137">
        <f>'Exhibit U,8'!AB39</f>
        <v>6221285.9700000007</v>
      </c>
      <c r="AY34" s="172"/>
      <c r="AZ34" s="18">
        <f>AZ74</f>
        <v>2375</v>
      </c>
      <c r="BA34" s="172"/>
      <c r="BB34" s="172"/>
      <c r="BC34" s="137">
        <f t="shared" si="0"/>
        <v>21895156.519999996</v>
      </c>
      <c r="BD34" s="136">
        <v>21895156.52</v>
      </c>
      <c r="BE34" s="172">
        <f t="shared" si="11"/>
        <v>0</v>
      </c>
      <c r="BF34" s="39">
        <f t="shared" si="7"/>
        <v>-2329830.0200000033</v>
      </c>
      <c r="BG34" s="378">
        <v>2375</v>
      </c>
      <c r="BH34" s="172">
        <v>0</v>
      </c>
      <c r="BI34" s="611">
        <f t="shared" si="8"/>
        <v>21895156.519999996</v>
      </c>
      <c r="BJ34" s="612">
        <f t="shared" si="9"/>
        <v>0</v>
      </c>
      <c r="BK34" s="198"/>
      <c r="BL34" s="61"/>
      <c r="BM34" s="61"/>
      <c r="BN34" s="18"/>
      <c r="BO34" s="84"/>
      <c r="BP34" s="18"/>
      <c r="BQ34" s="22"/>
      <c r="BR34" s="22"/>
      <c r="BS34" s="22"/>
      <c r="BT34" s="18"/>
      <c r="BW34" s="20"/>
      <c r="BY34" s="18"/>
      <c r="BZ34" s="18"/>
      <c r="CB34" s="198"/>
      <c r="CC34" s="198"/>
      <c r="CD34" s="18"/>
      <c r="CE34" s="18"/>
      <c r="CF34" s="18"/>
      <c r="CH34" s="18"/>
      <c r="CJ34" s="18"/>
      <c r="CN34" s="18"/>
    </row>
    <row r="35" spans="1:92" ht="16">
      <c r="A35" s="6">
        <f t="shared" si="4"/>
        <v>2012</v>
      </c>
      <c r="C35" s="494">
        <f>'Exhibit J,1'!I34</f>
        <v>24597699.550252516</v>
      </c>
      <c r="D35" s="187"/>
      <c r="E35" s="187">
        <f>'Exhibit U,1'!C21</f>
        <v>4744399.03</v>
      </c>
      <c r="F35" s="187"/>
      <c r="G35" s="187">
        <f>'Exhibit U,1'!E21</f>
        <v>17569452.739999998</v>
      </c>
      <c r="H35" s="502"/>
      <c r="I35" s="494">
        <v>2375</v>
      </c>
      <c r="J35" s="502"/>
      <c r="K35" s="494">
        <v>0</v>
      </c>
      <c r="L35" s="187"/>
      <c r="M35" s="494">
        <f t="shared" si="1"/>
        <v>46913926.320252515</v>
      </c>
      <c r="N35" s="187"/>
      <c r="O35" s="494">
        <f>C35-('Exhibit E,1'!I34)</f>
        <v>18604946.000252515</v>
      </c>
      <c r="P35" s="187"/>
      <c r="Q35" s="187">
        <f>'Exhibit U,1'!C40</f>
        <v>4175261.5</v>
      </c>
      <c r="R35" s="187"/>
      <c r="S35" s="187">
        <f>'Exhibit U,1'!E40</f>
        <v>13811692.24</v>
      </c>
      <c r="T35" s="187"/>
      <c r="U35" s="494">
        <v>2375</v>
      </c>
      <c r="V35" s="187"/>
      <c r="W35" s="494">
        <v>0</v>
      </c>
      <c r="X35" s="187"/>
      <c r="Y35" s="494">
        <f t="shared" si="2"/>
        <v>36594274.740252517</v>
      </c>
      <c r="Z35" s="305"/>
      <c r="AA35" s="25">
        <f t="shared" si="5"/>
        <v>2012</v>
      </c>
      <c r="AB35" s="137">
        <f>'Exhibit O,3'!I34</f>
        <v>13501663.920000002</v>
      </c>
      <c r="AC35" s="137">
        <f>'Exhibit N,3'!I34</f>
        <v>9894999.6699999999</v>
      </c>
      <c r="AD35" s="137">
        <f>'Exhibit M,3'!I34</f>
        <v>1101243.9099999999</v>
      </c>
      <c r="AE35" s="137">
        <f>'Exhibit L,3'!I34</f>
        <v>0</v>
      </c>
      <c r="AF35" s="172">
        <f>'Exhibit U,1'!I21</f>
        <v>4744399.03</v>
      </c>
      <c r="AG35" s="172">
        <f>'Exhibit U,1'!K21</f>
        <v>17224733.84</v>
      </c>
      <c r="AH35" s="172"/>
      <c r="AI35" s="172"/>
      <c r="AJ35" s="172">
        <f>'Exhibit V,1'!U16</f>
        <v>0</v>
      </c>
      <c r="AK35" s="172"/>
      <c r="AL35" s="137">
        <f t="shared" si="3"/>
        <v>46467040.370000005</v>
      </c>
      <c r="AM35" s="137">
        <v>46467040.370000005</v>
      </c>
      <c r="AN35" s="172">
        <f t="shared" si="10"/>
        <v>0</v>
      </c>
      <c r="AO35" s="39">
        <f>AM35-'Exhibit B,S3'!AM35</f>
        <v>932936.75999999791</v>
      </c>
      <c r="AP35" s="18"/>
      <c r="AQ35" s="32"/>
      <c r="AR35" s="25">
        <f t="shared" si="6"/>
        <v>2012</v>
      </c>
      <c r="AS35" s="137"/>
      <c r="AT35" s="137">
        <f>AB35+AC35-'Exhibit H,5'!C34</f>
        <v>17403910.040000003</v>
      </c>
      <c r="AU35" s="137"/>
      <c r="AV35" s="137">
        <f>AD35+AE35-'Exhibit G,3'!G34</f>
        <v>1101243.9099999999</v>
      </c>
      <c r="AW35" s="137">
        <f>'Exhibit U,5'!AB40</f>
        <v>4175261.5</v>
      </c>
      <c r="AX35" s="137">
        <f>'Exhibit U,8'!AB40</f>
        <v>13466973.34</v>
      </c>
      <c r="AY35" s="172"/>
      <c r="AZ35" s="18"/>
      <c r="BA35" s="172"/>
      <c r="BB35" s="172"/>
      <c r="BC35" s="137">
        <f t="shared" si="0"/>
        <v>36147388.790000007</v>
      </c>
      <c r="BD35" s="136">
        <v>36147388.790000007</v>
      </c>
      <c r="BE35" s="172">
        <f t="shared" si="11"/>
        <v>0</v>
      </c>
      <c r="BF35" s="39">
        <f t="shared" si="7"/>
        <v>-10319651.579999998</v>
      </c>
      <c r="BG35" s="378">
        <v>0</v>
      </c>
      <c r="BH35" s="172">
        <v>0</v>
      </c>
      <c r="BI35" s="611">
        <f t="shared" si="8"/>
        <v>36147388.790000007</v>
      </c>
      <c r="BJ35" s="612">
        <f t="shared" si="9"/>
        <v>0</v>
      </c>
      <c r="BK35" s="198"/>
      <c r="BL35" s="61"/>
      <c r="BM35" s="61"/>
      <c r="BN35" s="18"/>
      <c r="BO35" s="84"/>
      <c r="BP35" s="18"/>
      <c r="BQ35" s="22"/>
      <c r="BR35" s="22"/>
      <c r="BS35" s="22"/>
      <c r="BT35" s="18"/>
      <c r="BU35" s="18"/>
      <c r="BW35" s="20"/>
      <c r="BY35" s="18"/>
      <c r="BZ35" s="18"/>
      <c r="CB35" s="198"/>
      <c r="CC35" s="198"/>
      <c r="CD35" s="18"/>
      <c r="CE35" s="18"/>
      <c r="CF35" s="18"/>
      <c r="CH35" s="18"/>
      <c r="CJ35" s="18"/>
      <c r="CN35" s="18"/>
    </row>
    <row r="36" spans="1:92" ht="16">
      <c r="A36" s="6">
        <f t="shared" si="4"/>
        <v>2013</v>
      </c>
      <c r="C36" s="494">
        <f>'Exhibit J,1'!I35</f>
        <v>22860285.819907136</v>
      </c>
      <c r="D36" s="187"/>
      <c r="E36" s="187">
        <f>'Exhibit U,1'!C22</f>
        <v>714842.25</v>
      </c>
      <c r="F36" s="187"/>
      <c r="G36" s="187">
        <f>'Exhibit U,1'!E22</f>
        <v>17358241.969999999</v>
      </c>
      <c r="H36" s="187"/>
      <c r="I36" s="187">
        <f>'Exhibit V,1'!C17</f>
        <v>8418.1970000000001</v>
      </c>
      <c r="J36" s="187"/>
      <c r="K36" s="187">
        <f>'Exhibit V,1'!S17</f>
        <v>0</v>
      </c>
      <c r="L36" s="187"/>
      <c r="M36" s="494">
        <f t="shared" si="1"/>
        <v>40941788.236907132</v>
      </c>
      <c r="N36" s="187"/>
      <c r="O36" s="494">
        <f>C36-('Exhibit E,1'!I35)</f>
        <v>16784891.496882103</v>
      </c>
      <c r="P36" s="187"/>
      <c r="Q36" s="187">
        <f>'Exhibit U,1'!C41</f>
        <v>714842.25</v>
      </c>
      <c r="R36" s="187"/>
      <c r="S36" s="187">
        <f>'Exhibit U,1'!E41</f>
        <v>14436830.419999998</v>
      </c>
      <c r="T36" s="187"/>
      <c r="U36" s="187">
        <f>'Exhibit V,1'!C45</f>
        <v>8418.1970000000001</v>
      </c>
      <c r="V36" s="187"/>
      <c r="W36" s="187">
        <f>'Exhibit V,1'!S45</f>
        <v>0</v>
      </c>
      <c r="X36" s="187"/>
      <c r="Y36" s="494">
        <f t="shared" si="2"/>
        <v>31944982.363882102</v>
      </c>
      <c r="Z36" s="305"/>
      <c r="AA36" s="25">
        <f t="shared" si="5"/>
        <v>2013</v>
      </c>
      <c r="AB36" s="137">
        <f>'Exhibit O,3'!I35</f>
        <v>11521638.42</v>
      </c>
      <c r="AC36" s="137">
        <f>'Exhibit N,3'!I35</f>
        <v>9340000</v>
      </c>
      <c r="AD36" s="137">
        <f>'Exhibit M,3'!I35</f>
        <v>1241946.4100000001</v>
      </c>
      <c r="AE36" s="137">
        <f>'Exhibit L,3'!I35</f>
        <v>750000</v>
      </c>
      <c r="AF36" s="172">
        <f>'Exhibit U,1'!I22</f>
        <v>714842.25</v>
      </c>
      <c r="AG36" s="172">
        <f>'Exhibit U,1'!K22</f>
        <v>15118983.609999998</v>
      </c>
      <c r="AH36" s="172"/>
      <c r="AI36" s="172">
        <f>'Exhibit V,1'!E17</f>
        <v>8418.1970000000001</v>
      </c>
      <c r="AJ36" s="172">
        <f>'Exhibit V,1'!U17</f>
        <v>0</v>
      </c>
      <c r="AK36" s="172"/>
      <c r="AL36" s="137">
        <f t="shared" si="3"/>
        <v>38695828.886999995</v>
      </c>
      <c r="AM36" s="137">
        <v>38695828.886999995</v>
      </c>
      <c r="AN36" s="172">
        <f t="shared" si="10"/>
        <v>0</v>
      </c>
      <c r="AO36" s="39">
        <f>AM36-'Exhibit B,S3'!AM36</f>
        <v>4364193.7100000009</v>
      </c>
      <c r="AP36" s="18"/>
      <c r="AQ36" s="32"/>
      <c r="AR36" s="25">
        <f t="shared" si="6"/>
        <v>2013</v>
      </c>
      <c r="AS36" s="137"/>
      <c r="AT36" s="137">
        <f>AB36+AC36-'Exhibit H,5'!C35</f>
        <v>14786244.440000001</v>
      </c>
      <c r="AU36" s="137"/>
      <c r="AV36" s="137">
        <f>AD36+AE36-'Exhibit G,3'!G35</f>
        <v>1991946.4100000001</v>
      </c>
      <c r="AW36" s="137">
        <f>'Exhibit U,5'!AB41</f>
        <v>714842.25</v>
      </c>
      <c r="AX36" s="137">
        <f>'Exhibit U,8'!AB41</f>
        <v>12472572.059999999</v>
      </c>
      <c r="AY36" s="172"/>
      <c r="AZ36" s="18">
        <f>AZ76</f>
        <v>8418.1970000000001</v>
      </c>
      <c r="BA36" s="172"/>
      <c r="BB36" s="172"/>
      <c r="BC36" s="137">
        <f t="shared" si="0"/>
        <v>29974023.357000001</v>
      </c>
      <c r="BD36" s="136">
        <v>29974023.356999993</v>
      </c>
      <c r="BE36" s="172">
        <f t="shared" si="11"/>
        <v>0</v>
      </c>
      <c r="BF36" s="39">
        <f t="shared" si="7"/>
        <v>-8721805.5299999937</v>
      </c>
      <c r="BG36" s="378">
        <v>8418.1970000000001</v>
      </c>
      <c r="BH36" s="172">
        <v>0</v>
      </c>
      <c r="BI36" s="611">
        <f t="shared" si="8"/>
        <v>29974023.357000001</v>
      </c>
      <c r="BJ36" s="612">
        <f t="shared" si="9"/>
        <v>0</v>
      </c>
      <c r="BK36" s="198"/>
      <c r="BL36" s="61"/>
      <c r="BM36" s="61"/>
      <c r="BN36" s="18"/>
      <c r="BO36" s="84"/>
      <c r="BP36" s="18"/>
      <c r="BQ36" s="22"/>
      <c r="BR36" s="22"/>
      <c r="BS36" s="22"/>
      <c r="BT36" s="18"/>
      <c r="BW36" s="20"/>
      <c r="BY36" s="18"/>
      <c r="BZ36" s="18"/>
      <c r="CB36" s="198"/>
      <c r="CC36" s="198"/>
      <c r="CD36" s="18"/>
      <c r="CE36" s="18"/>
      <c r="CF36" s="18"/>
      <c r="CH36" s="18"/>
      <c r="CJ36" s="18"/>
      <c r="CN36" s="18"/>
    </row>
    <row r="37" spans="1:92" ht="16">
      <c r="A37" s="6">
        <f t="shared" si="4"/>
        <v>2014</v>
      </c>
      <c r="C37" s="494">
        <f>'Exhibit J,1'!I36</f>
        <v>15962424.522682093</v>
      </c>
      <c r="D37" s="187"/>
      <c r="E37" s="187">
        <f>'Exhibit U,1'!C23</f>
        <v>3172203.93</v>
      </c>
      <c r="F37" s="187"/>
      <c r="G37" s="187">
        <f>'Exhibit U,1'!E23</f>
        <v>21073817.018735245</v>
      </c>
      <c r="H37" s="187"/>
      <c r="I37" s="187">
        <f>'Exhibit V,1'!C18</f>
        <v>3802613.0536734839</v>
      </c>
      <c r="J37" s="187"/>
      <c r="K37" s="187">
        <f>'Exhibit V,1'!S18</f>
        <v>1065256.4509738579</v>
      </c>
      <c r="L37" s="187"/>
      <c r="M37" s="494">
        <f t="shared" si="1"/>
        <v>45076314.976064682</v>
      </c>
      <c r="N37" s="187"/>
      <c r="O37" s="494">
        <f>C37-('Exhibit E,1'!I36)</f>
        <v>14632789.526204079</v>
      </c>
      <c r="P37" s="187"/>
      <c r="Q37" s="187">
        <f>'Exhibit U,1'!C42</f>
        <v>2642156.08</v>
      </c>
      <c r="R37" s="187"/>
      <c r="S37" s="187">
        <f>'Exhibit U,1'!E42</f>
        <v>16424629.659670547</v>
      </c>
      <c r="T37" s="187"/>
      <c r="U37" s="187">
        <f>'Exhibit V,1'!C46</f>
        <v>905177.69367348356</v>
      </c>
      <c r="V37" s="187"/>
      <c r="W37" s="187">
        <f>'Exhibit V,1'!S46</f>
        <v>1063246.2676828196</v>
      </c>
      <c r="X37" s="187"/>
      <c r="Y37" s="494">
        <f t="shared" si="2"/>
        <v>35667999.227230929</v>
      </c>
      <c r="Z37" s="305"/>
      <c r="AA37" s="25">
        <f t="shared" si="5"/>
        <v>2014</v>
      </c>
      <c r="AB37" s="137">
        <f>'Exhibit O,3'!I36</f>
        <v>10461936.190000001</v>
      </c>
      <c r="AC37" s="137">
        <f>'Exhibit N,3'!I36</f>
        <v>2935000</v>
      </c>
      <c r="AD37" s="137">
        <f>'Exhibit M,3'!I36</f>
        <v>543806.18000000005</v>
      </c>
      <c r="AE37" s="137">
        <f>'Exhibit L,3'!I36</f>
        <v>0</v>
      </c>
      <c r="AF37" s="172">
        <f>'Exhibit U,1'!I23</f>
        <v>3172203.93</v>
      </c>
      <c r="AG37" s="172">
        <f>'Exhibit U,1'!K23</f>
        <v>17623388.829999998</v>
      </c>
      <c r="AH37" s="172"/>
      <c r="AI37" s="172">
        <f>'Exhibit V,1'!E18</f>
        <v>3800456.0380000002</v>
      </c>
      <c r="AJ37" s="172">
        <f>'Exhibit V,1'!U18</f>
        <v>57448.476000000002</v>
      </c>
      <c r="AK37" s="172"/>
      <c r="AL37" s="137">
        <f t="shared" si="3"/>
        <v>38594239.644000001</v>
      </c>
      <c r="AM37" s="137">
        <v>38594239.644000001</v>
      </c>
      <c r="AN37" s="172">
        <f t="shared" si="10"/>
        <v>0</v>
      </c>
      <c r="AO37" s="39">
        <f>AM37-'Exhibit B,S3'!AM37</f>
        <v>1405876.6049999967</v>
      </c>
      <c r="AP37" s="18"/>
      <c r="AQ37" s="32"/>
      <c r="AR37" s="25">
        <f t="shared" si="6"/>
        <v>2014</v>
      </c>
      <c r="AS37" s="137"/>
      <c r="AT37" s="137">
        <f>AB37+AC37-'Exhibit H,5'!C36</f>
        <v>12067361.120000001</v>
      </c>
      <c r="AU37" s="137"/>
      <c r="AV37" s="137">
        <f>AD37+AE37-'Exhibit G,3'!G36</f>
        <v>543806.18000000005</v>
      </c>
      <c r="AW37" s="137">
        <f>'Exhibit U,5'!AB42</f>
        <v>2642156.08</v>
      </c>
      <c r="AX37" s="137">
        <f>'Exhibit U,8'!AB42</f>
        <v>12983281.349999998</v>
      </c>
      <c r="AY37" s="172"/>
      <c r="AZ37" s="137">
        <f>'Exhibit V,1'!E46</f>
        <v>903020.67800000031</v>
      </c>
      <c r="BA37" s="137">
        <f>'Exhibit V,1'!U46</f>
        <v>57448.476000000002</v>
      </c>
      <c r="BB37" s="172"/>
      <c r="BC37" s="137">
        <f>SUM(AS37:BA37)</f>
        <v>29197073.883999996</v>
      </c>
      <c r="BD37" s="136">
        <v>29197073.884</v>
      </c>
      <c r="BE37" s="172">
        <f t="shared" si="11"/>
        <v>0</v>
      </c>
      <c r="BF37" s="39">
        <f t="shared" si="7"/>
        <v>-9397165.7600000054</v>
      </c>
      <c r="BG37" s="378">
        <v>903020.67800000031</v>
      </c>
      <c r="BH37" s="172">
        <v>57448.476000000002</v>
      </c>
      <c r="BI37" s="611">
        <f t="shared" si="8"/>
        <v>29197073.883999996</v>
      </c>
      <c r="BJ37" s="612">
        <f t="shared" si="9"/>
        <v>0</v>
      </c>
      <c r="BK37" s="198"/>
      <c r="BL37" s="61"/>
      <c r="BM37" s="61"/>
      <c r="BN37" s="18"/>
      <c r="BO37" s="84"/>
      <c r="BP37" s="18"/>
      <c r="BQ37" s="22"/>
      <c r="BR37" s="22"/>
      <c r="BS37" s="22"/>
      <c r="BT37" s="18"/>
      <c r="BW37" s="20"/>
      <c r="BY37" s="18"/>
      <c r="BZ37" s="18"/>
      <c r="CB37" s="198"/>
      <c r="CC37" s="198"/>
      <c r="CD37" s="18"/>
      <c r="CE37" s="18"/>
      <c r="CF37" s="18"/>
      <c r="CH37" s="18"/>
      <c r="CJ37" s="18"/>
      <c r="CL37" s="18"/>
      <c r="CN37" s="18"/>
    </row>
    <row r="38" spans="1:92" ht="16">
      <c r="A38" s="6">
        <f t="shared" si="4"/>
        <v>2015</v>
      </c>
      <c r="C38" s="494">
        <f>'Exhibit J,1'!I37</f>
        <v>21762732.912607614</v>
      </c>
      <c r="D38" s="187"/>
      <c r="E38" s="187">
        <f>'Exhibit U,1'!C24</f>
        <v>1881397.8199999998</v>
      </c>
      <c r="F38" s="187"/>
      <c r="G38" s="187">
        <f>'Exhibit U,1'!E24</f>
        <v>4064067.5546318418</v>
      </c>
      <c r="H38" s="187"/>
      <c r="I38" s="187">
        <f>'Exhibit V,1'!C19</f>
        <v>2467321.1415077848</v>
      </c>
      <c r="J38" s="187"/>
      <c r="K38" s="187">
        <f>'Exhibit V,1'!S19</f>
        <v>371474.1982110159</v>
      </c>
      <c r="L38" s="187"/>
      <c r="M38" s="494">
        <f t="shared" si="1"/>
        <v>30546993.626958255</v>
      </c>
      <c r="N38" s="187"/>
      <c r="O38" s="494">
        <f>C38-('Exhibit E,1'!I37)</f>
        <v>20436093.931631513</v>
      </c>
      <c r="P38" s="187"/>
      <c r="Q38" s="187">
        <f>'Exhibit U,1'!C43</f>
        <v>1881397.8199999998</v>
      </c>
      <c r="R38" s="187"/>
      <c r="S38" s="187">
        <f>'Exhibit U,1'!E43</f>
        <v>3610515.3318520281</v>
      </c>
      <c r="T38" s="187"/>
      <c r="U38" s="187">
        <f>'Exhibit V,1'!C47</f>
        <v>2467321.1415077848</v>
      </c>
      <c r="V38" s="187"/>
      <c r="W38" s="187">
        <f>'Exhibit V,1'!S47</f>
        <v>113062.13896402676</v>
      </c>
      <c r="X38" s="187"/>
      <c r="Y38" s="494">
        <f t="shared" si="2"/>
        <v>28508390.363955352</v>
      </c>
      <c r="Z38" s="305"/>
      <c r="AA38" s="25">
        <f t="shared" si="5"/>
        <v>2015</v>
      </c>
      <c r="AB38" s="137">
        <f>'Exhibit O,3'!I37</f>
        <v>12346657.799999997</v>
      </c>
      <c r="AC38" s="137">
        <f>'Exhibit N,3'!I37</f>
        <v>6425000</v>
      </c>
      <c r="AD38" s="137">
        <f>'Exhibit M,3'!I37</f>
        <v>551635.24</v>
      </c>
      <c r="AE38" s="137">
        <f>'Exhibit L,3'!I37</f>
        <v>100000</v>
      </c>
      <c r="AF38" s="172">
        <f>'Exhibit U,1'!I24</f>
        <v>1881397.8199999998</v>
      </c>
      <c r="AG38" s="172">
        <f>'Exhibit U,1'!K24</f>
        <v>2896938.19</v>
      </c>
      <c r="AH38" s="172"/>
      <c r="AI38" s="172">
        <f>'Exhibit V,1'!E19</f>
        <v>2455021.122</v>
      </c>
      <c r="AJ38" s="172">
        <f>'Exhibit V,1'!U19</f>
        <v>320970.84749999997</v>
      </c>
      <c r="AK38" s="172"/>
      <c r="AL38" s="137">
        <f t="shared" si="3"/>
        <v>26977621.019499999</v>
      </c>
      <c r="AM38" s="137">
        <v>26977621.019499999</v>
      </c>
      <c r="AN38" s="172">
        <f t="shared" si="10"/>
        <v>0</v>
      </c>
      <c r="AO38" s="39">
        <f>AM38-'Exhibit B,S3'!AM38</f>
        <v>2863332.0700000003</v>
      </c>
      <c r="AP38" s="18"/>
      <c r="AQ38" s="32"/>
      <c r="AR38" s="25">
        <f t="shared" si="6"/>
        <v>2015</v>
      </c>
      <c r="AS38" s="137"/>
      <c r="AT38" s="137">
        <f>AB38+AC38-'Exhibit H,5'!C37</f>
        <v>17446052.859999996</v>
      </c>
      <c r="AU38" s="137"/>
      <c r="AV38" s="137">
        <f>AD38+AE38-'Exhibit G,3'!G37</f>
        <v>651635.24</v>
      </c>
      <c r="AW38" s="137">
        <f>'Exhibit U,5'!AB43</f>
        <v>1881397.8199999998</v>
      </c>
      <c r="AX38" s="137">
        <f>'Exhibit U,8'!AB43</f>
        <v>2457376.4899999998</v>
      </c>
      <c r="AY38" s="172"/>
      <c r="AZ38" s="137">
        <f>'Exhibit V,1'!E47</f>
        <v>2455021.122</v>
      </c>
      <c r="BA38" s="137">
        <f>'Exhibit V,1'!U47</f>
        <v>63884.517499999958</v>
      </c>
      <c r="BB38" s="172"/>
      <c r="BC38" s="137">
        <f t="shared" si="0"/>
        <v>24955368.049499992</v>
      </c>
      <c r="BD38" s="136">
        <v>24955368.0495</v>
      </c>
      <c r="BE38" s="172">
        <f t="shared" si="11"/>
        <v>0</v>
      </c>
      <c r="BF38" s="39">
        <f t="shared" si="7"/>
        <v>-2022252.9700000063</v>
      </c>
      <c r="BG38" s="378">
        <v>2455021.122</v>
      </c>
      <c r="BH38" s="172">
        <v>63884.517499999958</v>
      </c>
      <c r="BI38" s="611">
        <f t="shared" si="8"/>
        <v>24955368.049499992</v>
      </c>
      <c r="BJ38" s="612">
        <f t="shared" si="9"/>
        <v>0</v>
      </c>
      <c r="BK38" s="198"/>
      <c r="BL38" s="61"/>
      <c r="BM38" s="61"/>
      <c r="BN38" s="18"/>
      <c r="BO38" s="84"/>
      <c r="BP38" s="18"/>
      <c r="BQ38" s="22"/>
      <c r="BR38" s="22"/>
      <c r="BS38" s="22"/>
      <c r="BT38" s="18"/>
      <c r="BW38" s="20"/>
      <c r="BY38" s="18"/>
      <c r="BZ38" s="18"/>
      <c r="CB38" s="198"/>
      <c r="CC38" s="198"/>
      <c r="CD38" s="18"/>
      <c r="CE38" s="18"/>
      <c r="CF38" s="18"/>
      <c r="CH38" s="18"/>
      <c r="CJ38" s="18"/>
      <c r="CL38" s="18"/>
      <c r="CN38" s="18"/>
    </row>
    <row r="39" spans="1:92" ht="16">
      <c r="A39" s="6">
        <f t="shared" si="4"/>
        <v>2016</v>
      </c>
      <c r="C39" s="494">
        <f>'Exhibit J,1'!I38</f>
        <v>18111121.88687335</v>
      </c>
      <c r="D39" s="187"/>
      <c r="E39" s="187">
        <f>'Exhibit U,1'!C25</f>
        <v>5152134.53</v>
      </c>
      <c r="F39" s="187"/>
      <c r="G39" s="187">
        <f>'Exhibit U,1'!E25</f>
        <v>11631693.045840388</v>
      </c>
      <c r="H39" s="187"/>
      <c r="I39" s="187">
        <f>'Exhibit V,1'!C20</f>
        <v>2791129.8596265609</v>
      </c>
      <c r="J39" s="187"/>
      <c r="K39" s="187">
        <f>'Exhibit V,1'!S20</f>
        <v>11907540.336780919</v>
      </c>
      <c r="L39" s="187"/>
      <c r="M39" s="494">
        <f t="shared" si="1"/>
        <v>49593619.659121223</v>
      </c>
      <c r="N39" s="187"/>
      <c r="O39" s="494">
        <f>C39-('Exhibit E,1'!I38)</f>
        <v>14664984.477034571</v>
      </c>
      <c r="P39" s="187"/>
      <c r="Q39" s="187">
        <f>'Exhibit U,1'!C44</f>
        <v>2097568.7800000003</v>
      </c>
      <c r="R39" s="187"/>
      <c r="S39" s="187">
        <f>'Exhibit U,1'!E44</f>
        <v>8608263.2542770319</v>
      </c>
      <c r="T39" s="187"/>
      <c r="U39" s="187">
        <f>'Exhibit V,1'!C48</f>
        <v>1929624.9196265612</v>
      </c>
      <c r="V39" s="187"/>
      <c r="W39" s="187">
        <f>'Exhibit V,1'!S48</f>
        <v>11029570.699408023</v>
      </c>
      <c r="X39" s="187"/>
      <c r="Y39" s="494">
        <f t="shared" si="2"/>
        <v>38330012.130346186</v>
      </c>
      <c r="Z39" s="305"/>
      <c r="AA39" s="25">
        <f t="shared" si="5"/>
        <v>2016</v>
      </c>
      <c r="AB39" s="137">
        <f>'Exhibit O,3'!I38</f>
        <v>7828612.1600000001</v>
      </c>
      <c r="AC39" s="137">
        <f>'Exhibit N,3'!I38</f>
        <v>2900000</v>
      </c>
      <c r="AD39" s="137">
        <f>'Exhibit M,3'!I38</f>
        <v>2690014.8499999996</v>
      </c>
      <c r="AE39" s="137">
        <f>'Exhibit L,3'!I38</f>
        <v>1850000</v>
      </c>
      <c r="AF39" s="172">
        <f>'Exhibit U,1'!I25</f>
        <v>4349527.58</v>
      </c>
      <c r="AG39" s="172">
        <f>'Exhibit U,1'!K25</f>
        <v>6553623.2299999995</v>
      </c>
      <c r="AH39" s="172"/>
      <c r="AI39" s="172">
        <f>'Exhibit V,1'!E20</f>
        <v>2739679.0554999998</v>
      </c>
      <c r="AJ39" s="172">
        <f>'Exhibit V,1'!U20</f>
        <v>11277703.887499999</v>
      </c>
      <c r="AK39" s="172"/>
      <c r="AL39" s="137">
        <f t="shared" si="3"/>
        <v>40189160.762999997</v>
      </c>
      <c r="AM39" s="137">
        <v>40189160.763000004</v>
      </c>
      <c r="AN39" s="172">
        <f t="shared" si="10"/>
        <v>0</v>
      </c>
      <c r="AO39" s="39">
        <f>AM39-'Exhibit B,S3'!AM39</f>
        <v>5319339.8945000023</v>
      </c>
      <c r="AP39" s="18"/>
      <c r="AQ39" s="32"/>
      <c r="AR39" s="25">
        <f t="shared" si="6"/>
        <v>2016</v>
      </c>
      <c r="AS39" s="137"/>
      <c r="AT39" s="137">
        <f>AB39+AC39-'Exhibit H,5'!C38</f>
        <v>8933123.8399999999</v>
      </c>
      <c r="AU39" s="137"/>
      <c r="AV39" s="137">
        <f>AD39+AE39-'Exhibit G,3'!G38</f>
        <v>3683738.7399999998</v>
      </c>
      <c r="AW39" s="137">
        <f>'Exhibit U,5'!AB44</f>
        <v>1294961.8300000005</v>
      </c>
      <c r="AX39" s="137">
        <f>'Exhibit U,8'!AB44</f>
        <v>4736396.97</v>
      </c>
      <c r="AY39" s="172"/>
      <c r="AZ39" s="137">
        <f>'Exhibit V,1'!E48</f>
        <v>1878174.1154999998</v>
      </c>
      <c r="BA39" s="137">
        <f>'Exhibit V,1'!U48</f>
        <v>10417143.0275</v>
      </c>
      <c r="BB39" s="172"/>
      <c r="BC39" s="137">
        <f t="shared" si="0"/>
        <v>30943538.522999998</v>
      </c>
      <c r="BD39" s="136">
        <v>30943538.523000006</v>
      </c>
      <c r="BE39" s="172">
        <f t="shared" si="11"/>
        <v>0</v>
      </c>
      <c r="BF39" s="39">
        <f t="shared" si="7"/>
        <v>-9245622.2399999984</v>
      </c>
      <c r="BG39" s="378">
        <v>1878174.1154999998</v>
      </c>
      <c r="BH39" s="172">
        <v>10417143.0275</v>
      </c>
      <c r="BI39" s="611">
        <f t="shared" si="8"/>
        <v>30943538.522999998</v>
      </c>
      <c r="BJ39" s="612">
        <f t="shared" si="9"/>
        <v>0</v>
      </c>
      <c r="BK39" s="198"/>
      <c r="BL39" s="61"/>
      <c r="BM39" s="61"/>
      <c r="BN39" s="18"/>
      <c r="BO39" s="84"/>
      <c r="BP39" s="18"/>
      <c r="BQ39" s="22"/>
      <c r="BR39" s="22"/>
      <c r="BS39" s="22"/>
      <c r="BT39" s="18"/>
      <c r="BU39" s="22"/>
      <c r="BV39" s="22"/>
      <c r="BW39" s="20"/>
      <c r="BY39" s="18"/>
      <c r="BZ39" s="18"/>
      <c r="CB39" s="198"/>
      <c r="CC39" s="198"/>
      <c r="CD39" s="18"/>
      <c r="CE39" s="18"/>
      <c r="CF39" s="18"/>
      <c r="CH39" s="18"/>
      <c r="CJ39" s="18"/>
      <c r="CL39" s="18"/>
      <c r="CN39" s="18"/>
    </row>
    <row r="40" spans="1:92" ht="16">
      <c r="A40" s="6">
        <f t="shared" si="4"/>
        <v>2017</v>
      </c>
      <c r="C40" s="494">
        <f>'Exhibit J,1'!I39</f>
        <v>8346208.1251716623</v>
      </c>
      <c r="D40" s="187"/>
      <c r="E40" s="187">
        <f>'Exhibit U,1'!C26</f>
        <v>305163.03999999998</v>
      </c>
      <c r="F40" s="187"/>
      <c r="G40" s="187">
        <f>'Exhibit U,1'!E26</f>
        <v>11261564.203882288</v>
      </c>
      <c r="H40" s="187"/>
      <c r="I40" s="187">
        <f>'Exhibit V,1'!C21</f>
        <v>1933758.3233675407</v>
      </c>
      <c r="J40" s="187"/>
      <c r="K40" s="187">
        <f>'Exhibit V,1'!S21</f>
        <v>7843705.8491707006</v>
      </c>
      <c r="L40" s="187"/>
      <c r="M40" s="494">
        <f t="shared" si="1"/>
        <v>29690399.541592192</v>
      </c>
      <c r="N40" s="187"/>
      <c r="O40" s="494">
        <f>C40-('Exhibit E,1'!I39)</f>
        <v>8094842.0449603274</v>
      </c>
      <c r="P40" s="187"/>
      <c r="Q40" s="187">
        <f>'Exhibit U,1'!C45</f>
        <v>305163.03999999998</v>
      </c>
      <c r="R40" s="187"/>
      <c r="S40" s="187">
        <f>'Exhibit U,1'!E45</f>
        <v>8555253.1997112818</v>
      </c>
      <c r="T40" s="187"/>
      <c r="U40" s="187">
        <f>'Exhibit V,1'!C49</f>
        <v>1933758.3233675407</v>
      </c>
      <c r="V40" s="187"/>
      <c r="W40" s="187">
        <f>'Exhibit V,1'!S49</f>
        <v>6960004.225172</v>
      </c>
      <c r="X40" s="187"/>
      <c r="Y40" s="494">
        <f t="shared" si="2"/>
        <v>25849020.833211146</v>
      </c>
      <c r="Z40" s="305"/>
      <c r="AA40" s="25">
        <f t="shared" si="5"/>
        <v>2017</v>
      </c>
      <c r="AB40" s="137">
        <f>'Exhibit O,3'!I39</f>
        <v>4491655.9499999993</v>
      </c>
      <c r="AC40" s="137">
        <f>'Exhibit N,3'!I39</f>
        <v>675000</v>
      </c>
      <c r="AD40" s="137">
        <f>'Exhibit M,3'!I39</f>
        <v>97119.950000000012</v>
      </c>
      <c r="AE40" s="137">
        <f>'Exhibit L,3'!I39</f>
        <v>0</v>
      </c>
      <c r="AF40" s="172">
        <f>'Exhibit U,1'!I26</f>
        <v>296163.03999999998</v>
      </c>
      <c r="AG40" s="172">
        <f>'Exhibit U,1'!K26</f>
        <v>6540671.2999999998</v>
      </c>
      <c r="AH40" s="172"/>
      <c r="AI40" s="172">
        <f>'Exhibit V,1'!E21</f>
        <v>1607026.1464999998</v>
      </c>
      <c r="AJ40" s="172">
        <f>'Exhibit V,1'!U21</f>
        <v>6096433.2805000003</v>
      </c>
      <c r="AK40" s="172"/>
      <c r="AL40" s="137">
        <f t="shared" si="3"/>
        <v>19804069.666999996</v>
      </c>
      <c r="AM40" s="137">
        <v>19804069.666999999</v>
      </c>
      <c r="AN40" s="172">
        <f t="shared" si="10"/>
        <v>0</v>
      </c>
      <c r="AO40" s="39">
        <f>AM40-'Exhibit B,S3'!AM40</f>
        <v>3308400.5779999997</v>
      </c>
      <c r="AP40" s="18"/>
      <c r="AQ40" s="32"/>
      <c r="AR40" s="25">
        <f t="shared" si="6"/>
        <v>2017</v>
      </c>
      <c r="AS40" s="137"/>
      <c r="AT40" s="137">
        <f>AB40+AC40-'Exhibit H,5'!C39</f>
        <v>5166655.9499999993</v>
      </c>
      <c r="AU40" s="137"/>
      <c r="AV40" s="137">
        <f>AD40+AE40-'Exhibit G,3'!G39</f>
        <v>97119.950000000012</v>
      </c>
      <c r="AW40" s="137">
        <f>'Exhibit U,5'!AB45</f>
        <v>296163.03999999998</v>
      </c>
      <c r="AX40" s="137">
        <f>'Exhibit U,8'!AB45</f>
        <v>4058756.9299999997</v>
      </c>
      <c r="AY40" s="172"/>
      <c r="AZ40" s="137">
        <f>'Exhibit V,1'!E49</f>
        <v>1607026.1464999998</v>
      </c>
      <c r="BA40" s="137">
        <f>'Exhibit V,1'!U49</f>
        <v>5267959.3905000007</v>
      </c>
      <c r="BB40" s="172"/>
      <c r="BC40" s="137">
        <f t="shared" si="0"/>
        <v>16493681.407000002</v>
      </c>
      <c r="BD40" s="136">
        <v>16493681.407</v>
      </c>
      <c r="BE40" s="172">
        <f t="shared" si="11"/>
        <v>0</v>
      </c>
      <c r="BF40" s="39">
        <f t="shared" si="7"/>
        <v>-3310388.2599999942</v>
      </c>
      <c r="BG40" s="378">
        <v>1607026.1464999998</v>
      </c>
      <c r="BH40" s="172">
        <v>5267959.3905000007</v>
      </c>
      <c r="BI40" s="611">
        <f t="shared" si="8"/>
        <v>16493681.407000002</v>
      </c>
      <c r="BJ40" s="612">
        <f t="shared" si="9"/>
        <v>0</v>
      </c>
      <c r="BK40" s="198"/>
      <c r="BL40" s="61"/>
      <c r="BM40" s="61"/>
      <c r="BN40" s="18"/>
      <c r="BO40" s="84"/>
      <c r="BP40" s="18"/>
      <c r="BQ40" s="22"/>
      <c r="BR40" s="22"/>
      <c r="BS40" s="22"/>
      <c r="BT40" s="18"/>
      <c r="BU40" s="22"/>
      <c r="BV40" s="22"/>
      <c r="BW40" s="20"/>
      <c r="BY40" s="18"/>
      <c r="BZ40" s="18"/>
      <c r="CB40" s="198"/>
      <c r="CC40" s="198"/>
      <c r="CD40" s="18"/>
      <c r="CE40" s="18"/>
      <c r="CF40" s="18"/>
      <c r="CH40" s="18"/>
      <c r="CJ40" s="18"/>
      <c r="CL40" s="18"/>
      <c r="CN40" s="18"/>
    </row>
    <row r="41" spans="1:92" ht="16">
      <c r="A41" s="6">
        <f t="shared" si="4"/>
        <v>2018</v>
      </c>
      <c r="C41" s="494">
        <f>'Exhibit J,1'!I40</f>
        <v>19272944.687309615</v>
      </c>
      <c r="D41" s="187"/>
      <c r="E41" s="187">
        <f>'Exhibit U,1'!C27</f>
        <v>898335.37</v>
      </c>
      <c r="F41" s="187"/>
      <c r="G41" s="187">
        <f>'Exhibit U,1'!E27</f>
        <v>7006078.1762927808</v>
      </c>
      <c r="H41" s="187"/>
      <c r="I41" s="187">
        <f>'Exhibit V,1'!C22</f>
        <v>600050.60388452851</v>
      </c>
      <c r="J41" s="187"/>
      <c r="K41" s="187">
        <f>'Exhibit V,1'!S22</f>
        <v>17419630.135781612</v>
      </c>
      <c r="L41" s="187"/>
      <c r="M41" s="494">
        <f t="shared" si="1"/>
        <v>45197038.973268539</v>
      </c>
      <c r="N41" s="187"/>
      <c r="O41" s="494">
        <f>C41-('Exhibit E,1'!I40)</f>
        <v>16361956.053404205</v>
      </c>
      <c r="P41" s="187"/>
      <c r="Q41" s="187">
        <f>'Exhibit U,1'!C46</f>
        <v>898335.37</v>
      </c>
      <c r="R41" s="187"/>
      <c r="S41" s="187">
        <f>'Exhibit U,1'!E46</f>
        <v>6273734.8345578294</v>
      </c>
      <c r="T41" s="187"/>
      <c r="U41" s="187">
        <f>'Exhibit V,1'!C50</f>
        <v>600050.60388452851</v>
      </c>
      <c r="V41" s="187"/>
      <c r="W41" s="187">
        <f>'Exhibit V,1'!S50</f>
        <v>16840176.260503411</v>
      </c>
      <c r="X41" s="187"/>
      <c r="Y41" s="494">
        <f t="shared" si="2"/>
        <v>40974253.122349977</v>
      </c>
      <c r="AA41" s="25">
        <f t="shared" si="5"/>
        <v>2018</v>
      </c>
      <c r="AB41" s="137">
        <f>'Exhibit O,3'!I40</f>
        <v>5586887.2999999998</v>
      </c>
      <c r="AC41" s="137">
        <f>'Exhibit N,3'!I40</f>
        <v>1810000</v>
      </c>
      <c r="AD41" s="137">
        <f>'Exhibit M,3'!I40</f>
        <v>796731.98</v>
      </c>
      <c r="AE41" s="137">
        <f>'Exhibit L,3'!I40</f>
        <v>215000</v>
      </c>
      <c r="AF41" s="172">
        <f>'Exhibit U,1'!I27</f>
        <v>409498.17</v>
      </c>
      <c r="AG41" s="172">
        <f>'Exhibit U,1'!K27</f>
        <v>1434620.3199999998</v>
      </c>
      <c r="AH41" s="172"/>
      <c r="AI41" s="172">
        <f>'Exhibit V,1'!E22</f>
        <v>79087.215000000011</v>
      </c>
      <c r="AJ41" s="172">
        <f>'Exhibit V,1'!U22</f>
        <v>6631953.1729999995</v>
      </c>
      <c r="AK41" s="172"/>
      <c r="AL41" s="137">
        <f t="shared" si="3"/>
        <v>16963778.158</v>
      </c>
      <c r="AM41" s="137">
        <v>16963778.157999996</v>
      </c>
      <c r="AN41" s="172">
        <f t="shared" si="10"/>
        <v>0</v>
      </c>
      <c r="AO41" s="39">
        <f>AM41-'Exhibit B,S3'!AM41</f>
        <v>3568918.4144999981</v>
      </c>
      <c r="AP41" s="18"/>
      <c r="AQ41" s="32"/>
      <c r="AR41" s="25">
        <f t="shared" si="6"/>
        <v>2018</v>
      </c>
      <c r="AS41" s="137"/>
      <c r="AT41" s="137">
        <f>AB41+AC41-'Exhibit H,5'!C40</f>
        <v>7396887.2999999998</v>
      </c>
      <c r="AU41" s="137"/>
      <c r="AV41" s="137">
        <f>AD41+AE41-'Exhibit G,3'!G40</f>
        <v>1011731.98</v>
      </c>
      <c r="AW41" s="137">
        <f>'Exhibit U,5'!AB46</f>
        <v>409498.17</v>
      </c>
      <c r="AX41" s="137">
        <f>'Exhibit U,8'!AB46</f>
        <v>1434620.3199999998</v>
      </c>
      <c r="AY41" s="172"/>
      <c r="AZ41" s="137">
        <f>'Exhibit V,1'!E50</f>
        <v>79087.215000000011</v>
      </c>
      <c r="BA41" s="137">
        <f>'Exhibit V,1'!U50</f>
        <v>6557000.9829999991</v>
      </c>
      <c r="BB41" s="172"/>
      <c r="BC41" s="137">
        <f t="shared" si="0"/>
        <v>16888825.967999998</v>
      </c>
      <c r="BD41" s="136">
        <v>16888825.967999995</v>
      </c>
      <c r="BE41" s="172">
        <f t="shared" si="11"/>
        <v>0</v>
      </c>
      <c r="BF41" s="39">
        <f t="shared" si="7"/>
        <v>-74952.190000001341</v>
      </c>
      <c r="BG41" s="378">
        <v>79087.215000000011</v>
      </c>
      <c r="BH41" s="172">
        <v>6557000.9829999991</v>
      </c>
      <c r="BI41" s="611">
        <f t="shared" si="8"/>
        <v>16888825.967999998</v>
      </c>
      <c r="BJ41" s="612">
        <f t="shared" si="9"/>
        <v>0</v>
      </c>
      <c r="BK41" s="198"/>
      <c r="BL41" s="61"/>
      <c r="BM41" s="61"/>
      <c r="BN41" s="18"/>
      <c r="BO41" s="84"/>
      <c r="BP41" s="18"/>
      <c r="BQ41" s="22"/>
      <c r="BR41" s="22"/>
      <c r="BS41" s="22"/>
      <c r="BT41" s="18"/>
      <c r="BU41" s="22"/>
      <c r="BV41" s="22"/>
      <c r="BW41" s="20"/>
      <c r="BY41" s="18"/>
      <c r="BZ41" s="18"/>
      <c r="CB41" s="198"/>
      <c r="CC41" s="198"/>
      <c r="CD41" s="18"/>
      <c r="CE41" s="18"/>
      <c r="CF41" s="18"/>
      <c r="CH41" s="18"/>
      <c r="CJ41" s="18"/>
      <c r="CL41" s="18"/>
      <c r="CN41" s="18"/>
    </row>
    <row r="42" spans="1:92" ht="16">
      <c r="A42" s="6">
        <f t="shared" si="4"/>
        <v>2019</v>
      </c>
      <c r="C42" s="494">
        <f>'Exhibit J,1'!I41</f>
        <v>17141755.175084718</v>
      </c>
      <c r="D42" s="187"/>
      <c r="E42" s="187">
        <f>'Exhibit U,1'!C28</f>
        <v>485623.37068461761</v>
      </c>
      <c r="F42" s="187"/>
      <c r="G42" s="187">
        <f>'Exhibit U,1'!E28</f>
        <v>6712613.7859857585</v>
      </c>
      <c r="H42" s="187"/>
      <c r="I42" s="187">
        <f>'Exhibit V,1'!C23</f>
        <v>3665410.3212876292</v>
      </c>
      <c r="J42" s="187"/>
      <c r="K42" s="187">
        <f>'Exhibit V,1'!S23</f>
        <v>14377367.782148203</v>
      </c>
      <c r="L42" s="187"/>
      <c r="M42" s="494">
        <f t="shared" si="1"/>
        <v>42382770.435190924</v>
      </c>
      <c r="N42" s="187"/>
      <c r="O42" s="494">
        <f>C42-('Exhibit E,1'!I41)</f>
        <v>16073598.664852463</v>
      </c>
      <c r="P42" s="187"/>
      <c r="Q42" s="187">
        <f>'Exhibit U,1'!C47</f>
        <v>443585.02751689998</v>
      </c>
      <c r="R42" s="187"/>
      <c r="S42" s="187">
        <f>'Exhibit U,1'!E47</f>
        <v>4949533.3278978486</v>
      </c>
      <c r="T42" s="187"/>
      <c r="U42" s="187">
        <f>'Exhibit V,1'!C51</f>
        <v>3030843.3812876293</v>
      </c>
      <c r="V42" s="187"/>
      <c r="W42" s="187">
        <f>'Exhibit V,1'!S51</f>
        <v>13000591.700250549</v>
      </c>
      <c r="X42" s="187"/>
      <c r="Y42" s="494">
        <f t="shared" si="2"/>
        <v>37498152.101805389</v>
      </c>
      <c r="Z42" s="376"/>
      <c r="AA42" s="25">
        <f t="shared" si="5"/>
        <v>2019</v>
      </c>
      <c r="AB42" s="137">
        <f>'Exhibit O,3'!I41</f>
        <v>6040883.4400000004</v>
      </c>
      <c r="AC42" s="137">
        <f>'Exhibit N,3'!I41</f>
        <v>405000</v>
      </c>
      <c r="AD42" s="137">
        <f>'Exhibit M,3'!I41</f>
        <v>622227.61</v>
      </c>
      <c r="AE42" s="137">
        <f>'Exhibit L,3'!I41</f>
        <v>500000</v>
      </c>
      <c r="AF42" s="172">
        <f>'Exhibit U,1'!I28</f>
        <v>112278.38</v>
      </c>
      <c r="AG42" s="172">
        <f>'Exhibit U,1'!K28</f>
        <v>720132.63</v>
      </c>
      <c r="AH42" s="172"/>
      <c r="AI42" s="172">
        <f>'Exhibit V,1'!E23</f>
        <v>1721522.6735</v>
      </c>
      <c r="AJ42" s="172">
        <f>'Exhibit V,1'!U23</f>
        <v>5861905.8875000002</v>
      </c>
      <c r="AK42" s="172"/>
      <c r="AL42" s="137">
        <f t="shared" si="3"/>
        <v>15983950.620999999</v>
      </c>
      <c r="AM42" s="137">
        <v>15983950.621000001</v>
      </c>
      <c r="AN42" s="172">
        <f t="shared" si="10"/>
        <v>0</v>
      </c>
      <c r="AO42" s="39">
        <f>AM42-'Exhibit B,S3'!AM42</f>
        <v>5655620.7570000011</v>
      </c>
      <c r="AP42" s="18"/>
      <c r="AQ42" s="32"/>
      <c r="AR42" s="25">
        <f t="shared" si="6"/>
        <v>2019</v>
      </c>
      <c r="AS42" s="137"/>
      <c r="AT42" s="137">
        <f>AB42+AC42-'Exhibit H,5'!C41</f>
        <v>6444007.5700000003</v>
      </c>
      <c r="AU42" s="137"/>
      <c r="AV42" s="137">
        <f>AD42+AE42-'Exhibit G,3'!G41</f>
        <v>1029967.0899999999</v>
      </c>
      <c r="AW42" s="137">
        <f>'Exhibit U,5'!AB47</f>
        <v>112278.38</v>
      </c>
      <c r="AX42" s="137">
        <f>'Exhibit U,8'!AB47</f>
        <v>720132.63</v>
      </c>
      <c r="AY42" s="172"/>
      <c r="AZ42" s="137">
        <f>'Exhibit V,1'!E51</f>
        <v>1721330.7335000001</v>
      </c>
      <c r="BA42" s="137">
        <f>'Exhibit V,1'!U51</f>
        <v>5178333.0975000001</v>
      </c>
      <c r="BB42" s="172"/>
      <c r="BC42" s="137">
        <f t="shared" si="0"/>
        <v>15206049.501</v>
      </c>
      <c r="BD42" s="136">
        <v>15206049.501000002</v>
      </c>
      <c r="BE42" s="172">
        <f t="shared" si="11"/>
        <v>0</v>
      </c>
      <c r="BF42" s="39">
        <f t="shared" si="7"/>
        <v>-777901.11999999918</v>
      </c>
      <c r="BG42" s="378">
        <v>1721330.7335000001</v>
      </c>
      <c r="BH42" s="172">
        <v>5178333.0975000001</v>
      </c>
      <c r="BI42" s="611">
        <f t="shared" si="8"/>
        <v>15206049.501</v>
      </c>
      <c r="BJ42" s="612">
        <f t="shared" si="9"/>
        <v>0</v>
      </c>
      <c r="BK42" s="198"/>
      <c r="BL42" s="61"/>
      <c r="BM42" s="61"/>
      <c r="BN42" s="18"/>
      <c r="BO42" s="84"/>
      <c r="BP42" s="18"/>
      <c r="BQ42" s="22"/>
      <c r="BR42" s="22"/>
      <c r="BS42" s="22"/>
      <c r="BT42" s="18"/>
      <c r="BU42" s="22"/>
      <c r="BV42" s="22"/>
      <c r="BW42" s="20"/>
      <c r="BY42" s="18"/>
      <c r="BZ42" s="18"/>
      <c r="CB42" s="198"/>
      <c r="CC42" s="198"/>
      <c r="CD42" s="18"/>
      <c r="CE42" s="18"/>
      <c r="CF42" s="18"/>
      <c r="CH42" s="18"/>
      <c r="CJ42" s="18"/>
      <c r="CL42" s="18"/>
      <c r="CN42" s="18"/>
    </row>
    <row r="43" spans="1:92" ht="16">
      <c r="A43" s="6">
        <f t="shared" si="4"/>
        <v>2020</v>
      </c>
      <c r="C43" s="494">
        <f>'Exhibit J,1'!I42</f>
        <v>14035092.9374432</v>
      </c>
      <c r="D43" s="187"/>
      <c r="E43" s="187">
        <f>'Exhibit U,1'!C29</f>
        <v>555909.07518209331</v>
      </c>
      <c r="F43" s="187"/>
      <c r="G43" s="187">
        <f>'Exhibit U,1'!E29</f>
        <v>6369884.1204675306</v>
      </c>
      <c r="H43" s="187"/>
      <c r="I43" s="187">
        <f>'Exhibit V,1'!C24</f>
        <v>1664250.2295275228</v>
      </c>
      <c r="J43" s="187"/>
      <c r="K43" s="187">
        <f>'Exhibit V,1'!S24</f>
        <v>2803431.0351470332</v>
      </c>
      <c r="L43" s="187"/>
      <c r="M43" s="494">
        <f t="shared" si="1"/>
        <v>25428567.39776738</v>
      </c>
      <c r="N43" s="187"/>
      <c r="O43" s="494">
        <f>C43-('Exhibit E,1'!I42)</f>
        <v>12694516.048994968</v>
      </c>
      <c r="P43" s="187"/>
      <c r="Q43" s="187">
        <f>'Exhibit U,1'!C48</f>
        <v>328697.36398441909</v>
      </c>
      <c r="R43" s="187"/>
      <c r="S43" s="187">
        <f>'Exhibit U,1'!E48</f>
        <v>4946139.9316030554</v>
      </c>
      <c r="T43" s="187"/>
      <c r="U43" s="187">
        <f>'Exhibit V,1'!C52</f>
        <v>1285442.2295275228</v>
      </c>
      <c r="V43" s="187"/>
      <c r="W43" s="187">
        <f>'Exhibit V,1'!S52</f>
        <v>2279556.3646010878</v>
      </c>
      <c r="X43" s="187"/>
      <c r="Y43" s="494">
        <f t="shared" si="2"/>
        <v>21534351.938711051</v>
      </c>
      <c r="Z43" s="376"/>
      <c r="AA43" s="25">
        <f t="shared" si="5"/>
        <v>2020</v>
      </c>
      <c r="AB43" s="137">
        <f>'Exhibit O,3'!I42</f>
        <v>4165458.2</v>
      </c>
      <c r="AC43" s="137">
        <f>'Exhibit N,3'!I42</f>
        <v>1575000</v>
      </c>
      <c r="AD43" s="137">
        <f>'Exhibit M,3'!I42</f>
        <v>568134.42000000004</v>
      </c>
      <c r="AE43" s="137">
        <f>'Exhibit L,3'!I42</f>
        <v>0</v>
      </c>
      <c r="AF43" s="172">
        <f>'Exhibit U,1'!I29</f>
        <v>97657.46</v>
      </c>
      <c r="AG43" s="172">
        <f>'Exhibit U,1'!K29</f>
        <v>289419.82</v>
      </c>
      <c r="AH43" s="172"/>
      <c r="AI43" s="172">
        <f>'Exhibit V,1'!E24</f>
        <v>1149549.0485</v>
      </c>
      <c r="AJ43" s="172">
        <f>'Exhibit V,1'!U24</f>
        <v>149356.397</v>
      </c>
      <c r="AK43" s="172"/>
      <c r="AL43" s="137">
        <f t="shared" si="3"/>
        <v>7994575.3454999998</v>
      </c>
      <c r="AM43" s="137">
        <v>7994575.3454999998</v>
      </c>
      <c r="AN43" s="172">
        <f t="shared" si="10"/>
        <v>0</v>
      </c>
      <c r="AO43" s="39">
        <f>AM43-'Exhibit B,S3'!AM43</f>
        <v>6646726.2565000001</v>
      </c>
      <c r="AP43" s="18"/>
      <c r="AQ43" s="32"/>
      <c r="AR43" s="25">
        <f t="shared" si="6"/>
        <v>2020</v>
      </c>
      <c r="AS43" s="137"/>
      <c r="AT43" s="137">
        <f>AB43+AC43-'Exhibit H,5'!C42</f>
        <v>5147461.79</v>
      </c>
      <c r="AU43" s="137"/>
      <c r="AV43" s="137">
        <f>AD43+AE43-'Exhibit G,3'!G42</f>
        <v>568134.42000000004</v>
      </c>
      <c r="AW43" s="137">
        <f>'Exhibit U,5'!AB48</f>
        <v>97657.46</v>
      </c>
      <c r="AX43" s="137">
        <f>'Exhibit U,8'!AB48</f>
        <v>289419.82</v>
      </c>
      <c r="AY43" s="172"/>
      <c r="AZ43" s="137">
        <f>'Exhibit V,1'!E52</f>
        <v>1149549.0485</v>
      </c>
      <c r="BA43" s="137">
        <f>'Exhibit V,1'!U52</f>
        <v>149356.397</v>
      </c>
      <c r="BB43" s="61"/>
      <c r="BC43" s="137">
        <f t="shared" si="0"/>
        <v>7401578.9354999997</v>
      </c>
      <c r="BD43" s="136">
        <v>7401578.9354999997</v>
      </c>
      <c r="BE43" s="172">
        <f t="shared" si="11"/>
        <v>0</v>
      </c>
      <c r="BF43" s="39">
        <f t="shared" si="7"/>
        <v>-592996.41000000015</v>
      </c>
      <c r="BG43" s="378">
        <v>1149549.0485</v>
      </c>
      <c r="BH43" s="172">
        <v>149356.397</v>
      </c>
      <c r="BI43" s="611">
        <f t="shared" si="8"/>
        <v>7401578.9354999997</v>
      </c>
      <c r="BJ43" s="612">
        <f t="shared" si="9"/>
        <v>0</v>
      </c>
      <c r="BK43" s="198"/>
      <c r="BL43" s="61"/>
      <c r="BM43" s="61"/>
      <c r="BN43" s="18"/>
      <c r="BO43" s="84"/>
      <c r="BP43" s="18"/>
      <c r="BQ43" s="22"/>
      <c r="BR43" s="22"/>
      <c r="BS43" s="22"/>
      <c r="BT43" s="18"/>
      <c r="BU43" s="22"/>
      <c r="BV43" s="22"/>
      <c r="BW43" s="20"/>
      <c r="BY43" s="18"/>
      <c r="BZ43" s="18"/>
      <c r="CB43" s="198"/>
      <c r="CC43" s="198"/>
      <c r="CD43" s="18"/>
      <c r="CE43" s="18"/>
      <c r="CF43" s="18"/>
      <c r="CH43" s="18"/>
      <c r="CJ43" s="18"/>
      <c r="CL43" s="18"/>
      <c r="CN43" s="18"/>
    </row>
    <row r="44" spans="1:92" ht="16">
      <c r="A44" s="6">
        <f t="shared" si="4"/>
        <v>2021</v>
      </c>
      <c r="C44" s="494">
        <f>'Exhibit J,1'!I43</f>
        <v>11514316.807748804</v>
      </c>
      <c r="D44" s="187"/>
      <c r="E44" s="187">
        <f>'Exhibit U,1'!C30</f>
        <v>1205091.1091501559</v>
      </c>
      <c r="F44" s="187"/>
      <c r="G44" s="187">
        <f>'Exhibit U,1'!E30</f>
        <v>5015175.93877168</v>
      </c>
      <c r="H44" s="187"/>
      <c r="I44" s="187">
        <f>'Exhibit V,1'!C25</f>
        <v>5483514.8397288853</v>
      </c>
      <c r="J44" s="187"/>
      <c r="K44" s="187">
        <f>'Exhibit V,1'!S25</f>
        <v>4004152.5025019371</v>
      </c>
      <c r="L44" s="187"/>
      <c r="M44" s="494">
        <f t="shared" si="1"/>
        <v>27222251.197901461</v>
      </c>
      <c r="N44" s="187"/>
      <c r="O44" s="494">
        <f>C44-('Exhibit E,1'!I43)</f>
        <v>10885321.948886612</v>
      </c>
      <c r="P44" s="187"/>
      <c r="Q44" s="187">
        <f>'Exhibit U,1'!C49</f>
        <v>671037.38841891964</v>
      </c>
      <c r="R44" s="187"/>
      <c r="S44" s="187">
        <f>'Exhibit U,1'!E49</f>
        <v>4047614.0804731995</v>
      </c>
      <c r="T44" s="187"/>
      <c r="U44" s="187">
        <f>'Exhibit V,1'!C53</f>
        <v>4713164.8397288853</v>
      </c>
      <c r="V44" s="187"/>
      <c r="W44" s="187">
        <f>'Exhibit V,1'!S53</f>
        <v>3252723.1272602584</v>
      </c>
      <c r="X44" s="187"/>
      <c r="Y44" s="494">
        <f t="shared" si="2"/>
        <v>23569861.384767875</v>
      </c>
      <c r="Z44" s="376"/>
      <c r="AA44" s="25">
        <f t="shared" si="5"/>
        <v>2021</v>
      </c>
      <c r="AB44" s="137">
        <f>'Exhibit O,3'!I43</f>
        <v>497480.03</v>
      </c>
      <c r="AC44" s="137">
        <f>'Exhibit N,3'!I43</f>
        <v>0</v>
      </c>
      <c r="AD44" s="137">
        <f>'Exhibit M,3'!I43</f>
        <v>11426.5</v>
      </c>
      <c r="AE44" s="137">
        <f>'Exhibit L,3'!I43</f>
        <v>0</v>
      </c>
      <c r="AF44" s="172">
        <f>'Exhibit U,1'!I30</f>
        <v>11934.19</v>
      </c>
      <c r="AG44" s="172">
        <f>'Exhibit U,1'!K30</f>
        <v>17823.86</v>
      </c>
      <c r="AH44" s="172"/>
      <c r="AI44" s="172">
        <f>'Exhibit V,1'!E25</f>
        <v>1171306.9934999999</v>
      </c>
      <c r="AJ44" s="172">
        <f>'Exhibit V,1'!U25</f>
        <v>2706.6545000000001</v>
      </c>
      <c r="AK44" s="172"/>
      <c r="AL44" s="137">
        <f t="shared" si="3"/>
        <v>1712678.2279999999</v>
      </c>
      <c r="AM44" s="137">
        <v>1712678.2279999997</v>
      </c>
      <c r="AN44" s="172">
        <f t="shared" si="10"/>
        <v>0</v>
      </c>
      <c r="AO44" s="39">
        <f>AM44-'Exhibit B,S3'!AM44</f>
        <v>1463924.2354999997</v>
      </c>
      <c r="AP44" s="18"/>
      <c r="AQ44" s="32"/>
      <c r="AR44" s="25">
        <f t="shared" si="6"/>
        <v>2021</v>
      </c>
      <c r="AS44" s="137"/>
      <c r="AT44" s="137">
        <f>AB44+AC44-'Exhibit H,5'!C43</f>
        <v>497480.03</v>
      </c>
      <c r="AU44" s="137"/>
      <c r="AV44" s="137">
        <f>AD44+AE44-'Exhibit G,3'!G43</f>
        <v>11426.5</v>
      </c>
      <c r="AW44" s="137">
        <f>'Exhibit U,5'!AB49</f>
        <v>11934.19</v>
      </c>
      <c r="AX44" s="137">
        <f>'Exhibit U,8'!AB49</f>
        <v>17823.86</v>
      </c>
      <c r="AY44" s="172"/>
      <c r="AZ44" s="137">
        <f>'Exhibit V,1'!E53</f>
        <v>1171306.9934999999</v>
      </c>
      <c r="BA44" s="137">
        <f>'Exhibit V,1'!U53</f>
        <v>2706.6545000000001</v>
      </c>
      <c r="BB44" s="61"/>
      <c r="BC44" s="137">
        <f>SUM(AS44:BA44)</f>
        <v>1712678.2279999999</v>
      </c>
      <c r="BD44" s="136">
        <v>1712678.2279999997</v>
      </c>
      <c r="BE44" s="172">
        <f>BC44-BD44</f>
        <v>0</v>
      </c>
      <c r="BF44" s="39">
        <f t="shared" si="7"/>
        <v>0</v>
      </c>
      <c r="BG44" s="378">
        <v>1171306.9934999999</v>
      </c>
      <c r="BH44" s="172">
        <v>2706.6545000000001</v>
      </c>
      <c r="BI44" s="611">
        <f t="shared" si="8"/>
        <v>1712678.2279999999</v>
      </c>
      <c r="BJ44" s="612">
        <f t="shared" si="9"/>
        <v>0</v>
      </c>
      <c r="BK44" s="198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B44" s="198"/>
      <c r="CC44" s="198"/>
    </row>
    <row r="45" spans="1:92" ht="16">
      <c r="A45" s="6">
        <f t="shared" si="4"/>
        <v>2022</v>
      </c>
      <c r="C45" s="494">
        <f>'Exhibit J,1'!I44</f>
        <v>16248090.288987074</v>
      </c>
      <c r="D45" s="187"/>
      <c r="E45" s="187">
        <f>'Exhibit U,1'!C31</f>
        <v>1541153.4039999996</v>
      </c>
      <c r="F45" s="187"/>
      <c r="G45" s="187">
        <f>'Exhibit U,1'!E31</f>
        <v>3621932.1370738312</v>
      </c>
      <c r="H45" s="187"/>
      <c r="I45" s="187">
        <f>'Exhibit V,1'!C26</f>
        <v>2318921.9353191541</v>
      </c>
      <c r="J45" s="187"/>
      <c r="K45" s="187">
        <f>'Exhibit V,1'!S26</f>
        <v>2374659.3762991414</v>
      </c>
      <c r="L45" s="187"/>
      <c r="M45" s="494">
        <f t="shared" si="1"/>
        <v>26104757.141679201</v>
      </c>
      <c r="N45" s="187"/>
      <c r="O45" s="494">
        <f>C45-('Exhibit E,1'!I44)</f>
        <v>15401179.009291418</v>
      </c>
      <c r="P45" s="187"/>
      <c r="Q45" s="187">
        <f>'Exhibit U,1'!C50</f>
        <v>1315092.6956908247</v>
      </c>
      <c r="R45" s="187"/>
      <c r="S45" s="187">
        <f>'Exhibit U,1'!E50</f>
        <v>3038384.4169053682</v>
      </c>
      <c r="T45" s="187"/>
      <c r="U45" s="533">
        <f>'Exhibit V,1'!C54</f>
        <v>2318921.9353191541</v>
      </c>
      <c r="V45" s="187"/>
      <c r="W45" s="187">
        <f>'Exhibit V,1'!S54</f>
        <v>1933701.3507676579</v>
      </c>
      <c r="X45" s="187"/>
      <c r="Y45" s="494">
        <f>SUM(O45:W45)</f>
        <v>24007279.407974426</v>
      </c>
      <c r="Z45" s="137"/>
      <c r="AA45" s="25">
        <f t="shared" si="5"/>
        <v>2022</v>
      </c>
      <c r="AB45" s="137">
        <f>'Exhibit O,3'!I44</f>
        <v>395862.9</v>
      </c>
      <c r="AC45" s="137">
        <f>'Exhibit N,3'!I44</f>
        <v>0</v>
      </c>
      <c r="AD45" s="137">
        <f>'Exhibit M,3'!I44</f>
        <v>2950</v>
      </c>
      <c r="AE45" s="137">
        <f>'Exhibit L,3'!I44</f>
        <v>0</v>
      </c>
      <c r="AF45" s="172">
        <f>'Exhibit U,1'!I31</f>
        <v>21947.98</v>
      </c>
      <c r="AG45" s="172">
        <f>'Exhibit U,1'!K31</f>
        <v>4500</v>
      </c>
      <c r="AH45" s="172"/>
      <c r="AI45" s="172">
        <f>'Exhibit V,1'!E26</f>
        <v>34775.224999999999</v>
      </c>
      <c r="AJ45" s="172">
        <f>'Exhibit V,1'!U26</f>
        <v>0</v>
      </c>
      <c r="AK45" s="172"/>
      <c r="AL45" s="137">
        <f t="shared" si="3"/>
        <v>460036.10499999998</v>
      </c>
      <c r="AM45" s="137">
        <v>460036.10499999998</v>
      </c>
      <c r="AN45" s="172">
        <f t="shared" si="10"/>
        <v>0</v>
      </c>
      <c r="AO45" s="39">
        <f>AM45-'Exhibit B,S3'!AM45</f>
        <v>460036.10499999998</v>
      </c>
      <c r="AP45" s="18"/>
      <c r="AQ45" s="32"/>
      <c r="AR45" s="25">
        <f t="shared" si="6"/>
        <v>2022</v>
      </c>
      <c r="AS45" s="137"/>
      <c r="AT45" s="137">
        <f>AB45+AC45-'Exhibit H,5'!C44</f>
        <v>395862.9</v>
      </c>
      <c r="AU45" s="137"/>
      <c r="AV45" s="137">
        <f>AD45+AE45-'Exhibit G,3'!G44</f>
        <v>2950</v>
      </c>
      <c r="AW45" s="137">
        <f>'Exhibit U,5'!AB50</f>
        <v>21947.98</v>
      </c>
      <c r="AX45" s="137">
        <f>'Exhibit U,8'!AB50</f>
        <v>4500</v>
      </c>
      <c r="AY45" s="172"/>
      <c r="AZ45" s="137">
        <f>'Exhibit V,1'!E54</f>
        <v>34775.224999999999</v>
      </c>
      <c r="BA45" s="137">
        <f>'Exhibit V,1'!U54</f>
        <v>0</v>
      </c>
      <c r="BB45" s="61"/>
      <c r="BC45" s="137">
        <f t="shared" si="0"/>
        <v>460036.10499999998</v>
      </c>
      <c r="BD45" s="136">
        <v>460036.10499999998</v>
      </c>
      <c r="BE45" s="172">
        <f t="shared" si="11"/>
        <v>0</v>
      </c>
      <c r="BF45" s="39">
        <f t="shared" si="7"/>
        <v>0</v>
      </c>
      <c r="BG45" s="378">
        <v>34775.224999999999</v>
      </c>
      <c r="BH45" s="172">
        <v>0</v>
      </c>
      <c r="BI45" s="611">
        <f t="shared" si="8"/>
        <v>460036.10499999998</v>
      </c>
      <c r="BJ45" s="612">
        <f t="shared" si="9"/>
        <v>0</v>
      </c>
      <c r="BK45" s="198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B45" s="198"/>
      <c r="CC45" s="198"/>
    </row>
    <row r="46" spans="1:92">
      <c r="C46" s="200"/>
      <c r="D46" s="18"/>
      <c r="E46" s="200"/>
      <c r="F46" s="18"/>
      <c r="G46" s="200"/>
      <c r="H46" s="18"/>
      <c r="I46" s="200"/>
      <c r="J46" s="18"/>
      <c r="K46" s="200"/>
      <c r="L46" s="18"/>
      <c r="M46" s="200"/>
      <c r="N46" s="18"/>
      <c r="O46" s="200"/>
      <c r="P46" s="18"/>
      <c r="Q46" s="200"/>
      <c r="R46" s="18"/>
      <c r="S46" s="200"/>
      <c r="T46" s="18"/>
      <c r="U46" s="200"/>
      <c r="V46" s="18"/>
      <c r="W46" s="200"/>
      <c r="X46" s="18"/>
      <c r="Y46" s="200"/>
      <c r="Z46" s="61"/>
      <c r="AA46" s="61"/>
      <c r="AB46" s="233"/>
      <c r="AC46" s="233"/>
      <c r="AD46" s="233"/>
      <c r="AE46" s="233"/>
      <c r="AF46" s="233"/>
      <c r="AG46" s="233"/>
      <c r="AH46" s="172"/>
      <c r="AI46" s="233"/>
      <c r="AJ46" s="233"/>
      <c r="AK46" s="61"/>
      <c r="AL46" s="233"/>
      <c r="AM46" s="233"/>
      <c r="AN46" s="233"/>
      <c r="AO46" s="18"/>
      <c r="AP46" s="172"/>
      <c r="AQ46" s="125"/>
      <c r="AR46" s="61"/>
      <c r="AS46" s="61"/>
      <c r="AT46" s="233"/>
      <c r="AU46" s="172"/>
      <c r="AV46" s="233"/>
      <c r="AW46" s="172"/>
      <c r="AX46" s="233"/>
      <c r="AY46" s="172"/>
      <c r="AZ46" s="233"/>
      <c r="BA46" s="233"/>
      <c r="BB46" s="61"/>
      <c r="BC46" s="233"/>
      <c r="BD46" s="61"/>
      <c r="BE46" s="18"/>
      <c r="BF46" s="18"/>
      <c r="BG46" s="125"/>
      <c r="BH46" s="18"/>
      <c r="BI46" s="611">
        <f t="shared" si="8"/>
        <v>0</v>
      </c>
      <c r="BJ46" s="18"/>
      <c r="BK46" s="125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</row>
    <row r="47" spans="1:92">
      <c r="A47" s="2" t="s">
        <v>0</v>
      </c>
      <c r="C47" s="147">
        <f>SUM(C17:C46)</f>
        <v>806979499.95458949</v>
      </c>
      <c r="D47" s="147"/>
      <c r="E47" s="147">
        <f>SUM(E17:E46)</f>
        <v>24237645.279016867</v>
      </c>
      <c r="F47" s="147"/>
      <c r="G47" s="497">
        <f>SUM(G17:G46)</f>
        <v>130766989.25168133</v>
      </c>
      <c r="H47" s="147"/>
      <c r="I47" s="147">
        <f>SUM(I17:I46)</f>
        <v>24737763.50492309</v>
      </c>
      <c r="J47" s="147"/>
      <c r="K47" s="147">
        <f>SUM(K17:K46)</f>
        <v>62167217.66701442</v>
      </c>
      <c r="L47" s="147"/>
      <c r="M47" s="147">
        <f>SUM(M17:M46)</f>
        <v>1048889115.657225</v>
      </c>
      <c r="N47" s="147"/>
      <c r="O47" s="147">
        <f>SUM(O17:O46)</f>
        <v>608043983.89291632</v>
      </c>
      <c r="P47" s="147"/>
      <c r="Q47" s="147">
        <f>SUM(Q17:Q46)</f>
        <v>19054529.665611066</v>
      </c>
      <c r="R47" s="147"/>
      <c r="S47" s="497">
        <f>SUM(S17:S46)</f>
        <v>105798955.54694819</v>
      </c>
      <c r="T47" s="147"/>
      <c r="U47" s="147">
        <f>SUM(U17:U46)</f>
        <v>19195098.264923092</v>
      </c>
      <c r="V47" s="147"/>
      <c r="W47" s="147">
        <f>SUM(W17:W46)</f>
        <v>56472632.134609841</v>
      </c>
      <c r="X47" s="147"/>
      <c r="Y47" s="147">
        <f>SUM(Y17:Y46)</f>
        <v>808565199.50500846</v>
      </c>
      <c r="Z47" s="61"/>
      <c r="AA47" s="97" t="s">
        <v>0</v>
      </c>
      <c r="AB47" s="223">
        <f>SUM(AB17:AB46)</f>
        <v>465541382.76999998</v>
      </c>
      <c r="AC47" s="223">
        <f>SUM(AC17:AC46)</f>
        <v>242079878.47999999</v>
      </c>
      <c r="AD47" s="223">
        <f t="shared" ref="AD47:AJ47" si="14">SUM(AD17:AD46)</f>
        <v>23340325.579999998</v>
      </c>
      <c r="AE47" s="223">
        <f t="shared" si="14"/>
        <v>10567529.92</v>
      </c>
      <c r="AF47" s="223">
        <f t="shared" si="14"/>
        <v>19393242.180000003</v>
      </c>
      <c r="AG47" s="223">
        <f t="shared" si="14"/>
        <v>87507303.909999982</v>
      </c>
      <c r="AH47" s="223"/>
      <c r="AI47" s="223">
        <f t="shared" si="14"/>
        <v>14769216.714499999</v>
      </c>
      <c r="AJ47" s="223">
        <f t="shared" si="14"/>
        <v>30398478.603499997</v>
      </c>
      <c r="AK47" s="223"/>
      <c r="AL47" s="223">
        <f>SUM(AL17:AL46)</f>
        <v>893597358.15800011</v>
      </c>
      <c r="AM47" s="223">
        <f>SUM(AM17:AM46)</f>
        <v>610236619.83800018</v>
      </c>
      <c r="AN47" s="223">
        <f>SUM(AN17:AN46)</f>
        <v>0</v>
      </c>
      <c r="AO47" s="223">
        <f>SUM(AO17:AO46)</f>
        <v>36046364.015999995</v>
      </c>
      <c r="AP47" s="223"/>
      <c r="AQ47" s="137"/>
      <c r="AR47" s="97" t="s">
        <v>0</v>
      </c>
      <c r="AS47" s="223"/>
      <c r="AT47" s="223">
        <f>SUM(AT17:AT46)</f>
        <v>519557577.24999982</v>
      </c>
      <c r="AU47" s="223"/>
      <c r="AV47" s="223">
        <f>SUM(AV17:AV46)</f>
        <v>30191352.179999992</v>
      </c>
      <c r="AW47" s="223">
        <f>SUM(AW18:AW46)</f>
        <v>15239491.050000001</v>
      </c>
      <c r="AX47" s="223">
        <f>SUM(AX18:AX46)</f>
        <v>69738218.339999974</v>
      </c>
      <c r="AY47" s="223"/>
      <c r="AZ47" s="223">
        <f>SUM(AZ18:AZ46)</f>
        <v>11010084.474499999</v>
      </c>
      <c r="BA47" s="223">
        <f>SUM(BA18:BA46)</f>
        <v>27693832.543499999</v>
      </c>
      <c r="BB47" s="223"/>
      <c r="BC47" s="223">
        <f>SUM(BC17:BC46)</f>
        <v>673430555.83800006</v>
      </c>
      <c r="BD47" s="223"/>
      <c r="BE47" s="223">
        <f>SUM(BE32:BE45)</f>
        <v>0</v>
      </c>
      <c r="BF47" s="223"/>
      <c r="BG47" s="223">
        <f>SUM(BG18:BG46)</f>
        <v>11010084.474499999</v>
      </c>
      <c r="BH47" s="223">
        <f>SUM(BH18:BH46)</f>
        <v>27693832.543499999</v>
      </c>
      <c r="BI47" s="611">
        <f t="shared" si="8"/>
        <v>673430555.83799958</v>
      </c>
      <c r="BJ47" s="223">
        <f>SUM(BJ18:BJ46)</f>
        <v>0</v>
      </c>
      <c r="BK47" s="137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</row>
    <row r="48" spans="1:92">
      <c r="A48" s="2" t="s">
        <v>1609</v>
      </c>
      <c r="C48" s="187">
        <f>C47-C45</f>
        <v>790731409.66560245</v>
      </c>
      <c r="D48" s="187"/>
      <c r="E48" s="187">
        <f t="shared" ref="E48:O48" si="15">E47-E45</f>
        <v>22696491.875016868</v>
      </c>
      <c r="F48" s="187"/>
      <c r="G48" s="187">
        <f t="shared" si="15"/>
        <v>127145057.1146075</v>
      </c>
      <c r="H48" s="187"/>
      <c r="I48" s="187">
        <f t="shared" si="15"/>
        <v>22418841.569603935</v>
      </c>
      <c r="J48" s="187"/>
      <c r="K48" s="187">
        <f t="shared" si="15"/>
        <v>59792558.290715277</v>
      </c>
      <c r="L48" s="187"/>
      <c r="M48" s="187">
        <f t="shared" si="15"/>
        <v>1022784358.5155458</v>
      </c>
      <c r="N48" s="187"/>
      <c r="O48" s="187">
        <f t="shared" si="15"/>
        <v>592642804.88362491</v>
      </c>
      <c r="P48" s="187"/>
      <c r="Q48" s="187">
        <f>Q47-Q45</f>
        <v>17739436.96992024</v>
      </c>
      <c r="R48" s="187"/>
      <c r="S48" s="187">
        <f>S47-S45</f>
        <v>102760571.13004282</v>
      </c>
      <c r="T48" s="187"/>
      <c r="U48" s="187">
        <f>U47-U45</f>
        <v>16876176.329603937</v>
      </c>
      <c r="V48" s="187"/>
      <c r="W48" s="187">
        <f>W47-W45</f>
        <v>54538930.783842184</v>
      </c>
      <c r="X48" s="187"/>
      <c r="Y48" s="187">
        <f>Y47-Y45</f>
        <v>784557920.09703398</v>
      </c>
      <c r="Z48" s="376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160">
        <f>AL49-AK49</f>
        <v>36051713.73599989</v>
      </c>
      <c r="AM48" s="61"/>
      <c r="AN48" s="61"/>
      <c r="AO48" s="61"/>
      <c r="AP48" s="61"/>
      <c r="AQ48" s="61"/>
      <c r="AR48" s="61"/>
      <c r="AS48" s="61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</row>
    <row r="49" spans="1:78">
      <c r="A49" s="2" t="s">
        <v>425</v>
      </c>
      <c r="C49" s="494">
        <f>C48-'Exhibit B,S3'!C47</f>
        <v>-1130570.3011116982</v>
      </c>
      <c r="D49" s="494"/>
      <c r="E49" s="494">
        <f>E48-'Exhibit B,S3'!E47</f>
        <v>-893195.03650595248</v>
      </c>
      <c r="F49" s="494"/>
      <c r="G49" s="494">
        <f>G48-'Exhibit B,S3'!G47</f>
        <v>-6621143.8907656968</v>
      </c>
      <c r="H49" s="494"/>
      <c r="I49" s="494">
        <f>I48-'Exhibit B,S3'!I47</f>
        <v>1499003.1437978111</v>
      </c>
      <c r="J49" s="494"/>
      <c r="K49" s="494">
        <f>K48-'Exhibit B,S3'!K47</f>
        <v>5670809.4045565054</v>
      </c>
      <c r="L49" s="494"/>
      <c r="M49" s="494">
        <f>M48-'Exhibit B,S3'!M47</f>
        <v>-1475096.6800290346</v>
      </c>
      <c r="N49" s="494"/>
      <c r="O49" s="494">
        <f>O48-'Exhibit B,S3'!O47</f>
        <v>-1778729.4847893715</v>
      </c>
      <c r="P49" s="494"/>
      <c r="Q49" s="494">
        <f>Q48-'Exhibit B,S3'!Q47</f>
        <v>-1113962.5601511896</v>
      </c>
      <c r="R49" s="494"/>
      <c r="S49" s="494">
        <f>S48-'Exhibit B,S3'!S47</f>
        <v>-6573996.3202676475</v>
      </c>
      <c r="T49" s="494"/>
      <c r="U49" s="494">
        <f>U48-'Exhibit B,S3'!U47</f>
        <v>891243.09062580764</v>
      </c>
      <c r="V49" s="494"/>
      <c r="W49" s="494">
        <f>W48-'Exhibit B,S3'!W47</f>
        <v>6264888.1481335834</v>
      </c>
      <c r="X49" s="494"/>
      <c r="Y49" s="494">
        <f>Y48-'Exhibit B,S3'!Y47</f>
        <v>-2310557.1264489889</v>
      </c>
      <c r="Z49" s="137"/>
      <c r="AA49" s="61" t="s">
        <v>1376</v>
      </c>
      <c r="AB49" s="223">
        <f>AB47-'Exhibit B,S3'!AB47</f>
        <v>7852123.2299998999</v>
      </c>
      <c r="AC49" s="223">
        <f>AC47-'Exhibit B,S3'!AC47</f>
        <v>2000000</v>
      </c>
      <c r="AD49" s="223">
        <f>AD47-'Exhibit B,S3'!AD47</f>
        <v>1730357.0199999958</v>
      </c>
      <c r="AE49" s="223">
        <f>AE47-'Exhibit B,S3'!AE47</f>
        <v>470000</v>
      </c>
      <c r="AF49" s="223">
        <f>AF47-'Exhibit B,S3'!AF47</f>
        <v>1508063.0900000036</v>
      </c>
      <c r="AG49" s="223">
        <f>AG47-'Exhibit B,S3'!AG47</f>
        <v>13471220.709999993</v>
      </c>
      <c r="AH49" s="61"/>
      <c r="AI49" s="223">
        <f>AI47-'Exhibit B,S3'!AI47</f>
        <v>3050842.0649999995</v>
      </c>
      <c r="AJ49" s="223">
        <f>AJ47-'Exhibit B,S3'!AJ47</f>
        <v>5969107.6209999993</v>
      </c>
      <c r="AK49" s="223">
        <f>AK47-'Exhibit B,S3'!AK47</f>
        <v>-4999.7200000062585</v>
      </c>
      <c r="AL49" s="122">
        <f>SUM(AB49:AK49)</f>
        <v>36046714.015999883</v>
      </c>
      <c r="AM49" s="61"/>
      <c r="AN49" s="432" t="s">
        <v>1756</v>
      </c>
      <c r="AO49" s="69">
        <v>36046364.009999998</v>
      </c>
      <c r="AP49" s="61"/>
      <c r="AQ49" s="125"/>
      <c r="AR49" s="61" t="s">
        <v>1376</v>
      </c>
      <c r="AS49" s="223"/>
      <c r="AT49" s="223">
        <f>AT47-'Exhibit B,S3'!AT47</f>
        <v>9259000.9499999285</v>
      </c>
      <c r="AU49" s="223"/>
      <c r="AV49" s="223">
        <f>AV47-'Exhibit B,S3'!AV47</f>
        <v>2200357.0199999996</v>
      </c>
      <c r="AW49" s="223">
        <f>AW47-'Exhibit B,S3'!AW47</f>
        <v>1508063.0900000017</v>
      </c>
      <c r="AX49" s="223">
        <f>AX47-'Exhibit B,S3'!AX47</f>
        <v>10006018.879999965</v>
      </c>
      <c r="AY49" s="61"/>
      <c r="AZ49" s="223">
        <f>AZ47-'Exhibit B,S3'!AZ47</f>
        <v>3050842.0649999985</v>
      </c>
      <c r="BA49" s="223">
        <f>BA47-'Exhibit B,S3'!BA47</f>
        <v>4981185.131000001</v>
      </c>
      <c r="BB49" s="223">
        <f>BB47-'Exhibit B,S3'!BB47</f>
        <v>-4874.1300000185147</v>
      </c>
      <c r="BC49" s="137">
        <f>SUM(AS49:BB49)</f>
        <v>31000593.005999874</v>
      </c>
      <c r="BD49" s="432" t="s">
        <v>1756</v>
      </c>
      <c r="BE49" s="17">
        <v>31000243.280000001</v>
      </c>
      <c r="BF49" s="61"/>
      <c r="BG49" s="121"/>
      <c r="BH49" s="121"/>
      <c r="BI49" s="121"/>
      <c r="BJ49" s="12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</row>
    <row r="50" spans="1:78">
      <c r="A50" s="1" t="s">
        <v>685</v>
      </c>
      <c r="C50" s="494">
        <f>'Exhibit B,S3'!C47</f>
        <v>791861979.96671414</v>
      </c>
      <c r="D50" s="494"/>
      <c r="E50" s="494">
        <f>'Exhibit B,S3'!E47</f>
        <v>23589686.911522821</v>
      </c>
      <c r="F50" s="494"/>
      <c r="G50" s="494">
        <f>'Exhibit B,S3'!G47</f>
        <v>133766201.00537319</v>
      </c>
      <c r="H50" s="494"/>
      <c r="I50" s="494">
        <f>'Exhibit B,S3'!I47</f>
        <v>20919838.425806124</v>
      </c>
      <c r="J50" s="494"/>
      <c r="K50" s="494">
        <f>'Exhibit B,S3'!K47</f>
        <v>54121748.886158772</v>
      </c>
      <c r="L50" s="494"/>
      <c r="M50" s="494">
        <f>'Exhibit B,S3'!M47</f>
        <v>1024259455.1955749</v>
      </c>
      <c r="N50" s="494"/>
      <c r="O50" s="494">
        <f>'Exhibit B,S3'!O47</f>
        <v>594421534.36841428</v>
      </c>
      <c r="P50" s="494"/>
      <c r="Q50" s="494">
        <f>'Exhibit B,S3'!Q47</f>
        <v>18853399.53007143</v>
      </c>
      <c r="R50" s="494"/>
      <c r="S50" s="494">
        <f>'Exhibit B,S3'!S47</f>
        <v>109334567.45031047</v>
      </c>
      <c r="T50" s="494"/>
      <c r="U50" s="494">
        <f>'Exhibit B,S3'!U47</f>
        <v>15984933.238978129</v>
      </c>
      <c r="V50" s="494"/>
      <c r="W50" s="494">
        <f>'Exhibit B,S3'!W47</f>
        <v>48274042.6357086</v>
      </c>
      <c r="X50" s="494"/>
      <c r="Y50" s="494">
        <f>'Exhibit B,S3'!Y47</f>
        <v>786868477.22348297</v>
      </c>
      <c r="Z50" s="61"/>
      <c r="AA50" s="61"/>
      <c r="AB50" s="61"/>
      <c r="AC50" s="61"/>
      <c r="AD50" s="61"/>
      <c r="AE50" s="61"/>
      <c r="AF50" s="61"/>
      <c r="AG50" s="223">
        <f>SUM(AB49:AG49)</f>
        <v>27031764.049999893</v>
      </c>
      <c r="AH50" s="61"/>
      <c r="AI50" s="61"/>
      <c r="AJ50" s="61"/>
      <c r="AK50" s="61"/>
      <c r="AL50" s="61"/>
      <c r="AM50" s="61"/>
      <c r="AN50" s="18"/>
      <c r="AO50" s="31">
        <f>AO47-AO49</f>
        <v>5.9999972581863403E-3</v>
      </c>
      <c r="AP50" s="61"/>
      <c r="AQ50" s="61"/>
      <c r="AR50" s="61"/>
      <c r="AS50" s="61"/>
      <c r="AT50" s="61"/>
      <c r="AU50" s="61"/>
      <c r="AV50" s="61"/>
      <c r="AW50" s="61"/>
      <c r="AX50" s="61"/>
      <c r="AY50" s="61"/>
      <c r="AZ50" s="61"/>
      <c r="BA50" s="61"/>
      <c r="BB50" s="61"/>
      <c r="BC50" s="84"/>
      <c r="BD50" s="61"/>
      <c r="BE50" s="22">
        <f>BC49-BE49</f>
        <v>349.72599987313151</v>
      </c>
      <c r="BF50" s="61"/>
      <c r="BG50" s="121"/>
      <c r="BH50" s="121"/>
      <c r="BI50" s="121"/>
      <c r="BJ50" s="121"/>
      <c r="BK50" s="61"/>
      <c r="BL50" s="61"/>
      <c r="BM50" s="61"/>
      <c r="BN50" s="61"/>
      <c r="BO50" s="61"/>
      <c r="BP50" s="61"/>
      <c r="BZ50" s="18"/>
    </row>
    <row r="51" spans="1:78" ht="16">
      <c r="A51" s="1" t="s">
        <v>685</v>
      </c>
      <c r="C51" s="494">
        <f>'Exhibit K,1'!S46</f>
        <v>-1130570.3011120809</v>
      </c>
      <c r="D51" s="494"/>
      <c r="E51" s="494">
        <f>'Exhibit U,3'!O33</f>
        <v>-893195.03650594852</v>
      </c>
      <c r="F51" s="494"/>
      <c r="G51" s="494">
        <f>G48-G50</f>
        <v>-6621143.8907656968</v>
      </c>
      <c r="H51" s="494"/>
      <c r="I51" s="494">
        <f>'Exhibit V,1'!AP28</f>
        <v>1499003.1437978153</v>
      </c>
      <c r="J51" s="494"/>
      <c r="K51" s="494">
        <f>'Exhibit V,1'!AR28</f>
        <v>5670809.4045565072</v>
      </c>
      <c r="L51" s="494"/>
      <c r="M51" s="494">
        <f>M48-M50</f>
        <v>-1475096.6800290346</v>
      </c>
      <c r="N51" s="494"/>
      <c r="O51" s="494">
        <f>'Exhibit F,1'!AT46</f>
        <v>-1778729.4847894325</v>
      </c>
      <c r="P51" s="494"/>
      <c r="Q51" s="494">
        <f>'Exhibit U,4'!T52</f>
        <v>-1113962.5601511954</v>
      </c>
      <c r="R51" s="494"/>
      <c r="S51" s="494">
        <f>'Exhibit U,7'!Z52</f>
        <v>-6573996.3202676717</v>
      </c>
      <c r="T51" s="494"/>
      <c r="U51" s="494">
        <f>'Exhibit V,1'!AP56</f>
        <v>891243.09062580625</v>
      </c>
      <c r="V51" s="494"/>
      <c r="W51" s="494">
        <f>'Exhibit V,1'!AR56</f>
        <v>6264888.148133575</v>
      </c>
      <c r="X51" s="494"/>
      <c r="Y51" s="494">
        <f>Y48-Y50</f>
        <v>-2310557.1264489889</v>
      </c>
      <c r="Z51" s="84"/>
      <c r="AA51" s="121" t="s">
        <v>544</v>
      </c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18"/>
      <c r="AO51" s="173" t="s">
        <v>1755</v>
      </c>
      <c r="AP51" s="61"/>
      <c r="AQ51" s="61"/>
      <c r="AR51" s="121" t="s">
        <v>737</v>
      </c>
      <c r="AS51" s="61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172"/>
      <c r="BF51" s="173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T51" s="18"/>
      <c r="BZ51" s="18"/>
    </row>
    <row r="52" spans="1:78" ht="16">
      <c r="A52" s="299" t="s">
        <v>104</v>
      </c>
      <c r="B52" s="18"/>
      <c r="C52" s="503" t="s">
        <v>426</v>
      </c>
      <c r="D52" s="187"/>
      <c r="E52" s="187"/>
      <c r="F52" s="187"/>
      <c r="G52" s="187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32"/>
      <c r="V52" s="187"/>
      <c r="W52" s="187"/>
      <c r="X52" s="187"/>
      <c r="Y52" s="187"/>
      <c r="Z52" s="61"/>
      <c r="AA52" s="25" t="s">
        <v>3</v>
      </c>
      <c r="AB52" s="61"/>
      <c r="AC52" s="255" t="s">
        <v>460</v>
      </c>
      <c r="AD52" s="256"/>
      <c r="AE52" s="256"/>
      <c r="AF52" s="256"/>
      <c r="AG52" s="256"/>
      <c r="AH52" s="256"/>
      <c r="AI52" s="256"/>
      <c r="AJ52" s="256"/>
      <c r="AK52" s="256"/>
      <c r="AL52" s="61"/>
      <c r="AM52" s="61"/>
      <c r="AN52" s="18"/>
      <c r="AO52" s="25" t="s">
        <v>706</v>
      </c>
      <c r="AP52" s="61"/>
      <c r="AQ52" s="61"/>
      <c r="AR52" s="25" t="s">
        <v>3</v>
      </c>
      <c r="AS52" s="61"/>
      <c r="AT52" s="255" t="s">
        <v>734</v>
      </c>
      <c r="AU52" s="256"/>
      <c r="AV52" s="256"/>
      <c r="AW52" s="256"/>
      <c r="AX52" s="256"/>
      <c r="AY52" s="256"/>
      <c r="AZ52" s="256"/>
      <c r="BA52" s="256"/>
      <c r="BB52" s="256"/>
      <c r="BC52" s="256"/>
      <c r="BD52" s="61"/>
      <c r="BE52" s="97"/>
      <c r="BF52" s="302"/>
      <c r="BG52" s="610" t="s">
        <v>287</v>
      </c>
      <c r="BH52" s="610" t="s">
        <v>287</v>
      </c>
      <c r="BI52" s="97" t="s">
        <v>0</v>
      </c>
      <c r="BJ52" s="301"/>
      <c r="BK52" s="61"/>
      <c r="BL52" s="61"/>
      <c r="BM52" s="61"/>
      <c r="BN52" s="61"/>
      <c r="BO52" s="61"/>
      <c r="BP52" s="61"/>
      <c r="BZ52" s="18"/>
    </row>
    <row r="53" spans="1:78">
      <c r="A53" s="64" t="s">
        <v>36</v>
      </c>
      <c r="C53" s="503" t="s">
        <v>1542</v>
      </c>
      <c r="D53" s="187"/>
      <c r="E53" s="187"/>
      <c r="F53" s="187"/>
      <c r="G53" s="187"/>
      <c r="H53" s="187"/>
      <c r="I53" s="187"/>
      <c r="J53" s="187"/>
      <c r="K53" s="187"/>
      <c r="L53" s="187"/>
      <c r="M53" s="22"/>
      <c r="N53" s="187"/>
      <c r="O53" s="187">
        <f>O39-AT39-AV39</f>
        <v>2048121.897034571</v>
      </c>
      <c r="P53" s="187"/>
      <c r="Q53" s="187">
        <f>Q39-AW39</f>
        <v>802606.94999999972</v>
      </c>
      <c r="R53" s="187"/>
      <c r="S53" s="187">
        <f>S39-AX39</f>
        <v>3871866.2842770321</v>
      </c>
      <c r="T53" s="187"/>
      <c r="U53" s="187">
        <f>U39-AY39</f>
        <v>1929624.9196265612</v>
      </c>
      <c r="V53" s="187"/>
      <c r="W53" s="187">
        <f>W39-AZA39</f>
        <v>11029570.699408023</v>
      </c>
      <c r="X53" s="187"/>
      <c r="Z53" s="61"/>
      <c r="AA53" s="25" t="s">
        <v>4</v>
      </c>
      <c r="AB53" s="97" t="s">
        <v>516</v>
      </c>
      <c r="AC53" s="97" t="s">
        <v>517</v>
      </c>
      <c r="AD53" s="25" t="s">
        <v>518</v>
      </c>
      <c r="AE53" s="97" t="s">
        <v>519</v>
      </c>
      <c r="AF53" s="97" t="s">
        <v>520</v>
      </c>
      <c r="AG53" s="97" t="s">
        <v>521</v>
      </c>
      <c r="AH53" s="25" t="s">
        <v>522</v>
      </c>
      <c r="AI53" s="97" t="s">
        <v>329</v>
      </c>
      <c r="AJ53" s="97" t="s">
        <v>478</v>
      </c>
      <c r="AK53" s="97"/>
      <c r="AL53" s="97" t="s">
        <v>0</v>
      </c>
      <c r="AM53" s="25" t="s">
        <v>706</v>
      </c>
      <c r="AN53" s="25" t="s">
        <v>18</v>
      </c>
      <c r="AO53" s="25" t="s">
        <v>18</v>
      </c>
      <c r="AP53" s="61"/>
      <c r="AQ53" s="61"/>
      <c r="AR53" s="25" t="s">
        <v>4</v>
      </c>
      <c r="AS53" s="97"/>
      <c r="AT53" s="97" t="s">
        <v>664</v>
      </c>
      <c r="AU53" s="25"/>
      <c r="AV53" s="97" t="s">
        <v>736</v>
      </c>
      <c r="AW53" s="97" t="s">
        <v>520</v>
      </c>
      <c r="AX53" s="97" t="s">
        <v>521</v>
      </c>
      <c r="AY53" s="25" t="s">
        <v>522</v>
      </c>
      <c r="AZ53" s="97" t="s">
        <v>329</v>
      </c>
      <c r="BA53" s="97" t="s">
        <v>478</v>
      </c>
      <c r="BB53" s="97"/>
      <c r="BC53" s="97" t="s">
        <v>0</v>
      </c>
      <c r="BD53" s="25" t="s">
        <v>706</v>
      </c>
      <c r="BE53" s="25" t="s">
        <v>18</v>
      </c>
      <c r="BG53" s="25" t="s">
        <v>1757</v>
      </c>
      <c r="BH53" s="25" t="s">
        <v>1757</v>
      </c>
      <c r="BI53" s="25" t="s">
        <v>1758</v>
      </c>
      <c r="BJ53" s="25" t="s">
        <v>18</v>
      </c>
      <c r="BZ53" s="18"/>
    </row>
    <row r="54" spans="1:78">
      <c r="A54" s="64" t="s">
        <v>38</v>
      </c>
      <c r="C54" s="3" t="s">
        <v>1542</v>
      </c>
      <c r="E54" s="20"/>
      <c r="G54" s="18"/>
      <c r="H54" s="18"/>
      <c r="I54" s="18"/>
      <c r="K54" s="18"/>
      <c r="L54" s="18"/>
      <c r="M54" s="18"/>
      <c r="N54" s="18"/>
      <c r="O54" s="18"/>
      <c r="P54" s="18"/>
      <c r="Q54" s="18"/>
      <c r="R54" s="18"/>
      <c r="S54" s="384"/>
      <c r="T54" s="18"/>
      <c r="U54" s="268"/>
      <c r="V54" s="18"/>
      <c r="W54" s="268"/>
      <c r="X54" s="18"/>
      <c r="Y54" s="26"/>
      <c r="Z54" s="61"/>
      <c r="AA54" s="193">
        <v>-1</v>
      </c>
      <c r="AB54" s="61"/>
      <c r="AC54" s="143"/>
      <c r="AD54" s="61"/>
      <c r="AE54" s="193"/>
      <c r="AF54" s="193"/>
      <c r="AG54" s="193"/>
      <c r="AH54" s="61"/>
      <c r="AI54" s="193"/>
      <c r="AJ54" s="61"/>
      <c r="AK54" s="193"/>
      <c r="AL54" s="61"/>
      <c r="AN54" s="18"/>
      <c r="AO54" s="31"/>
      <c r="BD54" s="61"/>
      <c r="BJ54" s="164"/>
      <c r="BZ54" s="18"/>
    </row>
    <row r="55" spans="1:78" ht="16.25" customHeight="1">
      <c r="A55" s="64" t="s">
        <v>40</v>
      </c>
      <c r="C55" s="3" t="s">
        <v>949</v>
      </c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514" t="s">
        <v>1720</v>
      </c>
      <c r="X55" s="18"/>
      <c r="Y55" s="268" t="s">
        <v>1721</v>
      </c>
      <c r="Z55" s="1" t="s">
        <v>1734</v>
      </c>
      <c r="AA55" s="164"/>
      <c r="AB55" s="61"/>
      <c r="AC55" s="164"/>
      <c r="AD55" s="61"/>
      <c r="AE55" s="164"/>
      <c r="AF55" s="164"/>
      <c r="AG55" s="164"/>
      <c r="AH55" s="61"/>
      <c r="AI55" s="164"/>
      <c r="AJ55" s="61"/>
      <c r="AK55" s="164"/>
      <c r="AL55" s="61"/>
      <c r="AM55" s="61"/>
      <c r="AN55" s="18"/>
      <c r="AO55" s="31"/>
      <c r="AP55" s="61"/>
      <c r="AQ55" s="61"/>
      <c r="AS55" s="61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164"/>
      <c r="BI55" s="300"/>
      <c r="BJ55" s="300"/>
      <c r="BZ55" s="18"/>
    </row>
    <row r="56" spans="1:78">
      <c r="A56" s="64" t="s">
        <v>42</v>
      </c>
      <c r="C56" s="3" t="s">
        <v>949</v>
      </c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 t="s">
        <v>9</v>
      </c>
      <c r="V56" s="18"/>
      <c r="W56" s="187">
        <v>31670287.064499997</v>
      </c>
      <c r="X56" s="18"/>
      <c r="Y56" s="55">
        <f>Y45/W56</f>
        <v>0.75803794765361554</v>
      </c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18"/>
      <c r="AO56" s="31"/>
      <c r="AP56" s="61"/>
      <c r="AQ56" s="61"/>
      <c r="AS56" s="61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I56" s="61"/>
      <c r="BJ56" s="61"/>
      <c r="BZ56" s="18"/>
    </row>
    <row r="57" spans="1:78">
      <c r="A57" s="64" t="s">
        <v>30</v>
      </c>
      <c r="C57" s="3" t="s">
        <v>427</v>
      </c>
      <c r="M57" s="18"/>
      <c r="Q57" s="18"/>
      <c r="S57" s="20"/>
      <c r="U57" s="73" t="s">
        <v>17</v>
      </c>
      <c r="W57" s="187">
        <v>26930550.444499996</v>
      </c>
      <c r="Y57" s="55">
        <f>Y45/W57</f>
        <v>0.8914514932567007</v>
      </c>
      <c r="Z57" s="55">
        <f>Y57+Y56*'Exhibit C,1'!I34*'Summary Exhibit 3'!O16/'Summary Exhibit 3'!O34</f>
        <v>0.92443519850719857</v>
      </c>
      <c r="AA57" s="25">
        <f>AA17</f>
        <v>1994</v>
      </c>
      <c r="AB57" s="122">
        <f>'Exhibit O,2'!I16</f>
        <v>25659084.629999999</v>
      </c>
      <c r="AC57" s="223">
        <f>'Exhibit N,2'!I16</f>
        <v>9014361.5099999998</v>
      </c>
      <c r="AD57" s="223">
        <f>'Exhibit M,2'!I16</f>
        <v>9600</v>
      </c>
      <c r="AE57" s="223">
        <f>'Exhibit L,2'!I16</f>
        <v>0</v>
      </c>
      <c r="AF57" s="223"/>
      <c r="AG57" s="223"/>
      <c r="AH57" s="223"/>
      <c r="AI57" s="223"/>
      <c r="AJ57" s="223"/>
      <c r="AK57" s="223"/>
      <c r="AL57" s="223">
        <f>SUM(AB57:AJ57)</f>
        <v>34683046.140000001</v>
      </c>
      <c r="AM57" s="126"/>
      <c r="AN57" s="18"/>
      <c r="AO57" s="31"/>
      <c r="AP57" s="223"/>
      <c r="AQ57" s="306"/>
      <c r="AR57" s="25">
        <v>1994</v>
      </c>
      <c r="AS57" s="61"/>
      <c r="AT57" s="160">
        <f>(AB57+AC57)-'Exhibit H,4'!C16</f>
        <v>22143382.66</v>
      </c>
      <c r="AU57" s="61"/>
      <c r="AV57" s="223">
        <f>(AD57+AE57)-'Exhibit G,2'!G16</f>
        <v>9600</v>
      </c>
      <c r="AW57" s="61"/>
      <c r="AX57" s="61"/>
      <c r="AY57" s="61"/>
      <c r="AZ57" s="61"/>
      <c r="BA57" s="61"/>
      <c r="BB57" s="61"/>
      <c r="BC57" s="223">
        <f>SUM(AS57:BA57)</f>
        <v>22152982.66</v>
      </c>
      <c r="BD57" s="136"/>
      <c r="BE57" s="172"/>
      <c r="BF57" s="39"/>
      <c r="BI57" s="300"/>
      <c r="BJ57" s="304"/>
      <c r="BZ57" s="18"/>
    </row>
    <row r="58" spans="1:78">
      <c r="A58" s="64" t="s">
        <v>31</v>
      </c>
      <c r="C58" s="3" t="s">
        <v>428</v>
      </c>
      <c r="M58" s="18"/>
      <c r="O58" s="22"/>
      <c r="Q58" s="22"/>
      <c r="S58" s="20"/>
      <c r="U58" s="22"/>
      <c r="Y58" s="18"/>
      <c r="AA58" s="25">
        <f>AA57+1</f>
        <v>1995</v>
      </c>
      <c r="AB58" s="137">
        <f>'Exhibit O,2'!I17</f>
        <v>27896034.309999995</v>
      </c>
      <c r="AC58" s="137">
        <f>'Exhibit N,2'!I17</f>
        <v>25158701.43</v>
      </c>
      <c r="AD58" s="137">
        <f>'Exhibit M,2'!I17</f>
        <v>674635.38</v>
      </c>
      <c r="AE58" s="137">
        <f>'Exhibit L,2'!I17</f>
        <v>250000</v>
      </c>
      <c r="AF58" s="172"/>
      <c r="AG58" s="172"/>
      <c r="AH58" s="172"/>
      <c r="AI58" s="172"/>
      <c r="AJ58" s="172"/>
      <c r="AK58" s="172"/>
      <c r="AL58" s="137">
        <f t="shared" ref="AL58:AL85" si="16">SUM(AB58:AJ58)</f>
        <v>53979371.119999997</v>
      </c>
      <c r="AM58" s="61"/>
      <c r="AN58" s="18"/>
      <c r="AO58" s="31"/>
      <c r="AP58" s="137"/>
      <c r="AQ58" s="306"/>
      <c r="AR58" s="25">
        <f>AR57+1</f>
        <v>1995</v>
      </c>
      <c r="AS58" s="61"/>
      <c r="AT58" s="137">
        <f>(AB58+AC58)-'Exhibit H,4'!C17</f>
        <v>25331942.579999998</v>
      </c>
      <c r="AU58" s="61"/>
      <c r="AV58" s="137">
        <f>(AD58+AE58)-'Exhibit G,2'!G17</f>
        <v>650567.16999999993</v>
      </c>
      <c r="AW58" s="61"/>
      <c r="AX58" s="61"/>
      <c r="AY58" s="61"/>
      <c r="AZ58" s="61"/>
      <c r="BA58" s="61"/>
      <c r="BB58" s="61"/>
      <c r="BC58" s="137">
        <f t="shared" ref="BC58:BC85" si="17">SUM(AS58:BA58)</f>
        <v>25982509.75</v>
      </c>
      <c r="BD58" s="303"/>
      <c r="BE58" s="172"/>
      <c r="BF58" s="39"/>
      <c r="BI58" s="300"/>
      <c r="BJ58" s="304"/>
      <c r="BZ58" s="18"/>
    </row>
    <row r="59" spans="1:78">
      <c r="A59" s="64" t="s">
        <v>103</v>
      </c>
      <c r="C59" s="3" t="s">
        <v>1542</v>
      </c>
      <c r="M59" s="18"/>
      <c r="Q59" s="18"/>
      <c r="S59" s="20"/>
      <c r="W59" s="187"/>
      <c r="AA59" s="25">
        <f t="shared" ref="AA59:AA85" si="18">AA58+1</f>
        <v>1996</v>
      </c>
      <c r="AB59" s="137">
        <f>'Exhibit O,2'!I18</f>
        <v>30198928.089999996</v>
      </c>
      <c r="AC59" s="137">
        <f>'Exhibit N,2'!I18</f>
        <v>16457011</v>
      </c>
      <c r="AD59" s="137">
        <f>'Exhibit M,2'!I18</f>
        <v>931618.13</v>
      </c>
      <c r="AE59" s="137">
        <f>'Exhibit L,2'!I18</f>
        <v>0</v>
      </c>
      <c r="AF59" s="172"/>
      <c r="AG59" s="172"/>
      <c r="AH59" s="172"/>
      <c r="AI59" s="172"/>
      <c r="AJ59" s="172"/>
      <c r="AK59" s="172"/>
      <c r="AL59" s="137">
        <f t="shared" si="16"/>
        <v>47587557.219999999</v>
      </c>
      <c r="AM59" s="61"/>
      <c r="AN59" s="18"/>
      <c r="AO59" s="31"/>
      <c r="AP59" s="137"/>
      <c r="AQ59" s="306"/>
      <c r="AR59" s="25">
        <f t="shared" ref="AR59:AR85" si="19">AR58+1</f>
        <v>1996</v>
      </c>
      <c r="AS59" s="61"/>
      <c r="AT59" s="137">
        <f>(AB59+AC59)-'Exhibit H,4'!C18</f>
        <v>27120065.469999995</v>
      </c>
      <c r="AU59" s="61"/>
      <c r="AV59" s="137">
        <f>(AD59+AE59)-'Exhibit G,2'!G18</f>
        <v>931618.13</v>
      </c>
      <c r="AW59" s="61"/>
      <c r="AX59" s="61"/>
      <c r="AY59" s="61"/>
      <c r="AZ59" s="61"/>
      <c r="BA59" s="61"/>
      <c r="BB59" s="61"/>
      <c r="BC59" s="137">
        <f t="shared" si="17"/>
        <v>28051683.599999994</v>
      </c>
      <c r="BD59" s="303"/>
      <c r="BE59" s="172"/>
      <c r="BF59" s="39"/>
      <c r="BI59" s="300"/>
      <c r="BJ59" s="304"/>
      <c r="BZ59" s="18"/>
    </row>
    <row r="60" spans="1:78">
      <c r="A60" s="64" t="s">
        <v>106</v>
      </c>
      <c r="C60" s="3" t="s">
        <v>1542</v>
      </c>
      <c r="M60" s="18"/>
      <c r="Q60" s="18"/>
      <c r="S60" s="20"/>
      <c r="W60" s="187"/>
      <c r="Y60" s="18"/>
      <c r="AA60" s="25">
        <f t="shared" si="18"/>
        <v>1997</v>
      </c>
      <c r="AB60" s="137">
        <f>'Exhibit O,2'!I19</f>
        <v>26713733.369999997</v>
      </c>
      <c r="AC60" s="137">
        <f>'Exhibit N,2'!I19</f>
        <v>9461637.870000001</v>
      </c>
      <c r="AD60" s="137">
        <f>'Exhibit M,2'!I19</f>
        <v>520601.1</v>
      </c>
      <c r="AE60" s="137">
        <f>'Exhibit L,2'!I19</f>
        <v>1400000</v>
      </c>
      <c r="AF60" s="172"/>
      <c r="AG60" s="172"/>
      <c r="AH60" s="172"/>
      <c r="AI60" s="172"/>
      <c r="AJ60" s="172"/>
      <c r="AK60" s="172"/>
      <c r="AL60" s="137">
        <f t="shared" si="16"/>
        <v>38095972.339999996</v>
      </c>
      <c r="AM60" s="61"/>
      <c r="AN60" s="18"/>
      <c r="AO60" s="31"/>
      <c r="AP60" s="137"/>
      <c r="AQ60" s="306"/>
      <c r="AR60" s="25">
        <f t="shared" si="19"/>
        <v>1997</v>
      </c>
      <c r="AS60" s="61"/>
      <c r="AT60" s="137">
        <f>(AB60+AC60)-'Exhibit H,4'!C19</f>
        <v>25623817.869999994</v>
      </c>
      <c r="AU60" s="61"/>
      <c r="AV60" s="137">
        <f>(AD60+AE60)-'Exhibit G,2'!G19</f>
        <v>505421.35000000009</v>
      </c>
      <c r="AW60" s="61"/>
      <c r="AX60" s="61"/>
      <c r="AY60" s="61"/>
      <c r="AZ60" s="61"/>
      <c r="BA60" s="61"/>
      <c r="BB60" s="61"/>
      <c r="BC60" s="137">
        <f t="shared" si="17"/>
        <v>26129239.219999995</v>
      </c>
      <c r="BD60" s="303"/>
      <c r="BE60" s="172"/>
      <c r="BF60" s="39"/>
      <c r="BI60" s="300"/>
      <c r="BJ60" s="304"/>
      <c r="BZ60" s="18"/>
    </row>
    <row r="61" spans="1:78">
      <c r="A61" s="64" t="s">
        <v>108</v>
      </c>
      <c r="C61" s="3" t="s">
        <v>949</v>
      </c>
      <c r="M61" s="18"/>
      <c r="Q61" s="18"/>
      <c r="S61" s="20"/>
      <c r="W61" s="268"/>
      <c r="Y61" s="18"/>
      <c r="AA61" s="25">
        <f t="shared" si="18"/>
        <v>1998</v>
      </c>
      <c r="AB61" s="137">
        <f>'Exhibit O,2'!I20</f>
        <v>29164670.75</v>
      </c>
      <c r="AC61" s="137">
        <f>'Exhibit N,2'!I20</f>
        <v>24800000</v>
      </c>
      <c r="AD61" s="137">
        <f>'Exhibit M,2'!I20</f>
        <v>606234.30000000005</v>
      </c>
      <c r="AE61" s="137">
        <f>'Exhibit L,2'!I20</f>
        <v>204267.68999999994</v>
      </c>
      <c r="AF61" s="172"/>
      <c r="AG61" s="172"/>
      <c r="AH61" s="172"/>
      <c r="AI61" s="172"/>
      <c r="AJ61" s="172"/>
      <c r="AK61" s="172"/>
      <c r="AL61" s="137">
        <f t="shared" si="16"/>
        <v>54775172.739999995</v>
      </c>
      <c r="AM61" s="61"/>
      <c r="AN61" s="18"/>
      <c r="AO61" s="31"/>
      <c r="AP61" s="137"/>
      <c r="AQ61" s="306"/>
      <c r="AR61" s="25">
        <f t="shared" si="19"/>
        <v>1998</v>
      </c>
      <c r="AS61" s="61"/>
      <c r="AT61" s="137">
        <f>(AB61+AC61)-'Exhibit H,4'!C20</f>
        <v>25918211.300000001</v>
      </c>
      <c r="AU61" s="61"/>
      <c r="AV61" s="137">
        <f>(AD61+AE61)-'Exhibit G,2'!G20</f>
        <v>603393.59</v>
      </c>
      <c r="AW61" s="61"/>
      <c r="AX61" s="61"/>
      <c r="AY61" s="61"/>
      <c r="AZ61" s="61"/>
      <c r="BA61" s="61"/>
      <c r="BB61" s="61"/>
      <c r="BC61" s="137">
        <f t="shared" si="17"/>
        <v>26521604.890000001</v>
      </c>
      <c r="BD61" s="303"/>
      <c r="BE61" s="172"/>
      <c r="BF61" s="39"/>
      <c r="BI61" s="300"/>
      <c r="BJ61" s="304"/>
      <c r="BZ61" s="18"/>
    </row>
    <row r="62" spans="1:78">
      <c r="A62" s="64" t="s">
        <v>134</v>
      </c>
      <c r="C62" s="3" t="s">
        <v>949</v>
      </c>
      <c r="M62" s="18"/>
      <c r="Q62" s="18"/>
      <c r="S62" s="20"/>
      <c r="Y62" s="18"/>
      <c r="AA62" s="25">
        <f t="shared" si="18"/>
        <v>1999</v>
      </c>
      <c r="AB62" s="137">
        <f>'Exhibit O,2'!I21</f>
        <v>35137110.340000004</v>
      </c>
      <c r="AC62" s="137">
        <f>'Exhibit N,2'!I21</f>
        <v>18284000</v>
      </c>
      <c r="AD62" s="137">
        <f>'Exhibit M,2'!I21</f>
        <v>818508.42</v>
      </c>
      <c r="AE62" s="137">
        <f>'Exhibit L,2'!I21</f>
        <v>0</v>
      </c>
      <c r="AF62" s="172"/>
      <c r="AG62" s="172"/>
      <c r="AH62" s="172"/>
      <c r="AI62" s="172"/>
      <c r="AJ62" s="172"/>
      <c r="AK62" s="172"/>
      <c r="AL62" s="137">
        <f t="shared" si="16"/>
        <v>54239618.760000005</v>
      </c>
      <c r="AM62" s="61"/>
      <c r="AN62" s="18"/>
      <c r="AO62" s="31"/>
      <c r="AP62" s="137"/>
      <c r="AQ62" s="306"/>
      <c r="AR62" s="25">
        <f t="shared" si="19"/>
        <v>1999</v>
      </c>
      <c r="AS62" s="61"/>
      <c r="AT62" s="137">
        <f>(AB62+AC62)-'Exhibit H,4'!C21</f>
        <v>30327679.930000003</v>
      </c>
      <c r="AU62" s="61"/>
      <c r="AV62" s="137">
        <f>(AD62+AE62)-'Exhibit G,2'!G21</f>
        <v>818508.42</v>
      </c>
      <c r="AW62" s="61"/>
      <c r="AX62" s="61"/>
      <c r="AY62" s="61"/>
      <c r="AZ62" s="61"/>
      <c r="BA62" s="61"/>
      <c r="BB62" s="61"/>
      <c r="BC62" s="137">
        <f t="shared" si="17"/>
        <v>31146188.350000005</v>
      </c>
      <c r="BD62" s="303"/>
      <c r="BE62" s="172"/>
      <c r="BF62" s="39"/>
      <c r="BI62" s="300"/>
      <c r="BJ62" s="304"/>
    </row>
    <row r="63" spans="1:78">
      <c r="A63" s="64" t="s">
        <v>137</v>
      </c>
      <c r="C63" s="3" t="s">
        <v>429</v>
      </c>
      <c r="M63" s="18"/>
      <c r="Q63" s="18"/>
      <c r="Y63" s="20"/>
      <c r="AA63" s="25">
        <f t="shared" si="18"/>
        <v>2000</v>
      </c>
      <c r="AB63" s="137">
        <f>'Exhibit O,2'!I22</f>
        <v>27795495.93</v>
      </c>
      <c r="AC63" s="137">
        <f>'Exhibit N,2'!I22</f>
        <v>16115000</v>
      </c>
      <c r="AD63" s="137">
        <f>'Exhibit M,2'!I22</f>
        <v>1349932.79</v>
      </c>
      <c r="AE63" s="137">
        <f>'Exhibit L,2'!I22</f>
        <v>250000</v>
      </c>
      <c r="AF63" s="172"/>
      <c r="AG63" s="172"/>
      <c r="AH63" s="172"/>
      <c r="AI63" s="172"/>
      <c r="AJ63" s="172"/>
      <c r="AK63" s="172"/>
      <c r="AL63" s="137">
        <f t="shared" si="16"/>
        <v>45510428.719999999</v>
      </c>
      <c r="AM63" s="136">
        <v>45510428.719999999</v>
      </c>
      <c r="AN63" s="172">
        <f>AL63-AM63</f>
        <v>0</v>
      </c>
      <c r="AO63" s="39">
        <f>AM63-'Exhibit B,S3'!AM63</f>
        <v>0</v>
      </c>
      <c r="AP63" s="137"/>
      <c r="AQ63" s="306"/>
      <c r="AR63" s="25">
        <f t="shared" si="19"/>
        <v>2000</v>
      </c>
      <c r="AS63" s="61"/>
      <c r="AT63" s="137">
        <f>(AB63+AC63)-'Exhibit H,4'!C22</f>
        <v>27096652.149999999</v>
      </c>
      <c r="AU63" s="61"/>
      <c r="AV63" s="137">
        <f>(AD63+AE63)-'Exhibit G,2'!G22</f>
        <v>1460728.33</v>
      </c>
      <c r="AW63" s="61"/>
      <c r="AX63" s="61"/>
      <c r="AY63" s="61"/>
      <c r="AZ63" s="61"/>
      <c r="BA63" s="61"/>
      <c r="BB63" s="61"/>
      <c r="BC63" s="137">
        <f t="shared" si="17"/>
        <v>28557380.479999997</v>
      </c>
      <c r="BD63" s="136">
        <v>28557380.48</v>
      </c>
      <c r="BE63" s="172"/>
      <c r="BF63" s="39"/>
      <c r="BG63" s="172">
        <v>0</v>
      </c>
      <c r="BH63" s="172">
        <v>0</v>
      </c>
      <c r="BI63" s="611">
        <f>SUM(AT63:AY63)+BG63+BH63</f>
        <v>28557380.479999997</v>
      </c>
      <c r="BJ63" s="612">
        <f>BC63-BI63</f>
        <v>0</v>
      </c>
    </row>
    <row r="64" spans="1:78">
      <c r="A64" s="64" t="s">
        <v>345</v>
      </c>
      <c r="C64" s="3" t="s">
        <v>506</v>
      </c>
      <c r="M64" s="18"/>
      <c r="Q64" s="18"/>
      <c r="Y64" s="18"/>
      <c r="AA64" s="25">
        <f t="shared" si="18"/>
        <v>2001</v>
      </c>
      <c r="AB64" s="137">
        <f>'Exhibit O,2'!I23</f>
        <v>22560712.330000006</v>
      </c>
      <c r="AC64" s="137">
        <f>'Exhibit N,2'!I23</f>
        <v>12067167</v>
      </c>
      <c r="AD64" s="137">
        <f>'Exhibit M,2'!I23</f>
        <v>1732780</v>
      </c>
      <c r="AE64" s="137">
        <f>'Exhibit L,2'!I23</f>
        <v>1283262.23</v>
      </c>
      <c r="AF64" s="172"/>
      <c r="AG64" s="172"/>
      <c r="AH64" s="172"/>
      <c r="AI64" s="172"/>
      <c r="AJ64" s="172"/>
      <c r="AK64" s="172"/>
      <c r="AL64" s="137">
        <f t="shared" si="16"/>
        <v>37643921.560000002</v>
      </c>
      <c r="AM64" s="136">
        <v>37643921.560000017</v>
      </c>
      <c r="AN64" s="172">
        <f>AL64-AM64</f>
        <v>0</v>
      </c>
      <c r="AO64" s="39">
        <f>AM64-'Exhibit B,S3'!AM64</f>
        <v>0</v>
      </c>
      <c r="AP64" s="137"/>
      <c r="AQ64" s="306"/>
      <c r="AR64" s="25">
        <f t="shared" si="19"/>
        <v>2001</v>
      </c>
      <c r="AS64" s="61"/>
      <c r="AT64" s="137">
        <f>(AB64+AC64)-'Exhibit H,4'!C23</f>
        <v>25656954.810000006</v>
      </c>
      <c r="AU64" s="61"/>
      <c r="AV64" s="137">
        <f>(AD64+AE64)-'Exhibit G,2'!G23</f>
        <v>2660395.15</v>
      </c>
      <c r="AW64" s="61"/>
      <c r="AX64" s="61"/>
      <c r="AY64" s="61"/>
      <c r="AZ64" s="61"/>
      <c r="BA64" s="61"/>
      <c r="BB64" s="61"/>
      <c r="BC64" s="137">
        <f t="shared" si="17"/>
        <v>28317349.960000005</v>
      </c>
      <c r="BD64" s="136">
        <v>28317349.960000012</v>
      </c>
      <c r="BE64" s="172">
        <f>BC64-BD64</f>
        <v>0</v>
      </c>
      <c r="BF64" s="39"/>
      <c r="BG64" s="172">
        <v>0</v>
      </c>
      <c r="BH64" s="172">
        <v>0</v>
      </c>
      <c r="BI64" s="611">
        <f t="shared" ref="BI64:BI87" si="20">SUM(AT64:AY64)+BG64+BH64</f>
        <v>28317349.960000005</v>
      </c>
      <c r="BJ64" s="612">
        <f t="shared" ref="BJ64:BJ85" si="21">BC64-BI64</f>
        <v>0</v>
      </c>
    </row>
    <row r="65" spans="1:72">
      <c r="M65" s="18"/>
      <c r="Q65" s="18"/>
      <c r="AA65" s="25">
        <f t="shared" si="18"/>
        <v>2002</v>
      </c>
      <c r="AB65" s="137">
        <f>'Exhibit O,2'!I24</f>
        <v>26310397.339999992</v>
      </c>
      <c r="AC65" s="137">
        <f>'Exhibit N,2'!I24</f>
        <v>12700000</v>
      </c>
      <c r="AD65" s="137">
        <f>'Exhibit M,2'!I24</f>
        <v>647640.80999999994</v>
      </c>
      <c r="AE65" s="137">
        <f>'Exhibit L,2'!I24</f>
        <v>0</v>
      </c>
      <c r="AF65" s="172"/>
      <c r="AG65" s="172"/>
      <c r="AH65" s="172"/>
      <c r="AI65" s="172"/>
      <c r="AJ65" s="172"/>
      <c r="AK65" s="172"/>
      <c r="AL65" s="137">
        <f t="shared" si="16"/>
        <v>39658038.149999991</v>
      </c>
      <c r="AM65" s="136">
        <v>39658038.149999999</v>
      </c>
      <c r="AN65" s="172">
        <f t="shared" ref="AN65:AN85" si="22">AL65-AM65</f>
        <v>0</v>
      </c>
      <c r="AO65" s="39">
        <f>AM65-'Exhibit B,S3'!AM65</f>
        <v>0</v>
      </c>
      <c r="AP65" s="137"/>
      <c r="AQ65" s="306"/>
      <c r="AR65" s="25">
        <f t="shared" si="19"/>
        <v>2002</v>
      </c>
      <c r="AS65" s="61"/>
      <c r="AT65" s="137">
        <f>(AB65+AC65)-'Exhibit H,4'!C24</f>
        <v>33106692.969999984</v>
      </c>
      <c r="AU65" s="61"/>
      <c r="AV65" s="137">
        <f>(AD65+AE65)-'Exhibit G,2'!G24</f>
        <v>647640.80999999994</v>
      </c>
      <c r="AW65" s="61"/>
      <c r="AX65" s="61"/>
      <c r="AY65" s="61"/>
      <c r="AZ65" s="61"/>
      <c r="BA65" s="61"/>
      <c r="BB65" s="61"/>
      <c r="BC65" s="137">
        <f t="shared" si="17"/>
        <v>33754333.779999986</v>
      </c>
      <c r="BD65" s="136">
        <v>33754333.779999994</v>
      </c>
      <c r="BE65" s="172">
        <f t="shared" ref="BE65:BE85" si="23">BC65-BD65</f>
        <v>0</v>
      </c>
      <c r="BF65" s="39"/>
      <c r="BG65" s="172">
        <v>0</v>
      </c>
      <c r="BH65" s="172">
        <v>0</v>
      </c>
      <c r="BI65" s="611">
        <f t="shared" si="20"/>
        <v>33754333.779999986</v>
      </c>
      <c r="BJ65" s="612">
        <f t="shared" si="21"/>
        <v>0</v>
      </c>
    </row>
    <row r="66" spans="1:72">
      <c r="Q66" s="18"/>
      <c r="AA66" s="25">
        <f t="shared" si="18"/>
        <v>2003</v>
      </c>
      <c r="AB66" s="137">
        <f>'Exhibit O,2'!I25</f>
        <v>20878044.309999999</v>
      </c>
      <c r="AC66" s="137">
        <f>'Exhibit N,2'!I25</f>
        <v>15540000</v>
      </c>
      <c r="AD66" s="137">
        <f>'Exhibit M,2'!I25</f>
        <v>2003612.72</v>
      </c>
      <c r="AE66" s="137">
        <f>'Exhibit L,2'!I25</f>
        <v>1200000</v>
      </c>
      <c r="AF66" s="172"/>
      <c r="AG66" s="172"/>
      <c r="AH66" s="172"/>
      <c r="AI66" s="172"/>
      <c r="AJ66" s="172"/>
      <c r="AK66" s="172"/>
      <c r="AL66" s="137">
        <f t="shared" si="16"/>
        <v>39621657.030000001</v>
      </c>
      <c r="AM66" s="136">
        <v>39621657.030000001</v>
      </c>
      <c r="AN66" s="172">
        <f t="shared" si="22"/>
        <v>0</v>
      </c>
      <c r="AO66" s="39">
        <f>AM66-'Exhibit B,S3'!AM66</f>
        <v>0</v>
      </c>
      <c r="AP66" s="137"/>
      <c r="AQ66" s="306"/>
      <c r="AR66" s="25">
        <f t="shared" si="19"/>
        <v>2003</v>
      </c>
      <c r="AS66" s="61"/>
      <c r="AT66" s="137">
        <f>(AB66+AC66)-'Exhibit H,4'!C25</f>
        <v>27999908.039999995</v>
      </c>
      <c r="AU66" s="61"/>
      <c r="AV66" s="137">
        <f>(AD66+AE66)-'Exhibit G,2'!G25</f>
        <v>2975859.84</v>
      </c>
      <c r="AW66" s="61"/>
      <c r="AX66" s="61"/>
      <c r="AY66" s="61"/>
      <c r="AZ66" s="61"/>
      <c r="BA66" s="61"/>
      <c r="BB66" s="61"/>
      <c r="BC66" s="137">
        <f t="shared" si="17"/>
        <v>30975767.879999995</v>
      </c>
      <c r="BD66" s="136">
        <v>30975767.879999999</v>
      </c>
      <c r="BE66" s="172">
        <f t="shared" si="23"/>
        <v>0</v>
      </c>
      <c r="BF66" s="39"/>
      <c r="BG66" s="172">
        <v>0</v>
      </c>
      <c r="BH66" s="172">
        <v>0</v>
      </c>
      <c r="BI66" s="611">
        <f t="shared" si="20"/>
        <v>30975767.879999995</v>
      </c>
      <c r="BJ66" s="612">
        <f t="shared" si="21"/>
        <v>0</v>
      </c>
    </row>
    <row r="67" spans="1:72">
      <c r="Q67" s="18"/>
      <c r="AA67" s="25">
        <f t="shared" si="18"/>
        <v>2004</v>
      </c>
      <c r="AB67" s="137">
        <f>'Exhibit O,2'!I26</f>
        <v>14303436.559999997</v>
      </c>
      <c r="AC67" s="137">
        <f>'Exhibit N,2'!I26</f>
        <v>5025000</v>
      </c>
      <c r="AD67" s="137">
        <f>'Exhibit M,2'!I26</f>
        <v>2277389.9</v>
      </c>
      <c r="AE67" s="137">
        <f>'Exhibit L,2'!I26</f>
        <v>740000</v>
      </c>
      <c r="AF67" s="172"/>
      <c r="AG67" s="172"/>
      <c r="AH67" s="172"/>
      <c r="AI67" s="172"/>
      <c r="AJ67" s="172"/>
      <c r="AK67" s="172"/>
      <c r="AL67" s="137">
        <f t="shared" si="16"/>
        <v>22345826.459999993</v>
      </c>
      <c r="AM67" s="136">
        <v>22345826.460000001</v>
      </c>
      <c r="AN67" s="172">
        <f t="shared" si="22"/>
        <v>0</v>
      </c>
      <c r="AO67" s="39">
        <f>AM67-'Exhibit B,S3'!AM67</f>
        <v>0</v>
      </c>
      <c r="AP67" s="137"/>
      <c r="AQ67" s="306"/>
      <c r="AR67" s="25">
        <f t="shared" si="19"/>
        <v>2004</v>
      </c>
      <c r="AS67" s="61"/>
      <c r="AT67" s="137">
        <f>(AB67+AC67)-'Exhibit H,4'!C26</f>
        <v>18783043.659999996</v>
      </c>
      <c r="AU67" s="61"/>
      <c r="AV67" s="137">
        <f>(AD67+AE67)-'Exhibit G,2'!G26</f>
        <v>3017389.9</v>
      </c>
      <c r="AW67" s="61"/>
      <c r="AX67" s="61"/>
      <c r="AY67" s="61"/>
      <c r="AZ67" s="61"/>
      <c r="BA67" s="61"/>
      <c r="BB67" s="61"/>
      <c r="BC67" s="137">
        <f t="shared" si="17"/>
        <v>21800433.559999995</v>
      </c>
      <c r="BD67" s="136">
        <v>21800433.559999999</v>
      </c>
      <c r="BE67" s="172">
        <f t="shared" si="23"/>
        <v>0</v>
      </c>
      <c r="BF67" s="39"/>
      <c r="BG67" s="172">
        <v>0</v>
      </c>
      <c r="BH67" s="172">
        <v>0</v>
      </c>
      <c r="BI67" s="611">
        <f t="shared" si="20"/>
        <v>21800433.559999995</v>
      </c>
      <c r="BJ67" s="612">
        <f t="shared" si="21"/>
        <v>0</v>
      </c>
    </row>
    <row r="68" spans="1:72">
      <c r="M68" s="18"/>
      <c r="O68" s="20"/>
      <c r="Q68" s="20"/>
      <c r="S68" s="20"/>
      <c r="U68" s="20"/>
      <c r="W68" s="20"/>
      <c r="Y68" s="20"/>
      <c r="AA68" s="25">
        <f t="shared" si="18"/>
        <v>2005</v>
      </c>
      <c r="AB68" s="137">
        <f>'Exhibit O,2'!I27</f>
        <v>16243160.280000001</v>
      </c>
      <c r="AC68" s="137">
        <f>'Exhibit N,2'!I27</f>
        <v>4275000</v>
      </c>
      <c r="AD68" s="137">
        <f>'Exhibit M,2'!I27</f>
        <v>1556133.47</v>
      </c>
      <c r="AE68" s="137">
        <f>'Exhibit L,2'!I27</f>
        <v>975000</v>
      </c>
      <c r="AF68" s="18">
        <v>163606.21</v>
      </c>
      <c r="AG68" s="18">
        <v>0</v>
      </c>
      <c r="AH68" s="172"/>
      <c r="AI68" s="172"/>
      <c r="AJ68" s="172"/>
      <c r="AK68" s="172"/>
      <c r="AL68" s="137">
        <f t="shared" si="16"/>
        <v>23212899.960000001</v>
      </c>
      <c r="AM68" s="136">
        <v>23212899.959999993</v>
      </c>
      <c r="AN68" s="172">
        <f t="shared" si="22"/>
        <v>0</v>
      </c>
      <c r="AO68" s="39">
        <f>AM68-'Exhibit B,S3'!AM68</f>
        <v>0</v>
      </c>
      <c r="AP68" s="137"/>
      <c r="AQ68" s="306"/>
      <c r="AR68" s="25">
        <f t="shared" si="19"/>
        <v>2005</v>
      </c>
      <c r="AS68" s="61"/>
      <c r="AT68" s="137">
        <f>(AB68+AC68)-'Exhibit H,4'!C27</f>
        <v>19241902.600000001</v>
      </c>
      <c r="AU68" s="61"/>
      <c r="AV68" s="137">
        <f>(AD68+AE68)-'Exhibit G,2'!G27</f>
        <v>2477361.64</v>
      </c>
      <c r="AW68" s="18">
        <f>AF68</f>
        <v>163606.21</v>
      </c>
      <c r="AX68" s="18">
        <f>AG68</f>
        <v>0</v>
      </c>
      <c r="AY68" s="61"/>
      <c r="AZ68" s="61"/>
      <c r="BA68" s="61"/>
      <c r="BB68" s="61"/>
      <c r="BC68" s="137">
        <f t="shared" si="17"/>
        <v>21882870.450000003</v>
      </c>
      <c r="BD68" s="136">
        <v>21882870.449999996</v>
      </c>
      <c r="BE68" s="172">
        <f t="shared" si="23"/>
        <v>0</v>
      </c>
      <c r="BF68" s="39"/>
      <c r="BG68" s="172">
        <v>0</v>
      </c>
      <c r="BH68" s="172">
        <v>0</v>
      </c>
      <c r="BI68" s="611">
        <f t="shared" si="20"/>
        <v>21882870.450000003</v>
      </c>
      <c r="BJ68" s="612">
        <f t="shared" si="21"/>
        <v>0</v>
      </c>
    </row>
    <row r="69" spans="1:72">
      <c r="M69" s="18"/>
      <c r="AA69" s="25">
        <f t="shared" si="18"/>
        <v>2006</v>
      </c>
      <c r="AB69" s="137">
        <f>'Exhibit O,2'!I28</f>
        <v>14659669.499999998</v>
      </c>
      <c r="AC69" s="137">
        <f>'Exhibit N,2'!I28</f>
        <v>5350000</v>
      </c>
      <c r="AD69" s="137">
        <f>'Exhibit M,2'!I28</f>
        <v>78000</v>
      </c>
      <c r="AE69" s="137">
        <f>'Exhibit L,2'!I28</f>
        <v>0</v>
      </c>
      <c r="AF69" s="18">
        <v>474648.87</v>
      </c>
      <c r="AG69" s="18">
        <v>49249.72</v>
      </c>
      <c r="AH69" s="172"/>
      <c r="AI69" s="172"/>
      <c r="AJ69" s="172"/>
      <c r="AK69" s="172"/>
      <c r="AL69" s="137">
        <f t="shared" si="16"/>
        <v>20611568.09</v>
      </c>
      <c r="AM69" s="136">
        <v>20611568.09</v>
      </c>
      <c r="AN69" s="172">
        <f t="shared" si="22"/>
        <v>0</v>
      </c>
      <c r="AO69" s="39">
        <f>AM69-'Exhibit B,S3'!AM69</f>
        <v>-186486.30000000075</v>
      </c>
      <c r="AP69" s="137"/>
      <c r="AQ69" s="306"/>
      <c r="AR69" s="25">
        <f t="shared" si="19"/>
        <v>2006</v>
      </c>
      <c r="AS69" s="61"/>
      <c r="AT69" s="137">
        <f>(AB69+AC69)-'Exhibit H,4'!C28</f>
        <v>20009669.5</v>
      </c>
      <c r="AU69" s="61"/>
      <c r="AV69" s="137">
        <f>(AD69+AE69)-'Exhibit G,2'!G28</f>
        <v>78000</v>
      </c>
      <c r="AW69" s="18">
        <f t="shared" ref="AW69:AX70" si="24">AF69</f>
        <v>474648.87</v>
      </c>
      <c r="AX69" s="18">
        <f t="shared" si="24"/>
        <v>49249.72</v>
      </c>
      <c r="AY69" s="61"/>
      <c r="AZ69" s="61"/>
      <c r="BA69" s="61"/>
      <c r="BB69" s="61"/>
      <c r="BC69" s="137">
        <f t="shared" si="17"/>
        <v>20611568.09</v>
      </c>
      <c r="BD69" s="136">
        <v>20611568.09</v>
      </c>
      <c r="BE69" s="172">
        <f t="shared" si="23"/>
        <v>0</v>
      </c>
      <c r="BF69" s="39"/>
      <c r="BG69" s="172">
        <v>0</v>
      </c>
      <c r="BH69" s="172">
        <v>0</v>
      </c>
      <c r="BI69" s="611">
        <f t="shared" si="20"/>
        <v>20611568.09</v>
      </c>
      <c r="BJ69" s="612">
        <f t="shared" si="21"/>
        <v>0</v>
      </c>
    </row>
    <row r="70" spans="1:72">
      <c r="M70" s="18"/>
      <c r="AA70" s="25">
        <f t="shared" si="18"/>
        <v>2007</v>
      </c>
      <c r="AB70" s="137">
        <f>'Exhibit O,2'!I29</f>
        <v>16719584.209999999</v>
      </c>
      <c r="AC70" s="137">
        <f>'Exhibit N,2'!I29</f>
        <v>4345000</v>
      </c>
      <c r="AD70" s="137">
        <f>'Exhibit M,2'!I29</f>
        <v>806127.32000000007</v>
      </c>
      <c r="AE70" s="137">
        <f>'Exhibit L,2'!I29</f>
        <v>500000</v>
      </c>
      <c r="AF70" s="18">
        <v>639550.64999999991</v>
      </c>
      <c r="AG70" s="18">
        <v>135351</v>
      </c>
      <c r="AH70" s="172"/>
      <c r="AI70" s="172"/>
      <c r="AJ70" s="172"/>
      <c r="AK70" s="172"/>
      <c r="AL70" s="137">
        <f t="shared" si="16"/>
        <v>23145613.18</v>
      </c>
      <c r="AM70" s="136">
        <v>23145613.179999996</v>
      </c>
      <c r="AN70" s="172">
        <f t="shared" si="22"/>
        <v>0</v>
      </c>
      <c r="AO70" s="39">
        <f>AM70-'Exhibit B,S3'!AM70</f>
        <v>0</v>
      </c>
      <c r="AP70" s="137"/>
      <c r="AQ70" s="306"/>
      <c r="AR70" s="25">
        <f t="shared" si="19"/>
        <v>2007</v>
      </c>
      <c r="AS70" s="61"/>
      <c r="AT70" s="137">
        <f>(AB70+AC70)-'Exhibit H,4'!C29</f>
        <v>20426353.329999998</v>
      </c>
      <c r="AU70" s="61"/>
      <c r="AV70" s="137">
        <f>(AD70+AE70)-'Exhibit G,2'!G29</f>
        <v>1210893.24</v>
      </c>
      <c r="AW70" s="18">
        <f t="shared" si="24"/>
        <v>639550.64999999991</v>
      </c>
      <c r="AX70" s="18">
        <f t="shared" si="24"/>
        <v>135351</v>
      </c>
      <c r="AY70" s="61"/>
      <c r="AZ70" s="61"/>
      <c r="BA70" s="61"/>
      <c r="BB70" s="61"/>
      <c r="BC70" s="137">
        <f t="shared" si="17"/>
        <v>22412148.219999995</v>
      </c>
      <c r="BD70" s="136">
        <v>22412148.219999995</v>
      </c>
      <c r="BE70" s="172">
        <f t="shared" si="23"/>
        <v>0</v>
      </c>
      <c r="BF70" s="39"/>
      <c r="BG70" s="172">
        <v>0</v>
      </c>
      <c r="BH70" s="172">
        <v>0</v>
      </c>
      <c r="BI70" s="611">
        <f t="shared" si="20"/>
        <v>22412148.219999995</v>
      </c>
      <c r="BJ70" s="612">
        <f t="shared" si="21"/>
        <v>0</v>
      </c>
    </row>
    <row r="71" spans="1:72">
      <c r="M71" s="18"/>
      <c r="O71" s="22"/>
      <c r="Q71" s="22"/>
      <c r="S71" s="22"/>
      <c r="U71" s="22"/>
      <c r="W71" s="22"/>
      <c r="Y71" s="22"/>
      <c r="AA71" s="25">
        <f t="shared" si="18"/>
        <v>2008</v>
      </c>
      <c r="AB71" s="137">
        <f>'Exhibit O,2'!I30</f>
        <v>15508781.949999999</v>
      </c>
      <c r="AC71" s="137">
        <f>'Exhibit N,2'!I30</f>
        <v>5515000</v>
      </c>
      <c r="AD71" s="137">
        <f>'Exhibit M,2'!I30</f>
        <v>728745.13</v>
      </c>
      <c r="AE71" s="137">
        <f>'Exhibit L,2'!I30</f>
        <v>350000</v>
      </c>
      <c r="AF71" s="307">
        <f>'Exhibit U,2'!I17</f>
        <v>577451.15</v>
      </c>
      <c r="AG71" s="172">
        <f>'Exhibit U,2'!K17</f>
        <v>1911758.4000000001</v>
      </c>
      <c r="AH71" s="172"/>
      <c r="AI71" s="172"/>
      <c r="AJ71" s="172"/>
      <c r="AK71" s="172"/>
      <c r="AL71" s="137">
        <f t="shared" si="16"/>
        <v>24591736.629999995</v>
      </c>
      <c r="AM71" s="136">
        <v>24591736.629999999</v>
      </c>
      <c r="AN71" s="172">
        <f t="shared" si="22"/>
        <v>0</v>
      </c>
      <c r="AO71" s="39">
        <f>AM71-'Exhibit B,S3'!AM71</f>
        <v>0</v>
      </c>
      <c r="AP71" s="137"/>
      <c r="AQ71" s="306"/>
      <c r="AR71" s="25">
        <f t="shared" si="19"/>
        <v>2008</v>
      </c>
      <c r="AS71" s="61"/>
      <c r="AT71" s="137">
        <f>(AB71+AC71)-'Exhibit H,4'!C30</f>
        <v>20199886.84</v>
      </c>
      <c r="AU71" s="61"/>
      <c r="AV71" s="137">
        <f>(AD71+AE71)-'Exhibit G,2'!G30</f>
        <v>1078745.1299999999</v>
      </c>
      <c r="AW71" s="172">
        <f>'Exhibit U,5'!AC36</f>
        <v>577451.15</v>
      </c>
      <c r="AX71" s="172">
        <f>'Exhibit U,8'!AC36</f>
        <v>1871146.2100000002</v>
      </c>
      <c r="AY71" s="61"/>
      <c r="AZ71" s="61"/>
      <c r="BA71" s="61"/>
      <c r="BB71" s="61"/>
      <c r="BC71" s="137">
        <f t="shared" si="17"/>
        <v>23727229.329999998</v>
      </c>
      <c r="BD71" s="136">
        <v>23727229.329999998</v>
      </c>
      <c r="BE71" s="172">
        <f t="shared" si="23"/>
        <v>0</v>
      </c>
      <c r="BF71" s="39"/>
      <c r="BG71" s="172">
        <v>0</v>
      </c>
      <c r="BH71" s="172">
        <v>0</v>
      </c>
      <c r="BI71" s="611">
        <f t="shared" si="20"/>
        <v>23727229.329999998</v>
      </c>
      <c r="BJ71" s="612">
        <f t="shared" si="21"/>
        <v>0</v>
      </c>
    </row>
    <row r="72" spans="1:72">
      <c r="AA72" s="25">
        <f t="shared" si="18"/>
        <v>2009</v>
      </c>
      <c r="AB72" s="137">
        <f>'Exhibit O,2'!I31</f>
        <v>12635738.100000003</v>
      </c>
      <c r="AC72" s="137">
        <f>'Exhibit N,2'!I31</f>
        <v>6335000</v>
      </c>
      <c r="AD72" s="137">
        <f>'Exhibit M,2'!I31</f>
        <v>2851</v>
      </c>
      <c r="AE72" s="137">
        <f>'Exhibit L,2'!I31</f>
        <v>0</v>
      </c>
      <c r="AF72" s="307">
        <f>'Exhibit U,2'!I18</f>
        <v>28875.5</v>
      </c>
      <c r="AG72" s="172">
        <f>'Exhibit U,2'!K18</f>
        <v>2191506.25</v>
      </c>
      <c r="AH72" s="172"/>
      <c r="AI72" s="172"/>
      <c r="AJ72" s="172"/>
      <c r="AK72" s="172"/>
      <c r="AL72" s="137">
        <f t="shared" si="16"/>
        <v>21193970.850000001</v>
      </c>
      <c r="AM72" s="136">
        <v>21193970.850000001</v>
      </c>
      <c r="AN72" s="172">
        <f t="shared" si="22"/>
        <v>0</v>
      </c>
      <c r="AO72" s="39">
        <f>AM72-'Exhibit B,S3'!AM72</f>
        <v>0</v>
      </c>
      <c r="AP72" s="137"/>
      <c r="AQ72" s="306"/>
      <c r="AR72" s="25">
        <f t="shared" si="19"/>
        <v>2009</v>
      </c>
      <c r="AS72" s="61"/>
      <c r="AT72" s="137">
        <f>(AB72+AC72)-'Exhibit H,4'!C31</f>
        <v>17254050.280000001</v>
      </c>
      <c r="AU72" s="61"/>
      <c r="AV72" s="137">
        <f>(AD72+AE72)-'Exhibit G,2'!G31</f>
        <v>2851</v>
      </c>
      <c r="AW72" s="172">
        <f>'Exhibit U,5'!AC37</f>
        <v>28875.5</v>
      </c>
      <c r="AX72" s="172">
        <f>'Exhibit U,8'!AC37</f>
        <v>2191506.25</v>
      </c>
      <c r="AY72" s="61"/>
      <c r="AZ72" s="61"/>
      <c r="BA72" s="61"/>
      <c r="BB72" s="61"/>
      <c r="BC72" s="137">
        <f t="shared" si="17"/>
        <v>19477283.030000001</v>
      </c>
      <c r="BD72" s="136">
        <v>19477283.030000001</v>
      </c>
      <c r="BE72" s="172">
        <f t="shared" si="23"/>
        <v>0</v>
      </c>
      <c r="BF72" s="39"/>
      <c r="BG72" s="172">
        <v>0</v>
      </c>
      <c r="BH72" s="172">
        <v>0</v>
      </c>
      <c r="BI72" s="611">
        <f t="shared" si="20"/>
        <v>19477283.030000001</v>
      </c>
      <c r="BJ72" s="612">
        <f t="shared" si="21"/>
        <v>0</v>
      </c>
    </row>
    <row r="73" spans="1:72">
      <c r="AA73" s="25">
        <f t="shared" si="18"/>
        <v>2010</v>
      </c>
      <c r="AB73" s="137">
        <f>'Exhibit O,2'!I32</f>
        <v>16673387.52</v>
      </c>
      <c r="AC73" s="137">
        <f>'Exhibit N,2'!I32</f>
        <v>8462500</v>
      </c>
      <c r="AD73" s="137">
        <f>'Exhibit M,2'!I32</f>
        <v>0</v>
      </c>
      <c r="AE73" s="137">
        <f>'Exhibit L,2'!I32</f>
        <v>0</v>
      </c>
      <c r="AF73" s="307">
        <f>'Exhibit U,2'!I19</f>
        <v>1056390.7999999998</v>
      </c>
      <c r="AG73" s="172">
        <f>'Exhibit U,2'!K19</f>
        <v>8479335.2699999996</v>
      </c>
      <c r="AH73" s="172"/>
      <c r="AI73" s="172"/>
      <c r="AJ73" s="172"/>
      <c r="AK73" s="172"/>
      <c r="AL73" s="137">
        <f t="shared" si="16"/>
        <v>34671613.590000004</v>
      </c>
      <c r="AM73" s="136">
        <v>34671613.590000004</v>
      </c>
      <c r="AN73" s="172">
        <f t="shared" si="22"/>
        <v>0</v>
      </c>
      <c r="AO73" s="39">
        <f>AM73-'Exhibit B,S3'!AM73</f>
        <v>243.18000000715256</v>
      </c>
      <c r="AP73" s="137"/>
      <c r="AQ73" s="306"/>
      <c r="AR73" s="25">
        <f t="shared" si="19"/>
        <v>2010</v>
      </c>
      <c r="AS73" s="61"/>
      <c r="AT73" s="137">
        <f>(AB73+AC73)-'Exhibit H,4'!C32</f>
        <v>23008986.829999998</v>
      </c>
      <c r="AU73" s="61"/>
      <c r="AV73" s="137">
        <f>(AD73+AE73)-'Exhibit G,2'!G32</f>
        <v>0</v>
      </c>
      <c r="AW73" s="172">
        <f>'Exhibit U,5'!AC38</f>
        <v>1056390.7999999998</v>
      </c>
      <c r="AX73" s="172">
        <f>'Exhibit U,8'!AC38</f>
        <v>6627825.4199999999</v>
      </c>
      <c r="AY73" s="61"/>
      <c r="AZ73" s="61"/>
      <c r="BA73" s="61"/>
      <c r="BB73" s="61"/>
      <c r="BC73" s="137">
        <f t="shared" si="17"/>
        <v>30693203.049999997</v>
      </c>
      <c r="BD73" s="136">
        <v>30693203.050000001</v>
      </c>
      <c r="BE73" s="172">
        <f t="shared" si="23"/>
        <v>0</v>
      </c>
      <c r="BF73" s="39"/>
      <c r="BG73" s="172">
        <v>0</v>
      </c>
      <c r="BH73" s="172">
        <v>0</v>
      </c>
      <c r="BI73" s="611">
        <f t="shared" si="20"/>
        <v>30693203.049999997</v>
      </c>
      <c r="BJ73" s="612">
        <f t="shared" si="21"/>
        <v>0</v>
      </c>
    </row>
    <row r="74" spans="1:72">
      <c r="AA74" s="25">
        <f t="shared" si="18"/>
        <v>2011</v>
      </c>
      <c r="AB74" s="137">
        <f>'Exhibit O,2'!I33</f>
        <v>9644676.9399999995</v>
      </c>
      <c r="AC74" s="137">
        <f>'Exhibit N,2'!I33</f>
        <v>7214500</v>
      </c>
      <c r="AD74" s="137">
        <f>'Exhibit M,2'!I33</f>
        <v>407297.79</v>
      </c>
      <c r="AE74" s="137">
        <f>'Exhibit L,2'!I33</f>
        <v>0</v>
      </c>
      <c r="AF74" s="307">
        <f>'Exhibit U,2'!I20</f>
        <v>640869.17000000004</v>
      </c>
      <c r="AG74" s="172">
        <f>'Exhibit U,2'!K20</f>
        <v>6315267.6400000006</v>
      </c>
      <c r="AH74" s="172"/>
      <c r="AI74" s="172">
        <f>'Exhibit V,1'!G16</f>
        <v>2375</v>
      </c>
      <c r="AJ74" s="172"/>
      <c r="AK74" s="172"/>
      <c r="AL74" s="137">
        <f t="shared" si="16"/>
        <v>24224986.539999999</v>
      </c>
      <c r="AM74" s="136">
        <v>24224986.539999999</v>
      </c>
      <c r="AN74" s="172">
        <f t="shared" si="22"/>
        <v>0</v>
      </c>
      <c r="AO74" s="39">
        <f>AM74-'Exhibit B,S3'!AM74</f>
        <v>-520964.58999999985</v>
      </c>
      <c r="AP74" s="137"/>
      <c r="AQ74" s="306"/>
      <c r="AR74" s="25">
        <f t="shared" si="19"/>
        <v>2011</v>
      </c>
      <c r="AS74" s="61"/>
      <c r="AT74" s="137">
        <f>(AB74+AC74)-'Exhibit H,4'!C33</f>
        <v>14623328.59</v>
      </c>
      <c r="AU74" s="61"/>
      <c r="AV74" s="137">
        <f>(AD74+AE74)-'Exhibit G,2'!G33</f>
        <v>407297.79</v>
      </c>
      <c r="AW74" s="172">
        <f>'Exhibit U,5'!AC39</f>
        <v>640869.17000000004</v>
      </c>
      <c r="AX74" s="172">
        <f>'Exhibit U,8'!AC39</f>
        <v>6221285.9700000007</v>
      </c>
      <c r="AY74" s="61"/>
      <c r="AZ74" s="20">
        <f>'Exhibit V,1'!G44</f>
        <v>2375</v>
      </c>
      <c r="BA74" s="61"/>
      <c r="BB74" s="61"/>
      <c r="BC74" s="137">
        <f t="shared" si="17"/>
        <v>21895156.52</v>
      </c>
      <c r="BD74" s="136">
        <v>21895156.52</v>
      </c>
      <c r="BE74" s="172">
        <f t="shared" si="23"/>
        <v>0</v>
      </c>
      <c r="BF74" s="39"/>
      <c r="BG74" s="172">
        <v>2375</v>
      </c>
      <c r="BH74" s="172">
        <v>0</v>
      </c>
      <c r="BI74" s="611">
        <f t="shared" si="20"/>
        <v>21895156.52</v>
      </c>
      <c r="BJ74" s="612">
        <f t="shared" si="21"/>
        <v>0</v>
      </c>
    </row>
    <row r="75" spans="1:72">
      <c r="AA75" s="25">
        <f t="shared" si="18"/>
        <v>2012</v>
      </c>
      <c r="AB75" s="137">
        <f>'Exhibit O,2'!I34</f>
        <v>13600663.920000002</v>
      </c>
      <c r="AC75" s="137">
        <f>'Exhibit N,2'!I34</f>
        <v>9894999.6699999999</v>
      </c>
      <c r="AD75" s="137">
        <f>'Exhibit M,2'!I34</f>
        <v>1101243.9099999999</v>
      </c>
      <c r="AE75" s="137">
        <f>'Exhibit L,2'!I34</f>
        <v>0</v>
      </c>
      <c r="AF75" s="307">
        <f>'Exhibit U,2'!I21</f>
        <v>4744399.03</v>
      </c>
      <c r="AG75" s="172">
        <f>'Exhibit U,2'!K21</f>
        <v>17569452.739999998</v>
      </c>
      <c r="AH75" s="172"/>
      <c r="AI75" s="172"/>
      <c r="AJ75" s="172">
        <f>'Exhibit V,1'!W16</f>
        <v>0</v>
      </c>
      <c r="AK75" s="172"/>
      <c r="AL75" s="137">
        <f t="shared" si="16"/>
        <v>46910759.270000003</v>
      </c>
      <c r="AM75" s="136">
        <v>46910759.270000003</v>
      </c>
      <c r="AN75" s="172">
        <f t="shared" si="22"/>
        <v>0</v>
      </c>
      <c r="AO75" s="39">
        <f>AM75-'Exhibit B,S3'!AM75</f>
        <v>-1546920.1300000027</v>
      </c>
      <c r="AP75" s="137"/>
      <c r="AQ75" s="306"/>
      <c r="AR75" s="25">
        <f t="shared" si="19"/>
        <v>2012</v>
      </c>
      <c r="AS75" s="61"/>
      <c r="AT75" s="137">
        <f>(AB75+AC75)-'Exhibit H,4'!C34</f>
        <v>17502910.040000003</v>
      </c>
      <c r="AU75" s="61"/>
      <c r="AV75" s="137">
        <f>(AD75+AE75)-'Exhibit G,2'!G34</f>
        <v>1101243.9099999999</v>
      </c>
      <c r="AW75" s="172">
        <f>'Exhibit U,5'!AC40</f>
        <v>4175261.5</v>
      </c>
      <c r="AX75" s="172">
        <f>'Exhibit U,8'!AC40</f>
        <v>13811692.24</v>
      </c>
      <c r="AY75" s="61"/>
      <c r="AZ75" s="18"/>
      <c r="BA75" s="61"/>
      <c r="BB75" s="61"/>
      <c r="BC75" s="137">
        <f t="shared" si="17"/>
        <v>36591107.690000005</v>
      </c>
      <c r="BD75" s="136">
        <v>36591107.690000005</v>
      </c>
      <c r="BE75" s="172">
        <f t="shared" si="23"/>
        <v>0</v>
      </c>
      <c r="BF75" s="39"/>
      <c r="BG75" s="172">
        <v>0</v>
      </c>
      <c r="BH75" s="172">
        <v>0</v>
      </c>
      <c r="BI75" s="611">
        <f t="shared" si="20"/>
        <v>36591107.690000005</v>
      </c>
      <c r="BJ75" s="612">
        <f t="shared" si="21"/>
        <v>0</v>
      </c>
    </row>
    <row r="76" spans="1:72">
      <c r="AA76" s="25">
        <f t="shared" si="18"/>
        <v>2013</v>
      </c>
      <c r="AB76" s="137">
        <f>'Exhibit O,2'!I35</f>
        <v>11521638.42</v>
      </c>
      <c r="AC76" s="137">
        <f>'Exhibit N,2'!I35</f>
        <v>9340000</v>
      </c>
      <c r="AD76" s="137">
        <f>'Exhibit M,2'!I35</f>
        <v>1241946.4100000001</v>
      </c>
      <c r="AE76" s="137">
        <f>'Exhibit L,2'!I35</f>
        <v>750000</v>
      </c>
      <c r="AF76" s="307">
        <f>'Exhibit U,2'!I22</f>
        <v>714842.25</v>
      </c>
      <c r="AG76" s="172">
        <f>'Exhibit U,2'!K22</f>
        <v>17358241.969999999</v>
      </c>
      <c r="AH76" s="172"/>
      <c r="AI76" s="172">
        <f>'Exhibit V,1'!G17</f>
        <v>8418.1970000000001</v>
      </c>
      <c r="AJ76" s="172">
        <f>'Exhibit V,1'!W17</f>
        <v>0</v>
      </c>
      <c r="AK76" s="172"/>
      <c r="AL76" s="137">
        <f t="shared" si="16"/>
        <v>40935087.246999994</v>
      </c>
      <c r="AM76" s="136">
        <v>40935087.246999994</v>
      </c>
      <c r="AN76" s="172">
        <f t="shared" si="22"/>
        <v>0</v>
      </c>
      <c r="AO76" s="39">
        <f>AM76-'Exhibit B,S3'!AM76</f>
        <v>-1578231.4399999976</v>
      </c>
      <c r="AP76" s="137"/>
      <c r="AQ76" s="306"/>
      <c r="AR76" s="25">
        <f t="shared" si="19"/>
        <v>2013</v>
      </c>
      <c r="AS76" s="61"/>
      <c r="AT76" s="137">
        <f>(AB76+AC76)-'Exhibit H,4'!C35</f>
        <v>14786244.440000003</v>
      </c>
      <c r="AU76" s="61"/>
      <c r="AV76" s="137">
        <f>(AD76+AE76)-'Exhibit G,2'!G35</f>
        <v>1991946.4100000001</v>
      </c>
      <c r="AW76" s="172">
        <f>'Exhibit U,5'!AC41</f>
        <v>714842.25</v>
      </c>
      <c r="AX76" s="172">
        <f>'Exhibit U,8'!AC41</f>
        <v>14436830.419999998</v>
      </c>
      <c r="AY76" s="61"/>
      <c r="AZ76" s="137">
        <f>'Exhibit V,1'!G45</f>
        <v>8418.1970000000001</v>
      </c>
      <c r="BA76" s="137">
        <f>'Exhibit V,1'!W45</f>
        <v>0</v>
      </c>
      <c r="BB76" s="61"/>
      <c r="BC76" s="137">
        <f t="shared" si="17"/>
        <v>31938281.717</v>
      </c>
      <c r="BD76" s="136">
        <v>31938281.716999996</v>
      </c>
      <c r="BE76" s="172">
        <f t="shared" si="23"/>
        <v>0</v>
      </c>
      <c r="BF76" s="39"/>
      <c r="BG76" s="172">
        <v>8418.1970000000001</v>
      </c>
      <c r="BH76" s="172">
        <v>0</v>
      </c>
      <c r="BI76" s="611">
        <f t="shared" si="20"/>
        <v>31938281.717</v>
      </c>
      <c r="BJ76" s="612">
        <f t="shared" si="21"/>
        <v>0</v>
      </c>
      <c r="BT76" s="18"/>
    </row>
    <row r="77" spans="1:72">
      <c r="AA77" s="25">
        <f t="shared" si="18"/>
        <v>2014</v>
      </c>
      <c r="AB77" s="137">
        <f>'Exhibit O,2'!I36</f>
        <v>11478427.860000001</v>
      </c>
      <c r="AC77" s="137">
        <f>'Exhibit N,2'!I36</f>
        <v>3935000</v>
      </c>
      <c r="AD77" s="137">
        <f>'Exhibit M,2'!I36</f>
        <v>543806.18000000005</v>
      </c>
      <c r="AE77" s="137">
        <f>'Exhibit L,2'!I36</f>
        <v>0</v>
      </c>
      <c r="AF77" s="307">
        <f>'Exhibit U,2'!I23</f>
        <v>3172203.93</v>
      </c>
      <c r="AG77" s="172">
        <f>'Exhibit U,2'!K23</f>
        <v>21041019.16</v>
      </c>
      <c r="AH77" s="172"/>
      <c r="AI77" s="172">
        <f>'Exhibit V,1'!G18</f>
        <v>3800456.0380000002</v>
      </c>
      <c r="AJ77" s="172">
        <f>'Exhibit V,1'!W18</f>
        <v>1045000</v>
      </c>
      <c r="AK77" s="172"/>
      <c r="AL77" s="137">
        <f t="shared" si="16"/>
        <v>45015913.168000005</v>
      </c>
      <c r="AM77" s="136">
        <v>45015913.168000005</v>
      </c>
      <c r="AN77" s="172">
        <f t="shared" si="22"/>
        <v>0</v>
      </c>
      <c r="AO77" s="39">
        <f>AM77-'Exhibit B,S3'!AM77</f>
        <v>-1764984.5399999991</v>
      </c>
      <c r="AP77" s="137"/>
      <c r="AQ77" s="306"/>
      <c r="AR77" s="25">
        <f t="shared" si="19"/>
        <v>2014</v>
      </c>
      <c r="AS77" s="61"/>
      <c r="AT77" s="137">
        <f>(AB77+AC77)-'Exhibit H,4'!C36</f>
        <v>14083852.790000001</v>
      </c>
      <c r="AU77" s="61"/>
      <c r="AV77" s="137">
        <f>(AD77+AE77)-'Exhibit G,2'!G36</f>
        <v>543806.18000000005</v>
      </c>
      <c r="AW77" s="172">
        <f>'Exhibit U,5'!AC42</f>
        <v>2642156.08</v>
      </c>
      <c r="AX77" s="172">
        <f>'Exhibit U,8'!AC42</f>
        <v>16400911.679999998</v>
      </c>
      <c r="AY77" s="61"/>
      <c r="AZ77" s="137">
        <f>'Exhibit V,1'!G46</f>
        <v>903020.67799999984</v>
      </c>
      <c r="BA77" s="137">
        <f>'Exhibit V,1'!W46</f>
        <v>1045000</v>
      </c>
      <c r="BB77" s="61"/>
      <c r="BC77" s="137">
        <f t="shared" si="17"/>
        <v>35618747.408</v>
      </c>
      <c r="BD77" s="136">
        <v>35618747.408</v>
      </c>
      <c r="BE77" s="172">
        <f t="shared" si="23"/>
        <v>0</v>
      </c>
      <c r="BF77" s="39"/>
      <c r="BG77" s="172">
        <v>903020.67800000007</v>
      </c>
      <c r="BH77" s="172">
        <v>1045000</v>
      </c>
      <c r="BI77" s="611">
        <f t="shared" si="20"/>
        <v>35618747.408</v>
      </c>
      <c r="BJ77" s="612">
        <f t="shared" si="21"/>
        <v>0</v>
      </c>
      <c r="BT77" s="18"/>
    </row>
    <row r="78" spans="1:72">
      <c r="A78" s="6" t="s">
        <v>3</v>
      </c>
      <c r="C78" s="7" t="s">
        <v>460</v>
      </c>
      <c r="D78" s="8"/>
      <c r="E78" s="8"/>
      <c r="F78" s="8"/>
      <c r="G78" s="8"/>
      <c r="H78" s="8"/>
      <c r="I78" s="8"/>
      <c r="J78" s="8"/>
      <c r="K78" s="8"/>
      <c r="AA78" s="25">
        <f t="shared" si="18"/>
        <v>2015</v>
      </c>
      <c r="AB78" s="137">
        <f>'Exhibit O,2'!I37</f>
        <v>13635004.139999997</v>
      </c>
      <c r="AC78" s="137">
        <f>'Exhibit N,2'!I37</f>
        <v>7425000</v>
      </c>
      <c r="AD78" s="137">
        <f>'Exhibit M,2'!I37</f>
        <v>551635.24</v>
      </c>
      <c r="AE78" s="137">
        <f>'Exhibit L,2'!I37</f>
        <v>100000</v>
      </c>
      <c r="AF78" s="307">
        <f>'Exhibit U,2'!I24</f>
        <v>1881397.8199999998</v>
      </c>
      <c r="AG78" s="172">
        <f>'Exhibit U,2'!K24</f>
        <v>3985794.1799999997</v>
      </c>
      <c r="AH78" s="172"/>
      <c r="AI78" s="172">
        <f>'Exhibit V,1'!G19</f>
        <v>2455021.122</v>
      </c>
      <c r="AJ78" s="172">
        <f>'Exhibit V,1'!W19</f>
        <v>356514.14749999996</v>
      </c>
      <c r="AK78" s="172"/>
      <c r="AL78" s="137">
        <f t="shared" si="16"/>
        <v>30390366.649499997</v>
      </c>
      <c r="AM78" s="136">
        <v>30390366.649499997</v>
      </c>
      <c r="AN78" s="172">
        <f t="shared" si="22"/>
        <v>0</v>
      </c>
      <c r="AO78" s="39">
        <f>AM78-'Exhibit B,S3'!AM78</f>
        <v>603042.95999999717</v>
      </c>
      <c r="AP78" s="137"/>
      <c r="AQ78" s="306"/>
      <c r="AR78" s="25">
        <f t="shared" si="19"/>
        <v>2015</v>
      </c>
      <c r="AS78" s="61"/>
      <c r="AT78" s="137">
        <f>(AB78+AC78)-'Exhibit H,4'!C37</f>
        <v>19734399.199999996</v>
      </c>
      <c r="AU78" s="61"/>
      <c r="AV78" s="137">
        <f>(AD78+AE78)-'Exhibit G,2'!G37</f>
        <v>651635.24</v>
      </c>
      <c r="AW78" s="172">
        <f>'Exhibit U,5'!AC43</f>
        <v>1881397.8199999998</v>
      </c>
      <c r="AX78" s="172">
        <f>'Exhibit U,8'!AC43</f>
        <v>3546232.48</v>
      </c>
      <c r="AY78" s="61"/>
      <c r="AZ78" s="137">
        <f>'Exhibit V,1'!G47</f>
        <v>2455021.122</v>
      </c>
      <c r="BA78" s="137">
        <f>'Exhibit V,1'!W47</f>
        <v>99427.817500000005</v>
      </c>
      <c r="BB78" s="61"/>
      <c r="BC78" s="137">
        <f t="shared" si="17"/>
        <v>28368113.679499995</v>
      </c>
      <c r="BD78" s="136">
        <v>28368113.679499999</v>
      </c>
      <c r="BE78" s="172">
        <f t="shared" si="23"/>
        <v>0</v>
      </c>
      <c r="BF78" s="39"/>
      <c r="BG78" s="172">
        <v>2455021.122</v>
      </c>
      <c r="BH78" s="172">
        <v>99427.81749999999</v>
      </c>
      <c r="BI78" s="611">
        <f t="shared" si="20"/>
        <v>28368113.679499995</v>
      </c>
      <c r="BJ78" s="612">
        <f t="shared" si="21"/>
        <v>0</v>
      </c>
      <c r="BT78" s="18"/>
    </row>
    <row r="79" spans="1:72">
      <c r="A79" s="6" t="s">
        <v>4</v>
      </c>
      <c r="C79" s="2" t="s">
        <v>115</v>
      </c>
      <c r="E79" s="2" t="s">
        <v>646</v>
      </c>
      <c r="G79" s="2" t="s">
        <v>505</v>
      </c>
      <c r="I79" s="2" t="s">
        <v>329</v>
      </c>
      <c r="K79" s="2" t="s">
        <v>478</v>
      </c>
      <c r="M79" s="2" t="s">
        <v>0</v>
      </c>
      <c r="Y79" s="20"/>
      <c r="AA79" s="25">
        <f t="shared" si="18"/>
        <v>2016</v>
      </c>
      <c r="AB79" s="137">
        <f>'Exhibit O,2'!I38</f>
        <v>8877784.629999999</v>
      </c>
      <c r="AC79" s="137">
        <f>'Exhibit N,2'!I38</f>
        <v>3900000</v>
      </c>
      <c r="AD79" s="137">
        <f>'Exhibit M,2'!I38</f>
        <v>2690014.8499999996</v>
      </c>
      <c r="AE79" s="137">
        <f>'Exhibit L,2'!I38</f>
        <v>1850000</v>
      </c>
      <c r="AF79" s="307">
        <f>'Exhibit U,2'!I25</f>
        <v>4756934.53</v>
      </c>
      <c r="AG79" s="172">
        <f>'Exhibit U,2'!K25</f>
        <v>9990093.5099999998</v>
      </c>
      <c r="AH79" s="172"/>
      <c r="AI79" s="172">
        <f>'Exhibit V,1'!G20</f>
        <v>2739679.0554999998</v>
      </c>
      <c r="AJ79" s="172">
        <f>'Exhibit V,1'!W20</f>
        <v>11777987.748</v>
      </c>
      <c r="AK79" s="172"/>
      <c r="AL79" s="137">
        <f t="shared" si="16"/>
        <v>46582494.323499992</v>
      </c>
      <c r="AM79" s="136">
        <v>46582494.3235</v>
      </c>
      <c r="AN79" s="172">
        <f t="shared" si="22"/>
        <v>0</v>
      </c>
      <c r="AO79" s="39">
        <f>AM79-'Exhibit B,S3'!AM79</f>
        <v>1592084.7690000013</v>
      </c>
      <c r="AP79" s="137"/>
      <c r="AQ79" s="306"/>
      <c r="AR79" s="25">
        <f t="shared" si="19"/>
        <v>2016</v>
      </c>
      <c r="AS79" s="61"/>
      <c r="AT79" s="137">
        <f>(AB79+AC79)-'Exhibit H,4'!C38</f>
        <v>10430082.310000001</v>
      </c>
      <c r="AU79" s="61"/>
      <c r="AV79" s="137">
        <f>(AD79+AE79)-'Exhibit G,2'!G38</f>
        <v>3683738.7399999998</v>
      </c>
      <c r="AW79" s="172">
        <f>'Exhibit U,5'!AC44</f>
        <v>1702368.7800000003</v>
      </c>
      <c r="AX79" s="172">
        <f>'Exhibit U,8'!AC44</f>
        <v>7679534.25</v>
      </c>
      <c r="AY79" s="61"/>
      <c r="AZ79" s="137">
        <f>'Exhibit V,1'!G48</f>
        <v>1878174.1155000001</v>
      </c>
      <c r="BA79" s="137">
        <f>'Exhibit V,1'!W48</f>
        <v>10917426.888</v>
      </c>
      <c r="BB79" s="61"/>
      <c r="BC79" s="137">
        <f>SUM(AS79:BA79)</f>
        <v>36291325.083499998</v>
      </c>
      <c r="BD79" s="136">
        <v>36291325.083500005</v>
      </c>
      <c r="BE79" s="172">
        <f t="shared" si="23"/>
        <v>0</v>
      </c>
      <c r="BF79" s="39"/>
      <c r="BG79" s="172">
        <v>1878174.1155000001</v>
      </c>
      <c r="BH79" s="172">
        <v>10917426.887999998</v>
      </c>
      <c r="BI79" s="611">
        <f t="shared" si="20"/>
        <v>36291325.083499998</v>
      </c>
      <c r="BJ79" s="612">
        <f t="shared" si="21"/>
        <v>0</v>
      </c>
      <c r="BT79" s="18"/>
    </row>
    <row r="80" spans="1:72">
      <c r="A80" s="9">
        <v>-1</v>
      </c>
      <c r="C80" s="10">
        <v>-2</v>
      </c>
      <c r="E80" s="9">
        <v>-3</v>
      </c>
      <c r="G80" s="9">
        <v>-4</v>
      </c>
      <c r="I80" s="9">
        <v>-5</v>
      </c>
      <c r="K80" s="9">
        <v>-6</v>
      </c>
      <c r="M80" s="9">
        <v>-7</v>
      </c>
      <c r="AA80" s="25">
        <f t="shared" si="18"/>
        <v>2017</v>
      </c>
      <c r="AB80" s="137">
        <f>'Exhibit O,2'!I39</f>
        <v>5987304.1399999987</v>
      </c>
      <c r="AC80" s="137">
        <f>'Exhibit N,2'!I39</f>
        <v>925000</v>
      </c>
      <c r="AD80" s="137">
        <f>'Exhibit M,2'!I39</f>
        <v>202847.07</v>
      </c>
      <c r="AE80" s="137">
        <f>'Exhibit L,2'!I39</f>
        <v>0</v>
      </c>
      <c r="AF80" s="307">
        <f>'Exhibit U,2'!I26</f>
        <v>305163.03999999998</v>
      </c>
      <c r="AG80" s="172">
        <f>'Exhibit U,2'!K26</f>
        <v>8166424.1099999994</v>
      </c>
      <c r="AH80" s="172"/>
      <c r="AI80" s="172">
        <f>'Exhibit V,1'!G21</f>
        <v>1846426.1464999998</v>
      </c>
      <c r="AJ80" s="172">
        <f>'Exhibit V,1'!W21</f>
        <v>7861028.2699999996</v>
      </c>
      <c r="AK80" s="172"/>
      <c r="AL80" s="137">
        <f t="shared" si="16"/>
        <v>25294192.776499998</v>
      </c>
      <c r="AM80" s="136">
        <v>25294192.776499998</v>
      </c>
      <c r="AN80" s="172">
        <f t="shared" si="22"/>
        <v>0</v>
      </c>
      <c r="AO80" s="39">
        <f>AM80-'Exhibit B,S3'!AM80</f>
        <v>-660634.90949999914</v>
      </c>
      <c r="AP80" s="137"/>
      <c r="AQ80" s="306"/>
      <c r="AR80" s="25">
        <f t="shared" si="19"/>
        <v>2017</v>
      </c>
      <c r="AS80" s="61"/>
      <c r="AT80" s="137">
        <f>(AB80+AC80)-'Exhibit H,4'!C39</f>
        <v>6692144.1399999987</v>
      </c>
      <c r="AU80" s="61"/>
      <c r="AV80" s="137">
        <f>(AD80+AE80)-'Exhibit G,2'!G39</f>
        <v>202847.07</v>
      </c>
      <c r="AW80" s="172">
        <f>'Exhibit U,5'!AC45</f>
        <v>305163.03999999998</v>
      </c>
      <c r="AX80" s="172">
        <f>'Exhibit U,8'!AC45</f>
        <v>5684509.7400000002</v>
      </c>
      <c r="AY80" s="61"/>
      <c r="AZ80" s="137">
        <f>'Exhibit V,1'!G49</f>
        <v>1846426.1464999998</v>
      </c>
      <c r="BA80" s="137">
        <f>'Exhibit V,1'!W49</f>
        <v>7032554.3799999999</v>
      </c>
      <c r="BB80" s="61"/>
      <c r="BC80" s="137">
        <f t="shared" si="17"/>
        <v>21763644.516499996</v>
      </c>
      <c r="BD80" s="136">
        <v>21763644.516499996</v>
      </c>
      <c r="BE80" s="172">
        <f t="shared" si="23"/>
        <v>0</v>
      </c>
      <c r="BF80" s="39"/>
      <c r="BG80" s="172">
        <v>1846426.1464999998</v>
      </c>
      <c r="BH80" s="172">
        <v>7032554.3799999999</v>
      </c>
      <c r="BI80" s="611">
        <f t="shared" si="20"/>
        <v>21763644.516499996</v>
      </c>
      <c r="BJ80" s="612">
        <f t="shared" si="21"/>
        <v>0</v>
      </c>
      <c r="BT80" s="18"/>
    </row>
    <row r="81" spans="1:72">
      <c r="AA81" s="25">
        <f t="shared" si="18"/>
        <v>2018</v>
      </c>
      <c r="AB81" s="137">
        <f>'Exhibit O,2'!I40</f>
        <v>9540028.9600000009</v>
      </c>
      <c r="AC81" s="137">
        <f>'Exhibit N,2'!I40</f>
        <v>4810000</v>
      </c>
      <c r="AD81" s="137">
        <f>'Exhibit M,2'!I40</f>
        <v>1315224.19</v>
      </c>
      <c r="AE81" s="137">
        <f>'Exhibit L,2'!I40</f>
        <v>215000</v>
      </c>
      <c r="AF81" s="307">
        <f>'Exhibit U,2'!I27</f>
        <v>898335.37</v>
      </c>
      <c r="AG81" s="172">
        <f>'Exhibit U,2'!K27</f>
        <v>3244321.46</v>
      </c>
      <c r="AH81" s="172"/>
      <c r="AI81" s="172">
        <f>'Exhibit V,1'!G22</f>
        <v>79087.215000000011</v>
      </c>
      <c r="AJ81" s="172">
        <f>'Exhibit V,1'!W22</f>
        <v>10594277.811000001</v>
      </c>
      <c r="AK81" s="172"/>
      <c r="AL81" s="137">
        <f t="shared" si="16"/>
        <v>30696275.006000001</v>
      </c>
      <c r="AM81" s="136">
        <v>30696275.005999997</v>
      </c>
      <c r="AN81" s="172">
        <f t="shared" si="22"/>
        <v>0</v>
      </c>
      <c r="AO81" s="39">
        <f>AM81-'Exhibit B,S3'!AM81</f>
        <v>8350280.3515000008</v>
      </c>
      <c r="AP81" s="137"/>
      <c r="AQ81" s="306"/>
      <c r="AR81" s="25">
        <f t="shared" si="19"/>
        <v>2018</v>
      </c>
      <c r="AS81" s="61"/>
      <c r="AT81" s="137">
        <f>(AB81+AC81)-'Exhibit H,4'!C40</f>
        <v>12350028.960000001</v>
      </c>
      <c r="AU81" s="61"/>
      <c r="AV81" s="137">
        <f>(AD81+AE81)-'Exhibit G,2'!G40</f>
        <v>1530224.19</v>
      </c>
      <c r="AW81" s="172">
        <f>'Exhibit U,5'!AC46</f>
        <v>898335.37</v>
      </c>
      <c r="AX81" s="172">
        <f>'Exhibit U,8'!AC46</f>
        <v>3244321.46</v>
      </c>
      <c r="AY81" s="61"/>
      <c r="AZ81" s="137">
        <f>'Exhibit V,1'!G50</f>
        <v>79087.215000000011</v>
      </c>
      <c r="BA81" s="137">
        <f>'Exhibit V,1'!W50</f>
        <v>10519325.620999999</v>
      </c>
      <c r="BB81" s="61"/>
      <c r="BC81" s="137">
        <f t="shared" si="17"/>
        <v>28621322.816</v>
      </c>
      <c r="BD81" s="136">
        <v>28621322.815999996</v>
      </c>
      <c r="BE81" s="172">
        <f t="shared" si="23"/>
        <v>0</v>
      </c>
      <c r="BF81" s="61"/>
      <c r="BG81" s="172">
        <v>79087.215000000011</v>
      </c>
      <c r="BH81" s="172">
        <v>10519325.620999999</v>
      </c>
      <c r="BI81" s="611">
        <f t="shared" si="20"/>
        <v>28621322.816</v>
      </c>
      <c r="BJ81" s="612">
        <f t="shared" si="21"/>
        <v>0</v>
      </c>
      <c r="BT81" s="18"/>
    </row>
    <row r="82" spans="1:72">
      <c r="AA82" s="25">
        <f t="shared" si="18"/>
        <v>2019</v>
      </c>
      <c r="AB82" s="137">
        <f>'Exhibit O,2'!I41</f>
        <v>9372609.4299999997</v>
      </c>
      <c r="AC82" s="137">
        <f>'Exhibit N,2'!I41</f>
        <v>1405000</v>
      </c>
      <c r="AD82" s="137">
        <f>'Exhibit M,2'!I41</f>
        <v>1428737.8900000001</v>
      </c>
      <c r="AE82" s="137">
        <f>'Exhibit L,2'!I41</f>
        <v>1000000</v>
      </c>
      <c r="AF82" s="307">
        <f>'Exhibit U,2'!I28</f>
        <v>415683.53</v>
      </c>
      <c r="AG82" s="172">
        <f>'Exhibit U,2'!K28</f>
        <v>1608117.88</v>
      </c>
      <c r="AH82" s="172"/>
      <c r="AI82" s="172">
        <f>'Exhibit V,1'!G23</f>
        <v>3147930.8585000001</v>
      </c>
      <c r="AJ82" s="172">
        <f>'Exhibit V,1'!W23</f>
        <v>6655817.5530000003</v>
      </c>
      <c r="AK82" s="172"/>
      <c r="AL82" s="137">
        <f t="shared" si="16"/>
        <v>25033897.1415</v>
      </c>
      <c r="AM82" s="136">
        <v>25033897.141500004</v>
      </c>
      <c r="AN82" s="172">
        <f t="shared" si="22"/>
        <v>0</v>
      </c>
      <c r="AO82" s="39">
        <f>AM82-'Exhibit B,S3'!AM82</f>
        <v>4945201.5565000027</v>
      </c>
      <c r="AP82" s="137"/>
      <c r="AQ82" s="306"/>
      <c r="AR82" s="25">
        <f t="shared" si="19"/>
        <v>2019</v>
      </c>
      <c r="AS82" s="61"/>
      <c r="AT82" s="137">
        <f>(AB82+AC82)-'Exhibit H,4'!C41</f>
        <v>10583232.560000001</v>
      </c>
      <c r="AU82" s="61"/>
      <c r="AV82" s="137">
        <f>(AD82+AE82)-'Exhibit G,2'!G41</f>
        <v>2245477.37</v>
      </c>
      <c r="AW82" s="172">
        <f>'Exhibit U,5'!AC47</f>
        <v>415683.53</v>
      </c>
      <c r="AX82" s="172">
        <f>'Exhibit U,8'!AC47</f>
        <v>1608117.88</v>
      </c>
      <c r="AY82" s="61"/>
      <c r="AZ82" s="137">
        <f>'Exhibit V,1'!G51</f>
        <v>2513363.9185000001</v>
      </c>
      <c r="BA82" s="137">
        <f>'Exhibit V,1'!W51</f>
        <v>5972244.7630000003</v>
      </c>
      <c r="BB82" s="61"/>
      <c r="BC82" s="137">
        <f t="shared" si="17"/>
        <v>23338120.021499999</v>
      </c>
      <c r="BD82" s="136">
        <v>23338120.021500003</v>
      </c>
      <c r="BE82" s="172">
        <f t="shared" si="23"/>
        <v>0</v>
      </c>
      <c r="BF82" s="39"/>
      <c r="BG82" s="172">
        <v>2513363.9185000001</v>
      </c>
      <c r="BH82" s="172">
        <v>5972244.7630000003</v>
      </c>
      <c r="BI82" s="611">
        <f t="shared" si="20"/>
        <v>23338120.021499999</v>
      </c>
      <c r="BJ82" s="612">
        <f t="shared" si="21"/>
        <v>0</v>
      </c>
      <c r="BT82" s="18"/>
    </row>
    <row r="83" spans="1:72">
      <c r="A83" s="6">
        <v>1994</v>
      </c>
      <c r="C83" s="60">
        <f t="shared" ref="C83:C111" si="25">O17/C17</f>
        <v>0.63872655736691297</v>
      </c>
      <c r="E83" s="60"/>
      <c r="M83" s="60">
        <f t="shared" ref="M83:M111" si="26">Y17/M17</f>
        <v>0.63872655736691297</v>
      </c>
      <c r="AA83" s="25">
        <f t="shared" si="18"/>
        <v>2020</v>
      </c>
      <c r="AB83" s="137">
        <f>'Exhibit O,2'!I42</f>
        <v>6406174.7300000004</v>
      </c>
      <c r="AC83" s="137">
        <f>'Exhibit N,2'!I42</f>
        <v>1825000</v>
      </c>
      <c r="AD83" s="137">
        <f>'Exhibit M,2'!I42</f>
        <v>583411.92000000004</v>
      </c>
      <c r="AE83" s="137">
        <f>'Exhibit L,2'!I42</f>
        <v>0</v>
      </c>
      <c r="AF83" s="307">
        <f>'Exhibit U,2'!I29</f>
        <v>172246.52000000002</v>
      </c>
      <c r="AG83" s="172">
        <f>'Exhibit U,2'!K29</f>
        <v>899244.04</v>
      </c>
      <c r="AH83" s="172"/>
      <c r="AI83" s="172">
        <f>'Exhibit V,1'!G24</f>
        <v>1184893.7985</v>
      </c>
      <c r="AJ83" s="172">
        <f>'Exhibit V,1'!W24</f>
        <v>409243.08049999998</v>
      </c>
      <c r="AK83" s="172"/>
      <c r="AL83" s="137">
        <f t="shared" si="16"/>
        <v>11480214.089</v>
      </c>
      <c r="AM83" s="136">
        <v>11480214.088999998</v>
      </c>
      <c r="AN83" s="172">
        <f t="shared" si="22"/>
        <v>0</v>
      </c>
      <c r="AO83" s="39">
        <f>AM83-'Exhibit B,S3'!AM83</f>
        <v>6871679.9839999974</v>
      </c>
      <c r="AP83" s="137"/>
      <c r="AQ83" s="306"/>
      <c r="AR83" s="25">
        <f t="shared" si="19"/>
        <v>2020</v>
      </c>
      <c r="AS83" s="61"/>
      <c r="AT83" s="137">
        <f>(AB83+AC83)-'Exhibit H,4'!C42</f>
        <v>7638178.3200000003</v>
      </c>
      <c r="AU83" s="61"/>
      <c r="AV83" s="137">
        <f>(AD83+AE83)-'Exhibit G,2'!G42</f>
        <v>583411.92000000004</v>
      </c>
      <c r="AW83" s="172">
        <f>'Exhibit U,5'!AC48</f>
        <v>172246.52000000002</v>
      </c>
      <c r="AX83" s="172">
        <f>'Exhibit U,8'!AC48</f>
        <v>899244.04</v>
      </c>
      <c r="AY83" s="61"/>
      <c r="AZ83" s="137">
        <f>'Exhibit V,1'!G52</f>
        <v>806085.79850000003</v>
      </c>
      <c r="BA83" s="137">
        <f>'Exhibit V,1'!W52</f>
        <v>409243.08049999998</v>
      </c>
      <c r="BB83" s="61"/>
      <c r="BC83" s="137">
        <f t="shared" si="17"/>
        <v>10508409.679</v>
      </c>
      <c r="BD83" s="136">
        <v>10508409.678999998</v>
      </c>
      <c r="BE83" s="172">
        <f t="shared" si="23"/>
        <v>0</v>
      </c>
      <c r="BF83" s="39"/>
      <c r="BG83" s="172">
        <v>806085.79850000003</v>
      </c>
      <c r="BH83" s="172">
        <v>409243.08049999998</v>
      </c>
      <c r="BI83" s="611">
        <f t="shared" si="20"/>
        <v>10508409.679</v>
      </c>
      <c r="BJ83" s="612">
        <f t="shared" si="21"/>
        <v>0</v>
      </c>
      <c r="BT83" s="18"/>
    </row>
    <row r="84" spans="1:72">
      <c r="A84" s="6">
        <f>A83+1</f>
        <v>1995</v>
      </c>
      <c r="C84" s="60">
        <f t="shared" si="25"/>
        <v>0.4813414682479169</v>
      </c>
      <c r="M84" s="60">
        <f t="shared" si="26"/>
        <v>0.4813414682479169</v>
      </c>
      <c r="AA84" s="25">
        <f t="shared" si="18"/>
        <v>2021</v>
      </c>
      <c r="AB84" s="137">
        <f>'Exhibit O,2'!I43</f>
        <v>2146692.9499999997</v>
      </c>
      <c r="AC84" s="137">
        <f>'Exhibit N,2'!I43</f>
        <v>0</v>
      </c>
      <c r="AD84" s="137">
        <f>'Exhibit M,2'!I43</f>
        <v>18712.5</v>
      </c>
      <c r="AE84" s="137">
        <f>'Exhibit L,2'!I43</f>
        <v>0</v>
      </c>
      <c r="AF84" s="307">
        <f>'Exhibit U,2'!I30</f>
        <v>51134.19</v>
      </c>
      <c r="AG84" s="172">
        <f>'Exhibit U,2'!K30</f>
        <v>356398.98</v>
      </c>
      <c r="AH84" s="172"/>
      <c r="AI84" s="172">
        <f>'Exhibit V,1'!G25</f>
        <v>3309961.5474999999</v>
      </c>
      <c r="AJ84" s="172">
        <f>'Exhibit V,1'!W25</f>
        <v>136325</v>
      </c>
      <c r="AK84" s="172"/>
      <c r="AL84" s="137">
        <f t="shared" si="16"/>
        <v>6019225.1674999995</v>
      </c>
      <c r="AM84" s="136">
        <v>6019225.1675000004</v>
      </c>
      <c r="AN84" s="172">
        <f t="shared" si="22"/>
        <v>0</v>
      </c>
      <c r="AO84" s="39">
        <f>AM84-'Exhibit B,S3'!AM84</f>
        <v>4459385.6775000002</v>
      </c>
      <c r="AP84" s="137"/>
      <c r="AQ84" s="306"/>
      <c r="AR84" s="25">
        <f t="shared" si="19"/>
        <v>2021</v>
      </c>
      <c r="AS84" s="61"/>
      <c r="AT84" s="137">
        <f>(AB84+AC84)-'Exhibit H,4'!C43</f>
        <v>2146692.9499999997</v>
      </c>
      <c r="AU84" s="61"/>
      <c r="AV84" s="137">
        <f>(AD84+AE84)-'Exhibit G,2'!G43</f>
        <v>18712.5</v>
      </c>
      <c r="AW84" s="172">
        <f>'Exhibit U,5'!AC49</f>
        <v>51134.19</v>
      </c>
      <c r="AX84" s="172">
        <f>'Exhibit U,8'!AC49</f>
        <v>356398.98</v>
      </c>
      <c r="AY84" s="61"/>
      <c r="AZ84" s="137">
        <f>'Exhibit V,1'!G53</f>
        <v>2539611.5474999999</v>
      </c>
      <c r="BA84" s="137">
        <f>'Exhibit V,1'!W53</f>
        <v>136325</v>
      </c>
      <c r="BB84" s="61"/>
      <c r="BC84" s="137">
        <f t="shared" si="17"/>
        <v>5248875.1674999995</v>
      </c>
      <c r="BD84" s="136">
        <v>5248875.1675000004</v>
      </c>
      <c r="BE84" s="172">
        <f t="shared" si="23"/>
        <v>0</v>
      </c>
      <c r="BG84" s="172">
        <v>2539611.5474999999</v>
      </c>
      <c r="BH84" s="172">
        <v>136325</v>
      </c>
      <c r="BI84" s="611">
        <f t="shared" si="20"/>
        <v>5248875.1674999995</v>
      </c>
      <c r="BJ84" s="612">
        <f t="shared" si="21"/>
        <v>0</v>
      </c>
      <c r="BT84" s="18"/>
    </row>
    <row r="85" spans="1:72">
      <c r="A85" s="6">
        <f t="shared" ref="A85:A111" si="27">A84+1</f>
        <v>1996</v>
      </c>
      <c r="C85" s="60">
        <f t="shared" si="25"/>
        <v>0.58947517457799858</v>
      </c>
      <c r="M85" s="60">
        <f t="shared" si="26"/>
        <v>0.58947517457799858</v>
      </c>
      <c r="AA85" s="25">
        <f t="shared" si="18"/>
        <v>2022</v>
      </c>
      <c r="AB85" s="137">
        <f>'Exhibit O,2'!I44</f>
        <v>2421009.17</v>
      </c>
      <c r="AC85" s="137">
        <f>'Exhibit N,2'!I44</f>
        <v>0</v>
      </c>
      <c r="AD85" s="137">
        <f>'Exhibit M,2'!I44</f>
        <v>15000</v>
      </c>
      <c r="AE85" s="137">
        <f>'Exhibit L,2'!I44</f>
        <v>0</v>
      </c>
      <c r="AF85" s="307">
        <f>'Exhibit U,2'!I31</f>
        <v>174500</v>
      </c>
      <c r="AG85" s="172">
        <f>'Exhibit U,2'!K31</f>
        <v>32500</v>
      </c>
      <c r="AH85" s="172"/>
      <c r="AI85" s="172">
        <f>'Exhibit V,1'!G26</f>
        <v>250184.875</v>
      </c>
      <c r="AJ85" s="172">
        <f>'Exhibit V,1'!W26</f>
        <v>0</v>
      </c>
      <c r="AK85" s="172"/>
      <c r="AL85" s="137">
        <f t="shared" si="16"/>
        <v>2893194.0449999999</v>
      </c>
      <c r="AM85" s="136">
        <v>2893194.0449999999</v>
      </c>
      <c r="AN85" s="172">
        <f t="shared" si="22"/>
        <v>0</v>
      </c>
      <c r="AO85" s="39">
        <f>AM85-'Exhibit B,S3'!AM85</f>
        <v>2893194.0449999999</v>
      </c>
      <c r="AP85" s="137"/>
      <c r="AQ85" s="306"/>
      <c r="AR85" s="25">
        <f t="shared" si="19"/>
        <v>2022</v>
      </c>
      <c r="AS85" s="61"/>
      <c r="AT85" s="137">
        <f>(AB85+AC85)-'Exhibit H,4'!C44</f>
        <v>2421009.17</v>
      </c>
      <c r="AU85" s="61"/>
      <c r="AV85" s="137">
        <f>(AD85+AE85)-'Exhibit G,2'!G44</f>
        <v>15000</v>
      </c>
      <c r="AW85" s="172">
        <f>'Exhibit U,5'!AC50</f>
        <v>174500</v>
      </c>
      <c r="AX85" s="172">
        <f>'Exhibit U,8'!AC50</f>
        <v>32500</v>
      </c>
      <c r="AY85" s="61"/>
      <c r="AZ85" s="137">
        <f>'Exhibit V,1'!G54</f>
        <v>250184.875</v>
      </c>
      <c r="BA85" s="137">
        <f>'Exhibit V,1'!W54</f>
        <v>0</v>
      </c>
      <c r="BB85" s="61"/>
      <c r="BC85" s="137">
        <f t="shared" si="17"/>
        <v>2893194.0449999999</v>
      </c>
      <c r="BD85" s="136">
        <v>2893194.0449999999</v>
      </c>
      <c r="BE85" s="172">
        <f t="shared" si="23"/>
        <v>0</v>
      </c>
      <c r="BF85" s="172"/>
      <c r="BG85" s="172">
        <v>250184.875</v>
      </c>
      <c r="BH85" s="172">
        <v>0</v>
      </c>
      <c r="BI85" s="611">
        <f t="shared" si="20"/>
        <v>2893194.0449999999</v>
      </c>
      <c r="BJ85" s="612">
        <f t="shared" si="21"/>
        <v>0</v>
      </c>
      <c r="BT85" s="18"/>
    </row>
    <row r="86" spans="1:72">
      <c r="A86" s="6">
        <f t="shared" si="27"/>
        <v>1997</v>
      </c>
      <c r="C86" s="60">
        <f t="shared" si="25"/>
        <v>0.68587930993862112</v>
      </c>
      <c r="M86" s="60">
        <f t="shared" si="26"/>
        <v>0.68587930993862112</v>
      </c>
      <c r="Y86" s="19"/>
      <c r="AA86" s="61"/>
      <c r="AB86" s="233"/>
      <c r="AC86" s="233"/>
      <c r="AD86" s="233"/>
      <c r="AE86" s="233"/>
      <c r="AF86" s="233"/>
      <c r="AG86" s="233"/>
      <c r="AH86" s="233"/>
      <c r="AI86" s="233"/>
      <c r="AJ86" s="233"/>
      <c r="AK86" s="233"/>
      <c r="AL86" s="233"/>
      <c r="AM86" s="233"/>
      <c r="AN86" s="233"/>
      <c r="AO86" s="31"/>
      <c r="AP86" s="61"/>
      <c r="AQ86" s="61"/>
      <c r="AS86" s="61"/>
      <c r="AT86" s="233"/>
      <c r="AU86" s="233"/>
      <c r="AV86" s="233"/>
      <c r="AW86" s="233"/>
      <c r="AX86" s="233"/>
      <c r="AY86" s="233"/>
      <c r="AZ86" s="233"/>
      <c r="BA86" s="233"/>
      <c r="BB86" s="233"/>
      <c r="BC86" s="233"/>
      <c r="BD86" s="233"/>
      <c r="BE86" s="233"/>
      <c r="BF86" s="18"/>
      <c r="BG86" s="233"/>
      <c r="BH86" s="233"/>
      <c r="BI86" s="611">
        <f t="shared" si="20"/>
        <v>0</v>
      </c>
      <c r="BJ86" s="18"/>
      <c r="BT86" s="18"/>
    </row>
    <row r="87" spans="1:72">
      <c r="A87" s="6">
        <f t="shared" si="27"/>
        <v>1998</v>
      </c>
      <c r="C87" s="60">
        <f t="shared" si="25"/>
        <v>0.48419025560885898</v>
      </c>
      <c r="M87" s="60">
        <f t="shared" si="26"/>
        <v>0.48419025560885898</v>
      </c>
      <c r="AA87" s="97" t="s">
        <v>0</v>
      </c>
      <c r="AB87" s="223">
        <f>SUM(AB57:AB86)</f>
        <v>483689984.81</v>
      </c>
      <c r="AC87" s="223">
        <f>SUM(AC57:AC86)</f>
        <v>249579878.47999999</v>
      </c>
      <c r="AD87" s="223">
        <f t="shared" ref="AD87:AJ87" si="28">SUM(AD57:AD86)</f>
        <v>24844288.420000006</v>
      </c>
      <c r="AE87" s="223">
        <f t="shared" si="28"/>
        <v>11067529.92</v>
      </c>
      <c r="AF87" s="122">
        <f t="shared" si="28"/>
        <v>20868232.560000002</v>
      </c>
      <c r="AG87" s="223">
        <f t="shared" si="28"/>
        <v>103334076.30999999</v>
      </c>
      <c r="AH87" s="223"/>
      <c r="AI87" s="223">
        <f t="shared" si="28"/>
        <v>18824433.853500001</v>
      </c>
      <c r="AJ87" s="223">
        <f t="shared" si="28"/>
        <v>38836193.609999999</v>
      </c>
      <c r="AK87" s="223"/>
      <c r="AL87" s="223">
        <f>SUM(AL57:AL86)</f>
        <v>951044617.9634999</v>
      </c>
      <c r="AM87" s="223">
        <f t="shared" ref="AM87:AO87" si="29">SUM(AM57:AM86)</f>
        <v>667683879.64349997</v>
      </c>
      <c r="AN87" s="223">
        <f t="shared" si="29"/>
        <v>0</v>
      </c>
      <c r="AO87" s="223">
        <f t="shared" si="29"/>
        <v>23456890.614000008</v>
      </c>
      <c r="AP87" s="223">
        <f>SUM(AP57:AP86)</f>
        <v>0</v>
      </c>
      <c r="AQ87" s="223"/>
      <c r="AR87" s="97" t="s">
        <v>0</v>
      </c>
      <c r="AS87" s="61"/>
      <c r="AT87" s="223">
        <f t="shared" ref="AT87:BC87" si="30">SUM(AT57:AT86)</f>
        <v>542241304.28999984</v>
      </c>
      <c r="AU87" s="223">
        <f t="shared" si="30"/>
        <v>0</v>
      </c>
      <c r="AV87" s="223">
        <f t="shared" si="30"/>
        <v>32104315.019999996</v>
      </c>
      <c r="AW87" s="223">
        <f t="shared" si="30"/>
        <v>16714481.429999998</v>
      </c>
      <c r="AX87" s="223">
        <f t="shared" si="30"/>
        <v>84796657.739999995</v>
      </c>
      <c r="AY87" s="223">
        <f t="shared" si="30"/>
        <v>0</v>
      </c>
      <c r="AZ87" s="223">
        <f t="shared" si="30"/>
        <v>13281768.613499999</v>
      </c>
      <c r="BA87" s="223">
        <f t="shared" si="30"/>
        <v>36131547.549999997</v>
      </c>
      <c r="BB87" s="223">
        <f t="shared" si="30"/>
        <v>0</v>
      </c>
      <c r="BC87" s="223">
        <f t="shared" si="30"/>
        <v>725270074.64349985</v>
      </c>
      <c r="BD87" s="223">
        <f t="shared" ref="BD87:BE87" si="31">SUM(BD57:BD86)</f>
        <v>565285866.17349994</v>
      </c>
      <c r="BE87" s="223">
        <f t="shared" si="31"/>
        <v>0</v>
      </c>
      <c r="BF87" s="18"/>
      <c r="BG87" s="223">
        <f t="shared" ref="BG87:BH87" si="32">SUM(BG57:BG86)</f>
        <v>13281768.613499999</v>
      </c>
      <c r="BH87" s="223">
        <f t="shared" si="32"/>
        <v>36131547.549999997</v>
      </c>
      <c r="BI87" s="611">
        <f t="shared" si="20"/>
        <v>725270074.64349973</v>
      </c>
      <c r="BJ87" s="223">
        <f>SUM(BJ58:BJ86)</f>
        <v>0</v>
      </c>
      <c r="BT87" s="18"/>
    </row>
    <row r="88" spans="1:72">
      <c r="A88" s="6">
        <f t="shared" si="27"/>
        <v>1999</v>
      </c>
      <c r="C88" s="60">
        <f t="shared" si="25"/>
        <v>0.57423317239407534</v>
      </c>
      <c r="M88" s="60">
        <f t="shared" si="26"/>
        <v>0.57423317239407534</v>
      </c>
      <c r="AF88" s="21"/>
      <c r="AG88" s="19"/>
      <c r="AL88" s="160">
        <f>AL89-AK89</f>
        <v>23462764.334000044</v>
      </c>
      <c r="AM88" s="61"/>
      <c r="AN88" s="18"/>
      <c r="AO88" s="31"/>
      <c r="AP88" s="61"/>
      <c r="AS88" s="61"/>
      <c r="AT88" s="61"/>
      <c r="AU88" s="61"/>
      <c r="AV88" s="61"/>
      <c r="AW88" s="61"/>
      <c r="AX88" s="61"/>
      <c r="AY88" s="61"/>
      <c r="AZ88" s="61"/>
      <c r="BA88" s="61"/>
      <c r="BB88" s="61"/>
      <c r="BC88" s="61"/>
      <c r="BD88" s="61"/>
    </row>
    <row r="89" spans="1:72">
      <c r="A89" s="6">
        <f t="shared" si="27"/>
        <v>2000</v>
      </c>
      <c r="C89" s="60">
        <f t="shared" si="25"/>
        <v>0.62749091325193729</v>
      </c>
      <c r="M89" s="60">
        <f t="shared" si="26"/>
        <v>0.62749091325193729</v>
      </c>
      <c r="AA89" s="61" t="s">
        <v>1377</v>
      </c>
      <c r="AB89" s="223">
        <f>AB87-'Exhibit B,S3'!AB87</f>
        <v>9422116.4700000286</v>
      </c>
      <c r="AC89" s="223">
        <f>AC87-'Exhibit B,S3'!AC87</f>
        <v>1050000</v>
      </c>
      <c r="AD89" s="223">
        <f>AD87-'Exhibit B,S3'!AD87</f>
        <v>1745852.5700000077</v>
      </c>
      <c r="AE89" s="223">
        <f>AE87-'Exhibit B,S3'!AE87</f>
        <v>470000</v>
      </c>
      <c r="AF89" s="223">
        <f>AF87-'Exhibit B,S3'!AF87</f>
        <v>56579.159999996424</v>
      </c>
      <c r="AG89" s="223">
        <f>AG87-'Exhibit B,S3'!AG87</f>
        <v>-2788957.8699999899</v>
      </c>
      <c r="AH89" s="61"/>
      <c r="AI89" s="223">
        <f>AI87-'Exhibit B,S3'!AI87</f>
        <v>4118294.0320000015</v>
      </c>
      <c r="AJ89" s="223">
        <f>AJ87-'Exhibit B,S3'!AJ87</f>
        <v>9388879.9719999991</v>
      </c>
      <c r="AK89" s="223">
        <f>AK87-'Exhibit B,S3'!AK87</f>
        <v>-5523.7200000109151</v>
      </c>
      <c r="AL89" s="122">
        <f>SUM(AB89:AK89)</f>
        <v>23457240.614000034</v>
      </c>
      <c r="AM89" s="61"/>
      <c r="AN89" s="432" t="s">
        <v>1756</v>
      </c>
      <c r="AO89" s="69">
        <v>23456890.609999999</v>
      </c>
      <c r="AP89" s="61"/>
      <c r="AS89" s="61"/>
      <c r="AT89" s="223">
        <f>AT87-'Exhibit B,S3'!AT87</f>
        <v>8612170.189999938</v>
      </c>
      <c r="AU89" s="223"/>
      <c r="AV89" s="223">
        <f>AV87-'Exhibit B,S3'!AV87</f>
        <v>2568186.570000004</v>
      </c>
      <c r="AW89" s="223">
        <f>AW87-'Exhibit B,S3'!AW87</f>
        <v>56579.160000002012</v>
      </c>
      <c r="AX89" s="223">
        <f>AX87-'Exhibit B,S3'!AX87</f>
        <v>-1997616.700000003</v>
      </c>
      <c r="AY89" s="61"/>
      <c r="AZ89" s="223">
        <f>AZ87-'Exhibit B,S3'!AZ87</f>
        <v>2448563.0319999978</v>
      </c>
      <c r="BA89" s="223">
        <f>BA87-'Exhibit B,S3'!BA87</f>
        <v>9245595.481999997</v>
      </c>
      <c r="BB89" s="223">
        <f>BB87-'Exhibit B,S3'!BB87</f>
        <v>-5998.1900000153109</v>
      </c>
      <c r="BC89" s="137">
        <f>SUM(AS89:BB89)</f>
        <v>20927479.543999922</v>
      </c>
      <c r="BD89" s="432" t="s">
        <v>1756</v>
      </c>
      <c r="BE89" s="17">
        <v>20927129.530000001</v>
      </c>
      <c r="BT89" s="18"/>
    </row>
    <row r="90" spans="1:72">
      <c r="A90" s="6">
        <f t="shared" si="27"/>
        <v>2001</v>
      </c>
      <c r="C90" s="60">
        <f t="shared" si="25"/>
        <v>0.75224229534283404</v>
      </c>
      <c r="M90" s="60">
        <f t="shared" si="26"/>
        <v>0.75224229534283404</v>
      </c>
      <c r="AB90" s="22"/>
      <c r="AC90" s="84"/>
      <c r="AD90" s="61"/>
      <c r="AE90" s="223"/>
      <c r="AF90" s="61"/>
      <c r="AG90" s="160"/>
      <c r="AH90" s="84"/>
      <c r="AI90" s="84"/>
      <c r="AJ90" s="84"/>
      <c r="AM90" s="61"/>
      <c r="AN90" s="18"/>
      <c r="AO90" s="31">
        <f>AO87-AO89</f>
        <v>4.0000081062316895E-3</v>
      </c>
      <c r="AP90" s="61"/>
      <c r="AS90" s="61"/>
      <c r="AT90" s="61"/>
      <c r="AU90" s="61"/>
      <c r="AV90" s="61"/>
      <c r="AW90" s="61"/>
      <c r="AX90" s="61"/>
      <c r="AY90" s="61"/>
      <c r="AZ90" s="61"/>
      <c r="BA90" s="61"/>
      <c r="BB90" s="61"/>
      <c r="BC90" s="84"/>
      <c r="BD90" s="61"/>
      <c r="BE90" s="22">
        <f>BC89-BE89</f>
        <v>350.01399992033839</v>
      </c>
    </row>
    <row r="91" spans="1:72">
      <c r="A91" s="6">
        <f t="shared" si="27"/>
        <v>2002</v>
      </c>
      <c r="C91" s="60">
        <f t="shared" si="25"/>
        <v>0.85113473471203449</v>
      </c>
      <c r="M91" s="60">
        <f t="shared" si="26"/>
        <v>0.85113473471203449</v>
      </c>
      <c r="AA91" s="19"/>
      <c r="AB91" s="19">
        <f>'Exhibit K,1'!G46-AB87-AC87</f>
        <v>30820309.342853397</v>
      </c>
      <c r="AC91" s="19">
        <f>'Exhibit K,1'!M46-'Exhibit B,S2'!AD87-'Exhibit B,S2'!AE87</f>
        <v>6977508.9817357566</v>
      </c>
      <c r="AD91" s="157"/>
      <c r="AE91" s="223"/>
      <c r="AF91" s="147">
        <f>E47-AF87</f>
        <v>3369412.7190168649</v>
      </c>
      <c r="AG91" s="19">
        <f>G47-AG87</f>
        <v>27432912.94168134</v>
      </c>
      <c r="AI91" s="147">
        <f>I47-AI87</f>
        <v>5913329.6514230892</v>
      </c>
      <c r="AJ91" s="147">
        <f>K47-AJ87</f>
        <v>23331024.057014421</v>
      </c>
      <c r="AM91" s="61"/>
      <c r="AN91" s="18"/>
      <c r="AO91" s="31"/>
      <c r="AP91" s="61"/>
      <c r="AR91" s="121" t="s">
        <v>1446</v>
      </c>
      <c r="AS91" s="61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</row>
    <row r="92" spans="1:72">
      <c r="A92" s="6">
        <f t="shared" si="27"/>
        <v>2003</v>
      </c>
      <c r="C92" s="60">
        <f t="shared" si="25"/>
        <v>0.78178880445475385</v>
      </c>
      <c r="M92" s="60">
        <f t="shared" si="26"/>
        <v>0.78178880445475385</v>
      </c>
      <c r="AB92" s="19">
        <f>'Exhibit F,1'!M46-'Exhibit B,S2'!AT87</f>
        <v>27533744.274362326</v>
      </c>
      <c r="AC92" s="19">
        <f>'Exhibit F,1'!O46-'Exhibit B,S2'!AV87</f>
        <v>6164620.3085541204</v>
      </c>
      <c r="AD92" s="84"/>
      <c r="AE92" s="84"/>
      <c r="AF92" s="22">
        <f>Q47-AW87</f>
        <v>2340048.2356110681</v>
      </c>
      <c r="AG92" s="22">
        <f>S47-AX87</f>
        <v>21002297.8069482</v>
      </c>
      <c r="AH92" s="22">
        <f>T47-AY87</f>
        <v>0</v>
      </c>
      <c r="AI92" s="147">
        <f>U47-AY87</f>
        <v>19195098.264923092</v>
      </c>
      <c r="AJ92" s="147">
        <f>W47-BA87</f>
        <v>20341084.584609844</v>
      </c>
      <c r="AM92" s="61"/>
      <c r="AN92" s="18"/>
      <c r="AO92" s="31"/>
      <c r="AP92" s="61"/>
      <c r="AR92" s="25" t="s">
        <v>3</v>
      </c>
      <c r="AS92" s="61"/>
      <c r="AT92" s="255" t="s">
        <v>734</v>
      </c>
      <c r="AU92" s="256"/>
      <c r="AV92" s="256"/>
      <c r="AW92" s="256"/>
      <c r="AX92" s="256"/>
      <c r="AY92" s="256"/>
      <c r="AZ92" s="256"/>
      <c r="BA92" s="256"/>
      <c r="BB92" s="256"/>
      <c r="BC92" s="256"/>
    </row>
    <row r="93" spans="1:72">
      <c r="A93" s="6">
        <f t="shared" si="27"/>
        <v>2004</v>
      </c>
      <c r="C93" s="60">
        <f t="shared" si="25"/>
        <v>0.97559307546864393</v>
      </c>
      <c r="M93" s="60">
        <f t="shared" si="26"/>
        <v>0.97559307546864393</v>
      </c>
      <c r="AB93" s="22"/>
      <c r="AC93" s="22"/>
      <c r="AF93" s="22"/>
      <c r="AM93" s="61"/>
      <c r="AN93" s="18"/>
      <c r="AO93" s="31"/>
      <c r="AP93" s="61"/>
      <c r="AR93" s="25" t="s">
        <v>4</v>
      </c>
      <c r="AS93" s="97"/>
      <c r="AT93" s="97" t="s">
        <v>664</v>
      </c>
      <c r="AU93" s="25"/>
      <c r="AV93" s="97" t="s">
        <v>736</v>
      </c>
      <c r="AW93" s="97" t="s">
        <v>520</v>
      </c>
      <c r="AX93" s="97" t="s">
        <v>521</v>
      </c>
      <c r="AY93" s="25" t="s">
        <v>522</v>
      </c>
      <c r="AZ93" s="97" t="s">
        <v>329</v>
      </c>
      <c r="BA93" s="97" t="s">
        <v>478</v>
      </c>
      <c r="BB93" s="97"/>
      <c r="BC93" s="97" t="s">
        <v>0</v>
      </c>
    </row>
    <row r="94" spans="1:72">
      <c r="A94" s="6">
        <f t="shared" si="27"/>
        <v>2005</v>
      </c>
      <c r="C94" s="60">
        <f t="shared" si="25"/>
        <v>0.94229630094414507</v>
      </c>
      <c r="M94" s="60">
        <f t="shared" si="26"/>
        <v>0.94270300081886027</v>
      </c>
      <c r="AB94" s="22"/>
      <c r="AD94" s="61" t="s">
        <v>1399</v>
      </c>
      <c r="AE94" s="223">
        <f>AE91+AG91</f>
        <v>27432912.94168134</v>
      </c>
      <c r="AM94" s="61"/>
      <c r="AN94" s="18"/>
      <c r="AO94" s="31"/>
      <c r="AP94" s="61"/>
    </row>
    <row r="95" spans="1:72">
      <c r="A95" s="6">
        <f t="shared" si="27"/>
        <v>2006</v>
      </c>
      <c r="C95" s="60">
        <f t="shared" si="25"/>
        <v>1</v>
      </c>
      <c r="M95" s="60">
        <f t="shared" si="26"/>
        <v>1</v>
      </c>
      <c r="AD95" s="61" t="s">
        <v>1400</v>
      </c>
      <c r="AE95" s="84">
        <f>AE92+AG92</f>
        <v>21002297.8069482</v>
      </c>
      <c r="AM95" s="61"/>
      <c r="AN95" s="18"/>
      <c r="AO95" s="31"/>
      <c r="AP95" s="61"/>
    </row>
    <row r="96" spans="1:72">
      <c r="A96" s="6">
        <f t="shared" si="27"/>
        <v>2007</v>
      </c>
      <c r="C96" s="60">
        <f t="shared" si="25"/>
        <v>0.96721315908899919</v>
      </c>
      <c r="E96" s="60">
        <f>Q30/E30</f>
        <v>1</v>
      </c>
      <c r="G96" s="60"/>
      <c r="M96" s="60">
        <f t="shared" si="26"/>
        <v>0.96831084342868978</v>
      </c>
      <c r="AM96" s="61"/>
      <c r="AN96" s="18"/>
      <c r="AO96" s="31"/>
      <c r="AP96" s="61"/>
    </row>
    <row r="97" spans="1:68">
      <c r="A97" s="6">
        <f t="shared" si="27"/>
        <v>2008</v>
      </c>
      <c r="C97" s="60">
        <f t="shared" si="25"/>
        <v>0.96272394070515488</v>
      </c>
      <c r="E97" s="60">
        <f t="shared" ref="E96:E111" si="33">Q31/E31</f>
        <v>1</v>
      </c>
      <c r="G97" s="60">
        <f t="shared" ref="G97:G111" si="34">S31/G31</f>
        <v>0.97875663054494755</v>
      </c>
      <c r="M97" s="60">
        <f t="shared" si="26"/>
        <v>0.96484561814372372</v>
      </c>
      <c r="AM97" s="61"/>
      <c r="AN97" s="18"/>
      <c r="AO97" s="31"/>
      <c r="AP97" s="61"/>
      <c r="AR97" s="25">
        <f>AR57</f>
        <v>1994</v>
      </c>
      <c r="AT97" s="21">
        <f>AT57-AT17</f>
        <v>0</v>
      </c>
      <c r="AV97" s="21">
        <f t="shared" ref="AV97:BA97" si="35">AV57-AV17</f>
        <v>0</v>
      </c>
      <c r="AW97" s="21">
        <f t="shared" si="35"/>
        <v>0</v>
      </c>
      <c r="AX97" s="21">
        <f t="shared" si="35"/>
        <v>0</v>
      </c>
      <c r="AY97" s="21">
        <f t="shared" si="35"/>
        <v>0</v>
      </c>
      <c r="AZ97" s="21">
        <f t="shared" si="35"/>
        <v>0</v>
      </c>
      <c r="BA97" s="21">
        <f t="shared" si="35"/>
        <v>0</v>
      </c>
      <c r="BC97" s="223">
        <f>SUM(AS97:BA97)</f>
        <v>0</v>
      </c>
    </row>
    <row r="98" spans="1:68">
      <c r="A98" s="6">
        <f t="shared" si="27"/>
        <v>2009</v>
      </c>
      <c r="C98" s="60">
        <f t="shared" si="25"/>
        <v>0.90952224110302882</v>
      </c>
      <c r="E98" s="60">
        <f t="shared" si="33"/>
        <v>1</v>
      </c>
      <c r="G98" s="60">
        <f t="shared" si="34"/>
        <v>1</v>
      </c>
      <c r="M98" s="60">
        <f t="shared" si="26"/>
        <v>0.91900112385027655</v>
      </c>
      <c r="AM98" s="61"/>
      <c r="AN98" s="18"/>
      <c r="AO98" s="31"/>
      <c r="AP98" s="61"/>
      <c r="AR98" s="25">
        <f>AR97+1</f>
        <v>1995</v>
      </c>
      <c r="AT98" s="20">
        <f t="shared" ref="AT98:BA125" si="36">AT58-AT18</f>
        <v>0</v>
      </c>
      <c r="AV98" s="20">
        <f t="shared" si="36"/>
        <v>0</v>
      </c>
      <c r="AW98" s="20">
        <f t="shared" si="36"/>
        <v>0</v>
      </c>
      <c r="AX98" s="20">
        <f t="shared" si="36"/>
        <v>0</v>
      </c>
      <c r="AY98" s="20">
        <f t="shared" si="36"/>
        <v>0</v>
      </c>
      <c r="AZ98" s="20">
        <f t="shared" si="36"/>
        <v>0</v>
      </c>
      <c r="BA98" s="20">
        <f t="shared" si="36"/>
        <v>0</v>
      </c>
      <c r="BC98" s="137">
        <f t="shared" ref="BC98:BC125" si="37">SUM(AS98:BA98)</f>
        <v>0</v>
      </c>
    </row>
    <row r="99" spans="1:68">
      <c r="A99" s="6">
        <f t="shared" si="27"/>
        <v>2010</v>
      </c>
      <c r="C99" s="60">
        <f t="shared" si="25"/>
        <v>0.91538390326151486</v>
      </c>
      <c r="E99" s="60">
        <f t="shared" si="33"/>
        <v>1</v>
      </c>
      <c r="G99" s="60">
        <f t="shared" si="34"/>
        <v>0.78164445784439429</v>
      </c>
      <c r="M99" s="60">
        <f t="shared" si="26"/>
        <v>0.88525453164523438</v>
      </c>
      <c r="AM99" s="61"/>
      <c r="AN99" s="18"/>
      <c r="AO99" s="31"/>
      <c r="AP99" s="61"/>
      <c r="AR99" s="25">
        <f t="shared" ref="AR99:AR125" si="38">AR98+1</f>
        <v>1996</v>
      </c>
      <c r="AT99" s="20">
        <f t="shared" si="36"/>
        <v>0</v>
      </c>
      <c r="AV99" s="20">
        <f t="shared" si="36"/>
        <v>0</v>
      </c>
      <c r="AW99" s="20">
        <f t="shared" si="36"/>
        <v>0</v>
      </c>
      <c r="AX99" s="20">
        <f t="shared" si="36"/>
        <v>0</v>
      </c>
      <c r="AY99" s="20">
        <f t="shared" si="36"/>
        <v>0</v>
      </c>
      <c r="AZ99" s="20">
        <f t="shared" si="36"/>
        <v>0</v>
      </c>
      <c r="BA99" s="20">
        <f t="shared" si="36"/>
        <v>0</v>
      </c>
      <c r="BC99" s="137">
        <f t="shared" si="37"/>
        <v>0</v>
      </c>
    </row>
    <row r="100" spans="1:68">
      <c r="A100" s="6">
        <f t="shared" si="27"/>
        <v>2011</v>
      </c>
      <c r="C100" s="60">
        <f t="shared" si="25"/>
        <v>0.87050975229675198</v>
      </c>
      <c r="E100" s="60">
        <f t="shared" si="33"/>
        <v>1</v>
      </c>
      <c r="G100" s="60">
        <f t="shared" si="34"/>
        <v>0.98511833933929682</v>
      </c>
      <c r="M100" s="60">
        <f t="shared" si="26"/>
        <v>0.9038161562168846</v>
      </c>
      <c r="AM100" s="61"/>
      <c r="AN100" s="18"/>
      <c r="AO100" s="31"/>
      <c r="AP100" s="61"/>
      <c r="AR100" s="25">
        <f t="shared" si="38"/>
        <v>1997</v>
      </c>
      <c r="AT100" s="20">
        <f t="shared" si="36"/>
        <v>0</v>
      </c>
      <c r="AV100" s="20">
        <f t="shared" si="36"/>
        <v>0</v>
      </c>
      <c r="AW100" s="20">
        <f t="shared" si="36"/>
        <v>0</v>
      </c>
      <c r="AX100" s="20">
        <f t="shared" si="36"/>
        <v>0</v>
      </c>
      <c r="AY100" s="20">
        <f t="shared" si="36"/>
        <v>0</v>
      </c>
      <c r="AZ100" s="20">
        <f t="shared" si="36"/>
        <v>0</v>
      </c>
      <c r="BA100" s="20">
        <f t="shared" si="36"/>
        <v>0</v>
      </c>
      <c r="BC100" s="137">
        <f t="shared" si="37"/>
        <v>0</v>
      </c>
    </row>
    <row r="101" spans="1:68">
      <c r="A101" s="6">
        <f t="shared" si="27"/>
        <v>2012</v>
      </c>
      <c r="C101" s="60">
        <f t="shared" si="25"/>
        <v>0.75636934918418097</v>
      </c>
      <c r="E101" s="60">
        <f t="shared" si="33"/>
        <v>0.88004012175173207</v>
      </c>
      <c r="G101" s="60">
        <f t="shared" si="34"/>
        <v>0.78611966145964329</v>
      </c>
      <c r="M101" s="60">
        <f t="shared" si="26"/>
        <v>0.78003010215870472</v>
      </c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18"/>
      <c r="AO101" s="31"/>
      <c r="AP101" s="61"/>
      <c r="AR101" s="25">
        <f t="shared" si="38"/>
        <v>1998</v>
      </c>
      <c r="AT101" s="20">
        <f t="shared" si="36"/>
        <v>0</v>
      </c>
      <c r="AV101" s="20">
        <f t="shared" si="36"/>
        <v>0</v>
      </c>
      <c r="AW101" s="20">
        <f t="shared" si="36"/>
        <v>0</v>
      </c>
      <c r="AX101" s="20">
        <f t="shared" si="36"/>
        <v>0</v>
      </c>
      <c r="AY101" s="20">
        <f t="shared" si="36"/>
        <v>0</v>
      </c>
      <c r="AZ101" s="20">
        <f t="shared" si="36"/>
        <v>0</v>
      </c>
      <c r="BA101" s="20">
        <f t="shared" si="36"/>
        <v>0</v>
      </c>
      <c r="BC101" s="137">
        <f t="shared" si="37"/>
        <v>0</v>
      </c>
    </row>
    <row r="102" spans="1:68">
      <c r="A102" s="6">
        <f t="shared" si="27"/>
        <v>2013</v>
      </c>
      <c r="C102" s="60">
        <f t="shared" si="25"/>
        <v>0.73423804186496766</v>
      </c>
      <c r="E102" s="60">
        <f t="shared" si="33"/>
        <v>1</v>
      </c>
      <c r="G102" s="60">
        <f t="shared" si="34"/>
        <v>0.83169888085158428</v>
      </c>
      <c r="I102" s="60"/>
      <c r="K102" s="60"/>
      <c r="M102" s="60">
        <f t="shared" si="26"/>
        <v>0.78025371483615791</v>
      </c>
      <c r="AA102" s="121" t="s">
        <v>543</v>
      </c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18"/>
      <c r="AO102" s="31"/>
      <c r="AP102" s="61"/>
      <c r="AR102" s="25">
        <f t="shared" si="38"/>
        <v>1999</v>
      </c>
      <c r="AT102" s="20">
        <f t="shared" si="36"/>
        <v>0</v>
      </c>
      <c r="AV102" s="20">
        <f t="shared" si="36"/>
        <v>0</v>
      </c>
      <c r="AW102" s="20">
        <f t="shared" si="36"/>
        <v>0</v>
      </c>
      <c r="AX102" s="20">
        <f t="shared" si="36"/>
        <v>0</v>
      </c>
      <c r="AY102" s="20">
        <f t="shared" si="36"/>
        <v>0</v>
      </c>
      <c r="AZ102" s="20">
        <f t="shared" si="36"/>
        <v>0</v>
      </c>
      <c r="BA102" s="20">
        <f t="shared" si="36"/>
        <v>0</v>
      </c>
      <c r="BC102" s="137">
        <f t="shared" si="37"/>
        <v>0</v>
      </c>
    </row>
    <row r="103" spans="1:68">
      <c r="A103" s="6">
        <f t="shared" si="27"/>
        <v>2014</v>
      </c>
      <c r="C103" s="60">
        <f t="shared" si="25"/>
        <v>0.91670219053573943</v>
      </c>
      <c r="E103" s="60">
        <f t="shared" si="33"/>
        <v>0.83290864594572267</v>
      </c>
      <c r="G103" s="60">
        <f t="shared" si="34"/>
        <v>0.77938560655948408</v>
      </c>
      <c r="I103" s="60"/>
      <c r="K103" s="60"/>
      <c r="M103" s="60">
        <f t="shared" si="26"/>
        <v>0.79128028203215972</v>
      </c>
      <c r="Q103" s="6"/>
      <c r="R103" s="6"/>
      <c r="S103" s="6"/>
      <c r="U103" s="6"/>
      <c r="V103" s="6"/>
      <c r="W103" s="6"/>
      <c r="AA103" s="25" t="s">
        <v>3</v>
      </c>
      <c r="AB103" s="61"/>
      <c r="AC103" s="255" t="s">
        <v>460</v>
      </c>
      <c r="AD103" s="256"/>
      <c r="AE103" s="256"/>
      <c r="AF103" s="256"/>
      <c r="AG103" s="256"/>
      <c r="AH103" s="256"/>
      <c r="AI103" s="256"/>
      <c r="AJ103" s="256"/>
      <c r="AK103" s="256"/>
      <c r="AL103" s="61"/>
      <c r="AM103" s="61"/>
      <c r="AN103" s="18"/>
      <c r="AO103" s="31"/>
      <c r="AP103" s="61"/>
      <c r="AR103" s="25">
        <f t="shared" si="38"/>
        <v>2000</v>
      </c>
      <c r="AS103" s="137"/>
      <c r="AT103" s="20">
        <f t="shared" si="36"/>
        <v>0</v>
      </c>
      <c r="AU103" s="137"/>
      <c r="AV103" s="20">
        <f t="shared" si="36"/>
        <v>0</v>
      </c>
      <c r="AW103" s="20">
        <f t="shared" si="36"/>
        <v>0</v>
      </c>
      <c r="AX103" s="20">
        <f t="shared" si="36"/>
        <v>0</v>
      </c>
      <c r="AY103" s="20">
        <f t="shared" si="36"/>
        <v>0</v>
      </c>
      <c r="AZ103" s="20">
        <f t="shared" si="36"/>
        <v>0</v>
      </c>
      <c r="BA103" s="20">
        <f t="shared" si="36"/>
        <v>0</v>
      </c>
      <c r="BB103" s="172"/>
      <c r="BC103" s="137">
        <f t="shared" si="37"/>
        <v>0</v>
      </c>
    </row>
    <row r="104" spans="1:68">
      <c r="A104" s="6">
        <f t="shared" si="27"/>
        <v>2015</v>
      </c>
      <c r="C104" s="60">
        <f t="shared" si="25"/>
        <v>0.93904079114036498</v>
      </c>
      <c r="E104" s="60">
        <f t="shared" si="33"/>
        <v>1</v>
      </c>
      <c r="G104" s="60">
        <f t="shared" si="34"/>
        <v>0.88839943807949318</v>
      </c>
      <c r="I104" s="60">
        <f t="shared" ref="I104:I111" si="39">U38/I38</f>
        <v>1</v>
      </c>
      <c r="K104" s="60"/>
      <c r="M104" s="60">
        <f t="shared" si="26"/>
        <v>0.93326337485454547</v>
      </c>
      <c r="Q104" s="6"/>
      <c r="R104" s="6"/>
      <c r="S104" s="6"/>
      <c r="U104" s="6"/>
      <c r="V104" s="6"/>
      <c r="W104" s="6"/>
      <c r="AA104" s="25" t="s">
        <v>4</v>
      </c>
      <c r="AB104" s="97" t="s">
        <v>516</v>
      </c>
      <c r="AC104" s="97" t="s">
        <v>517</v>
      </c>
      <c r="AD104" s="25" t="s">
        <v>518</v>
      </c>
      <c r="AE104" s="97" t="s">
        <v>519</v>
      </c>
      <c r="AF104" s="97" t="s">
        <v>520</v>
      </c>
      <c r="AG104" s="97" t="s">
        <v>521</v>
      </c>
      <c r="AH104" s="25" t="s">
        <v>522</v>
      </c>
      <c r="AI104" s="97" t="s">
        <v>329</v>
      </c>
      <c r="AJ104" s="97" t="s">
        <v>478</v>
      </c>
      <c r="AK104" s="97"/>
      <c r="AL104" s="97" t="s">
        <v>0</v>
      </c>
      <c r="AM104" s="61"/>
      <c r="AN104" s="18"/>
      <c r="AO104" s="31"/>
      <c r="AP104" s="61"/>
      <c r="AR104" s="25">
        <f t="shared" si="38"/>
        <v>2001</v>
      </c>
      <c r="AS104" s="137"/>
      <c r="AT104" s="20">
        <f t="shared" si="36"/>
        <v>0</v>
      </c>
      <c r="AU104" s="137"/>
      <c r="AV104" s="20">
        <f t="shared" si="36"/>
        <v>0</v>
      </c>
      <c r="AW104" s="20">
        <f t="shared" si="36"/>
        <v>0</v>
      </c>
      <c r="AX104" s="20">
        <f t="shared" si="36"/>
        <v>0</v>
      </c>
      <c r="AY104" s="20">
        <f t="shared" si="36"/>
        <v>0</v>
      </c>
      <c r="AZ104" s="20">
        <f t="shared" si="36"/>
        <v>0</v>
      </c>
      <c r="BA104" s="20">
        <f t="shared" si="36"/>
        <v>0</v>
      </c>
      <c r="BB104" s="172"/>
      <c r="BC104" s="137">
        <f t="shared" si="37"/>
        <v>0</v>
      </c>
      <c r="BE104" s="25"/>
      <c r="BF104" s="137"/>
      <c r="BG104" s="18"/>
      <c r="BH104" s="137"/>
      <c r="BI104" s="18"/>
      <c r="BJ104" s="137"/>
      <c r="BK104" s="172"/>
      <c r="BL104" s="172"/>
      <c r="BM104" s="172"/>
      <c r="BN104" s="172"/>
      <c r="BO104" s="172"/>
      <c r="BP104" s="137"/>
    </row>
    <row r="105" spans="1:68">
      <c r="A105" s="6">
        <f t="shared" si="27"/>
        <v>2016</v>
      </c>
      <c r="C105" s="60">
        <f t="shared" si="25"/>
        <v>0.80972258751477544</v>
      </c>
      <c r="E105" s="60">
        <f t="shared" si="33"/>
        <v>0.40712616640466492</v>
      </c>
      <c r="G105" s="60">
        <f t="shared" si="34"/>
        <v>0.74006967174528682</v>
      </c>
      <c r="I105" s="60">
        <f t="shared" si="39"/>
        <v>0.69134186393059305</v>
      </c>
      <c r="K105" s="60">
        <f t="shared" ref="K105:K111" si="40">W39/K39</f>
        <v>0.92626775870236133</v>
      </c>
      <c r="M105" s="60">
        <f t="shared" si="26"/>
        <v>0.77288192299342595</v>
      </c>
      <c r="Q105" s="6"/>
      <c r="S105" s="6"/>
      <c r="U105" s="6"/>
      <c r="W105" s="6"/>
      <c r="AM105" s="61"/>
      <c r="AN105" s="18"/>
      <c r="AO105" s="31"/>
      <c r="AP105" s="61"/>
      <c r="AR105" s="25">
        <f t="shared" si="38"/>
        <v>2002</v>
      </c>
      <c r="AS105" s="137"/>
      <c r="AT105" s="20">
        <f t="shared" si="36"/>
        <v>0</v>
      </c>
      <c r="AU105" s="137"/>
      <c r="AV105" s="20">
        <f t="shared" si="36"/>
        <v>0</v>
      </c>
      <c r="AW105" s="20">
        <f t="shared" si="36"/>
        <v>0</v>
      </c>
      <c r="AX105" s="20">
        <f t="shared" si="36"/>
        <v>0</v>
      </c>
      <c r="AY105" s="20">
        <f t="shared" si="36"/>
        <v>0</v>
      </c>
      <c r="AZ105" s="20">
        <f t="shared" si="36"/>
        <v>0</v>
      </c>
      <c r="BA105" s="20">
        <f t="shared" si="36"/>
        <v>0</v>
      </c>
      <c r="BB105" s="172"/>
      <c r="BC105" s="137">
        <f t="shared" si="37"/>
        <v>0</v>
      </c>
      <c r="BE105" s="25"/>
      <c r="BF105" s="137"/>
      <c r="BG105" s="18"/>
      <c r="BH105" s="137"/>
      <c r="BI105" s="18"/>
      <c r="BJ105" s="137"/>
      <c r="BK105" s="172"/>
      <c r="BL105" s="172"/>
      <c r="BM105" s="172"/>
      <c r="BN105" s="172"/>
      <c r="BO105" s="172"/>
      <c r="BP105" s="137"/>
    </row>
    <row r="106" spans="1:68">
      <c r="A106" s="6">
        <f t="shared" si="27"/>
        <v>2017</v>
      </c>
      <c r="C106" s="60">
        <f t="shared" si="25"/>
        <v>0.96988260100377444</v>
      </c>
      <c r="E106" s="60">
        <f t="shared" si="33"/>
        <v>1</v>
      </c>
      <c r="G106" s="60">
        <f t="shared" si="34"/>
        <v>0.75968604758848346</v>
      </c>
      <c r="I106" s="60">
        <f t="shared" si="39"/>
        <v>1</v>
      </c>
      <c r="K106" s="60">
        <f t="shared" si="40"/>
        <v>0.8873362105882473</v>
      </c>
      <c r="M106" s="60">
        <f t="shared" si="26"/>
        <v>0.87061882737550234</v>
      </c>
      <c r="AM106" s="61"/>
      <c r="AN106" s="18"/>
      <c r="AO106" s="31"/>
      <c r="AP106" s="61"/>
      <c r="AR106" s="25">
        <f t="shared" si="38"/>
        <v>2003</v>
      </c>
      <c r="AS106" s="137"/>
      <c r="AT106" s="20">
        <f t="shared" si="36"/>
        <v>0</v>
      </c>
      <c r="AU106" s="137"/>
      <c r="AV106" s="20">
        <f t="shared" si="36"/>
        <v>0</v>
      </c>
      <c r="AW106" s="20">
        <f t="shared" si="36"/>
        <v>0</v>
      </c>
      <c r="AX106" s="20">
        <f t="shared" si="36"/>
        <v>0</v>
      </c>
      <c r="AY106" s="20">
        <f t="shared" si="36"/>
        <v>0</v>
      </c>
      <c r="AZ106" s="20">
        <f t="shared" si="36"/>
        <v>0</v>
      </c>
      <c r="BA106" s="20">
        <f t="shared" si="36"/>
        <v>0</v>
      </c>
      <c r="BB106" s="172"/>
      <c r="BC106" s="137">
        <f t="shared" si="37"/>
        <v>0</v>
      </c>
      <c r="BE106" s="25"/>
      <c r="BF106" s="137"/>
      <c r="BG106" s="18"/>
      <c r="BH106" s="137"/>
      <c r="BI106" s="18"/>
      <c r="BJ106" s="137"/>
      <c r="BK106" s="172"/>
      <c r="BL106" s="172"/>
      <c r="BM106" s="172"/>
      <c r="BN106" s="172"/>
      <c r="BO106" s="172"/>
      <c r="BP106" s="137"/>
    </row>
    <row r="107" spans="1:68">
      <c r="A107" s="6">
        <f t="shared" si="27"/>
        <v>2018</v>
      </c>
      <c r="C107" s="60">
        <f t="shared" si="25"/>
        <v>0.84895984079577791</v>
      </c>
      <c r="E107" s="60">
        <f t="shared" si="33"/>
        <v>1</v>
      </c>
      <c r="G107" s="60">
        <f t="shared" si="34"/>
        <v>0.89547028689844477</v>
      </c>
      <c r="I107" s="60">
        <f t="shared" si="39"/>
        <v>1</v>
      </c>
      <c r="K107" s="60">
        <f t="shared" si="40"/>
        <v>0.9667355810220134</v>
      </c>
      <c r="M107" s="60">
        <f t="shared" si="26"/>
        <v>0.90656941368623511</v>
      </c>
      <c r="O107" s="23"/>
      <c r="Q107" s="308"/>
      <c r="S107" s="308"/>
      <c r="AA107" s="25">
        <v>1992</v>
      </c>
      <c r="AB107" s="160">
        <f>AB57-AB17</f>
        <v>0</v>
      </c>
      <c r="AC107" s="160">
        <f t="shared" ref="AC107:AL107" si="41">AC57-AC17</f>
        <v>0</v>
      </c>
      <c r="AD107" s="160">
        <f t="shared" si="41"/>
        <v>0</v>
      </c>
      <c r="AE107" s="160">
        <f t="shared" si="41"/>
        <v>0</v>
      </c>
      <c r="AF107" s="160">
        <f t="shared" si="41"/>
        <v>0</v>
      </c>
      <c r="AG107" s="160">
        <f t="shared" si="41"/>
        <v>0</v>
      </c>
      <c r="AH107" s="160">
        <f t="shared" si="41"/>
        <v>0</v>
      </c>
      <c r="AI107" s="160">
        <f t="shared" si="41"/>
        <v>0</v>
      </c>
      <c r="AJ107" s="160">
        <f t="shared" si="41"/>
        <v>0</v>
      </c>
      <c r="AK107" s="160">
        <f t="shared" si="41"/>
        <v>0</v>
      </c>
      <c r="AL107" s="160">
        <f t="shared" si="41"/>
        <v>0</v>
      </c>
      <c r="AM107" s="61"/>
      <c r="AN107" s="18"/>
      <c r="AO107" s="31"/>
      <c r="AP107" s="61"/>
      <c r="AR107" s="25">
        <f t="shared" si="38"/>
        <v>2004</v>
      </c>
      <c r="AS107" s="137"/>
      <c r="AT107" s="20">
        <f t="shared" si="36"/>
        <v>0</v>
      </c>
      <c r="AU107" s="137"/>
      <c r="AV107" s="20">
        <f t="shared" si="36"/>
        <v>0</v>
      </c>
      <c r="AW107" s="20">
        <f t="shared" si="36"/>
        <v>0</v>
      </c>
      <c r="AX107" s="20">
        <f t="shared" si="36"/>
        <v>0</v>
      </c>
      <c r="AY107" s="20">
        <f t="shared" si="36"/>
        <v>0</v>
      </c>
      <c r="AZ107" s="20">
        <f t="shared" si="36"/>
        <v>0</v>
      </c>
      <c r="BA107" s="20">
        <f t="shared" si="36"/>
        <v>0</v>
      </c>
      <c r="BB107" s="172"/>
      <c r="BC107" s="137">
        <f t="shared" si="37"/>
        <v>0</v>
      </c>
      <c r="BE107" s="25"/>
      <c r="BF107" s="137"/>
      <c r="BG107" s="18"/>
      <c r="BH107" s="137"/>
      <c r="BI107" s="18"/>
      <c r="BJ107" s="137"/>
      <c r="BK107" s="172"/>
      <c r="BL107" s="172"/>
      <c r="BM107" s="172"/>
      <c r="BN107" s="172"/>
      <c r="BO107" s="172"/>
      <c r="BP107" s="137"/>
    </row>
    <row r="108" spans="1:68">
      <c r="A108" s="6">
        <f t="shared" si="27"/>
        <v>2019</v>
      </c>
      <c r="C108" s="60">
        <f t="shared" si="25"/>
        <v>0.93768686465754658</v>
      </c>
      <c r="E108" s="60">
        <f t="shared" si="33"/>
        <v>0.91343426674780248</v>
      </c>
      <c r="G108" s="60">
        <f t="shared" si="34"/>
        <v>0.73734814570014795</v>
      </c>
      <c r="I108" s="60">
        <f t="shared" si="39"/>
        <v>0.82687697027680063</v>
      </c>
      <c r="K108" s="60">
        <f t="shared" si="40"/>
        <v>0.90424004569131622</v>
      </c>
      <c r="M108" s="60">
        <f t="shared" si="26"/>
        <v>0.88474990466102765</v>
      </c>
      <c r="O108" s="23"/>
      <c r="Q108" s="308"/>
      <c r="S108" s="308"/>
      <c r="AA108" s="25">
        <f>AA107+1</f>
        <v>1993</v>
      </c>
      <c r="AB108" s="137">
        <f t="shared" ref="AB108:AL108" si="42">AB58-AB18</f>
        <v>0</v>
      </c>
      <c r="AC108" s="137">
        <f t="shared" si="42"/>
        <v>0</v>
      </c>
      <c r="AD108" s="137">
        <f t="shared" si="42"/>
        <v>0</v>
      </c>
      <c r="AE108" s="137">
        <f t="shared" si="42"/>
        <v>0</v>
      </c>
      <c r="AF108" s="137">
        <f t="shared" si="42"/>
        <v>0</v>
      </c>
      <c r="AG108" s="137">
        <f t="shared" si="42"/>
        <v>0</v>
      </c>
      <c r="AH108" s="137">
        <f t="shared" si="42"/>
        <v>0</v>
      </c>
      <c r="AI108" s="137">
        <f t="shared" si="42"/>
        <v>0</v>
      </c>
      <c r="AJ108" s="137">
        <f t="shared" si="42"/>
        <v>0</v>
      </c>
      <c r="AK108" s="137">
        <f t="shared" si="42"/>
        <v>0</v>
      </c>
      <c r="AL108" s="137">
        <f t="shared" si="42"/>
        <v>0</v>
      </c>
      <c r="AM108" s="61"/>
      <c r="AN108" s="18"/>
      <c r="AO108" s="31"/>
      <c r="AP108" s="61"/>
      <c r="AR108" s="25">
        <f t="shared" si="38"/>
        <v>2005</v>
      </c>
      <c r="AS108" s="137"/>
      <c r="AT108" s="20">
        <f t="shared" si="36"/>
        <v>0</v>
      </c>
      <c r="AU108" s="137"/>
      <c r="AV108" s="20">
        <f t="shared" si="36"/>
        <v>0</v>
      </c>
      <c r="AW108" s="20">
        <f t="shared" si="36"/>
        <v>0</v>
      </c>
      <c r="AX108" s="20">
        <f t="shared" si="36"/>
        <v>0</v>
      </c>
      <c r="AY108" s="20">
        <f t="shared" si="36"/>
        <v>0</v>
      </c>
      <c r="AZ108" s="20">
        <f t="shared" si="36"/>
        <v>0</v>
      </c>
      <c r="BA108" s="20">
        <f t="shared" si="36"/>
        <v>0</v>
      </c>
      <c r="BB108" s="172"/>
      <c r="BC108" s="137">
        <f t="shared" si="37"/>
        <v>0</v>
      </c>
      <c r="BE108" s="25"/>
      <c r="BF108" s="137"/>
      <c r="BG108" s="18"/>
      <c r="BH108" s="137"/>
      <c r="BI108" s="18"/>
      <c r="BJ108" s="137"/>
      <c r="BK108" s="172"/>
      <c r="BL108" s="172"/>
      <c r="BM108" s="172"/>
      <c r="BN108" s="172"/>
      <c r="BO108" s="172"/>
      <c r="BP108" s="137"/>
    </row>
    <row r="109" spans="1:68">
      <c r="A109" s="6">
        <f t="shared" si="27"/>
        <v>2020</v>
      </c>
      <c r="C109" s="60">
        <f t="shared" si="25"/>
        <v>0.90448393221025236</v>
      </c>
      <c r="E109" s="60">
        <f t="shared" si="33"/>
        <v>0.59127900345348949</v>
      </c>
      <c r="G109" s="60">
        <f t="shared" si="34"/>
        <v>0.77648821203987983</v>
      </c>
      <c r="I109" s="60">
        <f t="shared" si="39"/>
        <v>0.77238518987163196</v>
      </c>
      <c r="K109" s="60">
        <f t="shared" si="40"/>
        <v>0.81313088712436632</v>
      </c>
      <c r="M109" s="60">
        <f t="shared" si="26"/>
        <v>0.84685667115489016</v>
      </c>
      <c r="AA109" s="25">
        <f t="shared" ref="AA109:AA135" si="43">AA108+1</f>
        <v>1994</v>
      </c>
      <c r="AB109" s="137">
        <f t="shared" ref="AB109:AL109" si="44">AB59-AB19</f>
        <v>0</v>
      </c>
      <c r="AC109" s="137">
        <f t="shared" si="44"/>
        <v>0</v>
      </c>
      <c r="AD109" s="137">
        <f t="shared" si="44"/>
        <v>0</v>
      </c>
      <c r="AE109" s="137">
        <f t="shared" si="44"/>
        <v>0</v>
      </c>
      <c r="AF109" s="137">
        <f t="shared" si="44"/>
        <v>0</v>
      </c>
      <c r="AG109" s="137">
        <f t="shared" si="44"/>
        <v>0</v>
      </c>
      <c r="AH109" s="137">
        <f t="shared" si="44"/>
        <v>0</v>
      </c>
      <c r="AI109" s="137">
        <f t="shared" si="44"/>
        <v>0</v>
      </c>
      <c r="AJ109" s="137">
        <f t="shared" si="44"/>
        <v>0</v>
      </c>
      <c r="AK109" s="137">
        <f t="shared" si="44"/>
        <v>0</v>
      </c>
      <c r="AL109" s="137">
        <f t="shared" si="44"/>
        <v>0</v>
      </c>
      <c r="AM109" s="61"/>
      <c r="AN109" s="18"/>
      <c r="AO109" s="31"/>
      <c r="AP109" s="61"/>
      <c r="AR109" s="25">
        <f t="shared" si="38"/>
        <v>2006</v>
      </c>
      <c r="AS109" s="137"/>
      <c r="AT109" s="20">
        <f t="shared" si="36"/>
        <v>0</v>
      </c>
      <c r="AU109" s="137"/>
      <c r="AV109" s="20">
        <f t="shared" si="36"/>
        <v>38619.730000000003</v>
      </c>
      <c r="AW109" s="20">
        <f t="shared" si="36"/>
        <v>0</v>
      </c>
      <c r="AX109" s="20">
        <f t="shared" si="36"/>
        <v>0</v>
      </c>
      <c r="AY109" s="20">
        <f t="shared" si="36"/>
        <v>0</v>
      </c>
      <c r="AZ109" s="20">
        <f t="shared" si="36"/>
        <v>0</v>
      </c>
      <c r="BA109" s="20">
        <f t="shared" si="36"/>
        <v>0</v>
      </c>
      <c r="BB109" s="172"/>
      <c r="BC109" s="137">
        <f t="shared" si="37"/>
        <v>38619.730000000003</v>
      </c>
      <c r="BE109" s="25"/>
      <c r="BF109" s="137"/>
      <c r="BG109" s="18"/>
      <c r="BH109" s="137"/>
      <c r="BI109" s="18"/>
      <c r="BJ109" s="137"/>
      <c r="BK109" s="172"/>
      <c r="BL109" s="172"/>
      <c r="BM109" s="172"/>
      <c r="BN109" s="172"/>
      <c r="BO109" s="172"/>
      <c r="BP109" s="137"/>
    </row>
    <row r="110" spans="1:68">
      <c r="A110" s="6">
        <f t="shared" si="27"/>
        <v>2021</v>
      </c>
      <c r="C110" s="60">
        <f t="shared" si="25"/>
        <v>0.94537280245416766</v>
      </c>
      <c r="E110" s="60">
        <f t="shared" si="33"/>
        <v>0.55683539885390321</v>
      </c>
      <c r="G110" s="60">
        <f t="shared" si="34"/>
        <v>0.80707319740901129</v>
      </c>
      <c r="I110" s="60">
        <f t="shared" si="39"/>
        <v>0.859515288548378</v>
      </c>
      <c r="K110" s="60">
        <f t="shared" si="40"/>
        <v>0.812337473467317</v>
      </c>
      <c r="M110" s="60">
        <f t="shared" si="26"/>
        <v>0.86583072110453729</v>
      </c>
      <c r="AA110" s="25">
        <f t="shared" si="43"/>
        <v>1995</v>
      </c>
      <c r="AB110" s="137">
        <f t="shared" ref="AB110:AL110" si="45">AB60-AB20</f>
        <v>0</v>
      </c>
      <c r="AC110" s="137">
        <f t="shared" si="45"/>
        <v>0</v>
      </c>
      <c r="AD110" s="137">
        <f t="shared" si="45"/>
        <v>0</v>
      </c>
      <c r="AE110" s="137">
        <f t="shared" si="45"/>
        <v>0</v>
      </c>
      <c r="AF110" s="137">
        <f t="shared" si="45"/>
        <v>0</v>
      </c>
      <c r="AG110" s="137">
        <f t="shared" si="45"/>
        <v>0</v>
      </c>
      <c r="AH110" s="137">
        <f t="shared" si="45"/>
        <v>0</v>
      </c>
      <c r="AI110" s="137">
        <f t="shared" si="45"/>
        <v>0</v>
      </c>
      <c r="AJ110" s="137">
        <f t="shared" si="45"/>
        <v>0</v>
      </c>
      <c r="AK110" s="137">
        <f t="shared" si="45"/>
        <v>0</v>
      </c>
      <c r="AL110" s="137">
        <f t="shared" si="45"/>
        <v>0</v>
      </c>
      <c r="AM110" s="61"/>
      <c r="AN110" s="18"/>
      <c r="AO110" s="31"/>
      <c r="AP110" s="61"/>
      <c r="AR110" s="25">
        <f t="shared" si="38"/>
        <v>2007</v>
      </c>
      <c r="AS110" s="137"/>
      <c r="AT110" s="20">
        <f t="shared" si="36"/>
        <v>0</v>
      </c>
      <c r="AU110" s="137"/>
      <c r="AV110" s="20">
        <f t="shared" si="36"/>
        <v>0</v>
      </c>
      <c r="AW110" s="20">
        <f t="shared" si="36"/>
        <v>0</v>
      </c>
      <c r="AX110" s="20">
        <f t="shared" si="36"/>
        <v>0</v>
      </c>
      <c r="AY110" s="20">
        <f t="shared" si="36"/>
        <v>0</v>
      </c>
      <c r="AZ110" s="20">
        <f t="shared" si="36"/>
        <v>0</v>
      </c>
      <c r="BA110" s="20">
        <f t="shared" si="36"/>
        <v>0</v>
      </c>
      <c r="BB110" s="172"/>
      <c r="BC110" s="137">
        <f t="shared" si="37"/>
        <v>0</v>
      </c>
      <c r="BE110" s="25"/>
      <c r="BF110" s="137"/>
      <c r="BG110" s="18"/>
      <c r="BH110" s="137"/>
      <c r="BI110" s="18"/>
      <c r="BJ110" s="137"/>
      <c r="BK110" s="172"/>
      <c r="BL110" s="172"/>
      <c r="BM110" s="172"/>
      <c r="BN110" s="172"/>
      <c r="BO110" s="172"/>
      <c r="BP110" s="137"/>
    </row>
    <row r="111" spans="1:68">
      <c r="A111" s="6">
        <f t="shared" si="27"/>
        <v>2022</v>
      </c>
      <c r="C111" s="60">
        <f t="shared" si="25"/>
        <v>0.94787625717037705</v>
      </c>
      <c r="E111" s="60">
        <f t="shared" si="33"/>
        <v>0.85331719235577475</v>
      </c>
      <c r="G111" s="60">
        <f t="shared" si="34"/>
        <v>0.83888496579068628</v>
      </c>
      <c r="I111" s="60">
        <f t="shared" si="39"/>
        <v>1</v>
      </c>
      <c r="K111" s="60">
        <f t="shared" si="40"/>
        <v>0.81430683072588383</v>
      </c>
      <c r="M111" s="60">
        <f t="shared" si="26"/>
        <v>0.91965151323488414</v>
      </c>
      <c r="Q111" s="308"/>
      <c r="S111" s="308"/>
      <c r="AA111" s="25">
        <f t="shared" si="43"/>
        <v>1996</v>
      </c>
      <c r="AB111" s="137">
        <f t="shared" ref="AB111:AL111" si="46">AB61-AB21</f>
        <v>0</v>
      </c>
      <c r="AC111" s="137">
        <f t="shared" si="46"/>
        <v>0</v>
      </c>
      <c r="AD111" s="137">
        <f t="shared" si="46"/>
        <v>0</v>
      </c>
      <c r="AE111" s="137">
        <f t="shared" si="46"/>
        <v>0</v>
      </c>
      <c r="AF111" s="137">
        <f t="shared" si="46"/>
        <v>0</v>
      </c>
      <c r="AG111" s="137">
        <f t="shared" si="46"/>
        <v>0</v>
      </c>
      <c r="AH111" s="137">
        <f t="shared" si="46"/>
        <v>0</v>
      </c>
      <c r="AI111" s="137">
        <f t="shared" si="46"/>
        <v>0</v>
      </c>
      <c r="AJ111" s="137">
        <f t="shared" si="46"/>
        <v>0</v>
      </c>
      <c r="AK111" s="137">
        <f t="shared" si="46"/>
        <v>0</v>
      </c>
      <c r="AL111" s="137">
        <f t="shared" si="46"/>
        <v>0</v>
      </c>
      <c r="AM111" s="61"/>
      <c r="AN111" s="18"/>
      <c r="AO111" s="31"/>
      <c r="AP111" s="61"/>
      <c r="AR111" s="25">
        <f t="shared" si="38"/>
        <v>2008</v>
      </c>
      <c r="AS111" s="137"/>
      <c r="AT111" s="20">
        <f t="shared" si="36"/>
        <v>0</v>
      </c>
      <c r="AU111" s="137"/>
      <c r="AV111" s="20">
        <f t="shared" si="36"/>
        <v>0</v>
      </c>
      <c r="AW111" s="20">
        <f t="shared" si="36"/>
        <v>0</v>
      </c>
      <c r="AX111" s="20">
        <f t="shared" si="36"/>
        <v>0</v>
      </c>
      <c r="AY111" s="20">
        <f t="shared" si="36"/>
        <v>0</v>
      </c>
      <c r="AZ111" s="20">
        <f t="shared" si="36"/>
        <v>0</v>
      </c>
      <c r="BA111" s="20">
        <f t="shared" si="36"/>
        <v>0</v>
      </c>
      <c r="BB111" s="172"/>
      <c r="BC111" s="137">
        <f t="shared" si="37"/>
        <v>0</v>
      </c>
      <c r="BE111" s="25"/>
      <c r="BF111" s="137"/>
      <c r="BG111" s="18"/>
      <c r="BH111" s="137"/>
      <c r="BI111" s="18"/>
      <c r="BJ111" s="137"/>
      <c r="BK111" s="172"/>
      <c r="BL111" s="172"/>
      <c r="BM111" s="172"/>
      <c r="BN111" s="172"/>
      <c r="BO111" s="172"/>
      <c r="BP111" s="137"/>
    </row>
    <row r="112" spans="1:68">
      <c r="AA112" s="25">
        <f t="shared" si="43"/>
        <v>1997</v>
      </c>
      <c r="AB112" s="137">
        <f t="shared" ref="AB112:AL112" si="47">AB62-AB22</f>
        <v>0</v>
      </c>
      <c r="AC112" s="137">
        <f t="shared" si="47"/>
        <v>0</v>
      </c>
      <c r="AD112" s="137">
        <f t="shared" si="47"/>
        <v>0</v>
      </c>
      <c r="AE112" s="137">
        <f t="shared" si="47"/>
        <v>0</v>
      </c>
      <c r="AF112" s="137">
        <f t="shared" si="47"/>
        <v>0</v>
      </c>
      <c r="AG112" s="137">
        <f t="shared" si="47"/>
        <v>0</v>
      </c>
      <c r="AH112" s="137">
        <f t="shared" si="47"/>
        <v>0</v>
      </c>
      <c r="AI112" s="137">
        <f t="shared" si="47"/>
        <v>0</v>
      </c>
      <c r="AJ112" s="137">
        <f t="shared" si="47"/>
        <v>0</v>
      </c>
      <c r="AK112" s="137">
        <f t="shared" si="47"/>
        <v>0</v>
      </c>
      <c r="AL112" s="137">
        <f t="shared" si="47"/>
        <v>0</v>
      </c>
      <c r="AM112" s="61"/>
      <c r="AN112" s="18"/>
      <c r="AO112" s="31"/>
      <c r="AP112" s="61"/>
      <c r="AR112" s="25">
        <f t="shared" si="38"/>
        <v>2009</v>
      </c>
      <c r="AS112" s="137"/>
      <c r="AT112" s="20">
        <f t="shared" si="36"/>
        <v>0</v>
      </c>
      <c r="AU112" s="137"/>
      <c r="AV112" s="20">
        <f t="shared" si="36"/>
        <v>0</v>
      </c>
      <c r="AW112" s="20">
        <f t="shared" si="36"/>
        <v>0</v>
      </c>
      <c r="AX112" s="20">
        <f t="shared" si="36"/>
        <v>0</v>
      </c>
      <c r="AY112" s="20">
        <f t="shared" si="36"/>
        <v>0</v>
      </c>
      <c r="AZ112" s="20">
        <f t="shared" si="36"/>
        <v>0</v>
      </c>
      <c r="BA112" s="20">
        <f t="shared" si="36"/>
        <v>0</v>
      </c>
      <c r="BB112" s="172"/>
      <c r="BC112" s="137">
        <f t="shared" si="37"/>
        <v>0</v>
      </c>
      <c r="BE112" s="25"/>
      <c r="BF112" s="137"/>
      <c r="BG112" s="18"/>
      <c r="BH112" s="137"/>
      <c r="BI112" s="18"/>
      <c r="BJ112" s="137"/>
      <c r="BK112" s="172"/>
      <c r="BL112" s="172"/>
      <c r="BM112" s="172"/>
      <c r="BN112" s="172"/>
      <c r="BO112" s="172"/>
      <c r="BP112" s="137"/>
    </row>
    <row r="113" spans="1:68">
      <c r="A113" s="2" t="s">
        <v>0</v>
      </c>
      <c r="C113" s="60">
        <f>O47/C47</f>
        <v>0.75348132626309872</v>
      </c>
      <c r="E113" s="60">
        <f>Q47/E47</f>
        <v>0.78615432506997895</v>
      </c>
      <c r="G113" s="60">
        <f>S47/G47</f>
        <v>0.80906470472698366</v>
      </c>
      <c r="Q113" s="6"/>
      <c r="R113" s="6"/>
      <c r="S113" s="6"/>
      <c r="U113" s="6"/>
      <c r="V113" s="6"/>
      <c r="W113" s="6"/>
      <c r="AA113" s="25">
        <f t="shared" si="43"/>
        <v>1998</v>
      </c>
      <c r="AB113" s="137">
        <f t="shared" ref="AB113:AL113" si="48">AB63-AB23</f>
        <v>0</v>
      </c>
      <c r="AC113" s="137">
        <f t="shared" si="48"/>
        <v>0</v>
      </c>
      <c r="AD113" s="137">
        <f t="shared" si="48"/>
        <v>0</v>
      </c>
      <c r="AE113" s="137">
        <f t="shared" si="48"/>
        <v>0</v>
      </c>
      <c r="AF113" s="137">
        <f t="shared" si="48"/>
        <v>0</v>
      </c>
      <c r="AG113" s="137">
        <f t="shared" si="48"/>
        <v>0</v>
      </c>
      <c r="AH113" s="137">
        <f t="shared" si="48"/>
        <v>0</v>
      </c>
      <c r="AI113" s="137">
        <f t="shared" si="48"/>
        <v>0</v>
      </c>
      <c r="AJ113" s="137">
        <f t="shared" si="48"/>
        <v>0</v>
      </c>
      <c r="AK113" s="137">
        <f t="shared" si="48"/>
        <v>0</v>
      </c>
      <c r="AL113" s="137">
        <f t="shared" si="48"/>
        <v>0</v>
      </c>
      <c r="AM113" s="61"/>
      <c r="AN113" s="18"/>
      <c r="AO113" s="31"/>
      <c r="AP113" s="61"/>
      <c r="AR113" s="25">
        <f t="shared" si="38"/>
        <v>2010</v>
      </c>
      <c r="AS113" s="137"/>
      <c r="AT113" s="20">
        <f t="shared" si="36"/>
        <v>0</v>
      </c>
      <c r="AU113" s="137"/>
      <c r="AV113" s="20">
        <f t="shared" si="36"/>
        <v>0</v>
      </c>
      <c r="AW113" s="20">
        <f t="shared" si="36"/>
        <v>0</v>
      </c>
      <c r="AX113" s="20">
        <f t="shared" si="36"/>
        <v>0</v>
      </c>
      <c r="AY113" s="20">
        <f t="shared" si="36"/>
        <v>0</v>
      </c>
      <c r="AZ113" s="20">
        <f t="shared" si="36"/>
        <v>0</v>
      </c>
      <c r="BA113" s="20">
        <f t="shared" si="36"/>
        <v>0</v>
      </c>
      <c r="BB113" s="172"/>
      <c r="BC113" s="137">
        <f t="shared" si="37"/>
        <v>0</v>
      </c>
      <c r="BE113" s="25"/>
      <c r="BF113" s="137"/>
      <c r="BG113" s="18"/>
      <c r="BH113" s="137"/>
      <c r="BI113" s="18"/>
      <c r="BJ113" s="223"/>
      <c r="BK113" s="172"/>
      <c r="BL113" s="172"/>
      <c r="BM113" s="172"/>
      <c r="BN113" s="172"/>
      <c r="BO113" s="172"/>
      <c r="BP113" s="137"/>
    </row>
    <row r="114" spans="1:68">
      <c r="A114" s="2" t="s">
        <v>486</v>
      </c>
      <c r="K114" s="187"/>
      <c r="Q114" s="6"/>
      <c r="R114" s="6"/>
      <c r="S114" s="6"/>
      <c r="U114" s="6"/>
      <c r="V114" s="6"/>
      <c r="W114" s="6"/>
      <c r="AA114" s="25">
        <f t="shared" si="43"/>
        <v>1999</v>
      </c>
      <c r="AB114" s="137">
        <f t="shared" ref="AB114:AL114" si="49">AB64-AB24</f>
        <v>0</v>
      </c>
      <c r="AC114" s="137">
        <f t="shared" si="49"/>
        <v>0</v>
      </c>
      <c r="AD114" s="137">
        <f t="shared" si="49"/>
        <v>0</v>
      </c>
      <c r="AE114" s="137">
        <f t="shared" si="49"/>
        <v>0</v>
      </c>
      <c r="AF114" s="137">
        <f t="shared" si="49"/>
        <v>0</v>
      </c>
      <c r="AG114" s="137">
        <f t="shared" si="49"/>
        <v>0</v>
      </c>
      <c r="AH114" s="137">
        <f t="shared" si="49"/>
        <v>0</v>
      </c>
      <c r="AI114" s="137">
        <f t="shared" si="49"/>
        <v>0</v>
      </c>
      <c r="AJ114" s="137">
        <f t="shared" si="49"/>
        <v>0</v>
      </c>
      <c r="AK114" s="137">
        <f t="shared" si="49"/>
        <v>0</v>
      </c>
      <c r="AL114" s="137">
        <f t="shared" si="49"/>
        <v>0</v>
      </c>
      <c r="AM114" s="61"/>
      <c r="AN114" s="18"/>
      <c r="AO114" s="31"/>
      <c r="AP114" s="61"/>
      <c r="AR114" s="25">
        <f t="shared" si="38"/>
        <v>2011</v>
      </c>
      <c r="AS114" s="137"/>
      <c r="AT114" s="20">
        <f t="shared" si="36"/>
        <v>0</v>
      </c>
      <c r="AU114" s="137"/>
      <c r="AV114" s="20">
        <f t="shared" si="36"/>
        <v>0</v>
      </c>
      <c r="AW114" s="20">
        <f t="shared" si="36"/>
        <v>0</v>
      </c>
      <c r="AX114" s="20">
        <f t="shared" si="36"/>
        <v>0</v>
      </c>
      <c r="AY114" s="20">
        <f t="shared" si="36"/>
        <v>0</v>
      </c>
      <c r="AZ114" s="20">
        <f t="shared" si="36"/>
        <v>0</v>
      </c>
      <c r="BA114" s="20">
        <f t="shared" si="36"/>
        <v>0</v>
      </c>
      <c r="BB114" s="172"/>
      <c r="BC114" s="137">
        <f t="shared" si="37"/>
        <v>0</v>
      </c>
      <c r="BE114" s="25"/>
      <c r="BF114" s="137"/>
      <c r="BG114" s="18"/>
      <c r="BH114" s="137"/>
      <c r="BI114" s="18"/>
      <c r="BJ114" s="137"/>
      <c r="BK114" s="172"/>
      <c r="BL114" s="172"/>
      <c r="BM114" s="172"/>
      <c r="BN114" s="172"/>
      <c r="BO114" s="172"/>
      <c r="BP114" s="137"/>
    </row>
    <row r="115" spans="1:68">
      <c r="K115" s="187"/>
      <c r="Q115" s="6"/>
      <c r="S115" s="6"/>
      <c r="U115" s="6"/>
      <c r="W115" s="6"/>
      <c r="AA115" s="25">
        <f t="shared" si="43"/>
        <v>2000</v>
      </c>
      <c r="AB115" s="137">
        <f t="shared" ref="AB115:AL115" si="50">AB65-AB25</f>
        <v>0</v>
      </c>
      <c r="AC115" s="137">
        <f t="shared" si="50"/>
        <v>0</v>
      </c>
      <c r="AD115" s="137">
        <f t="shared" si="50"/>
        <v>0</v>
      </c>
      <c r="AE115" s="137">
        <f t="shared" si="50"/>
        <v>0</v>
      </c>
      <c r="AF115" s="137">
        <f t="shared" si="50"/>
        <v>0</v>
      </c>
      <c r="AG115" s="137">
        <f t="shared" si="50"/>
        <v>0</v>
      </c>
      <c r="AH115" s="137">
        <f t="shared" si="50"/>
        <v>0</v>
      </c>
      <c r="AI115" s="137">
        <f t="shared" si="50"/>
        <v>0</v>
      </c>
      <c r="AJ115" s="137">
        <f t="shared" si="50"/>
        <v>0</v>
      </c>
      <c r="AK115" s="137">
        <f t="shared" si="50"/>
        <v>0</v>
      </c>
      <c r="AL115" s="137">
        <f t="shared" si="50"/>
        <v>0</v>
      </c>
      <c r="AM115" s="61"/>
      <c r="AN115" s="18"/>
      <c r="AO115" s="31"/>
      <c r="AP115" s="61"/>
      <c r="AR115" s="25">
        <f t="shared" si="38"/>
        <v>2012</v>
      </c>
      <c r="AS115" s="137"/>
      <c r="AT115" s="20">
        <f t="shared" si="36"/>
        <v>99000</v>
      </c>
      <c r="AU115" s="137"/>
      <c r="AV115" s="20">
        <f t="shared" si="36"/>
        <v>0</v>
      </c>
      <c r="AW115" s="20">
        <f t="shared" si="36"/>
        <v>0</v>
      </c>
      <c r="AX115" s="20">
        <f t="shared" si="36"/>
        <v>344718.90000000037</v>
      </c>
      <c r="AY115" s="20">
        <f t="shared" si="36"/>
        <v>0</v>
      </c>
      <c r="AZ115" s="20">
        <f t="shared" si="36"/>
        <v>0</v>
      </c>
      <c r="BA115" s="20">
        <f t="shared" si="36"/>
        <v>0</v>
      </c>
      <c r="BB115" s="172"/>
      <c r="BC115" s="137">
        <f t="shared" si="37"/>
        <v>443718.90000000037</v>
      </c>
      <c r="BE115" s="25"/>
      <c r="BF115" s="137"/>
      <c r="BG115" s="18"/>
      <c r="BH115" s="137"/>
      <c r="BI115" s="18"/>
      <c r="BJ115" s="137"/>
      <c r="BK115" s="172"/>
      <c r="BL115" s="172"/>
      <c r="BM115" s="172"/>
      <c r="BN115" s="172"/>
      <c r="BO115" s="172"/>
      <c r="BP115" s="137"/>
    </row>
    <row r="116" spans="1:68">
      <c r="AA116" s="25">
        <f t="shared" si="43"/>
        <v>2001</v>
      </c>
      <c r="AB116" s="137">
        <f t="shared" ref="AB116:AL116" si="51">AB66-AB26</f>
        <v>0</v>
      </c>
      <c r="AC116" s="137">
        <f t="shared" si="51"/>
        <v>0</v>
      </c>
      <c r="AD116" s="137">
        <f t="shared" si="51"/>
        <v>0</v>
      </c>
      <c r="AE116" s="137">
        <f t="shared" si="51"/>
        <v>0</v>
      </c>
      <c r="AF116" s="137">
        <f t="shared" si="51"/>
        <v>0</v>
      </c>
      <c r="AG116" s="137">
        <f t="shared" si="51"/>
        <v>0</v>
      </c>
      <c r="AH116" s="137">
        <f t="shared" si="51"/>
        <v>0</v>
      </c>
      <c r="AI116" s="137">
        <f t="shared" si="51"/>
        <v>0</v>
      </c>
      <c r="AJ116" s="137">
        <f t="shared" si="51"/>
        <v>0</v>
      </c>
      <c r="AK116" s="137">
        <f t="shared" si="51"/>
        <v>0</v>
      </c>
      <c r="AL116" s="137">
        <f t="shared" si="51"/>
        <v>0</v>
      </c>
      <c r="AM116" s="61"/>
      <c r="AN116" s="18"/>
      <c r="AO116" s="31"/>
      <c r="AP116" s="61"/>
      <c r="AR116" s="25">
        <f t="shared" si="38"/>
        <v>2013</v>
      </c>
      <c r="AS116" s="137"/>
      <c r="AT116" s="20">
        <f t="shared" si="36"/>
        <v>0</v>
      </c>
      <c r="AU116" s="137"/>
      <c r="AV116" s="20">
        <f t="shared" si="36"/>
        <v>0</v>
      </c>
      <c r="AW116" s="20">
        <f t="shared" si="36"/>
        <v>0</v>
      </c>
      <c r="AX116" s="20">
        <f t="shared" si="36"/>
        <v>1964258.3599999994</v>
      </c>
      <c r="AY116" s="20">
        <f t="shared" si="36"/>
        <v>0</v>
      </c>
      <c r="AZ116" s="20">
        <f t="shared" si="36"/>
        <v>0</v>
      </c>
      <c r="BA116" s="20">
        <f t="shared" si="36"/>
        <v>0</v>
      </c>
      <c r="BB116" s="172"/>
      <c r="BC116" s="137">
        <f t="shared" si="37"/>
        <v>1964258.3599999994</v>
      </c>
      <c r="BE116" s="25"/>
      <c r="BF116" s="137"/>
      <c r="BG116" s="18"/>
      <c r="BH116" s="137"/>
      <c r="BI116" s="18"/>
      <c r="BJ116" s="137"/>
      <c r="BK116" s="172"/>
      <c r="BL116" s="172"/>
      <c r="BM116" s="172"/>
      <c r="BN116" s="172"/>
      <c r="BO116" s="172"/>
      <c r="BP116" s="137"/>
    </row>
    <row r="117" spans="1:68">
      <c r="O117" s="23"/>
      <c r="AA117" s="25">
        <f t="shared" si="43"/>
        <v>2002</v>
      </c>
      <c r="AB117" s="137">
        <f t="shared" ref="AB117:AL117" si="52">AB67-AB27</f>
        <v>0</v>
      </c>
      <c r="AC117" s="137">
        <f t="shared" si="52"/>
        <v>0</v>
      </c>
      <c r="AD117" s="137">
        <f t="shared" si="52"/>
        <v>0</v>
      </c>
      <c r="AE117" s="137">
        <f t="shared" si="52"/>
        <v>0</v>
      </c>
      <c r="AF117" s="137">
        <f t="shared" si="52"/>
        <v>0</v>
      </c>
      <c r="AG117" s="137">
        <f t="shared" si="52"/>
        <v>0</v>
      </c>
      <c r="AH117" s="137">
        <f t="shared" si="52"/>
        <v>0</v>
      </c>
      <c r="AI117" s="137">
        <f t="shared" si="52"/>
        <v>0</v>
      </c>
      <c r="AJ117" s="137">
        <f t="shared" si="52"/>
        <v>0</v>
      </c>
      <c r="AK117" s="137">
        <f t="shared" si="52"/>
        <v>0</v>
      </c>
      <c r="AL117" s="137">
        <f t="shared" si="52"/>
        <v>0</v>
      </c>
      <c r="AM117" s="61"/>
      <c r="AN117" s="18"/>
      <c r="AO117" s="31"/>
      <c r="AP117" s="61"/>
      <c r="AR117" s="25">
        <f t="shared" si="38"/>
        <v>2014</v>
      </c>
      <c r="AS117" s="137"/>
      <c r="AT117" s="20">
        <f t="shared" si="36"/>
        <v>2016491.67</v>
      </c>
      <c r="AU117" s="137"/>
      <c r="AV117" s="20">
        <f t="shared" si="36"/>
        <v>0</v>
      </c>
      <c r="AW117" s="20">
        <f t="shared" si="36"/>
        <v>0</v>
      </c>
      <c r="AX117" s="20">
        <f t="shared" si="36"/>
        <v>3417630.33</v>
      </c>
      <c r="AY117" s="20">
        <f t="shared" si="36"/>
        <v>0</v>
      </c>
      <c r="AZ117" s="20">
        <f t="shared" si="36"/>
        <v>0</v>
      </c>
      <c r="BA117" s="20">
        <f t="shared" si="36"/>
        <v>987551.52399999998</v>
      </c>
      <c r="BB117" s="172"/>
      <c r="BC117" s="137">
        <f t="shared" si="37"/>
        <v>6421673.5240000002</v>
      </c>
      <c r="BE117" s="25"/>
      <c r="BF117" s="137"/>
      <c r="BG117" s="18"/>
      <c r="BH117" s="137"/>
      <c r="BI117" s="18"/>
      <c r="BJ117" s="137"/>
      <c r="BK117" s="172"/>
      <c r="BL117" s="172"/>
      <c r="BM117" s="172"/>
      <c r="BN117" s="172"/>
      <c r="BO117" s="172"/>
      <c r="BP117" s="137"/>
    </row>
    <row r="118" spans="1:68">
      <c r="G118" s="6" t="s">
        <v>1747</v>
      </c>
      <c r="O118" s="23"/>
      <c r="S118" s="6" t="s">
        <v>1747</v>
      </c>
      <c r="AA118" s="25">
        <f t="shared" si="43"/>
        <v>2003</v>
      </c>
      <c r="AB118" s="137">
        <f t="shared" ref="AB118:AL118" si="53">AB68-AB28</f>
        <v>0</v>
      </c>
      <c r="AC118" s="137">
        <f t="shared" si="53"/>
        <v>0</v>
      </c>
      <c r="AD118" s="137">
        <f t="shared" si="53"/>
        <v>0</v>
      </c>
      <c r="AE118" s="137">
        <f t="shared" si="53"/>
        <v>0</v>
      </c>
      <c r="AF118" s="137">
        <f t="shared" si="53"/>
        <v>0</v>
      </c>
      <c r="AG118" s="137">
        <f t="shared" si="53"/>
        <v>0</v>
      </c>
      <c r="AH118" s="137">
        <f t="shared" si="53"/>
        <v>0</v>
      </c>
      <c r="AI118" s="137">
        <f t="shared" si="53"/>
        <v>0</v>
      </c>
      <c r="AJ118" s="137">
        <f t="shared" si="53"/>
        <v>0</v>
      </c>
      <c r="AK118" s="137">
        <f t="shared" si="53"/>
        <v>0</v>
      </c>
      <c r="AL118" s="137">
        <f t="shared" si="53"/>
        <v>0</v>
      </c>
      <c r="AM118" s="61"/>
      <c r="AN118" s="18"/>
      <c r="AO118" s="31"/>
      <c r="AP118" s="61"/>
      <c r="AR118" s="25">
        <f t="shared" si="38"/>
        <v>2015</v>
      </c>
      <c r="AS118" s="137"/>
      <c r="AT118" s="20">
        <f t="shared" si="36"/>
        <v>2288346.34</v>
      </c>
      <c r="AU118" s="137"/>
      <c r="AV118" s="20">
        <f t="shared" si="36"/>
        <v>0</v>
      </c>
      <c r="AW118" s="20">
        <f t="shared" si="36"/>
        <v>0</v>
      </c>
      <c r="AX118" s="20">
        <f t="shared" si="36"/>
        <v>1088855.9900000002</v>
      </c>
      <c r="AY118" s="20">
        <f t="shared" si="36"/>
        <v>0</v>
      </c>
      <c r="AZ118" s="20">
        <f t="shared" si="36"/>
        <v>0</v>
      </c>
      <c r="BA118" s="20">
        <f t="shared" si="36"/>
        <v>35543.300000000047</v>
      </c>
      <c r="BB118" s="172"/>
      <c r="BC118" s="137">
        <f t="shared" si="37"/>
        <v>3412745.63</v>
      </c>
      <c r="BE118" s="25"/>
      <c r="BF118" s="137"/>
      <c r="BG118" s="18"/>
      <c r="BH118" s="137"/>
      <c r="BI118" s="18"/>
      <c r="BJ118" s="137"/>
      <c r="BK118" s="172"/>
      <c r="BL118" s="172"/>
      <c r="BM118" s="172"/>
      <c r="BN118" s="172"/>
      <c r="BO118" s="172"/>
      <c r="BP118" s="137"/>
    </row>
    <row r="119" spans="1:68">
      <c r="A119" s="6" t="s">
        <v>3</v>
      </c>
      <c r="C119" s="7" t="s">
        <v>460</v>
      </c>
      <c r="D119" s="8"/>
      <c r="E119" s="8"/>
      <c r="F119" s="8"/>
      <c r="G119" s="8"/>
      <c r="H119" s="8"/>
      <c r="I119" s="8"/>
      <c r="J119" s="8"/>
      <c r="K119" s="8"/>
      <c r="N119" s="2"/>
      <c r="O119" s="7" t="s">
        <v>118</v>
      </c>
      <c r="P119" s="8"/>
      <c r="Q119" s="8"/>
      <c r="R119" s="8"/>
      <c r="S119" s="8"/>
      <c r="T119" s="8"/>
      <c r="U119" s="8"/>
      <c r="V119" s="8"/>
      <c r="W119" s="8"/>
      <c r="X119" s="2"/>
      <c r="Y119" s="2"/>
      <c r="AA119" s="25">
        <f t="shared" si="43"/>
        <v>2004</v>
      </c>
      <c r="AB119" s="137">
        <f t="shared" ref="AB119:AL119" si="54">AB69-AB29</f>
        <v>0</v>
      </c>
      <c r="AC119" s="137">
        <f t="shared" si="54"/>
        <v>0</v>
      </c>
      <c r="AD119" s="137">
        <f t="shared" si="54"/>
        <v>38619.730000000003</v>
      </c>
      <c r="AE119" s="137">
        <f t="shared" si="54"/>
        <v>0</v>
      </c>
      <c r="AF119" s="137">
        <f t="shared" si="54"/>
        <v>0</v>
      </c>
      <c r="AG119" s="137">
        <f t="shared" si="54"/>
        <v>0</v>
      </c>
      <c r="AH119" s="137">
        <f t="shared" si="54"/>
        <v>0</v>
      </c>
      <c r="AI119" s="137">
        <f t="shared" si="54"/>
        <v>0</v>
      </c>
      <c r="AJ119" s="137">
        <f t="shared" si="54"/>
        <v>0</v>
      </c>
      <c r="AK119" s="137">
        <f t="shared" si="54"/>
        <v>0</v>
      </c>
      <c r="AL119" s="137">
        <f t="shared" si="54"/>
        <v>38619.730000000447</v>
      </c>
      <c r="AM119" s="61"/>
      <c r="AN119" s="18"/>
      <c r="AO119" s="31"/>
      <c r="AP119" s="61"/>
      <c r="AR119" s="25">
        <f t="shared" si="38"/>
        <v>2016</v>
      </c>
      <c r="AS119" s="137"/>
      <c r="AT119" s="20">
        <f t="shared" si="36"/>
        <v>1496958.4700000007</v>
      </c>
      <c r="AU119" s="137"/>
      <c r="AV119" s="20">
        <f t="shared" si="36"/>
        <v>0</v>
      </c>
      <c r="AW119" s="20">
        <f t="shared" si="36"/>
        <v>407406.94999999972</v>
      </c>
      <c r="AX119" s="20">
        <f t="shared" si="36"/>
        <v>2943137.2800000003</v>
      </c>
      <c r="AY119" s="20">
        <f t="shared" si="36"/>
        <v>0</v>
      </c>
      <c r="AZ119" s="20">
        <f t="shared" si="36"/>
        <v>0</v>
      </c>
      <c r="BA119" s="20">
        <f t="shared" si="36"/>
        <v>500283.86050000042</v>
      </c>
      <c r="BB119" s="172"/>
      <c r="BC119" s="137">
        <f t="shared" si="37"/>
        <v>5347786.5605000015</v>
      </c>
      <c r="BE119" s="25"/>
      <c r="BF119" s="137"/>
      <c r="BG119" s="18"/>
      <c r="BH119" s="137"/>
      <c r="BI119" s="18"/>
      <c r="BJ119" s="137"/>
      <c r="BK119" s="172"/>
      <c r="BL119" s="172"/>
      <c r="BM119" s="172"/>
      <c r="BN119" s="172"/>
      <c r="BO119" s="172"/>
      <c r="BP119" s="137"/>
    </row>
    <row r="120" spans="1:68">
      <c r="A120" s="6" t="s">
        <v>4</v>
      </c>
      <c r="C120" s="2" t="s">
        <v>115</v>
      </c>
      <c r="E120" s="2" t="s">
        <v>646</v>
      </c>
      <c r="G120" s="2" t="s">
        <v>505</v>
      </c>
      <c r="I120" s="2" t="s">
        <v>329</v>
      </c>
      <c r="K120" s="2" t="s">
        <v>478</v>
      </c>
      <c r="M120" s="2" t="s">
        <v>0</v>
      </c>
      <c r="O120" s="2" t="s">
        <v>115</v>
      </c>
      <c r="Q120" s="2" t="s">
        <v>646</v>
      </c>
      <c r="S120" s="2" t="s">
        <v>505</v>
      </c>
      <c r="U120" s="2" t="s">
        <v>329</v>
      </c>
      <c r="W120" s="2" t="s">
        <v>478</v>
      </c>
      <c r="Y120" s="2" t="s">
        <v>0</v>
      </c>
      <c r="AA120" s="25">
        <f t="shared" si="43"/>
        <v>2005</v>
      </c>
      <c r="AB120" s="137">
        <f t="shared" ref="AB120:AL120" si="55">AB70-AB30</f>
        <v>0</v>
      </c>
      <c r="AC120" s="137">
        <f t="shared" si="55"/>
        <v>0</v>
      </c>
      <c r="AD120" s="137">
        <f t="shared" si="55"/>
        <v>0</v>
      </c>
      <c r="AE120" s="137">
        <f t="shared" si="55"/>
        <v>0</v>
      </c>
      <c r="AF120" s="137">
        <f t="shared" si="55"/>
        <v>0</v>
      </c>
      <c r="AG120" s="137">
        <f t="shared" si="55"/>
        <v>0</v>
      </c>
      <c r="AH120" s="137">
        <f t="shared" si="55"/>
        <v>0</v>
      </c>
      <c r="AI120" s="137">
        <f t="shared" si="55"/>
        <v>0</v>
      </c>
      <c r="AJ120" s="137">
        <f t="shared" si="55"/>
        <v>0</v>
      </c>
      <c r="AK120" s="137">
        <f t="shared" si="55"/>
        <v>0</v>
      </c>
      <c r="AL120" s="137">
        <f t="shared" si="55"/>
        <v>0</v>
      </c>
      <c r="AM120" s="61"/>
      <c r="AN120" s="18"/>
      <c r="AO120" s="31"/>
      <c r="AP120" s="61"/>
      <c r="AR120" s="25">
        <f t="shared" si="38"/>
        <v>2017</v>
      </c>
      <c r="AS120" s="137"/>
      <c r="AT120" s="20">
        <f t="shared" si="36"/>
        <v>1525488.1899999995</v>
      </c>
      <c r="AU120" s="137"/>
      <c r="AV120" s="20">
        <f t="shared" si="36"/>
        <v>105727.12</v>
      </c>
      <c r="AW120" s="20">
        <f t="shared" si="36"/>
        <v>9000</v>
      </c>
      <c r="AX120" s="20">
        <f t="shared" si="36"/>
        <v>1625752.8100000005</v>
      </c>
      <c r="AY120" s="20">
        <f t="shared" si="36"/>
        <v>0</v>
      </c>
      <c r="AZ120" s="20">
        <f t="shared" si="36"/>
        <v>239400</v>
      </c>
      <c r="BA120" s="20">
        <f t="shared" si="36"/>
        <v>1764594.9894999992</v>
      </c>
      <c r="BB120" s="172"/>
      <c r="BC120" s="137">
        <f t="shared" si="37"/>
        <v>5269963.1094999993</v>
      </c>
      <c r="BE120" s="25"/>
      <c r="BF120" s="137"/>
      <c r="BG120" s="18"/>
      <c r="BH120" s="137"/>
      <c r="BI120" s="18"/>
      <c r="BJ120" s="137"/>
      <c r="BK120" s="172"/>
      <c r="BL120" s="172"/>
      <c r="BM120" s="172"/>
      <c r="BN120" s="172"/>
      <c r="BO120" s="172"/>
      <c r="BP120" s="137"/>
    </row>
    <row r="121" spans="1:68">
      <c r="A121" s="9">
        <v>-1</v>
      </c>
      <c r="C121" s="10">
        <v>-2</v>
      </c>
      <c r="E121" s="9">
        <v>-3</v>
      </c>
      <c r="G121" s="9">
        <v>-4</v>
      </c>
      <c r="I121" s="9">
        <v>-5</v>
      </c>
      <c r="K121" s="9">
        <v>-6</v>
      </c>
      <c r="M121" s="9">
        <v>-7</v>
      </c>
      <c r="O121" s="9">
        <v>-8</v>
      </c>
      <c r="Q121" s="9">
        <v>-9</v>
      </c>
      <c r="S121" s="9">
        <v>-10</v>
      </c>
      <c r="U121" s="9">
        <v>-11</v>
      </c>
      <c r="W121" s="9">
        <v>-12</v>
      </c>
      <c r="Y121" s="9">
        <v>-13</v>
      </c>
      <c r="AA121" s="25">
        <f t="shared" si="43"/>
        <v>2006</v>
      </c>
      <c r="AB121" s="137">
        <f t="shared" ref="AB121:AL121" si="56">AB71-AB31</f>
        <v>0</v>
      </c>
      <c r="AC121" s="137">
        <f t="shared" si="56"/>
        <v>0</v>
      </c>
      <c r="AD121" s="137">
        <f t="shared" si="56"/>
        <v>0</v>
      </c>
      <c r="AE121" s="137">
        <f t="shared" si="56"/>
        <v>0</v>
      </c>
      <c r="AF121" s="137">
        <f t="shared" si="56"/>
        <v>0</v>
      </c>
      <c r="AG121" s="137">
        <f t="shared" si="56"/>
        <v>0</v>
      </c>
      <c r="AH121" s="137">
        <f t="shared" si="56"/>
        <v>0</v>
      </c>
      <c r="AI121" s="137">
        <f t="shared" si="56"/>
        <v>0</v>
      </c>
      <c r="AJ121" s="137">
        <f t="shared" si="56"/>
        <v>0</v>
      </c>
      <c r="AK121" s="137">
        <f t="shared" si="56"/>
        <v>0</v>
      </c>
      <c r="AL121" s="137">
        <f t="shared" si="56"/>
        <v>0</v>
      </c>
      <c r="AM121" s="61"/>
      <c r="AN121" s="18"/>
      <c r="AO121" s="31"/>
      <c r="AP121" s="61"/>
      <c r="AR121" s="25">
        <f t="shared" si="38"/>
        <v>2018</v>
      </c>
      <c r="AS121" s="137"/>
      <c r="AT121" s="20">
        <f t="shared" si="36"/>
        <v>4953141.6600000011</v>
      </c>
      <c r="AU121" s="137"/>
      <c r="AV121" s="20">
        <f t="shared" si="36"/>
        <v>518492.20999999996</v>
      </c>
      <c r="AW121" s="20">
        <f t="shared" si="36"/>
        <v>488837.2</v>
      </c>
      <c r="AX121" s="20">
        <f t="shared" si="36"/>
        <v>1809701.1400000001</v>
      </c>
      <c r="AY121" s="20">
        <f t="shared" si="36"/>
        <v>0</v>
      </c>
      <c r="AZ121" s="20">
        <f t="shared" si="36"/>
        <v>0</v>
      </c>
      <c r="BA121" s="20">
        <f t="shared" si="36"/>
        <v>3962324.6380000003</v>
      </c>
      <c r="BB121" s="172"/>
      <c r="BC121" s="137">
        <f t="shared" si="37"/>
        <v>11732496.848000001</v>
      </c>
      <c r="BE121" s="25"/>
      <c r="BF121" s="137"/>
      <c r="BG121" s="18"/>
      <c r="BH121" s="137"/>
      <c r="BI121" s="18"/>
      <c r="BJ121" s="137"/>
      <c r="BK121" s="172"/>
      <c r="BL121" s="172"/>
      <c r="BM121" s="172"/>
      <c r="BN121" s="172"/>
      <c r="BO121" s="172"/>
      <c r="BP121" s="137"/>
    </row>
    <row r="122" spans="1:68">
      <c r="A122" s="11"/>
      <c r="C122" s="11"/>
      <c r="E122" s="11"/>
      <c r="G122" s="11"/>
      <c r="I122" s="11"/>
      <c r="K122" s="11"/>
      <c r="M122" s="11"/>
      <c r="O122" s="11"/>
      <c r="Q122" s="11"/>
      <c r="S122" s="11"/>
      <c r="U122" s="11"/>
      <c r="W122" s="11"/>
      <c r="Y122" s="11"/>
      <c r="AA122" s="25">
        <f t="shared" si="43"/>
        <v>2007</v>
      </c>
      <c r="AB122" s="137">
        <f t="shared" ref="AB122:AL122" si="57">AB72-AB32</f>
        <v>0</v>
      </c>
      <c r="AC122" s="137">
        <f t="shared" si="57"/>
        <v>0</v>
      </c>
      <c r="AD122" s="137">
        <f t="shared" si="57"/>
        <v>0</v>
      </c>
      <c r="AE122" s="137">
        <f t="shared" si="57"/>
        <v>0</v>
      </c>
      <c r="AF122" s="137">
        <f t="shared" si="57"/>
        <v>0</v>
      </c>
      <c r="AG122" s="137">
        <f t="shared" si="57"/>
        <v>0</v>
      </c>
      <c r="AH122" s="137">
        <f t="shared" si="57"/>
        <v>0</v>
      </c>
      <c r="AI122" s="137">
        <f t="shared" si="57"/>
        <v>0</v>
      </c>
      <c r="AJ122" s="137">
        <f t="shared" si="57"/>
        <v>0</v>
      </c>
      <c r="AK122" s="137">
        <f t="shared" si="57"/>
        <v>0</v>
      </c>
      <c r="AL122" s="137">
        <f t="shared" si="57"/>
        <v>0</v>
      </c>
      <c r="AM122" s="61"/>
      <c r="AN122" s="18"/>
      <c r="AO122" s="31"/>
      <c r="AP122" s="61"/>
      <c r="AR122" s="25">
        <f t="shared" si="38"/>
        <v>2019</v>
      </c>
      <c r="AS122" s="137"/>
      <c r="AT122" s="20">
        <f t="shared" si="36"/>
        <v>4139224.99</v>
      </c>
      <c r="AU122" s="137"/>
      <c r="AV122" s="20">
        <f t="shared" si="36"/>
        <v>1215510.2800000003</v>
      </c>
      <c r="AW122" s="20">
        <f t="shared" si="36"/>
        <v>303405.15000000002</v>
      </c>
      <c r="AX122" s="20">
        <f t="shared" si="36"/>
        <v>887985.24999999988</v>
      </c>
      <c r="AY122" s="20">
        <f t="shared" si="36"/>
        <v>0</v>
      </c>
      <c r="AZ122" s="20">
        <f t="shared" si="36"/>
        <v>792033.18500000006</v>
      </c>
      <c r="BA122" s="20">
        <f t="shared" si="36"/>
        <v>793911.66550000012</v>
      </c>
      <c r="BB122" s="172"/>
      <c r="BC122" s="137">
        <f t="shared" si="37"/>
        <v>8132070.5205000006</v>
      </c>
      <c r="BE122" s="25"/>
      <c r="BF122" s="137"/>
      <c r="BG122" s="18"/>
      <c r="BH122" s="137"/>
      <c r="BI122" s="18"/>
      <c r="BJ122" s="137"/>
      <c r="BK122" s="172"/>
      <c r="BL122" s="172"/>
      <c r="BM122" s="172"/>
      <c r="BN122" s="172"/>
      <c r="BO122" s="172"/>
      <c r="BP122" s="137"/>
    </row>
    <row r="123" spans="1:68">
      <c r="AA123" s="25">
        <f t="shared" si="43"/>
        <v>2008</v>
      </c>
      <c r="AB123" s="137">
        <f t="shared" ref="AB123:AL123" si="58">AB73-AB33</f>
        <v>0</v>
      </c>
      <c r="AC123" s="137">
        <f t="shared" si="58"/>
        <v>0</v>
      </c>
      <c r="AD123" s="137">
        <f t="shared" si="58"/>
        <v>0</v>
      </c>
      <c r="AE123" s="137">
        <f t="shared" si="58"/>
        <v>0</v>
      </c>
      <c r="AF123" s="137">
        <f t="shared" si="58"/>
        <v>0</v>
      </c>
      <c r="AG123" s="137">
        <f t="shared" si="58"/>
        <v>0</v>
      </c>
      <c r="AH123" s="137">
        <f t="shared" si="58"/>
        <v>0</v>
      </c>
      <c r="AI123" s="137">
        <f t="shared" si="58"/>
        <v>0</v>
      </c>
      <c r="AJ123" s="137">
        <f t="shared" si="58"/>
        <v>0</v>
      </c>
      <c r="AK123" s="137">
        <f t="shared" si="58"/>
        <v>0</v>
      </c>
      <c r="AL123" s="137">
        <f t="shared" si="58"/>
        <v>0</v>
      </c>
      <c r="AM123" s="61"/>
      <c r="AN123" s="18"/>
      <c r="AO123" s="31"/>
      <c r="AP123" s="61"/>
      <c r="AR123" s="25">
        <f t="shared" si="38"/>
        <v>2020</v>
      </c>
      <c r="AS123" s="137"/>
      <c r="AT123" s="20">
        <f t="shared" si="36"/>
        <v>2490716.5300000003</v>
      </c>
      <c r="AU123" s="137"/>
      <c r="AV123" s="20">
        <f t="shared" si="36"/>
        <v>15277.5</v>
      </c>
      <c r="AW123" s="20">
        <f t="shared" si="36"/>
        <v>74589.060000000012</v>
      </c>
      <c r="AX123" s="20">
        <f t="shared" si="36"/>
        <v>609824.22</v>
      </c>
      <c r="AY123" s="20">
        <f t="shared" si="36"/>
        <v>0</v>
      </c>
      <c r="AZ123" s="20">
        <f t="shared" si="36"/>
        <v>-343463.25</v>
      </c>
      <c r="BA123" s="20">
        <f t="shared" si="36"/>
        <v>259886.68349999998</v>
      </c>
      <c r="BB123" s="172"/>
      <c r="BC123" s="137">
        <f t="shared" si="37"/>
        <v>3106830.7435000003</v>
      </c>
      <c r="BE123" s="25"/>
      <c r="BF123" s="137"/>
      <c r="BG123" s="18"/>
      <c r="BH123" s="137"/>
      <c r="BI123" s="18"/>
      <c r="BJ123" s="137"/>
      <c r="BK123" s="172"/>
      <c r="BL123" s="172"/>
      <c r="BM123" s="172"/>
      <c r="BN123" s="172"/>
      <c r="BO123" s="172"/>
      <c r="BP123" s="137"/>
    </row>
    <row r="124" spans="1:68">
      <c r="A124" s="6">
        <v>1994</v>
      </c>
      <c r="C124" s="147"/>
      <c r="D124" s="147"/>
      <c r="E124" s="494"/>
      <c r="F124" s="187"/>
      <c r="G124" s="494"/>
      <c r="H124" s="187"/>
      <c r="I124" s="494"/>
      <c r="J124" s="147"/>
      <c r="K124" s="594"/>
      <c r="L124" s="147"/>
      <c r="M124" s="497"/>
      <c r="N124" s="147"/>
      <c r="O124" s="147"/>
      <c r="P124" s="147"/>
      <c r="Q124" s="147"/>
      <c r="R124" s="147"/>
      <c r="S124" s="147"/>
      <c r="T124" s="147"/>
      <c r="U124" s="147"/>
      <c r="V124" s="147"/>
      <c r="W124" s="147"/>
      <c r="X124" s="147"/>
      <c r="Y124" s="497"/>
      <c r="AA124" s="25">
        <f t="shared" si="43"/>
        <v>2009</v>
      </c>
      <c r="AB124" s="137">
        <f t="shared" ref="AB124:AL124" si="59">AB74-AB34</f>
        <v>0</v>
      </c>
      <c r="AC124" s="137">
        <f t="shared" si="59"/>
        <v>0</v>
      </c>
      <c r="AD124" s="137">
        <f t="shared" si="59"/>
        <v>0</v>
      </c>
      <c r="AE124" s="137">
        <f t="shared" si="59"/>
        <v>0</v>
      </c>
      <c r="AF124" s="137">
        <f t="shared" si="59"/>
        <v>0</v>
      </c>
      <c r="AG124" s="137">
        <f t="shared" si="59"/>
        <v>0</v>
      </c>
      <c r="AH124" s="137">
        <f t="shared" si="59"/>
        <v>0</v>
      </c>
      <c r="AI124" s="137">
        <f t="shared" si="59"/>
        <v>0</v>
      </c>
      <c r="AJ124" s="137">
        <f t="shared" si="59"/>
        <v>0</v>
      </c>
      <c r="AK124" s="137">
        <f t="shared" si="59"/>
        <v>0</v>
      </c>
      <c r="AL124" s="137">
        <f t="shared" si="59"/>
        <v>0</v>
      </c>
      <c r="AM124" s="61"/>
      <c r="AN124" s="18"/>
      <c r="AO124" s="31"/>
      <c r="AP124" s="61"/>
      <c r="AR124" s="25">
        <f t="shared" si="38"/>
        <v>2021</v>
      </c>
      <c r="AS124" s="137"/>
      <c r="AT124" s="20">
        <f t="shared" si="36"/>
        <v>1649212.9199999997</v>
      </c>
      <c r="AU124" s="137"/>
      <c r="AV124" s="20">
        <f t="shared" si="36"/>
        <v>7286</v>
      </c>
      <c r="AW124" s="20">
        <f t="shared" si="36"/>
        <v>39200</v>
      </c>
      <c r="AX124" s="20">
        <f t="shared" si="36"/>
        <v>338575.12</v>
      </c>
      <c r="AY124" s="20">
        <f t="shared" si="36"/>
        <v>0</v>
      </c>
      <c r="AZ124" s="20">
        <f t="shared" si="36"/>
        <v>1368304.554</v>
      </c>
      <c r="BA124" s="20">
        <f t="shared" si="36"/>
        <v>133618.3455</v>
      </c>
      <c r="BB124" s="172"/>
      <c r="BC124" s="137">
        <f t="shared" si="37"/>
        <v>3536196.9394999994</v>
      </c>
      <c r="BE124" s="25"/>
      <c r="BF124" s="137"/>
      <c r="BG124" s="18"/>
      <c r="BH124" s="137"/>
      <c r="BI124" s="18"/>
      <c r="BJ124" s="137"/>
      <c r="BK124" s="172"/>
      <c r="BL124" s="172"/>
      <c r="BM124" s="172"/>
      <c r="BN124" s="172"/>
      <c r="BO124" s="172"/>
      <c r="BP124" s="137"/>
    </row>
    <row r="125" spans="1:68">
      <c r="A125" s="6">
        <f>A124+1</f>
        <v>1995</v>
      </c>
      <c r="C125" s="494"/>
      <c r="D125" s="187"/>
      <c r="E125" s="494"/>
      <c r="F125" s="187"/>
      <c r="G125" s="494"/>
      <c r="H125" s="187"/>
      <c r="I125" s="494"/>
      <c r="J125" s="187"/>
      <c r="K125" s="494"/>
      <c r="L125" s="187"/>
      <c r="M125" s="494"/>
      <c r="N125" s="187"/>
      <c r="O125" s="494"/>
      <c r="P125" s="187"/>
      <c r="Q125" s="187"/>
      <c r="R125" s="187"/>
      <c r="S125" s="187"/>
      <c r="T125" s="187"/>
      <c r="U125" s="187"/>
      <c r="V125" s="187"/>
      <c r="W125" s="187"/>
      <c r="X125" s="187"/>
      <c r="Y125" s="494"/>
      <c r="AA125" s="25">
        <f t="shared" si="43"/>
        <v>2010</v>
      </c>
      <c r="AB125" s="137">
        <f t="shared" ref="AB125:AL125" si="60">AB75-AB35</f>
        <v>99000</v>
      </c>
      <c r="AC125" s="137">
        <f t="shared" si="60"/>
        <v>0</v>
      </c>
      <c r="AD125" s="137">
        <f t="shared" si="60"/>
        <v>0</v>
      </c>
      <c r="AE125" s="137">
        <f t="shared" si="60"/>
        <v>0</v>
      </c>
      <c r="AF125" s="137">
        <f t="shared" si="60"/>
        <v>0</v>
      </c>
      <c r="AG125" s="137">
        <f t="shared" si="60"/>
        <v>344718.89999999851</v>
      </c>
      <c r="AH125" s="137">
        <f t="shared" si="60"/>
        <v>0</v>
      </c>
      <c r="AI125" s="137">
        <f t="shared" si="60"/>
        <v>0</v>
      </c>
      <c r="AJ125" s="137">
        <f t="shared" si="60"/>
        <v>0</v>
      </c>
      <c r="AK125" s="137">
        <f t="shared" si="60"/>
        <v>0</v>
      </c>
      <c r="AL125" s="137">
        <f t="shared" si="60"/>
        <v>443718.89999999851</v>
      </c>
      <c r="AM125" s="61"/>
      <c r="AN125" s="18"/>
      <c r="AO125" s="31"/>
      <c r="AP125" s="61"/>
      <c r="AR125" s="25">
        <f t="shared" si="38"/>
        <v>2022</v>
      </c>
      <c r="AS125" s="137"/>
      <c r="AT125" s="20">
        <f t="shared" si="36"/>
        <v>2025146.27</v>
      </c>
      <c r="AU125" s="137"/>
      <c r="AV125" s="20">
        <f t="shared" si="36"/>
        <v>12050</v>
      </c>
      <c r="AW125" s="20">
        <f t="shared" si="36"/>
        <v>152552.01999999999</v>
      </c>
      <c r="AX125" s="20">
        <f t="shared" si="36"/>
        <v>28000</v>
      </c>
      <c r="AY125" s="20">
        <f t="shared" si="36"/>
        <v>0</v>
      </c>
      <c r="AZ125" s="20">
        <f t="shared" si="36"/>
        <v>215409.65</v>
      </c>
      <c r="BA125" s="20">
        <f t="shared" si="36"/>
        <v>0</v>
      </c>
      <c r="BB125" s="172"/>
      <c r="BC125" s="137">
        <f t="shared" si="37"/>
        <v>2433157.94</v>
      </c>
      <c r="BE125" s="25"/>
      <c r="BF125" s="137"/>
      <c r="BG125" s="18"/>
      <c r="BH125" s="137"/>
      <c r="BI125" s="18"/>
      <c r="BJ125" s="137"/>
      <c r="BK125" s="172"/>
      <c r="BL125" s="172"/>
      <c r="BM125" s="172"/>
      <c r="BN125" s="172"/>
      <c r="BO125" s="172"/>
      <c r="BP125" s="137"/>
    </row>
    <row r="126" spans="1:68">
      <c r="A126" s="6">
        <f t="shared" ref="A126:A152" si="61">A125+1</f>
        <v>1996</v>
      </c>
      <c r="C126" s="494"/>
      <c r="D126" s="187"/>
      <c r="E126" s="494"/>
      <c r="F126" s="187"/>
      <c r="G126" s="494"/>
      <c r="H126" s="187"/>
      <c r="I126" s="494"/>
      <c r="J126" s="187"/>
      <c r="K126" s="494"/>
      <c r="L126" s="187"/>
      <c r="M126" s="494"/>
      <c r="N126" s="187"/>
      <c r="O126" s="494"/>
      <c r="P126" s="187"/>
      <c r="Q126" s="187"/>
      <c r="R126" s="187"/>
      <c r="S126" s="187"/>
      <c r="T126" s="187"/>
      <c r="U126" s="187"/>
      <c r="V126" s="187"/>
      <c r="W126" s="187"/>
      <c r="X126" s="187"/>
      <c r="Y126" s="494"/>
      <c r="AA126" s="25">
        <f t="shared" si="43"/>
        <v>2011</v>
      </c>
      <c r="AB126" s="137">
        <f t="shared" ref="AB126:AL126" si="62">AB76-AB36</f>
        <v>0</v>
      </c>
      <c r="AC126" s="137">
        <f t="shared" si="62"/>
        <v>0</v>
      </c>
      <c r="AD126" s="137">
        <f t="shared" si="62"/>
        <v>0</v>
      </c>
      <c r="AE126" s="137">
        <f t="shared" si="62"/>
        <v>0</v>
      </c>
      <c r="AF126" s="137">
        <f t="shared" si="62"/>
        <v>0</v>
      </c>
      <c r="AG126" s="137">
        <f t="shared" si="62"/>
        <v>2239258.3600000013</v>
      </c>
      <c r="AH126" s="137">
        <f t="shared" si="62"/>
        <v>0</v>
      </c>
      <c r="AI126" s="137">
        <f t="shared" si="62"/>
        <v>0</v>
      </c>
      <c r="AJ126" s="137">
        <f t="shared" si="62"/>
        <v>0</v>
      </c>
      <c r="AK126" s="137">
        <f t="shared" si="62"/>
        <v>0</v>
      </c>
      <c r="AL126" s="137">
        <f t="shared" si="62"/>
        <v>2239258.3599999994</v>
      </c>
      <c r="AM126" s="61"/>
      <c r="AN126" s="18"/>
      <c r="AO126" s="31"/>
      <c r="AP126" s="61"/>
      <c r="AR126" s="25"/>
      <c r="AS126" s="137"/>
      <c r="AT126" s="233"/>
      <c r="AU126" s="233"/>
      <c r="AV126" s="233"/>
      <c r="AW126" s="233"/>
      <c r="AX126" s="233"/>
      <c r="AY126" s="233"/>
      <c r="AZ126" s="233"/>
      <c r="BA126" s="233"/>
      <c r="BB126" s="233"/>
      <c r="BC126" s="233"/>
      <c r="BD126" s="61"/>
      <c r="BE126" s="25"/>
      <c r="BF126" s="137"/>
      <c r="BG126" s="18"/>
      <c r="BH126" s="137"/>
      <c r="BI126" s="18"/>
      <c r="BJ126" s="137"/>
      <c r="BK126" s="172"/>
      <c r="BL126" s="172"/>
      <c r="BM126" s="172"/>
      <c r="BN126" s="172"/>
      <c r="BO126" s="61"/>
      <c r="BP126" s="137"/>
    </row>
    <row r="127" spans="1:68">
      <c r="A127" s="6">
        <f t="shared" si="61"/>
        <v>1997</v>
      </c>
      <c r="C127" s="494"/>
      <c r="D127" s="187"/>
      <c r="E127" s="494"/>
      <c r="F127" s="187"/>
      <c r="G127" s="494"/>
      <c r="H127" s="187"/>
      <c r="I127" s="494"/>
      <c r="J127" s="187"/>
      <c r="K127" s="494"/>
      <c r="L127" s="187"/>
      <c r="M127" s="494"/>
      <c r="N127" s="187"/>
      <c r="O127" s="494"/>
      <c r="P127" s="187"/>
      <c r="Q127" s="187"/>
      <c r="R127" s="187"/>
      <c r="S127" s="187"/>
      <c r="T127" s="187"/>
      <c r="U127" s="187"/>
      <c r="V127" s="187"/>
      <c r="W127" s="187"/>
      <c r="X127" s="187"/>
      <c r="Y127" s="494"/>
      <c r="AA127" s="25">
        <f t="shared" si="43"/>
        <v>2012</v>
      </c>
      <c r="AB127" s="137">
        <f t="shared" ref="AB127:AL127" si="63">AB77-AB37</f>
        <v>1016491.6699999999</v>
      </c>
      <c r="AC127" s="137">
        <f t="shared" si="63"/>
        <v>1000000</v>
      </c>
      <c r="AD127" s="137">
        <f t="shared" si="63"/>
        <v>0</v>
      </c>
      <c r="AE127" s="137">
        <f t="shared" si="63"/>
        <v>0</v>
      </c>
      <c r="AF127" s="137">
        <f t="shared" si="63"/>
        <v>0</v>
      </c>
      <c r="AG127" s="137">
        <f t="shared" si="63"/>
        <v>3417630.3300000019</v>
      </c>
      <c r="AH127" s="137">
        <f t="shared" si="63"/>
        <v>0</v>
      </c>
      <c r="AI127" s="137">
        <f t="shared" si="63"/>
        <v>0</v>
      </c>
      <c r="AJ127" s="137">
        <f t="shared" si="63"/>
        <v>987551.52399999998</v>
      </c>
      <c r="AK127" s="137">
        <f t="shared" si="63"/>
        <v>0</v>
      </c>
      <c r="AL127" s="137">
        <f t="shared" si="63"/>
        <v>6421673.5240000039</v>
      </c>
      <c r="AM127" s="61"/>
      <c r="AN127" s="18"/>
      <c r="AO127" s="31"/>
      <c r="AP127" s="61"/>
      <c r="AR127" s="97" t="s">
        <v>0</v>
      </c>
      <c r="AS127" s="137"/>
      <c r="AT127" s="16">
        <f>SUM(AT97:AT125)</f>
        <v>22683727.039999999</v>
      </c>
      <c r="AU127" s="18"/>
      <c r="AV127" s="16">
        <f t="shared" ref="AV127:BA127" si="64">SUM(AV97:AV125)</f>
        <v>1912962.8400000003</v>
      </c>
      <c r="AW127" s="16">
        <f t="shared" si="64"/>
        <v>1474990.38</v>
      </c>
      <c r="AX127" s="16">
        <f t="shared" si="64"/>
        <v>15058439.4</v>
      </c>
      <c r="AY127" s="16">
        <f t="shared" si="64"/>
        <v>0</v>
      </c>
      <c r="AZ127" s="16">
        <f t="shared" si="64"/>
        <v>2271684.139</v>
      </c>
      <c r="BA127" s="16">
        <f t="shared" si="64"/>
        <v>8437715.0065000001</v>
      </c>
      <c r="BB127" s="18"/>
      <c r="BC127" s="223">
        <f>SUM(BC97:BC126)</f>
        <v>51839518.805500001</v>
      </c>
      <c r="BE127" s="25"/>
      <c r="BF127" s="137"/>
      <c r="BG127" s="18"/>
      <c r="BH127" s="137"/>
      <c r="BI127" s="18"/>
      <c r="BJ127" s="137"/>
      <c r="BK127" s="172"/>
      <c r="BL127" s="172"/>
      <c r="BM127" s="172"/>
      <c r="BN127" s="172"/>
      <c r="BO127" s="61"/>
      <c r="BP127" s="137"/>
    </row>
    <row r="128" spans="1:68">
      <c r="A128" s="6">
        <f t="shared" si="61"/>
        <v>1998</v>
      </c>
      <c r="C128" s="494"/>
      <c r="D128" s="187"/>
      <c r="E128" s="494"/>
      <c r="F128" s="187"/>
      <c r="G128" s="494"/>
      <c r="H128" s="187"/>
      <c r="I128" s="494"/>
      <c r="J128" s="187"/>
      <c r="K128" s="494"/>
      <c r="L128" s="187"/>
      <c r="M128" s="494"/>
      <c r="N128" s="187"/>
      <c r="O128" s="494"/>
      <c r="P128" s="187"/>
      <c r="Q128" s="187"/>
      <c r="R128" s="187"/>
      <c r="S128" s="187"/>
      <c r="T128" s="187"/>
      <c r="U128" s="187"/>
      <c r="V128" s="187"/>
      <c r="W128" s="187"/>
      <c r="X128" s="187"/>
      <c r="Y128" s="494"/>
      <c r="AA128" s="25">
        <f t="shared" si="43"/>
        <v>2013</v>
      </c>
      <c r="AB128" s="137">
        <f t="shared" ref="AB128:AL128" si="65">AB78-AB38</f>
        <v>1288346.3399999999</v>
      </c>
      <c r="AC128" s="137">
        <f t="shared" si="65"/>
        <v>1000000</v>
      </c>
      <c r="AD128" s="137">
        <f t="shared" si="65"/>
        <v>0</v>
      </c>
      <c r="AE128" s="137">
        <f t="shared" si="65"/>
        <v>0</v>
      </c>
      <c r="AF128" s="137">
        <f t="shared" si="65"/>
        <v>0</v>
      </c>
      <c r="AG128" s="137">
        <f t="shared" si="65"/>
        <v>1088855.9899999998</v>
      </c>
      <c r="AH128" s="137">
        <f t="shared" si="65"/>
        <v>0</v>
      </c>
      <c r="AI128" s="137">
        <f t="shared" si="65"/>
        <v>0</v>
      </c>
      <c r="AJ128" s="137">
        <f t="shared" si="65"/>
        <v>35543.299999999988</v>
      </c>
      <c r="AK128" s="137">
        <f t="shared" si="65"/>
        <v>0</v>
      </c>
      <c r="AL128" s="137">
        <f t="shared" si="65"/>
        <v>3412745.629999999</v>
      </c>
      <c r="AM128" s="61"/>
      <c r="AN128" s="18"/>
      <c r="AO128" s="31"/>
      <c r="AP128" s="61"/>
      <c r="AR128" s="25"/>
      <c r="AS128" s="137"/>
      <c r="AT128" s="18"/>
      <c r="AU128" s="18"/>
      <c r="AV128" s="18"/>
      <c r="AW128" s="18"/>
      <c r="AX128" s="18"/>
      <c r="AY128" s="18"/>
      <c r="AZ128" s="18"/>
      <c r="BA128" s="18"/>
      <c r="BB128" s="18"/>
      <c r="BC128" s="18"/>
      <c r="BE128" s="25"/>
      <c r="BF128" s="137"/>
      <c r="BG128" s="18"/>
      <c r="BH128" s="137"/>
      <c r="BI128" s="18"/>
      <c r="BJ128" s="137"/>
      <c r="BK128" s="172"/>
      <c r="BL128" s="172"/>
      <c r="BM128" s="172"/>
      <c r="BN128" s="172"/>
      <c r="BO128" s="61"/>
      <c r="BP128" s="137"/>
    </row>
    <row r="129" spans="1:68">
      <c r="A129" s="6">
        <f t="shared" si="61"/>
        <v>1999</v>
      </c>
      <c r="C129" s="494"/>
      <c r="D129" s="187"/>
      <c r="E129" s="494"/>
      <c r="F129" s="187"/>
      <c r="G129" s="494"/>
      <c r="H129" s="187"/>
      <c r="I129" s="494"/>
      <c r="J129" s="187"/>
      <c r="K129" s="494"/>
      <c r="L129" s="187"/>
      <c r="M129" s="494"/>
      <c r="N129" s="187"/>
      <c r="O129" s="494"/>
      <c r="P129" s="187"/>
      <c r="Q129" s="187"/>
      <c r="R129" s="187"/>
      <c r="S129" s="187"/>
      <c r="T129" s="187"/>
      <c r="U129" s="187"/>
      <c r="V129" s="187"/>
      <c r="W129" s="187"/>
      <c r="X129" s="187"/>
      <c r="Y129" s="494"/>
      <c r="AA129" s="25">
        <f t="shared" si="43"/>
        <v>2014</v>
      </c>
      <c r="AB129" s="137">
        <f t="shared" ref="AB129:AL129" si="66">AB79-AB39</f>
        <v>1049172.4699999988</v>
      </c>
      <c r="AC129" s="137">
        <f t="shared" si="66"/>
        <v>1000000</v>
      </c>
      <c r="AD129" s="137">
        <f t="shared" si="66"/>
        <v>0</v>
      </c>
      <c r="AE129" s="137">
        <f t="shared" si="66"/>
        <v>0</v>
      </c>
      <c r="AF129" s="137">
        <f t="shared" si="66"/>
        <v>407406.95000000019</v>
      </c>
      <c r="AG129" s="137">
        <f t="shared" si="66"/>
        <v>3436470.2800000003</v>
      </c>
      <c r="AH129" s="137">
        <f t="shared" si="66"/>
        <v>0</v>
      </c>
      <c r="AI129" s="137">
        <f t="shared" si="66"/>
        <v>0</v>
      </c>
      <c r="AJ129" s="137">
        <f t="shared" si="66"/>
        <v>500283.86050000042</v>
      </c>
      <c r="AK129" s="137">
        <f t="shared" si="66"/>
        <v>0</v>
      </c>
      <c r="AL129" s="137">
        <f t="shared" si="66"/>
        <v>6393333.5604999959</v>
      </c>
      <c r="AM129" s="61"/>
      <c r="AN129" s="18"/>
      <c r="AO129" s="31"/>
      <c r="AP129" s="61"/>
      <c r="AR129" s="61"/>
      <c r="AS129" s="61"/>
      <c r="AT129" s="18"/>
      <c r="AU129" s="18"/>
      <c r="AV129" s="18"/>
      <c r="AW129" s="18"/>
      <c r="AX129" s="18"/>
      <c r="AY129" s="18"/>
      <c r="AZ129" s="18"/>
      <c r="BA129" s="18"/>
      <c r="BB129" s="18"/>
      <c r="BC129" s="18"/>
      <c r="BE129" s="61"/>
      <c r="BF129" s="61"/>
      <c r="BG129" s="233"/>
      <c r="BH129" s="172"/>
      <c r="BI129" s="233"/>
      <c r="BJ129" s="233"/>
      <c r="BK129" s="233"/>
      <c r="BL129" s="172"/>
      <c r="BM129" s="233"/>
      <c r="BN129" s="233"/>
      <c r="BO129" s="61"/>
      <c r="BP129" s="233"/>
    </row>
    <row r="130" spans="1:68">
      <c r="A130" s="6">
        <f t="shared" si="61"/>
        <v>2000</v>
      </c>
      <c r="C130" s="494"/>
      <c r="D130" s="187"/>
      <c r="E130" s="494"/>
      <c r="F130" s="187"/>
      <c r="G130" s="494"/>
      <c r="H130" s="187"/>
      <c r="I130" s="494"/>
      <c r="J130" s="187"/>
      <c r="K130" s="494"/>
      <c r="L130" s="187"/>
      <c r="M130" s="494"/>
      <c r="N130" s="187"/>
      <c r="O130" s="494"/>
      <c r="P130" s="187"/>
      <c r="Q130" s="187"/>
      <c r="R130" s="187"/>
      <c r="S130" s="187"/>
      <c r="T130" s="187"/>
      <c r="U130" s="187"/>
      <c r="V130" s="187"/>
      <c r="W130" s="187"/>
      <c r="X130" s="187"/>
      <c r="Y130" s="494"/>
      <c r="AA130" s="25">
        <f t="shared" si="43"/>
        <v>2015</v>
      </c>
      <c r="AB130" s="137">
        <f t="shared" ref="AB130:AL130" si="67">AB80-AB40</f>
        <v>1495648.1899999995</v>
      </c>
      <c r="AC130" s="137">
        <f t="shared" si="67"/>
        <v>250000</v>
      </c>
      <c r="AD130" s="137">
        <f t="shared" si="67"/>
        <v>105727.12</v>
      </c>
      <c r="AE130" s="137">
        <f t="shared" si="67"/>
        <v>0</v>
      </c>
      <c r="AF130" s="137">
        <f t="shared" si="67"/>
        <v>9000</v>
      </c>
      <c r="AG130" s="137">
        <f t="shared" si="67"/>
        <v>1625752.8099999996</v>
      </c>
      <c r="AH130" s="137">
        <f t="shared" si="67"/>
        <v>0</v>
      </c>
      <c r="AI130" s="137">
        <f t="shared" si="67"/>
        <v>239400</v>
      </c>
      <c r="AJ130" s="137">
        <f t="shared" si="67"/>
        <v>1764594.9894999992</v>
      </c>
      <c r="AK130" s="137">
        <f t="shared" si="67"/>
        <v>0</v>
      </c>
      <c r="AL130" s="137">
        <f t="shared" si="67"/>
        <v>5490123.1095000021</v>
      </c>
      <c r="AM130" s="61"/>
      <c r="AN130" s="18"/>
      <c r="AO130" s="31"/>
      <c r="AP130" s="61"/>
      <c r="AR130" s="97"/>
      <c r="AS130" s="223"/>
      <c r="AT130" s="18"/>
      <c r="AU130" s="18"/>
      <c r="AV130" s="18"/>
      <c r="AW130" s="18"/>
      <c r="AX130" s="18"/>
      <c r="AY130" s="18"/>
      <c r="AZ130" s="18"/>
      <c r="BA130" s="18"/>
      <c r="BB130" s="18"/>
      <c r="BC130" s="18"/>
      <c r="BE130" s="97"/>
      <c r="BF130" s="223"/>
      <c r="BG130" s="223"/>
      <c r="BH130" s="223"/>
      <c r="BI130" s="223"/>
      <c r="BJ130" s="223"/>
      <c r="BK130" s="223"/>
      <c r="BL130" s="223"/>
      <c r="BM130" s="223"/>
      <c r="BN130" s="223"/>
      <c r="BO130" s="223"/>
      <c r="BP130" s="223"/>
    </row>
    <row r="131" spans="1:68">
      <c r="A131" s="6">
        <f t="shared" si="61"/>
        <v>2001</v>
      </c>
      <c r="C131" s="494"/>
      <c r="D131" s="187"/>
      <c r="E131" s="494"/>
      <c r="F131" s="187"/>
      <c r="G131" s="494"/>
      <c r="H131" s="187"/>
      <c r="I131" s="494"/>
      <c r="J131" s="187"/>
      <c r="K131" s="494"/>
      <c r="L131" s="187"/>
      <c r="M131" s="494"/>
      <c r="N131" s="187"/>
      <c r="O131" s="494"/>
      <c r="P131" s="187"/>
      <c r="Q131" s="187"/>
      <c r="R131" s="187"/>
      <c r="S131" s="187"/>
      <c r="T131" s="187"/>
      <c r="U131" s="187"/>
      <c r="V131" s="187"/>
      <c r="W131" s="187"/>
      <c r="X131" s="187"/>
      <c r="Y131" s="494"/>
      <c r="AA131" s="25">
        <f t="shared" si="43"/>
        <v>2016</v>
      </c>
      <c r="AB131" s="137">
        <f t="shared" ref="AB131:AL131" si="68">AB81-AB41</f>
        <v>3953141.6600000011</v>
      </c>
      <c r="AC131" s="137">
        <f t="shared" si="68"/>
        <v>3000000</v>
      </c>
      <c r="AD131" s="137">
        <f t="shared" si="68"/>
        <v>518492.20999999996</v>
      </c>
      <c r="AE131" s="137">
        <f t="shared" si="68"/>
        <v>0</v>
      </c>
      <c r="AF131" s="137">
        <f t="shared" si="68"/>
        <v>488837.2</v>
      </c>
      <c r="AG131" s="137">
        <f t="shared" si="68"/>
        <v>1809701.1400000001</v>
      </c>
      <c r="AH131" s="137">
        <f t="shared" si="68"/>
        <v>0</v>
      </c>
      <c r="AI131" s="137">
        <f t="shared" si="68"/>
        <v>0</v>
      </c>
      <c r="AJ131" s="137">
        <f t="shared" si="68"/>
        <v>3962324.6380000012</v>
      </c>
      <c r="AK131" s="137">
        <f t="shared" si="68"/>
        <v>0</v>
      </c>
      <c r="AL131" s="137">
        <f t="shared" si="68"/>
        <v>13732496.848000001</v>
      </c>
      <c r="AM131" s="61"/>
      <c r="AN131" s="18"/>
      <c r="AO131" s="31"/>
      <c r="AP131" s="61"/>
      <c r="AR131" s="61"/>
      <c r="AS131" s="61"/>
      <c r="AT131" s="18"/>
      <c r="AU131" s="18"/>
      <c r="AV131" s="18"/>
      <c r="AW131" s="18"/>
      <c r="AX131" s="18"/>
      <c r="AY131" s="18"/>
      <c r="AZ131" s="18"/>
      <c r="BA131" s="18"/>
      <c r="BB131" s="18"/>
      <c r="BC131" s="18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</row>
    <row r="132" spans="1:68">
      <c r="A132" s="6">
        <f t="shared" si="61"/>
        <v>2002</v>
      </c>
      <c r="C132" s="494"/>
      <c r="D132" s="187"/>
      <c r="E132" s="494"/>
      <c r="F132" s="187"/>
      <c r="G132" s="494"/>
      <c r="H132" s="187"/>
      <c r="I132" s="494"/>
      <c r="J132" s="187"/>
      <c r="K132" s="494"/>
      <c r="L132" s="187"/>
      <c r="M132" s="494"/>
      <c r="N132" s="187"/>
      <c r="O132" s="494"/>
      <c r="P132" s="187"/>
      <c r="Q132" s="187"/>
      <c r="R132" s="187"/>
      <c r="S132" s="187"/>
      <c r="T132" s="187"/>
      <c r="U132" s="187"/>
      <c r="V132" s="187"/>
      <c r="W132" s="187"/>
      <c r="X132" s="187"/>
      <c r="Y132" s="494"/>
      <c r="AA132" s="25">
        <f t="shared" si="43"/>
        <v>2017</v>
      </c>
      <c r="AB132" s="137">
        <f t="shared" ref="AB132:AL132" si="69">AB82-AB42</f>
        <v>3331725.9899999993</v>
      </c>
      <c r="AC132" s="137">
        <f t="shared" si="69"/>
        <v>1000000</v>
      </c>
      <c r="AD132" s="137">
        <f t="shared" si="69"/>
        <v>806510.28000000014</v>
      </c>
      <c r="AE132" s="137">
        <f t="shared" si="69"/>
        <v>500000</v>
      </c>
      <c r="AF132" s="137">
        <f t="shared" si="69"/>
        <v>303405.15000000002</v>
      </c>
      <c r="AG132" s="137">
        <f t="shared" si="69"/>
        <v>887985.24999999988</v>
      </c>
      <c r="AH132" s="137">
        <f t="shared" si="69"/>
        <v>0</v>
      </c>
      <c r="AI132" s="137">
        <f t="shared" si="69"/>
        <v>1426408.1850000001</v>
      </c>
      <c r="AJ132" s="137">
        <f t="shared" si="69"/>
        <v>793911.66550000012</v>
      </c>
      <c r="AK132" s="137">
        <f t="shared" si="69"/>
        <v>0</v>
      </c>
      <c r="AL132" s="137">
        <f t="shared" si="69"/>
        <v>9049946.5205000006</v>
      </c>
      <c r="AM132" s="61"/>
      <c r="AN132" s="18"/>
      <c r="AO132" s="31"/>
      <c r="AP132" s="61"/>
      <c r="AT132" s="18"/>
      <c r="AU132" s="18"/>
      <c r="AV132" s="18"/>
      <c r="AW132" s="18"/>
      <c r="AX132" s="18"/>
      <c r="AY132" s="18"/>
      <c r="AZ132" s="18"/>
      <c r="BA132" s="18"/>
      <c r="BB132" s="18"/>
      <c r="BC132" s="18"/>
      <c r="BG132" s="160"/>
      <c r="BH132" s="61"/>
      <c r="BI132" s="223"/>
      <c r="BJ132" s="223"/>
      <c r="BK132" s="223"/>
      <c r="BL132" s="61"/>
      <c r="BM132" s="223"/>
      <c r="BN132" s="223"/>
      <c r="BO132" s="61"/>
      <c r="BP132" s="223"/>
    </row>
    <row r="133" spans="1:68">
      <c r="A133" s="6">
        <f t="shared" si="61"/>
        <v>2003</v>
      </c>
      <c r="C133" s="494"/>
      <c r="D133" s="187"/>
      <c r="E133" s="494"/>
      <c r="F133" s="187"/>
      <c r="G133" s="494"/>
      <c r="H133" s="187"/>
      <c r="I133" s="494"/>
      <c r="J133" s="187"/>
      <c r="K133" s="494"/>
      <c r="L133" s="187"/>
      <c r="M133" s="494"/>
      <c r="N133" s="187"/>
      <c r="O133" s="494"/>
      <c r="P133" s="187"/>
      <c r="Q133" s="187"/>
      <c r="R133" s="187"/>
      <c r="S133" s="187"/>
      <c r="T133" s="187"/>
      <c r="U133" s="187"/>
      <c r="V133" s="187"/>
      <c r="W133" s="187"/>
      <c r="X133" s="187"/>
      <c r="Y133" s="494"/>
      <c r="AA133" s="25">
        <f t="shared" si="43"/>
        <v>2018</v>
      </c>
      <c r="AB133" s="137">
        <f t="shared" ref="AB133:AL133" si="70">AB83-AB43</f>
        <v>2240716.5300000003</v>
      </c>
      <c r="AC133" s="137">
        <f t="shared" si="70"/>
        <v>250000</v>
      </c>
      <c r="AD133" s="137">
        <f t="shared" si="70"/>
        <v>15277.5</v>
      </c>
      <c r="AE133" s="137">
        <f t="shared" si="70"/>
        <v>0</v>
      </c>
      <c r="AF133" s="137">
        <f t="shared" si="70"/>
        <v>74589.060000000012</v>
      </c>
      <c r="AG133" s="137">
        <f t="shared" si="70"/>
        <v>609824.22</v>
      </c>
      <c r="AH133" s="137">
        <f t="shared" si="70"/>
        <v>0</v>
      </c>
      <c r="AI133" s="137">
        <f t="shared" si="70"/>
        <v>35344.75</v>
      </c>
      <c r="AJ133" s="137">
        <f t="shared" si="70"/>
        <v>259886.68349999998</v>
      </c>
      <c r="AK133" s="137">
        <f t="shared" si="70"/>
        <v>0</v>
      </c>
      <c r="AL133" s="137">
        <f t="shared" si="70"/>
        <v>3485638.7434999999</v>
      </c>
      <c r="AM133" s="61"/>
      <c r="AN133" s="18"/>
      <c r="AO133" s="31"/>
      <c r="AP133" s="61"/>
      <c r="AR133" s="25" t="str">
        <f>AR93</f>
        <v>Year</v>
      </c>
    </row>
    <row r="134" spans="1:68">
      <c r="A134" s="6">
        <f t="shared" si="61"/>
        <v>2004</v>
      </c>
      <c r="C134" s="494"/>
      <c r="D134" s="187"/>
      <c r="E134" s="494"/>
      <c r="F134" s="187"/>
      <c r="G134" s="494"/>
      <c r="H134" s="187"/>
      <c r="I134" s="494"/>
      <c r="J134" s="187"/>
      <c r="K134" s="494"/>
      <c r="L134" s="187"/>
      <c r="M134" s="494"/>
      <c r="N134" s="187"/>
      <c r="O134" s="494"/>
      <c r="P134" s="187"/>
      <c r="Q134" s="187"/>
      <c r="R134" s="187"/>
      <c r="S134" s="187"/>
      <c r="T134" s="187"/>
      <c r="U134" s="187"/>
      <c r="V134" s="187"/>
      <c r="W134" s="187"/>
      <c r="X134" s="187"/>
      <c r="Y134" s="494"/>
      <c r="AA134" s="25">
        <f t="shared" si="43"/>
        <v>2019</v>
      </c>
      <c r="AB134" s="137">
        <f t="shared" ref="AB134:AL134" si="71">AB84-AB44</f>
        <v>1649212.9199999997</v>
      </c>
      <c r="AC134" s="137">
        <f t="shared" si="71"/>
        <v>0</v>
      </c>
      <c r="AD134" s="137">
        <f t="shared" si="71"/>
        <v>7286</v>
      </c>
      <c r="AE134" s="137">
        <f t="shared" si="71"/>
        <v>0</v>
      </c>
      <c r="AF134" s="137">
        <f t="shared" si="71"/>
        <v>39200</v>
      </c>
      <c r="AG134" s="137">
        <f t="shared" si="71"/>
        <v>338575.12</v>
      </c>
      <c r="AH134" s="137">
        <f t="shared" si="71"/>
        <v>0</v>
      </c>
      <c r="AI134" s="137">
        <f t="shared" si="71"/>
        <v>2138654.554</v>
      </c>
      <c r="AJ134" s="137">
        <f t="shared" si="71"/>
        <v>133618.3455</v>
      </c>
      <c r="AK134" s="137">
        <f t="shared" si="71"/>
        <v>0</v>
      </c>
      <c r="AL134" s="137">
        <f t="shared" si="71"/>
        <v>4306546.9394999994</v>
      </c>
      <c r="AM134" s="61"/>
      <c r="AN134" s="18"/>
      <c r="AO134" s="31"/>
      <c r="AP134" s="61"/>
      <c r="BO134" s="61"/>
      <c r="BP134" s="223"/>
    </row>
    <row r="135" spans="1:68">
      <c r="A135" s="6">
        <f t="shared" si="61"/>
        <v>2005</v>
      </c>
      <c r="C135" s="494"/>
      <c r="D135" s="187"/>
      <c r="E135" s="494"/>
      <c r="F135" s="187"/>
      <c r="G135" s="494"/>
      <c r="H135" s="187"/>
      <c r="I135" s="494"/>
      <c r="J135" s="187"/>
      <c r="K135" s="494"/>
      <c r="L135" s="187"/>
      <c r="M135" s="494"/>
      <c r="N135" s="187"/>
      <c r="O135" s="494"/>
      <c r="P135" s="187"/>
      <c r="Q135" s="494"/>
      <c r="R135" s="187"/>
      <c r="S135" s="187"/>
      <c r="T135" s="187"/>
      <c r="U135" s="187"/>
      <c r="V135" s="187"/>
      <c r="W135" s="187"/>
      <c r="X135" s="187"/>
      <c r="Y135" s="494"/>
      <c r="AA135" s="25">
        <f t="shared" si="43"/>
        <v>2020</v>
      </c>
      <c r="AB135" s="137">
        <f t="shared" ref="AB135:AL135" si="72">AB85-AB45</f>
        <v>2025146.27</v>
      </c>
      <c r="AC135" s="137">
        <f t="shared" si="72"/>
        <v>0</v>
      </c>
      <c r="AD135" s="137">
        <f t="shared" si="72"/>
        <v>12050</v>
      </c>
      <c r="AE135" s="137">
        <f t="shared" si="72"/>
        <v>0</v>
      </c>
      <c r="AF135" s="137">
        <f t="shared" si="72"/>
        <v>152552.01999999999</v>
      </c>
      <c r="AG135" s="137">
        <f t="shared" si="72"/>
        <v>28000</v>
      </c>
      <c r="AH135" s="137">
        <f t="shared" si="72"/>
        <v>0</v>
      </c>
      <c r="AI135" s="137">
        <f t="shared" si="72"/>
        <v>215409.65</v>
      </c>
      <c r="AJ135" s="137">
        <f t="shared" si="72"/>
        <v>0</v>
      </c>
      <c r="AK135" s="137">
        <f t="shared" si="72"/>
        <v>0</v>
      </c>
      <c r="AL135" s="137">
        <f t="shared" si="72"/>
        <v>2433157.94</v>
      </c>
      <c r="AM135" s="61"/>
      <c r="AN135" s="18"/>
      <c r="AO135" s="31"/>
      <c r="AP135" s="61"/>
    </row>
    <row r="136" spans="1:68">
      <c r="A136" s="6">
        <f t="shared" si="61"/>
        <v>2006</v>
      </c>
      <c r="C136" s="494"/>
      <c r="D136" s="187"/>
      <c r="E136" s="494"/>
      <c r="F136" s="187"/>
      <c r="G136" s="494"/>
      <c r="H136" s="187"/>
      <c r="I136" s="494"/>
      <c r="J136" s="187"/>
      <c r="K136" s="494"/>
      <c r="L136" s="187"/>
      <c r="M136" s="494"/>
      <c r="N136" s="187"/>
      <c r="O136" s="494"/>
      <c r="P136" s="187"/>
      <c r="Q136" s="494"/>
      <c r="R136" s="187"/>
      <c r="S136" s="494"/>
      <c r="T136" s="187"/>
      <c r="U136" s="187"/>
      <c r="V136" s="187"/>
      <c r="W136" s="187"/>
      <c r="X136" s="187"/>
      <c r="Y136" s="494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18"/>
      <c r="AO136" s="31"/>
      <c r="AP136" s="61"/>
    </row>
    <row r="137" spans="1:68">
      <c r="A137" s="6">
        <f t="shared" si="61"/>
        <v>2007</v>
      </c>
      <c r="C137" s="494"/>
      <c r="D137" s="187"/>
      <c r="E137" s="494"/>
      <c r="F137" s="187"/>
      <c r="G137" s="494"/>
      <c r="H137" s="187"/>
      <c r="I137" s="494"/>
      <c r="J137" s="187"/>
      <c r="K137" s="494"/>
      <c r="L137" s="187"/>
      <c r="M137" s="494"/>
      <c r="N137" s="187"/>
      <c r="O137" s="494"/>
      <c r="P137" s="187"/>
      <c r="Q137" s="494"/>
      <c r="R137" s="187"/>
      <c r="S137" s="494"/>
      <c r="T137" s="187"/>
      <c r="U137" s="187"/>
      <c r="V137" s="187"/>
      <c r="W137" s="187"/>
      <c r="X137" s="187"/>
      <c r="Y137" s="494"/>
      <c r="AA137" s="97" t="s">
        <v>0</v>
      </c>
      <c r="AB137" s="223">
        <f>SUM(AB107:AB136)</f>
        <v>18148602.039999999</v>
      </c>
      <c r="AC137" s="223">
        <f>SUM(AC107:AC136)</f>
        <v>7500000</v>
      </c>
      <c r="AD137" s="223">
        <f t="shared" ref="AD137:AJ137" si="73">SUM(AD107:AD136)</f>
        <v>1503962.84</v>
      </c>
      <c r="AE137" s="223">
        <f t="shared" si="73"/>
        <v>500000</v>
      </c>
      <c r="AF137" s="122">
        <f t="shared" si="73"/>
        <v>1474990.3800000004</v>
      </c>
      <c r="AG137" s="223">
        <f t="shared" si="73"/>
        <v>15826772.400000002</v>
      </c>
      <c r="AH137" s="223">
        <f t="shared" si="73"/>
        <v>0</v>
      </c>
      <c r="AI137" s="223">
        <f t="shared" si="73"/>
        <v>4055217.139</v>
      </c>
      <c r="AJ137" s="223">
        <f t="shared" si="73"/>
        <v>8437715.006500002</v>
      </c>
      <c r="AK137" s="223"/>
      <c r="AL137" s="223">
        <f>SUM(AL107:AL136)</f>
        <v>57447259.805500001</v>
      </c>
      <c r="AM137" s="61"/>
      <c r="AN137" s="18"/>
      <c r="AO137" s="31"/>
      <c r="AP137" s="61"/>
    </row>
    <row r="138" spans="1:68">
      <c r="A138" s="6">
        <f t="shared" si="61"/>
        <v>2008</v>
      </c>
      <c r="C138" s="494"/>
      <c r="D138" s="187"/>
      <c r="E138" s="187"/>
      <c r="F138" s="187"/>
      <c r="G138" s="187"/>
      <c r="H138" s="187"/>
      <c r="I138" s="494"/>
      <c r="J138" s="187"/>
      <c r="K138" s="494"/>
      <c r="L138" s="187"/>
      <c r="M138" s="494"/>
      <c r="N138" s="187"/>
      <c r="O138" s="494"/>
      <c r="P138" s="187"/>
      <c r="Q138" s="187"/>
      <c r="R138" s="187"/>
      <c r="S138" s="187"/>
      <c r="T138" s="187"/>
      <c r="U138" s="187"/>
      <c r="V138" s="187"/>
      <c r="W138" s="187"/>
      <c r="X138" s="187"/>
      <c r="Y138" s="494"/>
      <c r="AA138" s="97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18"/>
      <c r="AO138" s="31"/>
      <c r="AP138" s="61"/>
    </row>
    <row r="139" spans="1:68">
      <c r="A139" s="6">
        <f t="shared" si="61"/>
        <v>2009</v>
      </c>
      <c r="C139" s="494"/>
      <c r="D139" s="187"/>
      <c r="E139" s="187"/>
      <c r="F139" s="187"/>
      <c r="G139" s="187"/>
      <c r="H139" s="187"/>
      <c r="I139" s="494"/>
      <c r="J139" s="187"/>
      <c r="K139" s="494"/>
      <c r="L139" s="187"/>
      <c r="M139" s="494"/>
      <c r="N139" s="187"/>
      <c r="O139" s="494"/>
      <c r="P139" s="187"/>
      <c r="Q139" s="187"/>
      <c r="R139" s="187"/>
      <c r="S139" s="187"/>
      <c r="T139" s="187"/>
      <c r="U139" s="187"/>
      <c r="V139" s="187"/>
      <c r="W139" s="187"/>
      <c r="X139" s="187"/>
      <c r="Y139" s="494"/>
      <c r="AB139" s="61"/>
      <c r="AC139" s="61"/>
      <c r="AD139" s="61" t="s">
        <v>548</v>
      </c>
      <c r="AE139" s="223">
        <f>SUM(AB137:AE137)</f>
        <v>27652564.879999999</v>
      </c>
      <c r="AF139" s="61" t="s">
        <v>549</v>
      </c>
      <c r="AG139" s="160">
        <f>AF137+AG137</f>
        <v>17301762.780000001</v>
      </c>
      <c r="AH139" s="61"/>
      <c r="AI139" s="61"/>
      <c r="AJ139" s="61"/>
      <c r="AK139" s="61"/>
      <c r="AL139" s="61"/>
      <c r="AM139" s="61"/>
      <c r="AN139" s="61"/>
      <c r="AO139" s="61"/>
      <c r="AP139" s="61"/>
    </row>
    <row r="140" spans="1:68">
      <c r="A140" s="6">
        <f t="shared" si="61"/>
        <v>2010</v>
      </c>
      <c r="C140" s="494"/>
      <c r="D140" s="187"/>
      <c r="E140" s="187"/>
      <c r="F140" s="187"/>
      <c r="G140" s="187"/>
      <c r="H140" s="187"/>
      <c r="I140" s="494"/>
      <c r="J140" s="187"/>
      <c r="K140" s="494"/>
      <c r="L140" s="187"/>
      <c r="M140" s="494"/>
      <c r="N140" s="187"/>
      <c r="O140" s="494"/>
      <c r="P140" s="187"/>
      <c r="Q140" s="187"/>
      <c r="R140" s="187"/>
      <c r="S140" s="187"/>
      <c r="T140" s="187"/>
      <c r="U140" s="187"/>
      <c r="V140" s="187"/>
      <c r="W140" s="187"/>
      <c r="X140" s="187"/>
      <c r="Y140" s="494"/>
      <c r="AB140" s="61"/>
      <c r="AC140" s="61"/>
      <c r="AD140" s="84" t="s">
        <v>546</v>
      </c>
      <c r="AE140" s="84">
        <f>AE92</f>
        <v>0</v>
      </c>
      <c r="AF140" s="84" t="s">
        <v>547</v>
      </c>
      <c r="AG140" s="84">
        <f>AG92</f>
        <v>21002297.8069482</v>
      </c>
      <c r="AH140" s="84">
        <f>AH90</f>
        <v>0</v>
      </c>
      <c r="AI140" s="84">
        <f>AI90</f>
        <v>0</v>
      </c>
      <c r="AJ140" s="84">
        <f>AJ90</f>
        <v>0</v>
      </c>
      <c r="AK140" s="61"/>
      <c r="AL140" s="223">
        <f>AE140+AG140+AH140+AI140+AJ140</f>
        <v>21002297.8069482</v>
      </c>
      <c r="AM140" s="61"/>
      <c r="AN140" s="61"/>
      <c r="AO140" s="61"/>
      <c r="AP140" s="61"/>
    </row>
    <row r="141" spans="1:68">
      <c r="A141" s="6">
        <f t="shared" si="61"/>
        <v>2011</v>
      </c>
      <c r="C141" s="494">
        <f>'Exhibit M,3'!P33+'Exhibit O,3'!P33</f>
        <v>28885807.900000032</v>
      </c>
      <c r="E141" s="17" cm="1">
        <f t="array" ref="E141:E152">'Exhibit U,5'!V20:V31</f>
        <v>2347564.830000001</v>
      </c>
      <c r="F141" s="187"/>
      <c r="G141" s="187">
        <f>'Exhibit U,8'!V20</f>
        <v>6435696.0700000077</v>
      </c>
      <c r="H141" s="187"/>
      <c r="J141" s="187"/>
      <c r="L141" s="187"/>
      <c r="M141" s="494">
        <f>SUM(C141:K141)</f>
        <v>37669068.800000042</v>
      </c>
      <c r="N141" s="187"/>
      <c r="O141" s="494">
        <f>'Exhibit M,3'!Q33+'Exhibit O,3'!Q33</f>
        <v>23678339.668964908</v>
      </c>
      <c r="P141" s="187"/>
      <c r="Q141" s="17" cm="1">
        <f t="array" ref="Q141:Q152">'Exhibit U,5'!V39:V50</f>
        <v>1924351.1426819335</v>
      </c>
      <c r="R141" s="187"/>
      <c r="S141" s="17">
        <f>'Exhibit U,8'!V39</f>
        <v>5275483.3127475921</v>
      </c>
      <c r="T141" s="187"/>
      <c r="U141" s="494"/>
      <c r="V141" s="187"/>
      <c r="W141" s="187"/>
      <c r="X141" s="187"/>
      <c r="Y141" s="494">
        <f t="shared" ref="Y141:Y152" si="74">SUM(O141:W141)</f>
        <v>30878174.124394432</v>
      </c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</row>
    <row r="142" spans="1:68">
      <c r="A142" s="6">
        <f t="shared" si="61"/>
        <v>2012</v>
      </c>
      <c r="C142" s="494">
        <f>'Exhibit M,3'!P34+'Exhibit O,3'!P34</f>
        <v>27469311.299999967</v>
      </c>
      <c r="E142" s="17">
        <v>2872338.1099999971</v>
      </c>
      <c r="F142" s="187"/>
      <c r="G142" s="187">
        <f>'Exhibit U,8'!V21</f>
        <v>9294169.459999999</v>
      </c>
      <c r="H142" s="187"/>
      <c r="J142" s="502"/>
      <c r="K142" s="494"/>
      <c r="L142" s="187"/>
      <c r="M142" s="494">
        <f t="shared" ref="M142:M152" si="75">SUM(C142:K142)</f>
        <v>39635818.86999996</v>
      </c>
      <c r="N142" s="187"/>
      <c r="O142" s="494">
        <f>'Exhibit M,3'!Q34+'Exhibit O,3'!Q34</f>
        <v>22553163.477067176</v>
      </c>
      <c r="P142" s="187"/>
      <c r="Q142" s="17">
        <v>2358279.3994635087</v>
      </c>
      <c r="R142" s="187"/>
      <c r="S142" s="17">
        <f>'Exhibit U,8'!V40</f>
        <v>7630803.7331443904</v>
      </c>
      <c r="T142" s="187"/>
      <c r="U142" s="494"/>
      <c r="V142" s="187"/>
      <c r="W142" s="494"/>
      <c r="X142" s="187"/>
      <c r="Y142" s="494">
        <f t="shared" si="74"/>
        <v>32542246.609675076</v>
      </c>
      <c r="AA142" s="121" t="s">
        <v>545</v>
      </c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</row>
    <row r="143" spans="1:68">
      <c r="A143" s="6">
        <f t="shared" si="61"/>
        <v>2013</v>
      </c>
      <c r="C143" s="494">
        <f>'Exhibit M,3'!P35+'Exhibit O,3'!P35</f>
        <v>28641545.22000004</v>
      </c>
      <c r="E143" s="17">
        <v>2483025.370000002</v>
      </c>
      <c r="F143" s="187"/>
      <c r="G143" s="187">
        <f>'Exhibit U,8'!V22</f>
        <v>10085012.299999949</v>
      </c>
      <c r="H143" s="187"/>
      <c r="I143" s="1">
        <f>'Exhibit B,2'!Z58</f>
        <v>0</v>
      </c>
      <c r="J143" s="187"/>
      <c r="K143" s="494">
        <f>'Exhibit B,3'!AP58</f>
        <v>0</v>
      </c>
      <c r="L143" s="187"/>
      <c r="M143" s="494">
        <f t="shared" si="75"/>
        <v>41209582.889999986</v>
      </c>
      <c r="N143" s="187"/>
      <c r="O143" s="494">
        <f>'Exhibit M,3'!Q35+'Exhibit O,3'!Q35</f>
        <v>23733860.463974666</v>
      </c>
      <c r="P143" s="187"/>
      <c r="Q143" s="17">
        <v>2057562.7888588139</v>
      </c>
      <c r="R143" s="187"/>
      <c r="S143" s="17">
        <f>'Exhibit U,8'!V41</f>
        <v>8356960.9414274003</v>
      </c>
      <c r="T143" s="187"/>
      <c r="U143" s="1">
        <f>'Exhibit B,2'!Z58*0.95</f>
        <v>0</v>
      </c>
      <c r="V143" s="187"/>
      <c r="W143" s="494">
        <f>'Exhibit B,3'!AP58*0.95</f>
        <v>0</v>
      </c>
      <c r="X143" s="187"/>
      <c r="Y143" s="494">
        <f t="shared" si="74"/>
        <v>34148384.19426088</v>
      </c>
      <c r="AA143" s="25" t="s">
        <v>3</v>
      </c>
      <c r="AB143" s="61"/>
      <c r="AC143" s="255" t="s">
        <v>460</v>
      </c>
      <c r="AD143" s="256"/>
      <c r="AE143" s="256"/>
      <c r="AF143" s="256"/>
      <c r="AG143" s="256"/>
      <c r="AH143" s="256"/>
      <c r="AI143" s="256"/>
      <c r="AJ143" s="256"/>
      <c r="AK143" s="256"/>
      <c r="AL143" s="61"/>
    </row>
    <row r="144" spans="1:68">
      <c r="A144" s="6">
        <f t="shared" si="61"/>
        <v>2014</v>
      </c>
      <c r="C144" s="494">
        <f>'Exhibit M,3'!P36+'Exhibit O,3'!P36</f>
        <v>23480312.92999991</v>
      </c>
      <c r="E144" s="17">
        <v>3591317.23</v>
      </c>
      <c r="F144" s="187"/>
      <c r="G144" s="187">
        <f>'Exhibit U,8'!V23</f>
        <v>10240662.590000011</v>
      </c>
      <c r="H144" s="187"/>
      <c r="I144" s="17">
        <f>'Exhibit B,2'!Z59</f>
        <v>1079445.3898708611</v>
      </c>
      <c r="J144" s="187"/>
      <c r="K144" s="494">
        <f>'Exhibit B,3'!AP59</f>
        <v>38585.950000000004</v>
      </c>
      <c r="L144" s="187"/>
      <c r="M144" s="494">
        <f t="shared" si="75"/>
        <v>38430324.089870788</v>
      </c>
      <c r="N144" s="187"/>
      <c r="O144" s="494">
        <f>'Exhibit M,3'!Q36+'Exhibit O,3'!Q36</f>
        <v>19309321.774854653</v>
      </c>
      <c r="P144" s="187"/>
      <c r="Q144" s="17">
        <v>2953363.5346507272</v>
      </c>
      <c r="R144" s="187"/>
      <c r="S144" s="17">
        <f>'Exhibit U,8'!V42</f>
        <v>8421533.8069613818</v>
      </c>
      <c r="T144" s="187"/>
      <c r="U144" s="17">
        <f>'Exhibit B,2'!Z59*0.95</f>
        <v>1025473.120377318</v>
      </c>
      <c r="V144" s="17"/>
      <c r="W144" s="20">
        <f>'Exhibit B,3'!AP59*0.95</f>
        <v>36656.652500000004</v>
      </c>
      <c r="X144" s="187"/>
      <c r="Y144" s="494">
        <f t="shared" si="74"/>
        <v>31746348.889344078</v>
      </c>
      <c r="AA144" s="25" t="s">
        <v>4</v>
      </c>
      <c r="AB144" s="97" t="s">
        <v>516</v>
      </c>
      <c r="AC144" s="97" t="s">
        <v>517</v>
      </c>
      <c r="AD144" s="25" t="s">
        <v>518</v>
      </c>
      <c r="AE144" s="97" t="s">
        <v>519</v>
      </c>
      <c r="AF144" s="97" t="s">
        <v>520</v>
      </c>
      <c r="AG144" s="97" t="s">
        <v>521</v>
      </c>
      <c r="AH144" s="25" t="s">
        <v>522</v>
      </c>
      <c r="AI144" s="97" t="s">
        <v>329</v>
      </c>
      <c r="AJ144" s="97" t="s">
        <v>478</v>
      </c>
      <c r="AK144" s="97"/>
      <c r="AL144" s="97" t="s">
        <v>0</v>
      </c>
    </row>
    <row r="145" spans="1:38">
      <c r="A145" s="6">
        <f t="shared" si="61"/>
        <v>2015</v>
      </c>
      <c r="C145" s="494">
        <f>'Exhibit M,3'!P37+'Exhibit O,3'!P37</f>
        <v>20861100.75000016</v>
      </c>
      <c r="E145" s="17">
        <v>3461301.9600000018</v>
      </c>
      <c r="F145" s="187"/>
      <c r="G145" s="187">
        <f>'Exhibit U,8'!V24</f>
        <v>9968876.8200000003</v>
      </c>
      <c r="H145" s="187"/>
      <c r="I145" s="17">
        <f>'Exhibit B,2'!Z60</f>
        <v>1242835.5200000005</v>
      </c>
      <c r="J145" s="187"/>
      <c r="K145" s="494">
        <f>'Exhibit B,3'!AP60</f>
        <v>46751.11</v>
      </c>
      <c r="L145" s="187"/>
      <c r="M145" s="494">
        <f t="shared" si="75"/>
        <v>35580866.160000168</v>
      </c>
      <c r="N145" s="187"/>
      <c r="O145" s="494">
        <f>'Exhibit M,3'!Q37+'Exhibit O,3'!Q37</f>
        <v>17945659.654706024</v>
      </c>
      <c r="P145" s="187"/>
      <c r="Q145" s="17">
        <v>2977568.043063425</v>
      </c>
      <c r="R145" s="187"/>
      <c r="S145" s="17">
        <f>'Exhibit U,8'!V43</f>
        <v>8575677.4148845784</v>
      </c>
      <c r="T145" s="187"/>
      <c r="U145" s="17">
        <f>'Exhibit B,2'!Z60*0.95</f>
        <v>1180693.7440000004</v>
      </c>
      <c r="V145" s="17"/>
      <c r="W145" s="20">
        <f>'Exhibit B,3'!AP60*0.95</f>
        <v>44413.554499999998</v>
      </c>
      <c r="X145" s="187"/>
      <c r="Y145" s="494">
        <f t="shared" si="74"/>
        <v>30724012.411154024</v>
      </c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</row>
    <row r="146" spans="1:38">
      <c r="A146" s="6">
        <f t="shared" si="61"/>
        <v>2016</v>
      </c>
      <c r="C146" s="494">
        <f>'Exhibit M,3'!P38+'Exhibit O,3'!P38</f>
        <v>19712822.810000014</v>
      </c>
      <c r="E146" s="17">
        <v>3133438.399999999</v>
      </c>
      <c r="F146" s="187"/>
      <c r="G146" s="187">
        <f>'Exhibit U,8'!V25</f>
        <v>11089131.659999976</v>
      </c>
      <c r="H146" s="187"/>
      <c r="I146" s="17">
        <f>'Exhibit B,2'!Z61</f>
        <v>1936056.34</v>
      </c>
      <c r="J146" s="187"/>
      <c r="K146" s="494">
        <f>'Exhibit B,3'!AP61</f>
        <v>233663.86</v>
      </c>
      <c r="L146" s="187"/>
      <c r="M146" s="494">
        <f t="shared" si="75"/>
        <v>36105113.069999993</v>
      </c>
      <c r="N146" s="187"/>
      <c r="O146" s="494">
        <f>'Exhibit M,3'!Q38+'Exhibit O,3'!Q38</f>
        <v>16685923.09332389</v>
      </c>
      <c r="P146" s="187"/>
      <c r="Q146" s="17">
        <v>2652299.6053890777</v>
      </c>
      <c r="R146" s="187"/>
      <c r="S146" s="17">
        <f>'Exhibit U,8'!V44</f>
        <v>9386397.8707625065</v>
      </c>
      <c r="T146" s="187"/>
      <c r="U146" s="17">
        <f>'Exhibit B,2'!Z61*0.95</f>
        <v>1839253.523</v>
      </c>
      <c r="V146" s="17"/>
      <c r="W146" s="20">
        <f>'Exhibit B,3'!AP61*0.95</f>
        <v>221980.66699999999</v>
      </c>
      <c r="X146" s="187"/>
      <c r="Y146" s="494">
        <f t="shared" si="74"/>
        <v>30785854.759475473</v>
      </c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</row>
    <row r="147" spans="1:38">
      <c r="A147" s="6">
        <f t="shared" si="61"/>
        <v>2017</v>
      </c>
      <c r="C147" s="494">
        <f>'Exhibit M,3'!P39+'Exhibit O,3'!P39</f>
        <v>16650586.729999973</v>
      </c>
      <c r="E147" s="17">
        <v>2328348.7299999991</v>
      </c>
      <c r="F147" s="187"/>
      <c r="G147" s="187">
        <f>'Exhibit U,8'!V26</f>
        <v>11045038.820000034</v>
      </c>
      <c r="H147" s="187"/>
      <c r="I147" s="17">
        <f>'Exhibit B,2'!Z62</f>
        <v>1052800.8200000003</v>
      </c>
      <c r="J147" s="187"/>
      <c r="K147" s="494">
        <f>'Exhibit B,3'!AP62</f>
        <v>1519405.8900000046</v>
      </c>
      <c r="L147" s="187"/>
      <c r="M147" s="494">
        <f t="shared" si="75"/>
        <v>32596180.99000001</v>
      </c>
      <c r="N147" s="187"/>
      <c r="O147" s="494">
        <f>'Exhibit M,3'!Q39+'Exhibit O,3'!Q39</f>
        <v>14756933.852819238</v>
      </c>
      <c r="P147" s="187"/>
      <c r="Q147" s="17">
        <v>2063548.1951515423</v>
      </c>
      <c r="R147" s="187"/>
      <c r="S147" s="17">
        <f>'Exhibit U,8'!V45</f>
        <v>9788898.7284090389</v>
      </c>
      <c r="T147" s="187"/>
      <c r="U147" s="17">
        <f>'Exhibit B,2'!Z62*0.95</f>
        <v>1000160.7790000002</v>
      </c>
      <c r="V147" s="17"/>
      <c r="W147" s="20">
        <f>'Exhibit B,3'!AP62*0.95</f>
        <v>1443435.5955000042</v>
      </c>
      <c r="X147" s="187"/>
      <c r="Y147" s="494">
        <f t="shared" si="74"/>
        <v>29052977.150879819</v>
      </c>
      <c r="AA147" s="25">
        <v>1992</v>
      </c>
      <c r="AB147" s="160"/>
      <c r="AC147" s="160"/>
      <c r="AD147" s="160"/>
      <c r="AE147" s="160"/>
      <c r="AF147" s="160"/>
      <c r="AG147" s="160"/>
      <c r="AH147" s="160"/>
      <c r="AI147" s="160"/>
      <c r="AJ147" s="160"/>
      <c r="AK147" s="160"/>
      <c r="AL147" s="160"/>
    </row>
    <row r="148" spans="1:38">
      <c r="A148" s="6">
        <f t="shared" si="61"/>
        <v>2018</v>
      </c>
      <c r="C148" s="494">
        <f>'Exhibit M,3'!P40+'Exhibit O,3'!P40</f>
        <v>15660695.689999986</v>
      </c>
      <c r="E148" s="17">
        <v>1529273.7700000005</v>
      </c>
      <c r="F148" s="187"/>
      <c r="G148" s="187">
        <f>'Exhibit U,8'!V27</f>
        <v>7536562.6900000451</v>
      </c>
      <c r="H148" s="187"/>
      <c r="I148" s="17">
        <f>'Exhibit B,2'!Z63</f>
        <v>1472534.7200000007</v>
      </c>
      <c r="J148" s="187"/>
      <c r="K148" s="494">
        <f>'Exhibit B,3'!AP63</f>
        <v>4287862.9699999793</v>
      </c>
      <c r="L148" s="187"/>
      <c r="M148" s="494">
        <f t="shared" si="75"/>
        <v>30486929.840000015</v>
      </c>
      <c r="N148" s="187"/>
      <c r="O148" s="494">
        <f>'Exhibit M,3'!Q40+'Exhibit O,3'!Q40</f>
        <v>13494180.04971738</v>
      </c>
      <c r="P148" s="187"/>
      <c r="Q148" s="17">
        <v>1317712.5720453935</v>
      </c>
      <c r="R148" s="187"/>
      <c r="S148" s="17">
        <f>'Exhibit U,8'!V46</f>
        <v>6493947.3895647256</v>
      </c>
      <c r="T148" s="187"/>
      <c r="U148" s="17">
        <f>'Exhibit B,2'!Z63*0.95</f>
        <v>1398907.9840000006</v>
      </c>
      <c r="V148" s="17"/>
      <c r="W148" s="20">
        <f>'Exhibit B,3'!AP63*0.95</f>
        <v>4073469.8214999801</v>
      </c>
      <c r="X148" s="187"/>
      <c r="Y148" s="494">
        <f t="shared" si="74"/>
        <v>26778217.81682748</v>
      </c>
      <c r="AA148" s="25">
        <f>AA147+1</f>
        <v>1993</v>
      </c>
      <c r="AB148" s="137"/>
      <c r="AC148" s="137"/>
      <c r="AD148" s="137"/>
      <c r="AE148" s="137"/>
      <c r="AF148" s="137"/>
      <c r="AG148" s="137"/>
      <c r="AH148" s="137"/>
      <c r="AI148" s="137"/>
      <c r="AJ148" s="137"/>
      <c r="AK148" s="137"/>
      <c r="AL148" s="137"/>
    </row>
    <row r="149" spans="1:38">
      <c r="A149" s="6">
        <f t="shared" si="61"/>
        <v>2019</v>
      </c>
      <c r="C149" s="494">
        <f>'Exhibit M,3'!P41+'Exhibit O,3'!P41</f>
        <v>14601355.840000022</v>
      </c>
      <c r="E149" s="17">
        <v>1256355.6100000001</v>
      </c>
      <c r="F149" s="187"/>
      <c r="G149" s="187">
        <f>'Exhibit U,8'!V28</f>
        <v>6209470.9400000097</v>
      </c>
      <c r="H149" s="187"/>
      <c r="I149" s="17">
        <f>'Exhibit B,2'!Z64</f>
        <v>1530113.3899999987</v>
      </c>
      <c r="J149" s="187"/>
      <c r="K149" s="494">
        <f>'Exhibit B,3'!AP64</f>
        <v>3938984.8300000061</v>
      </c>
      <c r="L149" s="187"/>
      <c r="M149" s="494">
        <f t="shared" si="75"/>
        <v>27536280.610000037</v>
      </c>
      <c r="N149" s="187"/>
      <c r="O149" s="494">
        <f>'Exhibit M,3'!Q41+'Exhibit O,3'!Q41</f>
        <v>12162286.683651254</v>
      </c>
      <c r="P149" s="187"/>
      <c r="Q149" s="17">
        <v>1046488.920129867</v>
      </c>
      <c r="R149" s="187"/>
      <c r="S149" s="17">
        <f>'Exhibit U,8'!V47</f>
        <v>5172215.9608762357</v>
      </c>
      <c r="T149" s="187"/>
      <c r="U149" s="17">
        <f>'Exhibit B,2'!Z64*0.95</f>
        <v>1453607.7204999987</v>
      </c>
      <c r="V149" s="17"/>
      <c r="W149" s="20">
        <f>'Exhibit B,3'!AP64*0.95</f>
        <v>3742035.5885000057</v>
      </c>
      <c r="X149" s="187"/>
      <c r="Y149" s="494">
        <f t="shared" si="74"/>
        <v>23576634.873657361</v>
      </c>
      <c r="AA149" s="25">
        <f t="shared" ref="AA149:AA175" si="76">AA148+1</f>
        <v>1994</v>
      </c>
      <c r="AB149" s="137"/>
      <c r="AC149" s="137"/>
      <c r="AD149" s="137"/>
      <c r="AE149" s="137"/>
      <c r="AF149" s="137"/>
      <c r="AG149" s="137"/>
      <c r="AH149" s="137"/>
      <c r="AI149" s="137"/>
      <c r="AJ149" s="137"/>
      <c r="AK149" s="137"/>
      <c r="AL149" s="137"/>
    </row>
    <row r="150" spans="1:38">
      <c r="A150" s="6">
        <f t="shared" si="61"/>
        <v>2020</v>
      </c>
      <c r="C150" s="494">
        <f>'Exhibit M,3'!P42+'Exhibit O,3'!P42</f>
        <v>15481206.459999934</v>
      </c>
      <c r="E150" s="17">
        <v>1060963.32</v>
      </c>
      <c r="F150" s="187"/>
      <c r="G150" s="187">
        <f>'Exhibit U,8'!V29</f>
        <v>4965992.7600000119</v>
      </c>
      <c r="H150" s="187"/>
      <c r="I150" s="17">
        <f>'Exhibit B,2'!Z65</f>
        <v>1614309.1900000004</v>
      </c>
      <c r="J150" s="187"/>
      <c r="K150" s="494">
        <f>'Exhibit B,3'!AP65</f>
        <v>3941354.6599999946</v>
      </c>
      <c r="L150" s="187"/>
      <c r="M150" s="494">
        <f t="shared" si="75"/>
        <v>27063826.389999941</v>
      </c>
      <c r="N150" s="187"/>
      <c r="O150" s="494">
        <f>'Exhibit M,3'!Q42+'Exhibit O,3'!Q42</f>
        <v>12182557.529751178</v>
      </c>
      <c r="P150" s="187"/>
      <c r="Q150" s="17">
        <v>834899.18671725178</v>
      </c>
      <c r="R150" s="187"/>
      <c r="S150" s="17">
        <f>'Exhibit U,8'!V48</f>
        <v>3907866.7833377784</v>
      </c>
      <c r="T150" s="187"/>
      <c r="U150" s="17">
        <f>'Exhibit B,2'!Z65*0.95</f>
        <v>1533593.7305000003</v>
      </c>
      <c r="V150" s="17"/>
      <c r="W150" s="20">
        <f>'Exhibit B,3'!AP65*0.95</f>
        <v>3744286.9269999946</v>
      </c>
      <c r="X150" s="187"/>
      <c r="Y150" s="494">
        <f t="shared" si="74"/>
        <v>22203204.157306202</v>
      </c>
      <c r="AA150" s="25">
        <f t="shared" si="76"/>
        <v>1995</v>
      </c>
      <c r="AB150" s="137"/>
      <c r="AC150" s="137"/>
      <c r="AD150" s="137"/>
      <c r="AE150" s="137"/>
      <c r="AF150" s="137"/>
      <c r="AG150" s="137"/>
      <c r="AH150" s="137"/>
      <c r="AI150" s="137"/>
      <c r="AJ150" s="137"/>
      <c r="AK150" s="137"/>
      <c r="AL150" s="137"/>
    </row>
    <row r="151" spans="1:38">
      <c r="A151" s="6">
        <f t="shared" si="61"/>
        <v>2021</v>
      </c>
      <c r="C151" s="494">
        <f>'Exhibit M,3'!P43+'Exhibit O,3'!P43</f>
        <v>17554667.919999991</v>
      </c>
      <c r="E151" s="17">
        <v>2177171.58</v>
      </c>
      <c r="F151" s="187"/>
      <c r="G151" s="187">
        <f>'Exhibit U,8'!V30</f>
        <v>3657900.3700000038</v>
      </c>
      <c r="H151" s="187"/>
      <c r="I151" s="17">
        <f>'Exhibit B,2'!Z66</f>
        <v>1527213.8199999996</v>
      </c>
      <c r="J151" s="187"/>
      <c r="K151" s="494">
        <f>'Exhibit B,3'!AP66</f>
        <v>1465858.29</v>
      </c>
      <c r="L151" s="187"/>
      <c r="M151" s="494">
        <f t="shared" si="75"/>
        <v>26382811.979999997</v>
      </c>
      <c r="N151" s="187"/>
      <c r="O151" s="494">
        <f>'Exhibit M,3'!Q43+'Exhibit O,3'!Q43</f>
        <v>14562546.976440871</v>
      </c>
      <c r="P151" s="187"/>
      <c r="Q151" s="17">
        <v>1718614.4791375534</v>
      </c>
      <c r="R151" s="187"/>
      <c r="S151" s="17">
        <f>'Exhibit U,8'!V49</f>
        <v>3292414.3340718988</v>
      </c>
      <c r="T151" s="187"/>
      <c r="U151" s="17">
        <f>'Exhibit B,2'!Z66*0.95</f>
        <v>1450853.1289999995</v>
      </c>
      <c r="V151" s="17"/>
      <c r="W151" s="20">
        <f>'Exhibit B,3'!AP66*0.95</f>
        <v>1392565.3755000001</v>
      </c>
      <c r="X151" s="187"/>
      <c r="Y151" s="494">
        <f t="shared" si="74"/>
        <v>22416994.294150323</v>
      </c>
      <c r="AA151" s="25">
        <f t="shared" si="76"/>
        <v>1996</v>
      </c>
      <c r="AB151" s="137"/>
      <c r="AC151" s="137"/>
      <c r="AD151" s="137"/>
      <c r="AE151" s="137"/>
      <c r="AF151" s="137"/>
      <c r="AG151" s="137"/>
      <c r="AH151" s="137"/>
      <c r="AI151" s="137"/>
      <c r="AJ151" s="137"/>
      <c r="AK151" s="137"/>
      <c r="AL151" s="137"/>
    </row>
    <row r="152" spans="1:38">
      <c r="A152" s="6">
        <f t="shared" si="61"/>
        <v>2022</v>
      </c>
      <c r="C152" s="494">
        <f>'Exhibit M,3'!P44+'Exhibit O,3'!P44</f>
        <v>20101531.77</v>
      </c>
      <c r="E152" s="17">
        <v>2201647.7199999997</v>
      </c>
      <c r="F152" s="187"/>
      <c r="G152" s="187">
        <f>'Exhibit U,8'!V31</f>
        <v>4017772.8</v>
      </c>
      <c r="H152" s="187"/>
      <c r="I152" s="17">
        <f>'Exhibit B,2'!Z67</f>
        <v>1819557.4099999995</v>
      </c>
      <c r="J152" s="187"/>
      <c r="K152" s="494">
        <f>'Exhibit B,3'!AP67</f>
        <v>1789742.2799999998</v>
      </c>
      <c r="L152" s="187"/>
      <c r="M152" s="494">
        <f t="shared" si="75"/>
        <v>29930251.98</v>
      </c>
      <c r="N152" s="187"/>
      <c r="O152" s="494">
        <f>'Exhibit M,3'!Q44+'Exhibit O,3'!Q44</f>
        <v>17024768.160314288</v>
      </c>
      <c r="P152" s="187"/>
      <c r="Q152" s="17">
        <v>1998886.0042928304</v>
      </c>
      <c r="R152" s="187"/>
      <c r="S152" s="17">
        <f>'Exhibit U,8'!V50</f>
        <v>3388129.2289063614</v>
      </c>
      <c r="T152" s="187"/>
      <c r="U152" s="17">
        <v>2878608.8350855825</v>
      </c>
      <c r="V152" s="17"/>
      <c r="W152" s="20">
        <v>1640158.2159009338</v>
      </c>
      <c r="X152" s="187"/>
      <c r="Y152" s="494">
        <f t="shared" si="74"/>
        <v>26930550.444499996</v>
      </c>
      <c r="AA152" s="25">
        <f t="shared" si="76"/>
        <v>1997</v>
      </c>
      <c r="AB152" s="137"/>
      <c r="AC152" s="137"/>
      <c r="AD152" s="137"/>
      <c r="AE152" s="137"/>
      <c r="AF152" s="137"/>
      <c r="AG152" s="137"/>
      <c r="AH152" s="137"/>
      <c r="AI152" s="137"/>
      <c r="AJ152" s="137"/>
      <c r="AK152" s="137"/>
      <c r="AL152" s="137"/>
    </row>
    <row r="153" spans="1:38">
      <c r="C153" s="200"/>
      <c r="D153" s="18"/>
      <c r="E153" s="200"/>
      <c r="F153" s="18"/>
      <c r="G153" s="200"/>
      <c r="H153" s="18"/>
      <c r="I153" s="200"/>
      <c r="J153" s="18"/>
      <c r="K153" s="200"/>
      <c r="L153" s="18"/>
      <c r="M153" s="200"/>
      <c r="N153" s="18"/>
      <c r="O153" s="200"/>
      <c r="P153" s="18"/>
      <c r="Q153" s="200"/>
      <c r="R153" s="18"/>
      <c r="S153" s="200"/>
      <c r="T153" s="18"/>
      <c r="U153" s="200"/>
      <c r="V153" s="18"/>
      <c r="W153" s="200"/>
      <c r="X153" s="18"/>
      <c r="Y153" s="200"/>
      <c r="AA153" s="25">
        <f t="shared" si="76"/>
        <v>1998</v>
      </c>
      <c r="AB153" s="137"/>
      <c r="AC153" s="137"/>
      <c r="AD153" s="137"/>
      <c r="AE153" s="137"/>
      <c r="AF153" s="137"/>
      <c r="AG153" s="137"/>
      <c r="AH153" s="137"/>
      <c r="AI153" s="137"/>
      <c r="AJ153" s="137"/>
      <c r="AK153" s="137"/>
      <c r="AL153" s="137"/>
    </row>
    <row r="154" spans="1:38">
      <c r="A154" s="2" t="s">
        <v>0</v>
      </c>
      <c r="C154" s="147">
        <f>SUM(C124:C153)</f>
        <v>249100945.32000005</v>
      </c>
      <c r="D154" s="147"/>
      <c r="E154" s="147">
        <f>SUM(E124:E153)</f>
        <v>28442746.629999995</v>
      </c>
      <c r="F154" s="147"/>
      <c r="G154" s="147">
        <f>SUM(G124:G153)</f>
        <v>94546287.280000031</v>
      </c>
      <c r="H154" s="147"/>
      <c r="I154" s="147">
        <f>SUM(I124:I153)</f>
        <v>13274866.599870862</v>
      </c>
      <c r="J154" s="147"/>
      <c r="K154" s="147">
        <f>SUM(K124:K153)</f>
        <v>17262209.839999985</v>
      </c>
      <c r="L154" s="147"/>
      <c r="M154" s="147">
        <f>SUM(M124:M153)</f>
        <v>402627055.66987097</v>
      </c>
      <c r="N154" s="147"/>
      <c r="O154" s="147">
        <f>SUM(O124:O153)</f>
        <v>208089541.38558555</v>
      </c>
      <c r="P154" s="147"/>
      <c r="Q154" s="147">
        <f>SUM(Q124:Q153)</f>
        <v>23903573.871581923</v>
      </c>
      <c r="R154" s="147"/>
      <c r="S154" s="147">
        <f>SUM(S124:S153)</f>
        <v>79690329.505093873</v>
      </c>
      <c r="T154" s="147"/>
      <c r="U154" s="147">
        <f>SUM(U124:U153)</f>
        <v>13761152.5654629</v>
      </c>
      <c r="V154" s="147"/>
      <c r="W154" s="147">
        <f>SUM(W124:W153)</f>
        <v>16339002.397900918</v>
      </c>
      <c r="X154" s="147"/>
      <c r="Y154" s="147">
        <f>SUM(Y124:Y153)</f>
        <v>341783599.72562516</v>
      </c>
      <c r="AA154" s="25">
        <f t="shared" si="76"/>
        <v>1999</v>
      </c>
      <c r="AB154" s="137"/>
      <c r="AC154" s="137"/>
      <c r="AD154" s="137"/>
      <c r="AE154" s="137"/>
      <c r="AF154" s="137"/>
      <c r="AG154" s="137"/>
      <c r="AH154" s="137"/>
      <c r="AI154" s="137"/>
      <c r="AJ154" s="137"/>
      <c r="AK154" s="137"/>
      <c r="AL154" s="137"/>
    </row>
    <row r="155" spans="1:38">
      <c r="AA155" s="25">
        <f t="shared" si="76"/>
        <v>2000</v>
      </c>
      <c r="AB155" s="137"/>
      <c r="AC155" s="137"/>
      <c r="AD155" s="137"/>
      <c r="AE155" s="137"/>
      <c r="AF155" s="137"/>
      <c r="AG155" s="137"/>
      <c r="AH155" s="137"/>
      <c r="AI155" s="137"/>
      <c r="AJ155" s="137"/>
      <c r="AK155" s="137"/>
      <c r="AL155" s="137"/>
    </row>
    <row r="156" spans="1:38">
      <c r="AA156" s="25">
        <f t="shared" si="76"/>
        <v>2001</v>
      </c>
      <c r="AB156" s="137"/>
      <c r="AC156" s="137"/>
      <c r="AD156" s="137"/>
      <c r="AE156" s="137"/>
      <c r="AF156" s="137"/>
      <c r="AG156" s="137"/>
      <c r="AH156" s="137"/>
      <c r="AI156" s="137"/>
      <c r="AJ156" s="137"/>
      <c r="AK156" s="137"/>
      <c r="AL156" s="137"/>
    </row>
    <row r="157" spans="1:38" ht="16">
      <c r="A157" s="631" t="s">
        <v>872</v>
      </c>
      <c r="B157" s="631"/>
      <c r="C157" s="631"/>
      <c r="D157" s="631"/>
      <c r="E157" s="631"/>
      <c r="F157" s="631"/>
      <c r="G157" s="631"/>
      <c r="H157" s="631"/>
      <c r="I157" s="631"/>
      <c r="J157" s="631"/>
      <c r="K157" s="631"/>
      <c r="L157" s="631"/>
      <c r="M157" s="631"/>
      <c r="N157" s="631"/>
      <c r="O157" s="631"/>
      <c r="P157" s="631"/>
      <c r="Q157" s="631"/>
      <c r="R157" s="631"/>
      <c r="S157" s="631"/>
      <c r="T157" s="631"/>
      <c r="U157" s="631"/>
      <c r="V157" s="631"/>
      <c r="W157" s="631"/>
      <c r="X157" s="631"/>
      <c r="Y157" s="631"/>
      <c r="Z157" s="64" t="s">
        <v>116</v>
      </c>
      <c r="AA157" s="25">
        <f t="shared" si="76"/>
        <v>2002</v>
      </c>
      <c r="AB157" s="137"/>
      <c r="AC157" s="137"/>
      <c r="AD157" s="137"/>
      <c r="AE157" s="137"/>
      <c r="AF157" s="137"/>
      <c r="AG157" s="137"/>
      <c r="AH157" s="137"/>
      <c r="AI157" s="137"/>
      <c r="AJ157" s="137"/>
      <c r="AK157" s="137"/>
      <c r="AL157" s="137"/>
    </row>
    <row r="158" spans="1:38">
      <c r="A158" s="5"/>
      <c r="K158" s="5"/>
      <c r="L158" s="5"/>
      <c r="M158" s="5"/>
      <c r="N158" s="5"/>
      <c r="O158" s="5"/>
      <c r="Z158" s="64" t="s">
        <v>45</v>
      </c>
      <c r="AA158" s="25">
        <f t="shared" si="76"/>
        <v>2003</v>
      </c>
      <c r="AB158" s="137"/>
      <c r="AC158" s="137"/>
      <c r="AD158" s="137"/>
      <c r="AE158" s="137"/>
      <c r="AF158" s="137"/>
      <c r="AG158" s="137"/>
      <c r="AH158" s="137"/>
      <c r="AI158" s="137"/>
      <c r="AJ158" s="137"/>
      <c r="AK158" s="137"/>
      <c r="AL158" s="137"/>
    </row>
    <row r="159" spans="1:38">
      <c r="A159" s="632" t="s">
        <v>1752</v>
      </c>
      <c r="B159" s="632"/>
      <c r="C159" s="632"/>
      <c r="D159" s="632"/>
      <c r="E159" s="632"/>
      <c r="F159" s="632"/>
      <c r="G159" s="632"/>
      <c r="H159" s="632"/>
      <c r="I159" s="632"/>
      <c r="J159" s="632"/>
      <c r="K159" s="632"/>
      <c r="L159" s="632"/>
      <c r="M159" s="632"/>
      <c r="N159" s="632"/>
      <c r="O159" s="632"/>
      <c r="P159" s="632"/>
      <c r="Q159" s="632"/>
      <c r="R159" s="632"/>
      <c r="S159" s="632"/>
      <c r="T159" s="632"/>
      <c r="U159" s="632"/>
      <c r="V159" s="632"/>
      <c r="W159" s="632"/>
      <c r="X159" s="632"/>
      <c r="Y159" s="632"/>
      <c r="AA159" s="25">
        <f t="shared" si="76"/>
        <v>2004</v>
      </c>
      <c r="AB159" s="137"/>
      <c r="AC159" s="137"/>
      <c r="AD159" s="137"/>
      <c r="AE159" s="137"/>
      <c r="AF159" s="137"/>
      <c r="AG159" s="137"/>
      <c r="AH159" s="137"/>
      <c r="AI159" s="137"/>
      <c r="AJ159" s="137"/>
      <c r="AK159" s="137"/>
      <c r="AL159" s="137"/>
    </row>
    <row r="160" spans="1:38">
      <c r="AA160" s="25">
        <f t="shared" si="76"/>
        <v>2005</v>
      </c>
      <c r="AB160" s="137"/>
      <c r="AC160" s="137"/>
      <c r="AD160" s="137"/>
      <c r="AE160" s="137"/>
      <c r="AF160" s="137"/>
      <c r="AG160" s="137"/>
      <c r="AH160" s="137"/>
      <c r="AI160" s="137"/>
      <c r="AJ160" s="137"/>
      <c r="AK160" s="137"/>
      <c r="AL160" s="137"/>
    </row>
    <row r="161" spans="1:38">
      <c r="AA161" s="25">
        <f t="shared" si="76"/>
        <v>2006</v>
      </c>
      <c r="AB161" s="137"/>
      <c r="AC161" s="137"/>
      <c r="AD161" s="137"/>
      <c r="AE161" s="137"/>
      <c r="AF161" s="137"/>
      <c r="AG161" s="137"/>
      <c r="AH161" s="137"/>
      <c r="AI161" s="137"/>
      <c r="AJ161" s="137"/>
      <c r="AK161" s="137"/>
      <c r="AL161" s="137"/>
    </row>
    <row r="162" spans="1:38">
      <c r="G162" s="6" t="s">
        <v>1721</v>
      </c>
      <c r="O162" s="23"/>
      <c r="S162" s="6" t="s">
        <v>1721</v>
      </c>
      <c r="AA162" s="25">
        <f t="shared" si="76"/>
        <v>2007</v>
      </c>
      <c r="AB162" s="137"/>
      <c r="AC162" s="137"/>
      <c r="AD162" s="137"/>
      <c r="AE162" s="137"/>
      <c r="AF162" s="137"/>
      <c r="AG162" s="137"/>
      <c r="AH162" s="137"/>
      <c r="AI162" s="137"/>
      <c r="AJ162" s="137"/>
      <c r="AK162" s="137"/>
      <c r="AL162" s="137"/>
    </row>
    <row r="163" spans="1:38">
      <c r="A163" s="6" t="s">
        <v>3</v>
      </c>
      <c r="C163" s="7" t="s">
        <v>460</v>
      </c>
      <c r="D163" s="8"/>
      <c r="E163" s="8"/>
      <c r="F163" s="8"/>
      <c r="G163" s="8"/>
      <c r="H163" s="8"/>
      <c r="I163" s="8"/>
      <c r="J163" s="8"/>
      <c r="K163" s="8"/>
      <c r="N163" s="2"/>
      <c r="O163" s="7" t="s">
        <v>118</v>
      </c>
      <c r="P163" s="8"/>
      <c r="Q163" s="8"/>
      <c r="R163" s="8"/>
      <c r="S163" s="8"/>
      <c r="T163" s="8"/>
      <c r="U163" s="8"/>
      <c r="V163" s="8"/>
      <c r="W163" s="8"/>
      <c r="X163" s="2"/>
      <c r="Y163" s="2"/>
      <c r="AA163" s="25">
        <f t="shared" si="76"/>
        <v>2008</v>
      </c>
      <c r="AB163" s="137"/>
      <c r="AC163" s="137"/>
      <c r="AD163" s="137"/>
      <c r="AE163" s="137"/>
      <c r="AF163" s="137"/>
      <c r="AG163" s="137"/>
      <c r="AH163" s="137"/>
      <c r="AI163" s="137"/>
      <c r="AJ163" s="137"/>
      <c r="AK163" s="137"/>
      <c r="AL163" s="137"/>
    </row>
    <row r="164" spans="1:38">
      <c r="A164" s="6" t="s">
        <v>4</v>
      </c>
      <c r="C164" s="2" t="s">
        <v>115</v>
      </c>
      <c r="E164" s="2" t="s">
        <v>646</v>
      </c>
      <c r="G164" s="2" t="s">
        <v>505</v>
      </c>
      <c r="I164" s="2" t="s">
        <v>329</v>
      </c>
      <c r="K164" s="2" t="s">
        <v>478</v>
      </c>
      <c r="M164" s="2" t="s">
        <v>0</v>
      </c>
      <c r="O164" s="2" t="s">
        <v>115</v>
      </c>
      <c r="Q164" s="2" t="s">
        <v>646</v>
      </c>
      <c r="S164" s="2" t="s">
        <v>505</v>
      </c>
      <c r="U164" s="2" t="s">
        <v>329</v>
      </c>
      <c r="W164" s="2" t="s">
        <v>478</v>
      </c>
      <c r="Y164" s="2" t="s">
        <v>0</v>
      </c>
      <c r="AA164" s="25">
        <f t="shared" si="76"/>
        <v>2009</v>
      </c>
      <c r="AB164" s="137"/>
      <c r="AC164" s="137"/>
      <c r="AD164" s="137"/>
      <c r="AE164" s="137"/>
      <c r="AF164" s="137"/>
      <c r="AG164" s="137"/>
      <c r="AH164" s="137"/>
      <c r="AI164" s="137"/>
      <c r="AJ164" s="137"/>
      <c r="AK164" s="137"/>
      <c r="AL164" s="137"/>
    </row>
    <row r="165" spans="1:38">
      <c r="A165" s="9">
        <v>-1</v>
      </c>
      <c r="C165" s="10">
        <v>-2</v>
      </c>
      <c r="E165" s="9">
        <v>-3</v>
      </c>
      <c r="G165" s="9">
        <v>-4</v>
      </c>
      <c r="I165" s="9">
        <v>-5</v>
      </c>
      <c r="K165" s="9">
        <v>-6</v>
      </c>
      <c r="M165" s="9">
        <v>-7</v>
      </c>
      <c r="O165" s="9">
        <v>-8</v>
      </c>
      <c r="Q165" s="9">
        <v>-9</v>
      </c>
      <c r="S165" s="9">
        <v>-10</v>
      </c>
      <c r="U165" s="9">
        <v>-11</v>
      </c>
      <c r="W165" s="9">
        <v>-12</v>
      </c>
      <c r="Y165" s="9">
        <v>-13</v>
      </c>
      <c r="AA165" s="25">
        <f t="shared" si="76"/>
        <v>2010</v>
      </c>
      <c r="AB165" s="137"/>
      <c r="AC165" s="137"/>
      <c r="AD165" s="137"/>
      <c r="AE165" s="137"/>
      <c r="AF165" s="137"/>
      <c r="AG165" s="137"/>
      <c r="AH165" s="137"/>
      <c r="AI165" s="137"/>
      <c r="AJ165" s="137"/>
      <c r="AK165" s="137"/>
      <c r="AL165" s="137"/>
    </row>
    <row r="166" spans="1:38">
      <c r="A166" s="11"/>
      <c r="C166" s="11"/>
      <c r="E166" s="11"/>
      <c r="G166" s="11"/>
      <c r="I166" s="11"/>
      <c r="K166" s="11"/>
      <c r="M166" s="11"/>
      <c r="O166" s="11"/>
      <c r="Q166" s="11"/>
      <c r="S166" s="11"/>
      <c r="U166" s="11"/>
      <c r="W166" s="11"/>
      <c r="Y166" s="11"/>
      <c r="AA166" s="25">
        <f t="shared" si="76"/>
        <v>2011</v>
      </c>
      <c r="AB166" s="137"/>
      <c r="AC166" s="137"/>
      <c r="AD166" s="137"/>
      <c r="AE166" s="137"/>
      <c r="AF166" s="137"/>
      <c r="AG166" s="137"/>
      <c r="AH166" s="137"/>
      <c r="AI166" s="137"/>
      <c r="AJ166" s="137"/>
      <c r="AK166" s="137"/>
      <c r="AL166" s="137"/>
    </row>
    <row r="167" spans="1:38">
      <c r="AA167" s="25">
        <f t="shared" si="76"/>
        <v>2012</v>
      </c>
      <c r="AB167" s="137"/>
      <c r="AC167" s="137"/>
      <c r="AD167" s="137"/>
      <c r="AE167" s="137"/>
      <c r="AF167" s="137"/>
      <c r="AG167" s="137"/>
      <c r="AH167" s="137"/>
      <c r="AI167" s="137"/>
      <c r="AJ167" s="137"/>
      <c r="AK167" s="137"/>
      <c r="AL167" s="137"/>
    </row>
    <row r="168" spans="1:38">
      <c r="A168" s="6">
        <v>1994</v>
      </c>
      <c r="C168" s="147"/>
      <c r="D168" s="147"/>
      <c r="E168" s="494"/>
      <c r="F168" s="187"/>
      <c r="G168" s="494"/>
      <c r="H168" s="187"/>
      <c r="I168" s="494"/>
      <c r="J168" s="147"/>
      <c r="K168" s="594"/>
      <c r="L168" s="147"/>
      <c r="M168" s="49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497"/>
      <c r="AA168" s="25">
        <f t="shared" si="76"/>
        <v>2013</v>
      </c>
      <c r="AB168" s="137"/>
      <c r="AC168" s="137"/>
      <c r="AD168" s="137"/>
      <c r="AE168" s="137"/>
      <c r="AF168" s="137"/>
      <c r="AG168" s="137"/>
      <c r="AH168" s="137"/>
      <c r="AI168" s="137"/>
      <c r="AJ168" s="137"/>
      <c r="AK168" s="137"/>
      <c r="AL168" s="137"/>
    </row>
    <row r="169" spans="1:38">
      <c r="A169" s="6">
        <f>A168+1</f>
        <v>1995</v>
      </c>
      <c r="C169" s="494"/>
      <c r="D169" s="187"/>
      <c r="E169" s="494"/>
      <c r="F169" s="187"/>
      <c r="G169" s="494"/>
      <c r="H169" s="187"/>
      <c r="I169" s="494"/>
      <c r="J169" s="187"/>
      <c r="K169" s="494"/>
      <c r="L169" s="187"/>
      <c r="M169" s="494"/>
      <c r="N169" s="187"/>
      <c r="O169" s="494"/>
      <c r="P169" s="187"/>
      <c r="Q169" s="187"/>
      <c r="R169" s="187"/>
      <c r="S169" s="187"/>
      <c r="T169" s="187"/>
      <c r="U169" s="187"/>
      <c r="V169" s="187"/>
      <c r="W169" s="187"/>
      <c r="X169" s="187"/>
      <c r="Y169" s="494"/>
      <c r="AA169" s="25">
        <f t="shared" si="76"/>
        <v>2014</v>
      </c>
      <c r="AB169" s="137"/>
      <c r="AC169" s="137"/>
      <c r="AD169" s="137"/>
      <c r="AE169" s="137"/>
      <c r="AF169" s="137"/>
      <c r="AG169" s="137"/>
      <c r="AH169" s="137"/>
      <c r="AI169" s="137"/>
      <c r="AJ169" s="137"/>
      <c r="AK169" s="137"/>
      <c r="AL169" s="137"/>
    </row>
    <row r="170" spans="1:38">
      <c r="A170" s="6">
        <f t="shared" ref="A170:A196" si="77">A169+1</f>
        <v>1996</v>
      </c>
      <c r="C170" s="494"/>
      <c r="D170" s="187"/>
      <c r="E170" s="494"/>
      <c r="F170" s="187"/>
      <c r="G170" s="494"/>
      <c r="H170" s="187"/>
      <c r="I170" s="494"/>
      <c r="J170" s="187"/>
      <c r="K170" s="494"/>
      <c r="L170" s="187"/>
      <c r="M170" s="494"/>
      <c r="N170" s="187"/>
      <c r="O170" s="494"/>
      <c r="P170" s="187"/>
      <c r="Q170" s="187"/>
      <c r="R170" s="187"/>
      <c r="S170" s="187"/>
      <c r="T170" s="187"/>
      <c r="U170" s="187"/>
      <c r="V170" s="187"/>
      <c r="W170" s="187"/>
      <c r="X170" s="187"/>
      <c r="Y170" s="494"/>
      <c r="AA170" s="25">
        <f t="shared" si="76"/>
        <v>2015</v>
      </c>
      <c r="AB170" s="137"/>
      <c r="AC170" s="137"/>
      <c r="AD170" s="137"/>
      <c r="AE170" s="137"/>
      <c r="AF170" s="137"/>
      <c r="AG170" s="137"/>
      <c r="AH170" s="137"/>
      <c r="AI170" s="137"/>
      <c r="AJ170" s="137"/>
      <c r="AK170" s="137"/>
      <c r="AL170" s="137"/>
    </row>
    <row r="171" spans="1:38">
      <c r="A171" s="6">
        <f t="shared" si="77"/>
        <v>1997</v>
      </c>
      <c r="C171" s="494"/>
      <c r="D171" s="187"/>
      <c r="E171" s="494"/>
      <c r="F171" s="187"/>
      <c r="G171" s="494"/>
      <c r="H171" s="187"/>
      <c r="I171" s="494"/>
      <c r="J171" s="187"/>
      <c r="K171" s="494"/>
      <c r="L171" s="187"/>
      <c r="M171" s="494"/>
      <c r="N171" s="187"/>
      <c r="O171" s="494"/>
      <c r="P171" s="187"/>
      <c r="Q171" s="187"/>
      <c r="R171" s="187"/>
      <c r="S171" s="187"/>
      <c r="T171" s="187"/>
      <c r="U171" s="187"/>
      <c r="V171" s="187"/>
      <c r="W171" s="187"/>
      <c r="X171" s="187"/>
      <c r="Y171" s="494"/>
      <c r="AA171" s="25">
        <f t="shared" si="76"/>
        <v>2016</v>
      </c>
      <c r="AB171" s="137"/>
      <c r="AC171" s="137"/>
      <c r="AD171" s="137"/>
      <c r="AE171" s="137"/>
      <c r="AF171" s="137"/>
      <c r="AG171" s="137"/>
      <c r="AH171" s="137"/>
      <c r="AI171" s="137"/>
      <c r="AJ171" s="137"/>
      <c r="AK171" s="137"/>
      <c r="AL171" s="137"/>
    </row>
    <row r="172" spans="1:38">
      <c r="A172" s="6">
        <f t="shared" si="77"/>
        <v>1998</v>
      </c>
      <c r="C172" s="494"/>
      <c r="D172" s="187"/>
      <c r="E172" s="494"/>
      <c r="F172" s="187"/>
      <c r="G172" s="494"/>
      <c r="H172" s="187"/>
      <c r="I172" s="494"/>
      <c r="J172" s="187"/>
      <c r="K172" s="494"/>
      <c r="L172" s="187"/>
      <c r="M172" s="494"/>
      <c r="N172" s="187"/>
      <c r="O172" s="494"/>
      <c r="P172" s="187"/>
      <c r="Q172" s="187"/>
      <c r="R172" s="187"/>
      <c r="S172" s="187"/>
      <c r="T172" s="187"/>
      <c r="U172" s="187"/>
      <c r="V172" s="187"/>
      <c r="W172" s="187"/>
      <c r="X172" s="187"/>
      <c r="Y172" s="494"/>
      <c r="AA172" s="25">
        <f t="shared" si="76"/>
        <v>2017</v>
      </c>
      <c r="AB172" s="137"/>
      <c r="AC172" s="137"/>
      <c r="AD172" s="137"/>
      <c r="AE172" s="137"/>
      <c r="AF172" s="137"/>
      <c r="AG172" s="137"/>
      <c r="AH172" s="137"/>
      <c r="AI172" s="137"/>
      <c r="AJ172" s="137"/>
      <c r="AK172" s="137"/>
      <c r="AL172" s="137"/>
    </row>
    <row r="173" spans="1:38">
      <c r="A173" s="6">
        <f t="shared" si="77"/>
        <v>1999</v>
      </c>
      <c r="C173" s="494"/>
      <c r="D173" s="187"/>
      <c r="E173" s="494"/>
      <c r="F173" s="187"/>
      <c r="G173" s="494"/>
      <c r="H173" s="187"/>
      <c r="I173" s="494"/>
      <c r="J173" s="187"/>
      <c r="K173" s="494"/>
      <c r="L173" s="187"/>
      <c r="M173" s="494"/>
      <c r="N173" s="187"/>
      <c r="O173" s="494"/>
      <c r="P173" s="187"/>
      <c r="Q173" s="187"/>
      <c r="R173" s="187"/>
      <c r="S173" s="187"/>
      <c r="T173" s="187"/>
      <c r="U173" s="187"/>
      <c r="V173" s="187"/>
      <c r="W173" s="187"/>
      <c r="X173" s="187"/>
      <c r="Y173" s="494"/>
      <c r="AA173" s="25">
        <f t="shared" si="76"/>
        <v>2018</v>
      </c>
      <c r="AB173" s="137"/>
      <c r="AC173" s="137"/>
      <c r="AD173" s="137"/>
      <c r="AE173" s="137"/>
      <c r="AF173" s="137"/>
      <c r="AG173" s="137"/>
      <c r="AH173" s="137"/>
      <c r="AI173" s="137"/>
      <c r="AJ173" s="137"/>
      <c r="AK173" s="137"/>
      <c r="AL173" s="137"/>
    </row>
    <row r="174" spans="1:38">
      <c r="A174" s="6">
        <f t="shared" si="77"/>
        <v>2000</v>
      </c>
      <c r="C174" s="494"/>
      <c r="D174" s="187"/>
      <c r="E174" s="494"/>
      <c r="F174" s="187"/>
      <c r="G174" s="494"/>
      <c r="H174" s="187"/>
      <c r="I174" s="494"/>
      <c r="J174" s="187"/>
      <c r="K174" s="494"/>
      <c r="L174" s="187"/>
      <c r="M174" s="494"/>
      <c r="N174" s="187"/>
      <c r="O174" s="494"/>
      <c r="P174" s="187"/>
      <c r="Q174" s="187"/>
      <c r="R174" s="187"/>
      <c r="S174" s="187"/>
      <c r="T174" s="187"/>
      <c r="U174" s="187"/>
      <c r="V174" s="187"/>
      <c r="W174" s="187"/>
      <c r="X174" s="187"/>
      <c r="Y174" s="494"/>
      <c r="AA174" s="25">
        <f t="shared" si="76"/>
        <v>2019</v>
      </c>
      <c r="AB174" s="137"/>
      <c r="AC174" s="137"/>
      <c r="AD174" s="137"/>
      <c r="AE174" s="137"/>
      <c r="AF174" s="137"/>
      <c r="AG174" s="137"/>
      <c r="AH174" s="137"/>
      <c r="AI174" s="137"/>
      <c r="AJ174" s="137"/>
      <c r="AK174" s="137"/>
      <c r="AL174" s="137"/>
    </row>
    <row r="175" spans="1:38">
      <c r="A175" s="6">
        <f t="shared" si="77"/>
        <v>2001</v>
      </c>
      <c r="C175" s="494"/>
      <c r="D175" s="187"/>
      <c r="E175" s="494"/>
      <c r="F175" s="187"/>
      <c r="G175" s="494"/>
      <c r="H175" s="187"/>
      <c r="I175" s="494"/>
      <c r="J175" s="187"/>
      <c r="K175" s="494"/>
      <c r="L175" s="187"/>
      <c r="M175" s="494"/>
      <c r="N175" s="187"/>
      <c r="O175" s="494"/>
      <c r="P175" s="187"/>
      <c r="Q175" s="187"/>
      <c r="R175" s="187"/>
      <c r="S175" s="187"/>
      <c r="T175" s="187"/>
      <c r="U175" s="187"/>
      <c r="V175" s="187"/>
      <c r="W175" s="187"/>
      <c r="X175" s="187"/>
      <c r="Y175" s="494"/>
      <c r="AA175" s="25">
        <f t="shared" si="76"/>
        <v>2020</v>
      </c>
      <c r="AB175" s="137"/>
      <c r="AC175" s="137"/>
      <c r="AD175" s="137"/>
      <c r="AE175" s="137"/>
      <c r="AF175" s="137"/>
      <c r="AG175" s="137"/>
      <c r="AH175" s="137"/>
      <c r="AI175" s="137"/>
      <c r="AJ175" s="137"/>
      <c r="AK175" s="137"/>
      <c r="AL175" s="137"/>
    </row>
    <row r="176" spans="1:38">
      <c r="A176" s="6">
        <f t="shared" si="77"/>
        <v>2002</v>
      </c>
      <c r="C176" s="494"/>
      <c r="D176" s="187"/>
      <c r="E176" s="494"/>
      <c r="F176" s="187"/>
      <c r="G176" s="494"/>
      <c r="H176" s="187"/>
      <c r="I176" s="494"/>
      <c r="J176" s="187"/>
      <c r="K176" s="494"/>
      <c r="L176" s="187"/>
      <c r="M176" s="494"/>
      <c r="N176" s="187"/>
      <c r="O176" s="494"/>
      <c r="P176" s="187"/>
      <c r="Q176" s="187"/>
      <c r="R176" s="187"/>
      <c r="S176" s="187"/>
      <c r="T176" s="187"/>
      <c r="U176" s="187"/>
      <c r="V176" s="187"/>
      <c r="W176" s="187"/>
      <c r="X176" s="187"/>
      <c r="Y176" s="494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</row>
    <row r="177" spans="1:38">
      <c r="A177" s="6">
        <f t="shared" si="77"/>
        <v>2003</v>
      </c>
      <c r="C177" s="494"/>
      <c r="D177" s="187"/>
      <c r="E177" s="494"/>
      <c r="F177" s="187"/>
      <c r="G177" s="494"/>
      <c r="H177" s="187"/>
      <c r="I177" s="494"/>
      <c r="J177" s="187"/>
      <c r="K177" s="494"/>
      <c r="L177" s="187"/>
      <c r="M177" s="494"/>
      <c r="N177" s="187"/>
      <c r="O177" s="494"/>
      <c r="P177" s="187"/>
      <c r="Q177" s="187"/>
      <c r="R177" s="187"/>
      <c r="S177" s="187"/>
      <c r="T177" s="187"/>
      <c r="U177" s="187"/>
      <c r="V177" s="187"/>
      <c r="W177" s="187"/>
      <c r="X177" s="187"/>
      <c r="Y177" s="494"/>
      <c r="AA177" s="97" t="s">
        <v>0</v>
      </c>
      <c r="AB177" s="223">
        <f>SUM(AB147:AB176)</f>
        <v>0</v>
      </c>
      <c r="AC177" s="223">
        <f>SUM(AC147:AC176)</f>
        <v>0</v>
      </c>
      <c r="AD177" s="223">
        <f t="shared" ref="AD177:AJ177" si="78">SUM(AD147:AD176)</f>
        <v>0</v>
      </c>
      <c r="AE177" s="223">
        <f t="shared" si="78"/>
        <v>0</v>
      </c>
      <c r="AF177" s="122">
        <f t="shared" si="78"/>
        <v>0</v>
      </c>
      <c r="AG177" s="223">
        <f t="shared" si="78"/>
        <v>0</v>
      </c>
      <c r="AH177" s="223">
        <f t="shared" si="78"/>
        <v>0</v>
      </c>
      <c r="AI177" s="223">
        <f t="shared" si="78"/>
        <v>0</v>
      </c>
      <c r="AJ177" s="223">
        <f t="shared" si="78"/>
        <v>0</v>
      </c>
      <c r="AK177" s="223"/>
      <c r="AL177" s="223">
        <f>SUM(AL147:AL176)</f>
        <v>0</v>
      </c>
    </row>
    <row r="178" spans="1:38">
      <c r="A178" s="6">
        <f t="shared" si="77"/>
        <v>2004</v>
      </c>
      <c r="C178" s="494"/>
      <c r="D178" s="187"/>
      <c r="E178" s="494"/>
      <c r="F178" s="187"/>
      <c r="G178" s="494"/>
      <c r="H178" s="187"/>
      <c r="I178" s="494"/>
      <c r="J178" s="187"/>
      <c r="K178" s="494"/>
      <c r="L178" s="187"/>
      <c r="M178" s="494"/>
      <c r="N178" s="187"/>
      <c r="O178" s="494"/>
      <c r="P178" s="187"/>
      <c r="Q178" s="187"/>
      <c r="R178" s="187"/>
      <c r="S178" s="187"/>
      <c r="T178" s="187"/>
      <c r="U178" s="187"/>
      <c r="V178" s="187"/>
      <c r="W178" s="187"/>
      <c r="X178" s="187"/>
      <c r="Y178" s="494"/>
      <c r="AA178" s="97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</row>
    <row r="179" spans="1:38">
      <c r="A179" s="6">
        <f t="shared" si="77"/>
        <v>2005</v>
      </c>
      <c r="C179" s="494"/>
      <c r="D179" s="187"/>
      <c r="E179" s="494"/>
      <c r="F179" s="187"/>
      <c r="G179" s="494"/>
      <c r="H179" s="187"/>
      <c r="I179" s="494"/>
      <c r="J179" s="187"/>
      <c r="K179" s="494"/>
      <c r="L179" s="187"/>
      <c r="M179" s="494"/>
      <c r="N179" s="187"/>
      <c r="O179" s="494"/>
      <c r="P179" s="187"/>
      <c r="Q179" s="494"/>
      <c r="R179" s="187"/>
      <c r="S179" s="187"/>
      <c r="T179" s="187"/>
      <c r="U179" s="187"/>
      <c r="V179" s="187"/>
      <c r="W179" s="187"/>
      <c r="X179" s="187"/>
      <c r="Y179" s="494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</row>
    <row r="180" spans="1:38">
      <c r="A180" s="6">
        <f t="shared" si="77"/>
        <v>2006</v>
      </c>
      <c r="C180" s="494"/>
      <c r="D180" s="187"/>
      <c r="E180" s="494"/>
      <c r="F180" s="187"/>
      <c r="G180" s="494"/>
      <c r="H180" s="187"/>
      <c r="I180" s="494"/>
      <c r="J180" s="187"/>
      <c r="K180" s="494"/>
      <c r="L180" s="187"/>
      <c r="M180" s="494"/>
      <c r="N180" s="187"/>
      <c r="O180" s="494"/>
      <c r="P180" s="187"/>
      <c r="Q180" s="494"/>
      <c r="R180" s="187"/>
      <c r="S180" s="494"/>
      <c r="T180" s="187"/>
      <c r="U180" s="187"/>
      <c r="V180" s="187"/>
      <c r="W180" s="187"/>
      <c r="X180" s="187"/>
      <c r="Y180" s="494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</row>
    <row r="181" spans="1:38">
      <c r="A181" s="6">
        <f t="shared" si="77"/>
        <v>2007</v>
      </c>
      <c r="C181" s="494"/>
      <c r="D181" s="187"/>
      <c r="E181" s="494"/>
      <c r="F181" s="187"/>
      <c r="G181" s="494"/>
      <c r="H181" s="187"/>
      <c r="I181" s="494"/>
      <c r="J181" s="187"/>
      <c r="K181" s="494"/>
      <c r="L181" s="187"/>
      <c r="M181" s="494"/>
      <c r="N181" s="187"/>
      <c r="O181" s="494"/>
      <c r="P181" s="187"/>
      <c r="Q181" s="494"/>
      <c r="R181" s="187"/>
      <c r="S181" s="494"/>
      <c r="T181" s="187"/>
      <c r="U181" s="187"/>
      <c r="V181" s="187"/>
      <c r="W181" s="187"/>
      <c r="X181" s="187"/>
      <c r="Y181" s="494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</row>
    <row r="182" spans="1:38">
      <c r="A182" s="6">
        <f t="shared" si="77"/>
        <v>2008</v>
      </c>
      <c r="C182" s="494"/>
      <c r="D182" s="187"/>
      <c r="E182" s="187"/>
      <c r="F182" s="187"/>
      <c r="G182" s="187"/>
      <c r="H182" s="187"/>
      <c r="I182" s="494"/>
      <c r="J182" s="187"/>
      <c r="K182" s="494"/>
      <c r="L182" s="187"/>
      <c r="M182" s="494"/>
      <c r="N182" s="187"/>
      <c r="O182" s="494"/>
      <c r="P182" s="187"/>
      <c r="Q182" s="187"/>
      <c r="R182" s="187"/>
      <c r="S182" s="187"/>
      <c r="T182" s="187"/>
      <c r="U182" s="187"/>
      <c r="V182" s="187"/>
      <c r="W182" s="187"/>
      <c r="X182" s="187"/>
      <c r="Y182" s="494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</row>
    <row r="183" spans="1:38">
      <c r="A183" s="6">
        <f t="shared" si="77"/>
        <v>2009</v>
      </c>
      <c r="C183" s="494"/>
      <c r="D183" s="187"/>
      <c r="E183" s="187"/>
      <c r="F183" s="187"/>
      <c r="G183" s="187"/>
      <c r="H183" s="187"/>
      <c r="I183" s="494"/>
      <c r="J183" s="187"/>
      <c r="K183" s="494"/>
      <c r="L183" s="187"/>
      <c r="M183" s="494"/>
      <c r="N183" s="187"/>
      <c r="O183" s="494"/>
      <c r="P183" s="187"/>
      <c r="Q183" s="187"/>
      <c r="R183" s="187"/>
      <c r="S183" s="187"/>
      <c r="T183" s="187"/>
      <c r="U183" s="187"/>
      <c r="V183" s="187"/>
      <c r="W183" s="187"/>
      <c r="X183" s="187"/>
      <c r="Y183" s="494"/>
    </row>
    <row r="184" spans="1:38">
      <c r="A184" s="6">
        <f t="shared" si="77"/>
        <v>2010</v>
      </c>
      <c r="C184" s="494"/>
      <c r="D184" s="187"/>
      <c r="E184" s="187"/>
      <c r="F184" s="187"/>
      <c r="G184" s="187"/>
      <c r="H184" s="187"/>
      <c r="I184" s="494"/>
      <c r="J184" s="187"/>
      <c r="K184" s="494"/>
      <c r="L184" s="187"/>
      <c r="M184" s="494"/>
      <c r="N184" s="187"/>
      <c r="O184" s="494"/>
      <c r="P184" s="187"/>
      <c r="Q184" s="187"/>
      <c r="R184" s="187"/>
      <c r="S184" s="187"/>
      <c r="T184" s="187"/>
      <c r="U184" s="187"/>
      <c r="V184" s="187"/>
      <c r="W184" s="187"/>
      <c r="X184" s="187"/>
      <c r="Y184" s="494"/>
    </row>
    <row r="185" spans="1:38">
      <c r="A185" s="6">
        <f t="shared" si="77"/>
        <v>2011</v>
      </c>
      <c r="C185" s="73">
        <f t="shared" ref="C185:C196" si="79">C34/C141</f>
        <v>0.59775162184476938</v>
      </c>
      <c r="E185" s="73">
        <f t="shared" ref="E185:E196" si="80">E34/E141</f>
        <v>0.27299317224819719</v>
      </c>
      <c r="F185" s="187"/>
      <c r="G185" s="73">
        <f t="shared" ref="G185:G196" si="81">G34/G141</f>
        <v>0.98128742739089492</v>
      </c>
      <c r="H185" s="187"/>
      <c r="I185" s="73"/>
      <c r="J185" s="187"/>
      <c r="L185" s="187"/>
      <c r="M185" s="73">
        <f t="shared" ref="M185:M196" si="82">M34/M141</f>
        <v>0.64303886722364223</v>
      </c>
      <c r="N185" s="187"/>
      <c r="O185" s="73">
        <f t="shared" ref="O185:O196" si="83">O34/O141</f>
        <v>0.63478649181733504</v>
      </c>
      <c r="Q185" s="73">
        <f t="shared" ref="Q185:Q196" si="84">Q34/Q141</f>
        <v>0.33303130379148593</v>
      </c>
      <c r="R185" s="187"/>
      <c r="S185" s="73">
        <f t="shared" ref="S185:S196" si="85">S34/S141</f>
        <v>1.1792826554804916</v>
      </c>
      <c r="T185" s="187"/>
      <c r="U185" s="73"/>
      <c r="V185" s="187"/>
      <c r="X185" s="187"/>
      <c r="Y185" s="73">
        <f t="shared" ref="Y185:Y196" si="86">Y34/Y141</f>
        <v>0.70900712012066958</v>
      </c>
    </row>
    <row r="186" spans="1:38">
      <c r="A186" s="6">
        <f t="shared" si="77"/>
        <v>2012</v>
      </c>
      <c r="C186" s="73">
        <f t="shared" si="79"/>
        <v>0.89546109407746766</v>
      </c>
      <c r="E186" s="73">
        <f t="shared" si="80"/>
        <v>1.6517550679296613</v>
      </c>
      <c r="F186" s="187"/>
      <c r="G186" s="73">
        <f>G35/G142</f>
        <v>1.8903736170956367</v>
      </c>
      <c r="H186" s="187"/>
      <c r="I186" s="73"/>
      <c r="J186" s="502"/>
      <c r="K186" s="494"/>
      <c r="L186" s="187"/>
      <c r="M186" s="73">
        <f t="shared" si="82"/>
        <v>1.1836245007104242</v>
      </c>
      <c r="N186" s="187"/>
      <c r="O186" s="73">
        <f t="shared" si="83"/>
        <v>0.8249373095340109</v>
      </c>
      <c r="Q186" s="73">
        <f t="shared" si="84"/>
        <v>1.7704693943176713</v>
      </c>
      <c r="R186" s="187"/>
      <c r="S186" s="73">
        <f t="shared" si="85"/>
        <v>1.8099918072861612</v>
      </c>
      <c r="T186" s="187"/>
      <c r="U186" s="73"/>
      <c r="V186" s="502"/>
      <c r="W186" s="494"/>
      <c r="X186" s="187"/>
      <c r="Y186" s="73">
        <f t="shared" si="86"/>
        <v>1.1245159309121804</v>
      </c>
    </row>
    <row r="187" spans="1:38">
      <c r="A187" s="6">
        <f t="shared" si="77"/>
        <v>2013</v>
      </c>
      <c r="C187" s="73">
        <f t="shared" si="79"/>
        <v>0.79815127446210821</v>
      </c>
      <c r="E187" s="73">
        <f t="shared" si="80"/>
        <v>0.28789164163876402</v>
      </c>
      <c r="F187" s="187"/>
      <c r="G187" s="73">
        <f t="shared" si="81"/>
        <v>1.7211919483727438</v>
      </c>
      <c r="H187" s="187"/>
      <c r="I187" s="73"/>
      <c r="J187" s="187"/>
      <c r="K187" s="494"/>
      <c r="L187" s="187"/>
      <c r="M187" s="73">
        <f t="shared" si="82"/>
        <v>0.99350164126126506</v>
      </c>
      <c r="N187" s="187"/>
      <c r="O187" s="73">
        <f t="shared" si="83"/>
        <v>0.70721286671250483</v>
      </c>
      <c r="Q187" s="73">
        <f t="shared" si="84"/>
        <v>0.34742183998986148</v>
      </c>
      <c r="R187" s="187"/>
      <c r="S187" s="73">
        <f t="shared" si="85"/>
        <v>1.7275215860389235</v>
      </c>
      <c r="T187" s="187"/>
      <c r="U187" s="73"/>
      <c r="V187" s="187"/>
      <c r="W187" s="494"/>
      <c r="X187" s="187"/>
      <c r="Y187" s="73">
        <f t="shared" si="86"/>
        <v>0.93547566356744072</v>
      </c>
    </row>
    <row r="188" spans="1:38">
      <c r="A188" s="6">
        <f t="shared" si="77"/>
        <v>2014</v>
      </c>
      <c r="C188" s="73">
        <f t="shared" si="79"/>
        <v>0.67982162632455823</v>
      </c>
      <c r="E188" s="73">
        <f t="shared" si="80"/>
        <v>0.88329816800951333</v>
      </c>
      <c r="F188" s="187"/>
      <c r="G188" s="73">
        <f t="shared" si="81"/>
        <v>2.0578567874420344</v>
      </c>
      <c r="H188" s="187"/>
      <c r="I188" s="73">
        <f t="shared" ref="I188:I196" si="87">I37/I144</f>
        <v>3.5227470415417752</v>
      </c>
      <c r="J188" s="187"/>
      <c r="K188" s="73">
        <f t="shared" ref="K188:K196" si="88">K37/K144</f>
        <v>27.607366177944506</v>
      </c>
      <c r="L188" s="187"/>
      <c r="M188" s="73">
        <f t="shared" si="82"/>
        <v>1.1729361134361498</v>
      </c>
      <c r="N188" s="187"/>
      <c r="O188" s="73">
        <f t="shared" si="83"/>
        <v>0.75780960599348779</v>
      </c>
      <c r="Q188" s="73">
        <f t="shared" si="84"/>
        <v>0.89462609292779416</v>
      </c>
      <c r="R188" s="187"/>
      <c r="S188" s="73">
        <f t="shared" si="85"/>
        <v>1.9503133320077242</v>
      </c>
      <c r="T188" s="187"/>
      <c r="U188" s="73">
        <f t="shared" ref="U188:U196" si="89">U37/U144</f>
        <v>0.88269275487243171</v>
      </c>
      <c r="V188" s="187"/>
      <c r="W188" s="73">
        <f t="shared" ref="W188:W196" si="90">W37/W144</f>
        <v>29.005547292754557</v>
      </c>
      <c r="X188" s="187"/>
      <c r="Y188" s="73">
        <f t="shared" si="86"/>
        <v>1.1235307515694564</v>
      </c>
    </row>
    <row r="189" spans="1:38">
      <c r="A189" s="6">
        <f t="shared" si="77"/>
        <v>2015</v>
      </c>
      <c r="C189" s="73">
        <f t="shared" si="79"/>
        <v>1.0432207376500708</v>
      </c>
      <c r="E189" s="73">
        <f t="shared" si="80"/>
        <v>0.54355206270417356</v>
      </c>
      <c r="F189" s="187"/>
      <c r="G189" s="73">
        <f t="shared" si="81"/>
        <v>0.40767557148246936</v>
      </c>
      <c r="H189" s="187"/>
      <c r="I189" s="73">
        <f t="shared" si="87"/>
        <v>1.9852354569877306</v>
      </c>
      <c r="J189" s="187"/>
      <c r="K189" s="73">
        <f t="shared" si="88"/>
        <v>7.9457834950018489</v>
      </c>
      <c r="L189" s="187"/>
      <c r="M189" s="73">
        <f t="shared" si="82"/>
        <v>0.85852304689813963</v>
      </c>
      <c r="N189" s="187"/>
      <c r="O189" s="73">
        <f t="shared" si="83"/>
        <v>1.1387764130627767</v>
      </c>
      <c r="Q189" s="73">
        <f t="shared" si="84"/>
        <v>0.63185720453405747</v>
      </c>
      <c r="R189" s="187"/>
      <c r="S189" s="73">
        <f t="shared" si="85"/>
        <v>0.421018090720781</v>
      </c>
      <c r="T189" s="187"/>
      <c r="U189" s="73">
        <f t="shared" si="89"/>
        <v>2.0897215336712955</v>
      </c>
      <c r="V189" s="187"/>
      <c r="W189" s="73">
        <f t="shared" si="90"/>
        <v>2.5456674260112813</v>
      </c>
      <c r="X189" s="187"/>
      <c r="Y189" s="73">
        <f t="shared" si="86"/>
        <v>0.92788630542297545</v>
      </c>
    </row>
    <row r="190" spans="1:38">
      <c r="A190" s="6">
        <f t="shared" si="77"/>
        <v>2016</v>
      </c>
      <c r="C190" s="73">
        <f t="shared" si="79"/>
        <v>0.91874827169277118</v>
      </c>
      <c r="E190" s="73">
        <f t="shared" si="80"/>
        <v>1.6442431196349678</v>
      </c>
      <c r="F190" s="187"/>
      <c r="G190" s="73">
        <f t="shared" si="81"/>
        <v>1.048927310313891</v>
      </c>
      <c r="H190" s="187"/>
      <c r="I190" s="73">
        <f t="shared" si="87"/>
        <v>1.441657353642178</v>
      </c>
      <c r="J190" s="187"/>
      <c r="K190" s="73">
        <f t="shared" si="88"/>
        <v>50.960128523002744</v>
      </c>
      <c r="L190" s="187"/>
      <c r="M190" s="73">
        <f t="shared" si="82"/>
        <v>1.3735899279132553</v>
      </c>
      <c r="N190" s="187"/>
      <c r="O190" s="73">
        <f t="shared" si="83"/>
        <v>0.87888361914493629</v>
      </c>
      <c r="Q190" s="73">
        <f t="shared" si="84"/>
        <v>0.7908491091044364</v>
      </c>
      <c r="R190" s="187"/>
      <c r="S190" s="73">
        <f t="shared" si="85"/>
        <v>0.9170997621026411</v>
      </c>
      <c r="T190" s="187"/>
      <c r="U190" s="73">
        <f t="shared" si="89"/>
        <v>1.0491348231749784</v>
      </c>
      <c r="V190" s="187"/>
      <c r="W190" s="73">
        <f t="shared" si="90"/>
        <v>49.687077926511606</v>
      </c>
      <c r="X190" s="187"/>
      <c r="Y190" s="73">
        <f t="shared" si="86"/>
        <v>1.2450527175487542</v>
      </c>
    </row>
    <row r="191" spans="1:38">
      <c r="A191" s="6">
        <f t="shared" si="77"/>
        <v>2017</v>
      </c>
      <c r="C191" s="73">
        <f t="shared" si="79"/>
        <v>0.50125609748838418</v>
      </c>
      <c r="E191" s="73">
        <f t="shared" si="80"/>
        <v>0.13106414690723761</v>
      </c>
      <c r="F191" s="187"/>
      <c r="G191" s="73">
        <f t="shared" si="81"/>
        <v>1.019603859018601</v>
      </c>
      <c r="H191" s="187"/>
      <c r="I191" s="73">
        <f t="shared" si="87"/>
        <v>1.8367750923365924</v>
      </c>
      <c r="J191" s="187"/>
      <c r="K191" s="73">
        <f t="shared" si="88"/>
        <v>5.1623505613570293</v>
      </c>
      <c r="L191" s="187"/>
      <c r="M191" s="73">
        <f t="shared" si="82"/>
        <v>0.91085515664245253</v>
      </c>
      <c r="N191" s="187"/>
      <c r="O191" s="73">
        <f t="shared" si="83"/>
        <v>0.54854498405262209</v>
      </c>
      <c r="Q191" s="73">
        <f t="shared" si="84"/>
        <v>0.14788268125600501</v>
      </c>
      <c r="R191" s="187"/>
      <c r="S191" s="73">
        <f t="shared" si="85"/>
        <v>0.87397504428996597</v>
      </c>
      <c r="T191" s="187"/>
      <c r="U191" s="73">
        <f t="shared" si="89"/>
        <v>1.9334474656174658</v>
      </c>
      <c r="V191" s="187"/>
      <c r="W191" s="73">
        <f t="shared" si="90"/>
        <v>4.8218321945712193</v>
      </c>
      <c r="X191" s="187"/>
      <c r="Y191" s="73">
        <f t="shared" si="86"/>
        <v>0.88972020660637707</v>
      </c>
    </row>
    <row r="192" spans="1:38">
      <c r="A192" s="6">
        <f t="shared" si="77"/>
        <v>2018</v>
      </c>
      <c r="C192" s="73">
        <f t="shared" si="79"/>
        <v>1.2306569943515473</v>
      </c>
      <c r="E192" s="73">
        <f t="shared" si="80"/>
        <v>0.58742612841649644</v>
      </c>
      <c r="F192" s="187"/>
      <c r="G192" s="73">
        <f t="shared" si="81"/>
        <v>0.9296118753963073</v>
      </c>
      <c r="H192" s="187"/>
      <c r="I192" s="73">
        <f t="shared" si="87"/>
        <v>0.40749504628626226</v>
      </c>
      <c r="J192" s="187"/>
      <c r="K192" s="73">
        <f t="shared" si="88"/>
        <v>4.0625435695258929</v>
      </c>
      <c r="L192" s="187"/>
      <c r="M192" s="73">
        <f t="shared" si="82"/>
        <v>1.4825054280791601</v>
      </c>
      <c r="N192" s="187"/>
      <c r="O192" s="73">
        <f t="shared" si="83"/>
        <v>1.2125194708474998</v>
      </c>
      <c r="Q192" s="73">
        <f t="shared" si="84"/>
        <v>0.68173848307873131</v>
      </c>
      <c r="R192" s="187"/>
      <c r="S192" s="73">
        <f t="shared" si="85"/>
        <v>0.966089568979145</v>
      </c>
      <c r="T192" s="187"/>
      <c r="U192" s="73">
        <f t="shared" si="89"/>
        <v>0.4289421539855392</v>
      </c>
      <c r="V192" s="187"/>
      <c r="W192" s="73">
        <f t="shared" si="90"/>
        <v>4.1341109664345881</v>
      </c>
      <c r="X192" s="187"/>
      <c r="Y192" s="73">
        <f t="shared" si="86"/>
        <v>1.5301336856182297</v>
      </c>
    </row>
    <row r="193" spans="1:29">
      <c r="A193" s="6">
        <f t="shared" si="77"/>
        <v>2019</v>
      </c>
      <c r="C193" s="73">
        <f t="shared" si="79"/>
        <v>1.1739837973214335</v>
      </c>
      <c r="E193" s="73">
        <f t="shared" si="80"/>
        <v>0.38653337225486467</v>
      </c>
      <c r="F193" s="187"/>
      <c r="G193" s="73">
        <f t="shared" si="81"/>
        <v>1.0810282954614725</v>
      </c>
      <c r="H193" s="187"/>
      <c r="I193" s="73">
        <f t="shared" si="87"/>
        <v>2.3955154861350714</v>
      </c>
      <c r="J193" s="187"/>
      <c r="K193" s="73">
        <f t="shared" si="88"/>
        <v>3.6500185714470446</v>
      </c>
      <c r="L193" s="187"/>
      <c r="M193" s="73">
        <f t="shared" si="82"/>
        <v>1.5391610448580066</v>
      </c>
      <c r="N193" s="187"/>
      <c r="O193" s="73">
        <f t="shared" si="83"/>
        <v>1.3215934702853913</v>
      </c>
      <c r="Q193" s="73">
        <f t="shared" si="84"/>
        <v>0.42387933496883273</v>
      </c>
      <c r="R193" s="187"/>
      <c r="S193" s="73">
        <f t="shared" si="85"/>
        <v>0.95694637759466983</v>
      </c>
      <c r="T193" s="187"/>
      <c r="U193" s="73">
        <f t="shared" si="89"/>
        <v>2.0850490393963423</v>
      </c>
      <c r="V193" s="187"/>
      <c r="W193" s="73">
        <f t="shared" si="90"/>
        <v>3.4742031155993987</v>
      </c>
      <c r="X193" s="187"/>
      <c r="Y193" s="73">
        <f t="shared" si="86"/>
        <v>1.5904794005909135</v>
      </c>
    </row>
    <row r="194" spans="1:29">
      <c r="A194" s="6">
        <f t="shared" si="77"/>
        <v>2020</v>
      </c>
      <c r="C194" s="73">
        <f t="shared" si="79"/>
        <v>0.90658909392538778</v>
      </c>
      <c r="E194" s="73">
        <f t="shared" si="80"/>
        <v>0.52396634709491485</v>
      </c>
      <c r="F194" s="187"/>
      <c r="G194" s="73">
        <f t="shared" si="81"/>
        <v>1.2827010485749308</v>
      </c>
      <c r="H194" s="187"/>
      <c r="I194" s="73">
        <f t="shared" si="87"/>
        <v>1.030936477247907</v>
      </c>
      <c r="J194" s="187"/>
      <c r="K194" s="73">
        <f t="shared" si="88"/>
        <v>0.71128616351085672</v>
      </c>
      <c r="L194" s="187"/>
      <c r="M194" s="73">
        <f t="shared" si="82"/>
        <v>0.93957768688477883</v>
      </c>
      <c r="N194" s="187"/>
      <c r="O194" s="73">
        <f t="shared" si="83"/>
        <v>1.0420238950641956</v>
      </c>
      <c r="Q194" s="73">
        <f t="shared" si="84"/>
        <v>0.3936970705131807</v>
      </c>
      <c r="R194" s="187"/>
      <c r="S194" s="73">
        <f t="shared" si="85"/>
        <v>1.2656879586305829</v>
      </c>
      <c r="T194" s="187"/>
      <c r="U194" s="73">
        <f t="shared" si="89"/>
        <v>0.83818954392075384</v>
      </c>
      <c r="V194" s="187"/>
      <c r="W194" s="73">
        <f t="shared" si="90"/>
        <v>0.60880920961565266</v>
      </c>
      <c r="X194" s="187"/>
      <c r="Y194" s="73">
        <f t="shared" si="86"/>
        <v>0.96987586954313265</v>
      </c>
    </row>
    <row r="195" spans="1:29">
      <c r="A195" s="6">
        <f t="shared" si="77"/>
        <v>2021</v>
      </c>
      <c r="C195" s="73">
        <f t="shared" si="79"/>
        <v>0.65591196941017438</v>
      </c>
      <c r="E195" s="73">
        <f t="shared" si="80"/>
        <v>0.55351223588457643</v>
      </c>
      <c r="F195" s="187"/>
      <c r="G195" s="73">
        <f t="shared" si="81"/>
        <v>1.3710531811919402</v>
      </c>
      <c r="H195" s="187"/>
      <c r="I195" s="73">
        <f t="shared" si="87"/>
        <v>3.5905351090451019</v>
      </c>
      <c r="J195" s="187"/>
      <c r="K195" s="73">
        <f t="shared" si="88"/>
        <v>2.7316095490389709</v>
      </c>
      <c r="L195" s="187"/>
      <c r="M195" s="73">
        <f t="shared" si="82"/>
        <v>1.0318176553180842</v>
      </c>
      <c r="N195" s="187"/>
      <c r="O195" s="73">
        <f t="shared" si="83"/>
        <v>0.74748750795425878</v>
      </c>
      <c r="Q195" s="73">
        <f t="shared" si="84"/>
        <v>0.3904525398597038</v>
      </c>
      <c r="R195" s="187"/>
      <c r="S195" s="73">
        <f t="shared" si="85"/>
        <v>1.2293756707915027</v>
      </c>
      <c r="T195" s="187"/>
      <c r="U195" s="73">
        <f t="shared" si="89"/>
        <v>3.2485471792568239</v>
      </c>
      <c r="V195" s="187"/>
      <c r="W195" s="73">
        <f t="shared" si="90"/>
        <v>2.3357776837531734</v>
      </c>
      <c r="X195" s="187"/>
      <c r="Y195" s="73">
        <f t="shared" si="86"/>
        <v>1.0514282635526384</v>
      </c>
    </row>
    <row r="196" spans="1:29">
      <c r="A196" s="6">
        <f t="shared" si="77"/>
        <v>2022</v>
      </c>
      <c r="C196" s="73">
        <f t="shared" si="79"/>
        <v>0.80830110236853225</v>
      </c>
      <c r="E196" s="73">
        <f t="shared" si="80"/>
        <v>0.7</v>
      </c>
      <c r="F196" s="187"/>
      <c r="G196" s="73">
        <f t="shared" si="81"/>
        <v>0.9014775890448139</v>
      </c>
      <c r="H196" s="187"/>
      <c r="I196" s="73">
        <f t="shared" si="87"/>
        <v>1.27444285218742</v>
      </c>
      <c r="J196" s="187"/>
      <c r="K196" s="73">
        <f t="shared" si="88"/>
        <v>1.3268163817972394</v>
      </c>
      <c r="L196" s="187"/>
      <c r="M196" s="73">
        <f t="shared" si="82"/>
        <v>0.8721863470819734</v>
      </c>
      <c r="N196" s="187"/>
      <c r="O196" s="73">
        <f t="shared" si="83"/>
        <v>0.9046336998111052</v>
      </c>
      <c r="Q196" s="73">
        <f t="shared" si="84"/>
        <v>0.65791280386501105</v>
      </c>
      <c r="R196" s="187"/>
      <c r="S196" s="73">
        <f t="shared" si="85"/>
        <v>0.89677347339142499</v>
      </c>
      <c r="T196" s="187"/>
      <c r="U196" s="73">
        <f t="shared" si="89"/>
        <v>0.80557035296190616</v>
      </c>
      <c r="V196" s="187"/>
      <c r="W196" s="73">
        <f t="shared" si="90"/>
        <v>1.1789724503532006</v>
      </c>
      <c r="X196" s="187"/>
      <c r="Y196" s="73">
        <f t="shared" si="86"/>
        <v>0.8914514932567007</v>
      </c>
    </row>
    <row r="197" spans="1:29">
      <c r="C197" s="200"/>
      <c r="D197" s="18"/>
      <c r="E197" s="200"/>
      <c r="F197" s="18"/>
      <c r="G197" s="200"/>
      <c r="H197" s="18"/>
      <c r="I197" s="200"/>
      <c r="J197" s="18"/>
      <c r="K197" s="200"/>
      <c r="L197" s="18"/>
      <c r="M197" s="200"/>
      <c r="N197" s="18"/>
      <c r="O197" s="200"/>
      <c r="P197" s="18"/>
      <c r="Q197" s="200"/>
      <c r="R197" s="18"/>
      <c r="S197" s="200"/>
      <c r="T197" s="18"/>
      <c r="U197" s="200"/>
      <c r="V197" s="18"/>
      <c r="W197" s="200"/>
      <c r="X197" s="18"/>
      <c r="Y197" s="200"/>
    </row>
    <row r="198" spans="1:29">
      <c r="A198" s="2" t="s">
        <v>0</v>
      </c>
      <c r="C198" s="73">
        <f>SUM(C34:C45)/C154</f>
        <v>0.83146698206431835</v>
      </c>
      <c r="E198" s="73">
        <f>SUM(E34:E45)/E154</f>
        <v>0.74877164206616109</v>
      </c>
      <c r="F198" s="73"/>
      <c r="G198" s="73">
        <f>SUM(G34:G45)/G154</f>
        <v>1.2480636916204171</v>
      </c>
      <c r="H198" s="73"/>
      <c r="I198" s="73">
        <f>SUM(I34:I45)/I154</f>
        <v>1.8635037360875431</v>
      </c>
      <c r="J198" s="73"/>
      <c r="K198" s="73">
        <f>SUM(K34:K45)/K154</f>
        <v>3.6013475819857415</v>
      </c>
      <c r="L198" s="73"/>
      <c r="M198" s="73">
        <f>SUM(M34:M45)/M154</f>
        <v>1.0762344376392856</v>
      </c>
      <c r="N198" s="147"/>
      <c r="O198" s="73">
        <f>SUM(O34:O45)/O154</f>
        <v>0.86340624414179112</v>
      </c>
      <c r="Q198" s="73">
        <f>SUM(Q34:Q45)/Q154</f>
        <v>0.6741254078649892</v>
      </c>
      <c r="R198" s="73"/>
      <c r="S198" s="73">
        <f>SUM(S34:S45)/S154</f>
        <v>1.1911592944396168</v>
      </c>
      <c r="T198" s="73"/>
      <c r="U198" s="73">
        <f>SUM(U34:U45)/U154</f>
        <v>1.3948757688435238</v>
      </c>
      <c r="V198" s="73"/>
      <c r="W198" s="73">
        <f>SUM(W34:W45)/W154</f>
        <v>3.4563084550293546</v>
      </c>
      <c r="X198" s="73"/>
      <c r="Y198" s="73">
        <f>SUM(Y34:Y45)/Y154</f>
        <v>1.0719397397040753</v>
      </c>
    </row>
    <row r="200" spans="1:29">
      <c r="AA200" s="1" t="s">
        <v>1895</v>
      </c>
    </row>
    <row r="201" spans="1:29">
      <c r="C201" s="187">
        <f>SUM(C34:C43)</f>
        <v>179356804.13785335</v>
      </c>
      <c r="E201" s="187">
        <f>SUM(E34:E43)</f>
        <v>18550877.585866712</v>
      </c>
      <c r="G201" s="187">
        <f>SUM(G34:G43)</f>
        <v>109362680.25583582</v>
      </c>
      <c r="I201" s="187">
        <f>SUM(I34:I43)</f>
        <v>16935326.72987505</v>
      </c>
      <c r="K201" s="187">
        <f>SUM(K34:K43)</f>
        <v>55788405.788213342</v>
      </c>
      <c r="M201" s="187">
        <f>SUM(E201:K201)</f>
        <v>200637290.35979092</v>
      </c>
      <c r="O201" s="187">
        <f>SUM(O34:O43)</f>
        <v>153379308.41473821</v>
      </c>
      <c r="Q201" s="187">
        <f>SUM(Q34:Q43)</f>
        <v>14127876.401501318</v>
      </c>
      <c r="S201" s="187">
        <f>SUM(S34:S43)</f>
        <v>87837878.169569612</v>
      </c>
      <c r="U201" s="187">
        <f>SUM(U34:U43)</f>
        <v>12163011.489875052</v>
      </c>
      <c r="W201" s="187">
        <f>SUM(W34:W43)</f>
        <v>51286207.656581923</v>
      </c>
      <c r="Y201" s="187">
        <f>SUM(Q201:W201)</f>
        <v>165414973.7175279</v>
      </c>
      <c r="AA201" s="17">
        <f>'[1]Vicarious Liability'!$Y$34</f>
        <v>27133790.572813276</v>
      </c>
      <c r="AB201" s="187">
        <f>M201-AA201</f>
        <v>173503499.78697765</v>
      </c>
    </row>
    <row r="202" spans="1:29">
      <c r="C202" s="187">
        <f>SUM(C141:C150)</f>
        <v>211444745.63000005</v>
      </c>
      <c r="E202" s="187">
        <f>SUM(E141:E150)</f>
        <v>24063927.329999998</v>
      </c>
      <c r="G202" s="187">
        <f>SUM(G141:G150)</f>
        <v>86870614.110000029</v>
      </c>
      <c r="I202" s="187">
        <f>SUM(I141:I150)</f>
        <v>9928095.369870862</v>
      </c>
      <c r="K202" s="187">
        <f>SUM(K141:K150)</f>
        <v>14006609.269999985</v>
      </c>
      <c r="M202" s="187">
        <f>SUM(E202:K202)</f>
        <v>134869246.07987088</v>
      </c>
      <c r="O202" s="187">
        <f>SUM(O141:O150)</f>
        <v>176502226.24883038</v>
      </c>
      <c r="Q202" s="187">
        <f>SUM(Q141:Q150)</f>
        <v>20186073.388151538</v>
      </c>
      <c r="S202" s="187">
        <f>SUM(S141:S150)</f>
        <v>73009785.942115605</v>
      </c>
      <c r="U202" s="187">
        <f>SUM(U141:U150)</f>
        <v>9431690.6013773195</v>
      </c>
      <c r="W202" s="187">
        <f>SUM(W141:W150)</f>
        <v>13306278.806499984</v>
      </c>
      <c r="Y202" s="187">
        <f>SUM(Q202:W202)</f>
        <v>115933828.73814446</v>
      </c>
      <c r="AA202" s="17">
        <f>SUM('[1]Vicarious Liability'!$G$34:$J$34)</f>
        <v>10317965.449999999</v>
      </c>
      <c r="AB202" s="187">
        <f>M202-AA202</f>
        <v>124551280.62987088</v>
      </c>
    </row>
    <row r="203" spans="1:29">
      <c r="AA203" s="17"/>
    </row>
    <row r="204" spans="1:29">
      <c r="C204" s="628">
        <f>C201/C202</f>
        <v>0.84824431840791026</v>
      </c>
      <c r="M204" s="628">
        <f>M201/M202</f>
        <v>1.487643003809568</v>
      </c>
      <c r="O204" s="628">
        <f>O201/O202</f>
        <v>0.86899361936945885</v>
      </c>
      <c r="Q204" s="628"/>
      <c r="S204" s="628"/>
      <c r="U204" s="628"/>
      <c r="W204" s="628"/>
      <c r="Y204" s="628">
        <f>Y201/Y202</f>
        <v>1.4268050621457928</v>
      </c>
      <c r="AA204" s="17"/>
      <c r="AB204" s="628">
        <f>AB201/AB202</f>
        <v>1.3930286297302563</v>
      </c>
      <c r="AC204" s="628">
        <f>AB210/AB204</f>
        <v>0.62948542702522248</v>
      </c>
    </row>
    <row r="205" spans="1:29">
      <c r="W205" s="628"/>
      <c r="AA205" s="17"/>
    </row>
    <row r="206" spans="1:29">
      <c r="AA206" s="17" t="s">
        <v>718</v>
      </c>
    </row>
    <row r="207" spans="1:29">
      <c r="AA207" s="17">
        <f>'[1]Vicarious Liability'!$Y$14</f>
        <v>8016867.6370319687</v>
      </c>
      <c r="AB207" s="187">
        <f>C201-AA207</f>
        <v>171339936.50082138</v>
      </c>
    </row>
    <row r="208" spans="1:29">
      <c r="AA208" s="17">
        <f>SUM('[1]Vicarious Liability'!$G$14:$J$14)</f>
        <v>16050000.840000002</v>
      </c>
      <c r="AB208" s="187">
        <f>C202-AA208</f>
        <v>195394744.79000005</v>
      </c>
    </row>
    <row r="210" spans="27:29">
      <c r="AA210" s="55"/>
      <c r="AB210" s="628">
        <f>AB207/AB208</f>
        <v>0.87689122184411095</v>
      </c>
      <c r="AC210" s="628"/>
    </row>
  </sheetData>
  <mergeCells count="2">
    <mergeCell ref="A157:Y157"/>
    <mergeCell ref="A159:Y159"/>
  </mergeCells>
  <printOptions horizontalCentered="1"/>
  <pageMargins left="0.25" right="0.25" top="0.75" bottom="0.75" header="0.3" footer="0.3"/>
  <pageSetup scale="58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3">
    <tabColor rgb="FFFF0000"/>
    <pageSetUpPr fitToPage="1"/>
  </sheetPr>
  <dimension ref="A1:CY138"/>
  <sheetViews>
    <sheetView topLeftCell="AW3" zoomScaleNormal="100" workbookViewId="0">
      <selection activeCell="AV11" sqref="AV11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3.7109375" style="1" customWidth="1"/>
    <col min="14" max="14" width="2.7109375" style="1" customWidth="1"/>
    <col min="15" max="15" width="12.7109375" style="1" customWidth="1"/>
    <col min="16" max="16" width="1.7109375" style="1" customWidth="1"/>
    <col min="17" max="17" width="12.7109375" style="1" customWidth="1"/>
    <col min="18" max="18" width="1.7109375" style="1" customWidth="1"/>
    <col min="19" max="19" width="12.7109375" style="1" customWidth="1"/>
    <col min="20" max="20" width="1.7109375" style="1" customWidth="1"/>
    <col min="21" max="21" width="11.7109375" style="1" customWidth="1"/>
    <col min="22" max="22" width="1.7109375" style="1" customWidth="1"/>
    <col min="23" max="23" width="11.7109375" style="1" customWidth="1"/>
    <col min="24" max="24" width="1.7109375" style="1" customWidth="1"/>
    <col min="25" max="25" width="13.7109375" style="1" customWidth="1"/>
    <col min="26" max="26" width="13.7109375" style="1" bestFit="1" customWidth="1"/>
    <col min="27" max="87" width="12.7109375" style="1" customWidth="1"/>
    <col min="88" max="16384" width="8.7109375" style="1"/>
  </cols>
  <sheetData>
    <row r="1" spans="1:103">
      <c r="Y1" s="64" t="s">
        <v>116</v>
      </c>
    </row>
    <row r="2" spans="1:103">
      <c r="Y2" s="64" t="s">
        <v>66</v>
      </c>
    </row>
    <row r="4" spans="1:103" ht="16">
      <c r="A4" s="4" t="s">
        <v>886</v>
      </c>
      <c r="B4" s="4"/>
      <c r="C4" s="4"/>
      <c r="D4" s="4"/>
      <c r="E4" s="4"/>
      <c r="F4" s="4"/>
      <c r="G4" s="4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</row>
    <row r="5" spans="1:103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</row>
    <row r="6" spans="1:103">
      <c r="A6" s="5" t="s">
        <v>183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</row>
    <row r="7" spans="1:103">
      <c r="A7" s="133" t="s">
        <v>432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</row>
    <row r="10" spans="1:103">
      <c r="D10" s="3"/>
      <c r="P10" s="3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223"/>
      <c r="AO10" s="379"/>
      <c r="AP10" s="379"/>
      <c r="AQ10" s="379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223"/>
      <c r="BF10" s="379"/>
      <c r="BG10" s="169"/>
      <c r="BH10" s="300"/>
      <c r="BI10" s="300"/>
      <c r="BJ10" s="301"/>
      <c r="BK10" s="61"/>
      <c r="BL10" s="61"/>
      <c r="BM10" s="61"/>
      <c r="BN10" s="61"/>
      <c r="BO10" s="61"/>
      <c r="BP10" s="61"/>
      <c r="CH10" s="6"/>
    </row>
    <row r="11" spans="1:103">
      <c r="AA11" s="121" t="s">
        <v>515</v>
      </c>
      <c r="AB11" s="61"/>
      <c r="AC11" s="61"/>
      <c r="AD11" s="61"/>
      <c r="AE11" s="61"/>
      <c r="AF11" s="61"/>
      <c r="AG11" s="61"/>
      <c r="AH11" s="61"/>
      <c r="AI11" s="61"/>
      <c r="AJ11" s="61"/>
      <c r="AK11" s="25" t="s">
        <v>1759</v>
      </c>
      <c r="AL11" s="61"/>
      <c r="AM11" s="61"/>
      <c r="AN11" s="172"/>
      <c r="AO11" s="379"/>
      <c r="AP11" s="379"/>
      <c r="AQ11" s="379"/>
      <c r="AR11" s="121" t="s">
        <v>733</v>
      </c>
      <c r="AS11" s="61"/>
      <c r="AT11" s="61"/>
      <c r="AU11" s="61"/>
      <c r="AV11" s="61"/>
      <c r="AW11" s="61"/>
      <c r="AX11" s="61"/>
      <c r="AY11" s="61"/>
      <c r="AZ11" s="61"/>
      <c r="BA11" s="61"/>
      <c r="BB11" s="25" t="s">
        <v>1759</v>
      </c>
      <c r="BC11" s="61"/>
      <c r="BD11" s="97"/>
      <c r="BE11" s="302"/>
      <c r="BF11" s="379"/>
      <c r="BG11" s="169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</row>
    <row r="12" spans="1:103">
      <c r="A12" s="6" t="s">
        <v>3</v>
      </c>
      <c r="C12" s="7" t="s">
        <v>460</v>
      </c>
      <c r="D12" s="8"/>
      <c r="E12" s="8"/>
      <c r="F12" s="8"/>
      <c r="G12" s="8"/>
      <c r="H12" s="8"/>
      <c r="I12" s="8"/>
      <c r="J12" s="8"/>
      <c r="K12" s="8"/>
      <c r="N12" s="2"/>
      <c r="O12" s="7" t="s">
        <v>118</v>
      </c>
      <c r="P12" s="8"/>
      <c r="Q12" s="8"/>
      <c r="R12" s="8"/>
      <c r="S12" s="8"/>
      <c r="T12" s="8"/>
      <c r="U12" s="8"/>
      <c r="V12" s="8"/>
      <c r="W12" s="8"/>
      <c r="X12" s="2"/>
      <c r="Y12" s="2"/>
      <c r="AA12" s="25" t="s">
        <v>3</v>
      </c>
      <c r="AB12" s="61"/>
      <c r="AC12" s="255" t="s">
        <v>460</v>
      </c>
      <c r="AD12" s="256"/>
      <c r="AE12" s="256"/>
      <c r="AF12" s="256"/>
      <c r="AG12" s="256"/>
      <c r="AH12" s="256"/>
      <c r="AI12" s="256"/>
      <c r="AJ12" s="256"/>
      <c r="AK12" s="25" t="s">
        <v>1761</v>
      </c>
      <c r="AL12" s="256"/>
      <c r="AM12" s="97" t="s">
        <v>0</v>
      </c>
      <c r="AN12" s="302"/>
      <c r="AP12" s="302"/>
      <c r="AQ12" s="230"/>
      <c r="AR12" s="25" t="s">
        <v>3</v>
      </c>
      <c r="AS12" s="61"/>
      <c r="AT12" s="255" t="s">
        <v>734</v>
      </c>
      <c r="AU12" s="256"/>
      <c r="AV12" s="256"/>
      <c r="AW12" s="256"/>
      <c r="AX12" s="256"/>
      <c r="AY12" s="256"/>
      <c r="AZ12" s="256"/>
      <c r="BA12" s="256"/>
      <c r="BB12" s="25" t="s">
        <v>1761</v>
      </c>
      <c r="BC12" s="256"/>
      <c r="BD12" s="97"/>
      <c r="BE12" s="97"/>
      <c r="BG12" s="169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</row>
    <row r="13" spans="1:103">
      <c r="A13" s="6" t="s">
        <v>4</v>
      </c>
      <c r="C13" s="2" t="s">
        <v>115</v>
      </c>
      <c r="E13" s="2" t="s">
        <v>646</v>
      </c>
      <c r="G13" s="2" t="s">
        <v>505</v>
      </c>
      <c r="I13" s="2" t="s">
        <v>329</v>
      </c>
      <c r="K13" s="2" t="s">
        <v>478</v>
      </c>
      <c r="M13" s="2" t="s">
        <v>0</v>
      </c>
      <c r="O13" s="2" t="s">
        <v>115</v>
      </c>
      <c r="Q13" s="2" t="s">
        <v>646</v>
      </c>
      <c r="S13" s="2" t="s">
        <v>505</v>
      </c>
      <c r="U13" s="2" t="s">
        <v>329</v>
      </c>
      <c r="W13" s="2" t="s">
        <v>478</v>
      </c>
      <c r="Y13" s="2" t="s">
        <v>0</v>
      </c>
      <c r="AA13" s="25" t="s">
        <v>4</v>
      </c>
      <c r="AB13" s="97" t="s">
        <v>516</v>
      </c>
      <c r="AC13" s="97" t="s">
        <v>517</v>
      </c>
      <c r="AD13" s="25" t="s">
        <v>518</v>
      </c>
      <c r="AE13" s="97" t="s">
        <v>519</v>
      </c>
      <c r="AF13" s="97" t="s">
        <v>520</v>
      </c>
      <c r="AG13" s="97" t="s">
        <v>521</v>
      </c>
      <c r="AH13" s="25" t="s">
        <v>522</v>
      </c>
      <c r="AI13" s="97" t="s">
        <v>329</v>
      </c>
      <c r="AJ13" s="97" t="s">
        <v>478</v>
      </c>
      <c r="AK13" s="25" t="s">
        <v>1760</v>
      </c>
      <c r="AL13" s="97" t="s">
        <v>0</v>
      </c>
      <c r="AM13" s="97" t="s">
        <v>1378</v>
      </c>
      <c r="AN13" s="97" t="s">
        <v>18</v>
      </c>
      <c r="AP13" s="97"/>
      <c r="AQ13" s="230"/>
      <c r="AR13" s="25" t="s">
        <v>4</v>
      </c>
      <c r="AS13" s="97"/>
      <c r="AT13" s="97" t="s">
        <v>664</v>
      </c>
      <c r="AU13" s="25"/>
      <c r="AV13" s="97" t="s">
        <v>736</v>
      </c>
      <c r="AW13" s="97" t="s">
        <v>520</v>
      </c>
      <c r="AX13" s="97" t="s">
        <v>521</v>
      </c>
      <c r="AY13" s="25" t="s">
        <v>522</v>
      </c>
      <c r="AZ13" s="97" t="s">
        <v>329</v>
      </c>
      <c r="BA13" s="97" t="s">
        <v>478</v>
      </c>
      <c r="BB13" s="25" t="s">
        <v>1760</v>
      </c>
      <c r="BC13" s="97" t="s">
        <v>0</v>
      </c>
      <c r="BG13" s="169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</row>
    <row r="14" spans="1:103">
      <c r="A14" s="9">
        <v>-1</v>
      </c>
      <c r="C14" s="10">
        <v>-2</v>
      </c>
      <c r="E14" s="9">
        <v>-3</v>
      </c>
      <c r="G14" s="9">
        <v>-4</v>
      </c>
      <c r="I14" s="9">
        <v>-5</v>
      </c>
      <c r="K14" s="9">
        <v>-6</v>
      </c>
      <c r="M14" s="9">
        <v>-7</v>
      </c>
      <c r="O14" s="9">
        <v>-8</v>
      </c>
      <c r="Q14" s="9">
        <v>-9</v>
      </c>
      <c r="S14" s="9">
        <v>-10</v>
      </c>
      <c r="U14" s="9">
        <v>-11</v>
      </c>
      <c r="W14" s="9">
        <v>-12</v>
      </c>
      <c r="Y14" s="9">
        <v>-13</v>
      </c>
      <c r="AA14" s="193">
        <v>-1</v>
      </c>
      <c r="AB14" s="61"/>
      <c r="AC14" s="143"/>
      <c r="AD14" s="61"/>
      <c r="AE14" s="193"/>
      <c r="AF14" s="193"/>
      <c r="AG14" s="193"/>
      <c r="AH14" s="61"/>
      <c r="AI14" s="193"/>
      <c r="AJ14" s="61"/>
      <c r="AK14" s="193"/>
      <c r="AL14" s="193"/>
      <c r="AM14" s="193"/>
      <c r="AN14" s="193"/>
      <c r="AP14" s="164"/>
      <c r="AQ14" s="25"/>
      <c r="AR14" s="193">
        <v>-1</v>
      </c>
      <c r="AS14" s="143"/>
      <c r="AT14" s="143"/>
      <c r="AU14" s="143"/>
      <c r="AV14" s="193"/>
      <c r="AW14" s="193"/>
      <c r="AX14" s="193"/>
      <c r="AY14" s="61"/>
      <c r="AZ14" s="193"/>
      <c r="BA14" s="61"/>
      <c r="BB14" s="193"/>
      <c r="BC14" s="193"/>
      <c r="BD14" s="223"/>
      <c r="BE14" s="379"/>
      <c r="BG14" s="169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</row>
    <row r="15" spans="1:103">
      <c r="Z15" s="19"/>
      <c r="AA15" s="164"/>
      <c r="AB15" s="61"/>
      <c r="AC15" s="164"/>
      <c r="AD15" s="61"/>
      <c r="AE15" s="164"/>
      <c r="AF15" s="164"/>
      <c r="AG15" s="164"/>
      <c r="AH15" s="61"/>
      <c r="AI15" s="164"/>
      <c r="AJ15" s="61"/>
      <c r="AK15" s="164"/>
      <c r="AL15" s="61"/>
      <c r="AM15" s="223"/>
      <c r="AN15" s="379"/>
      <c r="AP15" s="379"/>
      <c r="AQ15" s="379"/>
      <c r="AR15" s="164"/>
      <c r="AS15" s="61"/>
      <c r="AT15" s="164"/>
      <c r="AU15" s="61"/>
      <c r="AV15" s="164"/>
      <c r="AW15" s="164"/>
      <c r="AX15" s="164"/>
      <c r="AY15" s="61"/>
      <c r="AZ15" s="164"/>
      <c r="BA15" s="61"/>
      <c r="BB15" s="164"/>
      <c r="BC15" s="61"/>
      <c r="BD15" s="61"/>
      <c r="BE15" s="61"/>
      <c r="BG15" s="169"/>
      <c r="BH15" s="300"/>
      <c r="BI15" s="300"/>
      <c r="BJ15" s="300"/>
      <c r="BK15" s="61"/>
      <c r="BL15" s="61"/>
      <c r="BM15" s="61"/>
      <c r="BN15" s="61"/>
      <c r="BO15" s="61"/>
      <c r="BP15" s="61"/>
    </row>
    <row r="16" spans="1:103">
      <c r="A16" s="6" t="s">
        <v>2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P16" s="61"/>
      <c r="AQ16" s="61"/>
      <c r="AR16" s="61"/>
      <c r="AS16" s="61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172"/>
      <c r="BE16" s="39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Z16" s="18"/>
    </row>
    <row r="17" spans="1:86">
      <c r="A17" s="6">
        <v>1994</v>
      </c>
      <c r="B17" s="18"/>
      <c r="C17" s="497">
        <v>34683046.140000001</v>
      </c>
      <c r="D17" s="497"/>
      <c r="E17" s="594">
        <v>0</v>
      </c>
      <c r="F17" s="497"/>
      <c r="G17" s="594">
        <v>0</v>
      </c>
      <c r="H17" s="497"/>
      <c r="I17" s="594">
        <v>0</v>
      </c>
      <c r="J17" s="497"/>
      <c r="K17" s="594">
        <v>0</v>
      </c>
      <c r="L17" s="147"/>
      <c r="M17" s="497">
        <f>SUM(C17:K17)</f>
        <v>34683046.140000001</v>
      </c>
      <c r="N17" s="147"/>
      <c r="O17" s="594">
        <v>22152982.66</v>
      </c>
      <c r="P17" s="497"/>
      <c r="Q17" s="594">
        <v>0</v>
      </c>
      <c r="R17" s="497"/>
      <c r="S17" s="594">
        <v>0</v>
      </c>
      <c r="T17" s="497"/>
      <c r="U17" s="594">
        <v>0</v>
      </c>
      <c r="V17" s="497"/>
      <c r="W17" s="594">
        <v>0</v>
      </c>
      <c r="X17" s="497"/>
      <c r="Y17" s="497">
        <f>SUM(O17:W17)</f>
        <v>22152982.66</v>
      </c>
      <c r="Z17" s="19"/>
      <c r="AA17" s="25">
        <v>1994</v>
      </c>
      <c r="AB17" s="355">
        <v>25659084.629999999</v>
      </c>
      <c r="AC17" s="355">
        <v>9014361.5099999998</v>
      </c>
      <c r="AD17" s="355">
        <v>9600</v>
      </c>
      <c r="AE17" s="355">
        <v>0</v>
      </c>
      <c r="AF17" s="355">
        <v>0</v>
      </c>
      <c r="AG17" s="355">
        <v>0</v>
      </c>
      <c r="AH17" s="355">
        <v>0</v>
      </c>
      <c r="AI17" s="355">
        <v>0</v>
      </c>
      <c r="AJ17" s="355">
        <v>0</v>
      </c>
      <c r="AK17" s="172">
        <v>0</v>
      </c>
      <c r="AL17" s="355">
        <f>SUM(AB17:AJ17)</f>
        <v>34683046.140000001</v>
      </c>
      <c r="AM17" s="172"/>
      <c r="AN17" s="39"/>
      <c r="AP17" s="31"/>
      <c r="AQ17" s="379"/>
      <c r="AR17" s="25">
        <v>1994</v>
      </c>
      <c r="AS17" s="355"/>
      <c r="AT17" s="355">
        <v>22143382.66</v>
      </c>
      <c r="AU17" s="355"/>
      <c r="AV17" s="355">
        <v>9600</v>
      </c>
      <c r="AW17" s="355">
        <v>0</v>
      </c>
      <c r="AX17" s="355">
        <v>0</v>
      </c>
      <c r="AY17" s="355">
        <v>0</v>
      </c>
      <c r="AZ17" s="355">
        <v>0</v>
      </c>
      <c r="BA17" s="355">
        <v>0</v>
      </c>
      <c r="BB17" s="355">
        <v>0</v>
      </c>
      <c r="BC17" s="355">
        <f>SUM(AT17:BB17)</f>
        <v>22152982.66</v>
      </c>
      <c r="BE17" s="39"/>
      <c r="BG17" s="169"/>
      <c r="BH17" s="18"/>
      <c r="BI17" s="300"/>
      <c r="BJ17" s="380"/>
      <c r="BK17" s="198"/>
      <c r="BL17" s="61"/>
      <c r="BM17" s="61"/>
      <c r="BN17" s="18"/>
      <c r="BO17" s="61"/>
      <c r="BP17" s="18"/>
      <c r="BW17" s="19"/>
      <c r="BY17" s="18"/>
      <c r="BZ17" s="18"/>
      <c r="CB17" s="198"/>
      <c r="CC17" s="198"/>
      <c r="CD17" s="18"/>
    </row>
    <row r="18" spans="1:86">
      <c r="A18" s="6">
        <f>A17+1</f>
        <v>1995</v>
      </c>
      <c r="B18" s="18"/>
      <c r="C18" s="20">
        <v>53979371.119999997</v>
      </c>
      <c r="D18" s="187"/>
      <c r="E18" s="494">
        <v>0</v>
      </c>
      <c r="F18" s="187"/>
      <c r="G18" s="494">
        <v>0</v>
      </c>
      <c r="H18" s="187"/>
      <c r="I18" s="494">
        <v>0</v>
      </c>
      <c r="J18" s="187"/>
      <c r="K18" s="494">
        <v>0</v>
      </c>
      <c r="L18" s="187"/>
      <c r="M18" s="494">
        <f t="shared" ref="M18:M44" si="0">SUM(C18:K18)</f>
        <v>53979371.119999997</v>
      </c>
      <c r="N18" s="187"/>
      <c r="O18" s="494">
        <v>25982509.75</v>
      </c>
      <c r="P18" s="187"/>
      <c r="Q18" s="494">
        <v>0</v>
      </c>
      <c r="R18" s="187"/>
      <c r="S18" s="494">
        <v>0</v>
      </c>
      <c r="T18" s="187"/>
      <c r="U18" s="494">
        <v>0</v>
      </c>
      <c r="V18" s="187"/>
      <c r="W18" s="494">
        <v>0</v>
      </c>
      <c r="X18" s="187"/>
      <c r="Y18" s="494">
        <f t="shared" ref="Y18:Y44" si="1">SUM(O18:W18)</f>
        <v>25982509.75</v>
      </c>
      <c r="Z18" s="19"/>
      <c r="AA18" s="25">
        <f>AA17+1</f>
        <v>1995</v>
      </c>
      <c r="AB18" s="355">
        <v>27896034.309999995</v>
      </c>
      <c r="AC18" s="355">
        <v>25158701.43</v>
      </c>
      <c r="AD18" s="355">
        <v>674635.38</v>
      </c>
      <c r="AE18" s="355">
        <v>250000</v>
      </c>
      <c r="AF18" s="355">
        <v>0</v>
      </c>
      <c r="AG18" s="355">
        <v>0</v>
      </c>
      <c r="AH18" s="355">
        <v>0</v>
      </c>
      <c r="AI18" s="355">
        <v>0</v>
      </c>
      <c r="AJ18" s="355">
        <v>0</v>
      </c>
      <c r="AK18" s="172">
        <v>0</v>
      </c>
      <c r="AL18" s="355">
        <f t="shared" ref="AL18:AL44" si="2">SUM(AB18:AJ18)</f>
        <v>53979371.119999997</v>
      </c>
      <c r="AM18" s="172"/>
      <c r="AN18" s="39"/>
      <c r="AP18" s="31"/>
      <c r="AQ18" s="379"/>
      <c r="AR18" s="25">
        <f>AR17+1</f>
        <v>1995</v>
      </c>
      <c r="AS18" s="355"/>
      <c r="AT18" s="355">
        <v>25331942.579999998</v>
      </c>
      <c r="AU18" s="355"/>
      <c r="AV18" s="355">
        <v>650567.16999999993</v>
      </c>
      <c r="AW18" s="355">
        <v>0</v>
      </c>
      <c r="AX18" s="355">
        <v>0</v>
      </c>
      <c r="AY18" s="355">
        <v>0</v>
      </c>
      <c r="AZ18" s="355">
        <v>0</v>
      </c>
      <c r="BA18" s="355">
        <v>0</v>
      </c>
      <c r="BB18" s="355">
        <v>0</v>
      </c>
      <c r="BC18" s="355">
        <f t="shared" ref="BC18:BC44" si="3">SUM(AT18:BB18)</f>
        <v>25982509.75</v>
      </c>
      <c r="BD18" s="172"/>
      <c r="BE18" s="39"/>
      <c r="BF18" s="61"/>
      <c r="BG18" s="169"/>
      <c r="BH18" s="18"/>
      <c r="BI18" s="300"/>
      <c r="BJ18" s="380"/>
      <c r="BK18" s="198"/>
      <c r="BL18" s="61"/>
      <c r="BM18" s="61"/>
      <c r="BN18" s="18"/>
      <c r="BO18" s="61"/>
      <c r="BP18" s="18"/>
      <c r="BW18" s="353"/>
      <c r="BY18" s="18"/>
      <c r="BZ18" s="18"/>
      <c r="CB18" s="198"/>
      <c r="CC18" s="198"/>
      <c r="CD18" s="18"/>
    </row>
    <row r="19" spans="1:86">
      <c r="A19" s="6">
        <f t="shared" ref="A19:A44" si="4">A18+1</f>
        <v>1996</v>
      </c>
      <c r="B19" s="18"/>
      <c r="C19" s="20">
        <v>47587557.219999999</v>
      </c>
      <c r="D19" s="187"/>
      <c r="E19" s="494">
        <v>0</v>
      </c>
      <c r="F19" s="187"/>
      <c r="G19" s="494">
        <v>0</v>
      </c>
      <c r="H19" s="187"/>
      <c r="I19" s="494">
        <v>0</v>
      </c>
      <c r="J19" s="187"/>
      <c r="K19" s="494">
        <v>0</v>
      </c>
      <c r="L19" s="187"/>
      <c r="M19" s="494">
        <f t="shared" si="0"/>
        <v>47587557.219999999</v>
      </c>
      <c r="N19" s="187"/>
      <c r="O19" s="494">
        <v>28051683.599999998</v>
      </c>
      <c r="P19" s="187"/>
      <c r="Q19" s="494">
        <v>0</v>
      </c>
      <c r="R19" s="187"/>
      <c r="S19" s="494">
        <v>0</v>
      </c>
      <c r="T19" s="187"/>
      <c r="U19" s="494">
        <v>0</v>
      </c>
      <c r="V19" s="187"/>
      <c r="W19" s="494">
        <v>0</v>
      </c>
      <c r="X19" s="187"/>
      <c r="Y19" s="494">
        <f t="shared" si="1"/>
        <v>28051683.599999998</v>
      </c>
      <c r="Z19" s="19"/>
      <c r="AA19" s="25">
        <f t="shared" ref="AA19:AA44" si="5">AA18+1</f>
        <v>1996</v>
      </c>
      <c r="AB19" s="355">
        <v>30198928.089999996</v>
      </c>
      <c r="AC19" s="355">
        <v>16457011</v>
      </c>
      <c r="AD19" s="355">
        <v>931618.13</v>
      </c>
      <c r="AE19" s="355">
        <v>0</v>
      </c>
      <c r="AF19" s="355">
        <v>0</v>
      </c>
      <c r="AG19" s="355">
        <v>0</v>
      </c>
      <c r="AH19" s="355">
        <v>0</v>
      </c>
      <c r="AI19" s="355">
        <v>0</v>
      </c>
      <c r="AJ19" s="355">
        <v>0</v>
      </c>
      <c r="AK19" s="172">
        <v>0</v>
      </c>
      <c r="AL19" s="355">
        <f t="shared" si="2"/>
        <v>47587557.219999999</v>
      </c>
      <c r="AM19" s="172"/>
      <c r="AN19" s="39"/>
      <c r="AP19" s="31"/>
      <c r="AQ19" s="379"/>
      <c r="AR19" s="25">
        <f t="shared" ref="AR19:AR44" si="6">AR18+1</f>
        <v>1996</v>
      </c>
      <c r="AS19" s="355"/>
      <c r="AT19" s="355">
        <v>27120065.469999995</v>
      </c>
      <c r="AU19" s="355"/>
      <c r="AV19" s="355">
        <v>931618.13</v>
      </c>
      <c r="AW19" s="355">
        <v>0</v>
      </c>
      <c r="AX19" s="355">
        <v>0</v>
      </c>
      <c r="AY19" s="355">
        <v>0</v>
      </c>
      <c r="AZ19" s="355">
        <v>0</v>
      </c>
      <c r="BA19" s="355">
        <v>0</v>
      </c>
      <c r="BB19" s="355">
        <v>0</v>
      </c>
      <c r="BC19" s="355">
        <f t="shared" si="3"/>
        <v>28051683.599999994</v>
      </c>
      <c r="BD19" s="172"/>
      <c r="BE19" s="39"/>
      <c r="BG19" s="169"/>
      <c r="BH19" s="18"/>
      <c r="BI19" s="300"/>
      <c r="BJ19" s="380"/>
      <c r="BK19" s="198"/>
      <c r="BL19" s="61"/>
      <c r="BM19" s="61"/>
      <c r="BN19" s="18"/>
      <c r="BO19" s="61"/>
      <c r="BP19" s="18"/>
      <c r="BW19" s="353"/>
      <c r="BY19" s="18"/>
      <c r="BZ19" s="18"/>
      <c r="CB19" s="198"/>
      <c r="CC19" s="198"/>
      <c r="CD19" s="18"/>
    </row>
    <row r="20" spans="1:86">
      <c r="A20" s="6">
        <f t="shared" si="4"/>
        <v>1997</v>
      </c>
      <c r="B20" s="18"/>
      <c r="C20" s="20">
        <v>38095972.339999996</v>
      </c>
      <c r="D20" s="187"/>
      <c r="E20" s="494">
        <v>0</v>
      </c>
      <c r="F20" s="187"/>
      <c r="G20" s="494">
        <v>0</v>
      </c>
      <c r="H20" s="187"/>
      <c r="I20" s="494">
        <v>0</v>
      </c>
      <c r="J20" s="187"/>
      <c r="K20" s="494">
        <v>0</v>
      </c>
      <c r="L20" s="187"/>
      <c r="M20" s="494">
        <f t="shared" si="0"/>
        <v>38095972.339999996</v>
      </c>
      <c r="N20" s="187"/>
      <c r="O20" s="494">
        <v>26129239.219999995</v>
      </c>
      <c r="P20" s="187"/>
      <c r="Q20" s="494">
        <v>0</v>
      </c>
      <c r="R20" s="187"/>
      <c r="S20" s="494">
        <v>0</v>
      </c>
      <c r="T20" s="187"/>
      <c r="U20" s="494">
        <v>0</v>
      </c>
      <c r="V20" s="187"/>
      <c r="W20" s="494">
        <v>0</v>
      </c>
      <c r="X20" s="187"/>
      <c r="Y20" s="494">
        <f t="shared" si="1"/>
        <v>26129239.219999995</v>
      </c>
      <c r="Z20" s="19"/>
      <c r="AA20" s="25">
        <f t="shared" si="5"/>
        <v>1997</v>
      </c>
      <c r="AB20" s="355">
        <v>26713733.369999997</v>
      </c>
      <c r="AC20" s="355">
        <v>9461637.870000001</v>
      </c>
      <c r="AD20" s="355">
        <v>520601.1</v>
      </c>
      <c r="AE20" s="355">
        <v>1400000</v>
      </c>
      <c r="AF20" s="355">
        <v>0</v>
      </c>
      <c r="AG20" s="355">
        <v>0</v>
      </c>
      <c r="AH20" s="355">
        <v>0</v>
      </c>
      <c r="AI20" s="355">
        <v>0</v>
      </c>
      <c r="AJ20" s="355">
        <v>0</v>
      </c>
      <c r="AK20" s="172">
        <v>0</v>
      </c>
      <c r="AL20" s="355">
        <f t="shared" si="2"/>
        <v>38095972.339999996</v>
      </c>
      <c r="AM20" s="172"/>
      <c r="AN20" s="39"/>
      <c r="AP20" s="31"/>
      <c r="AQ20" s="379"/>
      <c r="AR20" s="25">
        <f t="shared" si="6"/>
        <v>1997</v>
      </c>
      <c r="AS20" s="355"/>
      <c r="AT20" s="355">
        <v>25623817.869999994</v>
      </c>
      <c r="AU20" s="355"/>
      <c r="AV20" s="355">
        <v>505421.35000000009</v>
      </c>
      <c r="AW20" s="355">
        <v>0</v>
      </c>
      <c r="AX20" s="355">
        <v>0</v>
      </c>
      <c r="AY20" s="355">
        <v>0</v>
      </c>
      <c r="AZ20" s="355">
        <v>0</v>
      </c>
      <c r="BA20" s="355">
        <v>0</v>
      </c>
      <c r="BB20" s="355">
        <v>0</v>
      </c>
      <c r="BC20" s="355">
        <f t="shared" si="3"/>
        <v>26129239.219999995</v>
      </c>
      <c r="BD20" s="172"/>
      <c r="BE20" s="39"/>
      <c r="BG20" s="169"/>
      <c r="BH20" s="18"/>
      <c r="BI20" s="300"/>
      <c r="BJ20" s="380"/>
      <c r="BK20" s="198"/>
      <c r="BL20" s="61"/>
      <c r="BM20" s="61"/>
      <c r="BN20" s="18"/>
      <c r="BO20" s="61"/>
      <c r="BP20" s="18"/>
      <c r="BW20" s="353"/>
      <c r="BY20" s="18"/>
      <c r="BZ20" s="18"/>
      <c r="CB20" s="198"/>
      <c r="CC20" s="198"/>
      <c r="CD20" s="18"/>
    </row>
    <row r="21" spans="1:86">
      <c r="A21" s="6">
        <f t="shared" si="4"/>
        <v>1998</v>
      </c>
      <c r="B21" s="18"/>
      <c r="C21" s="20">
        <v>54775172.740000002</v>
      </c>
      <c r="D21" s="187"/>
      <c r="E21" s="494">
        <v>0</v>
      </c>
      <c r="F21" s="187"/>
      <c r="G21" s="494">
        <v>0</v>
      </c>
      <c r="H21" s="187"/>
      <c r="I21" s="494">
        <v>0</v>
      </c>
      <c r="J21" s="187"/>
      <c r="K21" s="494">
        <v>0</v>
      </c>
      <c r="L21" s="187"/>
      <c r="M21" s="494">
        <f t="shared" si="0"/>
        <v>54775172.740000002</v>
      </c>
      <c r="N21" s="187"/>
      <c r="O21" s="494">
        <v>26521604.890000004</v>
      </c>
      <c r="P21" s="187"/>
      <c r="Q21" s="494">
        <v>0</v>
      </c>
      <c r="R21" s="187"/>
      <c r="S21" s="494">
        <v>0</v>
      </c>
      <c r="T21" s="187"/>
      <c r="U21" s="494">
        <v>0</v>
      </c>
      <c r="V21" s="187"/>
      <c r="W21" s="494">
        <v>0</v>
      </c>
      <c r="X21" s="187"/>
      <c r="Y21" s="494">
        <f t="shared" si="1"/>
        <v>26521604.890000004</v>
      </c>
      <c r="Z21" s="19"/>
      <c r="AA21" s="25">
        <f t="shared" si="5"/>
        <v>1998</v>
      </c>
      <c r="AB21" s="355">
        <v>29164670.75</v>
      </c>
      <c r="AC21" s="355">
        <v>24800000</v>
      </c>
      <c r="AD21" s="355">
        <v>606234.30000000005</v>
      </c>
      <c r="AE21" s="355">
        <v>204267.68999999994</v>
      </c>
      <c r="AF21" s="355">
        <v>0</v>
      </c>
      <c r="AG21" s="355">
        <v>0</v>
      </c>
      <c r="AH21" s="355">
        <v>0</v>
      </c>
      <c r="AI21" s="355">
        <v>0</v>
      </c>
      <c r="AJ21" s="355">
        <v>0</v>
      </c>
      <c r="AK21" s="172">
        <v>0</v>
      </c>
      <c r="AL21" s="355">
        <f t="shared" si="2"/>
        <v>54775172.739999995</v>
      </c>
      <c r="AM21" s="172"/>
      <c r="AN21" s="39"/>
      <c r="AP21" s="31"/>
      <c r="AQ21" s="379"/>
      <c r="AR21" s="25">
        <f t="shared" si="6"/>
        <v>1998</v>
      </c>
      <c r="AS21" s="355"/>
      <c r="AT21" s="355">
        <v>25918211.300000001</v>
      </c>
      <c r="AU21" s="355"/>
      <c r="AV21" s="355">
        <v>603393.59</v>
      </c>
      <c r="AW21" s="355">
        <v>0</v>
      </c>
      <c r="AX21" s="355">
        <v>0</v>
      </c>
      <c r="AY21" s="355">
        <v>0</v>
      </c>
      <c r="AZ21" s="355">
        <v>0</v>
      </c>
      <c r="BA21" s="355">
        <v>0</v>
      </c>
      <c r="BB21" s="355">
        <v>0</v>
      </c>
      <c r="BC21" s="355">
        <f t="shared" si="3"/>
        <v>26521604.890000001</v>
      </c>
      <c r="BD21" s="172"/>
      <c r="BE21" s="39"/>
      <c r="BG21" s="169"/>
      <c r="BH21" s="18"/>
      <c r="BI21" s="300"/>
      <c r="BJ21" s="380"/>
      <c r="BK21" s="198"/>
      <c r="BL21" s="61"/>
      <c r="BM21" s="61"/>
      <c r="BN21" s="18"/>
      <c r="BO21" s="61"/>
      <c r="BP21" s="18"/>
      <c r="BW21" s="353"/>
      <c r="BY21" s="18"/>
      <c r="BZ21" s="18"/>
      <c r="CB21" s="198"/>
      <c r="CC21" s="198"/>
      <c r="CD21" s="18"/>
    </row>
    <row r="22" spans="1:86">
      <c r="A22" s="6">
        <f t="shared" si="4"/>
        <v>1999</v>
      </c>
      <c r="B22" s="18"/>
      <c r="C22" s="20">
        <v>54239618.760000005</v>
      </c>
      <c r="D22" s="187"/>
      <c r="E22" s="494">
        <v>0</v>
      </c>
      <c r="F22" s="187"/>
      <c r="G22" s="494">
        <v>0</v>
      </c>
      <c r="H22" s="187"/>
      <c r="I22" s="494">
        <v>0</v>
      </c>
      <c r="J22" s="187"/>
      <c r="K22" s="494">
        <v>0</v>
      </c>
      <c r="L22" s="187"/>
      <c r="M22" s="494">
        <f t="shared" si="0"/>
        <v>54239618.760000005</v>
      </c>
      <c r="N22" s="187"/>
      <c r="O22" s="494">
        <v>31146188.350000005</v>
      </c>
      <c r="P22" s="187"/>
      <c r="Q22" s="494">
        <v>0</v>
      </c>
      <c r="R22" s="187"/>
      <c r="S22" s="494">
        <v>0</v>
      </c>
      <c r="T22" s="187"/>
      <c r="U22" s="494">
        <v>0</v>
      </c>
      <c r="V22" s="187"/>
      <c r="W22" s="494">
        <v>0</v>
      </c>
      <c r="X22" s="187"/>
      <c r="Y22" s="494">
        <f t="shared" si="1"/>
        <v>31146188.350000005</v>
      </c>
      <c r="Z22" s="19"/>
      <c r="AA22" s="25">
        <f t="shared" si="5"/>
        <v>1999</v>
      </c>
      <c r="AB22" s="355">
        <v>35137110.340000004</v>
      </c>
      <c r="AC22" s="355">
        <v>18284000</v>
      </c>
      <c r="AD22" s="355">
        <v>818508.42</v>
      </c>
      <c r="AE22" s="355">
        <v>0</v>
      </c>
      <c r="AF22" s="355">
        <v>0</v>
      </c>
      <c r="AG22" s="355">
        <v>0</v>
      </c>
      <c r="AH22" s="355">
        <v>0</v>
      </c>
      <c r="AI22" s="355">
        <v>0</v>
      </c>
      <c r="AJ22" s="355">
        <v>0</v>
      </c>
      <c r="AK22" s="172">
        <v>0</v>
      </c>
      <c r="AL22" s="355">
        <f t="shared" si="2"/>
        <v>54239618.760000005</v>
      </c>
      <c r="AM22" s="172"/>
      <c r="AN22" s="39"/>
      <c r="AP22" s="31"/>
      <c r="AQ22" s="379"/>
      <c r="AR22" s="25">
        <f t="shared" si="6"/>
        <v>1999</v>
      </c>
      <c r="AS22" s="355"/>
      <c r="AT22" s="355">
        <v>30327679.930000003</v>
      </c>
      <c r="AU22" s="355"/>
      <c r="AV22" s="355">
        <v>818508.42</v>
      </c>
      <c r="AW22" s="355">
        <v>0</v>
      </c>
      <c r="AX22" s="355">
        <v>0</v>
      </c>
      <c r="AY22" s="355">
        <v>0</v>
      </c>
      <c r="AZ22" s="355">
        <v>0</v>
      </c>
      <c r="BA22" s="355">
        <v>0</v>
      </c>
      <c r="BB22" s="355">
        <v>0</v>
      </c>
      <c r="BC22" s="355">
        <f t="shared" si="3"/>
        <v>31146188.350000005</v>
      </c>
      <c r="BD22" s="172"/>
      <c r="BE22" s="39"/>
      <c r="BG22" s="169"/>
      <c r="BH22" s="18"/>
      <c r="BI22" s="300"/>
      <c r="BJ22" s="380"/>
      <c r="BK22" s="198"/>
      <c r="BL22" s="61"/>
      <c r="BM22" s="61"/>
      <c r="BN22" s="18"/>
      <c r="BO22" s="61"/>
      <c r="BP22" s="18"/>
      <c r="BW22" s="353"/>
      <c r="BY22" s="18"/>
      <c r="BZ22" s="18"/>
      <c r="CB22" s="198"/>
      <c r="CC22" s="198"/>
      <c r="CD22" s="18"/>
    </row>
    <row r="23" spans="1:86">
      <c r="A23" s="6">
        <f t="shared" si="4"/>
        <v>2000</v>
      </c>
      <c r="B23" s="18"/>
      <c r="C23" s="20">
        <v>45510428.719999999</v>
      </c>
      <c r="D23" s="187"/>
      <c r="E23" s="494">
        <v>0</v>
      </c>
      <c r="F23" s="187"/>
      <c r="G23" s="494">
        <v>0</v>
      </c>
      <c r="H23" s="187"/>
      <c r="I23" s="494">
        <v>0</v>
      </c>
      <c r="J23" s="187"/>
      <c r="K23" s="494">
        <v>0</v>
      </c>
      <c r="L23" s="187"/>
      <c r="M23" s="494">
        <f t="shared" si="0"/>
        <v>45510428.719999999</v>
      </c>
      <c r="N23" s="187"/>
      <c r="O23" s="494">
        <v>28557380.479999997</v>
      </c>
      <c r="P23" s="187"/>
      <c r="Q23" s="494">
        <v>0</v>
      </c>
      <c r="R23" s="187"/>
      <c r="S23" s="494">
        <v>0</v>
      </c>
      <c r="T23" s="187"/>
      <c r="U23" s="494">
        <v>0</v>
      </c>
      <c r="V23" s="187"/>
      <c r="W23" s="494">
        <v>0</v>
      </c>
      <c r="X23" s="187"/>
      <c r="Y23" s="494">
        <f t="shared" si="1"/>
        <v>28557380.479999997</v>
      </c>
      <c r="Z23" s="19"/>
      <c r="AA23" s="25">
        <f t="shared" si="5"/>
        <v>2000</v>
      </c>
      <c r="AB23" s="355">
        <v>27795495.93</v>
      </c>
      <c r="AC23" s="355">
        <v>16115000</v>
      </c>
      <c r="AD23" s="355">
        <v>1349932.79</v>
      </c>
      <c r="AE23" s="355">
        <v>250000</v>
      </c>
      <c r="AF23" s="355">
        <v>0</v>
      </c>
      <c r="AG23" s="355">
        <v>0</v>
      </c>
      <c r="AH23" s="355">
        <v>0</v>
      </c>
      <c r="AI23" s="355">
        <v>0</v>
      </c>
      <c r="AJ23" s="355">
        <v>0</v>
      </c>
      <c r="AK23" s="172">
        <v>0</v>
      </c>
      <c r="AL23" s="355">
        <f t="shared" si="2"/>
        <v>45510428.719999999</v>
      </c>
      <c r="AM23" s="172">
        <v>45510428.719999999</v>
      </c>
      <c r="AN23" s="39">
        <f>AL23-AM23</f>
        <v>0</v>
      </c>
      <c r="AP23" s="31"/>
      <c r="AQ23" s="379"/>
      <c r="AR23" s="25">
        <f t="shared" si="6"/>
        <v>2000</v>
      </c>
      <c r="AS23" s="355"/>
      <c r="AT23" s="355">
        <v>27096652.149999999</v>
      </c>
      <c r="AU23" s="355"/>
      <c r="AV23" s="355">
        <v>1460728.33</v>
      </c>
      <c r="AW23" s="355">
        <v>0</v>
      </c>
      <c r="AX23" s="355">
        <v>0</v>
      </c>
      <c r="AY23" s="355">
        <v>0</v>
      </c>
      <c r="AZ23" s="355">
        <v>0</v>
      </c>
      <c r="BA23" s="355">
        <v>0</v>
      </c>
      <c r="BB23" s="355">
        <v>0</v>
      </c>
      <c r="BC23" s="355">
        <f t="shared" si="3"/>
        <v>28557380.479999997</v>
      </c>
      <c r="BD23" s="172">
        <v>28557380.48</v>
      </c>
      <c r="BE23" s="39"/>
      <c r="BG23" s="169"/>
      <c r="BH23" s="18"/>
      <c r="BI23" s="300"/>
      <c r="BJ23" s="380"/>
      <c r="BK23" s="198"/>
      <c r="BL23" s="61"/>
      <c r="BM23" s="61"/>
      <c r="BN23" s="18"/>
      <c r="BO23" s="61"/>
      <c r="BP23" s="18"/>
      <c r="BW23" s="353"/>
      <c r="BY23" s="18"/>
      <c r="BZ23" s="18"/>
      <c r="CB23" s="198"/>
      <c r="CC23" s="198"/>
      <c r="CD23" s="18"/>
    </row>
    <row r="24" spans="1:86">
      <c r="A24" s="6">
        <f t="shared" si="4"/>
        <v>2001</v>
      </c>
      <c r="B24" s="18"/>
      <c r="C24" s="20">
        <v>37643921.560000002</v>
      </c>
      <c r="D24" s="187"/>
      <c r="E24" s="494">
        <v>0</v>
      </c>
      <c r="F24" s="187"/>
      <c r="G24" s="494">
        <v>0</v>
      </c>
      <c r="H24" s="187"/>
      <c r="I24" s="494">
        <v>0</v>
      </c>
      <c r="J24" s="187"/>
      <c r="K24" s="494">
        <v>0</v>
      </c>
      <c r="L24" s="187"/>
      <c r="M24" s="494">
        <f t="shared" si="0"/>
        <v>37643921.560000002</v>
      </c>
      <c r="N24" s="187"/>
      <c r="O24" s="494">
        <v>28317349.960000001</v>
      </c>
      <c r="P24" s="187"/>
      <c r="Q24" s="494">
        <v>0</v>
      </c>
      <c r="R24" s="187"/>
      <c r="S24" s="494">
        <v>0</v>
      </c>
      <c r="T24" s="187"/>
      <c r="U24" s="494">
        <v>0</v>
      </c>
      <c r="V24" s="187"/>
      <c r="W24" s="494">
        <v>0</v>
      </c>
      <c r="X24" s="187"/>
      <c r="Y24" s="494">
        <f t="shared" si="1"/>
        <v>28317349.960000001</v>
      </c>
      <c r="Z24" s="19"/>
      <c r="AA24" s="25">
        <f t="shared" si="5"/>
        <v>2001</v>
      </c>
      <c r="AB24" s="355">
        <v>22560712.330000006</v>
      </c>
      <c r="AC24" s="355">
        <v>12067167</v>
      </c>
      <c r="AD24" s="355">
        <v>1732780</v>
      </c>
      <c r="AE24" s="355">
        <v>1283262.23</v>
      </c>
      <c r="AF24" s="355">
        <v>0</v>
      </c>
      <c r="AG24" s="355">
        <v>0</v>
      </c>
      <c r="AH24" s="355">
        <v>0</v>
      </c>
      <c r="AI24" s="355">
        <v>0</v>
      </c>
      <c r="AJ24" s="355">
        <v>0</v>
      </c>
      <c r="AK24" s="172">
        <v>0</v>
      </c>
      <c r="AL24" s="355">
        <f t="shared" si="2"/>
        <v>37643921.560000002</v>
      </c>
      <c r="AM24" s="172">
        <v>37643921.560000017</v>
      </c>
      <c r="AN24" s="39">
        <f t="shared" ref="AN24:AN44" si="7">AL24-AM24</f>
        <v>0</v>
      </c>
      <c r="AP24" s="31"/>
      <c r="AQ24" s="32"/>
      <c r="AR24" s="25">
        <f t="shared" si="6"/>
        <v>2001</v>
      </c>
      <c r="AS24" s="355"/>
      <c r="AT24" s="355">
        <v>25656954.810000006</v>
      </c>
      <c r="AU24" s="355"/>
      <c r="AV24" s="355">
        <v>2660395.15</v>
      </c>
      <c r="AW24" s="355">
        <v>0</v>
      </c>
      <c r="AX24" s="355">
        <v>0</v>
      </c>
      <c r="AY24" s="355">
        <v>0</v>
      </c>
      <c r="AZ24" s="355">
        <v>0</v>
      </c>
      <c r="BA24" s="355">
        <v>0</v>
      </c>
      <c r="BB24" s="355">
        <v>0</v>
      </c>
      <c r="BC24" s="355">
        <f t="shared" si="3"/>
        <v>28317349.960000005</v>
      </c>
      <c r="BD24" s="172">
        <v>28317349.960000012</v>
      </c>
      <c r="BE24" s="39"/>
      <c r="BG24" s="169"/>
      <c r="BH24" s="18"/>
      <c r="BI24" s="300"/>
      <c r="BJ24" s="380"/>
      <c r="BK24" s="198"/>
      <c r="BL24" s="61"/>
      <c r="BM24" s="61"/>
      <c r="BN24" s="18"/>
      <c r="BO24" s="61"/>
      <c r="BP24" s="18"/>
      <c r="BW24" s="353"/>
      <c r="BY24" s="18"/>
      <c r="BZ24" s="18"/>
      <c r="CB24" s="198"/>
      <c r="CC24" s="198"/>
      <c r="CD24" s="18"/>
    </row>
    <row r="25" spans="1:86">
      <c r="A25" s="6">
        <f t="shared" si="4"/>
        <v>2002</v>
      </c>
      <c r="B25" s="18"/>
      <c r="C25" s="20">
        <v>39658038.149999991</v>
      </c>
      <c r="D25" s="187"/>
      <c r="E25" s="494">
        <v>0</v>
      </c>
      <c r="F25" s="187"/>
      <c r="G25" s="494">
        <v>0</v>
      </c>
      <c r="H25" s="187"/>
      <c r="I25" s="494">
        <v>0</v>
      </c>
      <c r="J25" s="187"/>
      <c r="K25" s="494">
        <v>0</v>
      </c>
      <c r="L25" s="187"/>
      <c r="M25" s="494">
        <f t="shared" si="0"/>
        <v>39658038.149999991</v>
      </c>
      <c r="N25" s="187"/>
      <c r="O25" s="494">
        <v>33754333.779999994</v>
      </c>
      <c r="P25" s="187"/>
      <c r="Q25" s="494">
        <v>0</v>
      </c>
      <c r="R25" s="187"/>
      <c r="S25" s="494">
        <v>0</v>
      </c>
      <c r="T25" s="187"/>
      <c r="U25" s="494">
        <v>0</v>
      </c>
      <c r="V25" s="187"/>
      <c r="W25" s="494">
        <v>0</v>
      </c>
      <c r="X25" s="187"/>
      <c r="Y25" s="494">
        <f t="shared" si="1"/>
        <v>33754333.779999994</v>
      </c>
      <c r="Z25" s="19"/>
      <c r="AA25" s="25">
        <f t="shared" si="5"/>
        <v>2002</v>
      </c>
      <c r="AB25" s="355">
        <v>26310397.339999992</v>
      </c>
      <c r="AC25" s="355">
        <v>12700000</v>
      </c>
      <c r="AD25" s="355">
        <v>647640.80999999994</v>
      </c>
      <c r="AE25" s="355">
        <v>0</v>
      </c>
      <c r="AF25" s="355">
        <v>0</v>
      </c>
      <c r="AG25" s="355">
        <v>0</v>
      </c>
      <c r="AH25" s="355">
        <v>0</v>
      </c>
      <c r="AI25" s="355">
        <v>0</v>
      </c>
      <c r="AJ25" s="355">
        <v>0</v>
      </c>
      <c r="AK25" s="172">
        <v>0</v>
      </c>
      <c r="AL25" s="355">
        <f t="shared" si="2"/>
        <v>39658038.149999991</v>
      </c>
      <c r="AM25" s="172">
        <v>39658038.149999999</v>
      </c>
      <c r="AN25" s="39">
        <f t="shared" si="7"/>
        <v>0</v>
      </c>
      <c r="AP25" s="31"/>
      <c r="AQ25" s="32"/>
      <c r="AR25" s="25">
        <f t="shared" si="6"/>
        <v>2002</v>
      </c>
      <c r="AS25" s="355"/>
      <c r="AT25" s="355">
        <v>33106692.969999988</v>
      </c>
      <c r="AU25" s="355"/>
      <c r="AV25" s="355">
        <v>647640.80999999994</v>
      </c>
      <c r="AW25" s="355">
        <v>0</v>
      </c>
      <c r="AX25" s="355">
        <v>0</v>
      </c>
      <c r="AY25" s="355">
        <v>0</v>
      </c>
      <c r="AZ25" s="355">
        <v>0</v>
      </c>
      <c r="BA25" s="355">
        <v>0</v>
      </c>
      <c r="BB25" s="355">
        <v>0</v>
      </c>
      <c r="BC25" s="355">
        <f t="shared" si="3"/>
        <v>33754333.779999986</v>
      </c>
      <c r="BD25" s="172">
        <v>33754333.780000001</v>
      </c>
      <c r="BE25" s="39"/>
      <c r="BG25" s="32"/>
      <c r="BH25" s="18"/>
      <c r="BI25" s="300"/>
      <c r="BJ25" s="380"/>
      <c r="BK25" s="198"/>
      <c r="BL25" s="61"/>
      <c r="BM25" s="61"/>
      <c r="BN25" s="18"/>
      <c r="BO25" s="84"/>
      <c r="BP25" s="18"/>
      <c r="BQ25" s="22"/>
      <c r="BR25" s="22"/>
      <c r="BS25" s="22"/>
      <c r="BU25" s="18"/>
      <c r="BW25" s="353"/>
      <c r="BY25" s="18"/>
      <c r="BZ25" s="18"/>
      <c r="CB25" s="198"/>
      <c r="CC25" s="198"/>
      <c r="CD25" s="18"/>
      <c r="CE25" s="18"/>
    </row>
    <row r="26" spans="1:86">
      <c r="A26" s="6">
        <f t="shared" si="4"/>
        <v>2003</v>
      </c>
      <c r="B26" s="18"/>
      <c r="C26" s="20">
        <v>39621657.030000001</v>
      </c>
      <c r="D26" s="187"/>
      <c r="E26" s="494">
        <v>0</v>
      </c>
      <c r="F26" s="187"/>
      <c r="G26" s="494">
        <v>0</v>
      </c>
      <c r="H26" s="187"/>
      <c r="I26" s="494">
        <v>0</v>
      </c>
      <c r="J26" s="187"/>
      <c r="K26" s="494">
        <v>0</v>
      </c>
      <c r="L26" s="187"/>
      <c r="M26" s="494">
        <f t="shared" si="0"/>
        <v>39621657.030000001</v>
      </c>
      <c r="N26" s="187"/>
      <c r="O26" s="494">
        <v>30975767.880000003</v>
      </c>
      <c r="P26" s="187"/>
      <c r="Q26" s="494">
        <v>0</v>
      </c>
      <c r="R26" s="187"/>
      <c r="S26" s="494">
        <v>0</v>
      </c>
      <c r="T26" s="187"/>
      <c r="U26" s="494">
        <v>0</v>
      </c>
      <c r="V26" s="187"/>
      <c r="W26" s="494">
        <v>0</v>
      </c>
      <c r="X26" s="187"/>
      <c r="Y26" s="494">
        <f t="shared" si="1"/>
        <v>30975767.880000003</v>
      </c>
      <c r="Z26" s="19"/>
      <c r="AA26" s="25">
        <f t="shared" si="5"/>
        <v>2003</v>
      </c>
      <c r="AB26" s="355">
        <v>20878044.309999999</v>
      </c>
      <c r="AC26" s="355">
        <v>15540000</v>
      </c>
      <c r="AD26" s="355">
        <v>2003612.72</v>
      </c>
      <c r="AE26" s="355">
        <v>1200000</v>
      </c>
      <c r="AF26" s="355">
        <v>0</v>
      </c>
      <c r="AG26" s="355">
        <v>0</v>
      </c>
      <c r="AH26" s="355">
        <v>0</v>
      </c>
      <c r="AI26" s="355">
        <v>0</v>
      </c>
      <c r="AJ26" s="355">
        <v>0</v>
      </c>
      <c r="AK26" s="172">
        <v>0</v>
      </c>
      <c r="AL26" s="355">
        <f t="shared" si="2"/>
        <v>39621657.030000001</v>
      </c>
      <c r="AM26" s="172">
        <v>39621657.030000001</v>
      </c>
      <c r="AN26" s="39">
        <f t="shared" si="7"/>
        <v>0</v>
      </c>
      <c r="AP26" s="31"/>
      <c r="AQ26" s="32"/>
      <c r="AR26" s="25">
        <f t="shared" si="6"/>
        <v>2003</v>
      </c>
      <c r="AS26" s="355"/>
      <c r="AT26" s="355">
        <v>27999908.040000003</v>
      </c>
      <c r="AU26" s="355"/>
      <c r="AV26" s="355">
        <v>2975859.84</v>
      </c>
      <c r="AW26" s="355">
        <v>0</v>
      </c>
      <c r="AX26" s="355">
        <v>0</v>
      </c>
      <c r="AY26" s="355">
        <v>0</v>
      </c>
      <c r="AZ26" s="355">
        <v>0</v>
      </c>
      <c r="BA26" s="355">
        <v>0</v>
      </c>
      <c r="BB26" s="355">
        <v>0</v>
      </c>
      <c r="BC26" s="355">
        <f t="shared" si="3"/>
        <v>30975767.880000003</v>
      </c>
      <c r="BD26" s="172">
        <v>30975767.880000003</v>
      </c>
      <c r="BE26" s="39"/>
      <c r="BG26" s="32"/>
      <c r="BH26" s="18"/>
      <c r="BI26" s="300"/>
      <c r="BJ26" s="380"/>
      <c r="BK26" s="198"/>
      <c r="BL26" s="61"/>
      <c r="BM26" s="61"/>
      <c r="BN26" s="18"/>
      <c r="BO26" s="84"/>
      <c r="BP26" s="18"/>
      <c r="BQ26" s="22"/>
      <c r="BR26" s="22"/>
      <c r="BS26" s="22"/>
      <c r="BU26" s="18"/>
      <c r="BW26" s="353"/>
      <c r="BY26" s="18"/>
      <c r="BZ26" s="18"/>
      <c r="CB26" s="198"/>
      <c r="CC26" s="198"/>
      <c r="CD26" s="18"/>
      <c r="CE26" s="18"/>
    </row>
    <row r="27" spans="1:86">
      <c r="A27" s="6">
        <f t="shared" si="4"/>
        <v>2004</v>
      </c>
      <c r="B27" s="18"/>
      <c r="C27" s="20">
        <v>22340826.459999993</v>
      </c>
      <c r="D27" s="187"/>
      <c r="E27" s="494">
        <v>0</v>
      </c>
      <c r="F27" s="187"/>
      <c r="G27" s="494">
        <v>0</v>
      </c>
      <c r="H27" s="187"/>
      <c r="I27" s="494">
        <v>0</v>
      </c>
      <c r="J27" s="187"/>
      <c r="K27" s="494">
        <v>0</v>
      </c>
      <c r="L27" s="187"/>
      <c r="M27" s="494">
        <f t="shared" si="0"/>
        <v>22340826.459999993</v>
      </c>
      <c r="N27" s="187"/>
      <c r="O27" s="494">
        <v>21795433.559999995</v>
      </c>
      <c r="P27" s="187"/>
      <c r="Q27" s="494">
        <v>0</v>
      </c>
      <c r="R27" s="187"/>
      <c r="S27" s="494">
        <v>0</v>
      </c>
      <c r="T27" s="187"/>
      <c r="U27" s="494">
        <v>0</v>
      </c>
      <c r="V27" s="187"/>
      <c r="W27" s="494">
        <v>0</v>
      </c>
      <c r="X27" s="187"/>
      <c r="Y27" s="494">
        <f t="shared" si="1"/>
        <v>21795433.559999995</v>
      </c>
      <c r="Z27" s="19"/>
      <c r="AA27" s="25">
        <f t="shared" si="5"/>
        <v>2004</v>
      </c>
      <c r="AB27" s="355">
        <v>14303436.559999997</v>
      </c>
      <c r="AC27" s="355">
        <v>5025000</v>
      </c>
      <c r="AD27" s="355">
        <v>2277389.9</v>
      </c>
      <c r="AE27" s="355">
        <v>735000</v>
      </c>
      <c r="AF27" s="355">
        <v>0</v>
      </c>
      <c r="AG27" s="355">
        <v>0</v>
      </c>
      <c r="AH27" s="355">
        <v>0</v>
      </c>
      <c r="AI27" s="355">
        <v>0</v>
      </c>
      <c r="AJ27" s="355">
        <v>0</v>
      </c>
      <c r="AK27" s="172">
        <v>5000.0000000074506</v>
      </c>
      <c r="AL27" s="355">
        <f t="shared" si="2"/>
        <v>22340826.459999993</v>
      </c>
      <c r="AM27" s="172">
        <v>22345826.460000001</v>
      </c>
      <c r="AN27" s="39">
        <f t="shared" si="7"/>
        <v>-5000.0000000074506</v>
      </c>
      <c r="AP27" s="31"/>
      <c r="AQ27" s="32"/>
      <c r="AR27" s="25">
        <f t="shared" si="6"/>
        <v>2004</v>
      </c>
      <c r="AS27" s="355"/>
      <c r="AT27" s="355">
        <v>18783043.659999996</v>
      </c>
      <c r="AU27" s="355"/>
      <c r="AV27" s="355">
        <v>3012389.9</v>
      </c>
      <c r="AW27" s="355">
        <v>0</v>
      </c>
      <c r="AX27" s="355">
        <v>0</v>
      </c>
      <c r="AY27" s="355">
        <v>0</v>
      </c>
      <c r="AZ27" s="355">
        <v>0</v>
      </c>
      <c r="BA27" s="355">
        <v>0</v>
      </c>
      <c r="BB27" s="355">
        <v>5000.0000000074506</v>
      </c>
      <c r="BC27" s="355">
        <f t="shared" si="3"/>
        <v>21800433.560000002</v>
      </c>
      <c r="BD27" s="172">
        <v>21800433.560000002</v>
      </c>
      <c r="BE27" s="39"/>
      <c r="BG27" s="32"/>
      <c r="BH27" s="18"/>
      <c r="BI27" s="300"/>
      <c r="BJ27" s="380"/>
      <c r="BK27" s="198"/>
      <c r="BL27" s="61"/>
      <c r="BM27" s="61"/>
      <c r="BN27" s="18"/>
      <c r="BO27" s="84"/>
      <c r="BP27" s="18"/>
      <c r="BQ27" s="22"/>
      <c r="BR27" s="22"/>
      <c r="BS27" s="22"/>
      <c r="BU27" s="18"/>
      <c r="BW27" s="353"/>
      <c r="BY27" s="18"/>
      <c r="BZ27" s="18"/>
      <c r="CB27" s="198"/>
      <c r="CC27" s="198"/>
      <c r="CD27" s="18"/>
      <c r="CE27" s="18"/>
    </row>
    <row r="28" spans="1:86">
      <c r="A28" s="6">
        <f t="shared" si="4"/>
        <v>2005</v>
      </c>
      <c r="B28" s="18"/>
      <c r="C28" s="20">
        <v>23049293.75</v>
      </c>
      <c r="D28" s="187"/>
      <c r="E28" s="20">
        <v>163606.21</v>
      </c>
      <c r="F28" s="187"/>
      <c r="G28" s="494">
        <v>0</v>
      </c>
      <c r="H28" s="187"/>
      <c r="I28" s="494">
        <v>0</v>
      </c>
      <c r="J28" s="187"/>
      <c r="K28" s="494">
        <v>0</v>
      </c>
      <c r="L28" s="187"/>
      <c r="M28" s="494">
        <f t="shared" si="0"/>
        <v>23212899.960000001</v>
      </c>
      <c r="N28" s="187"/>
      <c r="O28" s="494">
        <v>21719264.239999998</v>
      </c>
      <c r="P28" s="187"/>
      <c r="Q28" s="494">
        <v>163606.21</v>
      </c>
      <c r="R28" s="187"/>
      <c r="S28" s="494">
        <v>0</v>
      </c>
      <c r="T28" s="187"/>
      <c r="U28" s="494">
        <v>0</v>
      </c>
      <c r="V28" s="187"/>
      <c r="W28" s="494">
        <v>0</v>
      </c>
      <c r="X28" s="187"/>
      <c r="Y28" s="494">
        <f t="shared" si="1"/>
        <v>21882870.449999999</v>
      </c>
      <c r="Z28" s="19"/>
      <c r="AA28" s="25">
        <f t="shared" si="5"/>
        <v>2005</v>
      </c>
      <c r="AB28" s="355">
        <v>16243160.280000001</v>
      </c>
      <c r="AC28" s="355">
        <v>4275000</v>
      </c>
      <c r="AD28" s="355">
        <v>1556133.47</v>
      </c>
      <c r="AE28" s="355">
        <v>975000</v>
      </c>
      <c r="AF28" s="355">
        <v>163606.21</v>
      </c>
      <c r="AG28" s="355">
        <v>0</v>
      </c>
      <c r="AH28" s="355">
        <v>0</v>
      </c>
      <c r="AI28" s="355">
        <v>0</v>
      </c>
      <c r="AJ28" s="355">
        <v>0</v>
      </c>
      <c r="AK28" s="172">
        <v>0</v>
      </c>
      <c r="AL28" s="355">
        <f t="shared" si="2"/>
        <v>23212899.960000001</v>
      </c>
      <c r="AM28" s="172">
        <v>23212899.959999993</v>
      </c>
      <c r="AN28" s="39">
        <f t="shared" si="7"/>
        <v>0</v>
      </c>
      <c r="AP28" s="31"/>
      <c r="AQ28" s="32"/>
      <c r="AR28" s="25">
        <f t="shared" si="6"/>
        <v>2005</v>
      </c>
      <c r="AS28" s="355"/>
      <c r="AT28" s="355">
        <v>19241902.600000001</v>
      </c>
      <c r="AU28" s="355"/>
      <c r="AV28" s="355">
        <v>2477361.6399999997</v>
      </c>
      <c r="AW28" s="355">
        <v>163606.21</v>
      </c>
      <c r="AX28" s="355">
        <v>0</v>
      </c>
      <c r="AY28" s="355">
        <v>0</v>
      </c>
      <c r="AZ28" s="355">
        <v>0</v>
      </c>
      <c r="BA28" s="355">
        <v>0</v>
      </c>
      <c r="BB28" s="355">
        <v>0</v>
      </c>
      <c r="BC28" s="355">
        <f t="shared" si="3"/>
        <v>21882870.450000003</v>
      </c>
      <c r="BD28" s="172">
        <v>21882870.449999992</v>
      </c>
      <c r="BE28" s="39"/>
      <c r="BG28" s="32"/>
      <c r="BH28" s="18"/>
      <c r="BI28" s="300"/>
      <c r="BJ28" s="380"/>
      <c r="BK28" s="198"/>
      <c r="BL28" s="61"/>
      <c r="BM28" s="61"/>
      <c r="BN28" s="18"/>
      <c r="BO28" s="84"/>
      <c r="BP28" s="18"/>
      <c r="BQ28" s="22"/>
      <c r="BR28" s="22"/>
      <c r="BS28" s="22"/>
      <c r="BU28" s="18"/>
      <c r="BW28" s="353"/>
      <c r="BY28" s="18"/>
      <c r="BZ28" s="18"/>
      <c r="CB28" s="198"/>
      <c r="CC28" s="198"/>
      <c r="CD28" s="18"/>
      <c r="CE28" s="18"/>
    </row>
    <row r="29" spans="1:86">
      <c r="A29" s="6">
        <f t="shared" si="4"/>
        <v>2006</v>
      </c>
      <c r="B29" s="18"/>
      <c r="C29" s="20">
        <v>20273805.799999997</v>
      </c>
      <c r="D29" s="187"/>
      <c r="E29" s="20">
        <v>474648.87</v>
      </c>
      <c r="F29" s="187"/>
      <c r="G29" s="20">
        <v>49250</v>
      </c>
      <c r="H29" s="187"/>
      <c r="I29" s="494">
        <v>0</v>
      </c>
      <c r="J29" s="187"/>
      <c r="K29" s="494">
        <v>0</v>
      </c>
      <c r="L29" s="187"/>
      <c r="M29" s="494">
        <f t="shared" si="0"/>
        <v>20797704.669999998</v>
      </c>
      <c r="N29" s="187"/>
      <c r="O29" s="494">
        <v>20273805.799999997</v>
      </c>
      <c r="P29" s="187"/>
      <c r="Q29" s="494">
        <v>474648.87</v>
      </c>
      <c r="R29" s="187"/>
      <c r="S29" s="494">
        <v>49250</v>
      </c>
      <c r="T29" s="187"/>
      <c r="U29" s="494">
        <v>0</v>
      </c>
      <c r="V29" s="187"/>
      <c r="W29" s="494">
        <v>0</v>
      </c>
      <c r="X29" s="187"/>
      <c r="Y29" s="494">
        <f t="shared" si="1"/>
        <v>20797704.669999998</v>
      </c>
      <c r="Z29" s="19"/>
      <c r="AA29" s="25">
        <f t="shared" si="5"/>
        <v>2006</v>
      </c>
      <c r="AB29" s="355">
        <v>14656987.999999998</v>
      </c>
      <c r="AC29" s="355">
        <v>5350000</v>
      </c>
      <c r="AD29" s="355">
        <v>8895</v>
      </c>
      <c r="AE29" s="355">
        <v>0</v>
      </c>
      <c r="AF29" s="355">
        <v>474648.87</v>
      </c>
      <c r="AG29" s="355">
        <v>49250</v>
      </c>
      <c r="AH29" s="355">
        <v>0</v>
      </c>
      <c r="AI29" s="355">
        <v>0</v>
      </c>
      <c r="AJ29" s="355">
        <v>0</v>
      </c>
      <c r="AK29" s="172">
        <v>-0.2800000011920929</v>
      </c>
      <c r="AL29" s="355">
        <f t="shared" si="2"/>
        <v>20539781.870000001</v>
      </c>
      <c r="AM29" s="172">
        <v>20540131.59</v>
      </c>
      <c r="AN29" s="39">
        <f t="shared" si="7"/>
        <v>-349.71999999880791</v>
      </c>
      <c r="AP29" s="31"/>
      <c r="AQ29" s="32"/>
      <c r="AR29" s="25">
        <f t="shared" si="6"/>
        <v>2006</v>
      </c>
      <c r="AS29" s="355"/>
      <c r="AT29" s="355">
        <v>20006988</v>
      </c>
      <c r="AU29" s="355"/>
      <c r="AV29" s="355">
        <v>8895</v>
      </c>
      <c r="AW29" s="355">
        <v>474648.87</v>
      </c>
      <c r="AX29" s="355">
        <v>49250</v>
      </c>
      <c r="AY29" s="355">
        <v>0</v>
      </c>
      <c r="AZ29" s="355">
        <v>0</v>
      </c>
      <c r="BA29" s="355">
        <v>0</v>
      </c>
      <c r="BB29" s="355">
        <v>0</v>
      </c>
      <c r="BC29" s="355">
        <f t="shared" si="3"/>
        <v>20539781.870000001</v>
      </c>
      <c r="BD29" s="172">
        <v>20539781.59</v>
      </c>
      <c r="BE29" s="39"/>
      <c r="BG29" s="32"/>
      <c r="BH29" s="18"/>
      <c r="BI29" s="300"/>
      <c r="BJ29" s="380"/>
      <c r="BK29" s="198"/>
      <c r="BL29" s="61"/>
      <c r="BM29" s="61"/>
      <c r="BN29" s="18"/>
      <c r="BO29" s="84"/>
      <c r="BP29" s="18"/>
      <c r="BQ29" s="22"/>
      <c r="BR29" s="22"/>
      <c r="BS29" s="22"/>
      <c r="BU29" s="18"/>
      <c r="BW29" s="353"/>
      <c r="BY29" s="18"/>
      <c r="BZ29" s="18"/>
      <c r="CB29" s="198"/>
      <c r="CC29" s="198"/>
      <c r="CD29" s="18"/>
      <c r="CE29" s="18"/>
    </row>
    <row r="30" spans="1:86">
      <c r="A30" s="6">
        <f t="shared" si="4"/>
        <v>2007</v>
      </c>
      <c r="B30" s="18"/>
      <c r="C30" s="20">
        <v>22370711.530000001</v>
      </c>
      <c r="D30" s="187"/>
      <c r="E30" s="20">
        <v>639550.64999999991</v>
      </c>
      <c r="F30" s="187"/>
      <c r="G30" s="20">
        <v>135351</v>
      </c>
      <c r="H30" s="187"/>
      <c r="I30" s="494">
        <v>0</v>
      </c>
      <c r="J30" s="187"/>
      <c r="K30" s="494">
        <v>0</v>
      </c>
      <c r="L30" s="187"/>
      <c r="M30" s="494">
        <f t="shared" si="0"/>
        <v>23145613.18</v>
      </c>
      <c r="N30" s="187"/>
      <c r="O30" s="494">
        <v>21637246.57</v>
      </c>
      <c r="P30" s="187"/>
      <c r="Q30" s="494">
        <v>639550.64999999991</v>
      </c>
      <c r="R30" s="187"/>
      <c r="S30" s="494">
        <v>135351</v>
      </c>
      <c r="T30" s="187"/>
      <c r="U30" s="494">
        <v>0</v>
      </c>
      <c r="V30" s="187"/>
      <c r="W30" s="494">
        <v>0</v>
      </c>
      <c r="X30" s="187"/>
      <c r="Y30" s="494">
        <f t="shared" si="1"/>
        <v>22412148.219999999</v>
      </c>
      <c r="Z30" s="19"/>
      <c r="AA30" s="25">
        <f t="shared" si="5"/>
        <v>2007</v>
      </c>
      <c r="AB30" s="355">
        <v>16719584.209999999</v>
      </c>
      <c r="AC30" s="355">
        <v>4345000</v>
      </c>
      <c r="AD30" s="355">
        <v>806127.32000000007</v>
      </c>
      <c r="AE30" s="355">
        <v>500000</v>
      </c>
      <c r="AF30" s="355">
        <v>639550.64999999991</v>
      </c>
      <c r="AG30" s="355">
        <v>135351</v>
      </c>
      <c r="AH30" s="355">
        <v>0</v>
      </c>
      <c r="AI30" s="355">
        <v>0</v>
      </c>
      <c r="AJ30" s="355">
        <v>0</v>
      </c>
      <c r="AK30" s="172">
        <v>0</v>
      </c>
      <c r="AL30" s="355">
        <f t="shared" si="2"/>
        <v>23145613.18</v>
      </c>
      <c r="AM30" s="172">
        <v>23145613.179999996</v>
      </c>
      <c r="AN30" s="39">
        <f t="shared" si="7"/>
        <v>0</v>
      </c>
      <c r="AP30" s="31"/>
      <c r="AQ30" s="32"/>
      <c r="AR30" s="25">
        <f t="shared" si="6"/>
        <v>2007</v>
      </c>
      <c r="AS30" s="355"/>
      <c r="AT30" s="355">
        <v>20426353.330000002</v>
      </c>
      <c r="AU30" s="355"/>
      <c r="AV30" s="355">
        <v>1210893.24</v>
      </c>
      <c r="AW30" s="355">
        <v>639550.64999999991</v>
      </c>
      <c r="AX30" s="355">
        <v>135351</v>
      </c>
      <c r="AY30" s="355">
        <v>0</v>
      </c>
      <c r="AZ30" s="355">
        <v>0</v>
      </c>
      <c r="BA30" s="355">
        <v>0</v>
      </c>
      <c r="BB30" s="355">
        <v>0</v>
      </c>
      <c r="BC30" s="355">
        <f t="shared" si="3"/>
        <v>22412148.219999999</v>
      </c>
      <c r="BD30" s="172">
        <v>22412148.219999995</v>
      </c>
      <c r="BE30" s="39"/>
      <c r="BG30" s="32"/>
      <c r="BH30" s="18"/>
      <c r="BI30" s="300"/>
      <c r="BJ30" s="380"/>
      <c r="BK30" s="198"/>
      <c r="BL30" s="61"/>
      <c r="BM30" s="61"/>
      <c r="BN30" s="18"/>
      <c r="BO30" s="84"/>
      <c r="BP30" s="18"/>
      <c r="BQ30" s="22"/>
      <c r="BR30" s="22"/>
      <c r="BS30" s="22"/>
      <c r="BU30" s="18"/>
      <c r="BW30" s="353"/>
      <c r="BY30" s="18"/>
      <c r="BZ30" s="18"/>
      <c r="CB30" s="198"/>
      <c r="CC30" s="198"/>
      <c r="CD30" s="18"/>
      <c r="CE30" s="18"/>
      <c r="CF30" s="18"/>
      <c r="CH30" s="18"/>
    </row>
    <row r="31" spans="1:86">
      <c r="A31" s="6">
        <f t="shared" si="4"/>
        <v>2008</v>
      </c>
      <c r="B31" s="18"/>
      <c r="C31" s="20">
        <v>22102527.079999998</v>
      </c>
      <c r="D31" s="187"/>
      <c r="E31" s="20">
        <v>577451.15</v>
      </c>
      <c r="F31" s="187"/>
      <c r="G31" s="20">
        <v>1911758.4000000001</v>
      </c>
      <c r="H31" s="187"/>
      <c r="I31" s="494">
        <v>0</v>
      </c>
      <c r="J31" s="187"/>
      <c r="K31" s="494">
        <v>0</v>
      </c>
      <c r="L31" s="187"/>
      <c r="M31" s="494">
        <f t="shared" si="0"/>
        <v>24591736.629999995</v>
      </c>
      <c r="N31" s="187"/>
      <c r="O31" s="494">
        <v>21278631.969999999</v>
      </c>
      <c r="P31" s="187"/>
      <c r="Q31" s="494">
        <v>577451.15</v>
      </c>
      <c r="R31" s="187"/>
      <c r="S31" s="494">
        <v>1871146.2100000002</v>
      </c>
      <c r="T31" s="187"/>
      <c r="U31" s="494">
        <v>0</v>
      </c>
      <c r="V31" s="187"/>
      <c r="W31" s="494">
        <v>0</v>
      </c>
      <c r="X31" s="187"/>
      <c r="Y31" s="494">
        <f t="shared" si="1"/>
        <v>23727229.329999998</v>
      </c>
      <c r="Z31" s="19"/>
      <c r="AA31" s="25">
        <f t="shared" si="5"/>
        <v>2008</v>
      </c>
      <c r="AB31" s="355">
        <v>15508781.949999999</v>
      </c>
      <c r="AC31" s="355">
        <v>5515000</v>
      </c>
      <c r="AD31" s="355">
        <v>728745.13</v>
      </c>
      <c r="AE31" s="355">
        <v>350000</v>
      </c>
      <c r="AF31" s="355">
        <v>577451.15</v>
      </c>
      <c r="AG31" s="355">
        <v>1911758.4000000001</v>
      </c>
      <c r="AH31" s="355">
        <v>0</v>
      </c>
      <c r="AI31" s="355">
        <v>0</v>
      </c>
      <c r="AJ31" s="355">
        <v>0</v>
      </c>
      <c r="AK31" s="172">
        <v>0</v>
      </c>
      <c r="AL31" s="355">
        <f t="shared" si="2"/>
        <v>24591736.629999995</v>
      </c>
      <c r="AM31" s="172">
        <v>24591736.629999999</v>
      </c>
      <c r="AN31" s="39">
        <f t="shared" si="7"/>
        <v>0</v>
      </c>
      <c r="AP31" s="31"/>
      <c r="AQ31" s="32"/>
      <c r="AR31" s="25">
        <f t="shared" si="6"/>
        <v>2008</v>
      </c>
      <c r="AS31" s="355"/>
      <c r="AT31" s="355">
        <v>20199886.84</v>
      </c>
      <c r="AU31" s="355"/>
      <c r="AV31" s="355">
        <v>1078745.1299999999</v>
      </c>
      <c r="AW31" s="355">
        <v>577451.15</v>
      </c>
      <c r="AX31" s="355">
        <v>1871146.2100000002</v>
      </c>
      <c r="AY31" s="355">
        <v>0</v>
      </c>
      <c r="AZ31" s="355">
        <v>0</v>
      </c>
      <c r="BA31" s="355">
        <v>0</v>
      </c>
      <c r="BB31" s="355">
        <v>0</v>
      </c>
      <c r="BC31" s="355">
        <f t="shared" si="3"/>
        <v>23727229.329999998</v>
      </c>
      <c r="BD31" s="172">
        <v>23727229.329999998</v>
      </c>
      <c r="BE31" s="39"/>
      <c r="BG31" s="32"/>
      <c r="BH31" s="18"/>
      <c r="BI31" s="300"/>
      <c r="BJ31" s="380"/>
      <c r="BK31" s="198"/>
      <c r="BL31" s="61"/>
      <c r="BM31" s="61"/>
      <c r="BN31" s="18"/>
      <c r="BO31" s="84"/>
      <c r="BP31" s="18"/>
      <c r="BQ31" s="22"/>
      <c r="BR31" s="22"/>
      <c r="BS31" s="22"/>
      <c r="BU31" s="18"/>
      <c r="BW31" s="353"/>
      <c r="BY31" s="18"/>
      <c r="BZ31" s="18"/>
      <c r="CB31" s="198"/>
      <c r="CC31" s="198"/>
      <c r="CD31" s="18"/>
      <c r="CE31" s="18"/>
      <c r="CF31" s="18"/>
      <c r="CH31" s="18"/>
    </row>
    <row r="32" spans="1:86">
      <c r="A32" s="6">
        <f t="shared" si="4"/>
        <v>2009</v>
      </c>
      <c r="B32" s="18"/>
      <c r="C32" s="20">
        <v>18973589.1256935</v>
      </c>
      <c r="D32" s="187"/>
      <c r="E32" s="20">
        <v>28875.5</v>
      </c>
      <c r="F32" s="187"/>
      <c r="G32" s="20">
        <v>2191506.25</v>
      </c>
      <c r="H32" s="187"/>
      <c r="I32" s="494">
        <v>0</v>
      </c>
      <c r="J32" s="187"/>
      <c r="K32" s="494">
        <v>0</v>
      </c>
      <c r="L32" s="187"/>
      <c r="M32" s="494">
        <f t="shared" si="0"/>
        <v>21193970.8756935</v>
      </c>
      <c r="N32" s="187"/>
      <c r="O32" s="494">
        <v>17256901.3056935</v>
      </c>
      <c r="P32" s="187"/>
      <c r="Q32" s="494">
        <v>28875.5</v>
      </c>
      <c r="R32" s="187"/>
      <c r="S32" s="494">
        <v>2191506.25</v>
      </c>
      <c r="T32" s="187"/>
      <c r="U32" s="494">
        <v>0</v>
      </c>
      <c r="V32" s="187"/>
      <c r="W32" s="494">
        <v>0</v>
      </c>
      <c r="X32" s="187"/>
      <c r="Y32" s="494">
        <f t="shared" si="1"/>
        <v>19477283.0556935</v>
      </c>
      <c r="Z32" s="19"/>
      <c r="AA32" s="25">
        <f t="shared" si="5"/>
        <v>2009</v>
      </c>
      <c r="AB32" s="355">
        <v>12635738.100000003</v>
      </c>
      <c r="AC32" s="355">
        <v>6335000</v>
      </c>
      <c r="AD32" s="355">
        <v>2851</v>
      </c>
      <c r="AE32" s="355">
        <v>0</v>
      </c>
      <c r="AF32" s="355">
        <v>28875.5</v>
      </c>
      <c r="AG32" s="355">
        <v>2191506.25</v>
      </c>
      <c r="AH32" s="355">
        <v>0</v>
      </c>
      <c r="AI32" s="355">
        <v>0</v>
      </c>
      <c r="AJ32" s="355">
        <v>0</v>
      </c>
      <c r="AK32" s="172">
        <v>0</v>
      </c>
      <c r="AL32" s="355">
        <f t="shared" si="2"/>
        <v>21193970.850000001</v>
      </c>
      <c r="AM32" s="172">
        <v>21193970.850000001</v>
      </c>
      <c r="AN32" s="39">
        <f t="shared" si="7"/>
        <v>0</v>
      </c>
      <c r="AP32" s="31"/>
      <c r="AQ32" s="32"/>
      <c r="AR32" s="25">
        <f t="shared" si="6"/>
        <v>2009</v>
      </c>
      <c r="AS32" s="355"/>
      <c r="AT32" s="355">
        <v>17254050.280000001</v>
      </c>
      <c r="AU32" s="355"/>
      <c r="AV32" s="355">
        <v>2851</v>
      </c>
      <c r="AW32" s="355">
        <v>28875.5</v>
      </c>
      <c r="AX32" s="355">
        <v>2191506.25</v>
      </c>
      <c r="AY32" s="355">
        <v>0</v>
      </c>
      <c r="AZ32" s="355">
        <v>0</v>
      </c>
      <c r="BA32" s="355">
        <v>0</v>
      </c>
      <c r="BB32" s="355">
        <v>0</v>
      </c>
      <c r="BC32" s="355">
        <f t="shared" si="3"/>
        <v>19477283.030000001</v>
      </c>
      <c r="BD32" s="172">
        <v>19477283.030000001</v>
      </c>
      <c r="BE32" s="39"/>
      <c r="BG32" s="32"/>
      <c r="BH32" s="18"/>
      <c r="BI32" s="300"/>
      <c r="BJ32" s="380"/>
      <c r="BK32" s="198"/>
      <c r="BL32" s="61"/>
      <c r="BM32" s="61"/>
      <c r="BN32" s="18"/>
      <c r="BO32" s="84"/>
      <c r="BP32" s="18"/>
      <c r="BQ32" s="22"/>
      <c r="BR32" s="22"/>
      <c r="BS32" s="22"/>
      <c r="BU32" s="18"/>
      <c r="BW32" s="353"/>
      <c r="BY32" s="18"/>
      <c r="BZ32" s="18"/>
      <c r="CB32" s="198"/>
      <c r="CC32" s="198"/>
      <c r="CD32" s="18"/>
      <c r="CE32" s="18"/>
      <c r="CF32" s="18"/>
      <c r="CH32" s="18"/>
    </row>
    <row r="33" spans="1:99">
      <c r="A33" s="6">
        <f t="shared" si="4"/>
        <v>2010</v>
      </c>
      <c r="B33" s="18"/>
      <c r="C33" s="20">
        <v>25135887.52</v>
      </c>
      <c r="D33" s="187"/>
      <c r="E33" s="20">
        <v>1056390.7999999998</v>
      </c>
      <c r="F33" s="187"/>
      <c r="G33" s="20">
        <v>8479092.0899999999</v>
      </c>
      <c r="H33" s="187"/>
      <c r="I33" s="494">
        <v>0</v>
      </c>
      <c r="J33" s="187"/>
      <c r="K33" s="494">
        <v>0</v>
      </c>
      <c r="L33" s="187"/>
      <c r="M33" s="494">
        <f t="shared" si="0"/>
        <v>34671370.409999996</v>
      </c>
      <c r="N33" s="187"/>
      <c r="O33" s="494">
        <v>23008986.829999998</v>
      </c>
      <c r="P33" s="187"/>
      <c r="Q33" s="494">
        <v>1056390.7999999998</v>
      </c>
      <c r="R33" s="187"/>
      <c r="S33" s="494">
        <v>6627582.2400000002</v>
      </c>
      <c r="T33" s="187"/>
      <c r="U33" s="494">
        <v>0</v>
      </c>
      <c r="V33" s="187"/>
      <c r="W33" s="494">
        <v>0</v>
      </c>
      <c r="X33" s="187"/>
      <c r="Y33" s="494">
        <f t="shared" si="1"/>
        <v>30692959.869999997</v>
      </c>
      <c r="Z33" s="19"/>
      <c r="AA33" s="25">
        <f t="shared" si="5"/>
        <v>2010</v>
      </c>
      <c r="AB33" s="355">
        <v>16673387.52</v>
      </c>
      <c r="AC33" s="355">
        <v>8462500</v>
      </c>
      <c r="AD33" s="355">
        <v>0</v>
      </c>
      <c r="AE33" s="355">
        <v>0</v>
      </c>
      <c r="AF33" s="355">
        <v>1056390.7999999998</v>
      </c>
      <c r="AG33" s="355">
        <v>8477120.2699999996</v>
      </c>
      <c r="AH33" s="355">
        <v>0</v>
      </c>
      <c r="AI33" s="355">
        <v>0</v>
      </c>
      <c r="AJ33" s="355">
        <v>0</v>
      </c>
      <c r="AK33" s="172">
        <v>0</v>
      </c>
      <c r="AL33" s="355">
        <f t="shared" si="2"/>
        <v>34669398.590000004</v>
      </c>
      <c r="AM33" s="172">
        <v>34669398.589999996</v>
      </c>
      <c r="AN33" s="39">
        <f t="shared" si="7"/>
        <v>0</v>
      </c>
      <c r="AP33" s="31"/>
      <c r="AQ33" s="32"/>
      <c r="AR33" s="25">
        <f t="shared" si="6"/>
        <v>2010</v>
      </c>
      <c r="AS33" s="355"/>
      <c r="AT33" s="355">
        <v>23008986.829999998</v>
      </c>
      <c r="AU33" s="355"/>
      <c r="AV33" s="355">
        <v>0</v>
      </c>
      <c r="AW33" s="355">
        <v>1056390.7999999998</v>
      </c>
      <c r="AX33" s="355">
        <v>6625610.4199999999</v>
      </c>
      <c r="AY33" s="355">
        <v>0</v>
      </c>
      <c r="AZ33" s="355">
        <v>0</v>
      </c>
      <c r="BA33" s="355">
        <v>0</v>
      </c>
      <c r="BB33" s="355">
        <v>0</v>
      </c>
      <c r="BC33" s="355">
        <f t="shared" si="3"/>
        <v>30690988.049999997</v>
      </c>
      <c r="BD33" s="172">
        <v>30690988.049999997</v>
      </c>
      <c r="BE33" s="39"/>
      <c r="BG33" s="32"/>
      <c r="BH33" s="18"/>
      <c r="BI33" s="300"/>
      <c r="BJ33" s="380"/>
      <c r="BK33" s="198"/>
      <c r="BL33" s="61"/>
      <c r="BM33" s="61"/>
      <c r="BN33" s="18"/>
      <c r="BO33" s="84"/>
      <c r="BP33" s="18"/>
      <c r="BQ33" s="22"/>
      <c r="BR33" s="22"/>
      <c r="BS33" s="22"/>
      <c r="BU33" s="18"/>
      <c r="BW33" s="353"/>
      <c r="BY33" s="18"/>
      <c r="BZ33" s="18"/>
      <c r="CB33" s="198"/>
      <c r="CC33" s="198"/>
      <c r="CD33" s="18"/>
      <c r="CE33" s="18"/>
      <c r="CF33" s="18"/>
      <c r="CH33" s="18"/>
    </row>
    <row r="34" spans="1:99">
      <c r="A34" s="6">
        <f t="shared" si="4"/>
        <v>2011</v>
      </c>
      <c r="B34" s="18"/>
      <c r="C34" s="20">
        <v>17266751.013838962</v>
      </c>
      <c r="D34" s="187"/>
      <c r="E34" s="20">
        <v>640869.17000000004</v>
      </c>
      <c r="F34" s="187"/>
      <c r="G34" s="20">
        <v>6836232.2300000004</v>
      </c>
      <c r="H34" s="187"/>
      <c r="I34" s="494">
        <v>0</v>
      </c>
      <c r="J34" s="187"/>
      <c r="K34" s="494">
        <v>0</v>
      </c>
      <c r="L34" s="187"/>
      <c r="M34" s="494">
        <f t="shared" si="0"/>
        <v>24743852.413838964</v>
      </c>
      <c r="N34" s="187"/>
      <c r="O34" s="494">
        <v>15030902.663838962</v>
      </c>
      <c r="P34" s="187"/>
      <c r="Q34" s="494">
        <v>640869.17000000004</v>
      </c>
      <c r="R34" s="187"/>
      <c r="S34" s="494">
        <v>6742250.5600000005</v>
      </c>
      <c r="T34" s="187"/>
      <c r="U34" s="494">
        <v>0</v>
      </c>
      <c r="V34" s="187"/>
      <c r="W34" s="494">
        <v>0</v>
      </c>
      <c r="X34" s="187"/>
      <c r="Y34" s="494">
        <f t="shared" si="1"/>
        <v>22414022.393838964</v>
      </c>
      <c r="Z34" s="19"/>
      <c r="AA34" s="25">
        <f t="shared" si="5"/>
        <v>2011</v>
      </c>
      <c r="AB34" s="355">
        <v>9644676.9399999995</v>
      </c>
      <c r="AC34" s="355">
        <v>7214500</v>
      </c>
      <c r="AD34" s="355">
        <v>407297.79</v>
      </c>
      <c r="AE34" s="355">
        <v>0</v>
      </c>
      <c r="AF34" s="355">
        <v>640869.17000000004</v>
      </c>
      <c r="AG34" s="355">
        <v>6293240.7800000003</v>
      </c>
      <c r="AH34" s="355">
        <v>0</v>
      </c>
      <c r="AI34" s="355">
        <v>0</v>
      </c>
      <c r="AJ34" s="355">
        <v>0</v>
      </c>
      <c r="AK34" s="172">
        <v>2375</v>
      </c>
      <c r="AL34" s="355">
        <f t="shared" si="2"/>
        <v>24200584.68</v>
      </c>
      <c r="AM34" s="172">
        <v>24202959.68</v>
      </c>
      <c r="AN34" s="39">
        <f t="shared" si="7"/>
        <v>-2375</v>
      </c>
      <c r="AP34" s="31"/>
      <c r="AQ34" s="32"/>
      <c r="AR34" s="25">
        <f t="shared" si="6"/>
        <v>2011</v>
      </c>
      <c r="AS34" s="355"/>
      <c r="AT34" s="355">
        <v>14623328.589999998</v>
      </c>
      <c r="AU34" s="355"/>
      <c r="AV34" s="355">
        <v>407297.79</v>
      </c>
      <c r="AW34" s="355">
        <v>640869.17000000004</v>
      </c>
      <c r="AX34" s="355">
        <v>6199259.1100000003</v>
      </c>
      <c r="AY34" s="355">
        <v>0</v>
      </c>
      <c r="AZ34" s="355">
        <v>0</v>
      </c>
      <c r="BA34" s="355">
        <v>0</v>
      </c>
      <c r="BB34" s="355">
        <v>2375.0000000037253</v>
      </c>
      <c r="BC34" s="355">
        <f t="shared" si="3"/>
        <v>21873129.66</v>
      </c>
      <c r="BD34" s="172">
        <v>21873129.66</v>
      </c>
      <c r="BE34" s="39"/>
      <c r="BG34" s="32"/>
      <c r="BH34" s="18"/>
      <c r="BI34" s="300"/>
      <c r="BJ34" s="380"/>
      <c r="BK34" s="198"/>
      <c r="BL34" s="61"/>
      <c r="BM34" s="61"/>
      <c r="BN34" s="18"/>
      <c r="BO34" s="84"/>
      <c r="BP34" s="18"/>
      <c r="BQ34" s="22"/>
      <c r="BR34" s="22"/>
      <c r="BS34" s="22"/>
      <c r="BT34" s="18"/>
      <c r="BW34" s="353"/>
      <c r="BY34" s="18"/>
      <c r="BZ34" s="18"/>
      <c r="CB34" s="198"/>
      <c r="CC34" s="198"/>
      <c r="CD34" s="18"/>
      <c r="CE34" s="18"/>
      <c r="CF34" s="18"/>
      <c r="CH34" s="18"/>
    </row>
    <row r="35" spans="1:99">
      <c r="A35" s="6">
        <f t="shared" si="4"/>
        <v>2012</v>
      </c>
      <c r="B35" s="18"/>
      <c r="C35" s="20">
        <v>24576717.719611447</v>
      </c>
      <c r="D35" s="187"/>
      <c r="E35" s="20">
        <v>4744399.03</v>
      </c>
      <c r="F35" s="187"/>
      <c r="G35" s="20">
        <v>19139666.039999999</v>
      </c>
      <c r="H35" s="187"/>
      <c r="I35" s="20">
        <v>2375</v>
      </c>
      <c r="J35" s="187"/>
      <c r="K35" s="494">
        <v>0</v>
      </c>
      <c r="L35" s="187"/>
      <c r="M35" s="494">
        <f t="shared" si="0"/>
        <v>48463157.789611444</v>
      </c>
      <c r="N35" s="187"/>
      <c r="O35" s="494">
        <v>18583952.468695749</v>
      </c>
      <c r="P35" s="187"/>
      <c r="Q35" s="494">
        <v>4175261.5</v>
      </c>
      <c r="R35" s="187"/>
      <c r="S35" s="494">
        <v>14944762.539999999</v>
      </c>
      <c r="T35" s="187"/>
      <c r="U35" s="494">
        <v>2375</v>
      </c>
      <c r="V35" s="187"/>
      <c r="W35" s="494">
        <v>0</v>
      </c>
      <c r="X35" s="187"/>
      <c r="Y35" s="494">
        <f t="shared" si="1"/>
        <v>37706351.508695751</v>
      </c>
      <c r="Z35" s="19"/>
      <c r="AA35" s="25">
        <f t="shared" si="5"/>
        <v>2012</v>
      </c>
      <c r="AB35" s="355">
        <v>13456800.490000002</v>
      </c>
      <c r="AC35" s="355">
        <v>9894999.6699999999</v>
      </c>
      <c r="AD35" s="355">
        <v>1101243.9099999999</v>
      </c>
      <c r="AE35" s="355">
        <v>0</v>
      </c>
      <c r="AF35" s="355">
        <v>4744399.03</v>
      </c>
      <c r="AG35" s="355">
        <v>16336660.51</v>
      </c>
      <c r="AH35" s="355">
        <v>0</v>
      </c>
      <c r="AI35" s="355">
        <v>2375</v>
      </c>
      <c r="AJ35" s="355">
        <v>0</v>
      </c>
      <c r="AK35" s="172">
        <v>-2375</v>
      </c>
      <c r="AL35" s="355">
        <f t="shared" si="2"/>
        <v>45536478.610000007</v>
      </c>
      <c r="AM35" s="172">
        <v>45534103.610000007</v>
      </c>
      <c r="AN35" s="39">
        <f t="shared" si="7"/>
        <v>2375</v>
      </c>
      <c r="AP35" s="31"/>
      <c r="AQ35" s="32"/>
      <c r="AR35" s="25">
        <f t="shared" si="6"/>
        <v>2012</v>
      </c>
      <c r="AS35" s="355"/>
      <c r="AT35" s="355">
        <v>17359046.610000003</v>
      </c>
      <c r="AU35" s="355"/>
      <c r="AV35" s="355">
        <v>1101243.9099999999</v>
      </c>
      <c r="AW35" s="355">
        <v>4175261.5</v>
      </c>
      <c r="AX35" s="355">
        <v>12578900.01</v>
      </c>
      <c r="AY35" s="355">
        <v>0</v>
      </c>
      <c r="AZ35" s="355">
        <v>2375</v>
      </c>
      <c r="BA35" s="355">
        <v>0</v>
      </c>
      <c r="BB35" s="355">
        <v>-2374.9999999925494</v>
      </c>
      <c r="BC35" s="355">
        <f t="shared" si="3"/>
        <v>35214452.030000009</v>
      </c>
      <c r="BD35" s="172">
        <v>35214452.030000009</v>
      </c>
      <c r="BE35" s="39"/>
      <c r="BG35" s="32"/>
      <c r="BH35" s="18"/>
      <c r="BI35" s="300"/>
      <c r="BJ35" s="380"/>
      <c r="BK35" s="198"/>
      <c r="BL35" s="61"/>
      <c r="BM35" s="61"/>
      <c r="BN35" s="18"/>
      <c r="BO35" s="84"/>
      <c r="BP35" s="18"/>
      <c r="BQ35" s="22"/>
      <c r="BR35" s="22"/>
      <c r="BS35" s="22"/>
      <c r="BT35" s="18"/>
      <c r="BU35" s="18"/>
      <c r="BW35" s="353"/>
      <c r="BY35" s="18"/>
      <c r="BZ35" s="18"/>
      <c r="CB35" s="198"/>
      <c r="CC35" s="198"/>
      <c r="CD35" s="18"/>
      <c r="CE35" s="18"/>
      <c r="CF35" s="18"/>
      <c r="CH35" s="18"/>
    </row>
    <row r="36" spans="1:99">
      <c r="A36" s="6">
        <f t="shared" si="4"/>
        <v>2013</v>
      </c>
      <c r="B36" s="18"/>
      <c r="C36" s="20">
        <v>22874904.261873882</v>
      </c>
      <c r="D36" s="187"/>
      <c r="E36" s="20">
        <v>712208.5199999999</v>
      </c>
      <c r="F36" s="187"/>
      <c r="G36" s="20">
        <v>18975821.675806206</v>
      </c>
      <c r="H36" s="187"/>
      <c r="I36" s="20">
        <v>8422.9748207906159</v>
      </c>
      <c r="J36" s="187"/>
      <c r="K36" s="494">
        <v>0</v>
      </c>
      <c r="L36" s="187"/>
      <c r="M36" s="494">
        <f t="shared" si="0"/>
        <v>42571357.432500884</v>
      </c>
      <c r="N36" s="187"/>
      <c r="O36" s="494">
        <v>16799432.692869235</v>
      </c>
      <c r="P36" s="187"/>
      <c r="Q36" s="494">
        <v>712208.5199999999</v>
      </c>
      <c r="R36" s="187"/>
      <c r="S36" s="494">
        <v>16061647.872125499</v>
      </c>
      <c r="T36" s="187"/>
      <c r="U36" s="494">
        <v>8421.2984366738601</v>
      </c>
      <c r="V36" s="187"/>
      <c r="W36" s="494">
        <v>0</v>
      </c>
      <c r="X36" s="187"/>
      <c r="Y36" s="494">
        <f t="shared" si="1"/>
        <v>33581710.383431405</v>
      </c>
      <c r="Z36" s="19"/>
      <c r="AA36" s="25">
        <f t="shared" si="5"/>
        <v>2013</v>
      </c>
      <c r="AB36" s="355">
        <v>11521638.42</v>
      </c>
      <c r="AC36" s="355">
        <v>9340000</v>
      </c>
      <c r="AD36" s="355">
        <v>1241946.4100000001</v>
      </c>
      <c r="AE36" s="355">
        <v>750000</v>
      </c>
      <c r="AF36" s="355">
        <v>712208.5199999999</v>
      </c>
      <c r="AG36" s="355">
        <v>10757423.629999999</v>
      </c>
      <c r="AH36" s="355">
        <v>0</v>
      </c>
      <c r="AI36" s="355">
        <v>8418.1970000000001</v>
      </c>
      <c r="AJ36" s="355">
        <v>0</v>
      </c>
      <c r="AK36" s="172">
        <v>0</v>
      </c>
      <c r="AL36" s="355">
        <f t="shared" si="2"/>
        <v>34331635.177000001</v>
      </c>
      <c r="AM36" s="172">
        <v>34331635.176999994</v>
      </c>
      <c r="AN36" s="39">
        <f t="shared" si="7"/>
        <v>0</v>
      </c>
      <c r="AP36" s="31"/>
      <c r="AQ36" s="32"/>
      <c r="AR36" s="25">
        <f t="shared" si="6"/>
        <v>2013</v>
      </c>
      <c r="AS36" s="355"/>
      <c r="AT36" s="355">
        <v>14786244.440000001</v>
      </c>
      <c r="AU36" s="355"/>
      <c r="AV36" s="355">
        <v>1991946.4100000001</v>
      </c>
      <c r="AW36" s="355">
        <v>712208.5199999999</v>
      </c>
      <c r="AX36" s="355">
        <v>10234800.409999998</v>
      </c>
      <c r="AY36" s="355">
        <v>0</v>
      </c>
      <c r="AZ36" s="355">
        <v>8418.1970000000001</v>
      </c>
      <c r="BA36" s="355">
        <v>0</v>
      </c>
      <c r="BB36" s="355">
        <v>0</v>
      </c>
      <c r="BC36" s="355">
        <f t="shared" si="3"/>
        <v>27733617.977000002</v>
      </c>
      <c r="BD36" s="172">
        <v>27733617.976999994</v>
      </c>
      <c r="BE36" s="39"/>
      <c r="BG36" s="32"/>
      <c r="BH36" s="18"/>
      <c r="BI36" s="300"/>
      <c r="BJ36" s="380"/>
      <c r="BK36" s="198"/>
      <c r="BL36" s="61"/>
      <c r="BM36" s="61"/>
      <c r="BN36" s="18"/>
      <c r="BO36" s="84"/>
      <c r="BP36" s="18"/>
      <c r="BQ36" s="22"/>
      <c r="BR36" s="22"/>
      <c r="BS36" s="22"/>
      <c r="BT36" s="18"/>
      <c r="BW36" s="353"/>
      <c r="BY36" s="18"/>
      <c r="BZ36" s="18"/>
      <c r="CB36" s="198"/>
      <c r="CC36" s="198"/>
      <c r="CD36" s="18"/>
      <c r="CE36" s="18"/>
      <c r="CF36" s="18"/>
      <c r="CH36" s="18"/>
    </row>
    <row r="37" spans="1:99">
      <c r="A37" s="6">
        <f t="shared" si="4"/>
        <v>2014</v>
      </c>
      <c r="B37" s="18"/>
      <c r="C37" s="20">
        <v>15983128.982608002</v>
      </c>
      <c r="D37" s="187"/>
      <c r="E37" s="20">
        <v>3385152.22</v>
      </c>
      <c r="F37" s="187"/>
      <c r="G37" s="20">
        <v>23846677.819986343</v>
      </c>
      <c r="H37" s="187"/>
      <c r="I37" s="20">
        <v>3819439.9949843893</v>
      </c>
      <c r="J37" s="187"/>
      <c r="K37" s="20">
        <v>173041.24859258032</v>
      </c>
      <c r="L37" s="187"/>
      <c r="M37" s="494">
        <f t="shared" si="0"/>
        <v>47207440.266171314</v>
      </c>
      <c r="N37" s="187"/>
      <c r="O37" s="20">
        <v>14652781.663536482</v>
      </c>
      <c r="P37" s="187"/>
      <c r="Q37" s="20">
        <v>2855104.37</v>
      </c>
      <c r="R37" s="187"/>
      <c r="S37" s="20">
        <v>18021091.667991932</v>
      </c>
      <c r="T37" s="187"/>
      <c r="U37" s="20">
        <v>915808.66077076737</v>
      </c>
      <c r="V37" s="187"/>
      <c r="W37" s="20">
        <v>172347.91796432846</v>
      </c>
      <c r="X37" s="187"/>
      <c r="Y37" s="494">
        <f t="shared" si="1"/>
        <v>36617134.280263513</v>
      </c>
      <c r="Z37" s="19"/>
      <c r="AA37" s="25">
        <f t="shared" si="5"/>
        <v>2014</v>
      </c>
      <c r="AB37" s="355">
        <v>10412833.610000001</v>
      </c>
      <c r="AC37" s="355">
        <v>2935000</v>
      </c>
      <c r="AD37" s="355">
        <v>543806.18000000005</v>
      </c>
      <c r="AE37" s="355">
        <v>0</v>
      </c>
      <c r="AF37" s="355">
        <v>3117737.0300000003</v>
      </c>
      <c r="AG37" s="355">
        <v>16324359.68</v>
      </c>
      <c r="AH37" s="355">
        <v>0</v>
      </c>
      <c r="AI37" s="355">
        <v>3800456.0380000002</v>
      </c>
      <c r="AJ37" s="355">
        <v>54170.500999999997</v>
      </c>
      <c r="AK37" s="172">
        <v>0</v>
      </c>
      <c r="AL37" s="355">
        <f t="shared" si="2"/>
        <v>37188363.039000005</v>
      </c>
      <c r="AM37" s="172">
        <v>37188363.039000005</v>
      </c>
      <c r="AN37" s="39">
        <f t="shared" si="7"/>
        <v>0</v>
      </c>
      <c r="AP37" s="31"/>
      <c r="AQ37" s="32"/>
      <c r="AR37" s="25">
        <f t="shared" si="6"/>
        <v>2014</v>
      </c>
      <c r="AS37" s="355"/>
      <c r="AT37" s="355">
        <v>12018258.540000001</v>
      </c>
      <c r="AU37" s="355"/>
      <c r="AV37" s="355">
        <v>543806.18000000005</v>
      </c>
      <c r="AW37" s="355">
        <v>2587689.1800000002</v>
      </c>
      <c r="AX37" s="355">
        <v>11684252.199999999</v>
      </c>
      <c r="AY37" s="355">
        <v>0</v>
      </c>
      <c r="AZ37" s="355">
        <v>903020.67800000031</v>
      </c>
      <c r="BA37" s="355">
        <v>54170.500999999997</v>
      </c>
      <c r="BB37" s="355">
        <v>0</v>
      </c>
      <c r="BC37" s="355">
        <f t="shared" si="3"/>
        <v>27791197.278999999</v>
      </c>
      <c r="BD37" s="172">
        <v>27791197.279000003</v>
      </c>
      <c r="BE37" s="39"/>
      <c r="BG37" s="32"/>
      <c r="BH37" s="18"/>
      <c r="BI37" s="300"/>
      <c r="BJ37" s="380"/>
      <c r="BK37" s="198"/>
      <c r="BL37" s="61"/>
      <c r="BM37" s="61"/>
      <c r="BN37" s="18"/>
      <c r="BO37" s="84"/>
      <c r="BP37" s="18"/>
      <c r="BQ37" s="22"/>
      <c r="BR37" s="22"/>
      <c r="BS37" s="22"/>
      <c r="BT37" s="18"/>
      <c r="BW37" s="353"/>
      <c r="BY37" s="18"/>
      <c r="BZ37" s="18"/>
      <c r="CB37" s="198"/>
      <c r="CC37" s="198"/>
      <c r="CD37" s="18"/>
      <c r="CE37" s="18"/>
      <c r="CF37" s="18"/>
      <c r="CH37" s="18"/>
    </row>
    <row r="38" spans="1:99">
      <c r="A38" s="6">
        <f t="shared" si="4"/>
        <v>2015</v>
      </c>
      <c r="B38" s="18"/>
      <c r="C38" s="20">
        <v>21939624.010293741</v>
      </c>
      <c r="D38" s="187"/>
      <c r="E38" s="20">
        <v>1556448.95</v>
      </c>
      <c r="F38" s="187"/>
      <c r="G38" s="20">
        <v>4084998.0681367856</v>
      </c>
      <c r="H38" s="187"/>
      <c r="I38" s="20">
        <v>2500601.2173551456</v>
      </c>
      <c r="J38" s="187"/>
      <c r="K38" s="20">
        <v>338468.20580547786</v>
      </c>
      <c r="L38" s="187"/>
      <c r="M38" s="494">
        <f t="shared" si="0"/>
        <v>30420140.451591149</v>
      </c>
      <c r="N38" s="187"/>
      <c r="O38" s="20">
        <v>20602636.904151507</v>
      </c>
      <c r="P38" s="187"/>
      <c r="Q38" s="20">
        <v>1556448.95</v>
      </c>
      <c r="R38" s="187"/>
      <c r="S38" s="20">
        <v>4067989.0308451727</v>
      </c>
      <c r="T38" s="187"/>
      <c r="U38" s="20">
        <v>2496217.1635268615</v>
      </c>
      <c r="V38" s="187"/>
      <c r="W38" s="20">
        <v>334793.00548022834</v>
      </c>
      <c r="X38" s="187"/>
      <c r="Y38" s="494">
        <f t="shared" si="1"/>
        <v>29058085.054003771</v>
      </c>
      <c r="Z38" s="19"/>
      <c r="AA38" s="25">
        <f t="shared" si="5"/>
        <v>2015</v>
      </c>
      <c r="AB38" s="355">
        <v>12308576.849999998</v>
      </c>
      <c r="AC38" s="355">
        <v>6425000</v>
      </c>
      <c r="AD38" s="355">
        <v>551635.24</v>
      </c>
      <c r="AE38" s="355">
        <v>100000</v>
      </c>
      <c r="AF38" s="355">
        <v>806448.95</v>
      </c>
      <c r="AG38" s="355">
        <v>1161076.8900000001</v>
      </c>
      <c r="AH38" s="355">
        <v>0</v>
      </c>
      <c r="AI38" s="355">
        <v>2455021.122</v>
      </c>
      <c r="AJ38" s="355">
        <v>306529.89749999996</v>
      </c>
      <c r="AK38" s="172">
        <v>0</v>
      </c>
      <c r="AL38" s="355">
        <f t="shared" si="2"/>
        <v>24114288.949499998</v>
      </c>
      <c r="AM38" s="172">
        <v>24114288.949499998</v>
      </c>
      <c r="AN38" s="39">
        <f t="shared" si="7"/>
        <v>0</v>
      </c>
      <c r="AP38" s="31"/>
      <c r="AQ38" s="32"/>
      <c r="AR38" s="25">
        <f t="shared" si="6"/>
        <v>2015</v>
      </c>
      <c r="AS38" s="355"/>
      <c r="AT38" s="355">
        <v>17407971.909999996</v>
      </c>
      <c r="AU38" s="355"/>
      <c r="AV38" s="355">
        <v>651635.24</v>
      </c>
      <c r="AW38" s="355">
        <v>806448.95</v>
      </c>
      <c r="AX38" s="355">
        <v>1161076.8900000001</v>
      </c>
      <c r="AY38" s="355">
        <v>0</v>
      </c>
      <c r="AZ38" s="355">
        <v>2455021.122</v>
      </c>
      <c r="BA38" s="355">
        <v>306529.89749999996</v>
      </c>
      <c r="BB38" s="355">
        <v>0</v>
      </c>
      <c r="BC38" s="355">
        <f t="shared" si="3"/>
        <v>22788684.009499997</v>
      </c>
      <c r="BD38" s="172">
        <v>22788684.009499997</v>
      </c>
      <c r="BE38" s="39"/>
      <c r="BG38" s="32"/>
      <c r="BH38" s="18"/>
      <c r="BI38" s="300"/>
      <c r="BJ38" s="380"/>
      <c r="BK38" s="198"/>
      <c r="BL38" s="61"/>
      <c r="BM38" s="61"/>
      <c r="BN38" s="18"/>
      <c r="BO38" s="84"/>
      <c r="BP38" s="18"/>
      <c r="BQ38" s="22"/>
      <c r="BR38" s="22"/>
      <c r="BS38" s="22"/>
      <c r="BT38" s="18"/>
      <c r="BW38" s="353"/>
      <c r="BY38" s="18"/>
      <c r="BZ38" s="18"/>
      <c r="CB38" s="198"/>
      <c r="CC38" s="198"/>
      <c r="CD38" s="18"/>
      <c r="CE38" s="18"/>
      <c r="CF38" s="18"/>
      <c r="CH38" s="18"/>
    </row>
    <row r="39" spans="1:99">
      <c r="A39" s="6">
        <f t="shared" si="4"/>
        <v>2016</v>
      </c>
      <c r="B39" s="18"/>
      <c r="C39" s="20">
        <v>19571749.379962433</v>
      </c>
      <c r="D39" s="187"/>
      <c r="E39" s="20">
        <v>4469276.92</v>
      </c>
      <c r="F39" s="187"/>
      <c r="G39" s="20">
        <v>13111591.223283047</v>
      </c>
      <c r="H39" s="187"/>
      <c r="I39" s="20">
        <v>2864659.6766766165</v>
      </c>
      <c r="J39" s="187"/>
      <c r="K39" s="20">
        <v>12312396.41982522</v>
      </c>
      <c r="L39" s="187"/>
      <c r="M39" s="494">
        <f t="shared" si="0"/>
        <v>52329673.619747311</v>
      </c>
      <c r="N39" s="187"/>
      <c r="O39" s="20">
        <v>15489746.039992604</v>
      </c>
      <c r="P39" s="187"/>
      <c r="Q39" s="20">
        <v>1414711.1700000004</v>
      </c>
      <c r="R39" s="187"/>
      <c r="S39" s="20">
        <v>10306250.221771397</v>
      </c>
      <c r="T39" s="187"/>
      <c r="U39" s="20">
        <v>1897969.0968727886</v>
      </c>
      <c r="V39" s="187"/>
      <c r="W39" s="20">
        <v>11430673.910620414</v>
      </c>
      <c r="X39" s="187"/>
      <c r="Y39" s="494">
        <f t="shared" si="1"/>
        <v>40539350.439257205</v>
      </c>
      <c r="Z39" s="19"/>
      <c r="AA39" s="25">
        <f t="shared" si="5"/>
        <v>2016</v>
      </c>
      <c r="AB39" s="355">
        <v>7780129.3599999994</v>
      </c>
      <c r="AC39" s="355">
        <v>2900000</v>
      </c>
      <c r="AD39" s="355">
        <v>2178904.85</v>
      </c>
      <c r="AE39" s="355">
        <v>1600000</v>
      </c>
      <c r="AF39" s="355">
        <v>4307373.26</v>
      </c>
      <c r="AG39" s="355">
        <v>3417254.3499999996</v>
      </c>
      <c r="AH39" s="355">
        <v>0</v>
      </c>
      <c r="AI39" s="355">
        <v>2739679.0554999998</v>
      </c>
      <c r="AJ39" s="355">
        <v>9946479.9930000007</v>
      </c>
      <c r="AK39" s="172">
        <v>0</v>
      </c>
      <c r="AL39" s="355">
        <f t="shared" si="2"/>
        <v>34869820.868500002</v>
      </c>
      <c r="AM39" s="172">
        <v>34869820.868500002</v>
      </c>
      <c r="AN39" s="39">
        <f t="shared" si="7"/>
        <v>0</v>
      </c>
      <c r="AP39" s="31"/>
      <c r="AQ39" s="32"/>
      <c r="AR39" s="25">
        <f t="shared" si="6"/>
        <v>2016</v>
      </c>
      <c r="AS39" s="355"/>
      <c r="AT39" s="355">
        <v>8884641.0399999991</v>
      </c>
      <c r="AU39" s="355"/>
      <c r="AV39" s="355">
        <v>2922628.74</v>
      </c>
      <c r="AW39" s="355">
        <v>1252807.5100000002</v>
      </c>
      <c r="AX39" s="355">
        <v>2407160.3199999994</v>
      </c>
      <c r="AY39" s="355">
        <v>0</v>
      </c>
      <c r="AZ39" s="355">
        <v>1878174.1154999998</v>
      </c>
      <c r="BA39" s="355">
        <v>9085919.1330000013</v>
      </c>
      <c r="BB39" s="355">
        <v>0</v>
      </c>
      <c r="BC39" s="355">
        <f t="shared" si="3"/>
        <v>26431330.8585</v>
      </c>
      <c r="BD39" s="172">
        <v>26431330.858500004</v>
      </c>
      <c r="BE39" s="39"/>
      <c r="BG39" s="32"/>
      <c r="BH39" s="18"/>
      <c r="BI39" s="300"/>
      <c r="BJ39" s="380"/>
      <c r="BK39" s="198"/>
      <c r="BL39" s="61"/>
      <c r="BM39" s="61"/>
      <c r="BN39" s="18"/>
      <c r="BO39" s="84"/>
      <c r="BP39" s="18"/>
      <c r="BQ39" s="22"/>
      <c r="BR39" s="22"/>
      <c r="BS39" s="22"/>
      <c r="BT39" s="18"/>
      <c r="BU39" s="22"/>
      <c r="BV39" s="22"/>
      <c r="BW39" s="353"/>
      <c r="BY39" s="18"/>
      <c r="BZ39" s="18"/>
      <c r="CB39" s="198"/>
      <c r="CC39" s="198"/>
      <c r="CD39" s="18"/>
      <c r="CE39" s="18"/>
      <c r="CF39" s="18"/>
      <c r="CH39" s="18"/>
    </row>
    <row r="40" spans="1:99">
      <c r="A40" s="6">
        <f t="shared" si="4"/>
        <v>2017</v>
      </c>
      <c r="B40" s="18"/>
      <c r="C40" s="20">
        <v>11425692.023544662</v>
      </c>
      <c r="D40" s="187"/>
      <c r="E40" s="20">
        <v>304640.94</v>
      </c>
      <c r="F40" s="187"/>
      <c r="G40" s="20">
        <v>13149598.05472691</v>
      </c>
      <c r="H40" s="187"/>
      <c r="I40" s="20">
        <v>2283279.0724499123</v>
      </c>
      <c r="J40" s="187"/>
      <c r="K40" s="20">
        <v>8583944.6953876596</v>
      </c>
      <c r="L40" s="187"/>
      <c r="M40" s="494">
        <f t="shared" si="0"/>
        <v>35747154.786109142</v>
      </c>
      <c r="N40" s="187"/>
      <c r="O40" s="20">
        <v>9935592.7828294672</v>
      </c>
      <c r="P40" s="187"/>
      <c r="Q40" s="20">
        <v>304640.94</v>
      </c>
      <c r="R40" s="187"/>
      <c r="S40" s="20">
        <v>9765745.6673291624</v>
      </c>
      <c r="T40" s="187"/>
      <c r="U40" s="20">
        <v>2263247.7497464879</v>
      </c>
      <c r="V40" s="187"/>
      <c r="W40" s="20">
        <v>7541265.8165665129</v>
      </c>
      <c r="X40" s="187"/>
      <c r="Y40" s="494">
        <f t="shared" si="1"/>
        <v>29810492.956471629</v>
      </c>
      <c r="Z40" s="19"/>
      <c r="AA40" s="25">
        <f t="shared" si="5"/>
        <v>2017</v>
      </c>
      <c r="AB40" s="355">
        <v>3331422.55</v>
      </c>
      <c r="AC40" s="355">
        <v>400000</v>
      </c>
      <c r="AD40" s="355">
        <v>70467.070000000007</v>
      </c>
      <c r="AE40" s="355">
        <v>0</v>
      </c>
      <c r="AF40" s="355">
        <v>282540.98</v>
      </c>
      <c r="AG40" s="355">
        <v>4964695.7699999996</v>
      </c>
      <c r="AH40" s="355">
        <v>0</v>
      </c>
      <c r="AI40" s="355">
        <v>1474493.9454999999</v>
      </c>
      <c r="AJ40" s="355">
        <v>5972048.7735000001</v>
      </c>
      <c r="AK40" s="172">
        <v>0</v>
      </c>
      <c r="AL40" s="355">
        <f t="shared" si="2"/>
        <v>16495669.088999998</v>
      </c>
      <c r="AM40" s="172">
        <v>16495669.089</v>
      </c>
      <c r="AN40" s="39">
        <f t="shared" si="7"/>
        <v>0</v>
      </c>
      <c r="AP40" s="31"/>
      <c r="AQ40" s="32"/>
      <c r="AR40" s="25">
        <f t="shared" si="6"/>
        <v>2017</v>
      </c>
      <c r="AS40" s="355"/>
      <c r="AT40" s="355">
        <v>3731422.55</v>
      </c>
      <c r="AU40" s="355"/>
      <c r="AV40" s="355">
        <v>70467.070000000007</v>
      </c>
      <c r="AW40" s="355">
        <v>282540.98</v>
      </c>
      <c r="AX40" s="355">
        <v>2577500.9699999997</v>
      </c>
      <c r="AY40" s="355">
        <v>0</v>
      </c>
      <c r="AZ40" s="355">
        <v>1474493.9454999999</v>
      </c>
      <c r="BA40" s="355">
        <v>5143574.8835000005</v>
      </c>
      <c r="BB40" s="355">
        <v>574070.96999999881</v>
      </c>
      <c r="BC40" s="355">
        <f t="shared" si="3"/>
        <v>13854071.368999999</v>
      </c>
      <c r="BD40" s="172">
        <v>13854071.368999999</v>
      </c>
      <c r="BE40" s="39"/>
      <c r="BG40" s="32"/>
      <c r="BH40" s="18"/>
      <c r="BI40" s="300"/>
      <c r="BJ40" s="380"/>
      <c r="BK40" s="198"/>
      <c r="BL40" s="61"/>
      <c r="BM40" s="61"/>
      <c r="BN40" s="18"/>
      <c r="BO40" s="84"/>
      <c r="BP40" s="18"/>
      <c r="BQ40" s="22"/>
      <c r="BR40" s="22"/>
      <c r="BS40" s="22"/>
      <c r="BT40" s="18"/>
      <c r="BU40" s="22"/>
      <c r="BV40" s="22"/>
      <c r="BW40" s="353"/>
      <c r="BY40" s="18"/>
      <c r="BZ40" s="18"/>
      <c r="CB40" s="198"/>
      <c r="CC40" s="198"/>
      <c r="CD40" s="18"/>
      <c r="CE40" s="18"/>
      <c r="CF40" s="18"/>
      <c r="CH40" s="18"/>
    </row>
    <row r="41" spans="1:99">
      <c r="A41" s="6">
        <f t="shared" si="4"/>
        <v>2018</v>
      </c>
      <c r="B41" s="18"/>
      <c r="C41" s="20">
        <v>16639378.489149887</v>
      </c>
      <c r="D41" s="187"/>
      <c r="E41" s="20">
        <v>2037829.809064918</v>
      </c>
      <c r="F41" s="187"/>
      <c r="G41" s="20">
        <v>7350933.7734010313</v>
      </c>
      <c r="H41" s="187"/>
      <c r="I41" s="20">
        <v>913539.97661241307</v>
      </c>
      <c r="J41" s="187"/>
      <c r="K41" s="20">
        <v>12524386.76859515</v>
      </c>
      <c r="L41" s="187"/>
      <c r="M41" s="494">
        <f t="shared" si="0"/>
        <v>39466068.816823401</v>
      </c>
      <c r="N41" s="187"/>
      <c r="O41" s="20">
        <v>16045039.806438018</v>
      </c>
      <c r="P41" s="187"/>
      <c r="Q41" s="20">
        <v>1868146.1184840575</v>
      </c>
      <c r="R41" s="187"/>
      <c r="S41" s="20">
        <v>6322124.109693517</v>
      </c>
      <c r="T41" s="187"/>
      <c r="U41" s="20">
        <v>855421.4994800624</v>
      </c>
      <c r="V41" s="187"/>
      <c r="W41" s="20">
        <v>11536545.011264283</v>
      </c>
      <c r="X41" s="187"/>
      <c r="Y41" s="494">
        <f t="shared" si="1"/>
        <v>36627276.545359939</v>
      </c>
      <c r="Z41" s="19"/>
      <c r="AA41" s="25">
        <f t="shared" si="5"/>
        <v>2018</v>
      </c>
      <c r="AB41" s="355">
        <v>4671176.54</v>
      </c>
      <c r="AC41" s="355">
        <v>1660000</v>
      </c>
      <c r="AD41" s="355">
        <v>218563.54</v>
      </c>
      <c r="AE41" s="355">
        <v>0</v>
      </c>
      <c r="AF41" s="355">
        <v>163104.99000000002</v>
      </c>
      <c r="AG41" s="355">
        <v>1282886.77</v>
      </c>
      <c r="AH41" s="355">
        <v>0</v>
      </c>
      <c r="AI41" s="355">
        <v>79087.214999999997</v>
      </c>
      <c r="AJ41" s="355">
        <v>5320040.6885000002</v>
      </c>
      <c r="AK41" s="172">
        <v>0</v>
      </c>
      <c r="AL41" s="355">
        <f t="shared" si="2"/>
        <v>13394859.7435</v>
      </c>
      <c r="AM41" s="172">
        <v>13394859.743499998</v>
      </c>
      <c r="AN41" s="39">
        <f t="shared" si="7"/>
        <v>0</v>
      </c>
      <c r="AP41" s="31"/>
      <c r="AQ41" s="32"/>
      <c r="AR41" s="25">
        <f t="shared" si="6"/>
        <v>2018</v>
      </c>
      <c r="AS41" s="355"/>
      <c r="AT41" s="355">
        <v>6331176.54</v>
      </c>
      <c r="AU41" s="355"/>
      <c r="AV41" s="355">
        <v>218563.54</v>
      </c>
      <c r="AW41" s="355">
        <v>163104.99000000002</v>
      </c>
      <c r="AX41" s="355">
        <v>1282886.77</v>
      </c>
      <c r="AY41" s="355">
        <v>0</v>
      </c>
      <c r="AZ41" s="355">
        <v>79087.214999999997</v>
      </c>
      <c r="BA41" s="355">
        <v>5320040.6885000002</v>
      </c>
      <c r="BB41" s="355">
        <v>0</v>
      </c>
      <c r="BC41" s="355">
        <f t="shared" si="3"/>
        <v>13394859.7435</v>
      </c>
      <c r="BD41" s="172">
        <v>13394859.743499998</v>
      </c>
      <c r="BE41" s="39"/>
      <c r="BG41" s="32"/>
      <c r="BH41" s="18"/>
      <c r="BI41" s="300"/>
      <c r="BJ41" s="380"/>
      <c r="BK41" s="198"/>
      <c r="BL41" s="61"/>
      <c r="BM41" s="61"/>
      <c r="BN41" s="18"/>
      <c r="BO41" s="84"/>
      <c r="BP41" s="18"/>
      <c r="BQ41" s="22"/>
      <c r="BR41" s="22"/>
      <c r="BS41" s="22"/>
      <c r="BT41" s="18"/>
      <c r="BU41" s="22"/>
      <c r="BV41" s="22"/>
      <c r="BW41" s="353"/>
      <c r="BY41" s="18"/>
      <c r="BZ41" s="18"/>
      <c r="CB41" s="198"/>
      <c r="CC41" s="198"/>
      <c r="CD41" s="18"/>
      <c r="CE41" s="18"/>
      <c r="CF41" s="18"/>
      <c r="CH41" s="18"/>
    </row>
    <row r="42" spans="1:99">
      <c r="A42" s="6">
        <f t="shared" si="4"/>
        <v>2019</v>
      </c>
      <c r="B42" s="18"/>
      <c r="C42" s="20">
        <v>16705501.481345251</v>
      </c>
      <c r="D42" s="187"/>
      <c r="E42" s="20">
        <v>627716.23940009926</v>
      </c>
      <c r="F42" s="187"/>
      <c r="G42" s="20">
        <v>6787157.8581031607</v>
      </c>
      <c r="H42" s="187"/>
      <c r="I42" s="20">
        <v>4674367.9625221388</v>
      </c>
      <c r="J42" s="187"/>
      <c r="K42" s="20">
        <v>15856141.935148189</v>
      </c>
      <c r="L42" s="187"/>
      <c r="M42" s="494">
        <f t="shared" si="0"/>
        <v>44650885.47651884</v>
      </c>
      <c r="N42" s="187"/>
      <c r="O42" s="20">
        <v>15667821.966404116</v>
      </c>
      <c r="P42" s="187"/>
      <c r="Q42" s="20">
        <v>583356.58558453247</v>
      </c>
      <c r="R42" s="187"/>
      <c r="S42" s="20">
        <v>5868209.7098056022</v>
      </c>
      <c r="T42" s="187"/>
      <c r="U42" s="20">
        <v>4447575.1272734199</v>
      </c>
      <c r="V42" s="187"/>
      <c r="W42" s="20">
        <v>13695969.951326052</v>
      </c>
      <c r="X42" s="187"/>
      <c r="Y42" s="494">
        <f t="shared" si="1"/>
        <v>40262933.340393722</v>
      </c>
      <c r="Z42" s="19"/>
      <c r="AA42" s="25">
        <f t="shared" si="5"/>
        <v>2019</v>
      </c>
      <c r="AB42" s="355">
        <v>4419145.47</v>
      </c>
      <c r="AC42" s="355">
        <v>405000</v>
      </c>
      <c r="AD42" s="355">
        <v>591517.39</v>
      </c>
      <c r="AE42" s="355">
        <v>500000</v>
      </c>
      <c r="AF42" s="355">
        <v>74916.14</v>
      </c>
      <c r="AG42" s="355">
        <v>590489.24</v>
      </c>
      <c r="AH42" s="355">
        <v>0</v>
      </c>
      <c r="AI42" s="355">
        <v>999225.82700000005</v>
      </c>
      <c r="AJ42" s="355">
        <v>2748035.7970000003</v>
      </c>
      <c r="AK42" s="172">
        <v>0</v>
      </c>
      <c r="AL42" s="355">
        <f t="shared" si="2"/>
        <v>10328329.864</v>
      </c>
      <c r="AM42" s="172">
        <v>10328329.864</v>
      </c>
      <c r="AN42" s="39">
        <f t="shared" si="7"/>
        <v>0</v>
      </c>
      <c r="AP42" s="31"/>
      <c r="AQ42" s="32"/>
      <c r="AR42" s="25">
        <f t="shared" si="6"/>
        <v>2019</v>
      </c>
      <c r="AS42" s="355"/>
      <c r="AT42" s="355">
        <v>4822395.47</v>
      </c>
      <c r="AU42" s="355"/>
      <c r="AV42" s="355">
        <v>999256.87000000011</v>
      </c>
      <c r="AW42" s="355">
        <v>74916.14</v>
      </c>
      <c r="AX42" s="355">
        <v>590489.24</v>
      </c>
      <c r="AY42" s="355">
        <v>0</v>
      </c>
      <c r="AZ42" s="355">
        <v>999033.8870000001</v>
      </c>
      <c r="BA42" s="355">
        <v>2720346.977</v>
      </c>
      <c r="BB42" s="355">
        <v>-125.86999999918044</v>
      </c>
      <c r="BC42" s="355">
        <f t="shared" si="3"/>
        <v>10206312.714</v>
      </c>
      <c r="BD42" s="172">
        <v>10206312.714</v>
      </c>
      <c r="BE42" s="39"/>
      <c r="BG42" s="32"/>
      <c r="BH42" s="18"/>
      <c r="BI42" s="300"/>
      <c r="BJ42" s="380"/>
      <c r="BK42" s="198"/>
      <c r="BL42" s="61"/>
      <c r="BM42" s="61"/>
      <c r="BN42" s="18"/>
      <c r="BO42" s="84"/>
      <c r="BP42" s="18"/>
      <c r="BQ42" s="22"/>
      <c r="BR42" s="22"/>
      <c r="BS42" s="22"/>
      <c r="BT42" s="18"/>
      <c r="BU42" s="22"/>
      <c r="BV42" s="22"/>
      <c r="BW42" s="353"/>
      <c r="BY42" s="18"/>
      <c r="BZ42" s="18"/>
      <c r="CB42" s="198"/>
      <c r="CC42" s="198"/>
      <c r="CD42" s="18"/>
      <c r="CE42" s="18"/>
      <c r="CF42" s="18"/>
      <c r="CH42" s="18"/>
    </row>
    <row r="43" spans="1:99">
      <c r="A43" s="6">
        <f t="shared" si="4"/>
        <v>2020</v>
      </c>
      <c r="B43" s="18"/>
      <c r="C43" s="20">
        <v>12074878.803252449</v>
      </c>
      <c r="D43" s="187"/>
      <c r="E43" s="20">
        <v>706651.99356974626</v>
      </c>
      <c r="F43" s="187"/>
      <c r="G43" s="20">
        <v>4417725.2002898194</v>
      </c>
      <c r="H43" s="187"/>
      <c r="I43" s="20">
        <v>1473030.6583756101</v>
      </c>
      <c r="J43" s="187"/>
      <c r="K43" s="20">
        <v>2147475.9921582039</v>
      </c>
      <c r="L43" s="187"/>
      <c r="M43" s="494">
        <f t="shared" si="0"/>
        <v>20819762.647645827</v>
      </c>
      <c r="N43" s="187"/>
      <c r="O43" s="20">
        <v>11154831.41507921</v>
      </c>
      <c r="P43" s="187"/>
      <c r="Q43" s="20">
        <v>620540.57829513052</v>
      </c>
      <c r="R43" s="187"/>
      <c r="S43" s="20">
        <v>3661823.2311404599</v>
      </c>
      <c r="T43" s="187"/>
      <c r="U43" s="20">
        <v>1056617.7135537907</v>
      </c>
      <c r="V43" s="187"/>
      <c r="W43" s="20">
        <v>1788179.2309855437</v>
      </c>
      <c r="X43" s="187"/>
      <c r="Y43" s="494">
        <f t="shared" si="1"/>
        <v>18281992.169054136</v>
      </c>
      <c r="Z43" s="19"/>
      <c r="AA43" s="25">
        <f t="shared" si="5"/>
        <v>2020</v>
      </c>
      <c r="AB43" s="355">
        <v>893958.71</v>
      </c>
      <c r="AC43" s="355">
        <v>0</v>
      </c>
      <c r="AD43" s="355">
        <v>21579.21</v>
      </c>
      <c r="AE43" s="355">
        <v>0</v>
      </c>
      <c r="AF43" s="355">
        <v>86733.65</v>
      </c>
      <c r="AG43" s="355">
        <v>136484.78</v>
      </c>
      <c r="AH43" s="355">
        <v>0</v>
      </c>
      <c r="AI43" s="355">
        <v>127027.40699999999</v>
      </c>
      <c r="AJ43" s="355">
        <v>82065.331999999995</v>
      </c>
      <c r="AK43" s="172">
        <v>0</v>
      </c>
      <c r="AL43" s="355">
        <f t="shared" si="2"/>
        <v>1347849.0889999997</v>
      </c>
      <c r="AM43" s="172">
        <v>1347849.0889999999</v>
      </c>
      <c r="AN43" s="39">
        <f t="shared" si="7"/>
        <v>0</v>
      </c>
      <c r="AP43" s="31"/>
      <c r="AQ43" s="32"/>
      <c r="AR43" s="25">
        <f t="shared" si="6"/>
        <v>2020</v>
      </c>
      <c r="AS43" s="355"/>
      <c r="AT43" s="355">
        <v>893958.71</v>
      </c>
      <c r="AU43" s="355"/>
      <c r="AV43" s="355">
        <v>21579.21</v>
      </c>
      <c r="AW43" s="355">
        <v>86733.65</v>
      </c>
      <c r="AX43" s="355">
        <v>136484.78</v>
      </c>
      <c r="AY43" s="355">
        <v>0</v>
      </c>
      <c r="AZ43" s="355">
        <v>127027.40699999999</v>
      </c>
      <c r="BA43" s="355">
        <v>82065.331999999995</v>
      </c>
      <c r="BB43" s="355">
        <v>-574070.96999999974</v>
      </c>
      <c r="BC43" s="355">
        <f t="shared" si="3"/>
        <v>773778.11899999995</v>
      </c>
      <c r="BD43" s="172">
        <v>773778.11899999995</v>
      </c>
      <c r="BE43" s="39"/>
      <c r="BG43" s="32"/>
      <c r="BH43" s="18"/>
      <c r="BI43" s="300"/>
      <c r="BJ43" s="380"/>
      <c r="BK43" s="198"/>
      <c r="BL43" s="61"/>
      <c r="BM43" s="61"/>
      <c r="BN43" s="18"/>
      <c r="BO43" s="84"/>
      <c r="BP43" s="18"/>
      <c r="BQ43" s="22"/>
      <c r="BR43" s="22"/>
      <c r="BS43" s="22"/>
      <c r="BT43" s="18"/>
      <c r="BU43" s="22"/>
      <c r="BV43" s="22"/>
      <c r="BW43" s="353"/>
      <c r="BY43" s="18"/>
      <c r="BZ43" s="18"/>
      <c r="CB43" s="198"/>
      <c r="CC43" s="198"/>
      <c r="CD43" s="18"/>
      <c r="CE43" s="18"/>
      <c r="CF43" s="18"/>
      <c r="CH43" s="18"/>
    </row>
    <row r="44" spans="1:99">
      <c r="A44" s="6">
        <f t="shared" si="4"/>
        <v>2021</v>
      </c>
      <c r="B44" s="18"/>
      <c r="C44" s="20">
        <v>12762228.755540043</v>
      </c>
      <c r="D44" s="187"/>
      <c r="E44" s="20">
        <v>1463969.9394880519</v>
      </c>
      <c r="F44" s="187"/>
      <c r="G44" s="20">
        <v>3298841.3216398931</v>
      </c>
      <c r="H44" s="187"/>
      <c r="I44" s="20">
        <v>2380121.8920091046</v>
      </c>
      <c r="J44" s="187"/>
      <c r="K44" s="20">
        <v>2185893.6206462914</v>
      </c>
      <c r="L44" s="187"/>
      <c r="M44" s="494">
        <f t="shared" si="0"/>
        <v>22091055.529323384</v>
      </c>
      <c r="N44" s="187"/>
      <c r="O44" s="20">
        <v>11899485.118885409</v>
      </c>
      <c r="P44" s="187"/>
      <c r="Q44" s="20">
        <v>1181588.4477077133</v>
      </c>
      <c r="R44" s="187"/>
      <c r="S44" s="20">
        <v>2697837.1396077485</v>
      </c>
      <c r="T44" s="187"/>
      <c r="U44" s="20">
        <v>2041279.9293172779</v>
      </c>
      <c r="V44" s="187"/>
      <c r="W44" s="20">
        <v>1774267.7915012387</v>
      </c>
      <c r="X44" s="187"/>
      <c r="Y44" s="494">
        <f t="shared" si="1"/>
        <v>19594458.427019387</v>
      </c>
      <c r="AA44" s="25">
        <f t="shared" si="5"/>
        <v>2021</v>
      </c>
      <c r="AB44" s="355">
        <v>193612.58000000002</v>
      </c>
      <c r="AC44" s="355">
        <v>0</v>
      </c>
      <c r="AD44" s="355">
        <v>7701.5</v>
      </c>
      <c r="AE44" s="355">
        <v>0</v>
      </c>
      <c r="AF44" s="355">
        <v>8324.19</v>
      </c>
      <c r="AG44" s="355">
        <v>6524.88</v>
      </c>
      <c r="AH44" s="355">
        <v>0</v>
      </c>
      <c r="AI44" s="355">
        <v>32590.842499999999</v>
      </c>
      <c r="AJ44" s="355">
        <v>0</v>
      </c>
      <c r="AK44" s="172">
        <v>0</v>
      </c>
      <c r="AL44" s="355">
        <f t="shared" si="2"/>
        <v>248753.99250000002</v>
      </c>
      <c r="AM44" s="172">
        <v>248753.99250000002</v>
      </c>
      <c r="AN44" s="39">
        <f t="shared" si="7"/>
        <v>0</v>
      </c>
      <c r="AP44" s="31"/>
      <c r="AQ44" s="61"/>
      <c r="AR44" s="25">
        <f t="shared" si="6"/>
        <v>2021</v>
      </c>
      <c r="AS44" s="355"/>
      <c r="AT44" s="355">
        <v>193612.58000000002</v>
      </c>
      <c r="AU44" s="355"/>
      <c r="AV44" s="355">
        <v>7701.5</v>
      </c>
      <c r="AW44" s="355">
        <v>8324.19</v>
      </c>
      <c r="AX44" s="355">
        <v>6524.88</v>
      </c>
      <c r="AY44" s="355">
        <v>0</v>
      </c>
      <c r="AZ44" s="355">
        <v>32590.842499999999</v>
      </c>
      <c r="BA44" s="355">
        <v>0</v>
      </c>
      <c r="BB44" s="355">
        <v>0</v>
      </c>
      <c r="BC44" s="355">
        <f t="shared" si="3"/>
        <v>248753.99250000002</v>
      </c>
      <c r="BD44" s="172">
        <v>248753.99250000002</v>
      </c>
      <c r="BE44" s="39"/>
      <c r="BG44" s="32"/>
      <c r="BH44" s="18"/>
      <c r="BI44" s="300"/>
      <c r="BJ44" s="380"/>
      <c r="BK44" s="198"/>
      <c r="BL44" s="61"/>
      <c r="BM44" s="61"/>
      <c r="BN44" s="18"/>
      <c r="BO44" s="84"/>
      <c r="BP44" s="18"/>
      <c r="BQ44" s="22"/>
      <c r="BR44" s="22"/>
      <c r="BS44" s="22"/>
      <c r="BT44" s="18"/>
      <c r="BU44" s="22"/>
      <c r="BV44" s="22"/>
      <c r="BW44" s="353"/>
      <c r="BY44" s="18"/>
      <c r="BZ44" s="18"/>
      <c r="CB44" s="198"/>
      <c r="CC44" s="198"/>
      <c r="CD44" s="18"/>
      <c r="CE44" s="18"/>
      <c r="CF44" s="18"/>
      <c r="CH44" s="18"/>
    </row>
    <row r="45" spans="1:99">
      <c r="Z45" s="20"/>
      <c r="BG45" s="61"/>
      <c r="BH45" s="61"/>
      <c r="BI45" s="61"/>
      <c r="BJ45" s="61"/>
      <c r="BK45" s="198"/>
      <c r="BL45" s="61"/>
      <c r="BM45" s="61"/>
      <c r="BN45" s="18"/>
      <c r="BO45" s="84"/>
      <c r="BP45" s="18"/>
      <c r="BQ45" s="22"/>
      <c r="BR45" s="22"/>
      <c r="BS45" s="22"/>
      <c r="BT45" s="18"/>
      <c r="BU45" s="22"/>
      <c r="BV45" s="22"/>
      <c r="BW45" s="353"/>
      <c r="BY45" s="18"/>
      <c r="BZ45" s="18"/>
      <c r="CB45" s="198"/>
      <c r="CC45" s="198"/>
      <c r="CD45" s="18"/>
      <c r="CE45" s="18"/>
      <c r="CF45" s="18"/>
      <c r="CH45" s="18"/>
    </row>
    <row r="46" spans="1:99">
      <c r="A46" s="6"/>
      <c r="B46" s="18"/>
      <c r="C46" s="200"/>
      <c r="D46" s="18"/>
      <c r="E46" s="200"/>
      <c r="F46" s="18"/>
      <c r="G46" s="200"/>
      <c r="H46" s="18"/>
      <c r="I46" s="200"/>
      <c r="J46" s="18"/>
      <c r="K46" s="200"/>
      <c r="L46" s="18"/>
      <c r="M46" s="200"/>
      <c r="N46" s="18"/>
      <c r="O46" s="200"/>
      <c r="P46" s="18"/>
      <c r="Q46" s="200"/>
      <c r="R46" s="18"/>
      <c r="S46" s="200"/>
      <c r="T46" s="18"/>
      <c r="U46" s="200"/>
      <c r="V46" s="18"/>
      <c r="W46" s="200"/>
      <c r="X46" s="18"/>
      <c r="Y46" s="200"/>
      <c r="AA46" s="61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R46" s="200"/>
      <c r="AS46" s="200"/>
      <c r="AT46" s="200"/>
      <c r="AU46" s="200"/>
      <c r="AV46" s="200"/>
      <c r="AW46" s="200"/>
      <c r="AX46" s="200"/>
      <c r="AY46" s="200"/>
      <c r="AZ46" s="200"/>
      <c r="BA46" s="200"/>
      <c r="BB46" s="200"/>
      <c r="BC46" s="200"/>
      <c r="BD46" s="200"/>
      <c r="BG46" s="381"/>
      <c r="BH46" s="121"/>
      <c r="BI46" s="121"/>
      <c r="BJ46" s="121"/>
      <c r="BK46" s="121"/>
      <c r="BL46" s="121"/>
      <c r="BM46" s="121"/>
      <c r="BN46" s="121"/>
      <c r="BO46" s="121"/>
      <c r="BP46" s="121"/>
      <c r="BQ46" s="121"/>
      <c r="BR46" s="121"/>
      <c r="BS46" s="121"/>
      <c r="BT46" s="121"/>
      <c r="BU46" s="121"/>
      <c r="BV46" s="121"/>
      <c r="BW46" s="121"/>
      <c r="BX46" s="121"/>
      <c r="BY46" s="121"/>
      <c r="BZ46" s="121"/>
      <c r="CA46" s="121"/>
      <c r="CB46" s="121"/>
      <c r="CC46" s="121"/>
      <c r="CD46" s="121"/>
      <c r="CE46" s="121"/>
      <c r="CF46" s="121"/>
      <c r="CG46" s="121"/>
      <c r="CH46" s="121"/>
      <c r="CI46" s="121"/>
      <c r="CJ46" s="121"/>
      <c r="CK46" s="121"/>
      <c r="CL46" s="121"/>
      <c r="CM46" s="121"/>
      <c r="CN46" s="121"/>
      <c r="CO46" s="121"/>
      <c r="CP46" s="121"/>
      <c r="CQ46" s="121"/>
      <c r="CR46" s="121"/>
      <c r="CS46" s="121"/>
      <c r="CT46" s="121"/>
      <c r="CU46" s="121"/>
    </row>
    <row r="47" spans="1:99">
      <c r="A47" s="294" t="s">
        <v>0</v>
      </c>
      <c r="B47" s="18"/>
      <c r="C47" s="19">
        <f>SUM(C17:C46)</f>
        <v>791861979.96671414</v>
      </c>
      <c r="D47" s="19"/>
      <c r="E47" s="19">
        <f>SUM(E17:E46)</f>
        <v>23589686.911522821</v>
      </c>
      <c r="F47" s="19"/>
      <c r="G47" s="20">
        <f>SUM(G17:G46)</f>
        <v>133766201.00537319</v>
      </c>
      <c r="H47" s="19"/>
      <c r="I47" s="19">
        <f>SUM(I17:I46)</f>
        <v>20919838.425806124</v>
      </c>
      <c r="J47" s="19"/>
      <c r="K47" s="19">
        <f>SUM(K17:K46)</f>
        <v>54121748.886158772</v>
      </c>
      <c r="L47" s="19"/>
      <c r="M47" s="19">
        <f>SUM(M17:M46)</f>
        <v>1024259455.1955749</v>
      </c>
      <c r="N47" s="19"/>
      <c r="O47" s="19">
        <f>SUM(O17:O46)</f>
        <v>594421534.36841428</v>
      </c>
      <c r="P47" s="19"/>
      <c r="Q47" s="19">
        <f>SUM(Q17:Q46)</f>
        <v>18853399.53007143</v>
      </c>
      <c r="R47" s="19"/>
      <c r="S47" s="66">
        <f>SUM(S17:S46)</f>
        <v>109334567.45031047</v>
      </c>
      <c r="T47" s="19"/>
      <c r="U47" s="19">
        <f>SUM(U17:U46)</f>
        <v>15984933.238978129</v>
      </c>
      <c r="V47" s="19"/>
      <c r="W47" s="19">
        <f>SUM(W17:W46)</f>
        <v>48274042.6357086</v>
      </c>
      <c r="X47" s="19"/>
      <c r="Y47" s="19">
        <f>SUM(Y17:Y46)</f>
        <v>786868477.22348297</v>
      </c>
      <c r="Z47" s="22"/>
      <c r="AA47" s="97" t="s">
        <v>0</v>
      </c>
      <c r="AB47" s="223">
        <f t="shared" ref="AB47:BC47" si="8">SUM(AB17:AB46)</f>
        <v>457689259.54000008</v>
      </c>
      <c r="AC47" s="223">
        <f t="shared" si="8"/>
        <v>240079878.47999999</v>
      </c>
      <c r="AD47" s="223">
        <f t="shared" si="8"/>
        <v>21609968.560000002</v>
      </c>
      <c r="AE47" s="223">
        <f t="shared" si="8"/>
        <v>10097529.92</v>
      </c>
      <c r="AF47" s="223">
        <f t="shared" si="8"/>
        <v>17885179.09</v>
      </c>
      <c r="AG47" s="223">
        <f t="shared" si="8"/>
        <v>74036083.199999988</v>
      </c>
      <c r="AH47" s="223">
        <f t="shared" si="8"/>
        <v>0</v>
      </c>
      <c r="AI47" s="223">
        <f t="shared" si="8"/>
        <v>11718374.649499999</v>
      </c>
      <c r="AJ47" s="223">
        <f t="shared" si="8"/>
        <v>24429370.982499998</v>
      </c>
      <c r="AK47" s="223">
        <f t="shared" si="8"/>
        <v>4999.7200000062585</v>
      </c>
      <c r="AL47" s="223">
        <f t="shared" si="8"/>
        <v>857545644.42199981</v>
      </c>
      <c r="AM47" s="223">
        <f t="shared" si="8"/>
        <v>574190255.82200003</v>
      </c>
      <c r="AN47" s="223">
        <f t="shared" si="8"/>
        <v>-5349.7200000062585</v>
      </c>
      <c r="AR47" s="223">
        <f t="shared" si="8"/>
        <v>56210</v>
      </c>
      <c r="AS47" s="223">
        <f t="shared" si="8"/>
        <v>0</v>
      </c>
      <c r="AT47" s="223">
        <f t="shared" si="8"/>
        <v>510298576.29999989</v>
      </c>
      <c r="AU47" s="223">
        <f t="shared" si="8"/>
        <v>0</v>
      </c>
      <c r="AV47" s="223">
        <f t="shared" si="8"/>
        <v>27990995.159999993</v>
      </c>
      <c r="AW47" s="223">
        <f t="shared" si="8"/>
        <v>13731427.959999999</v>
      </c>
      <c r="AX47" s="223">
        <f t="shared" si="8"/>
        <v>59732199.460000008</v>
      </c>
      <c r="AY47" s="223">
        <f t="shared" si="8"/>
        <v>0</v>
      </c>
      <c r="AZ47" s="223">
        <f t="shared" si="8"/>
        <v>7959242.4095000001</v>
      </c>
      <c r="BA47" s="223">
        <f t="shared" si="8"/>
        <v>22712647.412499998</v>
      </c>
      <c r="BB47" s="223">
        <f t="shared" si="8"/>
        <v>4874.1300000185147</v>
      </c>
      <c r="BC47" s="223">
        <f t="shared" si="8"/>
        <v>642429962.8319999</v>
      </c>
      <c r="BD47" s="223">
        <f t="shared" ref="BD47" si="9">SUM(BD17:BD46)</f>
        <v>482445754.08200008</v>
      </c>
      <c r="BE47" s="223"/>
      <c r="BG47" s="355"/>
      <c r="BH47" s="223"/>
      <c r="BI47" s="223"/>
      <c r="BJ47" s="223"/>
      <c r="BK47" s="355"/>
      <c r="BL47" s="223"/>
      <c r="BM47" s="223"/>
      <c r="BN47" s="223"/>
      <c r="BO47" s="223"/>
      <c r="BP47" s="223"/>
      <c r="BQ47" s="223"/>
      <c r="BR47" s="223"/>
      <c r="BS47" s="223"/>
      <c r="BT47" s="223"/>
      <c r="BU47" s="223"/>
      <c r="BV47" s="223"/>
      <c r="BW47" s="223"/>
      <c r="BX47" s="223"/>
      <c r="BY47" s="223"/>
      <c r="BZ47" s="223"/>
      <c r="CD47" s="223"/>
      <c r="CF47" s="223"/>
      <c r="CH47" s="223"/>
    </row>
    <row r="48" spans="1:99">
      <c r="A48" s="18"/>
      <c r="B48" s="18"/>
      <c r="C48" s="18"/>
      <c r="D48" s="18"/>
      <c r="E48" s="18">
        <f>SUM(E31:E44)</f>
        <v>22311881.181522816</v>
      </c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R48" s="18"/>
      <c r="S48" s="18"/>
      <c r="T48" s="18"/>
      <c r="U48" s="18"/>
      <c r="V48" s="18"/>
      <c r="W48" s="18"/>
      <c r="X48" s="18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P48" s="61"/>
      <c r="AQ48" s="61"/>
      <c r="AR48" s="61"/>
      <c r="AS48" s="61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9">
        <v>0</v>
      </c>
      <c r="BE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Z48" s="18"/>
    </row>
    <row r="49" spans="1:78">
      <c r="A49" s="299" t="s">
        <v>29</v>
      </c>
      <c r="B49" s="18"/>
      <c r="C49" s="3" t="s">
        <v>1575</v>
      </c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AA49" s="61"/>
      <c r="AB49" s="223">
        <f>SUM(AB47:AE47)</f>
        <v>729476636.50000012</v>
      </c>
      <c r="AC49" s="84"/>
      <c r="AD49" s="84"/>
      <c r="AE49" s="84"/>
      <c r="AF49" s="84"/>
      <c r="AG49" s="84"/>
      <c r="AH49" s="61"/>
      <c r="AI49" s="61"/>
      <c r="AJ49" s="84"/>
      <c r="AK49" s="61"/>
      <c r="AL49" s="84"/>
      <c r="AM49" s="61"/>
      <c r="AN49" s="61"/>
      <c r="AP49" s="61"/>
      <c r="AQ49" s="381"/>
      <c r="AR49" s="61"/>
      <c r="AS49" s="61"/>
      <c r="AT49" s="84"/>
      <c r="AU49" s="84"/>
      <c r="AV49" s="84"/>
      <c r="AW49" s="84"/>
      <c r="AX49" s="84"/>
      <c r="AY49" s="61"/>
      <c r="AZ49" s="61"/>
      <c r="BA49" s="84"/>
      <c r="BB49" s="61"/>
      <c r="BC49" s="223">
        <f>SUM(BC23:BC44)</f>
        <v>482445754.36200005</v>
      </c>
      <c r="BE49" s="61"/>
      <c r="BG49" s="121"/>
      <c r="BH49" s="121"/>
      <c r="BI49" s="121"/>
      <c r="BJ49" s="121"/>
      <c r="BK49" s="61"/>
      <c r="BL49" s="61"/>
      <c r="BM49" s="61"/>
      <c r="BN49" s="61"/>
      <c r="BO49" s="61"/>
      <c r="BP49" s="61"/>
      <c r="BZ49" s="18"/>
    </row>
    <row r="50" spans="1:78">
      <c r="A50" s="64" t="s">
        <v>30</v>
      </c>
      <c r="C50" s="3" t="s">
        <v>427</v>
      </c>
      <c r="Q50" s="19"/>
      <c r="S50" s="18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P50" s="61"/>
      <c r="AQ50" s="61"/>
      <c r="AR50" s="61"/>
      <c r="AS50" s="61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172"/>
      <c r="BE50" s="379"/>
      <c r="BG50" s="121"/>
      <c r="BH50" s="121"/>
      <c r="BI50" s="121"/>
      <c r="BJ50" s="121"/>
      <c r="BK50" s="61"/>
      <c r="BL50" s="61"/>
      <c r="BM50" s="61"/>
      <c r="BN50" s="61"/>
      <c r="BO50" s="61"/>
      <c r="BP50" s="61"/>
      <c r="BZ50" s="18"/>
    </row>
    <row r="51" spans="1:78">
      <c r="A51" s="64" t="s">
        <v>430</v>
      </c>
      <c r="C51" s="3" t="s">
        <v>1575</v>
      </c>
      <c r="AA51" s="121" t="s">
        <v>544</v>
      </c>
      <c r="AB51" s="61"/>
      <c r="AC51" s="61"/>
      <c r="AD51" s="61"/>
      <c r="AE51" s="61"/>
      <c r="AF51" s="61"/>
      <c r="AG51" s="61"/>
      <c r="AH51" s="61"/>
      <c r="AI51" s="61"/>
      <c r="AJ51" s="61"/>
      <c r="AK51" s="25" t="s">
        <v>1759</v>
      </c>
      <c r="AL51" s="61"/>
      <c r="AM51" s="61"/>
      <c r="AN51" s="61"/>
      <c r="AP51" s="61"/>
      <c r="AQ51" s="61"/>
      <c r="AR51" s="121" t="s">
        <v>737</v>
      </c>
      <c r="AS51" s="61"/>
      <c r="AT51" s="61"/>
      <c r="AU51" s="61"/>
      <c r="AV51" s="61"/>
      <c r="AW51" s="61"/>
      <c r="AX51" s="61"/>
      <c r="AY51" s="61"/>
      <c r="AZ51" s="61"/>
      <c r="BA51" s="61"/>
      <c r="BB51" s="25" t="s">
        <v>1759</v>
      </c>
      <c r="BC51" s="61"/>
      <c r="BD51" s="97"/>
      <c r="BE51" s="302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T51" s="18"/>
      <c r="BZ51" s="18"/>
    </row>
    <row r="52" spans="1:78">
      <c r="A52" s="64" t="s">
        <v>137</v>
      </c>
      <c r="C52" s="3" t="s">
        <v>1661</v>
      </c>
      <c r="AA52" s="25" t="s">
        <v>3</v>
      </c>
      <c r="AB52" s="61"/>
      <c r="AC52" s="255" t="s">
        <v>460</v>
      </c>
      <c r="AD52" s="256"/>
      <c r="AE52" s="256"/>
      <c r="AF52" s="256"/>
      <c r="AG52" s="256"/>
      <c r="AH52" s="256"/>
      <c r="AI52" s="256"/>
      <c r="AJ52" s="256"/>
      <c r="AK52" s="25" t="s">
        <v>1761</v>
      </c>
      <c r="AL52" s="61"/>
      <c r="AM52" s="97" t="s">
        <v>0</v>
      </c>
      <c r="AN52" s="302"/>
      <c r="AP52" s="61"/>
      <c r="AQ52" s="61"/>
      <c r="AR52" s="25" t="s">
        <v>3</v>
      </c>
      <c r="AS52" s="61"/>
      <c r="AT52" s="255" t="s">
        <v>734</v>
      </c>
      <c r="AU52" s="256"/>
      <c r="AV52" s="256"/>
      <c r="AW52" s="256"/>
      <c r="AX52" s="256"/>
      <c r="AY52" s="256"/>
      <c r="AZ52" s="256"/>
      <c r="BA52" s="256"/>
      <c r="BB52" s="25" t="s">
        <v>1761</v>
      </c>
      <c r="BC52" s="256"/>
      <c r="BD52" s="97"/>
      <c r="BE52" s="97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Z52" s="18"/>
    </row>
    <row r="53" spans="1:78">
      <c r="AA53" s="25" t="s">
        <v>4</v>
      </c>
      <c r="AB53" s="97" t="s">
        <v>516</v>
      </c>
      <c r="AC53" s="97" t="s">
        <v>517</v>
      </c>
      <c r="AD53" s="25" t="s">
        <v>518</v>
      </c>
      <c r="AE53" s="97" t="s">
        <v>519</v>
      </c>
      <c r="AF53" s="97" t="s">
        <v>520</v>
      </c>
      <c r="AG53" s="97" t="s">
        <v>521</v>
      </c>
      <c r="AH53" s="25" t="s">
        <v>522</v>
      </c>
      <c r="AI53" s="97" t="s">
        <v>329</v>
      </c>
      <c r="AJ53" s="97" t="s">
        <v>478</v>
      </c>
      <c r="AK53" s="25" t="s">
        <v>1760</v>
      </c>
      <c r="AL53" s="97" t="s">
        <v>0</v>
      </c>
      <c r="AM53" s="97" t="s">
        <v>1378</v>
      </c>
      <c r="AN53" s="97" t="s">
        <v>18</v>
      </c>
      <c r="AP53" s="61"/>
      <c r="AQ53" s="61"/>
      <c r="AR53" s="25" t="s">
        <v>4</v>
      </c>
      <c r="AS53" s="97"/>
      <c r="AT53" s="97" t="s">
        <v>664</v>
      </c>
      <c r="AU53" s="25"/>
      <c r="AV53" s="97" t="s">
        <v>736</v>
      </c>
      <c r="AW53" s="97" t="s">
        <v>520</v>
      </c>
      <c r="AX53" s="97" t="s">
        <v>521</v>
      </c>
      <c r="AY53" s="25" t="s">
        <v>522</v>
      </c>
      <c r="AZ53" s="97" t="s">
        <v>329</v>
      </c>
      <c r="BA53" s="97" t="s">
        <v>478</v>
      </c>
      <c r="BB53" s="25" t="s">
        <v>1760</v>
      </c>
      <c r="BC53" s="97" t="s">
        <v>0</v>
      </c>
      <c r="BD53" s="61"/>
      <c r="BE53" s="61"/>
      <c r="BZ53" s="18"/>
    </row>
    <row r="54" spans="1:78">
      <c r="AA54" s="193">
        <v>-1</v>
      </c>
      <c r="AB54" s="61"/>
      <c r="AC54" s="143"/>
      <c r="AD54" s="61"/>
      <c r="AE54" s="193"/>
      <c r="AF54" s="193"/>
      <c r="AG54" s="193"/>
      <c r="AH54" s="61"/>
      <c r="AI54" s="193"/>
      <c r="AJ54" s="61"/>
      <c r="AK54" s="193"/>
      <c r="AL54" s="61"/>
      <c r="AM54" s="193"/>
      <c r="AN54" s="193"/>
      <c r="BD54" s="61"/>
      <c r="BE54" s="61"/>
      <c r="BZ54" s="18"/>
    </row>
    <row r="55" spans="1:78">
      <c r="AA55" s="164"/>
      <c r="AB55" s="61"/>
      <c r="AC55" s="164"/>
      <c r="AD55" s="61"/>
      <c r="AE55" s="164"/>
      <c r="AF55" s="164"/>
      <c r="AG55" s="164"/>
      <c r="AH55" s="61"/>
      <c r="AI55" s="164"/>
      <c r="AJ55" s="61"/>
      <c r="AK55" s="164"/>
      <c r="AL55" s="61"/>
      <c r="AM55" s="223"/>
      <c r="AN55" s="379"/>
      <c r="AP55" s="61"/>
      <c r="AQ55" s="61"/>
      <c r="AS55" s="61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Z55" s="18"/>
    </row>
    <row r="56" spans="1:78"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P56" s="61"/>
      <c r="AQ56" s="61"/>
      <c r="AS56" s="61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172"/>
      <c r="BE56" s="223"/>
      <c r="BZ56" s="18"/>
    </row>
    <row r="57" spans="1:78">
      <c r="AA57" s="25">
        <f>AA17</f>
        <v>1994</v>
      </c>
      <c r="AB57" s="355">
        <v>25659084.629999999</v>
      </c>
      <c r="AC57" s="355">
        <v>9014361.5099999998</v>
      </c>
      <c r="AD57" s="355">
        <v>9600</v>
      </c>
      <c r="AE57" s="355">
        <v>0</v>
      </c>
      <c r="AF57" s="355">
        <v>0</v>
      </c>
      <c r="AG57" s="355">
        <v>0</v>
      </c>
      <c r="AH57" s="355">
        <v>0</v>
      </c>
      <c r="AI57" s="355">
        <v>0</v>
      </c>
      <c r="AJ57" s="355">
        <v>0</v>
      </c>
      <c r="AK57" s="172">
        <v>0</v>
      </c>
      <c r="AL57" s="355">
        <f t="shared" ref="AL57:AL84" si="10">SUM(AB57:AJ57)</f>
        <v>34683046.140000001</v>
      </c>
      <c r="AM57" s="172"/>
      <c r="AN57" s="39"/>
      <c r="AP57" s="355"/>
      <c r="AQ57" s="306"/>
      <c r="AR57" s="25">
        <f>AR17</f>
        <v>1994</v>
      </c>
      <c r="AS57" s="61"/>
      <c r="AT57" s="355">
        <v>22143382.66</v>
      </c>
      <c r="AU57" s="355"/>
      <c r="AV57" s="355">
        <v>9600</v>
      </c>
      <c r="AW57" s="355">
        <v>0</v>
      </c>
      <c r="AX57" s="355">
        <v>0</v>
      </c>
      <c r="AY57" s="355">
        <v>0</v>
      </c>
      <c r="AZ57" s="355">
        <v>0</v>
      </c>
      <c r="BA57" s="355">
        <v>0</v>
      </c>
      <c r="BB57" s="355">
        <v>0</v>
      </c>
      <c r="BC57" s="355">
        <f>SUM(AT57:BB57)</f>
        <v>22152982.66</v>
      </c>
      <c r="BD57" s="172"/>
      <c r="BE57" s="355"/>
      <c r="BF57" s="61"/>
      <c r="BZ57" s="18"/>
    </row>
    <row r="58" spans="1:78">
      <c r="AA58" s="25">
        <f>AA57+1</f>
        <v>1995</v>
      </c>
      <c r="AB58" s="355">
        <v>27896034.309999995</v>
      </c>
      <c r="AC58" s="355">
        <v>25158701.43</v>
      </c>
      <c r="AD58" s="355">
        <v>674635.38</v>
      </c>
      <c r="AE58" s="355">
        <v>250000</v>
      </c>
      <c r="AF58" s="355">
        <v>0</v>
      </c>
      <c r="AG58" s="355">
        <v>0</v>
      </c>
      <c r="AH58" s="355">
        <v>0</v>
      </c>
      <c r="AI58" s="355">
        <v>0</v>
      </c>
      <c r="AJ58" s="355">
        <v>0</v>
      </c>
      <c r="AK58" s="172">
        <v>0</v>
      </c>
      <c r="AL58" s="355">
        <f t="shared" si="10"/>
        <v>53979371.119999997</v>
      </c>
      <c r="AM58" s="172"/>
      <c r="AN58" s="39"/>
      <c r="AP58" s="355"/>
      <c r="AQ58" s="306"/>
      <c r="AR58" s="25">
        <f>AR57+1</f>
        <v>1995</v>
      </c>
      <c r="AS58" s="61"/>
      <c r="AT58" s="355">
        <v>25331942.579999998</v>
      </c>
      <c r="AU58" s="355"/>
      <c r="AV58" s="355">
        <v>650567.16999999993</v>
      </c>
      <c r="AW58" s="355">
        <v>0</v>
      </c>
      <c r="AX58" s="355">
        <v>0</v>
      </c>
      <c r="AY58" s="355">
        <v>0</v>
      </c>
      <c r="AZ58" s="355">
        <v>0</v>
      </c>
      <c r="BA58" s="355">
        <v>0</v>
      </c>
      <c r="BB58" s="355">
        <v>0</v>
      </c>
      <c r="BC58" s="355">
        <f t="shared" ref="BC58:BC84" si="11">SUM(AT58:BB58)</f>
        <v>25982509.75</v>
      </c>
      <c r="BD58" s="172"/>
      <c r="BE58" s="355"/>
      <c r="BZ58" s="18"/>
    </row>
    <row r="59" spans="1:78">
      <c r="AA59" s="25">
        <f t="shared" ref="AA59:AA84" si="12">AA58+1</f>
        <v>1996</v>
      </c>
      <c r="AB59" s="355">
        <v>30198928.089999996</v>
      </c>
      <c r="AC59" s="355">
        <v>16457011</v>
      </c>
      <c r="AD59" s="355">
        <v>931618.13</v>
      </c>
      <c r="AE59" s="355">
        <v>0</v>
      </c>
      <c r="AF59" s="355">
        <v>0</v>
      </c>
      <c r="AG59" s="355">
        <v>0</v>
      </c>
      <c r="AH59" s="355">
        <v>0</v>
      </c>
      <c r="AI59" s="355">
        <v>0</v>
      </c>
      <c r="AJ59" s="355">
        <v>0</v>
      </c>
      <c r="AK59" s="172">
        <v>0</v>
      </c>
      <c r="AL59" s="355">
        <f t="shared" si="10"/>
        <v>47587557.219999999</v>
      </c>
      <c r="AM59" s="172"/>
      <c r="AN59" s="39"/>
      <c r="AP59" s="355"/>
      <c r="AQ59" s="306"/>
      <c r="AR59" s="25">
        <f t="shared" ref="AR59:AR84" si="13">AR58+1</f>
        <v>1996</v>
      </c>
      <c r="AS59" s="61"/>
      <c r="AT59" s="355">
        <v>27120065.469999995</v>
      </c>
      <c r="AU59" s="355"/>
      <c r="AV59" s="355">
        <v>931618.13</v>
      </c>
      <c r="AW59" s="355">
        <v>0</v>
      </c>
      <c r="AX59" s="355">
        <v>0</v>
      </c>
      <c r="AY59" s="355">
        <v>0</v>
      </c>
      <c r="AZ59" s="355">
        <v>0</v>
      </c>
      <c r="BA59" s="355">
        <v>0</v>
      </c>
      <c r="BB59" s="355">
        <v>0</v>
      </c>
      <c r="BC59" s="355">
        <f t="shared" si="11"/>
        <v>28051683.599999994</v>
      </c>
      <c r="BD59" s="172"/>
      <c r="BE59" s="355"/>
      <c r="BZ59" s="18"/>
    </row>
    <row r="60" spans="1:78">
      <c r="AA60" s="25">
        <f t="shared" si="12"/>
        <v>1997</v>
      </c>
      <c r="AB60" s="355">
        <v>26713733.369999997</v>
      </c>
      <c r="AC60" s="355">
        <v>9461637.870000001</v>
      </c>
      <c r="AD60" s="355">
        <v>520601.1</v>
      </c>
      <c r="AE60" s="355">
        <v>1400000</v>
      </c>
      <c r="AF60" s="355">
        <v>0</v>
      </c>
      <c r="AG60" s="355">
        <v>0</v>
      </c>
      <c r="AH60" s="355">
        <v>0</v>
      </c>
      <c r="AI60" s="355">
        <v>0</v>
      </c>
      <c r="AJ60" s="355">
        <v>0</v>
      </c>
      <c r="AK60" s="172">
        <v>0</v>
      </c>
      <c r="AL60" s="355">
        <f t="shared" si="10"/>
        <v>38095972.339999996</v>
      </c>
      <c r="AM60" s="172"/>
      <c r="AN60" s="39"/>
      <c r="AP60" s="355"/>
      <c r="AQ60" s="306"/>
      <c r="AR60" s="25">
        <f t="shared" si="13"/>
        <v>1997</v>
      </c>
      <c r="AS60" s="61"/>
      <c r="AT60" s="355">
        <v>25623817.869999994</v>
      </c>
      <c r="AU60" s="355"/>
      <c r="AV60" s="355">
        <v>505421.35000000009</v>
      </c>
      <c r="AW60" s="355">
        <v>0</v>
      </c>
      <c r="AX60" s="355">
        <v>0</v>
      </c>
      <c r="AY60" s="355">
        <v>0</v>
      </c>
      <c r="AZ60" s="355">
        <v>0</v>
      </c>
      <c r="BA60" s="355">
        <v>0</v>
      </c>
      <c r="BB60" s="355">
        <v>0</v>
      </c>
      <c r="BC60" s="355">
        <f t="shared" si="11"/>
        <v>26129239.219999995</v>
      </c>
      <c r="BD60" s="172"/>
      <c r="BE60" s="355"/>
      <c r="BZ60" s="18"/>
    </row>
    <row r="61" spans="1:78">
      <c r="AA61" s="25">
        <f t="shared" si="12"/>
        <v>1998</v>
      </c>
      <c r="AB61" s="355">
        <v>29164670.75</v>
      </c>
      <c r="AC61" s="355">
        <v>24800000</v>
      </c>
      <c r="AD61" s="355">
        <v>606234.30000000005</v>
      </c>
      <c r="AE61" s="355">
        <v>204267.68999999994</v>
      </c>
      <c r="AF61" s="355">
        <v>0</v>
      </c>
      <c r="AG61" s="355">
        <v>0</v>
      </c>
      <c r="AH61" s="355">
        <v>0</v>
      </c>
      <c r="AI61" s="355">
        <v>0</v>
      </c>
      <c r="AJ61" s="355">
        <v>0</v>
      </c>
      <c r="AK61" s="172">
        <v>0</v>
      </c>
      <c r="AL61" s="355">
        <f t="shared" si="10"/>
        <v>54775172.739999995</v>
      </c>
      <c r="AM61" s="172"/>
      <c r="AN61" s="39"/>
      <c r="AP61" s="355"/>
      <c r="AQ61" s="306"/>
      <c r="AR61" s="25">
        <f t="shared" si="13"/>
        <v>1998</v>
      </c>
      <c r="AS61" s="61"/>
      <c r="AT61" s="355">
        <v>25918211.300000001</v>
      </c>
      <c r="AU61" s="355"/>
      <c r="AV61" s="355">
        <v>603393.59</v>
      </c>
      <c r="AW61" s="355">
        <v>0</v>
      </c>
      <c r="AX61" s="355">
        <v>0</v>
      </c>
      <c r="AY61" s="355">
        <v>0</v>
      </c>
      <c r="AZ61" s="355">
        <v>0</v>
      </c>
      <c r="BA61" s="355">
        <v>0</v>
      </c>
      <c r="BB61" s="355">
        <v>0</v>
      </c>
      <c r="BC61" s="355">
        <f t="shared" si="11"/>
        <v>26521604.890000001</v>
      </c>
      <c r="BD61" s="172"/>
      <c r="BE61" s="355"/>
      <c r="BZ61" s="18"/>
    </row>
    <row r="62" spans="1:78">
      <c r="AA62" s="25">
        <f t="shared" si="12"/>
        <v>1999</v>
      </c>
      <c r="AB62" s="355">
        <v>35137110.340000004</v>
      </c>
      <c r="AC62" s="355">
        <v>18284000</v>
      </c>
      <c r="AD62" s="355">
        <v>818508.42</v>
      </c>
      <c r="AE62" s="355">
        <v>0</v>
      </c>
      <c r="AF62" s="355">
        <v>0</v>
      </c>
      <c r="AG62" s="355">
        <v>0</v>
      </c>
      <c r="AH62" s="355">
        <v>0</v>
      </c>
      <c r="AI62" s="355">
        <v>0</v>
      </c>
      <c r="AJ62" s="355">
        <v>0</v>
      </c>
      <c r="AK62" s="172">
        <v>0</v>
      </c>
      <c r="AL62" s="355">
        <f t="shared" si="10"/>
        <v>54239618.760000005</v>
      </c>
      <c r="AM62" s="172"/>
      <c r="AN62" s="39"/>
      <c r="AP62" s="355"/>
      <c r="AQ62" s="306"/>
      <c r="AR62" s="25">
        <f t="shared" si="13"/>
        <v>1999</v>
      </c>
      <c r="AS62" s="61"/>
      <c r="AT62" s="355">
        <v>30327679.930000003</v>
      </c>
      <c r="AU62" s="355"/>
      <c r="AV62" s="355">
        <v>818508.42</v>
      </c>
      <c r="AW62" s="355">
        <v>0</v>
      </c>
      <c r="AX62" s="355">
        <v>0</v>
      </c>
      <c r="AY62" s="355">
        <v>0</v>
      </c>
      <c r="AZ62" s="355">
        <v>0</v>
      </c>
      <c r="BA62" s="355">
        <v>0</v>
      </c>
      <c r="BB62" s="355">
        <v>0</v>
      </c>
      <c r="BC62" s="355">
        <f t="shared" si="11"/>
        <v>31146188.350000005</v>
      </c>
      <c r="BD62" s="172"/>
      <c r="BE62" s="355"/>
    </row>
    <row r="63" spans="1:78">
      <c r="AA63" s="25">
        <f t="shared" si="12"/>
        <v>2000</v>
      </c>
      <c r="AB63" s="355">
        <v>27795495.93</v>
      </c>
      <c r="AC63" s="355">
        <v>16115000</v>
      </c>
      <c r="AD63" s="355">
        <v>1349932.79</v>
      </c>
      <c r="AE63" s="355">
        <v>250000</v>
      </c>
      <c r="AF63" s="355">
        <v>0</v>
      </c>
      <c r="AG63" s="355">
        <v>0</v>
      </c>
      <c r="AH63" s="355">
        <v>0</v>
      </c>
      <c r="AI63" s="355">
        <v>0</v>
      </c>
      <c r="AJ63" s="355">
        <v>0</v>
      </c>
      <c r="AK63" s="172">
        <v>0</v>
      </c>
      <c r="AL63" s="355">
        <f t="shared" si="10"/>
        <v>45510428.719999999</v>
      </c>
      <c r="AM63" s="172">
        <v>45510428.719999999</v>
      </c>
      <c r="AN63" s="39">
        <f t="shared" ref="AN63:AN84" si="14">AL63-AM63</f>
        <v>0</v>
      </c>
      <c r="AP63" s="355"/>
      <c r="AQ63" s="306"/>
      <c r="AR63" s="25">
        <f t="shared" si="13"/>
        <v>2000</v>
      </c>
      <c r="AS63" s="61"/>
      <c r="AT63" s="355">
        <v>27096652.149999999</v>
      </c>
      <c r="AU63" s="355"/>
      <c r="AV63" s="355">
        <v>1460728.33</v>
      </c>
      <c r="AW63" s="355">
        <v>0</v>
      </c>
      <c r="AX63" s="355">
        <v>0</v>
      </c>
      <c r="AY63" s="355">
        <v>0</v>
      </c>
      <c r="AZ63" s="355">
        <v>0</v>
      </c>
      <c r="BA63" s="355">
        <v>0</v>
      </c>
      <c r="BB63" s="355">
        <v>0</v>
      </c>
      <c r="BC63" s="355">
        <f t="shared" si="11"/>
        <v>28557380.479999997</v>
      </c>
      <c r="BD63" s="172"/>
      <c r="BE63" s="355"/>
    </row>
    <row r="64" spans="1:78">
      <c r="AA64" s="25">
        <f t="shared" si="12"/>
        <v>2001</v>
      </c>
      <c r="AB64" s="355">
        <v>22560712.330000006</v>
      </c>
      <c r="AC64" s="355">
        <v>12067167</v>
      </c>
      <c r="AD64" s="355">
        <v>1732780</v>
      </c>
      <c r="AE64" s="355">
        <v>1283262.23</v>
      </c>
      <c r="AF64" s="355">
        <v>0</v>
      </c>
      <c r="AG64" s="355">
        <v>0</v>
      </c>
      <c r="AH64" s="355">
        <v>0</v>
      </c>
      <c r="AI64" s="355">
        <v>0</v>
      </c>
      <c r="AJ64" s="355">
        <v>0</v>
      </c>
      <c r="AK64" s="172">
        <v>0</v>
      </c>
      <c r="AL64" s="355">
        <f t="shared" si="10"/>
        <v>37643921.560000002</v>
      </c>
      <c r="AM64" s="172">
        <v>37643921.560000017</v>
      </c>
      <c r="AN64" s="39">
        <f t="shared" si="14"/>
        <v>0</v>
      </c>
      <c r="AP64" s="355"/>
      <c r="AQ64" s="306"/>
      <c r="AR64" s="25">
        <f t="shared" si="13"/>
        <v>2001</v>
      </c>
      <c r="AS64" s="61"/>
      <c r="AT64" s="355">
        <v>25656954.810000006</v>
      </c>
      <c r="AU64" s="355"/>
      <c r="AV64" s="355">
        <v>2660395.15</v>
      </c>
      <c r="AW64" s="355">
        <v>0</v>
      </c>
      <c r="AX64" s="355">
        <v>0</v>
      </c>
      <c r="AY64" s="355">
        <v>0</v>
      </c>
      <c r="AZ64" s="355">
        <v>0</v>
      </c>
      <c r="BA64" s="355">
        <v>0</v>
      </c>
      <c r="BB64" s="355">
        <v>0</v>
      </c>
      <c r="BC64" s="355">
        <f t="shared" si="11"/>
        <v>28317349.960000005</v>
      </c>
      <c r="BD64" s="172"/>
      <c r="BE64" s="355"/>
    </row>
    <row r="65" spans="27:72">
      <c r="AA65" s="25">
        <f t="shared" si="12"/>
        <v>2002</v>
      </c>
      <c r="AB65" s="355">
        <v>26310397.339999992</v>
      </c>
      <c r="AC65" s="355">
        <v>12700000</v>
      </c>
      <c r="AD65" s="355">
        <v>647640.80999999994</v>
      </c>
      <c r="AE65" s="355">
        <v>0</v>
      </c>
      <c r="AF65" s="355">
        <v>0</v>
      </c>
      <c r="AG65" s="355">
        <v>0</v>
      </c>
      <c r="AH65" s="355">
        <v>0</v>
      </c>
      <c r="AI65" s="355">
        <v>0</v>
      </c>
      <c r="AJ65" s="355">
        <v>0</v>
      </c>
      <c r="AK65" s="172">
        <v>0</v>
      </c>
      <c r="AL65" s="355">
        <f t="shared" si="10"/>
        <v>39658038.149999991</v>
      </c>
      <c r="AM65" s="172">
        <v>39658038.149999999</v>
      </c>
      <c r="AN65" s="39">
        <f t="shared" si="14"/>
        <v>0</v>
      </c>
      <c r="AP65" s="355"/>
      <c r="AQ65" s="306"/>
      <c r="AR65" s="25">
        <f t="shared" si="13"/>
        <v>2002</v>
      </c>
      <c r="AS65" s="61"/>
      <c r="AT65" s="355">
        <v>33106692.969999988</v>
      </c>
      <c r="AU65" s="355"/>
      <c r="AV65" s="355">
        <v>647640.80999999994</v>
      </c>
      <c r="AW65" s="355">
        <v>0</v>
      </c>
      <c r="AX65" s="355">
        <v>0</v>
      </c>
      <c r="AY65" s="355">
        <v>0</v>
      </c>
      <c r="AZ65" s="355">
        <v>0</v>
      </c>
      <c r="BA65" s="355">
        <v>0</v>
      </c>
      <c r="BB65" s="355">
        <v>0</v>
      </c>
      <c r="BC65" s="355">
        <f t="shared" si="11"/>
        <v>33754333.779999986</v>
      </c>
      <c r="BD65" s="172"/>
      <c r="BE65" s="355"/>
    </row>
    <row r="66" spans="27:72">
      <c r="AA66" s="25">
        <f t="shared" si="12"/>
        <v>2003</v>
      </c>
      <c r="AB66" s="355">
        <v>20878044.309999999</v>
      </c>
      <c r="AC66" s="355">
        <v>15540000</v>
      </c>
      <c r="AD66" s="355">
        <v>2003612.72</v>
      </c>
      <c r="AE66" s="355">
        <v>1200000</v>
      </c>
      <c r="AF66" s="355">
        <v>0</v>
      </c>
      <c r="AG66" s="355">
        <v>0</v>
      </c>
      <c r="AH66" s="355">
        <v>0</v>
      </c>
      <c r="AI66" s="355">
        <v>0</v>
      </c>
      <c r="AJ66" s="355">
        <v>0</v>
      </c>
      <c r="AK66" s="172">
        <v>0</v>
      </c>
      <c r="AL66" s="355">
        <f t="shared" si="10"/>
        <v>39621657.030000001</v>
      </c>
      <c r="AM66" s="172">
        <v>39621657.030000001</v>
      </c>
      <c r="AN66" s="39">
        <f t="shared" si="14"/>
        <v>0</v>
      </c>
      <c r="AP66" s="355"/>
      <c r="AQ66" s="306"/>
      <c r="AR66" s="25">
        <f t="shared" si="13"/>
        <v>2003</v>
      </c>
      <c r="AS66" s="61"/>
      <c r="AT66" s="355">
        <v>27999908.040000003</v>
      </c>
      <c r="AU66" s="355"/>
      <c r="AV66" s="355">
        <v>2975859.84</v>
      </c>
      <c r="AW66" s="355">
        <v>0</v>
      </c>
      <c r="AX66" s="355">
        <v>0</v>
      </c>
      <c r="AY66" s="355">
        <v>0</v>
      </c>
      <c r="AZ66" s="355">
        <v>0</v>
      </c>
      <c r="BA66" s="355">
        <v>0</v>
      </c>
      <c r="BB66" s="355">
        <v>0</v>
      </c>
      <c r="BC66" s="355">
        <f t="shared" si="11"/>
        <v>30975767.880000003</v>
      </c>
      <c r="BD66" s="172"/>
      <c r="BE66" s="355"/>
    </row>
    <row r="67" spans="27:72">
      <c r="AA67" s="25">
        <f t="shared" si="12"/>
        <v>2004</v>
      </c>
      <c r="AB67" s="355">
        <v>14303436.559999997</v>
      </c>
      <c r="AC67" s="355">
        <v>5025000</v>
      </c>
      <c r="AD67" s="355">
        <v>2277389.9</v>
      </c>
      <c r="AE67" s="355">
        <v>735000</v>
      </c>
      <c r="AF67" s="355">
        <v>0</v>
      </c>
      <c r="AG67" s="355">
        <v>0</v>
      </c>
      <c r="AH67" s="355">
        <v>0</v>
      </c>
      <c r="AI67" s="355">
        <v>0</v>
      </c>
      <c r="AJ67" s="355">
        <v>0</v>
      </c>
      <c r="AK67" s="172">
        <v>5000.0000000074506</v>
      </c>
      <c r="AL67" s="355">
        <f t="shared" si="10"/>
        <v>22340826.459999993</v>
      </c>
      <c r="AM67" s="172">
        <v>22345826.460000001</v>
      </c>
      <c r="AN67" s="39">
        <f t="shared" si="14"/>
        <v>-5000.0000000074506</v>
      </c>
      <c r="AP67" s="355"/>
      <c r="AQ67" s="306"/>
      <c r="AR67" s="25">
        <f t="shared" si="13"/>
        <v>2004</v>
      </c>
      <c r="AS67" s="61"/>
      <c r="AT67" s="355">
        <v>18783043.659999996</v>
      </c>
      <c r="AU67" s="355"/>
      <c r="AV67" s="355">
        <v>3012389.9</v>
      </c>
      <c r="AW67" s="355">
        <v>0</v>
      </c>
      <c r="AX67" s="355">
        <v>0</v>
      </c>
      <c r="AY67" s="355">
        <v>0</v>
      </c>
      <c r="AZ67" s="355">
        <v>0</v>
      </c>
      <c r="BA67" s="355">
        <v>0</v>
      </c>
      <c r="BB67" s="355">
        <v>5000.0000000037253</v>
      </c>
      <c r="BC67" s="355">
        <f t="shared" si="11"/>
        <v>21800433.559999999</v>
      </c>
      <c r="BD67" s="172"/>
      <c r="BE67" s="355"/>
    </row>
    <row r="68" spans="27:72">
      <c r="AA68" s="25">
        <f t="shared" si="12"/>
        <v>2005</v>
      </c>
      <c r="AB68" s="355">
        <v>16243160.280000001</v>
      </c>
      <c r="AC68" s="355">
        <v>4275000</v>
      </c>
      <c r="AD68" s="355">
        <v>1556133.47</v>
      </c>
      <c r="AE68" s="355">
        <v>975000</v>
      </c>
      <c r="AF68" s="355">
        <v>163606.21</v>
      </c>
      <c r="AG68" s="355">
        <v>0</v>
      </c>
      <c r="AH68" s="355">
        <v>0</v>
      </c>
      <c r="AI68" s="355">
        <v>0</v>
      </c>
      <c r="AJ68" s="355">
        <v>0</v>
      </c>
      <c r="AK68" s="172">
        <v>0</v>
      </c>
      <c r="AL68" s="355">
        <f t="shared" si="10"/>
        <v>23212899.960000001</v>
      </c>
      <c r="AM68" s="172">
        <v>23212899.959999993</v>
      </c>
      <c r="AN68" s="39">
        <f t="shared" si="14"/>
        <v>0</v>
      </c>
      <c r="AP68" s="355"/>
      <c r="AQ68" s="306"/>
      <c r="AR68" s="25">
        <f t="shared" si="13"/>
        <v>2005</v>
      </c>
      <c r="AS68" s="61"/>
      <c r="AT68" s="355">
        <v>19241902.600000001</v>
      </c>
      <c r="AU68" s="355"/>
      <c r="AV68" s="355">
        <v>2477361.6399999997</v>
      </c>
      <c r="AW68" s="355">
        <v>163606.21</v>
      </c>
      <c r="AX68" s="355">
        <v>0</v>
      </c>
      <c r="AY68" s="355">
        <v>0</v>
      </c>
      <c r="AZ68" s="355">
        <v>0</v>
      </c>
      <c r="BA68" s="355">
        <v>0</v>
      </c>
      <c r="BB68" s="355">
        <v>0</v>
      </c>
      <c r="BC68" s="355">
        <f t="shared" si="11"/>
        <v>21882870.450000003</v>
      </c>
      <c r="BD68" s="172"/>
      <c r="BE68" s="355"/>
    </row>
    <row r="69" spans="27:72">
      <c r="AA69" s="25">
        <f t="shared" si="12"/>
        <v>2006</v>
      </c>
      <c r="AB69" s="355">
        <v>14865805.799999999</v>
      </c>
      <c r="AC69" s="355">
        <v>5350000</v>
      </c>
      <c r="AD69" s="355">
        <v>58000</v>
      </c>
      <c r="AE69" s="355">
        <v>0</v>
      </c>
      <c r="AF69" s="355">
        <v>474648.87</v>
      </c>
      <c r="AG69" s="355">
        <v>49250</v>
      </c>
      <c r="AH69" s="355">
        <v>0</v>
      </c>
      <c r="AI69" s="355">
        <v>0</v>
      </c>
      <c r="AJ69" s="355">
        <v>0</v>
      </c>
      <c r="AK69" s="172">
        <v>-0.2799999974668026</v>
      </c>
      <c r="AL69" s="355">
        <f t="shared" si="10"/>
        <v>20797704.669999998</v>
      </c>
      <c r="AM69" s="172">
        <v>20798054.390000001</v>
      </c>
      <c r="AN69" s="39">
        <f t="shared" si="14"/>
        <v>-349.7200000025332</v>
      </c>
      <c r="AP69" s="355"/>
      <c r="AQ69" s="306"/>
      <c r="AR69" s="25">
        <f t="shared" si="13"/>
        <v>2006</v>
      </c>
      <c r="AS69" s="61"/>
      <c r="AT69" s="355">
        <v>20215805.799999997</v>
      </c>
      <c r="AU69" s="355"/>
      <c r="AV69" s="355">
        <v>58000</v>
      </c>
      <c r="AW69" s="355">
        <v>474648.87</v>
      </c>
      <c r="AX69" s="355">
        <v>49250</v>
      </c>
      <c r="AY69" s="355">
        <v>0</v>
      </c>
      <c r="AZ69" s="355">
        <v>0</v>
      </c>
      <c r="BA69" s="355">
        <v>0</v>
      </c>
      <c r="BB69" s="355">
        <v>-0.2799999974668026</v>
      </c>
      <c r="BC69" s="355">
        <f t="shared" si="11"/>
        <v>20797704.390000001</v>
      </c>
      <c r="BD69" s="172"/>
      <c r="BE69" s="355"/>
    </row>
    <row r="70" spans="27:72">
      <c r="AA70" s="25">
        <f t="shared" si="12"/>
        <v>2007</v>
      </c>
      <c r="AB70" s="355">
        <v>16719584.209999999</v>
      </c>
      <c r="AC70" s="355">
        <v>4345000</v>
      </c>
      <c r="AD70" s="355">
        <v>806127.32000000007</v>
      </c>
      <c r="AE70" s="355">
        <v>500000</v>
      </c>
      <c r="AF70" s="355">
        <v>639550.64999999991</v>
      </c>
      <c r="AG70" s="355">
        <v>135351</v>
      </c>
      <c r="AH70" s="355">
        <v>0</v>
      </c>
      <c r="AI70" s="355">
        <v>0</v>
      </c>
      <c r="AJ70" s="355">
        <v>0</v>
      </c>
      <c r="AK70" s="172">
        <v>0</v>
      </c>
      <c r="AL70" s="355">
        <f t="shared" si="10"/>
        <v>23145613.18</v>
      </c>
      <c r="AM70" s="172">
        <v>23145613.179999996</v>
      </c>
      <c r="AN70" s="39">
        <f t="shared" si="14"/>
        <v>0</v>
      </c>
      <c r="AP70" s="355"/>
      <c r="AQ70" s="306"/>
      <c r="AR70" s="25">
        <f t="shared" si="13"/>
        <v>2007</v>
      </c>
      <c r="AS70" s="61"/>
      <c r="AT70" s="355">
        <v>20426353.330000002</v>
      </c>
      <c r="AU70" s="355"/>
      <c r="AV70" s="355">
        <v>1210893.24</v>
      </c>
      <c r="AW70" s="355">
        <v>639550.64999999991</v>
      </c>
      <c r="AX70" s="355">
        <v>135351</v>
      </c>
      <c r="AY70" s="355">
        <v>0</v>
      </c>
      <c r="AZ70" s="355">
        <v>0</v>
      </c>
      <c r="BA70" s="355">
        <v>0</v>
      </c>
      <c r="BB70" s="355">
        <v>0</v>
      </c>
      <c r="BC70" s="355">
        <f t="shared" si="11"/>
        <v>22412148.219999999</v>
      </c>
      <c r="BD70" s="172"/>
      <c r="BE70" s="355"/>
    </row>
    <row r="71" spans="27:72">
      <c r="AA71" s="25">
        <f t="shared" si="12"/>
        <v>2008</v>
      </c>
      <c r="AB71" s="355">
        <v>15508781.949999999</v>
      </c>
      <c r="AC71" s="355">
        <v>5515000</v>
      </c>
      <c r="AD71" s="355">
        <v>728745.13</v>
      </c>
      <c r="AE71" s="355">
        <v>350000</v>
      </c>
      <c r="AF71" s="355">
        <v>577451.15</v>
      </c>
      <c r="AG71" s="355">
        <v>1911758.4000000001</v>
      </c>
      <c r="AH71" s="355">
        <v>0</v>
      </c>
      <c r="AI71" s="355">
        <v>0</v>
      </c>
      <c r="AJ71" s="355">
        <v>0</v>
      </c>
      <c r="AK71" s="172">
        <v>0</v>
      </c>
      <c r="AL71" s="355">
        <f t="shared" si="10"/>
        <v>24591736.629999995</v>
      </c>
      <c r="AM71" s="172">
        <v>24591736.629999999</v>
      </c>
      <c r="AN71" s="39">
        <f t="shared" si="14"/>
        <v>0</v>
      </c>
      <c r="AP71" s="355"/>
      <c r="AQ71" s="306"/>
      <c r="AR71" s="25">
        <f t="shared" si="13"/>
        <v>2008</v>
      </c>
      <c r="AS71" s="61"/>
      <c r="AT71" s="355">
        <v>20199886.84</v>
      </c>
      <c r="AU71" s="355"/>
      <c r="AV71" s="355">
        <v>1078745.1299999999</v>
      </c>
      <c r="AW71" s="355">
        <v>577451.15</v>
      </c>
      <c r="AX71" s="355">
        <v>1871146.2100000002</v>
      </c>
      <c r="AY71" s="355">
        <v>0</v>
      </c>
      <c r="AZ71" s="355">
        <v>0</v>
      </c>
      <c r="BA71" s="355">
        <v>0</v>
      </c>
      <c r="BB71" s="355">
        <v>0</v>
      </c>
      <c r="BC71" s="355">
        <f t="shared" si="11"/>
        <v>23727229.329999998</v>
      </c>
      <c r="BD71" s="172"/>
      <c r="BE71" s="355"/>
    </row>
    <row r="72" spans="27:72">
      <c r="AA72" s="25">
        <f t="shared" si="12"/>
        <v>2009</v>
      </c>
      <c r="AB72" s="355">
        <v>12635738.100000003</v>
      </c>
      <c r="AC72" s="355">
        <v>6335000</v>
      </c>
      <c r="AD72" s="355">
        <v>2851</v>
      </c>
      <c r="AE72" s="355">
        <v>0</v>
      </c>
      <c r="AF72" s="355">
        <v>28875.5</v>
      </c>
      <c r="AG72" s="355">
        <v>2191506.25</v>
      </c>
      <c r="AH72" s="355">
        <v>0</v>
      </c>
      <c r="AI72" s="355">
        <v>0</v>
      </c>
      <c r="AJ72" s="355">
        <v>0</v>
      </c>
      <c r="AK72" s="172">
        <v>0</v>
      </c>
      <c r="AL72" s="355">
        <f t="shared" si="10"/>
        <v>21193970.850000001</v>
      </c>
      <c r="AM72" s="172">
        <v>21193970.850000001</v>
      </c>
      <c r="AN72" s="39">
        <f t="shared" si="14"/>
        <v>0</v>
      </c>
      <c r="AP72" s="355"/>
      <c r="AQ72" s="306"/>
      <c r="AR72" s="25">
        <f t="shared" si="13"/>
        <v>2009</v>
      </c>
      <c r="AS72" s="61"/>
      <c r="AT72" s="355">
        <v>17254050.280000001</v>
      </c>
      <c r="AU72" s="355"/>
      <c r="AV72" s="355">
        <v>2851</v>
      </c>
      <c r="AW72" s="355">
        <v>28875.5</v>
      </c>
      <c r="AX72" s="355">
        <v>2191506.25</v>
      </c>
      <c r="AY72" s="355">
        <v>0</v>
      </c>
      <c r="AZ72" s="355">
        <v>0</v>
      </c>
      <c r="BA72" s="355">
        <v>0</v>
      </c>
      <c r="BB72" s="355">
        <v>0</v>
      </c>
      <c r="BC72" s="355">
        <f t="shared" si="11"/>
        <v>19477283.030000001</v>
      </c>
      <c r="BD72" s="172"/>
      <c r="BE72" s="355"/>
    </row>
    <row r="73" spans="27:72">
      <c r="AA73" s="25">
        <f t="shared" si="12"/>
        <v>2010</v>
      </c>
      <c r="AB73" s="355">
        <v>16673387.52</v>
      </c>
      <c r="AC73" s="355">
        <v>8462500</v>
      </c>
      <c r="AD73" s="355">
        <v>0</v>
      </c>
      <c r="AE73" s="355">
        <v>0</v>
      </c>
      <c r="AF73" s="355">
        <v>1056390.7999999998</v>
      </c>
      <c r="AG73" s="355">
        <v>8479092.0899999999</v>
      </c>
      <c r="AH73" s="355">
        <v>0</v>
      </c>
      <c r="AI73" s="355">
        <v>0</v>
      </c>
      <c r="AJ73" s="355">
        <v>0</v>
      </c>
      <c r="AK73" s="172">
        <v>0</v>
      </c>
      <c r="AL73" s="355">
        <f t="shared" si="10"/>
        <v>34671370.409999996</v>
      </c>
      <c r="AM73" s="172">
        <v>34671370.409999996</v>
      </c>
      <c r="AN73" s="39">
        <f t="shared" si="14"/>
        <v>0</v>
      </c>
      <c r="AP73" s="355"/>
      <c r="AQ73" s="306"/>
      <c r="AR73" s="25">
        <f t="shared" si="13"/>
        <v>2010</v>
      </c>
      <c r="AS73" s="61"/>
      <c r="AT73" s="355">
        <v>23008986.829999998</v>
      </c>
      <c r="AU73" s="355"/>
      <c r="AV73" s="355">
        <v>0</v>
      </c>
      <c r="AW73" s="355">
        <v>1056390.7999999998</v>
      </c>
      <c r="AX73" s="355">
        <v>6627582.2400000002</v>
      </c>
      <c r="AY73" s="355">
        <v>0</v>
      </c>
      <c r="AZ73" s="355">
        <v>0</v>
      </c>
      <c r="BA73" s="355">
        <v>0</v>
      </c>
      <c r="BB73" s="355">
        <v>0</v>
      </c>
      <c r="BC73" s="355">
        <f t="shared" si="11"/>
        <v>30692959.869999997</v>
      </c>
      <c r="BD73" s="172"/>
      <c r="BE73" s="355"/>
    </row>
    <row r="74" spans="27:72">
      <c r="AA74" s="25">
        <f t="shared" si="12"/>
        <v>2011</v>
      </c>
      <c r="AB74" s="355">
        <v>9644676.9399999995</v>
      </c>
      <c r="AC74" s="355">
        <v>7214500</v>
      </c>
      <c r="AD74" s="355">
        <v>407297.79</v>
      </c>
      <c r="AE74" s="355">
        <v>0</v>
      </c>
      <c r="AF74" s="355">
        <v>640869.17000000004</v>
      </c>
      <c r="AG74" s="355">
        <v>6836232.2300000004</v>
      </c>
      <c r="AH74" s="355">
        <v>0</v>
      </c>
      <c r="AI74" s="355">
        <v>0</v>
      </c>
      <c r="AJ74" s="355">
        <v>0</v>
      </c>
      <c r="AK74" s="172">
        <v>2375</v>
      </c>
      <c r="AL74" s="355">
        <f t="shared" si="10"/>
        <v>24743576.129999999</v>
      </c>
      <c r="AM74" s="172">
        <v>24745951.129999999</v>
      </c>
      <c r="AN74" s="39">
        <f t="shared" si="14"/>
        <v>-2375</v>
      </c>
      <c r="AP74" s="355"/>
      <c r="AQ74" s="306"/>
      <c r="AR74" s="25">
        <f t="shared" si="13"/>
        <v>2011</v>
      </c>
      <c r="AS74" s="61"/>
      <c r="AT74" s="355">
        <v>14623328.589999998</v>
      </c>
      <c r="AU74" s="355"/>
      <c r="AV74" s="355">
        <v>407297.79</v>
      </c>
      <c r="AW74" s="355">
        <v>640869.17000000004</v>
      </c>
      <c r="AX74" s="355">
        <v>6742250.5600000005</v>
      </c>
      <c r="AY74" s="355">
        <v>0</v>
      </c>
      <c r="AZ74" s="355">
        <v>0</v>
      </c>
      <c r="BA74" s="355">
        <v>0</v>
      </c>
      <c r="BB74" s="355">
        <v>2375</v>
      </c>
      <c r="BC74" s="355">
        <f t="shared" si="11"/>
        <v>22416121.109999999</v>
      </c>
      <c r="BD74" s="172"/>
      <c r="BE74" s="355"/>
    </row>
    <row r="75" spans="27:72">
      <c r="AA75" s="25">
        <f t="shared" si="12"/>
        <v>2012</v>
      </c>
      <c r="AB75" s="355">
        <v>13577370.75</v>
      </c>
      <c r="AC75" s="355">
        <v>9894999.6699999999</v>
      </c>
      <c r="AD75" s="355">
        <v>1101243.9099999999</v>
      </c>
      <c r="AE75" s="355">
        <v>0</v>
      </c>
      <c r="AF75" s="355">
        <v>4744399.03</v>
      </c>
      <c r="AG75" s="355">
        <v>19139666.039999999</v>
      </c>
      <c r="AH75" s="355">
        <v>0</v>
      </c>
      <c r="AI75" s="355">
        <v>2375</v>
      </c>
      <c r="AJ75" s="355">
        <v>0</v>
      </c>
      <c r="AK75" s="172">
        <v>-2375</v>
      </c>
      <c r="AL75" s="355">
        <f t="shared" si="10"/>
        <v>48460054.400000006</v>
      </c>
      <c r="AM75" s="172">
        <v>48457679.400000006</v>
      </c>
      <c r="AN75" s="39">
        <f t="shared" si="14"/>
        <v>2375</v>
      </c>
      <c r="AP75" s="355"/>
      <c r="AQ75" s="306"/>
      <c r="AR75" s="25">
        <f t="shared" si="13"/>
        <v>2012</v>
      </c>
      <c r="AS75" s="61"/>
      <c r="AT75" s="355">
        <v>17479616.870000001</v>
      </c>
      <c r="AU75" s="355"/>
      <c r="AV75" s="355">
        <v>1101243.9099999999</v>
      </c>
      <c r="AW75" s="355">
        <v>4175261.5</v>
      </c>
      <c r="AX75" s="355">
        <v>14944762.539999999</v>
      </c>
      <c r="AY75" s="355">
        <v>0</v>
      </c>
      <c r="AZ75" s="355">
        <v>2375</v>
      </c>
      <c r="BA75" s="355">
        <v>0</v>
      </c>
      <c r="BB75" s="355">
        <v>-2374.9999999925494</v>
      </c>
      <c r="BC75" s="355">
        <f t="shared" si="11"/>
        <v>37700884.820000008</v>
      </c>
      <c r="BD75" s="172"/>
      <c r="BE75" s="355"/>
    </row>
    <row r="76" spans="27:72">
      <c r="AA76" s="25">
        <f t="shared" si="12"/>
        <v>2013</v>
      </c>
      <c r="AB76" s="355">
        <v>11521638.42</v>
      </c>
      <c r="AC76" s="355">
        <v>9340000</v>
      </c>
      <c r="AD76" s="355">
        <v>1241946.4100000001</v>
      </c>
      <c r="AE76" s="355">
        <v>750000</v>
      </c>
      <c r="AF76" s="355">
        <v>712208.5199999999</v>
      </c>
      <c r="AG76" s="355">
        <v>18939107.139999997</v>
      </c>
      <c r="AH76" s="355">
        <v>0</v>
      </c>
      <c r="AI76" s="355">
        <v>8418.1970000000001</v>
      </c>
      <c r="AJ76" s="355">
        <v>0</v>
      </c>
      <c r="AK76" s="172">
        <v>0</v>
      </c>
      <c r="AL76" s="355">
        <f t="shared" si="10"/>
        <v>42513318.686999992</v>
      </c>
      <c r="AM76" s="172">
        <v>42513318.686999992</v>
      </c>
      <c r="AN76" s="39">
        <f t="shared" si="14"/>
        <v>0</v>
      </c>
      <c r="AP76" s="355"/>
      <c r="AQ76" s="306"/>
      <c r="AR76" s="25">
        <f t="shared" si="13"/>
        <v>2013</v>
      </c>
      <c r="AS76" s="61"/>
      <c r="AT76" s="355">
        <v>14786244.440000001</v>
      </c>
      <c r="AU76" s="355"/>
      <c r="AV76" s="355">
        <v>1991946.4100000001</v>
      </c>
      <c r="AW76" s="355">
        <v>712208.5199999999</v>
      </c>
      <c r="AX76" s="355">
        <v>16033483.919999998</v>
      </c>
      <c r="AY76" s="355">
        <v>0</v>
      </c>
      <c r="AZ76" s="355">
        <v>8418.1970000000001</v>
      </c>
      <c r="BA76" s="355">
        <v>0</v>
      </c>
      <c r="BB76" s="355">
        <v>0</v>
      </c>
      <c r="BC76" s="355">
        <f t="shared" si="11"/>
        <v>33532301.487</v>
      </c>
      <c r="BD76" s="172"/>
      <c r="BE76" s="355"/>
      <c r="BT76" s="18"/>
    </row>
    <row r="77" spans="27:72">
      <c r="AA77" s="25">
        <f t="shared" si="12"/>
        <v>2014</v>
      </c>
      <c r="AB77" s="355">
        <v>11463912.900000002</v>
      </c>
      <c r="AC77" s="355">
        <v>3935000</v>
      </c>
      <c r="AD77" s="355">
        <v>543806.18000000005</v>
      </c>
      <c r="AE77" s="355">
        <v>0</v>
      </c>
      <c r="AF77" s="355">
        <v>3385152.22</v>
      </c>
      <c r="AG77" s="355">
        <v>23487270.369999997</v>
      </c>
      <c r="AH77" s="355">
        <v>0</v>
      </c>
      <c r="AI77" s="355">
        <v>3800456.0380000002</v>
      </c>
      <c r="AJ77" s="355">
        <v>166976</v>
      </c>
      <c r="AK77" s="172">
        <v>-1676</v>
      </c>
      <c r="AL77" s="355">
        <f t="shared" si="10"/>
        <v>46782573.708000004</v>
      </c>
      <c r="AM77" s="172">
        <v>46780897.708000004</v>
      </c>
      <c r="AN77" s="39">
        <f t="shared" si="14"/>
        <v>1676</v>
      </c>
      <c r="AP77" s="355"/>
      <c r="AQ77" s="306"/>
      <c r="AR77" s="25">
        <f t="shared" si="13"/>
        <v>2014</v>
      </c>
      <c r="AS77" s="61"/>
      <c r="AT77" s="355">
        <v>14069337.830000002</v>
      </c>
      <c r="AU77" s="355"/>
      <c r="AV77" s="355">
        <v>543806.18000000005</v>
      </c>
      <c r="AW77" s="355">
        <v>2855104.37</v>
      </c>
      <c r="AX77" s="355">
        <v>17747162.889999997</v>
      </c>
      <c r="AY77" s="355">
        <v>0</v>
      </c>
      <c r="AZ77" s="355">
        <v>903020.67800000031</v>
      </c>
      <c r="BA77" s="355">
        <v>166976</v>
      </c>
      <c r="BB77" s="355">
        <v>-1676</v>
      </c>
      <c r="BC77" s="355">
        <f t="shared" si="11"/>
        <v>36283731.947999999</v>
      </c>
      <c r="BD77" s="172"/>
      <c r="BE77" s="355"/>
      <c r="BT77" s="18"/>
    </row>
    <row r="78" spans="27:72">
      <c r="AA78" s="25">
        <f t="shared" si="12"/>
        <v>2015</v>
      </c>
      <c r="AB78" s="355">
        <v>13625004.139999997</v>
      </c>
      <c r="AC78" s="355">
        <v>7425000</v>
      </c>
      <c r="AD78" s="355">
        <v>551635.24</v>
      </c>
      <c r="AE78" s="355">
        <v>100000</v>
      </c>
      <c r="AF78" s="355">
        <v>1556448.95</v>
      </c>
      <c r="AG78" s="355">
        <v>3767684.3400000003</v>
      </c>
      <c r="AH78" s="355">
        <v>0</v>
      </c>
      <c r="AI78" s="355">
        <v>2455021.122</v>
      </c>
      <c r="AJ78" s="355">
        <v>306529.89749999996</v>
      </c>
      <c r="AK78" s="172">
        <v>0</v>
      </c>
      <c r="AL78" s="355">
        <f t="shared" si="10"/>
        <v>29787323.689499997</v>
      </c>
      <c r="AM78" s="172">
        <v>29787323.6895</v>
      </c>
      <c r="AN78" s="39">
        <f t="shared" si="14"/>
        <v>0</v>
      </c>
      <c r="AP78" s="355"/>
      <c r="AQ78" s="306"/>
      <c r="AR78" s="25">
        <f t="shared" si="13"/>
        <v>2015</v>
      </c>
      <c r="AS78" s="61"/>
      <c r="AT78" s="355">
        <v>19724399.199999996</v>
      </c>
      <c r="AU78" s="355"/>
      <c r="AV78" s="355">
        <v>651635.24</v>
      </c>
      <c r="AW78" s="355">
        <v>1556448.95</v>
      </c>
      <c r="AX78" s="355">
        <v>3767684.3400000003</v>
      </c>
      <c r="AY78" s="355">
        <v>0</v>
      </c>
      <c r="AZ78" s="355">
        <v>2455021.122</v>
      </c>
      <c r="BA78" s="355">
        <v>306529.89749999996</v>
      </c>
      <c r="BB78" s="355">
        <v>0</v>
      </c>
      <c r="BC78" s="355">
        <f t="shared" si="11"/>
        <v>28461718.749499995</v>
      </c>
      <c r="BD78" s="172"/>
      <c r="BE78" s="355"/>
      <c r="BT78" s="18"/>
    </row>
    <row r="79" spans="27:72">
      <c r="AA79" s="25">
        <f t="shared" si="12"/>
        <v>2016</v>
      </c>
      <c r="AB79" s="355">
        <v>9331122.120000001</v>
      </c>
      <c r="AC79" s="355">
        <v>4100000</v>
      </c>
      <c r="AD79" s="355">
        <v>2695779.51</v>
      </c>
      <c r="AE79" s="355">
        <v>2100000</v>
      </c>
      <c r="AF79" s="355">
        <v>4469276.92</v>
      </c>
      <c r="AG79" s="355">
        <v>8279394.6600000001</v>
      </c>
      <c r="AH79" s="355">
        <v>0</v>
      </c>
      <c r="AI79" s="355">
        <v>2739679.0554999998</v>
      </c>
      <c r="AJ79" s="355">
        <v>11275157.288999999</v>
      </c>
      <c r="AK79" s="172">
        <v>0</v>
      </c>
      <c r="AL79" s="355">
        <f t="shared" si="10"/>
        <v>44990409.554499999</v>
      </c>
      <c r="AM79" s="172">
        <v>44990409.554499999</v>
      </c>
      <c r="AN79" s="39">
        <f t="shared" si="14"/>
        <v>0</v>
      </c>
      <c r="AP79" s="355"/>
      <c r="AQ79" s="306"/>
      <c r="AR79" s="25">
        <f t="shared" si="13"/>
        <v>2016</v>
      </c>
      <c r="AS79" s="61"/>
      <c r="AT79" s="355">
        <v>11083805.800000001</v>
      </c>
      <c r="AU79" s="355"/>
      <c r="AV79" s="355">
        <v>3496169.3999999994</v>
      </c>
      <c r="AW79" s="355">
        <v>1414711.1700000004</v>
      </c>
      <c r="AX79" s="355">
        <v>6350112.6299999999</v>
      </c>
      <c r="AY79" s="355">
        <v>0</v>
      </c>
      <c r="AZ79" s="355">
        <v>1878174.1154999998</v>
      </c>
      <c r="BA79" s="355">
        <v>10414596.429</v>
      </c>
      <c r="BB79" s="355">
        <v>0</v>
      </c>
      <c r="BC79" s="355">
        <f t="shared" si="11"/>
        <v>34637569.544500001</v>
      </c>
      <c r="BD79" s="172"/>
      <c r="BE79" s="355"/>
      <c r="BT79" s="18"/>
    </row>
    <row r="80" spans="27:72">
      <c r="AA80" s="25">
        <f t="shared" si="12"/>
        <v>2017</v>
      </c>
      <c r="AB80" s="355">
        <v>6055003.0099999988</v>
      </c>
      <c r="AC80" s="355">
        <v>2650000</v>
      </c>
      <c r="AD80" s="355">
        <v>202847.07</v>
      </c>
      <c r="AE80" s="355">
        <v>0</v>
      </c>
      <c r="AF80" s="355">
        <v>304640.94</v>
      </c>
      <c r="AG80" s="355">
        <v>8247223.2199999997</v>
      </c>
      <c r="AH80" s="355">
        <v>0</v>
      </c>
      <c r="AI80" s="355">
        <v>2068193.8995000001</v>
      </c>
      <c r="AJ80" s="355">
        <v>6426919.5465000002</v>
      </c>
      <c r="AK80" s="172">
        <v>0</v>
      </c>
      <c r="AL80" s="355">
        <f t="shared" si="10"/>
        <v>25954827.686000001</v>
      </c>
      <c r="AM80" s="172">
        <v>25954827.685999997</v>
      </c>
      <c r="AN80" s="39">
        <f t="shared" si="14"/>
        <v>0</v>
      </c>
      <c r="AP80" s="355"/>
      <c r="AQ80" s="306"/>
      <c r="AR80" s="25">
        <f t="shared" si="13"/>
        <v>2017</v>
      </c>
      <c r="AS80" s="61"/>
      <c r="AT80" s="355">
        <v>7652843.0099999979</v>
      </c>
      <c r="AU80" s="355"/>
      <c r="AV80" s="355">
        <v>202847.07</v>
      </c>
      <c r="AW80" s="355">
        <v>304640.94</v>
      </c>
      <c r="AX80" s="355">
        <v>5765483.4199999999</v>
      </c>
      <c r="AY80" s="355">
        <v>0</v>
      </c>
      <c r="AZ80" s="355">
        <v>2068193.8995000001</v>
      </c>
      <c r="BA80" s="355">
        <v>5598445.6565000005</v>
      </c>
      <c r="BB80" s="355">
        <v>574070.96999999881</v>
      </c>
      <c r="BC80" s="355">
        <f t="shared" si="11"/>
        <v>22166524.965999998</v>
      </c>
      <c r="BD80" s="172"/>
      <c r="BE80" s="355"/>
      <c r="BT80" s="18"/>
    </row>
    <row r="81" spans="27:81">
      <c r="AA81" s="25">
        <f t="shared" si="12"/>
        <v>2018</v>
      </c>
      <c r="AB81" s="355">
        <v>8135635.9000000004</v>
      </c>
      <c r="AC81" s="355">
        <v>3410000</v>
      </c>
      <c r="AD81" s="355">
        <v>497316.88</v>
      </c>
      <c r="AE81" s="355">
        <v>0</v>
      </c>
      <c r="AF81" s="355">
        <v>1384999.85</v>
      </c>
      <c r="AG81" s="355">
        <v>2827148.46</v>
      </c>
      <c r="AH81" s="355">
        <v>0</v>
      </c>
      <c r="AI81" s="355">
        <v>79087.214999999997</v>
      </c>
      <c r="AJ81" s="355">
        <v>6011806.3494999995</v>
      </c>
      <c r="AK81" s="172">
        <v>0</v>
      </c>
      <c r="AL81" s="355">
        <f t="shared" si="10"/>
        <v>22345994.6545</v>
      </c>
      <c r="AM81" s="172">
        <v>22345994.654499996</v>
      </c>
      <c r="AN81" s="39">
        <f t="shared" si="14"/>
        <v>0</v>
      </c>
      <c r="AP81" s="355"/>
      <c r="AQ81" s="306"/>
      <c r="AR81" s="25">
        <f t="shared" si="13"/>
        <v>2018</v>
      </c>
      <c r="AS81" s="61"/>
      <c r="AT81" s="355">
        <v>11545635.9</v>
      </c>
      <c r="AU81" s="355"/>
      <c r="AV81" s="355">
        <v>497316.88</v>
      </c>
      <c r="AW81" s="355">
        <v>1384999.85</v>
      </c>
      <c r="AX81" s="355">
        <v>2736148.46</v>
      </c>
      <c r="AY81" s="355">
        <v>0</v>
      </c>
      <c r="AZ81" s="355">
        <v>79087.214999999997</v>
      </c>
      <c r="BA81" s="355">
        <v>5731806.3494999995</v>
      </c>
      <c r="BB81" s="355">
        <v>0</v>
      </c>
      <c r="BC81" s="355">
        <f t="shared" si="11"/>
        <v>21974994.6545</v>
      </c>
      <c r="BD81" s="172"/>
      <c r="BE81" s="355"/>
      <c r="BT81" s="18"/>
    </row>
    <row r="82" spans="27:81">
      <c r="AA82" s="25">
        <f t="shared" si="12"/>
        <v>2019</v>
      </c>
      <c r="AB82" s="355">
        <v>7682368.5999999996</v>
      </c>
      <c r="AC82" s="355">
        <v>1155000</v>
      </c>
      <c r="AD82" s="355">
        <v>978737.89</v>
      </c>
      <c r="AE82" s="355">
        <v>500000</v>
      </c>
      <c r="AF82" s="355">
        <v>389263.95</v>
      </c>
      <c r="AG82" s="355">
        <v>1414688.76</v>
      </c>
      <c r="AH82" s="355">
        <v>0</v>
      </c>
      <c r="AI82" s="355">
        <v>2989684.9695000001</v>
      </c>
      <c r="AJ82" s="355">
        <v>4978951.4155000001</v>
      </c>
      <c r="AK82" s="172">
        <v>0</v>
      </c>
      <c r="AL82" s="355">
        <f t="shared" si="10"/>
        <v>20088695.585000001</v>
      </c>
      <c r="AM82" s="172">
        <v>20088695.585000001</v>
      </c>
      <c r="AN82" s="39">
        <f t="shared" si="14"/>
        <v>0</v>
      </c>
      <c r="AP82" s="355"/>
      <c r="AQ82" s="306"/>
      <c r="AR82" s="25">
        <f t="shared" si="13"/>
        <v>2019</v>
      </c>
      <c r="AS82" s="61"/>
      <c r="AT82" s="355">
        <v>8741555.5999999996</v>
      </c>
      <c r="AU82" s="355"/>
      <c r="AV82" s="355">
        <v>1386477.37</v>
      </c>
      <c r="AW82" s="355">
        <v>389263.95</v>
      </c>
      <c r="AX82" s="355">
        <v>1414688.76</v>
      </c>
      <c r="AY82" s="355">
        <v>0</v>
      </c>
      <c r="AZ82" s="355">
        <v>2875691.0295000002</v>
      </c>
      <c r="BA82" s="355">
        <v>4386624.5954999998</v>
      </c>
      <c r="BB82" s="355">
        <v>474.4700000025332</v>
      </c>
      <c r="BC82" s="355">
        <f t="shared" si="11"/>
        <v>19194775.775000002</v>
      </c>
      <c r="BD82" s="172"/>
      <c r="BE82" s="355"/>
      <c r="BT82" s="18"/>
    </row>
    <row r="83" spans="27:81">
      <c r="AA83" s="25">
        <f t="shared" si="12"/>
        <v>2020</v>
      </c>
      <c r="AB83" s="355">
        <v>2836520.29</v>
      </c>
      <c r="AC83" s="355">
        <v>500000</v>
      </c>
      <c r="AD83" s="355">
        <v>139702</v>
      </c>
      <c r="AE83" s="355">
        <v>0</v>
      </c>
      <c r="AF83" s="355">
        <v>248461.47999999998</v>
      </c>
      <c r="AG83" s="355">
        <v>361586.22</v>
      </c>
      <c r="AH83" s="355">
        <v>0</v>
      </c>
      <c r="AI83" s="355">
        <v>239090.97500000001</v>
      </c>
      <c r="AJ83" s="355">
        <v>280973.14</v>
      </c>
      <c r="AK83" s="172">
        <v>2200.0000000009313</v>
      </c>
      <c r="AL83" s="355">
        <f t="shared" si="10"/>
        <v>4606334.1049999995</v>
      </c>
      <c r="AM83" s="172">
        <v>4608534.1050000004</v>
      </c>
      <c r="AN83" s="39">
        <f t="shared" si="14"/>
        <v>-2200.0000000009313</v>
      </c>
      <c r="AP83" s="355"/>
      <c r="AQ83" s="306"/>
      <c r="AR83" s="25">
        <f t="shared" si="13"/>
        <v>2020</v>
      </c>
      <c r="AS83" s="61"/>
      <c r="AT83" s="355">
        <v>3336520.29</v>
      </c>
      <c r="AU83" s="355"/>
      <c r="AV83" s="355">
        <v>139702</v>
      </c>
      <c r="AW83" s="355">
        <v>248461.47999999998</v>
      </c>
      <c r="AX83" s="355">
        <v>361586.22</v>
      </c>
      <c r="AY83" s="355">
        <v>0</v>
      </c>
      <c r="AZ83" s="355">
        <v>239090.97500000001</v>
      </c>
      <c r="BA83" s="355">
        <v>280973.14</v>
      </c>
      <c r="BB83" s="355">
        <v>-571870.96999999974</v>
      </c>
      <c r="BC83" s="355">
        <f t="shared" si="11"/>
        <v>4034463.1349999998</v>
      </c>
      <c r="BD83" s="172"/>
      <c r="BE83" s="355"/>
      <c r="BT83" s="18"/>
    </row>
    <row r="84" spans="27:81">
      <c r="AA84" s="25">
        <f t="shared" si="12"/>
        <v>2021</v>
      </c>
      <c r="AB84" s="355">
        <v>1130509.45</v>
      </c>
      <c r="AC84" s="355">
        <v>0</v>
      </c>
      <c r="AD84" s="355">
        <v>13712.5</v>
      </c>
      <c r="AE84" s="355">
        <v>0</v>
      </c>
      <c r="AF84" s="355">
        <v>35409.19</v>
      </c>
      <c r="AG84" s="355">
        <v>56075</v>
      </c>
      <c r="AH84" s="355">
        <v>0</v>
      </c>
      <c r="AI84" s="355">
        <v>324133.34999999998</v>
      </c>
      <c r="AJ84" s="355">
        <v>0</v>
      </c>
      <c r="AK84" s="172">
        <v>0</v>
      </c>
      <c r="AL84" s="355">
        <f t="shared" si="10"/>
        <v>1559839.4899999998</v>
      </c>
      <c r="AM84" s="172">
        <v>1559839.49</v>
      </c>
      <c r="AN84" s="39">
        <f t="shared" si="14"/>
        <v>0</v>
      </c>
      <c r="AP84" s="355"/>
      <c r="AQ84" s="306"/>
      <c r="AR84" s="25">
        <f t="shared" si="13"/>
        <v>2021</v>
      </c>
      <c r="AS84" s="61"/>
      <c r="AT84" s="355">
        <v>1130509.45</v>
      </c>
      <c r="AU84" s="355"/>
      <c r="AV84" s="355">
        <v>13712.5</v>
      </c>
      <c r="AW84" s="355">
        <v>35409.19</v>
      </c>
      <c r="AX84" s="355">
        <v>56075</v>
      </c>
      <c r="AY84" s="355">
        <v>0</v>
      </c>
      <c r="AZ84" s="355">
        <v>324133.34999999998</v>
      </c>
      <c r="BA84" s="355">
        <v>0</v>
      </c>
      <c r="BB84" s="355">
        <v>0</v>
      </c>
      <c r="BC84" s="355">
        <f t="shared" si="11"/>
        <v>1559839.4899999998</v>
      </c>
      <c r="BD84" s="172"/>
      <c r="BE84" s="355"/>
      <c r="BT84" s="18"/>
    </row>
    <row r="85" spans="27:81">
      <c r="AY85" s="61"/>
      <c r="BT85" s="18"/>
    </row>
    <row r="86" spans="27:81">
      <c r="AA86" s="61"/>
      <c r="AB86" s="233"/>
      <c r="AC86" s="233"/>
      <c r="AD86" s="233"/>
      <c r="AE86" s="233"/>
      <c r="AF86" s="233"/>
      <c r="AG86" s="233"/>
      <c r="AH86" s="233"/>
      <c r="AI86" s="233"/>
      <c r="AJ86" s="233"/>
      <c r="AK86" s="233"/>
      <c r="AL86" s="233"/>
      <c r="AM86" s="233"/>
      <c r="AN86" s="233"/>
      <c r="AP86" s="61"/>
      <c r="AQ86" s="61"/>
      <c r="AS86" s="61"/>
      <c r="AT86" s="233"/>
      <c r="AU86" s="233"/>
      <c r="AV86" s="233"/>
      <c r="AW86" s="233"/>
      <c r="AX86" s="233"/>
      <c r="AY86" s="61"/>
      <c r="AZ86" s="233"/>
      <c r="BA86" s="233"/>
      <c r="BB86" s="233"/>
      <c r="BC86" s="233"/>
      <c r="BT86" s="18"/>
    </row>
    <row r="87" spans="27:81">
      <c r="AA87" s="97" t="s">
        <v>0</v>
      </c>
      <c r="AB87" s="223">
        <f>SUM(AB57:AB85)</f>
        <v>474267868.33999997</v>
      </c>
      <c r="AC87" s="223">
        <f t="shared" ref="AC87:BC87" si="15">SUM(AC57:AC85)</f>
        <v>248529878.47999999</v>
      </c>
      <c r="AD87" s="223">
        <f t="shared" si="15"/>
        <v>23098435.849999998</v>
      </c>
      <c r="AE87" s="223">
        <f t="shared" si="15"/>
        <v>10597529.92</v>
      </c>
      <c r="AF87" s="223">
        <f t="shared" si="15"/>
        <v>20811653.400000006</v>
      </c>
      <c r="AG87" s="223">
        <f t="shared" si="15"/>
        <v>106123034.17999998</v>
      </c>
      <c r="AH87" s="223">
        <f t="shared" si="15"/>
        <v>0</v>
      </c>
      <c r="AI87" s="223">
        <f t="shared" si="15"/>
        <v>14706139.8215</v>
      </c>
      <c r="AJ87" s="223">
        <f t="shared" si="15"/>
        <v>29447313.638</v>
      </c>
      <c r="AK87" s="223">
        <f t="shared" si="15"/>
        <v>5523.7200000109151</v>
      </c>
      <c r="AL87" s="223">
        <f t="shared" si="15"/>
        <v>927581853.62950003</v>
      </c>
      <c r="AM87" s="223">
        <f t="shared" si="15"/>
        <v>644226989.02950001</v>
      </c>
      <c r="AN87" s="223">
        <f t="shared" si="15"/>
        <v>-5873.7200000109151</v>
      </c>
      <c r="AO87" s="223"/>
      <c r="AP87" s="223"/>
      <c r="AQ87" s="223"/>
      <c r="AR87" s="223"/>
      <c r="AS87" s="223"/>
      <c r="AT87" s="223">
        <f t="shared" si="15"/>
        <v>533629134.0999999</v>
      </c>
      <c r="AU87" s="223">
        <f t="shared" si="15"/>
        <v>0</v>
      </c>
      <c r="AV87" s="223">
        <f t="shared" si="15"/>
        <v>29536128.449999992</v>
      </c>
      <c r="AW87" s="223">
        <f t="shared" si="15"/>
        <v>16657902.269999996</v>
      </c>
      <c r="AX87" s="223">
        <f t="shared" si="15"/>
        <v>86794274.439999998</v>
      </c>
      <c r="AY87" s="61"/>
      <c r="AZ87" s="223">
        <f t="shared" si="15"/>
        <v>10833205.581500001</v>
      </c>
      <c r="BA87" s="223">
        <f t="shared" si="15"/>
        <v>26885952.068</v>
      </c>
      <c r="BB87" s="223">
        <f t="shared" si="15"/>
        <v>5998.1900000153109</v>
      </c>
      <c r="BC87" s="223">
        <f t="shared" si="15"/>
        <v>704342595.09949994</v>
      </c>
      <c r="BD87" s="223"/>
      <c r="BE87" s="223"/>
      <c r="BF87" s="223"/>
      <c r="BG87" s="223"/>
      <c r="BH87" s="223"/>
      <c r="BI87" s="223"/>
      <c r="BJ87" s="223"/>
      <c r="BK87" s="223"/>
      <c r="BL87" s="223"/>
      <c r="BM87" s="223"/>
      <c r="BN87" s="223"/>
      <c r="BO87" s="223"/>
      <c r="BP87" s="223"/>
      <c r="BQ87" s="223"/>
      <c r="BR87" s="223"/>
      <c r="BS87" s="223"/>
      <c r="BT87" s="223"/>
      <c r="BU87" s="223"/>
      <c r="BV87" s="223"/>
      <c r="BW87" s="223"/>
    </row>
    <row r="88" spans="27:81">
      <c r="AM88" s="61"/>
      <c r="AN88" s="61"/>
      <c r="AP88" s="61"/>
      <c r="AS88" s="61"/>
      <c r="AT88" s="61"/>
      <c r="AU88" s="61"/>
      <c r="AV88" s="61"/>
      <c r="AW88" s="61"/>
      <c r="AX88" s="61"/>
      <c r="AY88" s="61"/>
      <c r="AZ88" s="61"/>
      <c r="BA88" s="61"/>
      <c r="BB88" s="61"/>
      <c r="BC88" s="61"/>
      <c r="BD88" s="61"/>
    </row>
    <row r="89" spans="27:81">
      <c r="AC89" s="61"/>
      <c r="AD89" s="61"/>
      <c r="AE89" s="223"/>
      <c r="AF89" s="61"/>
      <c r="AG89" s="160"/>
      <c r="AH89" s="61"/>
      <c r="AI89" s="61"/>
      <c r="AJ89" s="61"/>
      <c r="AL89" s="354"/>
      <c r="AM89" s="61"/>
      <c r="AN89" s="354"/>
      <c r="AO89" s="61"/>
      <c r="AP89" s="61"/>
      <c r="AS89" s="61"/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T89" s="18"/>
    </row>
    <row r="90" spans="27:81">
      <c r="AB90" s="22"/>
      <c r="AC90" s="84"/>
      <c r="AD90" s="84"/>
      <c r="AE90" s="84"/>
      <c r="AF90" s="84"/>
      <c r="AG90" s="84"/>
      <c r="AH90" s="84"/>
      <c r="AI90" s="84"/>
      <c r="AJ90" s="84"/>
      <c r="AM90" s="61"/>
      <c r="AN90" s="61"/>
      <c r="AO90" s="61"/>
      <c r="AP90" s="61"/>
      <c r="AS90" s="61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</row>
    <row r="91" spans="27:81">
      <c r="AM91" s="61"/>
      <c r="AN91" s="61"/>
      <c r="AO91" s="61"/>
      <c r="AP91" s="61"/>
      <c r="AS91" s="61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</row>
    <row r="92" spans="27:81">
      <c r="AM92" s="61"/>
      <c r="AN92" s="61"/>
      <c r="AO92" s="61"/>
      <c r="AP92" s="61"/>
      <c r="AS92" s="61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</row>
    <row r="93" spans="27:81">
      <c r="AB93" s="22"/>
      <c r="AC93" s="22"/>
      <c r="AF93" s="22"/>
      <c r="AM93" s="61"/>
      <c r="AN93" s="61"/>
      <c r="AO93" s="61"/>
      <c r="AP93" s="61"/>
      <c r="AS93" s="61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</row>
    <row r="94" spans="27:81">
      <c r="AB94" s="22"/>
      <c r="AM94" s="61"/>
      <c r="AN94" s="61"/>
      <c r="AO94" s="61"/>
      <c r="AP94" s="61"/>
      <c r="AR94" s="61"/>
      <c r="AS94" s="61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1"/>
      <c r="CB94" s="61"/>
      <c r="CC94" s="61"/>
    </row>
    <row r="95" spans="27:81">
      <c r="AM95" s="61"/>
      <c r="AN95" s="61"/>
      <c r="AO95" s="61"/>
      <c r="AP95" s="61"/>
      <c r="AR95" s="61"/>
      <c r="AS95" s="61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1"/>
      <c r="CB95" s="61"/>
      <c r="CC95" s="61"/>
    </row>
    <row r="96" spans="27:81">
      <c r="AM96" s="61"/>
      <c r="AN96" s="61"/>
      <c r="AO96" s="61"/>
      <c r="AP96" s="61"/>
      <c r="AR96" s="61"/>
      <c r="AS96" s="61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1"/>
      <c r="CB96" s="61"/>
      <c r="CC96" s="61"/>
    </row>
    <row r="97" spans="27:81">
      <c r="AM97" s="61"/>
      <c r="AN97" s="61"/>
      <c r="AO97" s="61"/>
      <c r="AP97" s="61"/>
      <c r="AR97" s="61"/>
      <c r="AS97" s="61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1"/>
      <c r="CB97" s="61"/>
      <c r="CC97" s="61"/>
    </row>
    <row r="98" spans="27:81">
      <c r="AM98" s="61"/>
      <c r="AN98" s="61"/>
      <c r="AO98" s="61"/>
      <c r="AP98" s="61"/>
      <c r="AR98" s="61"/>
      <c r="AS98" s="61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1"/>
      <c r="CB98" s="61"/>
      <c r="CC98" s="61"/>
    </row>
    <row r="99" spans="27:81">
      <c r="AM99" s="61"/>
      <c r="AN99" s="61"/>
      <c r="AO99" s="61"/>
      <c r="AP99" s="61"/>
      <c r="AR99" s="61"/>
      <c r="AS99" s="61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</row>
    <row r="100" spans="27:81">
      <c r="AM100" s="61"/>
      <c r="AN100" s="61"/>
      <c r="AO100" s="61"/>
      <c r="AP100" s="61"/>
      <c r="AR100" s="25"/>
      <c r="AS100" s="354"/>
      <c r="AT100" s="18"/>
      <c r="AU100" s="355"/>
      <c r="AV100" s="18"/>
      <c r="AW100" s="355"/>
      <c r="AY100" s="223"/>
      <c r="BB100" s="223"/>
      <c r="BC100" s="355"/>
      <c r="BE100" s="25"/>
      <c r="BF100" s="354"/>
      <c r="BG100" s="18"/>
      <c r="BH100" s="355"/>
      <c r="BI100" s="18"/>
      <c r="BJ100" s="355"/>
      <c r="BL100" s="223"/>
      <c r="BO100" s="223"/>
      <c r="BP100" s="355"/>
    </row>
    <row r="101" spans="27:81"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R101" s="25"/>
      <c r="AS101" s="355"/>
      <c r="AT101" s="18"/>
      <c r="AU101" s="355"/>
      <c r="AV101" s="18"/>
      <c r="AW101" s="355"/>
      <c r="AX101" s="172"/>
      <c r="AY101" s="172"/>
      <c r="AZ101" s="172"/>
      <c r="BA101" s="172"/>
      <c r="BB101" s="172"/>
      <c r="BC101" s="355"/>
      <c r="BE101" s="25"/>
      <c r="BF101" s="355"/>
      <c r="BG101" s="18"/>
      <c r="BH101" s="355"/>
      <c r="BI101" s="18"/>
      <c r="BJ101" s="355"/>
      <c r="BK101" s="172"/>
      <c r="BL101" s="172"/>
      <c r="BM101" s="172"/>
      <c r="BN101" s="172"/>
      <c r="BO101" s="172"/>
      <c r="BP101" s="355"/>
    </row>
    <row r="102" spans="27:81">
      <c r="AA102" s="12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R102" s="25"/>
      <c r="AS102" s="355"/>
      <c r="AT102" s="18"/>
      <c r="AU102" s="355"/>
      <c r="AV102" s="18"/>
      <c r="AW102" s="355"/>
      <c r="AX102" s="172"/>
      <c r="AY102" s="172"/>
      <c r="AZ102" s="172"/>
      <c r="BA102" s="172"/>
      <c r="BB102" s="172"/>
      <c r="BC102" s="355"/>
      <c r="BE102" s="25"/>
      <c r="BF102" s="355"/>
      <c r="BG102" s="18"/>
      <c r="BH102" s="355"/>
      <c r="BI102" s="18"/>
      <c r="BJ102" s="355"/>
      <c r="BK102" s="172"/>
      <c r="BL102" s="172"/>
      <c r="BM102" s="172"/>
      <c r="BN102" s="172"/>
      <c r="BO102" s="172"/>
      <c r="BP102" s="355"/>
    </row>
    <row r="103" spans="27:81">
      <c r="AA103" s="25"/>
      <c r="AB103" s="61"/>
      <c r="AC103" s="255"/>
      <c r="AD103" s="256"/>
      <c r="AE103" s="256"/>
      <c r="AF103" s="256"/>
      <c r="AG103" s="256"/>
      <c r="AH103" s="256"/>
      <c r="AI103" s="256"/>
      <c r="AJ103" s="256"/>
      <c r="AK103" s="256"/>
      <c r="AL103" s="61"/>
      <c r="AM103" s="61"/>
      <c r="AN103" s="61"/>
      <c r="AO103" s="61"/>
      <c r="AP103" s="61"/>
      <c r="AR103" s="25"/>
      <c r="AS103" s="355"/>
      <c r="AT103" s="18"/>
      <c r="AU103" s="355"/>
      <c r="AV103" s="18"/>
      <c r="AW103" s="355"/>
      <c r="AX103" s="172"/>
      <c r="AY103" s="172"/>
      <c r="AZ103" s="172"/>
      <c r="BA103" s="172"/>
      <c r="BB103" s="172"/>
      <c r="BC103" s="355"/>
      <c r="BE103" s="25"/>
      <c r="BF103" s="355"/>
      <c r="BG103" s="18"/>
      <c r="BH103" s="355"/>
      <c r="BI103" s="18"/>
      <c r="BJ103" s="355"/>
      <c r="BK103" s="172"/>
      <c r="BL103" s="172"/>
      <c r="BM103" s="172"/>
      <c r="BN103" s="172"/>
      <c r="BO103" s="172"/>
      <c r="BP103" s="355"/>
    </row>
    <row r="104" spans="27:81">
      <c r="AA104" s="25"/>
      <c r="AB104" s="97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355"/>
      <c r="AX104" s="172"/>
      <c r="AY104" s="172"/>
      <c r="AZ104" s="172"/>
      <c r="BA104" s="172"/>
      <c r="BB104" s="172"/>
      <c r="BC104" s="355"/>
      <c r="BE104" s="25"/>
      <c r="BF104" s="355"/>
      <c r="BG104" s="18"/>
      <c r="BH104" s="355"/>
      <c r="BI104" s="18"/>
      <c r="BJ104" s="355"/>
      <c r="BK104" s="172"/>
      <c r="BL104" s="172"/>
      <c r="BM104" s="172"/>
      <c r="BN104" s="172"/>
      <c r="BO104" s="172"/>
      <c r="BP104" s="355"/>
    </row>
    <row r="105" spans="27:81">
      <c r="AM105" s="61"/>
      <c r="AN105" s="61"/>
      <c r="AO105" s="61"/>
      <c r="AP105" s="61"/>
      <c r="AR105" s="25"/>
      <c r="AS105" s="355"/>
      <c r="AT105" s="18"/>
      <c r="AU105" s="355"/>
      <c r="AV105" s="18"/>
      <c r="AW105" s="355"/>
      <c r="AX105" s="172"/>
      <c r="AY105" s="172"/>
      <c r="AZ105" s="172"/>
      <c r="BA105" s="172"/>
      <c r="BB105" s="172"/>
      <c r="BC105" s="355"/>
      <c r="BE105" s="25"/>
      <c r="BF105" s="355"/>
      <c r="BG105" s="18"/>
      <c r="BH105" s="355"/>
      <c r="BI105" s="18"/>
      <c r="BJ105" s="355"/>
      <c r="BK105" s="172"/>
      <c r="BL105" s="172"/>
      <c r="BM105" s="172"/>
      <c r="BN105" s="172"/>
      <c r="BO105" s="172"/>
      <c r="BP105" s="355"/>
    </row>
    <row r="106" spans="27:81">
      <c r="AM106" s="61"/>
      <c r="AN106" s="61"/>
      <c r="AO106" s="61"/>
      <c r="AP106" s="61"/>
      <c r="AR106" s="25"/>
      <c r="AS106" s="355"/>
      <c r="AT106" s="18"/>
      <c r="AU106" s="355"/>
      <c r="AV106" s="18"/>
      <c r="AW106" s="355"/>
      <c r="AX106" s="172"/>
      <c r="AY106" s="172"/>
      <c r="AZ106" s="172"/>
      <c r="BA106" s="172"/>
      <c r="BB106" s="172"/>
      <c r="BC106" s="355"/>
      <c r="BE106" s="25"/>
      <c r="BF106" s="355"/>
      <c r="BG106" s="18"/>
      <c r="BH106" s="355"/>
      <c r="BI106" s="18"/>
      <c r="BJ106" s="355"/>
      <c r="BK106" s="172"/>
      <c r="BL106" s="172"/>
      <c r="BM106" s="172"/>
      <c r="BN106" s="172"/>
      <c r="BO106" s="172"/>
      <c r="BP106" s="355"/>
    </row>
    <row r="107" spans="27:81">
      <c r="AA107" s="25">
        <v>1992</v>
      </c>
      <c r="AB107" s="160">
        <v>0</v>
      </c>
      <c r="AC107" s="160">
        <v>0</v>
      </c>
      <c r="AD107" s="160">
        <v>0</v>
      </c>
      <c r="AE107" s="160">
        <v>0</v>
      </c>
      <c r="AF107" s="160">
        <v>0</v>
      </c>
      <c r="AG107" s="160">
        <v>0</v>
      </c>
      <c r="AH107" s="160">
        <v>0</v>
      </c>
      <c r="AI107" s="160">
        <v>0</v>
      </c>
      <c r="AJ107" s="160">
        <v>0</v>
      </c>
      <c r="AK107" s="160">
        <v>0</v>
      </c>
      <c r="AL107" s="160">
        <v>0</v>
      </c>
      <c r="AM107" s="61"/>
      <c r="AN107" s="61"/>
      <c r="AO107" s="61"/>
      <c r="AP107" s="61"/>
      <c r="AR107" s="25"/>
      <c r="AS107" s="355"/>
      <c r="AT107" s="18"/>
      <c r="AU107" s="355"/>
      <c r="AV107" s="18"/>
      <c r="AW107" s="355"/>
      <c r="AX107" s="172"/>
      <c r="AY107" s="172"/>
      <c r="AZ107" s="172"/>
      <c r="BA107" s="172"/>
      <c r="BB107" s="172"/>
      <c r="BC107" s="355"/>
      <c r="BE107" s="25"/>
      <c r="BF107" s="355"/>
      <c r="BG107" s="18"/>
      <c r="BH107" s="355"/>
      <c r="BI107" s="18"/>
      <c r="BJ107" s="355"/>
      <c r="BK107" s="172"/>
      <c r="BL107" s="172"/>
      <c r="BM107" s="172"/>
      <c r="BN107" s="172"/>
      <c r="BO107" s="172"/>
      <c r="BP107" s="355"/>
    </row>
    <row r="108" spans="27:81">
      <c r="AA108" s="25">
        <v>1993</v>
      </c>
      <c r="AB108" s="355">
        <v>0</v>
      </c>
      <c r="AC108" s="355">
        <v>0</v>
      </c>
      <c r="AD108" s="355">
        <v>0</v>
      </c>
      <c r="AE108" s="355">
        <v>0</v>
      </c>
      <c r="AF108" s="355">
        <v>0</v>
      </c>
      <c r="AG108" s="355">
        <v>0</v>
      </c>
      <c r="AH108" s="355">
        <v>0</v>
      </c>
      <c r="AI108" s="355">
        <v>0</v>
      </c>
      <c r="AJ108" s="355">
        <v>0</v>
      </c>
      <c r="AK108" s="355">
        <v>0</v>
      </c>
      <c r="AL108" s="355">
        <v>0</v>
      </c>
      <c r="AM108" s="61"/>
      <c r="AN108" s="61"/>
      <c r="AO108" s="61"/>
      <c r="AP108" s="61"/>
      <c r="AR108" s="25"/>
      <c r="AS108" s="355"/>
      <c r="AT108" s="18"/>
      <c r="AU108" s="355"/>
      <c r="AV108" s="18"/>
      <c r="AW108" s="355"/>
      <c r="AX108" s="172"/>
      <c r="AY108" s="172"/>
      <c r="AZ108" s="172"/>
      <c r="BA108" s="172"/>
      <c r="BB108" s="172"/>
      <c r="BC108" s="355"/>
      <c r="BE108" s="25"/>
      <c r="BF108" s="355"/>
      <c r="BG108" s="18"/>
      <c r="BH108" s="355"/>
      <c r="BI108" s="18"/>
      <c r="BJ108" s="355"/>
      <c r="BK108" s="172"/>
      <c r="BL108" s="172"/>
      <c r="BM108" s="172"/>
      <c r="BN108" s="172"/>
      <c r="BO108" s="172"/>
      <c r="BP108" s="355"/>
    </row>
    <row r="109" spans="27:81">
      <c r="AA109" s="25">
        <v>1994</v>
      </c>
      <c r="AB109" s="355">
        <v>0</v>
      </c>
      <c r="AC109" s="355">
        <v>0</v>
      </c>
      <c r="AD109" s="355">
        <v>0</v>
      </c>
      <c r="AE109" s="355">
        <v>0</v>
      </c>
      <c r="AF109" s="355">
        <v>0</v>
      </c>
      <c r="AG109" s="355">
        <v>0</v>
      </c>
      <c r="AH109" s="355">
        <v>0</v>
      </c>
      <c r="AI109" s="355">
        <v>0</v>
      </c>
      <c r="AJ109" s="355">
        <v>0</v>
      </c>
      <c r="AK109" s="355">
        <v>0</v>
      </c>
      <c r="AL109" s="355">
        <v>0</v>
      </c>
      <c r="AM109" s="61"/>
      <c r="AN109" s="61"/>
      <c r="AO109" s="61"/>
      <c r="AP109" s="61"/>
      <c r="AR109" s="25"/>
      <c r="AS109" s="355"/>
      <c r="AT109" s="18"/>
      <c r="AU109" s="355"/>
      <c r="AV109" s="18"/>
      <c r="AW109" s="355"/>
      <c r="AX109" s="172"/>
      <c r="AY109" s="172"/>
      <c r="AZ109" s="172"/>
      <c r="BA109" s="172"/>
      <c r="BB109" s="172"/>
      <c r="BC109" s="355"/>
      <c r="BE109" s="25"/>
      <c r="BF109" s="355"/>
      <c r="BG109" s="18"/>
      <c r="BH109" s="355"/>
      <c r="BI109" s="18"/>
      <c r="BJ109" s="355"/>
      <c r="BK109" s="172"/>
      <c r="BL109" s="172"/>
      <c r="BM109" s="172"/>
      <c r="BN109" s="172"/>
      <c r="BO109" s="172"/>
      <c r="BP109" s="355"/>
    </row>
    <row r="110" spans="27:81">
      <c r="AA110" s="25">
        <v>1995</v>
      </c>
      <c r="AB110" s="355">
        <v>0</v>
      </c>
      <c r="AC110" s="355">
        <v>0</v>
      </c>
      <c r="AD110" s="355">
        <v>0</v>
      </c>
      <c r="AE110" s="355">
        <v>0</v>
      </c>
      <c r="AF110" s="355">
        <v>0</v>
      </c>
      <c r="AG110" s="355">
        <v>0</v>
      </c>
      <c r="AH110" s="355">
        <v>0</v>
      </c>
      <c r="AI110" s="355">
        <v>0</v>
      </c>
      <c r="AJ110" s="355">
        <v>0</v>
      </c>
      <c r="AK110" s="355">
        <v>0</v>
      </c>
      <c r="AL110" s="355">
        <v>0</v>
      </c>
      <c r="AM110" s="61"/>
      <c r="AN110" s="61"/>
      <c r="AO110" s="61"/>
      <c r="AP110" s="61"/>
      <c r="AR110" s="25"/>
      <c r="AS110" s="355"/>
      <c r="AT110" s="18"/>
      <c r="AU110" s="355"/>
      <c r="AV110" s="18"/>
      <c r="AW110" s="355"/>
      <c r="AX110" s="172"/>
      <c r="AY110" s="172"/>
      <c r="AZ110" s="172"/>
      <c r="BA110" s="172"/>
      <c r="BB110" s="172"/>
      <c r="BC110" s="355"/>
      <c r="BE110" s="25"/>
      <c r="BF110" s="355"/>
      <c r="BG110" s="18"/>
      <c r="BH110" s="355"/>
      <c r="BI110" s="18"/>
      <c r="BJ110" s="355"/>
      <c r="BK110" s="172"/>
      <c r="BL110" s="172"/>
      <c r="BM110" s="172"/>
      <c r="BN110" s="172"/>
      <c r="BO110" s="172"/>
      <c r="BP110" s="355"/>
    </row>
    <row r="111" spans="27:81">
      <c r="AA111" s="25">
        <v>1996</v>
      </c>
      <c r="AB111" s="355">
        <v>0</v>
      </c>
      <c r="AC111" s="355">
        <v>0</v>
      </c>
      <c r="AD111" s="355">
        <v>0</v>
      </c>
      <c r="AE111" s="355">
        <v>0</v>
      </c>
      <c r="AF111" s="355">
        <v>0</v>
      </c>
      <c r="AG111" s="355">
        <v>0</v>
      </c>
      <c r="AH111" s="355">
        <v>0</v>
      </c>
      <c r="AI111" s="355">
        <v>0</v>
      </c>
      <c r="AJ111" s="355">
        <v>0</v>
      </c>
      <c r="AK111" s="355">
        <v>0</v>
      </c>
      <c r="AL111" s="355">
        <v>0</v>
      </c>
      <c r="AM111" s="61"/>
      <c r="AN111" s="61"/>
      <c r="AO111" s="61"/>
      <c r="AP111" s="61"/>
      <c r="AR111" s="25"/>
      <c r="AS111" s="355"/>
      <c r="AT111" s="18"/>
      <c r="AU111" s="355"/>
      <c r="AV111" s="18"/>
      <c r="AW111" s="355"/>
      <c r="AX111" s="172"/>
      <c r="AY111" s="172"/>
      <c r="AZ111" s="172"/>
      <c r="BA111" s="172"/>
      <c r="BB111" s="172"/>
      <c r="BC111" s="355"/>
      <c r="BE111" s="25"/>
      <c r="BF111" s="355"/>
      <c r="BG111" s="18"/>
      <c r="BH111" s="355"/>
      <c r="BI111" s="18"/>
      <c r="BJ111" s="355"/>
      <c r="BK111" s="172"/>
      <c r="BL111" s="172"/>
      <c r="BM111" s="172"/>
      <c r="BN111" s="172"/>
      <c r="BO111" s="172"/>
      <c r="BP111" s="355"/>
    </row>
    <row r="112" spans="27:81">
      <c r="AA112" s="25">
        <v>1997</v>
      </c>
      <c r="AB112" s="355">
        <v>0</v>
      </c>
      <c r="AC112" s="355">
        <v>0</v>
      </c>
      <c r="AD112" s="355">
        <v>0</v>
      </c>
      <c r="AE112" s="355">
        <v>0</v>
      </c>
      <c r="AF112" s="355">
        <v>0</v>
      </c>
      <c r="AG112" s="355">
        <v>0</v>
      </c>
      <c r="AH112" s="355">
        <v>0</v>
      </c>
      <c r="AI112" s="355">
        <v>0</v>
      </c>
      <c r="AJ112" s="355">
        <v>0</v>
      </c>
      <c r="AK112" s="355">
        <v>0</v>
      </c>
      <c r="AL112" s="355">
        <v>0</v>
      </c>
      <c r="AM112" s="61"/>
      <c r="AN112" s="61"/>
      <c r="AO112" s="61"/>
      <c r="AP112" s="61"/>
      <c r="AR112" s="25"/>
      <c r="AS112" s="355"/>
      <c r="AT112" s="18"/>
      <c r="AU112" s="355"/>
      <c r="AV112" s="18"/>
      <c r="AW112" s="355"/>
      <c r="AX112" s="172"/>
      <c r="AY112" s="172"/>
      <c r="AZ112" s="172"/>
      <c r="BA112" s="172"/>
      <c r="BB112" s="172"/>
      <c r="BC112" s="355"/>
      <c r="BE112" s="25"/>
      <c r="BF112" s="355"/>
      <c r="BG112" s="18"/>
      <c r="BH112" s="355"/>
      <c r="BI112" s="18"/>
      <c r="BJ112" s="355"/>
      <c r="BK112" s="172"/>
      <c r="BL112" s="172"/>
      <c r="BM112" s="172"/>
      <c r="BN112" s="172"/>
      <c r="BO112" s="172"/>
      <c r="BP112" s="355"/>
    </row>
    <row r="113" spans="27:68">
      <c r="AA113" s="25">
        <v>1998</v>
      </c>
      <c r="AB113" s="355">
        <v>0</v>
      </c>
      <c r="AC113" s="355">
        <v>0</v>
      </c>
      <c r="AD113" s="355">
        <v>0</v>
      </c>
      <c r="AE113" s="355">
        <v>0</v>
      </c>
      <c r="AF113" s="355">
        <v>0</v>
      </c>
      <c r="AG113" s="355">
        <v>0</v>
      </c>
      <c r="AH113" s="355">
        <v>0</v>
      </c>
      <c r="AI113" s="355">
        <v>0</v>
      </c>
      <c r="AJ113" s="355">
        <v>0</v>
      </c>
      <c r="AK113" s="355">
        <v>0</v>
      </c>
      <c r="AL113" s="355">
        <v>0</v>
      </c>
      <c r="AM113" s="61"/>
      <c r="AN113" s="61"/>
      <c r="AO113" s="61"/>
      <c r="AP113" s="61"/>
      <c r="AR113" s="25"/>
      <c r="AS113" s="355"/>
      <c r="AT113" s="18"/>
      <c r="AU113" s="355"/>
      <c r="AV113" s="18"/>
      <c r="AW113" s="355"/>
      <c r="AX113" s="172"/>
      <c r="AY113" s="172"/>
      <c r="AZ113" s="172"/>
      <c r="BA113" s="172"/>
      <c r="BB113" s="172"/>
      <c r="BC113" s="355"/>
      <c r="BE113" s="25"/>
      <c r="BF113" s="355"/>
      <c r="BG113" s="18"/>
      <c r="BH113" s="355"/>
      <c r="BI113" s="18"/>
      <c r="BJ113" s="223"/>
      <c r="BK113" s="172"/>
      <c r="BL113" s="172"/>
      <c r="BM113" s="172"/>
      <c r="BN113" s="172"/>
      <c r="BO113" s="172"/>
      <c r="BP113" s="355"/>
    </row>
    <row r="114" spans="27:68">
      <c r="AA114" s="25">
        <v>1999</v>
      </c>
      <c r="AB114" s="355">
        <v>0</v>
      </c>
      <c r="AC114" s="355">
        <v>0</v>
      </c>
      <c r="AD114" s="355">
        <v>0</v>
      </c>
      <c r="AE114" s="355">
        <v>0</v>
      </c>
      <c r="AF114" s="355">
        <v>0</v>
      </c>
      <c r="AG114" s="355">
        <v>0</v>
      </c>
      <c r="AH114" s="355">
        <v>0</v>
      </c>
      <c r="AI114" s="355">
        <v>0</v>
      </c>
      <c r="AJ114" s="355">
        <v>0</v>
      </c>
      <c r="AK114" s="355">
        <v>0</v>
      </c>
      <c r="AL114" s="355">
        <v>0</v>
      </c>
      <c r="AM114" s="61"/>
      <c r="AN114" s="61"/>
      <c r="AO114" s="61"/>
      <c r="AP114" s="61"/>
      <c r="AR114" s="25"/>
      <c r="AS114" s="355"/>
      <c r="AT114" s="18"/>
      <c r="AU114" s="355"/>
      <c r="AV114" s="18"/>
      <c r="AW114" s="355"/>
      <c r="AX114" s="172"/>
      <c r="AY114" s="172"/>
      <c r="AZ114" s="172"/>
      <c r="BA114" s="172"/>
      <c r="BB114" s="172"/>
      <c r="BC114" s="355"/>
      <c r="BE114" s="25"/>
      <c r="BF114" s="355"/>
      <c r="BG114" s="18"/>
      <c r="BH114" s="355"/>
      <c r="BI114" s="18"/>
      <c r="BJ114" s="355"/>
      <c r="BK114" s="172"/>
      <c r="BL114" s="172"/>
      <c r="BM114" s="172"/>
      <c r="BN114" s="172"/>
      <c r="BO114" s="172"/>
      <c r="BP114" s="355"/>
    </row>
    <row r="115" spans="27:68">
      <c r="AA115" s="25">
        <v>2000</v>
      </c>
      <c r="AB115" s="355">
        <v>0</v>
      </c>
      <c r="AC115" s="355">
        <v>0</v>
      </c>
      <c r="AD115" s="355">
        <v>0</v>
      </c>
      <c r="AE115" s="355">
        <v>0</v>
      </c>
      <c r="AF115" s="355">
        <v>0</v>
      </c>
      <c r="AG115" s="355">
        <v>0</v>
      </c>
      <c r="AH115" s="355">
        <v>0</v>
      </c>
      <c r="AI115" s="355">
        <v>0</v>
      </c>
      <c r="AJ115" s="355">
        <v>0</v>
      </c>
      <c r="AK115" s="355">
        <v>0</v>
      </c>
      <c r="AL115" s="355">
        <v>0</v>
      </c>
      <c r="AM115" s="61"/>
      <c r="AN115" s="61"/>
      <c r="AO115" s="61"/>
      <c r="AP115" s="61"/>
      <c r="AR115" s="25"/>
      <c r="AS115" s="355"/>
      <c r="AT115" s="18"/>
      <c r="AU115" s="355"/>
      <c r="AV115" s="18"/>
      <c r="AW115" s="355"/>
      <c r="AX115" s="172"/>
      <c r="AY115" s="172"/>
      <c r="AZ115" s="172"/>
      <c r="BA115" s="172"/>
      <c r="BB115" s="172"/>
      <c r="BC115" s="355"/>
      <c r="BE115" s="25"/>
      <c r="BF115" s="355"/>
      <c r="BG115" s="18"/>
      <c r="BH115" s="355"/>
      <c r="BI115" s="18"/>
      <c r="BJ115" s="355"/>
      <c r="BK115" s="172"/>
      <c r="BL115" s="172"/>
      <c r="BM115" s="172"/>
      <c r="BN115" s="172"/>
      <c r="BO115" s="172"/>
      <c r="BP115" s="355"/>
    </row>
    <row r="116" spans="27:68">
      <c r="AA116" s="25">
        <v>2001</v>
      </c>
      <c r="AB116" s="355">
        <v>0</v>
      </c>
      <c r="AC116" s="355">
        <v>0</v>
      </c>
      <c r="AD116" s="355">
        <v>0</v>
      </c>
      <c r="AE116" s="355">
        <v>0</v>
      </c>
      <c r="AF116" s="355">
        <v>0</v>
      </c>
      <c r="AG116" s="355">
        <v>0</v>
      </c>
      <c r="AH116" s="355">
        <v>0</v>
      </c>
      <c r="AI116" s="355">
        <v>0</v>
      </c>
      <c r="AJ116" s="355">
        <v>0</v>
      </c>
      <c r="AK116" s="355">
        <v>0</v>
      </c>
      <c r="AL116" s="355">
        <v>0</v>
      </c>
      <c r="AM116" s="61"/>
      <c r="AN116" s="61"/>
      <c r="AO116" s="61"/>
      <c r="AP116" s="61"/>
      <c r="AR116" s="25"/>
      <c r="AS116" s="355"/>
      <c r="AT116" s="18"/>
      <c r="AU116" s="355"/>
      <c r="AV116" s="18"/>
      <c r="AW116" s="355"/>
      <c r="AX116" s="172"/>
      <c r="AY116" s="172"/>
      <c r="AZ116" s="172"/>
      <c r="BA116" s="172"/>
      <c r="BB116" s="172"/>
      <c r="BC116" s="355"/>
      <c r="BE116" s="25"/>
      <c r="BF116" s="355"/>
      <c r="BG116" s="18"/>
      <c r="BH116" s="355"/>
      <c r="BI116" s="18"/>
      <c r="BJ116" s="355"/>
      <c r="BK116" s="172"/>
      <c r="BL116" s="172"/>
      <c r="BM116" s="172"/>
      <c r="BN116" s="172"/>
      <c r="BO116" s="172"/>
      <c r="BP116" s="355"/>
    </row>
    <row r="117" spans="27:68">
      <c r="AA117" s="25">
        <v>2002</v>
      </c>
      <c r="AB117" s="355">
        <v>0</v>
      </c>
      <c r="AC117" s="355">
        <v>0</v>
      </c>
      <c r="AD117" s="355">
        <v>0</v>
      </c>
      <c r="AE117" s="355">
        <v>0</v>
      </c>
      <c r="AF117" s="355">
        <v>0</v>
      </c>
      <c r="AG117" s="355">
        <v>0</v>
      </c>
      <c r="AH117" s="355">
        <v>0</v>
      </c>
      <c r="AI117" s="355">
        <v>0</v>
      </c>
      <c r="AJ117" s="355">
        <v>0</v>
      </c>
      <c r="AK117" s="355">
        <v>0</v>
      </c>
      <c r="AL117" s="355">
        <v>0</v>
      </c>
      <c r="AM117" s="61"/>
      <c r="AN117" s="61"/>
      <c r="AO117" s="61"/>
      <c r="AP117" s="61"/>
      <c r="AR117" s="25"/>
      <c r="AS117" s="355"/>
      <c r="AT117" s="18"/>
      <c r="AU117" s="355"/>
      <c r="AV117" s="18"/>
      <c r="AW117" s="355"/>
      <c r="AX117" s="172"/>
      <c r="AY117" s="172"/>
      <c r="AZ117" s="172"/>
      <c r="BA117" s="172"/>
      <c r="BB117" s="172"/>
      <c r="BC117" s="355"/>
      <c r="BE117" s="25"/>
      <c r="BF117" s="355"/>
      <c r="BG117" s="18"/>
      <c r="BH117" s="355"/>
      <c r="BI117" s="18"/>
      <c r="BJ117" s="355"/>
      <c r="BK117" s="172"/>
      <c r="BL117" s="172"/>
      <c r="BM117" s="172"/>
      <c r="BN117" s="172"/>
      <c r="BO117" s="172"/>
      <c r="BP117" s="355"/>
    </row>
    <row r="118" spans="27:68">
      <c r="AA118" s="25">
        <v>2003</v>
      </c>
      <c r="AB118" s="355">
        <v>0</v>
      </c>
      <c r="AC118" s="355">
        <v>0</v>
      </c>
      <c r="AD118" s="355">
        <v>0</v>
      </c>
      <c r="AE118" s="355">
        <v>0</v>
      </c>
      <c r="AF118" s="355">
        <v>0</v>
      </c>
      <c r="AG118" s="355">
        <v>0</v>
      </c>
      <c r="AH118" s="355">
        <v>0</v>
      </c>
      <c r="AI118" s="355">
        <v>0</v>
      </c>
      <c r="AJ118" s="355">
        <v>0</v>
      </c>
      <c r="AK118" s="355">
        <v>0</v>
      </c>
      <c r="AL118" s="355">
        <v>0</v>
      </c>
      <c r="AM118" s="61"/>
      <c r="AN118" s="61"/>
      <c r="AO118" s="61"/>
      <c r="AP118" s="61"/>
      <c r="AR118" s="25"/>
      <c r="AS118" s="355"/>
      <c r="AT118" s="18"/>
      <c r="AU118" s="355"/>
      <c r="AV118" s="18"/>
      <c r="AW118" s="355"/>
      <c r="AX118" s="172"/>
      <c r="AY118" s="172"/>
      <c r="AZ118" s="172"/>
      <c r="BA118" s="172"/>
      <c r="BB118" s="172"/>
      <c r="BC118" s="355"/>
      <c r="BE118" s="25"/>
      <c r="BF118" s="355"/>
      <c r="BG118" s="18"/>
      <c r="BH118" s="355"/>
      <c r="BI118" s="18"/>
      <c r="BJ118" s="355"/>
      <c r="BK118" s="172"/>
      <c r="BL118" s="172"/>
      <c r="BM118" s="172"/>
      <c r="BN118" s="172"/>
      <c r="BO118" s="172"/>
      <c r="BP118" s="355"/>
    </row>
    <row r="119" spans="27:68">
      <c r="AA119" s="25">
        <v>2004</v>
      </c>
      <c r="AB119" s="355">
        <v>0</v>
      </c>
      <c r="AC119" s="355">
        <v>0</v>
      </c>
      <c r="AD119" s="355">
        <v>0</v>
      </c>
      <c r="AE119" s="355">
        <v>0</v>
      </c>
      <c r="AF119" s="355">
        <v>0</v>
      </c>
      <c r="AG119" s="355">
        <v>0</v>
      </c>
      <c r="AH119" s="355">
        <v>0</v>
      </c>
      <c r="AI119" s="355">
        <v>0</v>
      </c>
      <c r="AJ119" s="355">
        <v>0</v>
      </c>
      <c r="AK119" s="355">
        <v>0</v>
      </c>
      <c r="AL119" s="355">
        <v>0</v>
      </c>
      <c r="AM119" s="61"/>
      <c r="AN119" s="61"/>
      <c r="AO119" s="61"/>
      <c r="AP119" s="61"/>
      <c r="AR119" s="25"/>
      <c r="AS119" s="355"/>
      <c r="AT119" s="18"/>
      <c r="AU119" s="355"/>
      <c r="AV119" s="18"/>
      <c r="AW119" s="355"/>
      <c r="AX119" s="172"/>
      <c r="AY119" s="172"/>
      <c r="AZ119" s="172"/>
      <c r="BA119" s="172"/>
      <c r="BB119" s="172"/>
      <c r="BC119" s="355"/>
      <c r="BE119" s="25"/>
      <c r="BF119" s="355"/>
      <c r="BG119" s="18"/>
      <c r="BH119" s="355"/>
      <c r="BI119" s="18"/>
      <c r="BJ119" s="355"/>
      <c r="BK119" s="172"/>
      <c r="BL119" s="172"/>
      <c r="BM119" s="172"/>
      <c r="BN119" s="172"/>
      <c r="BO119" s="172"/>
      <c r="BP119" s="355"/>
    </row>
    <row r="120" spans="27:68">
      <c r="AA120" s="25">
        <v>2005</v>
      </c>
      <c r="AB120" s="355">
        <v>0</v>
      </c>
      <c r="AC120" s="355">
        <v>0</v>
      </c>
      <c r="AD120" s="355">
        <v>0</v>
      </c>
      <c r="AE120" s="355">
        <v>0</v>
      </c>
      <c r="AF120" s="355">
        <v>0</v>
      </c>
      <c r="AG120" s="355">
        <v>0</v>
      </c>
      <c r="AH120" s="355">
        <v>0</v>
      </c>
      <c r="AI120" s="355">
        <v>0</v>
      </c>
      <c r="AJ120" s="355">
        <v>0</v>
      </c>
      <c r="AK120" s="355">
        <v>0</v>
      </c>
      <c r="AL120" s="355">
        <v>0</v>
      </c>
      <c r="AM120" s="61"/>
      <c r="AN120" s="61"/>
      <c r="AO120" s="61"/>
      <c r="AP120" s="61"/>
      <c r="AR120" s="25"/>
      <c r="AS120" s="355"/>
      <c r="AT120" s="18"/>
      <c r="AU120" s="355"/>
      <c r="AV120" s="18"/>
      <c r="AW120" s="355"/>
      <c r="AX120" s="172"/>
      <c r="AY120" s="172"/>
      <c r="AZ120" s="172"/>
      <c r="BA120" s="26"/>
      <c r="BB120" s="172"/>
      <c r="BC120" s="355"/>
      <c r="BE120" s="25"/>
      <c r="BF120" s="355"/>
      <c r="BG120" s="18"/>
      <c r="BH120" s="355"/>
      <c r="BI120" s="18"/>
      <c r="BJ120" s="355"/>
      <c r="BK120" s="172"/>
      <c r="BL120" s="172"/>
      <c r="BM120" s="172"/>
      <c r="BN120" s="172"/>
      <c r="BO120" s="172"/>
      <c r="BP120" s="355"/>
    </row>
    <row r="121" spans="27:68">
      <c r="AA121" s="25">
        <v>2006</v>
      </c>
      <c r="AB121" s="355">
        <v>208817.79999999888</v>
      </c>
      <c r="AC121" s="355">
        <v>0</v>
      </c>
      <c r="AD121" s="355">
        <v>0</v>
      </c>
      <c r="AE121" s="355">
        <v>0</v>
      </c>
      <c r="AF121" s="355">
        <v>0</v>
      </c>
      <c r="AG121" s="355">
        <v>0</v>
      </c>
      <c r="AH121" s="355">
        <v>0</v>
      </c>
      <c r="AI121" s="355">
        <v>0</v>
      </c>
      <c r="AJ121" s="355">
        <v>0</v>
      </c>
      <c r="AK121" s="355">
        <v>0</v>
      </c>
      <c r="AL121" s="355">
        <v>208817.79999999702</v>
      </c>
      <c r="AM121" s="61"/>
      <c r="AN121" s="61"/>
      <c r="AO121" s="61"/>
      <c r="AP121" s="61"/>
      <c r="AR121" s="25"/>
      <c r="AS121" s="355"/>
      <c r="AT121" s="18"/>
      <c r="AU121" s="355"/>
      <c r="AV121" s="18"/>
      <c r="AW121" s="355"/>
      <c r="AX121" s="172"/>
      <c r="AY121" s="172"/>
      <c r="AZ121" s="172"/>
      <c r="BA121" s="353"/>
      <c r="BB121" s="172"/>
      <c r="BC121" s="355"/>
      <c r="BE121" s="25"/>
      <c r="BF121" s="355"/>
      <c r="BG121" s="18"/>
      <c r="BH121" s="355"/>
      <c r="BI121" s="18"/>
      <c r="BJ121" s="355"/>
      <c r="BK121" s="172"/>
      <c r="BL121" s="172"/>
      <c r="BM121" s="172"/>
      <c r="BN121" s="172"/>
      <c r="BO121" s="172"/>
      <c r="BP121" s="355"/>
    </row>
    <row r="122" spans="27:68">
      <c r="AA122" s="25">
        <v>2007</v>
      </c>
      <c r="AB122" s="355">
        <v>0</v>
      </c>
      <c r="AC122" s="355">
        <v>0</v>
      </c>
      <c r="AD122" s="355">
        <v>0</v>
      </c>
      <c r="AE122" s="355">
        <v>0</v>
      </c>
      <c r="AF122" s="355">
        <v>0</v>
      </c>
      <c r="AG122" s="355">
        <v>0</v>
      </c>
      <c r="AH122" s="355">
        <v>0</v>
      </c>
      <c r="AI122" s="355">
        <v>0</v>
      </c>
      <c r="AJ122" s="355">
        <v>0</v>
      </c>
      <c r="AK122" s="355">
        <v>0</v>
      </c>
      <c r="AL122" s="355">
        <v>0</v>
      </c>
      <c r="AM122" s="61"/>
      <c r="AN122" s="61"/>
      <c r="AO122" s="61"/>
      <c r="AP122" s="61"/>
      <c r="AR122" s="25"/>
      <c r="AS122" s="355"/>
      <c r="AT122" s="18"/>
      <c r="AU122" s="355"/>
      <c r="AV122" s="18"/>
      <c r="AW122" s="355"/>
      <c r="AX122" s="172"/>
      <c r="AY122" s="172"/>
      <c r="AZ122" s="172"/>
      <c r="BA122" s="353"/>
      <c r="BB122" s="172"/>
      <c r="BC122" s="355"/>
      <c r="BE122" s="25"/>
      <c r="BF122" s="355"/>
      <c r="BG122" s="18"/>
      <c r="BH122" s="355"/>
      <c r="BI122" s="18"/>
      <c r="BJ122" s="355"/>
      <c r="BK122" s="172"/>
      <c r="BL122" s="172"/>
      <c r="BM122" s="172"/>
      <c r="BN122" s="172"/>
      <c r="BO122" s="172"/>
      <c r="BP122" s="355"/>
    </row>
    <row r="123" spans="27:68">
      <c r="AA123" s="25">
        <v>2008</v>
      </c>
      <c r="AB123" s="355">
        <v>0</v>
      </c>
      <c r="AC123" s="355">
        <v>0</v>
      </c>
      <c r="AD123" s="355">
        <v>0</v>
      </c>
      <c r="AE123" s="355">
        <v>0</v>
      </c>
      <c r="AF123" s="355">
        <v>0</v>
      </c>
      <c r="AG123" s="355">
        <v>0</v>
      </c>
      <c r="AH123" s="355">
        <v>0</v>
      </c>
      <c r="AI123" s="355">
        <v>0</v>
      </c>
      <c r="AJ123" s="355">
        <v>0</v>
      </c>
      <c r="AK123" s="355">
        <v>0</v>
      </c>
      <c r="AL123" s="355">
        <v>0</v>
      </c>
      <c r="AM123" s="61"/>
      <c r="AN123" s="61"/>
      <c r="AO123" s="61"/>
      <c r="AP123" s="61"/>
      <c r="AR123" s="25"/>
      <c r="AS123" s="355"/>
      <c r="AT123" s="18"/>
      <c r="AU123" s="355"/>
      <c r="AV123" s="18"/>
      <c r="AW123" s="355"/>
      <c r="AX123" s="172"/>
      <c r="AY123" s="172"/>
      <c r="AZ123" s="172"/>
      <c r="BA123" s="353"/>
      <c r="BB123" s="172"/>
      <c r="BC123" s="355"/>
      <c r="BE123" s="25"/>
      <c r="BF123" s="355"/>
      <c r="BG123" s="18"/>
      <c r="BH123" s="355"/>
      <c r="BI123" s="18"/>
      <c r="BJ123" s="355"/>
      <c r="BK123" s="172"/>
      <c r="BL123" s="172"/>
      <c r="BM123" s="172"/>
      <c r="BN123" s="172"/>
      <c r="BO123" s="172"/>
      <c r="BP123" s="355"/>
    </row>
    <row r="124" spans="27:68">
      <c r="AA124" s="25">
        <v>2009</v>
      </c>
      <c r="AB124" s="355">
        <v>0</v>
      </c>
      <c r="AC124" s="355">
        <v>0</v>
      </c>
      <c r="AD124" s="355">
        <v>0</v>
      </c>
      <c r="AE124" s="355">
        <v>0</v>
      </c>
      <c r="AF124" s="355">
        <v>0</v>
      </c>
      <c r="AG124" s="355">
        <v>0</v>
      </c>
      <c r="AH124" s="355">
        <v>0</v>
      </c>
      <c r="AI124" s="355">
        <v>0</v>
      </c>
      <c r="AJ124" s="355">
        <v>0</v>
      </c>
      <c r="AK124" s="355">
        <v>0</v>
      </c>
      <c r="AL124" s="355">
        <v>0</v>
      </c>
      <c r="AM124" s="61"/>
      <c r="AN124" s="61"/>
      <c r="AO124" s="61"/>
      <c r="AP124" s="61"/>
      <c r="AR124" s="25"/>
      <c r="AS124" s="355"/>
      <c r="AT124" s="18"/>
      <c r="AU124" s="355"/>
      <c r="AV124" s="18"/>
      <c r="AW124" s="355"/>
      <c r="AX124" s="172"/>
      <c r="AY124" s="172"/>
      <c r="AZ124" s="172"/>
      <c r="BA124" s="353"/>
      <c r="BB124" s="172"/>
      <c r="BC124" s="355"/>
      <c r="BE124" s="25"/>
      <c r="BF124" s="355"/>
      <c r="BG124" s="18"/>
      <c r="BH124" s="355"/>
      <c r="BI124" s="18"/>
      <c r="BJ124" s="355"/>
      <c r="BK124" s="172"/>
      <c r="BL124" s="172"/>
      <c r="BM124" s="172"/>
      <c r="BN124" s="172"/>
      <c r="BO124" s="172"/>
      <c r="BP124" s="355"/>
    </row>
    <row r="125" spans="27:68">
      <c r="AA125" s="25">
        <v>2010</v>
      </c>
      <c r="AB125" s="355">
        <v>0</v>
      </c>
      <c r="AC125" s="355">
        <v>0</v>
      </c>
      <c r="AD125" s="355">
        <v>0</v>
      </c>
      <c r="AE125" s="355">
        <v>0</v>
      </c>
      <c r="AF125" s="355">
        <v>0</v>
      </c>
      <c r="AG125" s="355">
        <v>0</v>
      </c>
      <c r="AH125" s="355">
        <v>0</v>
      </c>
      <c r="AI125" s="355">
        <v>0</v>
      </c>
      <c r="AJ125" s="355">
        <v>0</v>
      </c>
      <c r="AK125" s="355">
        <v>0</v>
      </c>
      <c r="AL125" s="355">
        <v>0</v>
      </c>
      <c r="AM125" s="61"/>
      <c r="AN125" s="61"/>
      <c r="AO125" s="61"/>
      <c r="AP125" s="61"/>
      <c r="AR125" s="25"/>
      <c r="AS125" s="355"/>
      <c r="AT125" s="18"/>
      <c r="AU125" s="355"/>
      <c r="AV125" s="18"/>
      <c r="AW125" s="355"/>
      <c r="AX125" s="172"/>
      <c r="AY125" s="172"/>
      <c r="AZ125" s="172"/>
      <c r="BA125" s="353"/>
      <c r="BB125" s="172"/>
      <c r="BC125" s="355"/>
      <c r="BE125" s="25"/>
      <c r="BF125" s="355"/>
      <c r="BG125" s="18"/>
      <c r="BH125" s="355"/>
      <c r="BI125" s="18"/>
      <c r="BJ125" s="355"/>
      <c r="BK125" s="172"/>
      <c r="BL125" s="172"/>
      <c r="BM125" s="172"/>
      <c r="BN125" s="172"/>
      <c r="BO125" s="172"/>
      <c r="BP125" s="355"/>
    </row>
    <row r="126" spans="27:68">
      <c r="AA126" s="25">
        <v>2011</v>
      </c>
      <c r="AB126" s="355">
        <v>314168.08999999985</v>
      </c>
      <c r="AC126" s="355">
        <v>0</v>
      </c>
      <c r="AD126" s="355">
        <v>0</v>
      </c>
      <c r="AE126" s="355">
        <v>0</v>
      </c>
      <c r="AF126" s="355">
        <v>0</v>
      </c>
      <c r="AG126" s="355">
        <v>547938.45000000019</v>
      </c>
      <c r="AH126" s="355">
        <v>0</v>
      </c>
      <c r="AI126" s="355">
        <v>0</v>
      </c>
      <c r="AJ126" s="355">
        <v>0</v>
      </c>
      <c r="AK126" s="355">
        <v>0</v>
      </c>
      <c r="AL126" s="355">
        <v>862106.53999999538</v>
      </c>
      <c r="AM126" s="61"/>
      <c r="AN126" s="61"/>
      <c r="AO126" s="61"/>
      <c r="AP126" s="61"/>
      <c r="AR126" s="25"/>
      <c r="AS126" s="355"/>
      <c r="AT126" s="18"/>
      <c r="AU126" s="355"/>
      <c r="AV126" s="18"/>
      <c r="AW126" s="355"/>
      <c r="AX126" s="172"/>
      <c r="AY126" s="172"/>
      <c r="AZ126" s="172"/>
      <c r="BA126" s="353"/>
      <c r="BB126" s="61"/>
      <c r="BC126" s="355"/>
      <c r="BE126" s="25"/>
      <c r="BF126" s="355"/>
      <c r="BG126" s="18"/>
      <c r="BH126" s="355"/>
      <c r="BI126" s="18"/>
      <c r="BJ126" s="355"/>
      <c r="BK126" s="172"/>
      <c r="BL126" s="172"/>
      <c r="BM126" s="172"/>
      <c r="BN126" s="172"/>
      <c r="BO126" s="61"/>
      <c r="BP126" s="355"/>
    </row>
    <row r="127" spans="27:68">
      <c r="AA127" s="25">
        <v>2012</v>
      </c>
      <c r="AB127" s="355">
        <v>1993985.0099999998</v>
      </c>
      <c r="AC127" s="355">
        <v>750000</v>
      </c>
      <c r="AD127" s="355">
        <v>501968.71000000008</v>
      </c>
      <c r="AE127" s="355">
        <v>0</v>
      </c>
      <c r="AF127" s="355">
        <v>0</v>
      </c>
      <c r="AG127" s="355">
        <v>2385752.3199999984</v>
      </c>
      <c r="AH127" s="355">
        <v>0</v>
      </c>
      <c r="AI127" s="355">
        <v>0</v>
      </c>
      <c r="AJ127" s="355">
        <v>0</v>
      </c>
      <c r="AK127" s="355">
        <v>0</v>
      </c>
      <c r="AL127" s="355">
        <v>5631706.0399999917</v>
      </c>
      <c r="AM127" s="61"/>
      <c r="AN127" s="61"/>
      <c r="AO127" s="61"/>
      <c r="AP127" s="61"/>
      <c r="AR127" s="25"/>
      <c r="AS127" s="355"/>
      <c r="AT127" s="18"/>
      <c r="AU127" s="355"/>
      <c r="AV127" s="18"/>
      <c r="AW127" s="355"/>
      <c r="AX127" s="172"/>
      <c r="AY127" s="172"/>
      <c r="AZ127" s="172"/>
      <c r="BA127" s="353"/>
      <c r="BB127" s="61"/>
      <c r="BC127" s="355"/>
      <c r="BE127" s="25"/>
      <c r="BF127" s="355"/>
      <c r="BG127" s="18"/>
      <c r="BH127" s="355"/>
      <c r="BI127" s="18"/>
      <c r="BJ127" s="355"/>
      <c r="BK127" s="172"/>
      <c r="BL127" s="172"/>
      <c r="BM127" s="172"/>
      <c r="BN127" s="172"/>
      <c r="BO127" s="61"/>
      <c r="BP127" s="355"/>
    </row>
    <row r="128" spans="27:68">
      <c r="AA128" s="25">
        <v>2013</v>
      </c>
      <c r="AB128" s="355">
        <v>2000</v>
      </c>
      <c r="AC128" s="355">
        <v>0</v>
      </c>
      <c r="AD128" s="355">
        <v>251000</v>
      </c>
      <c r="AE128" s="355">
        <v>0</v>
      </c>
      <c r="AF128" s="355">
        <v>0</v>
      </c>
      <c r="AG128" s="355">
        <v>6696852.7600000016</v>
      </c>
      <c r="AH128" s="355">
        <v>0</v>
      </c>
      <c r="AI128" s="355">
        <v>0</v>
      </c>
      <c r="AJ128" s="355">
        <v>0</v>
      </c>
      <c r="AK128" s="355">
        <v>0</v>
      </c>
      <c r="AL128" s="355">
        <v>6949852.7599999979</v>
      </c>
      <c r="AM128" s="61"/>
      <c r="AN128" s="61"/>
      <c r="AO128" s="61"/>
      <c r="AP128" s="61"/>
      <c r="AR128" s="25"/>
      <c r="AS128" s="355"/>
      <c r="AT128" s="18"/>
      <c r="AU128" s="355"/>
      <c r="AV128" s="18"/>
      <c r="AW128" s="355"/>
      <c r="AX128" s="172"/>
      <c r="AY128" s="172"/>
      <c r="AZ128" s="172"/>
      <c r="BA128" s="353"/>
      <c r="BB128" s="61"/>
      <c r="BC128" s="355"/>
      <c r="BE128" s="25"/>
      <c r="BF128" s="355"/>
      <c r="BG128" s="18"/>
      <c r="BH128" s="355"/>
      <c r="BI128" s="18"/>
      <c r="BJ128" s="355"/>
      <c r="BK128" s="172"/>
      <c r="BL128" s="172"/>
      <c r="BM128" s="172"/>
      <c r="BN128" s="172"/>
      <c r="BO128" s="61"/>
      <c r="BP128" s="355"/>
    </row>
    <row r="129" spans="27:68">
      <c r="AA129" s="25">
        <v>2014</v>
      </c>
      <c r="AB129" s="355">
        <v>1032786.6300000008</v>
      </c>
      <c r="AC129" s="355">
        <v>999999.99999999907</v>
      </c>
      <c r="AD129" s="355">
        <v>0</v>
      </c>
      <c r="AE129" s="355">
        <v>0</v>
      </c>
      <c r="AF129" s="355">
        <v>250000</v>
      </c>
      <c r="AG129" s="355">
        <v>6259325.0899999999</v>
      </c>
      <c r="AH129" s="355">
        <v>0</v>
      </c>
      <c r="AI129" s="355">
        <v>0</v>
      </c>
      <c r="AJ129" s="355">
        <v>123616.2325</v>
      </c>
      <c r="AK129" s="355">
        <v>0</v>
      </c>
      <c r="AL129" s="355">
        <v>8665727.9525000006</v>
      </c>
      <c r="AM129" s="61"/>
      <c r="AN129" s="61"/>
      <c r="AO129" s="61"/>
      <c r="AP129" s="61"/>
      <c r="AR129" s="61"/>
      <c r="AS129" s="61"/>
      <c r="AT129" s="233"/>
      <c r="AU129" s="172"/>
      <c r="AV129" s="233"/>
      <c r="AW129" s="172"/>
      <c r="AX129" s="233"/>
      <c r="AY129" s="172"/>
      <c r="AZ129" s="233"/>
      <c r="BA129" s="233"/>
      <c r="BB129" s="61"/>
      <c r="BC129" s="233"/>
      <c r="BE129" s="61"/>
      <c r="BF129" s="61"/>
      <c r="BG129" s="233"/>
      <c r="BH129" s="172"/>
      <c r="BI129" s="233"/>
      <c r="BJ129" s="233"/>
      <c r="BK129" s="233"/>
      <c r="BL129" s="172"/>
      <c r="BM129" s="233"/>
      <c r="BN129" s="233"/>
      <c r="BO129" s="61"/>
      <c r="BP129" s="233"/>
    </row>
    <row r="130" spans="27:68">
      <c r="AA130" s="25">
        <v>2015</v>
      </c>
      <c r="AB130" s="355">
        <v>1317684.58</v>
      </c>
      <c r="AC130" s="355">
        <v>1000000</v>
      </c>
      <c r="AD130" s="355">
        <v>0</v>
      </c>
      <c r="AE130" s="355">
        <v>0</v>
      </c>
      <c r="AF130" s="355">
        <v>874916.96</v>
      </c>
      <c r="AG130" s="355">
        <v>2457485.2399999998</v>
      </c>
      <c r="AH130" s="355">
        <v>0</v>
      </c>
      <c r="AI130" s="355">
        <v>0</v>
      </c>
      <c r="AJ130" s="355">
        <v>0</v>
      </c>
      <c r="AK130" s="355">
        <v>0</v>
      </c>
      <c r="AL130" s="355">
        <v>5650086.7800000086</v>
      </c>
      <c r="AM130" s="61"/>
      <c r="AN130" s="61"/>
      <c r="AO130" s="61"/>
      <c r="AP130" s="61"/>
      <c r="AR130" s="97"/>
      <c r="AS130" s="223"/>
      <c r="AT130" s="223"/>
      <c r="AU130" s="223"/>
      <c r="AV130" s="223"/>
      <c r="AW130" s="223"/>
      <c r="AX130" s="223"/>
      <c r="AY130" s="223"/>
      <c r="AZ130" s="223"/>
      <c r="BA130" s="223"/>
      <c r="BB130" s="223"/>
      <c r="BC130" s="223"/>
      <c r="BE130" s="97"/>
      <c r="BF130" s="223"/>
      <c r="BG130" s="223"/>
      <c r="BH130" s="223"/>
      <c r="BI130" s="223"/>
      <c r="BJ130" s="223"/>
      <c r="BK130" s="223"/>
      <c r="BL130" s="223"/>
      <c r="BM130" s="223"/>
      <c r="BN130" s="223"/>
      <c r="BO130" s="223"/>
      <c r="BP130" s="223"/>
    </row>
    <row r="131" spans="27:68">
      <c r="AA131" s="25">
        <v>2016</v>
      </c>
      <c r="AB131" s="355">
        <v>1589208.6899999995</v>
      </c>
      <c r="AC131" s="355">
        <v>1199999.9999999991</v>
      </c>
      <c r="AD131" s="355">
        <v>1494894.3699999999</v>
      </c>
      <c r="AE131" s="355">
        <v>1000000.0000000002</v>
      </c>
      <c r="AF131" s="355">
        <v>333540.39999999991</v>
      </c>
      <c r="AG131" s="355">
        <v>5035254.5999999996</v>
      </c>
      <c r="AH131" s="355">
        <v>0</v>
      </c>
      <c r="AI131" s="355">
        <v>0</v>
      </c>
      <c r="AJ131" s="355">
        <v>1936394.0629999992</v>
      </c>
      <c r="AK131" s="355">
        <v>0</v>
      </c>
      <c r="AL131" s="355">
        <v>12589292.122999996</v>
      </c>
      <c r="AM131" s="61"/>
      <c r="AN131" s="61"/>
      <c r="AO131" s="61"/>
      <c r="AP131" s="61"/>
      <c r="AR131" s="61"/>
      <c r="AS131" s="61"/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</row>
    <row r="132" spans="27:68">
      <c r="AA132" s="25">
        <v>2017</v>
      </c>
      <c r="AB132" s="355">
        <v>2086050.4200000004</v>
      </c>
      <c r="AC132" s="355">
        <v>1499999.9999999995</v>
      </c>
      <c r="AD132" s="355">
        <v>169147.93</v>
      </c>
      <c r="AE132" s="355">
        <v>0</v>
      </c>
      <c r="AF132" s="355">
        <v>82036.12</v>
      </c>
      <c r="AG132" s="355">
        <v>1191642.8199999998</v>
      </c>
      <c r="AH132" s="355">
        <v>0</v>
      </c>
      <c r="AI132" s="355">
        <v>677677.42699999991</v>
      </c>
      <c r="AJ132" s="355">
        <v>858634.6240000003</v>
      </c>
      <c r="AK132" s="355">
        <v>0</v>
      </c>
      <c r="AL132" s="355">
        <v>6565189.3410000019</v>
      </c>
      <c r="AM132" s="61"/>
      <c r="AN132" s="61"/>
      <c r="AO132" s="61"/>
      <c r="AP132" s="61"/>
      <c r="AT132" s="19"/>
      <c r="AV132" s="19"/>
      <c r="AW132" s="19"/>
      <c r="AX132" s="19"/>
      <c r="AZ132" s="19"/>
      <c r="BA132" s="19"/>
      <c r="BC132" s="19"/>
      <c r="BG132" s="160"/>
      <c r="BH132" s="61"/>
      <c r="BI132" s="223"/>
      <c r="BJ132" s="223"/>
      <c r="BK132" s="223"/>
      <c r="BL132" s="61"/>
      <c r="BM132" s="223"/>
      <c r="BN132" s="223"/>
      <c r="BO132" s="61"/>
      <c r="BP132" s="223"/>
    </row>
    <row r="133" spans="27:68">
      <c r="AA133" s="25">
        <v>2018</v>
      </c>
      <c r="AB133" s="355">
        <v>2433721.06</v>
      </c>
      <c r="AC133" s="355">
        <v>500000.00000000047</v>
      </c>
      <c r="AD133" s="355">
        <v>252838.8</v>
      </c>
      <c r="AE133" s="355">
        <v>0</v>
      </c>
      <c r="AF133" s="355">
        <v>967187.50000000012</v>
      </c>
      <c r="AG133" s="355">
        <v>891448.51000000024</v>
      </c>
      <c r="AH133" s="355">
        <v>0</v>
      </c>
      <c r="AI133" s="355">
        <v>0</v>
      </c>
      <c r="AJ133" s="355">
        <v>889666.18400000129</v>
      </c>
      <c r="AK133" s="355">
        <v>0</v>
      </c>
      <c r="AL133" s="355">
        <v>5934862.0540000014</v>
      </c>
      <c r="AM133" s="61"/>
      <c r="AN133" s="61"/>
      <c r="AO133" s="61"/>
      <c r="AP133" s="61"/>
    </row>
    <row r="134" spans="27:68">
      <c r="AA134" s="25">
        <v>2019</v>
      </c>
      <c r="AB134" s="355">
        <v>2755718.96</v>
      </c>
      <c r="AC134" s="355">
        <v>250000.00000000093</v>
      </c>
      <c r="AD134" s="355">
        <v>658141.61</v>
      </c>
      <c r="AE134" s="355">
        <v>500000</v>
      </c>
      <c r="AF134" s="355">
        <v>177442.81</v>
      </c>
      <c r="AG134" s="355">
        <v>614086.49</v>
      </c>
      <c r="AH134" s="355">
        <v>0</v>
      </c>
      <c r="AI134" s="355">
        <v>522029.35099999991</v>
      </c>
      <c r="AJ134" s="355">
        <v>300914.47600000026</v>
      </c>
      <c r="AK134" s="355">
        <v>0</v>
      </c>
      <c r="AL134" s="355">
        <v>5778333.6969999997</v>
      </c>
      <c r="AM134" s="61"/>
      <c r="AN134" s="61"/>
      <c r="AO134" s="61"/>
      <c r="AP134" s="61"/>
      <c r="BO134" s="61"/>
      <c r="BP134" s="223"/>
    </row>
    <row r="135" spans="27:68">
      <c r="AA135" s="25">
        <v>2020</v>
      </c>
      <c r="AB135" s="355">
        <v>928941.56999999983</v>
      </c>
      <c r="AC135" s="355">
        <v>0</v>
      </c>
      <c r="AD135" s="355">
        <v>0</v>
      </c>
      <c r="AE135" s="355">
        <v>0</v>
      </c>
      <c r="AF135" s="355">
        <v>196917.59</v>
      </c>
      <c r="AG135" s="355">
        <v>40417.5</v>
      </c>
      <c r="AH135" s="355">
        <v>0</v>
      </c>
      <c r="AI135" s="355">
        <v>109949.675</v>
      </c>
      <c r="AJ135" s="355">
        <v>0</v>
      </c>
      <c r="AK135" s="355">
        <v>0</v>
      </c>
      <c r="AL135" s="355">
        <v>1276226.335</v>
      </c>
      <c r="AM135" s="61"/>
      <c r="AN135" s="61"/>
      <c r="AO135" s="61"/>
      <c r="AP135" s="61"/>
    </row>
    <row r="136" spans="27:68"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</row>
    <row r="137" spans="27:68">
      <c r="AA137" s="97" t="s">
        <v>0</v>
      </c>
      <c r="AB137" s="223">
        <v>14663082.809999999</v>
      </c>
      <c r="AC137" s="223">
        <v>6199999.9999999991</v>
      </c>
      <c r="AD137" s="223">
        <v>3327991.42</v>
      </c>
      <c r="AE137" s="223">
        <v>1500000.0000000002</v>
      </c>
      <c r="AF137" s="354">
        <v>2882041.38</v>
      </c>
      <c r="AG137" s="223">
        <v>26120203.780000001</v>
      </c>
      <c r="AH137" s="223">
        <v>0</v>
      </c>
      <c r="AI137" s="223">
        <v>1309656.453</v>
      </c>
      <c r="AJ137" s="223">
        <v>4109225.5795000009</v>
      </c>
      <c r="AK137" s="223"/>
      <c r="AL137" s="223">
        <v>60112201.422499992</v>
      </c>
      <c r="AM137" s="61"/>
      <c r="AN137" s="223">
        <v>0</v>
      </c>
      <c r="AO137" s="61"/>
      <c r="AP137" s="61"/>
    </row>
    <row r="138" spans="27:68">
      <c r="AA138" s="97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</row>
  </sheetData>
  <printOptions horizontalCentered="1"/>
  <pageMargins left="0.7" right="0.7" top="0.75" bottom="0.75" header="0.3" footer="0.3"/>
  <pageSetup scale="55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FF0000"/>
    <pageSetUpPr fitToPage="1"/>
  </sheetPr>
  <dimension ref="A1:AK90"/>
  <sheetViews>
    <sheetView showOutlineSymbols="0" zoomScaleNormal="100" workbookViewId="0">
      <selection activeCell="I38" sqref="I38"/>
    </sheetView>
  </sheetViews>
  <sheetFormatPr baseColWidth="10" defaultColWidth="9.7109375" defaultRowHeight="15"/>
  <cols>
    <col min="1" max="1" width="10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2.7109375" style="1" customWidth="1"/>
    <col min="12" max="15" width="9.7109375" style="1"/>
    <col min="16" max="17" width="13.7109375" style="1" bestFit="1" customWidth="1"/>
    <col min="18" max="18" width="11.7109375" style="1" bestFit="1" customWidth="1"/>
    <col min="19" max="19" width="12.5703125" style="1" bestFit="1" customWidth="1"/>
    <col min="20" max="23" width="12.5703125" style="1" customWidth="1"/>
    <col min="24" max="37" width="12.7109375" style="1" customWidth="1"/>
    <col min="38" max="16384" width="9.7109375" style="1"/>
  </cols>
  <sheetData>
    <row r="1" spans="1:37">
      <c r="K1" s="52" t="s">
        <v>114</v>
      </c>
    </row>
    <row r="2" spans="1:37">
      <c r="K2" s="64" t="s">
        <v>56</v>
      </c>
    </row>
    <row r="4" spans="1:37" s="140" customFormat="1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37" s="140" customFormat="1">
      <c r="C5" s="504"/>
    </row>
    <row r="6" spans="1:37" s="140" customFormat="1">
      <c r="A6" s="5" t="s">
        <v>110</v>
      </c>
      <c r="B6" s="5"/>
      <c r="C6" s="201"/>
      <c r="D6" s="201"/>
      <c r="E6" s="201"/>
      <c r="F6" s="201"/>
      <c r="G6" s="201"/>
      <c r="H6" s="201"/>
      <c r="I6" s="201"/>
      <c r="J6" s="201"/>
      <c r="K6" s="201"/>
    </row>
    <row r="7" spans="1:37" s="140" customFormat="1">
      <c r="A7" s="5" t="s">
        <v>77</v>
      </c>
      <c r="B7" s="5"/>
      <c r="C7" s="201"/>
      <c r="D7" s="201"/>
      <c r="E7" s="201"/>
      <c r="F7" s="201"/>
      <c r="G7" s="201"/>
      <c r="H7" s="201"/>
      <c r="I7" s="201"/>
      <c r="J7" s="201"/>
      <c r="K7" s="201"/>
    </row>
    <row r="8" spans="1:37" s="140" customFormat="1">
      <c r="T8" s="25" t="s">
        <v>1385</v>
      </c>
      <c r="W8" s="25" t="s">
        <v>703</v>
      </c>
      <c r="AC8" s="25" t="s">
        <v>703</v>
      </c>
      <c r="AD8" s="25" t="s">
        <v>703</v>
      </c>
      <c r="AH8" s="25" t="s">
        <v>703</v>
      </c>
      <c r="AI8" s="25" t="s">
        <v>703</v>
      </c>
      <c r="AJ8" s="25"/>
      <c r="AK8" s="25"/>
    </row>
    <row r="9" spans="1:37" s="140" customFormat="1">
      <c r="P9" s="25" t="s">
        <v>718</v>
      </c>
      <c r="Q9" s="25" t="s">
        <v>718</v>
      </c>
      <c r="R9" s="25" t="s">
        <v>279</v>
      </c>
      <c r="S9" s="25" t="s">
        <v>279</v>
      </c>
      <c r="T9" s="25" t="s">
        <v>9</v>
      </c>
      <c r="U9" s="25" t="s">
        <v>1766</v>
      </c>
      <c r="V9" s="25" t="s">
        <v>703</v>
      </c>
      <c r="W9" s="25" t="s">
        <v>9</v>
      </c>
      <c r="X9" s="25" t="s">
        <v>718</v>
      </c>
      <c r="Y9" s="25" t="s">
        <v>718</v>
      </c>
      <c r="Z9" s="25" t="s">
        <v>279</v>
      </c>
      <c r="AA9" s="25" t="s">
        <v>279</v>
      </c>
      <c r="AB9" s="25" t="s">
        <v>1385</v>
      </c>
      <c r="AC9" s="25" t="s">
        <v>9</v>
      </c>
      <c r="AD9" s="25" t="s">
        <v>9</v>
      </c>
      <c r="AE9" s="25" t="s">
        <v>703</v>
      </c>
      <c r="AF9" s="25" t="s">
        <v>1385</v>
      </c>
      <c r="AG9" s="25" t="s">
        <v>1385</v>
      </c>
      <c r="AH9" s="25" t="s">
        <v>17</v>
      </c>
      <c r="AI9" s="25" t="s">
        <v>17</v>
      </c>
      <c r="AJ9" s="25" t="s">
        <v>1769</v>
      </c>
      <c r="AK9" s="25"/>
    </row>
    <row r="10" spans="1:37">
      <c r="I10" s="61"/>
      <c r="O10" s="25"/>
      <c r="P10" s="25" t="s">
        <v>5</v>
      </c>
      <c r="Q10" s="25" t="s">
        <v>719</v>
      </c>
      <c r="R10" s="25" t="s">
        <v>5</v>
      </c>
      <c r="S10" s="25" t="s">
        <v>395</v>
      </c>
      <c r="T10" s="25" t="s">
        <v>0</v>
      </c>
      <c r="U10" s="25" t="s">
        <v>5</v>
      </c>
      <c r="V10" s="25" t="s">
        <v>395</v>
      </c>
      <c r="W10" s="25" t="s">
        <v>0</v>
      </c>
      <c r="X10" s="25" t="s">
        <v>5</v>
      </c>
      <c r="Y10" s="25" t="s">
        <v>719</v>
      </c>
      <c r="Z10" s="25" t="s">
        <v>5</v>
      </c>
      <c r="AA10" s="25" t="s">
        <v>395</v>
      </c>
      <c r="AB10" s="25" t="s">
        <v>9</v>
      </c>
      <c r="AC10" s="25" t="s">
        <v>5</v>
      </c>
      <c r="AD10" s="25" t="s">
        <v>395</v>
      </c>
      <c r="AE10" s="25" t="s">
        <v>9</v>
      </c>
      <c r="AF10" s="25" t="s">
        <v>1767</v>
      </c>
      <c r="AG10" s="25" t="s">
        <v>1767</v>
      </c>
      <c r="AH10" s="25" t="s">
        <v>5</v>
      </c>
      <c r="AI10" s="25" t="s">
        <v>395</v>
      </c>
      <c r="AJ10" s="25" t="s">
        <v>1770</v>
      </c>
      <c r="AK10" s="25"/>
    </row>
    <row r="11" spans="1:37">
      <c r="A11" s="2"/>
      <c r="C11" s="18"/>
      <c r="E11" s="18"/>
      <c r="G11" s="18"/>
      <c r="I11" s="292"/>
      <c r="K11" s="292"/>
      <c r="O11" s="25" t="s">
        <v>3</v>
      </c>
      <c r="P11" s="25" t="s">
        <v>848</v>
      </c>
      <c r="Q11" s="25" t="s">
        <v>848</v>
      </c>
      <c r="R11" s="25" t="s">
        <v>848</v>
      </c>
      <c r="S11" s="25" t="s">
        <v>848</v>
      </c>
      <c r="U11" s="25" t="s">
        <v>848</v>
      </c>
      <c r="V11" s="25" t="s">
        <v>848</v>
      </c>
      <c r="AB11" s="25" t="s">
        <v>0</v>
      </c>
      <c r="AE11" s="25" t="s">
        <v>0</v>
      </c>
      <c r="AF11" s="25" t="s">
        <v>5</v>
      </c>
      <c r="AG11" s="25" t="s">
        <v>395</v>
      </c>
      <c r="AJ11" s="25" t="s">
        <v>9</v>
      </c>
      <c r="AK11" s="140"/>
    </row>
    <row r="12" spans="1:37">
      <c r="A12" s="2"/>
      <c r="C12" s="2" t="s">
        <v>155</v>
      </c>
      <c r="E12" s="6" t="s">
        <v>111</v>
      </c>
      <c r="F12" s="6"/>
      <c r="G12" s="18"/>
      <c r="K12" s="292"/>
      <c r="O12" s="25" t="s">
        <v>4</v>
      </c>
      <c r="P12" s="25" t="s">
        <v>1664</v>
      </c>
      <c r="Q12" s="25" t="s">
        <v>720</v>
      </c>
      <c r="R12" s="25" t="s">
        <v>720</v>
      </c>
      <c r="S12" s="25" t="s">
        <v>720</v>
      </c>
      <c r="T12" s="25" t="s">
        <v>720</v>
      </c>
      <c r="U12" s="25" t="s">
        <v>720</v>
      </c>
      <c r="V12" s="25" t="s">
        <v>720</v>
      </c>
      <c r="W12" s="25" t="s">
        <v>720</v>
      </c>
      <c r="X12" s="25" t="s">
        <v>1771</v>
      </c>
      <c r="Y12" s="25" t="s">
        <v>1771</v>
      </c>
      <c r="Z12" s="25" t="s">
        <v>1771</v>
      </c>
      <c r="AA12" s="25" t="s">
        <v>1771</v>
      </c>
      <c r="AB12" s="25" t="s">
        <v>1771</v>
      </c>
      <c r="AC12" s="25" t="s">
        <v>1771</v>
      </c>
      <c r="AD12" s="25" t="s">
        <v>1771</v>
      </c>
      <c r="AE12" s="25" t="s">
        <v>1771</v>
      </c>
      <c r="AF12" s="25" t="s">
        <v>1771</v>
      </c>
      <c r="AG12" s="25" t="s">
        <v>1771</v>
      </c>
      <c r="AH12" s="25" t="s">
        <v>1771</v>
      </c>
      <c r="AI12" s="25" t="s">
        <v>1771</v>
      </c>
      <c r="AJ12" s="25" t="s">
        <v>1771</v>
      </c>
      <c r="AK12" s="140"/>
    </row>
    <row r="13" spans="1:37">
      <c r="A13" s="2"/>
      <c r="C13" s="6" t="s">
        <v>4</v>
      </c>
      <c r="E13" s="6" t="s">
        <v>55</v>
      </c>
      <c r="F13" s="6"/>
      <c r="G13" s="6" t="s">
        <v>113</v>
      </c>
      <c r="I13" s="2" t="s">
        <v>109</v>
      </c>
      <c r="K13" s="292"/>
      <c r="O13" s="293">
        <v>-5</v>
      </c>
      <c r="P13" s="293">
        <v>-6</v>
      </c>
      <c r="Q13" s="293">
        <v>-7</v>
      </c>
      <c r="R13" s="293">
        <v>-8</v>
      </c>
      <c r="S13" s="293">
        <v>-9</v>
      </c>
      <c r="T13" s="293">
        <v>-10</v>
      </c>
      <c r="U13" s="293">
        <f>T13-1</f>
        <v>-11</v>
      </c>
      <c r="V13" s="293">
        <f t="shared" ref="V13:AI13" si="0">U13-1</f>
        <v>-12</v>
      </c>
      <c r="W13" s="293">
        <f t="shared" si="0"/>
        <v>-13</v>
      </c>
      <c r="X13" s="293">
        <f t="shared" si="0"/>
        <v>-14</v>
      </c>
      <c r="Y13" s="293">
        <f t="shared" si="0"/>
        <v>-15</v>
      </c>
      <c r="Z13" s="293">
        <f t="shared" si="0"/>
        <v>-16</v>
      </c>
      <c r="AA13" s="293">
        <f t="shared" si="0"/>
        <v>-17</v>
      </c>
      <c r="AB13" s="293">
        <f t="shared" si="0"/>
        <v>-18</v>
      </c>
      <c r="AC13" s="293">
        <f t="shared" si="0"/>
        <v>-19</v>
      </c>
      <c r="AD13" s="293">
        <f t="shared" si="0"/>
        <v>-20</v>
      </c>
      <c r="AE13" s="293">
        <f t="shared" si="0"/>
        <v>-21</v>
      </c>
      <c r="AF13" s="293">
        <f t="shared" si="0"/>
        <v>-22</v>
      </c>
      <c r="AG13" s="293">
        <f t="shared" si="0"/>
        <v>-23</v>
      </c>
      <c r="AH13" s="293">
        <f t="shared" si="0"/>
        <v>-24</v>
      </c>
      <c r="AI13" s="293">
        <f t="shared" si="0"/>
        <v>-25</v>
      </c>
      <c r="AJ13" s="293">
        <f>AI13-1</f>
        <v>-26</v>
      </c>
      <c r="AK13" s="140"/>
    </row>
    <row r="14" spans="1:37">
      <c r="A14" s="2"/>
      <c r="C14" s="118" t="s">
        <v>27</v>
      </c>
      <c r="E14" s="118" t="s">
        <v>33</v>
      </c>
      <c r="F14" s="6"/>
      <c r="G14" s="118" t="s">
        <v>36</v>
      </c>
      <c r="I14" s="118" t="s">
        <v>38</v>
      </c>
      <c r="K14" s="292"/>
      <c r="O14" s="61"/>
      <c r="P14" s="61"/>
      <c r="Q14" s="61"/>
      <c r="R14" s="61"/>
      <c r="S14" s="61"/>
      <c r="T14" s="61"/>
      <c r="U14" s="61"/>
      <c r="V14" s="61"/>
      <c r="W14" s="61"/>
      <c r="X14" s="61"/>
      <c r="AJ14" s="140"/>
      <c r="AK14" s="140"/>
    </row>
    <row r="15" spans="1:37">
      <c r="A15" s="2"/>
      <c r="C15" s="18"/>
      <c r="E15" s="18"/>
      <c r="G15" s="18"/>
      <c r="I15" s="292"/>
      <c r="K15" s="292"/>
      <c r="O15" s="97" t="s">
        <v>2</v>
      </c>
      <c r="P15" s="61"/>
      <c r="Q15" s="61"/>
      <c r="R15" s="61"/>
      <c r="S15" s="61"/>
      <c r="T15" s="61"/>
      <c r="U15" s="61"/>
      <c r="V15" s="61"/>
      <c r="W15" s="61"/>
      <c r="X15" s="61"/>
    </row>
    <row r="16" spans="1:37">
      <c r="A16" s="2"/>
      <c r="C16" s="6">
        <v>2008</v>
      </c>
      <c r="E16" s="18">
        <v>34335000</v>
      </c>
      <c r="F16" s="18"/>
      <c r="G16" s="18">
        <v>909000</v>
      </c>
      <c r="I16" s="292">
        <f>G16/E16</f>
        <v>2.6474442988204457E-2</v>
      </c>
      <c r="K16" s="292"/>
      <c r="O16" s="25">
        <v>1994</v>
      </c>
      <c r="P16" s="122">
        <f>'Exhibit K,1'!G16-('Exhibit N,3'!I16+'Exhibit O,3'!I16)</f>
        <v>0</v>
      </c>
      <c r="Q16" s="122">
        <f>'Exhibit K,1'!M16-('Exhibit L,3'!I16+'Exhibit M,3'!I16)</f>
        <v>0</v>
      </c>
      <c r="R16" s="122">
        <v>0</v>
      </c>
      <c r="S16" s="122">
        <v>0</v>
      </c>
      <c r="T16" s="122">
        <f t="shared" ref="T16:T44" si="1">SUM(P16:S16)</f>
        <v>0</v>
      </c>
      <c r="U16" s="122"/>
      <c r="V16" s="122"/>
      <c r="W16" s="122">
        <f>U16+V16</f>
        <v>0</v>
      </c>
      <c r="X16" s="160">
        <f t="shared" ref="X16:X44" si="2">P16*$AB$46/$T$46</f>
        <v>0</v>
      </c>
      <c r="Y16" s="160">
        <f t="shared" ref="Y16:Y44" si="3">Q16*$AB$46/$T$46</f>
        <v>0</v>
      </c>
      <c r="Z16" s="160">
        <f t="shared" ref="Z16:Z44" si="4">R16*$AB$46/$T$46</f>
        <v>0</v>
      </c>
      <c r="AA16" s="160">
        <f t="shared" ref="AA16:AA44" si="5">S16*$AB$46/$T$46</f>
        <v>0</v>
      </c>
      <c r="AB16" s="160">
        <f>SUM(X16:AA16)</f>
        <v>0</v>
      </c>
      <c r="AC16" s="615">
        <f>U16/U$46*AC$47</f>
        <v>0</v>
      </c>
      <c r="AF16" s="235">
        <f>X16+Z16+0.95*AC16</f>
        <v>0</v>
      </c>
      <c r="AG16" s="235">
        <f>Y16+AA16+0.95*AD16</f>
        <v>0</v>
      </c>
      <c r="AH16" s="235">
        <f>0.05*AC16</f>
        <v>0</v>
      </c>
      <c r="AI16" s="235">
        <f>0.05*AD16</f>
        <v>0</v>
      </c>
      <c r="AJ16" s="160">
        <f>AB16+AE16</f>
        <v>0</v>
      </c>
    </row>
    <row r="17" spans="1:36">
      <c r="A17" s="2"/>
      <c r="C17" s="6">
        <f>C16+1</f>
        <v>2009</v>
      </c>
      <c r="E17" s="18">
        <v>39749000</v>
      </c>
      <c r="F17" s="18"/>
      <c r="G17" s="18">
        <v>968000</v>
      </c>
      <c r="I17" s="292">
        <f>G17/E17</f>
        <v>2.4352813907268109E-2</v>
      </c>
      <c r="K17" s="292"/>
      <c r="O17" s="25">
        <f>O16+1</f>
        <v>1995</v>
      </c>
      <c r="P17" s="137">
        <f>'Exhibit K,1'!G17-('Exhibit N,3'!I17+'Exhibit O,3'!I17)</f>
        <v>0</v>
      </c>
      <c r="Q17" s="137">
        <f>'Exhibit K,1'!M17-('Exhibit L,3'!I17+'Exhibit M,3'!I17)</f>
        <v>0</v>
      </c>
      <c r="R17" s="137">
        <v>0</v>
      </c>
      <c r="S17" s="137">
        <v>0</v>
      </c>
      <c r="T17" s="137">
        <f t="shared" si="1"/>
        <v>0</v>
      </c>
      <c r="U17" s="137"/>
      <c r="V17" s="137"/>
      <c r="W17" s="137">
        <f t="shared" ref="W17:W44" si="6">U17+V17</f>
        <v>0</v>
      </c>
      <c r="X17" s="137">
        <f t="shared" si="2"/>
        <v>0</v>
      </c>
      <c r="Y17" s="137">
        <f t="shared" si="3"/>
        <v>0</v>
      </c>
      <c r="Z17" s="137">
        <f t="shared" si="4"/>
        <v>0</v>
      </c>
      <c r="AA17" s="137">
        <f t="shared" si="5"/>
        <v>0</v>
      </c>
      <c r="AB17" s="137">
        <f t="shared" ref="AB17:AB44" si="7">SUM(X17:AA17)</f>
        <v>0</v>
      </c>
      <c r="AC17" s="69">
        <f t="shared" ref="AC17:AC32" si="8">U17/U$46*AC$47</f>
        <v>0</v>
      </c>
      <c r="AF17" s="69">
        <f t="shared" ref="AF17:AF44" si="9">X17+Z17+0.95*AC17</f>
        <v>0</v>
      </c>
      <c r="AG17" s="69">
        <f t="shared" ref="AG17:AG44" si="10">Y17+AA17+0.95*AD17</f>
        <v>0</v>
      </c>
      <c r="AH17" s="69">
        <f t="shared" ref="AH17:AH44" si="11">0.05*AC17</f>
        <v>0</v>
      </c>
      <c r="AI17" s="69">
        <f t="shared" ref="AI17:AI44" si="12">0.05*AD17</f>
        <v>0</v>
      </c>
      <c r="AJ17" s="69">
        <f t="shared" ref="AJ17:AJ44" si="13">AB17+AE17</f>
        <v>0</v>
      </c>
    </row>
    <row r="18" spans="1:36">
      <c r="A18" s="2"/>
      <c r="C18" s="6">
        <f t="shared" ref="C18:C30" si="14">C17+1</f>
        <v>2010</v>
      </c>
      <c r="E18" s="18">
        <v>20963000</v>
      </c>
      <c r="F18" s="18"/>
      <c r="G18" s="18">
        <v>1022000</v>
      </c>
      <c r="I18" s="292">
        <f t="shared" ref="I17:I31" si="15">G18/E18</f>
        <v>4.8752564041406286E-2</v>
      </c>
      <c r="K18" s="292"/>
      <c r="O18" s="25">
        <f t="shared" ref="O18:O44" si="16">O17+1</f>
        <v>1996</v>
      </c>
      <c r="P18" s="137">
        <f>'Exhibit K,1'!G18-('Exhibit N,3'!I18+'Exhibit O,3'!I18)</f>
        <v>0</v>
      </c>
      <c r="Q18" s="137">
        <f>'Exhibit K,1'!M18-('Exhibit L,3'!I18+'Exhibit M,3'!I18)</f>
        <v>0</v>
      </c>
      <c r="R18" s="137">
        <v>0</v>
      </c>
      <c r="S18" s="137">
        <v>0</v>
      </c>
      <c r="T18" s="137">
        <f t="shared" si="1"/>
        <v>0</v>
      </c>
      <c r="U18" s="137"/>
      <c r="V18" s="137"/>
      <c r="W18" s="137">
        <f t="shared" si="6"/>
        <v>0</v>
      </c>
      <c r="X18" s="137">
        <f t="shared" si="2"/>
        <v>0</v>
      </c>
      <c r="Y18" s="137">
        <f t="shared" si="3"/>
        <v>0</v>
      </c>
      <c r="Z18" s="137">
        <f t="shared" si="4"/>
        <v>0</v>
      </c>
      <c r="AA18" s="137">
        <f t="shared" si="5"/>
        <v>0</v>
      </c>
      <c r="AB18" s="137">
        <f t="shared" si="7"/>
        <v>0</v>
      </c>
      <c r="AC18" s="69">
        <f t="shared" si="8"/>
        <v>0</v>
      </c>
      <c r="AF18" s="69">
        <f t="shared" si="9"/>
        <v>0</v>
      </c>
      <c r="AG18" s="69">
        <f t="shared" si="10"/>
        <v>0</v>
      </c>
      <c r="AH18" s="69">
        <f t="shared" si="11"/>
        <v>0</v>
      </c>
      <c r="AI18" s="69">
        <f t="shared" si="12"/>
        <v>0</v>
      </c>
      <c r="AJ18" s="69">
        <f t="shared" si="13"/>
        <v>0</v>
      </c>
    </row>
    <row r="19" spans="1:36">
      <c r="A19" s="2"/>
      <c r="C19" s="6">
        <f t="shared" si="14"/>
        <v>2011</v>
      </c>
      <c r="E19" s="18">
        <v>27204000</v>
      </c>
      <c r="F19" s="18"/>
      <c r="G19" s="18">
        <v>843000</v>
      </c>
      <c r="I19" s="292">
        <f t="shared" si="15"/>
        <v>3.0988089986766651E-2</v>
      </c>
      <c r="K19" s="292"/>
      <c r="O19" s="25">
        <f t="shared" si="16"/>
        <v>1997</v>
      </c>
      <c r="P19" s="137">
        <f>'Exhibit K,1'!G19-('Exhibit N,3'!I19+'Exhibit O,3'!I19)</f>
        <v>0</v>
      </c>
      <c r="Q19" s="137">
        <f>'Exhibit K,1'!M19-('Exhibit L,3'!I19+'Exhibit M,3'!I19)</f>
        <v>0</v>
      </c>
      <c r="R19" s="137">
        <v>0</v>
      </c>
      <c r="S19" s="137">
        <v>0</v>
      </c>
      <c r="T19" s="137">
        <f t="shared" si="1"/>
        <v>0</v>
      </c>
      <c r="U19" s="137"/>
      <c r="V19" s="137"/>
      <c r="W19" s="137">
        <f t="shared" si="6"/>
        <v>0</v>
      </c>
      <c r="X19" s="137">
        <f t="shared" si="2"/>
        <v>0</v>
      </c>
      <c r="Y19" s="137">
        <f t="shared" si="3"/>
        <v>0</v>
      </c>
      <c r="Z19" s="137">
        <f t="shared" si="4"/>
        <v>0</v>
      </c>
      <c r="AA19" s="137">
        <f t="shared" si="5"/>
        <v>0</v>
      </c>
      <c r="AB19" s="137">
        <f t="shared" si="7"/>
        <v>0</v>
      </c>
      <c r="AC19" s="69">
        <f t="shared" si="8"/>
        <v>0</v>
      </c>
      <c r="AF19" s="69">
        <f t="shared" si="9"/>
        <v>0</v>
      </c>
      <c r="AG19" s="69">
        <f t="shared" si="10"/>
        <v>0</v>
      </c>
      <c r="AH19" s="69">
        <f t="shared" si="11"/>
        <v>0</v>
      </c>
      <c r="AI19" s="69">
        <f t="shared" si="12"/>
        <v>0</v>
      </c>
      <c r="AJ19" s="69">
        <f t="shared" si="13"/>
        <v>0</v>
      </c>
    </row>
    <row r="20" spans="1:36">
      <c r="A20" s="2"/>
      <c r="C20" s="6">
        <f t="shared" si="14"/>
        <v>2012</v>
      </c>
      <c r="E20" s="18">
        <v>24463000</v>
      </c>
      <c r="F20" s="18"/>
      <c r="G20" s="18">
        <v>922000</v>
      </c>
      <c r="I20" s="292">
        <f t="shared" si="15"/>
        <v>3.7689572006704003E-2</v>
      </c>
      <c r="K20" s="292"/>
      <c r="O20" s="25">
        <f t="shared" si="16"/>
        <v>1998</v>
      </c>
      <c r="P20" s="137">
        <f>'Exhibit K,1'!G20-('Exhibit N,3'!I20+'Exhibit O,3'!I20)</f>
        <v>0</v>
      </c>
      <c r="Q20" s="137">
        <f>'Exhibit K,1'!M20-('Exhibit L,3'!I20+'Exhibit M,3'!I20)</f>
        <v>0</v>
      </c>
      <c r="R20" s="137">
        <v>0</v>
      </c>
      <c r="S20" s="137">
        <v>0</v>
      </c>
      <c r="T20" s="137">
        <f t="shared" si="1"/>
        <v>0</v>
      </c>
      <c r="U20" s="137"/>
      <c r="V20" s="137"/>
      <c r="W20" s="137">
        <f t="shared" si="6"/>
        <v>0</v>
      </c>
      <c r="X20" s="137">
        <f t="shared" si="2"/>
        <v>0</v>
      </c>
      <c r="Y20" s="137">
        <f t="shared" si="3"/>
        <v>0</v>
      </c>
      <c r="Z20" s="137">
        <f t="shared" si="4"/>
        <v>0</v>
      </c>
      <c r="AA20" s="137">
        <f t="shared" si="5"/>
        <v>0</v>
      </c>
      <c r="AB20" s="137">
        <f t="shared" si="7"/>
        <v>0</v>
      </c>
      <c r="AC20" s="69">
        <f t="shared" si="8"/>
        <v>0</v>
      </c>
      <c r="AF20" s="69">
        <f t="shared" si="9"/>
        <v>0</v>
      </c>
      <c r="AG20" s="69">
        <f t="shared" si="10"/>
        <v>0</v>
      </c>
      <c r="AH20" s="69">
        <f t="shared" si="11"/>
        <v>0</v>
      </c>
      <c r="AI20" s="69">
        <f t="shared" si="12"/>
        <v>0</v>
      </c>
      <c r="AJ20" s="69">
        <f t="shared" si="13"/>
        <v>0</v>
      </c>
    </row>
    <row r="21" spans="1:36">
      <c r="A21" s="2"/>
      <c r="C21" s="6">
        <f t="shared" si="14"/>
        <v>2013</v>
      </c>
      <c r="E21" s="18">
        <v>20910000</v>
      </c>
      <c r="F21" s="18"/>
      <c r="G21" s="18">
        <v>919000</v>
      </c>
      <c r="I21" s="292">
        <f t="shared" si="15"/>
        <v>4.3950263032042088E-2</v>
      </c>
      <c r="K21" s="292"/>
      <c r="O21" s="25">
        <f t="shared" si="16"/>
        <v>1999</v>
      </c>
      <c r="P21" s="137">
        <f>'Exhibit K,1'!G21-('Exhibit N,3'!I21+'Exhibit O,3'!I21)</f>
        <v>0</v>
      </c>
      <c r="Q21" s="137">
        <f>'Exhibit K,1'!M21-('Exhibit L,3'!I21+'Exhibit M,3'!I21)</f>
        <v>0</v>
      </c>
      <c r="R21" s="137">
        <v>0</v>
      </c>
      <c r="S21" s="137">
        <v>0</v>
      </c>
      <c r="T21" s="137">
        <f t="shared" si="1"/>
        <v>0</v>
      </c>
      <c r="U21" s="137"/>
      <c r="V21" s="137"/>
      <c r="W21" s="137">
        <f t="shared" si="6"/>
        <v>0</v>
      </c>
      <c r="X21" s="137">
        <f t="shared" si="2"/>
        <v>0</v>
      </c>
      <c r="Y21" s="137">
        <f t="shared" si="3"/>
        <v>0</v>
      </c>
      <c r="Z21" s="137">
        <f t="shared" si="4"/>
        <v>0</v>
      </c>
      <c r="AA21" s="137">
        <f t="shared" si="5"/>
        <v>0</v>
      </c>
      <c r="AB21" s="137">
        <f t="shared" si="7"/>
        <v>0</v>
      </c>
      <c r="AC21" s="69">
        <f t="shared" si="8"/>
        <v>0</v>
      </c>
      <c r="AF21" s="69">
        <f t="shared" si="9"/>
        <v>0</v>
      </c>
      <c r="AG21" s="69">
        <f t="shared" si="10"/>
        <v>0</v>
      </c>
      <c r="AH21" s="69">
        <f t="shared" si="11"/>
        <v>0</v>
      </c>
      <c r="AI21" s="69">
        <f t="shared" si="12"/>
        <v>0</v>
      </c>
      <c r="AJ21" s="69">
        <f t="shared" si="13"/>
        <v>0</v>
      </c>
    </row>
    <row r="22" spans="1:36">
      <c r="A22" s="2"/>
      <c r="C22" s="6">
        <f t="shared" si="14"/>
        <v>2014</v>
      </c>
      <c r="E22" s="18">
        <v>12286000</v>
      </c>
      <c r="F22" s="18"/>
      <c r="G22" s="18">
        <v>850000</v>
      </c>
      <c r="I22" s="292">
        <f t="shared" si="15"/>
        <v>6.9184437571219268E-2</v>
      </c>
      <c r="K22" s="292"/>
      <c r="O22" s="25">
        <f t="shared" si="16"/>
        <v>2000</v>
      </c>
      <c r="P22" s="137">
        <f>'Exhibit K,1'!G22-('Exhibit N,3'!I22+'Exhibit O,3'!I22)</f>
        <v>0</v>
      </c>
      <c r="Q22" s="137">
        <f>'Exhibit K,1'!M22-('Exhibit L,3'!I22+'Exhibit M,3'!I22)</f>
        <v>0</v>
      </c>
      <c r="R22" s="137">
        <v>0</v>
      </c>
      <c r="S22" s="137">
        <v>0</v>
      </c>
      <c r="T22" s="137">
        <f t="shared" si="1"/>
        <v>0</v>
      </c>
      <c r="U22" s="137"/>
      <c r="V22" s="137"/>
      <c r="W22" s="137">
        <f t="shared" si="6"/>
        <v>0</v>
      </c>
      <c r="X22" s="137">
        <f t="shared" si="2"/>
        <v>0</v>
      </c>
      <c r="Y22" s="137">
        <f t="shared" si="3"/>
        <v>0</v>
      </c>
      <c r="Z22" s="137">
        <f t="shared" si="4"/>
        <v>0</v>
      </c>
      <c r="AA22" s="137">
        <f t="shared" si="5"/>
        <v>0</v>
      </c>
      <c r="AB22" s="137">
        <f t="shared" si="7"/>
        <v>0</v>
      </c>
      <c r="AC22" s="69">
        <f t="shared" si="8"/>
        <v>0</v>
      </c>
      <c r="AF22" s="69">
        <f t="shared" si="9"/>
        <v>0</v>
      </c>
      <c r="AG22" s="69">
        <f t="shared" si="10"/>
        <v>0</v>
      </c>
      <c r="AH22" s="69">
        <f t="shared" si="11"/>
        <v>0</v>
      </c>
      <c r="AI22" s="69">
        <f t="shared" si="12"/>
        <v>0</v>
      </c>
      <c r="AJ22" s="69">
        <f t="shared" si="13"/>
        <v>0</v>
      </c>
    </row>
    <row r="23" spans="1:36">
      <c r="A23" s="2"/>
      <c r="C23" s="6">
        <f t="shared" si="14"/>
        <v>2015</v>
      </c>
      <c r="E23" s="18">
        <v>27542000</v>
      </c>
      <c r="F23" s="18"/>
      <c r="G23" s="18">
        <v>977000</v>
      </c>
      <c r="I23" s="292">
        <f t="shared" si="15"/>
        <v>3.5473095635756298E-2</v>
      </c>
      <c r="K23" s="292"/>
      <c r="O23" s="25">
        <f t="shared" si="16"/>
        <v>2001</v>
      </c>
      <c r="P23" s="137">
        <f>'Exhibit K,1'!G23-('Exhibit N,3'!I23+'Exhibit O,3'!I23)</f>
        <v>0</v>
      </c>
      <c r="Q23" s="137">
        <f>'Exhibit K,1'!M23-('Exhibit L,3'!I23+'Exhibit M,3'!I23)</f>
        <v>0</v>
      </c>
      <c r="R23" s="137">
        <v>0</v>
      </c>
      <c r="S23" s="137">
        <v>0</v>
      </c>
      <c r="T23" s="137">
        <f t="shared" si="1"/>
        <v>0</v>
      </c>
      <c r="U23" s="137"/>
      <c r="V23" s="137"/>
      <c r="W23" s="137">
        <f t="shared" si="6"/>
        <v>0</v>
      </c>
      <c r="X23" s="137">
        <f t="shared" si="2"/>
        <v>0</v>
      </c>
      <c r="Y23" s="137">
        <f t="shared" si="3"/>
        <v>0</v>
      </c>
      <c r="Z23" s="137">
        <f t="shared" si="4"/>
        <v>0</v>
      </c>
      <c r="AA23" s="137">
        <f t="shared" si="5"/>
        <v>0</v>
      </c>
      <c r="AB23" s="137">
        <f t="shared" si="7"/>
        <v>0</v>
      </c>
      <c r="AC23" s="69">
        <f t="shared" si="8"/>
        <v>0</v>
      </c>
      <c r="AF23" s="69">
        <f t="shared" si="9"/>
        <v>0</v>
      </c>
      <c r="AG23" s="69">
        <f t="shared" si="10"/>
        <v>0</v>
      </c>
      <c r="AH23" s="69">
        <f t="shared" si="11"/>
        <v>0</v>
      </c>
      <c r="AI23" s="69">
        <f t="shared" si="12"/>
        <v>0</v>
      </c>
      <c r="AJ23" s="69">
        <f t="shared" si="13"/>
        <v>0</v>
      </c>
    </row>
    <row r="24" spans="1:36">
      <c r="C24" s="6">
        <f t="shared" si="14"/>
        <v>2016</v>
      </c>
      <c r="E24" s="18">
        <v>22813000</v>
      </c>
      <c r="F24" s="18"/>
      <c r="G24" s="18">
        <v>878000</v>
      </c>
      <c r="I24" s="292">
        <f t="shared" si="15"/>
        <v>3.8486827685968526E-2</v>
      </c>
      <c r="O24" s="25">
        <f t="shared" si="16"/>
        <v>2002</v>
      </c>
      <c r="P24" s="137">
        <f>'Exhibit K,1'!G24-('Exhibit N,3'!I24+'Exhibit O,3'!I24)</f>
        <v>0</v>
      </c>
      <c r="Q24" s="137">
        <f>'Exhibit K,1'!M24-('Exhibit L,3'!I24+'Exhibit M,3'!I24)</f>
        <v>0</v>
      </c>
      <c r="R24" s="137">
        <v>0</v>
      </c>
      <c r="S24" s="137">
        <v>0</v>
      </c>
      <c r="T24" s="137">
        <f t="shared" si="1"/>
        <v>0</v>
      </c>
      <c r="U24" s="137"/>
      <c r="V24" s="137"/>
      <c r="W24" s="137">
        <f t="shared" si="6"/>
        <v>0</v>
      </c>
      <c r="X24" s="137">
        <f t="shared" si="2"/>
        <v>0</v>
      </c>
      <c r="Y24" s="137">
        <f t="shared" si="3"/>
        <v>0</v>
      </c>
      <c r="Z24" s="137">
        <f t="shared" si="4"/>
        <v>0</v>
      </c>
      <c r="AA24" s="137">
        <f t="shared" si="5"/>
        <v>0</v>
      </c>
      <c r="AB24" s="137">
        <f t="shared" si="7"/>
        <v>0</v>
      </c>
      <c r="AC24" s="69">
        <f t="shared" si="8"/>
        <v>0</v>
      </c>
      <c r="AF24" s="69">
        <f t="shared" si="9"/>
        <v>0</v>
      </c>
      <c r="AG24" s="69">
        <f t="shared" si="10"/>
        <v>0</v>
      </c>
      <c r="AH24" s="69">
        <f t="shared" si="11"/>
        <v>0</v>
      </c>
      <c r="AI24" s="69">
        <f t="shared" si="12"/>
        <v>0</v>
      </c>
      <c r="AJ24" s="69">
        <f t="shared" si="13"/>
        <v>0</v>
      </c>
    </row>
    <row r="25" spans="1:36">
      <c r="C25" s="6">
        <f t="shared" si="14"/>
        <v>2017</v>
      </c>
      <c r="E25" s="18">
        <v>41922000</v>
      </c>
      <c r="F25" s="18"/>
      <c r="G25" s="18">
        <v>1289000</v>
      </c>
      <c r="I25" s="292">
        <f t="shared" si="15"/>
        <v>3.0747578836887553E-2</v>
      </c>
      <c r="O25" s="25">
        <f t="shared" si="16"/>
        <v>2003</v>
      </c>
      <c r="P25" s="137">
        <f>'Exhibit K,1'!G25-('Exhibit N,3'!I25+'Exhibit O,3'!I25)</f>
        <v>0</v>
      </c>
      <c r="Q25" s="137">
        <f>'Exhibit K,1'!M25-('Exhibit L,3'!I25+'Exhibit M,3'!I25)</f>
        <v>0</v>
      </c>
      <c r="R25" s="137">
        <v>0</v>
      </c>
      <c r="S25" s="137">
        <v>0</v>
      </c>
      <c r="T25" s="137">
        <f t="shared" si="1"/>
        <v>0</v>
      </c>
      <c r="U25" s="137"/>
      <c r="V25" s="137"/>
      <c r="W25" s="137">
        <f t="shared" si="6"/>
        <v>0</v>
      </c>
      <c r="X25" s="137">
        <f t="shared" si="2"/>
        <v>0</v>
      </c>
      <c r="Y25" s="137">
        <f t="shared" si="3"/>
        <v>0</v>
      </c>
      <c r="Z25" s="137">
        <f t="shared" si="4"/>
        <v>0</v>
      </c>
      <c r="AA25" s="137">
        <f t="shared" si="5"/>
        <v>0</v>
      </c>
      <c r="AB25" s="137">
        <f t="shared" si="7"/>
        <v>0</v>
      </c>
      <c r="AC25" s="69">
        <f t="shared" si="8"/>
        <v>0</v>
      </c>
      <c r="AF25" s="69">
        <f t="shared" si="9"/>
        <v>0</v>
      </c>
      <c r="AG25" s="69">
        <f t="shared" si="10"/>
        <v>0</v>
      </c>
      <c r="AH25" s="69">
        <f t="shared" si="11"/>
        <v>0</v>
      </c>
      <c r="AI25" s="69">
        <f t="shared" si="12"/>
        <v>0</v>
      </c>
      <c r="AJ25" s="69">
        <f t="shared" si="13"/>
        <v>0</v>
      </c>
    </row>
    <row r="26" spans="1:36">
      <c r="C26" s="6">
        <f t="shared" si="14"/>
        <v>2018</v>
      </c>
      <c r="E26" s="18">
        <v>45965000</v>
      </c>
      <c r="F26" s="18"/>
      <c r="G26" s="18">
        <v>988000</v>
      </c>
      <c r="I26" s="292">
        <f t="shared" si="15"/>
        <v>2.1494615468291092E-2</v>
      </c>
      <c r="O26" s="25">
        <f t="shared" si="16"/>
        <v>2004</v>
      </c>
      <c r="P26" s="137">
        <f>'Exhibit K,1'!G26-('Exhibit N,3'!I26+'Exhibit O,3'!I26)</f>
        <v>0</v>
      </c>
      <c r="Q26" s="137">
        <f>'Exhibit K,1'!M26-('Exhibit L,3'!I26+'Exhibit M,3'!I26)</f>
        <v>0</v>
      </c>
      <c r="R26" s="137">
        <v>0</v>
      </c>
      <c r="S26" s="137">
        <v>0</v>
      </c>
      <c r="T26" s="137">
        <f t="shared" si="1"/>
        <v>0</v>
      </c>
      <c r="U26" s="137"/>
      <c r="V26" s="137"/>
      <c r="W26" s="137">
        <f t="shared" si="6"/>
        <v>0</v>
      </c>
      <c r="X26" s="137">
        <f t="shared" si="2"/>
        <v>0</v>
      </c>
      <c r="Y26" s="137">
        <f t="shared" si="3"/>
        <v>0</v>
      </c>
      <c r="Z26" s="137">
        <f t="shared" si="4"/>
        <v>0</v>
      </c>
      <c r="AA26" s="137">
        <f t="shared" si="5"/>
        <v>0</v>
      </c>
      <c r="AB26" s="137">
        <f t="shared" si="7"/>
        <v>0</v>
      </c>
      <c r="AC26" s="69">
        <f t="shared" si="8"/>
        <v>0</v>
      </c>
      <c r="AF26" s="69">
        <f t="shared" si="9"/>
        <v>0</v>
      </c>
      <c r="AG26" s="69">
        <f t="shared" si="10"/>
        <v>0</v>
      </c>
      <c r="AH26" s="69">
        <f t="shared" si="11"/>
        <v>0</v>
      </c>
      <c r="AI26" s="69">
        <f t="shared" si="12"/>
        <v>0</v>
      </c>
      <c r="AJ26" s="69">
        <f t="shared" si="13"/>
        <v>0</v>
      </c>
    </row>
    <row r="27" spans="1:36">
      <c r="C27" s="6">
        <f t="shared" si="14"/>
        <v>2019</v>
      </c>
      <c r="E27" s="18">
        <v>37108000</v>
      </c>
      <c r="F27" s="18"/>
      <c r="G27" s="18">
        <v>1054000</v>
      </c>
      <c r="I27" s="292">
        <f t="shared" si="15"/>
        <v>2.8403578743128165E-2</v>
      </c>
      <c r="O27" s="25">
        <f t="shared" si="16"/>
        <v>2005</v>
      </c>
      <c r="P27" s="137">
        <f>'Exhibit K,1'!G27-('Exhibit N,3'!I27+'Exhibit O,3'!I27)</f>
        <v>0</v>
      </c>
      <c r="Q27" s="137">
        <f>'Exhibit K,1'!M27-('Exhibit L,3'!I27+'Exhibit M,3'!I27)</f>
        <v>0</v>
      </c>
      <c r="R27" s="137">
        <v>0</v>
      </c>
      <c r="S27" s="137">
        <v>0</v>
      </c>
      <c r="T27" s="137">
        <f t="shared" si="1"/>
        <v>0</v>
      </c>
      <c r="U27" s="137"/>
      <c r="V27" s="137"/>
      <c r="W27" s="137">
        <f t="shared" si="6"/>
        <v>0</v>
      </c>
      <c r="X27" s="137">
        <f t="shared" si="2"/>
        <v>0</v>
      </c>
      <c r="Y27" s="137">
        <f t="shared" si="3"/>
        <v>0</v>
      </c>
      <c r="Z27" s="137">
        <f t="shared" si="4"/>
        <v>0</v>
      </c>
      <c r="AA27" s="137">
        <f t="shared" si="5"/>
        <v>0</v>
      </c>
      <c r="AB27" s="137">
        <f t="shared" si="7"/>
        <v>0</v>
      </c>
      <c r="AC27" s="69">
        <f t="shared" si="8"/>
        <v>0</v>
      </c>
      <c r="AF27" s="69">
        <f t="shared" si="9"/>
        <v>0</v>
      </c>
      <c r="AG27" s="69">
        <f t="shared" si="10"/>
        <v>0</v>
      </c>
      <c r="AH27" s="69">
        <f t="shared" si="11"/>
        <v>0</v>
      </c>
      <c r="AI27" s="69">
        <f t="shared" si="12"/>
        <v>0</v>
      </c>
      <c r="AJ27" s="69">
        <f t="shared" si="13"/>
        <v>0</v>
      </c>
    </row>
    <row r="28" spans="1:36">
      <c r="C28" s="6">
        <f t="shared" si="14"/>
        <v>2020</v>
      </c>
      <c r="E28" s="18">
        <v>31133000</v>
      </c>
      <c r="F28" s="18"/>
      <c r="G28" s="18">
        <v>1081000</v>
      </c>
      <c r="I28" s="292">
        <f t="shared" si="15"/>
        <v>3.4721999164873285E-2</v>
      </c>
      <c r="K28" s="18"/>
      <c r="O28" s="25">
        <f t="shared" si="16"/>
        <v>2006</v>
      </c>
      <c r="P28" s="137">
        <f>'Exhibit K,1'!G28-('Exhibit N,3'!I28+'Exhibit O,3'!I28)</f>
        <v>0</v>
      </c>
      <c r="Q28" s="137">
        <f>'Exhibit K,1'!M28-('Exhibit L,3'!I28+'Exhibit M,3'!I28)</f>
        <v>38619.730000000003</v>
      </c>
      <c r="R28" s="137">
        <v>0</v>
      </c>
      <c r="S28" s="137">
        <v>0</v>
      </c>
      <c r="T28" s="137">
        <f t="shared" si="1"/>
        <v>38619.730000000003</v>
      </c>
      <c r="U28" s="137"/>
      <c r="V28" s="137"/>
      <c r="W28" s="137">
        <f t="shared" si="6"/>
        <v>0</v>
      </c>
      <c r="X28" s="137">
        <f t="shared" si="2"/>
        <v>0</v>
      </c>
      <c r="Y28" s="137">
        <f t="shared" si="3"/>
        <v>1146.0851942027116</v>
      </c>
      <c r="Z28" s="137">
        <f t="shared" si="4"/>
        <v>0</v>
      </c>
      <c r="AA28" s="137">
        <f t="shared" si="5"/>
        <v>0</v>
      </c>
      <c r="AB28" s="137">
        <f t="shared" si="7"/>
        <v>1146.0851942027116</v>
      </c>
      <c r="AC28" s="69">
        <f t="shared" si="8"/>
        <v>0</v>
      </c>
      <c r="AF28" s="69">
        <f t="shared" si="9"/>
        <v>0</v>
      </c>
      <c r="AG28" s="69">
        <f t="shared" si="10"/>
        <v>1146.0851942027116</v>
      </c>
      <c r="AH28" s="69">
        <f t="shared" si="11"/>
        <v>0</v>
      </c>
      <c r="AI28" s="69">
        <f t="shared" si="12"/>
        <v>0</v>
      </c>
      <c r="AJ28" s="69">
        <f t="shared" si="13"/>
        <v>1146.0851942027116</v>
      </c>
    </row>
    <row r="29" spans="1:36">
      <c r="C29" s="6">
        <f t="shared" si="14"/>
        <v>2021</v>
      </c>
      <c r="E29" s="18">
        <v>30991000</v>
      </c>
      <c r="F29" s="18"/>
      <c r="G29" s="18">
        <v>1246000</v>
      </c>
      <c r="I29" s="292">
        <f t="shared" si="15"/>
        <v>4.0205220870575327E-2</v>
      </c>
      <c r="K29" s="292"/>
      <c r="O29" s="25">
        <f t="shared" si="16"/>
        <v>2007</v>
      </c>
      <c r="P29" s="137">
        <f>'Exhibit K,1'!G29-('Exhibit N,3'!I29+'Exhibit O,3'!I29)</f>
        <v>0</v>
      </c>
      <c r="Q29" s="137">
        <f>'Exhibit K,1'!M29-('Exhibit L,3'!I29+'Exhibit M,3'!I29)</f>
        <v>0</v>
      </c>
      <c r="R29" s="137">
        <v>0</v>
      </c>
      <c r="S29" s="137">
        <v>0</v>
      </c>
      <c r="T29" s="137">
        <f t="shared" si="1"/>
        <v>0</v>
      </c>
      <c r="U29" s="137"/>
      <c r="V29" s="137"/>
      <c r="W29" s="137">
        <f t="shared" si="6"/>
        <v>0</v>
      </c>
      <c r="X29" s="137">
        <f t="shared" si="2"/>
        <v>0</v>
      </c>
      <c r="Y29" s="137">
        <f t="shared" si="3"/>
        <v>0</v>
      </c>
      <c r="Z29" s="137">
        <f t="shared" si="4"/>
        <v>0</v>
      </c>
      <c r="AA29" s="137">
        <f t="shared" si="5"/>
        <v>0</v>
      </c>
      <c r="AB29" s="137">
        <f t="shared" si="7"/>
        <v>0</v>
      </c>
      <c r="AC29" s="69">
        <f t="shared" si="8"/>
        <v>0</v>
      </c>
      <c r="AF29" s="69">
        <f t="shared" si="9"/>
        <v>0</v>
      </c>
      <c r="AG29" s="69">
        <f t="shared" si="10"/>
        <v>0</v>
      </c>
      <c r="AH29" s="69">
        <f t="shared" si="11"/>
        <v>0</v>
      </c>
      <c r="AI29" s="69">
        <f t="shared" si="12"/>
        <v>0</v>
      </c>
      <c r="AJ29" s="69">
        <f t="shared" si="13"/>
        <v>0</v>
      </c>
    </row>
    <row r="30" spans="1:36">
      <c r="C30" s="6">
        <f t="shared" si="14"/>
        <v>2022</v>
      </c>
      <c r="E30" s="18">
        <f>ROUND(('Summary Exhibit 1'!E23),0)*1000</f>
        <v>35846000</v>
      </c>
      <c r="F30" s="18"/>
      <c r="G30" s="18">
        <v>1106551.81</v>
      </c>
      <c r="I30" s="292">
        <f t="shared" si="15"/>
        <v>3.0869603581989626E-2</v>
      </c>
      <c r="K30" s="292"/>
      <c r="O30" s="25">
        <f t="shared" si="16"/>
        <v>2008</v>
      </c>
      <c r="P30" s="137">
        <f>'Exhibit K,1'!G30-('Exhibit N,3'!I30+'Exhibit O,3'!I30)</f>
        <v>0</v>
      </c>
      <c r="Q30" s="137">
        <f>'Exhibit K,1'!M30-('Exhibit L,3'!I30+'Exhibit M,3'!I30)</f>
        <v>0</v>
      </c>
      <c r="R30" s="137">
        <f>'Exhibit U,1'!O17</f>
        <v>0</v>
      </c>
      <c r="S30" s="137">
        <f>'Exhibit U,1'!Q17</f>
        <v>0</v>
      </c>
      <c r="T30" s="137">
        <f t="shared" si="1"/>
        <v>0</v>
      </c>
      <c r="U30" s="137"/>
      <c r="V30" s="137"/>
      <c r="W30" s="137">
        <f t="shared" si="6"/>
        <v>0</v>
      </c>
      <c r="X30" s="137">
        <f t="shared" si="2"/>
        <v>0</v>
      </c>
      <c r="Y30" s="137">
        <f t="shared" si="3"/>
        <v>0</v>
      </c>
      <c r="Z30" s="137">
        <f t="shared" si="4"/>
        <v>0</v>
      </c>
      <c r="AA30" s="137">
        <f t="shared" si="5"/>
        <v>0</v>
      </c>
      <c r="AB30" s="137">
        <f t="shared" si="7"/>
        <v>0</v>
      </c>
      <c r="AC30" s="69">
        <f t="shared" si="8"/>
        <v>0</v>
      </c>
      <c r="AF30" s="69">
        <f t="shared" si="9"/>
        <v>0</v>
      </c>
      <c r="AG30" s="69">
        <f t="shared" si="10"/>
        <v>0</v>
      </c>
      <c r="AH30" s="69">
        <f t="shared" si="11"/>
        <v>0</v>
      </c>
      <c r="AI30" s="69">
        <f t="shared" si="12"/>
        <v>0</v>
      </c>
      <c r="AJ30" s="69">
        <f t="shared" si="13"/>
        <v>0</v>
      </c>
    </row>
    <row r="31" spans="1:36">
      <c r="A31" s="2"/>
      <c r="C31" s="294" t="s">
        <v>0</v>
      </c>
      <c r="E31" s="295">
        <f>SUM(E16:E30)</f>
        <v>453230000</v>
      </c>
      <c r="G31" s="295">
        <f>SUM(G16:G30)</f>
        <v>15052551.810000001</v>
      </c>
      <c r="I31" s="292">
        <f t="shared" si="15"/>
        <v>3.3211728724929945E-2</v>
      </c>
      <c r="O31" s="25">
        <f t="shared" si="16"/>
        <v>2009</v>
      </c>
      <c r="P31" s="137">
        <f>'Exhibit K,1'!G31-('Exhibit N,3'!I31+'Exhibit O,3'!I31)</f>
        <v>0</v>
      </c>
      <c r="Q31" s="137">
        <f>'Exhibit K,1'!M31-('Exhibit L,3'!I31+'Exhibit M,3'!I31)</f>
        <v>0</v>
      </c>
      <c r="R31" s="137">
        <f>'Exhibit U,1'!O18</f>
        <v>0</v>
      </c>
      <c r="S31" s="137">
        <f>'Exhibit U,1'!Q18</f>
        <v>0</v>
      </c>
      <c r="T31" s="137">
        <f t="shared" si="1"/>
        <v>0</v>
      </c>
      <c r="U31" s="137"/>
      <c r="V31" s="137"/>
      <c r="W31" s="137">
        <f t="shared" si="6"/>
        <v>0</v>
      </c>
      <c r="X31" s="137">
        <f t="shared" si="2"/>
        <v>0</v>
      </c>
      <c r="Y31" s="137">
        <f t="shared" si="3"/>
        <v>0</v>
      </c>
      <c r="Z31" s="137">
        <f t="shared" si="4"/>
        <v>0</v>
      </c>
      <c r="AA31" s="137">
        <f t="shared" si="5"/>
        <v>0</v>
      </c>
      <c r="AB31" s="137">
        <f t="shared" si="7"/>
        <v>0</v>
      </c>
      <c r="AC31" s="69">
        <f t="shared" si="8"/>
        <v>0</v>
      </c>
      <c r="AF31" s="69">
        <f t="shared" si="9"/>
        <v>0</v>
      </c>
      <c r="AG31" s="69">
        <f t="shared" si="10"/>
        <v>0</v>
      </c>
      <c r="AH31" s="69">
        <f t="shared" si="11"/>
        <v>0</v>
      </c>
      <c r="AI31" s="69">
        <f t="shared" si="12"/>
        <v>0</v>
      </c>
      <c r="AJ31" s="69">
        <f t="shared" si="13"/>
        <v>0</v>
      </c>
    </row>
    <row r="32" spans="1:36">
      <c r="C32" s="2" t="s">
        <v>1741</v>
      </c>
      <c r="E32" s="18">
        <f>SUM(E28:E30)</f>
        <v>97970000</v>
      </c>
      <c r="F32" s="18"/>
      <c r="G32" s="18">
        <f>SUM(G28:G30)</f>
        <v>3433551.81</v>
      </c>
      <c r="I32" s="292">
        <f>(SUM(G28:G30)/SUM(E28:E30))</f>
        <v>3.504697162396652E-2</v>
      </c>
      <c r="O32" s="25">
        <f t="shared" si="16"/>
        <v>2010</v>
      </c>
      <c r="P32" s="137">
        <f>'Exhibit K,1'!G32-('Exhibit N,3'!I32+'Exhibit O,3'!I32)</f>
        <v>0</v>
      </c>
      <c r="Q32" s="137">
        <f>'Exhibit K,1'!M32-('Exhibit L,3'!I32+'Exhibit M,3'!I32)</f>
        <v>0</v>
      </c>
      <c r="R32" s="137">
        <f>'Exhibit U,1'!O19</f>
        <v>0</v>
      </c>
      <c r="S32" s="137">
        <f>'Exhibit U,1'!Q19</f>
        <v>0</v>
      </c>
      <c r="T32" s="137">
        <f t="shared" si="1"/>
        <v>0</v>
      </c>
      <c r="U32" s="137"/>
      <c r="V32" s="137"/>
      <c r="W32" s="137">
        <f t="shared" si="6"/>
        <v>0</v>
      </c>
      <c r="X32" s="137">
        <f t="shared" si="2"/>
        <v>0</v>
      </c>
      <c r="Y32" s="137">
        <f t="shared" si="3"/>
        <v>0</v>
      </c>
      <c r="Z32" s="137">
        <f t="shared" si="4"/>
        <v>0</v>
      </c>
      <c r="AA32" s="137">
        <f t="shared" si="5"/>
        <v>0</v>
      </c>
      <c r="AB32" s="137">
        <f t="shared" si="7"/>
        <v>0</v>
      </c>
      <c r="AC32" s="69">
        <f t="shared" si="8"/>
        <v>0</v>
      </c>
      <c r="AE32" s="61"/>
      <c r="AF32" s="69">
        <f t="shared" si="9"/>
        <v>0</v>
      </c>
      <c r="AG32" s="69">
        <f t="shared" si="10"/>
        <v>0</v>
      </c>
      <c r="AH32" s="69">
        <f t="shared" si="11"/>
        <v>0</v>
      </c>
      <c r="AI32" s="69">
        <f t="shared" si="12"/>
        <v>0</v>
      </c>
      <c r="AJ32" s="69">
        <f t="shared" si="13"/>
        <v>0</v>
      </c>
    </row>
    <row r="33" spans="1:36">
      <c r="O33" s="25">
        <f t="shared" si="16"/>
        <v>2011</v>
      </c>
      <c r="P33" s="137">
        <f>'Exhibit K,1'!G33-('Exhibit N,3'!I33+'Exhibit O,3'!I33)</f>
        <v>0</v>
      </c>
      <c r="Q33" s="137">
        <f>'Exhibit K,1'!M33-('Exhibit L,3'!I33+'Exhibit M,3'!I33)</f>
        <v>63.790521473332774</v>
      </c>
      <c r="R33" s="137">
        <f>'Exhibit U,1'!O20</f>
        <v>0</v>
      </c>
      <c r="S33" s="137">
        <f>'Exhibit U,1'!Q20</f>
        <v>0</v>
      </c>
      <c r="T33" s="137">
        <f t="shared" si="1"/>
        <v>63.790521473332774</v>
      </c>
      <c r="U33" s="137">
        <f>'Exhibit B,2'!W57</f>
        <v>0</v>
      </c>
      <c r="V33" s="137"/>
      <c r="W33" s="137">
        <f t="shared" si="6"/>
        <v>0</v>
      </c>
      <c r="X33" s="137">
        <f t="shared" si="2"/>
        <v>0</v>
      </c>
      <c r="Y33" s="137">
        <f t="shared" si="3"/>
        <v>1.8930575690471381</v>
      </c>
      <c r="Z33" s="137">
        <f t="shared" si="4"/>
        <v>0</v>
      </c>
      <c r="AA33" s="137">
        <f t="shared" si="5"/>
        <v>0</v>
      </c>
      <c r="AB33" s="137">
        <f t="shared" si="7"/>
        <v>1.8930575690471381</v>
      </c>
      <c r="AC33" s="69">
        <f t="shared" ref="AC33:AD43" si="17">U33/U$46*AC$46</f>
        <v>0</v>
      </c>
      <c r="AD33" s="69">
        <f t="shared" si="17"/>
        <v>0</v>
      </c>
      <c r="AE33" s="84">
        <f>AC33+AD33</f>
        <v>0</v>
      </c>
      <c r="AF33" s="69">
        <f t="shared" si="9"/>
        <v>0</v>
      </c>
      <c r="AG33" s="69">
        <f t="shared" si="10"/>
        <v>1.8930575690471381</v>
      </c>
      <c r="AH33" s="69">
        <f t="shared" si="11"/>
        <v>0</v>
      </c>
      <c r="AI33" s="69">
        <f t="shared" si="12"/>
        <v>0</v>
      </c>
      <c r="AJ33" s="69">
        <f t="shared" si="13"/>
        <v>1.8930575690471381</v>
      </c>
    </row>
    <row r="34" spans="1:36">
      <c r="A34" s="64" t="s">
        <v>40</v>
      </c>
      <c r="C34" s="3" t="s">
        <v>158</v>
      </c>
      <c r="I34" s="292">
        <v>3.6999999999999998E-2</v>
      </c>
      <c r="O34" s="25">
        <f t="shared" si="16"/>
        <v>2012</v>
      </c>
      <c r="P34" s="137">
        <f>'Exhibit K,1'!G34-('Exhibit N,3'!I34+'Exhibit O,3'!I34)</f>
        <v>99000</v>
      </c>
      <c r="Q34" s="137">
        <f>'Exhibit K,1'!M34-('Exhibit L,3'!I34+'Exhibit M,3'!I34)</f>
        <v>792.05025251349434</v>
      </c>
      <c r="R34" s="137">
        <f>'Exhibit U,1'!O21</f>
        <v>0</v>
      </c>
      <c r="S34" s="137">
        <f>'Exhibit U,1'!Q21</f>
        <v>344718.89999999851</v>
      </c>
      <c r="T34" s="137">
        <f t="shared" si="1"/>
        <v>444510.950252512</v>
      </c>
      <c r="U34" s="137">
        <f>'Exhibit B,2'!W58</f>
        <v>0</v>
      </c>
      <c r="V34" s="137"/>
      <c r="W34" s="137">
        <f t="shared" si="6"/>
        <v>0</v>
      </c>
      <c r="X34" s="137">
        <f t="shared" si="2"/>
        <v>2937.9396030492298</v>
      </c>
      <c r="Y34" s="137">
        <f t="shared" si="3"/>
        <v>23.505008125904425</v>
      </c>
      <c r="Z34" s="137">
        <f t="shared" si="4"/>
        <v>0</v>
      </c>
      <c r="AA34" s="137">
        <f t="shared" si="5"/>
        <v>10229.932406359221</v>
      </c>
      <c r="AB34" s="137">
        <f t="shared" si="7"/>
        <v>13191.377017534356</v>
      </c>
      <c r="AC34" s="69">
        <f t="shared" si="17"/>
        <v>0</v>
      </c>
      <c r="AD34" s="69">
        <f t="shared" si="17"/>
        <v>0</v>
      </c>
      <c r="AE34" s="84">
        <f t="shared" ref="AE34:AE44" si="18">AC34+AD34</f>
        <v>0</v>
      </c>
      <c r="AF34" s="69">
        <f t="shared" si="9"/>
        <v>2937.9396030492298</v>
      </c>
      <c r="AG34" s="69">
        <f t="shared" si="10"/>
        <v>10253.437414485126</v>
      </c>
      <c r="AH34" s="69">
        <f t="shared" si="11"/>
        <v>0</v>
      </c>
      <c r="AI34" s="69">
        <f t="shared" si="12"/>
        <v>0</v>
      </c>
      <c r="AJ34" s="69">
        <f t="shared" si="13"/>
        <v>13191.377017534356</v>
      </c>
    </row>
    <row r="35" spans="1:36">
      <c r="A35" s="64"/>
      <c r="C35" s="3"/>
      <c r="I35" s="292"/>
      <c r="O35" s="25">
        <f t="shared" si="16"/>
        <v>2013</v>
      </c>
      <c r="P35" s="137">
        <f>'Exhibit K,1'!G35-('Exhibit N,3'!I35+'Exhibit O,3'!I35)</f>
        <v>0</v>
      </c>
      <c r="Q35" s="137">
        <f>'Exhibit K,1'!M35-('Exhibit L,3'!I35+'Exhibit M,3'!I35)</f>
        <v>6700.9899071324617</v>
      </c>
      <c r="R35" s="137">
        <f>'Exhibit U,1'!O22</f>
        <v>0</v>
      </c>
      <c r="S35" s="137">
        <f>'Exhibit U,1'!Q22</f>
        <v>2239258.3600000013</v>
      </c>
      <c r="T35" s="137">
        <f t="shared" si="1"/>
        <v>2245959.3499071337</v>
      </c>
      <c r="U35" s="137">
        <f>'Exhibit B,2'!W59</f>
        <v>0</v>
      </c>
      <c r="V35" s="137">
        <f>'Exhibit B,3'!AK59</f>
        <v>0</v>
      </c>
      <c r="W35" s="137">
        <f t="shared" si="6"/>
        <v>0</v>
      </c>
      <c r="X35" s="137">
        <f t="shared" si="2"/>
        <v>0</v>
      </c>
      <c r="Y35" s="137">
        <f t="shared" si="3"/>
        <v>198.85963260401658</v>
      </c>
      <c r="Z35" s="137">
        <f t="shared" si="4"/>
        <v>0</v>
      </c>
      <c r="AA35" s="137">
        <f t="shared" si="5"/>
        <v>66452.584013162355</v>
      </c>
      <c r="AB35" s="137">
        <f t="shared" si="7"/>
        <v>66651.443645766369</v>
      </c>
      <c r="AC35" s="69">
        <f t="shared" si="17"/>
        <v>0</v>
      </c>
      <c r="AD35" s="69">
        <f t="shared" si="17"/>
        <v>0</v>
      </c>
      <c r="AE35" s="84">
        <f t="shared" si="18"/>
        <v>0</v>
      </c>
      <c r="AF35" s="69">
        <f t="shared" si="9"/>
        <v>0</v>
      </c>
      <c r="AG35" s="69">
        <f t="shared" si="10"/>
        <v>66651.443645766369</v>
      </c>
      <c r="AH35" s="69">
        <f t="shared" si="11"/>
        <v>0</v>
      </c>
      <c r="AI35" s="69">
        <f t="shared" si="12"/>
        <v>0</v>
      </c>
      <c r="AJ35" s="69">
        <f t="shared" si="13"/>
        <v>66651.443645766369</v>
      </c>
    </row>
    <row r="36" spans="1:36">
      <c r="A36" s="64"/>
      <c r="C36" s="3"/>
      <c r="I36" s="292"/>
      <c r="O36" s="25">
        <f t="shared" si="16"/>
        <v>2014</v>
      </c>
      <c r="P36" s="137">
        <f>'Exhibit K,1'!G36-('Exhibit N,3'!I36+'Exhibit O,3'!I36)</f>
        <v>2016491.67</v>
      </c>
      <c r="Q36" s="137">
        <f>'Exhibit K,1'!M36-('Exhibit L,3'!I36+'Exhibit M,3'!I36)</f>
        <v>5190.4826820908347</v>
      </c>
      <c r="R36" s="137">
        <f>'Exhibit U,1'!O23</f>
        <v>0</v>
      </c>
      <c r="S36" s="137">
        <f>'Exhibit U,1'!Q23</f>
        <v>3450428.1887352467</v>
      </c>
      <c r="T36" s="137">
        <f t="shared" si="1"/>
        <v>5472110.3414173368</v>
      </c>
      <c r="U36" s="137">
        <f>'Exhibit B,2'!W60</f>
        <v>2270.5428141932935</v>
      </c>
      <c r="V36" s="137">
        <f>'Exhibit B,3'!AK60</f>
        <v>1060850.4999724817</v>
      </c>
      <c r="W36" s="137">
        <f t="shared" si="6"/>
        <v>1063121.042786675</v>
      </c>
      <c r="X36" s="137">
        <f t="shared" si="2"/>
        <v>59841.724611231104</v>
      </c>
      <c r="Y36" s="137">
        <f t="shared" si="3"/>
        <v>154.03358212783689</v>
      </c>
      <c r="Z36" s="137">
        <f t="shared" si="4"/>
        <v>0</v>
      </c>
      <c r="AA36" s="137">
        <f t="shared" si="5"/>
        <v>102395.45073901722</v>
      </c>
      <c r="AB36" s="137">
        <f t="shared" si="7"/>
        <v>162391.20893237618</v>
      </c>
      <c r="AC36" s="69">
        <f t="shared" si="17"/>
        <v>66.922381165255914</v>
      </c>
      <c r="AD36" s="69">
        <f t="shared" si="17"/>
        <v>34038.911838818582</v>
      </c>
      <c r="AE36" s="84">
        <f t="shared" si="18"/>
        <v>34105.834219983837</v>
      </c>
      <c r="AF36" s="69">
        <f t="shared" si="9"/>
        <v>59905.300873338099</v>
      </c>
      <c r="AG36" s="69">
        <f t="shared" si="10"/>
        <v>134886.45056802273</v>
      </c>
      <c r="AH36" s="69">
        <f t="shared" si="11"/>
        <v>3.3461190582627958</v>
      </c>
      <c r="AI36" s="69">
        <f t="shared" si="12"/>
        <v>1701.9455919409293</v>
      </c>
      <c r="AJ36" s="69">
        <f t="shared" si="13"/>
        <v>196497.04315236001</v>
      </c>
    </row>
    <row r="37" spans="1:36">
      <c r="A37" s="64"/>
      <c r="C37" s="3"/>
      <c r="I37" s="296"/>
      <c r="O37" s="25">
        <f t="shared" si="16"/>
        <v>2015</v>
      </c>
      <c r="P37" s="137">
        <f>'Exhibit K,1'!G37-('Exhibit N,3'!I37+'Exhibit O,3'!I37)</f>
        <v>2319354.205524087</v>
      </c>
      <c r="Q37" s="137">
        <f>'Exhibit K,1'!M37-('Exhibit L,3'!I37+'Exhibit M,3'!I37)</f>
        <v>20085.667083529173</v>
      </c>
      <c r="R37" s="137">
        <f>'Exhibit U,1'!O24</f>
        <v>0</v>
      </c>
      <c r="S37" s="137">
        <f>'Exhibit U,1'!Q24</f>
        <v>1167129.3646318419</v>
      </c>
      <c r="T37" s="137">
        <f t="shared" si="1"/>
        <v>3506569.2372394581</v>
      </c>
      <c r="U37" s="137">
        <f>'Exhibit B,2'!W61</f>
        <v>12947.388955562659</v>
      </c>
      <c r="V37" s="137">
        <f>'Exhibit B,3'!AK61</f>
        <v>53161.421801069388</v>
      </c>
      <c r="W37" s="137">
        <f t="shared" si="6"/>
        <v>66108.81075663204</v>
      </c>
      <c r="X37" s="137">
        <f t="shared" si="2"/>
        <v>68829.520948565652</v>
      </c>
      <c r="Y37" s="137">
        <f t="shared" si="3"/>
        <v>596.06542200366357</v>
      </c>
      <c r="Z37" s="137">
        <f t="shared" si="4"/>
        <v>0</v>
      </c>
      <c r="AA37" s="137">
        <f t="shared" si="5"/>
        <v>34635.9149720563</v>
      </c>
      <c r="AB37" s="137">
        <f t="shared" si="7"/>
        <v>104061.50134262562</v>
      </c>
      <c r="AC37" s="69">
        <f t="shared" si="17"/>
        <v>381.61363589474496</v>
      </c>
      <c r="AD37" s="69">
        <f t="shared" si="17"/>
        <v>1705.7605666017864</v>
      </c>
      <c r="AE37" s="84">
        <f t="shared" si="18"/>
        <v>2087.3742024965313</v>
      </c>
      <c r="AF37" s="69">
        <f t="shared" si="9"/>
        <v>69192.053902665662</v>
      </c>
      <c r="AG37" s="69">
        <f t="shared" si="10"/>
        <v>36852.452932331667</v>
      </c>
      <c r="AH37" s="69">
        <f t="shared" si="11"/>
        <v>19.080681794737249</v>
      </c>
      <c r="AI37" s="69">
        <f t="shared" si="12"/>
        <v>85.288028330089332</v>
      </c>
      <c r="AJ37" s="69">
        <f t="shared" si="13"/>
        <v>106148.87554512215</v>
      </c>
    </row>
    <row r="38" spans="1:36">
      <c r="A38" s="64" t="s">
        <v>328</v>
      </c>
      <c r="B38" s="6"/>
      <c r="C38" s="3" t="s">
        <v>1576</v>
      </c>
      <c r="O38" s="25">
        <f t="shared" si="16"/>
        <v>2016</v>
      </c>
      <c r="P38" s="137">
        <f>'Exhibit K,1'!G38-('Exhibit N,3'!I38+'Exhibit O,3'!I38)</f>
        <v>2199555.2041727826</v>
      </c>
      <c r="Q38" s="137">
        <f>'Exhibit K,1'!M38-('Exhibit L,3'!I38+'Exhibit M,3'!I38)</f>
        <v>642939.67270056903</v>
      </c>
      <c r="R38" s="137">
        <f>'Exhibit U,1'!O25</f>
        <v>802606.95000000019</v>
      </c>
      <c r="S38" s="137">
        <f>'Exhibit U,1'!Q25</f>
        <v>5078069.8158403886</v>
      </c>
      <c r="T38" s="137">
        <f t="shared" si="1"/>
        <v>8723171.6427137405</v>
      </c>
      <c r="U38" s="137">
        <f>'Exhibit B,2'!W62</f>
        <v>54158.741185853884</v>
      </c>
      <c r="V38" s="137">
        <f>'Exhibit B,3'!AK62</f>
        <v>662985.73608517775</v>
      </c>
      <c r="W38" s="137">
        <f t="shared" si="6"/>
        <v>717144.47727103159</v>
      </c>
      <c r="X38" s="137">
        <f t="shared" si="2"/>
        <v>65274.34690335609</v>
      </c>
      <c r="Y38" s="137">
        <f t="shared" si="3"/>
        <v>19079.979058570825</v>
      </c>
      <c r="Z38" s="137">
        <f t="shared" si="4"/>
        <v>23818.290344318728</v>
      </c>
      <c r="AA38" s="137">
        <f t="shared" si="5"/>
        <v>150697.60019198371</v>
      </c>
      <c r="AB38" s="137">
        <f t="shared" si="7"/>
        <v>258870.21649822936</v>
      </c>
      <c r="AC38" s="69">
        <f t="shared" si="17"/>
        <v>1596.2843327215087</v>
      </c>
      <c r="AD38" s="69">
        <f t="shared" si="17"/>
        <v>21272.849493479993</v>
      </c>
      <c r="AE38" s="84">
        <f t="shared" si="18"/>
        <v>22869.133826201502</v>
      </c>
      <c r="AF38" s="69">
        <f t="shared" si="9"/>
        <v>90609.107363760253</v>
      </c>
      <c r="AG38" s="69">
        <f t="shared" si="10"/>
        <v>189986.78626936054</v>
      </c>
      <c r="AH38" s="69">
        <f t="shared" si="11"/>
        <v>79.814216636075443</v>
      </c>
      <c r="AI38" s="69">
        <f t="shared" si="12"/>
        <v>1063.6424746739997</v>
      </c>
      <c r="AJ38" s="69">
        <f t="shared" si="13"/>
        <v>281739.35032443085</v>
      </c>
    </row>
    <row r="39" spans="1:36">
      <c r="A39" s="64" t="s">
        <v>38</v>
      </c>
      <c r="C39" s="3" t="s">
        <v>218</v>
      </c>
      <c r="O39" s="25">
        <f t="shared" si="16"/>
        <v>2017</v>
      </c>
      <c r="P39" s="137">
        <f>'Exhibit K,1'!G39-('Exhibit N,3'!I39+'Exhibit O,3'!I39)</f>
        <v>2536179.2963280305</v>
      </c>
      <c r="Q39" s="137">
        <f>'Exhibit K,1'!M39-('Exhibit L,3'!I39+'Exhibit M,3'!I39)</f>
        <v>546252.92884363281</v>
      </c>
      <c r="R39" s="137">
        <f>'Exhibit U,1'!O26</f>
        <v>9000</v>
      </c>
      <c r="S39" s="137">
        <f>'Exhibit U,1'!Q26</f>
        <v>4720892.9038822884</v>
      </c>
      <c r="T39" s="137">
        <f t="shared" si="1"/>
        <v>7812325.1290539522</v>
      </c>
      <c r="U39" s="137">
        <f>'Exhibit B,2'!W63</f>
        <v>343928.60722899035</v>
      </c>
      <c r="V39" s="137">
        <f>'Exhibit B,3'!AK63</f>
        <v>1839234.282811265</v>
      </c>
      <c r="W39" s="137">
        <f t="shared" si="6"/>
        <v>2183162.8900402552</v>
      </c>
      <c r="X39" s="137">
        <f t="shared" si="2"/>
        <v>75264.056516319702</v>
      </c>
      <c r="Y39" s="137">
        <f t="shared" si="3"/>
        <v>16210.688009407495</v>
      </c>
      <c r="Z39" s="137">
        <f t="shared" si="4"/>
        <v>267.0854184590209</v>
      </c>
      <c r="AA39" s="137">
        <f t="shared" si="5"/>
        <v>140097.96185929148</v>
      </c>
      <c r="AB39" s="137">
        <f t="shared" si="7"/>
        <v>231839.79180347771</v>
      </c>
      <c r="AC39" s="69">
        <f t="shared" si="17"/>
        <v>10137.012701428261</v>
      </c>
      <c r="AD39" s="69">
        <f t="shared" si="17"/>
        <v>59014.473392027758</v>
      </c>
      <c r="AE39" s="84">
        <f t="shared" si="18"/>
        <v>69151.486093456013</v>
      </c>
      <c r="AF39" s="69">
        <f t="shared" si="9"/>
        <v>85161.304001135577</v>
      </c>
      <c r="AG39" s="69">
        <f t="shared" si="10"/>
        <v>212372.39959112532</v>
      </c>
      <c r="AH39" s="69">
        <f t="shared" si="11"/>
        <v>506.85063507141308</v>
      </c>
      <c r="AI39" s="69">
        <f t="shared" si="12"/>
        <v>2950.7236696013879</v>
      </c>
      <c r="AJ39" s="69">
        <f t="shared" si="13"/>
        <v>300991.27789693372</v>
      </c>
    </row>
    <row r="40" spans="1:36">
      <c r="O40" s="25">
        <f t="shared" si="16"/>
        <v>2018</v>
      </c>
      <c r="P40" s="137">
        <f>'Exhibit K,1'!G40-('Exhibit N,3'!I40+'Exhibit O,3'!I40)</f>
        <v>9719763.5644878373</v>
      </c>
      <c r="Q40" s="137">
        <f>'Exhibit K,1'!M40-('Exhibit L,3'!I40+'Exhibit M,3'!I40)</f>
        <v>1144561.8428217755</v>
      </c>
      <c r="R40" s="137">
        <f>'Exhibit U,1'!O27</f>
        <v>488837.2</v>
      </c>
      <c r="S40" s="137">
        <f>'Exhibit U,1'!Q27</f>
        <v>5571457.8562927805</v>
      </c>
      <c r="T40" s="137">
        <f t="shared" si="1"/>
        <v>16924620.463602394</v>
      </c>
      <c r="U40" s="137">
        <f>'Exhibit B,2'!W64</f>
        <v>548382.51461529324</v>
      </c>
      <c r="V40" s="137">
        <f>'Exhibit B,3'!AK64</f>
        <v>11355449.434506958</v>
      </c>
      <c r="W40" s="137">
        <f t="shared" si="6"/>
        <v>11903831.949122252</v>
      </c>
      <c r="X40" s="137">
        <f t="shared" si="2"/>
        <v>288445.23543821991</v>
      </c>
      <c r="Y40" s="137">
        <f t="shared" si="3"/>
        <v>33966.197638031335</v>
      </c>
      <c r="Z40" s="137">
        <f t="shared" si="4"/>
        <v>14506.809791148456</v>
      </c>
      <c r="AA40" s="137">
        <f t="shared" si="5"/>
        <v>165339.46144163967</v>
      </c>
      <c r="AB40" s="137">
        <f t="shared" si="7"/>
        <v>502257.7043090394</v>
      </c>
      <c r="AC40" s="69">
        <f t="shared" si="17"/>
        <v>16163.123389719067</v>
      </c>
      <c r="AD40" s="69">
        <f t="shared" si="17"/>
        <v>364355.90330717771</v>
      </c>
      <c r="AE40" s="84">
        <f t="shared" si="18"/>
        <v>380519.02669689676</v>
      </c>
      <c r="AF40" s="69">
        <f t="shared" si="9"/>
        <v>318307.01244960149</v>
      </c>
      <c r="AG40" s="69">
        <f t="shared" si="10"/>
        <v>545443.7672214898</v>
      </c>
      <c r="AH40" s="69">
        <f t="shared" si="11"/>
        <v>808.15616948595334</v>
      </c>
      <c r="AI40" s="69">
        <f t="shared" si="12"/>
        <v>18217.795165358886</v>
      </c>
      <c r="AJ40" s="69">
        <f t="shared" si="13"/>
        <v>882776.73100593616</v>
      </c>
    </row>
    <row r="41" spans="1:36">
      <c r="O41" s="25">
        <f t="shared" si="16"/>
        <v>2019</v>
      </c>
      <c r="P41" s="137">
        <f>'Exhibit K,1'!G41-('Exhibit N,3'!I41+'Exhibit O,3'!I41)</f>
        <v>7633551.6007629773</v>
      </c>
      <c r="Q41" s="137">
        <f>'Exhibit K,1'!M41-('Exhibit L,3'!I41+'Exhibit M,3'!I41)</f>
        <v>1940092.52432174</v>
      </c>
      <c r="R41" s="137">
        <f>'Exhibit U,1'!O28</f>
        <v>373344.9906846176</v>
      </c>
      <c r="S41" s="137">
        <f>'Exhibit U,1'!Q28</f>
        <v>5992481.1559857586</v>
      </c>
      <c r="T41" s="137">
        <f t="shared" si="1"/>
        <v>15939470.271755092</v>
      </c>
      <c r="U41" s="137">
        <f>'Exhibit B,2'!W65</f>
        <v>2046197.5239869782</v>
      </c>
      <c r="V41" s="137">
        <f>'Exhibit B,3'!AK65</f>
        <v>8963644.0996296853</v>
      </c>
      <c r="W41" s="137">
        <f t="shared" si="6"/>
        <v>11009841.623616664</v>
      </c>
      <c r="X41" s="137">
        <f t="shared" si="2"/>
        <v>226534.48040203433</v>
      </c>
      <c r="Y41" s="137">
        <f t="shared" si="3"/>
        <v>57574.491523076686</v>
      </c>
      <c r="Z41" s="137">
        <f t="shared" si="4"/>
        <v>11079.444785175596</v>
      </c>
      <c r="AA41" s="137">
        <f t="shared" si="5"/>
        <v>177833.81523936152</v>
      </c>
      <c r="AB41" s="137">
        <f t="shared" si="7"/>
        <v>473022.23194964812</v>
      </c>
      <c r="AC41" s="69">
        <f t="shared" si="17"/>
        <v>60309.98833567994</v>
      </c>
      <c r="AD41" s="69">
        <f t="shared" si="17"/>
        <v>287611.39413117664</v>
      </c>
      <c r="AE41" s="84">
        <f t="shared" si="18"/>
        <v>347921.38246685656</v>
      </c>
      <c r="AF41" s="69">
        <f t="shared" si="9"/>
        <v>294908.41410610586</v>
      </c>
      <c r="AG41" s="69">
        <f t="shared" si="10"/>
        <v>508639.13118705602</v>
      </c>
      <c r="AH41" s="69">
        <f t="shared" si="11"/>
        <v>3015.4994167839973</v>
      </c>
      <c r="AI41" s="69">
        <f t="shared" si="12"/>
        <v>14380.569706558832</v>
      </c>
      <c r="AJ41" s="69">
        <f t="shared" si="13"/>
        <v>820943.61441650474</v>
      </c>
    </row>
    <row r="42" spans="1:36">
      <c r="O42" s="25">
        <f t="shared" si="16"/>
        <v>2020</v>
      </c>
      <c r="P42" s="137">
        <f>'Exhibit K,1'!G42-('Exhibit N,3'!I42+'Exhibit O,3'!I42)</f>
        <v>7029593.0477861008</v>
      </c>
      <c r="Q42" s="137">
        <f>'Exhibit K,1'!M42-('Exhibit L,3'!I42+'Exhibit M,3'!I42)</f>
        <v>696907.26965709997</v>
      </c>
      <c r="R42" s="137">
        <f>'Exhibit U,1'!O29</f>
        <v>458251.61518209329</v>
      </c>
      <c r="S42" s="137">
        <f>'Exhibit U,1'!Q29</f>
        <v>6080464.3004675303</v>
      </c>
      <c r="T42" s="137">
        <f t="shared" si="1"/>
        <v>14265216.233092824</v>
      </c>
      <c r="U42" s="137">
        <f>'Exhibit B,2'!W66</f>
        <v>541790.7168710765</v>
      </c>
      <c r="V42" s="137">
        <f>'Exhibit B,3'!AK66</f>
        <v>2793762.7769968766</v>
      </c>
      <c r="W42" s="137">
        <f t="shared" si="6"/>
        <v>3335553.4938679533</v>
      </c>
      <c r="X42" s="137">
        <f t="shared" si="2"/>
        <v>208611.31119606391</v>
      </c>
      <c r="Y42" s="137">
        <f t="shared" si="3"/>
        <v>20681.529971500033</v>
      </c>
      <c r="Z42" s="137">
        <f t="shared" si="4"/>
        <v>13599.147155603512</v>
      </c>
      <c r="AA42" s="137">
        <f t="shared" si="5"/>
        <v>180444.81690172313</v>
      </c>
      <c r="AB42" s="137">
        <f t="shared" si="7"/>
        <v>423336.80522489059</v>
      </c>
      <c r="AC42" s="69">
        <f t="shared" si="17"/>
        <v>15968.835575173067</v>
      </c>
      <c r="AD42" s="69">
        <f t="shared" si="17"/>
        <v>89641.890980148892</v>
      </c>
      <c r="AE42" s="84">
        <f t="shared" si="18"/>
        <v>105610.72655532196</v>
      </c>
      <c r="AF42" s="69">
        <f t="shared" si="9"/>
        <v>237380.85214808182</v>
      </c>
      <c r="AG42" s="69">
        <f t="shared" si="10"/>
        <v>286286.14330436464</v>
      </c>
      <c r="AH42" s="69">
        <f t="shared" si="11"/>
        <v>798.44177875865341</v>
      </c>
      <c r="AI42" s="69">
        <f t="shared" si="12"/>
        <v>4482.0945490074446</v>
      </c>
      <c r="AJ42" s="69">
        <f t="shared" si="13"/>
        <v>528947.53178021254</v>
      </c>
    </row>
    <row r="43" spans="1:36">
      <c r="O43" s="25">
        <f t="shared" si="16"/>
        <v>2021</v>
      </c>
      <c r="P43" s="137">
        <f>'Exhibit K,1'!G43-('Exhibit N,3'!I43+'Exhibit O,3'!I43)</f>
        <v>10165087.089791672</v>
      </c>
      <c r="Q43" s="137">
        <f>'Exhibit K,1'!M43-('Exhibit L,3'!I43+'Exhibit M,3'!I43)</f>
        <v>840323.187957132</v>
      </c>
      <c r="R43" s="137">
        <f>'Exhibit U,1'!O30</f>
        <v>1193156.919150156</v>
      </c>
      <c r="S43" s="137">
        <f>'Exhibit U,1'!Q30</f>
        <v>4997352.0787716797</v>
      </c>
      <c r="T43" s="137">
        <f t="shared" si="1"/>
        <v>17195919.27567064</v>
      </c>
      <c r="U43" s="137">
        <f>'Exhibit B,2'!W67</f>
        <v>4539166.1539251441</v>
      </c>
      <c r="V43" s="137">
        <f>'Exhibit B,3'!AK67</f>
        <v>4212048.2610546704</v>
      </c>
      <c r="W43" s="137">
        <f t="shared" si="6"/>
        <v>8751214.4149798155</v>
      </c>
      <c r="X43" s="137">
        <f t="shared" si="2"/>
        <v>301660.72656104446</v>
      </c>
      <c r="Y43" s="137">
        <f t="shared" si="3"/>
        <v>24937.563366261013</v>
      </c>
      <c r="Z43" s="137">
        <f t="shared" si="4"/>
        <v>35408.312782055065</v>
      </c>
      <c r="AA43" s="137">
        <f t="shared" si="5"/>
        <v>148302.20790508803</v>
      </c>
      <c r="AB43" s="137">
        <f t="shared" si="7"/>
        <v>510308.81061444856</v>
      </c>
      <c r="AC43" s="69">
        <f t="shared" si="17"/>
        <v>133788.18740017241</v>
      </c>
      <c r="AD43" s="69">
        <f t="shared" si="17"/>
        <v>135149.6176158734</v>
      </c>
      <c r="AE43" s="84">
        <f t="shared" si="18"/>
        <v>268937.80501604581</v>
      </c>
      <c r="AF43" s="69">
        <f t="shared" si="9"/>
        <v>464167.8173732633</v>
      </c>
      <c r="AG43" s="69">
        <f t="shared" si="10"/>
        <v>301631.90800642874</v>
      </c>
      <c r="AH43" s="69">
        <f t="shared" si="11"/>
        <v>6689.4093700086205</v>
      </c>
      <c r="AI43" s="69">
        <f t="shared" si="12"/>
        <v>6757.4808807936706</v>
      </c>
      <c r="AJ43" s="69">
        <f t="shared" si="13"/>
        <v>779246.61563049443</v>
      </c>
    </row>
    <row r="44" spans="1:36">
      <c r="O44" s="25">
        <f t="shared" si="16"/>
        <v>2022</v>
      </c>
      <c r="P44" s="137">
        <f>'Exhibit K,1'!G44-('Exhibit N,3'!I44+'Exhibit O,3'!I44)</f>
        <v>12750335.703999998</v>
      </c>
      <c r="Q44" s="137">
        <f>'Exhibit K,1'!M44-('Exhibit L,3'!I44+'Exhibit M,3'!I44)</f>
        <v>3098941.6849870766</v>
      </c>
      <c r="R44" s="137">
        <f>'Exhibit U,1'!O31</f>
        <v>1519205.4239999996</v>
      </c>
      <c r="S44" s="137">
        <f>'Exhibit U,1'!Q31</f>
        <v>3617432.1370738312</v>
      </c>
      <c r="T44" s="137">
        <f t="shared" si="1"/>
        <v>20985914.950060904</v>
      </c>
      <c r="U44" s="137">
        <f>'Exhibit B,2'!W68</f>
        <v>2404364.9582306887</v>
      </c>
      <c r="V44" s="137">
        <f>'Exhibit B,3'!AK68</f>
        <v>2499641.4487359389</v>
      </c>
      <c r="W44" s="137">
        <f t="shared" si="6"/>
        <v>4904006.4069666276</v>
      </c>
      <c r="X44" s="137">
        <f t="shared" si="2"/>
        <v>378380.97188842605</v>
      </c>
      <c r="Y44" s="137">
        <f t="shared" si="3"/>
        <v>91964.681857208532</v>
      </c>
      <c r="Z44" s="137">
        <f t="shared" si="4"/>
        <v>45084.179599361581</v>
      </c>
      <c r="AA44" s="137">
        <f t="shared" si="5"/>
        <v>107351.4862308305</v>
      </c>
      <c r="AB44" s="137">
        <f t="shared" si="7"/>
        <v>622781.31957582675</v>
      </c>
      <c r="AC44" s="69">
        <f>U44/U$46*AC$46</f>
        <v>70866.678747155616</v>
      </c>
      <c r="AD44" s="69">
        <f>V44/V$46*AD$46</f>
        <v>80204.585758678018</v>
      </c>
      <c r="AE44" s="84">
        <f t="shared" si="18"/>
        <v>151071.26450583362</v>
      </c>
      <c r="AF44" s="69">
        <f t="shared" si="9"/>
        <v>490788.49629758543</v>
      </c>
      <c r="AG44" s="69">
        <f t="shared" si="10"/>
        <v>275510.52455878316</v>
      </c>
      <c r="AH44" s="69">
        <f t="shared" si="11"/>
        <v>3543.333937357781</v>
      </c>
      <c r="AI44" s="69">
        <f t="shared" si="12"/>
        <v>4010.2292879339011</v>
      </c>
      <c r="AJ44" s="69">
        <f t="shared" si="13"/>
        <v>773852.58408166037</v>
      </c>
    </row>
    <row r="45" spans="1:36">
      <c r="O45" s="25"/>
      <c r="P45" s="105"/>
      <c r="Q45" s="105"/>
      <c r="R45" s="105"/>
      <c r="S45" s="105"/>
      <c r="T45" s="297"/>
      <c r="U45" s="297"/>
      <c r="V45" s="297"/>
      <c r="W45" s="297"/>
      <c r="X45" s="297"/>
      <c r="Y45" s="297"/>
      <c r="Z45" s="297"/>
      <c r="AA45" s="297"/>
      <c r="AB45" s="298"/>
      <c r="AC45" s="298"/>
      <c r="AD45" s="298"/>
      <c r="AE45" s="298"/>
      <c r="AF45" s="298"/>
      <c r="AG45" s="298"/>
      <c r="AH45" s="298"/>
      <c r="AI45" s="298"/>
      <c r="AJ45" s="298"/>
    </row>
    <row r="46" spans="1:36">
      <c r="O46" s="25" t="s">
        <v>0</v>
      </c>
      <c r="P46" s="68">
        <f t="shared" ref="P46:AA46" si="19">SUM(P16:P45)</f>
        <v>56468911.382853486</v>
      </c>
      <c r="Q46" s="68">
        <f t="shared" si="19"/>
        <v>8981471.8217357658</v>
      </c>
      <c r="R46" s="68">
        <f t="shared" si="19"/>
        <v>4844403.0990168666</v>
      </c>
      <c r="S46" s="68">
        <f t="shared" si="19"/>
        <v>43259685.061681345</v>
      </c>
      <c r="T46" s="122">
        <f t="shared" si="19"/>
        <v>113554471.36528745</v>
      </c>
      <c r="U46" s="122">
        <f t="shared" si="19"/>
        <v>10493207.14781378</v>
      </c>
      <c r="V46" s="122">
        <f t="shared" si="19"/>
        <v>33440777.96159412</v>
      </c>
      <c r="W46" s="122">
        <f t="shared" si="19"/>
        <v>43933985.109407902</v>
      </c>
      <c r="X46" s="122">
        <f t="shared" si="19"/>
        <v>1675780.3140683104</v>
      </c>
      <c r="Y46" s="122">
        <f t="shared" si="19"/>
        <v>266535.57332068915</v>
      </c>
      <c r="Z46" s="122">
        <f t="shared" si="19"/>
        <v>143763.26987612195</v>
      </c>
      <c r="AA46" s="122">
        <f t="shared" si="19"/>
        <v>1283781.2319005129</v>
      </c>
      <c r="AB46" s="122">
        <f>'Exhibit A,S2'!K50</f>
        <v>3369860.3891656343</v>
      </c>
      <c r="AC46" s="157">
        <f>'Exhibit B,2'!W72</f>
        <v>309278.64649910986</v>
      </c>
      <c r="AD46" s="157">
        <f>'Exhibit B,3'!AK72</f>
        <v>1072995.3870839826</v>
      </c>
      <c r="AE46" s="122">
        <f t="shared" ref="AE46:AI46" si="20">SUM(AE16:AE45)</f>
        <v>1382274.0335830925</v>
      </c>
      <c r="AF46" s="122">
        <f t="shared" si="20"/>
        <v>2113358.2981185867</v>
      </c>
      <c r="AG46" s="122">
        <f t="shared" si="20"/>
        <v>2569662.4229509858</v>
      </c>
      <c r="AH46" s="122">
        <f t="shared" si="20"/>
        <v>15463.932324955495</v>
      </c>
      <c r="AI46" s="122">
        <f t="shared" si="20"/>
        <v>53649.769354199139</v>
      </c>
      <c r="AJ46" s="122">
        <f t="shared" ref="AJ46" si="21">SUM(AJ16:AJ45)</f>
        <v>4752134.4227487277</v>
      </c>
    </row>
    <row r="47" spans="1:36">
      <c r="A47" s="64"/>
      <c r="B47" s="6"/>
      <c r="C47" s="3"/>
      <c r="AA47" s="61"/>
      <c r="AB47" s="61"/>
      <c r="AC47" s="61"/>
    </row>
    <row r="48" spans="1:36">
      <c r="A48" s="64"/>
      <c r="C48" s="3"/>
      <c r="X48" s="61"/>
      <c r="Z48" s="21">
        <f>Z46+AA46</f>
        <v>1427544.5017766349</v>
      </c>
      <c r="AA48" s="61" t="s">
        <v>685</v>
      </c>
      <c r="AB48" s="160">
        <f>SUM(AB16:AB44)-AB46</f>
        <v>0</v>
      </c>
      <c r="AC48" s="61"/>
      <c r="AF48" s="21">
        <f>AF46+AG46</f>
        <v>4683020.7210695725</v>
      </c>
      <c r="AH48" s="61" t="s">
        <v>685</v>
      </c>
      <c r="AI48" s="160">
        <f>SUM(AF46:AI46)-AB46-AE46</f>
        <v>0</v>
      </c>
      <c r="AJ48" s="21">
        <f>AJ46-AB46-AE46</f>
        <v>0</v>
      </c>
    </row>
    <row r="49" spans="1:35">
      <c r="A49" s="64"/>
      <c r="C49" s="3"/>
      <c r="O49" s="61"/>
      <c r="P49" s="61"/>
      <c r="Q49" s="61"/>
      <c r="R49" s="61"/>
      <c r="S49" s="61"/>
      <c r="T49" s="61"/>
      <c r="U49" s="61"/>
      <c r="V49" s="61"/>
      <c r="W49" s="61"/>
      <c r="X49" s="61"/>
      <c r="AA49" s="61" t="s">
        <v>685</v>
      </c>
      <c r="AB49" s="137">
        <f>SUM(X46:AA46)-AB46</f>
        <v>0</v>
      </c>
      <c r="AC49" s="61"/>
    </row>
    <row r="50" spans="1:35">
      <c r="A50" s="64"/>
      <c r="C50" s="3"/>
      <c r="O50" s="140"/>
      <c r="P50" s="140"/>
      <c r="Q50" s="140"/>
      <c r="R50" s="140"/>
      <c r="S50" s="140"/>
      <c r="T50" s="25" t="s">
        <v>1385</v>
      </c>
      <c r="U50" s="140"/>
      <c r="V50" s="140"/>
      <c r="W50" s="25" t="s">
        <v>703</v>
      </c>
      <c r="X50" s="61"/>
    </row>
    <row r="51" spans="1:35">
      <c r="O51" s="140"/>
      <c r="P51" s="25" t="s">
        <v>718</v>
      </c>
      <c r="Q51" s="25" t="s">
        <v>718</v>
      </c>
      <c r="R51" s="25" t="s">
        <v>279</v>
      </c>
      <c r="S51" s="25" t="s">
        <v>279</v>
      </c>
      <c r="T51" s="25" t="s">
        <v>9</v>
      </c>
      <c r="U51" s="25" t="s">
        <v>1766</v>
      </c>
      <c r="V51" s="25" t="s">
        <v>703</v>
      </c>
      <c r="W51" s="25" t="s">
        <v>9</v>
      </c>
      <c r="X51" s="25" t="s">
        <v>1385</v>
      </c>
      <c r="Y51" s="25" t="s">
        <v>1385</v>
      </c>
      <c r="Z51" s="25" t="s">
        <v>1385</v>
      </c>
      <c r="AA51" s="25" t="s">
        <v>1385</v>
      </c>
      <c r="AB51" s="25" t="s">
        <v>703</v>
      </c>
      <c r="AC51" s="25" t="s">
        <v>703</v>
      </c>
      <c r="AD51" s="25" t="s">
        <v>703</v>
      </c>
      <c r="AE51" s="25" t="s">
        <v>703</v>
      </c>
      <c r="AF51" s="25" t="s">
        <v>1385</v>
      </c>
      <c r="AG51" s="25" t="s">
        <v>1385</v>
      </c>
      <c r="AI51" s="25" t="s">
        <v>1769</v>
      </c>
    </row>
    <row r="52" spans="1:35">
      <c r="O52" s="25"/>
      <c r="P52" s="25" t="s">
        <v>5</v>
      </c>
      <c r="Q52" s="25" t="s">
        <v>719</v>
      </c>
      <c r="R52" s="25" t="s">
        <v>5</v>
      </c>
      <c r="S52" s="25" t="s">
        <v>395</v>
      </c>
      <c r="T52" s="25" t="s">
        <v>0</v>
      </c>
      <c r="U52" s="25" t="s">
        <v>5</v>
      </c>
      <c r="V52" s="25" t="s">
        <v>395</v>
      </c>
      <c r="W52" s="25" t="s">
        <v>0</v>
      </c>
      <c r="X52" s="25" t="s">
        <v>5</v>
      </c>
      <c r="Y52" s="25" t="s">
        <v>395</v>
      </c>
      <c r="Z52" s="25" t="s">
        <v>5</v>
      </c>
      <c r="AA52" s="25" t="s">
        <v>395</v>
      </c>
      <c r="AB52" s="25" t="s">
        <v>5</v>
      </c>
      <c r="AC52" s="25" t="s">
        <v>395</v>
      </c>
      <c r="AD52" s="25" t="s">
        <v>5</v>
      </c>
      <c r="AE52" s="25" t="s">
        <v>395</v>
      </c>
      <c r="AF52" s="25" t="s">
        <v>5</v>
      </c>
      <c r="AG52" s="25" t="s">
        <v>395</v>
      </c>
      <c r="AI52" s="25" t="s">
        <v>1770</v>
      </c>
    </row>
    <row r="53" spans="1:35">
      <c r="O53" s="25" t="s">
        <v>3</v>
      </c>
      <c r="P53" s="25" t="s">
        <v>1768</v>
      </c>
      <c r="Q53" s="25" t="s">
        <v>1768</v>
      </c>
      <c r="R53" s="25" t="s">
        <v>1768</v>
      </c>
      <c r="S53" s="25" t="s">
        <v>1768</v>
      </c>
      <c r="T53" s="25" t="s">
        <v>1768</v>
      </c>
      <c r="U53" s="25" t="s">
        <v>1768</v>
      </c>
      <c r="V53" s="25" t="s">
        <v>1768</v>
      </c>
      <c r="W53" s="25" t="s">
        <v>1768</v>
      </c>
      <c r="X53" s="25" t="s">
        <v>1768</v>
      </c>
      <c r="Y53" s="25" t="s">
        <v>1768</v>
      </c>
      <c r="Z53" s="25" t="s">
        <v>9</v>
      </c>
      <c r="AA53" s="25" t="s">
        <v>9</v>
      </c>
      <c r="AB53" s="25" t="s">
        <v>9</v>
      </c>
      <c r="AC53" s="25" t="s">
        <v>9</v>
      </c>
      <c r="AD53" s="25" t="s">
        <v>17</v>
      </c>
      <c r="AE53" s="25" t="s">
        <v>17</v>
      </c>
      <c r="AF53" s="25" t="s">
        <v>287</v>
      </c>
      <c r="AG53" s="25" t="s">
        <v>287</v>
      </c>
      <c r="AI53" s="25" t="s">
        <v>9</v>
      </c>
    </row>
    <row r="54" spans="1:35">
      <c r="O54" s="25" t="s">
        <v>4</v>
      </c>
      <c r="P54" s="25" t="s">
        <v>1664</v>
      </c>
      <c r="Q54" s="25" t="s">
        <v>1664</v>
      </c>
      <c r="R54" s="25" t="s">
        <v>1664</v>
      </c>
      <c r="S54" s="25" t="s">
        <v>1664</v>
      </c>
      <c r="T54" s="25" t="s">
        <v>1664</v>
      </c>
      <c r="U54" s="25" t="s">
        <v>1664</v>
      </c>
      <c r="V54" s="25" t="s">
        <v>1664</v>
      </c>
      <c r="W54" s="25" t="s">
        <v>1664</v>
      </c>
      <c r="X54" s="25" t="s">
        <v>1664</v>
      </c>
      <c r="Y54" s="25" t="s">
        <v>1664</v>
      </c>
      <c r="Z54" s="25" t="s">
        <v>113</v>
      </c>
      <c r="AA54" s="25" t="s">
        <v>113</v>
      </c>
      <c r="AB54" s="25" t="s">
        <v>113</v>
      </c>
      <c r="AC54" s="25" t="s">
        <v>113</v>
      </c>
      <c r="AD54" s="25" t="s">
        <v>113</v>
      </c>
      <c r="AE54" s="25" t="s">
        <v>113</v>
      </c>
      <c r="AF54" s="25" t="s">
        <v>113</v>
      </c>
      <c r="AG54" s="25" t="s">
        <v>113</v>
      </c>
      <c r="AI54" s="25" t="s">
        <v>113</v>
      </c>
    </row>
    <row r="55" spans="1:35">
      <c r="O55" s="293">
        <v>-5</v>
      </c>
      <c r="P55" s="293">
        <v>-6</v>
      </c>
      <c r="Q55" s="293">
        <v>-7</v>
      </c>
      <c r="R55" s="293">
        <v>-8</v>
      </c>
      <c r="S55" s="293">
        <v>-9</v>
      </c>
      <c r="T55" s="293">
        <v>-10</v>
      </c>
      <c r="U55" s="293">
        <f t="shared" ref="U55:Z55" si="22">T55-1</f>
        <v>-11</v>
      </c>
      <c r="V55" s="293">
        <f t="shared" si="22"/>
        <v>-12</v>
      </c>
      <c r="W55" s="293">
        <f t="shared" si="22"/>
        <v>-13</v>
      </c>
      <c r="X55" s="293">
        <f t="shared" si="22"/>
        <v>-14</v>
      </c>
      <c r="Y55" s="293">
        <f t="shared" si="22"/>
        <v>-15</v>
      </c>
      <c r="Z55" s="293">
        <f t="shared" si="22"/>
        <v>-16</v>
      </c>
      <c r="AA55" s="293">
        <f>Z55-1</f>
        <v>-17</v>
      </c>
      <c r="AB55" s="293">
        <f>AA55-1</f>
        <v>-18</v>
      </c>
      <c r="AC55" s="293">
        <f>AB55-1</f>
        <v>-19</v>
      </c>
      <c r="AD55" s="293">
        <f>AC55-1</f>
        <v>-20</v>
      </c>
      <c r="AE55" s="293">
        <f>AD55-1</f>
        <v>-21</v>
      </c>
      <c r="AF55" s="293">
        <f t="shared" ref="AF55" si="23">AE55-1</f>
        <v>-22</v>
      </c>
      <c r="AG55" s="293">
        <f>AF55-1</f>
        <v>-23</v>
      </c>
      <c r="AI55" s="293">
        <f>AH55-1</f>
        <v>-1</v>
      </c>
    </row>
    <row r="57" spans="1:35">
      <c r="O57" s="97" t="s">
        <v>2</v>
      </c>
      <c r="AI57" s="235">
        <f>AA57+AB57+AC57+Z57</f>
        <v>0</v>
      </c>
    </row>
    <row r="58" spans="1:35">
      <c r="O58" s="25">
        <v>1994</v>
      </c>
      <c r="P58" s="223">
        <f>('Exhibit B,S2'!AB17+'Exhibit B,S2'!AC17)-('Exhibit B,S3'!AB17+'Exhibit B,S3'!AC17)</f>
        <v>0</v>
      </c>
      <c r="Q58" s="223">
        <f>('Exhibit B,S2'!AD17+'Exhibit B,S2'!AE17)-('Exhibit B,S3'!AD17+'Exhibit B,S3'!AE17)</f>
        <v>0</v>
      </c>
      <c r="R58" s="223">
        <f>'Exhibit B,S2'!AF17-'Exhibit B,S3'!AF17</f>
        <v>0</v>
      </c>
      <c r="S58" s="223">
        <f>'Exhibit B,S2'!AG17-'Exhibit B,S3'!AG17</f>
        <v>0</v>
      </c>
      <c r="T58" s="616">
        <f>SUM(P58:S58)</f>
        <v>0</v>
      </c>
      <c r="W58" s="223">
        <f>U58+V58</f>
        <v>0</v>
      </c>
      <c r="X58" s="223">
        <f>P58+R58</f>
        <v>0</v>
      </c>
      <c r="Y58" s="223">
        <f>Q58+S58</f>
        <v>0</v>
      </c>
      <c r="Z58" s="617">
        <f>(X58)/($X$88+$Y$88)*$Z$90</f>
        <v>0</v>
      </c>
      <c r="AA58" s="617">
        <f>(Y58)/($X$88+$Y$88)*$Z$90</f>
        <v>0</v>
      </c>
      <c r="AB58" s="615"/>
      <c r="AC58" s="615"/>
      <c r="AI58" s="69">
        <f t="shared" ref="AI58:AI86" si="24">AA58+AB58+AC58+Z58</f>
        <v>0</v>
      </c>
    </row>
    <row r="59" spans="1:35">
      <c r="O59" s="25">
        <f>O58+1</f>
        <v>1995</v>
      </c>
      <c r="P59" s="69">
        <f>('Exhibit B,S2'!AB18+'Exhibit B,S2'!AC18)-('Exhibit B,S3'!AB18+'Exhibit B,S3'!AC18)</f>
        <v>0</v>
      </c>
      <c r="Q59" s="69">
        <f>('Exhibit B,S2'!AD18+'Exhibit B,S2'!AE18)-('Exhibit B,S3'!AD18+'Exhibit B,S3'!AE18)</f>
        <v>0</v>
      </c>
      <c r="R59" s="69">
        <f>'Exhibit B,S2'!AF18-'Exhibit B,S3'!AF18</f>
        <v>0</v>
      </c>
      <c r="S59" s="69">
        <f>'Exhibit B,S2'!AG18-'Exhibit B,S3'!AG18</f>
        <v>0</v>
      </c>
      <c r="T59" s="137">
        <f t="shared" ref="T59:T86" si="25">SUM(P59:S59)</f>
        <v>0</v>
      </c>
      <c r="W59" s="69">
        <f t="shared" ref="W59:W86" si="26">U59+V59</f>
        <v>0</v>
      </c>
      <c r="X59" s="69">
        <f t="shared" ref="X59:X86" si="27">P59+R59</f>
        <v>0</v>
      </c>
      <c r="Y59" s="69">
        <f t="shared" ref="Y59:Y86" si="28">Q59+S59</f>
        <v>0</v>
      </c>
      <c r="Z59" s="69">
        <f t="shared" ref="Z59:AA86" si="29">(X59)/($X$88+$Y$88)*$Z$90</f>
        <v>0</v>
      </c>
      <c r="AA59" s="69">
        <f t="shared" si="29"/>
        <v>0</v>
      </c>
      <c r="AB59" s="69"/>
      <c r="AC59" s="69"/>
      <c r="AI59" s="69">
        <f t="shared" si="24"/>
        <v>0</v>
      </c>
    </row>
    <row r="60" spans="1:35">
      <c r="O60" s="25">
        <f t="shared" ref="O60:O86" si="30">O59+1</f>
        <v>1996</v>
      </c>
      <c r="P60" s="69">
        <f>('Exhibit B,S2'!AB19+'Exhibit B,S2'!AC19)-('Exhibit B,S3'!AB19+'Exhibit B,S3'!AC19)</f>
        <v>0</v>
      </c>
      <c r="Q60" s="69">
        <f>('Exhibit B,S2'!AD19+'Exhibit B,S2'!AE19)-('Exhibit B,S3'!AD19+'Exhibit B,S3'!AE19)</f>
        <v>0</v>
      </c>
      <c r="R60" s="69">
        <f>'Exhibit B,S2'!AF19-'Exhibit B,S3'!AF19</f>
        <v>0</v>
      </c>
      <c r="S60" s="69">
        <f>'Exhibit B,S2'!AG19-'Exhibit B,S3'!AG19</f>
        <v>0</v>
      </c>
      <c r="T60" s="137">
        <f t="shared" si="25"/>
        <v>0</v>
      </c>
      <c r="W60" s="69">
        <f t="shared" si="26"/>
        <v>0</v>
      </c>
      <c r="X60" s="69">
        <f t="shared" si="27"/>
        <v>0</v>
      </c>
      <c r="Y60" s="69">
        <f t="shared" si="28"/>
        <v>0</v>
      </c>
      <c r="Z60" s="69">
        <f t="shared" si="29"/>
        <v>0</v>
      </c>
      <c r="AA60" s="69">
        <f t="shared" si="29"/>
        <v>0</v>
      </c>
      <c r="AB60" s="69"/>
      <c r="AC60" s="69"/>
      <c r="AI60" s="69">
        <f t="shared" si="24"/>
        <v>0</v>
      </c>
    </row>
    <row r="61" spans="1:35">
      <c r="O61" s="25">
        <f t="shared" si="30"/>
        <v>1997</v>
      </c>
      <c r="P61" s="69">
        <f>('Exhibit B,S2'!AB20+'Exhibit B,S2'!AC20)-('Exhibit B,S3'!AB20+'Exhibit B,S3'!AC20)</f>
        <v>0</v>
      </c>
      <c r="Q61" s="69">
        <f>('Exhibit B,S2'!AD20+'Exhibit B,S2'!AE20)-('Exhibit B,S3'!AD20+'Exhibit B,S3'!AE20)</f>
        <v>0</v>
      </c>
      <c r="R61" s="69">
        <f>'Exhibit B,S2'!AF20-'Exhibit B,S3'!AF20</f>
        <v>0</v>
      </c>
      <c r="S61" s="69">
        <f>'Exhibit B,S2'!AG20-'Exhibit B,S3'!AG20</f>
        <v>0</v>
      </c>
      <c r="T61" s="137">
        <f t="shared" si="25"/>
        <v>0</v>
      </c>
      <c r="W61" s="69">
        <f t="shared" si="26"/>
        <v>0</v>
      </c>
      <c r="X61" s="69">
        <f t="shared" si="27"/>
        <v>0</v>
      </c>
      <c r="Y61" s="69">
        <f t="shared" si="28"/>
        <v>0</v>
      </c>
      <c r="Z61" s="69">
        <f t="shared" si="29"/>
        <v>0</v>
      </c>
      <c r="AA61" s="69">
        <f t="shared" si="29"/>
        <v>0</v>
      </c>
      <c r="AB61" s="69"/>
      <c r="AC61" s="69"/>
      <c r="AI61" s="69">
        <f t="shared" si="24"/>
        <v>0</v>
      </c>
    </row>
    <row r="62" spans="1:35">
      <c r="O62" s="25">
        <f t="shared" si="30"/>
        <v>1998</v>
      </c>
      <c r="P62" s="69">
        <f>('Exhibit B,S2'!AB21+'Exhibit B,S2'!AC21)-('Exhibit B,S3'!AB21+'Exhibit B,S3'!AC21)</f>
        <v>0</v>
      </c>
      <c r="Q62" s="69">
        <f>('Exhibit B,S2'!AD21+'Exhibit B,S2'!AE21)-('Exhibit B,S3'!AD21+'Exhibit B,S3'!AE21)</f>
        <v>0</v>
      </c>
      <c r="R62" s="69">
        <f>'Exhibit B,S2'!AF21-'Exhibit B,S3'!AF21</f>
        <v>0</v>
      </c>
      <c r="S62" s="69">
        <f>'Exhibit B,S2'!AG21-'Exhibit B,S3'!AG21</f>
        <v>0</v>
      </c>
      <c r="T62" s="137">
        <f t="shared" si="25"/>
        <v>0</v>
      </c>
      <c r="W62" s="69">
        <f t="shared" si="26"/>
        <v>0</v>
      </c>
      <c r="X62" s="69">
        <f t="shared" si="27"/>
        <v>0</v>
      </c>
      <c r="Y62" s="69">
        <f t="shared" si="28"/>
        <v>0</v>
      </c>
      <c r="Z62" s="69">
        <f t="shared" si="29"/>
        <v>0</v>
      </c>
      <c r="AA62" s="69">
        <f t="shared" si="29"/>
        <v>0</v>
      </c>
      <c r="AB62" s="69"/>
      <c r="AC62" s="69"/>
      <c r="AI62" s="69">
        <f t="shared" si="24"/>
        <v>0</v>
      </c>
    </row>
    <row r="63" spans="1:35">
      <c r="O63" s="25">
        <f t="shared" si="30"/>
        <v>1999</v>
      </c>
      <c r="P63" s="69">
        <f>('Exhibit B,S2'!AB22+'Exhibit B,S2'!AC22)-('Exhibit B,S3'!AB22+'Exhibit B,S3'!AC22)</f>
        <v>0</v>
      </c>
      <c r="Q63" s="69">
        <f>('Exhibit B,S2'!AD22+'Exhibit B,S2'!AE22)-('Exhibit B,S3'!AD22+'Exhibit B,S3'!AE22)</f>
        <v>0</v>
      </c>
      <c r="R63" s="69">
        <f>'Exhibit B,S2'!AF22-'Exhibit B,S3'!AF22</f>
        <v>0</v>
      </c>
      <c r="S63" s="69">
        <f>'Exhibit B,S2'!AG22-'Exhibit B,S3'!AG22</f>
        <v>0</v>
      </c>
      <c r="T63" s="137">
        <f t="shared" si="25"/>
        <v>0</v>
      </c>
      <c r="W63" s="69">
        <f t="shared" si="26"/>
        <v>0</v>
      </c>
      <c r="X63" s="69">
        <f t="shared" si="27"/>
        <v>0</v>
      </c>
      <c r="Y63" s="69">
        <f t="shared" si="28"/>
        <v>0</v>
      </c>
      <c r="Z63" s="69">
        <f t="shared" si="29"/>
        <v>0</v>
      </c>
      <c r="AA63" s="69">
        <f t="shared" si="29"/>
        <v>0</v>
      </c>
      <c r="AB63" s="69"/>
      <c r="AC63" s="69"/>
      <c r="AI63" s="69">
        <f t="shared" si="24"/>
        <v>0</v>
      </c>
    </row>
    <row r="64" spans="1:35">
      <c r="O64" s="25">
        <f t="shared" si="30"/>
        <v>2000</v>
      </c>
      <c r="P64" s="69">
        <f>('Exhibit B,S2'!AB23+'Exhibit B,S2'!AC23)-('Exhibit B,S3'!AB23+'Exhibit B,S3'!AC23)</f>
        <v>0</v>
      </c>
      <c r="Q64" s="69">
        <f>('Exhibit B,S2'!AD23+'Exhibit B,S2'!AE23)-('Exhibit B,S3'!AD23+'Exhibit B,S3'!AE23)</f>
        <v>0</v>
      </c>
      <c r="R64" s="69">
        <f>'Exhibit B,S2'!AF23-'Exhibit B,S3'!AF23</f>
        <v>0</v>
      </c>
      <c r="S64" s="69">
        <f>'Exhibit B,S2'!AG23-'Exhibit B,S3'!AG23</f>
        <v>0</v>
      </c>
      <c r="T64" s="137">
        <f t="shared" si="25"/>
        <v>0</v>
      </c>
      <c r="W64" s="69">
        <f t="shared" si="26"/>
        <v>0</v>
      </c>
      <c r="X64" s="69">
        <f t="shared" si="27"/>
        <v>0</v>
      </c>
      <c r="Y64" s="69">
        <f t="shared" si="28"/>
        <v>0</v>
      </c>
      <c r="Z64" s="69">
        <f t="shared" si="29"/>
        <v>0</v>
      </c>
      <c r="AA64" s="69">
        <f t="shared" si="29"/>
        <v>0</v>
      </c>
      <c r="AB64" s="69"/>
      <c r="AC64" s="69"/>
      <c r="AI64" s="69">
        <f t="shared" si="24"/>
        <v>0</v>
      </c>
    </row>
    <row r="65" spans="15:35">
      <c r="O65" s="25">
        <f t="shared" si="30"/>
        <v>2001</v>
      </c>
      <c r="P65" s="69">
        <f>('Exhibit B,S2'!AB24+'Exhibit B,S2'!AC24)-('Exhibit B,S3'!AB24+'Exhibit B,S3'!AC24)</f>
        <v>0</v>
      </c>
      <c r="Q65" s="69">
        <f>('Exhibit B,S2'!AD24+'Exhibit B,S2'!AE24)-('Exhibit B,S3'!AD24+'Exhibit B,S3'!AE24)</f>
        <v>0</v>
      </c>
      <c r="R65" s="69">
        <f>'Exhibit B,S2'!AF24-'Exhibit B,S3'!AF24</f>
        <v>0</v>
      </c>
      <c r="S65" s="69">
        <f>'Exhibit B,S2'!AG24-'Exhibit B,S3'!AG24</f>
        <v>0</v>
      </c>
      <c r="T65" s="137">
        <f t="shared" si="25"/>
        <v>0</v>
      </c>
      <c r="W65" s="69">
        <f t="shared" si="26"/>
        <v>0</v>
      </c>
      <c r="X65" s="69">
        <f t="shared" si="27"/>
        <v>0</v>
      </c>
      <c r="Y65" s="69">
        <f t="shared" si="28"/>
        <v>0</v>
      </c>
      <c r="Z65" s="69">
        <f t="shared" si="29"/>
        <v>0</v>
      </c>
      <c r="AA65" s="69">
        <f t="shared" si="29"/>
        <v>0</v>
      </c>
      <c r="AB65" s="69"/>
      <c r="AC65" s="69"/>
      <c r="AI65" s="69">
        <f t="shared" si="24"/>
        <v>0</v>
      </c>
    </row>
    <row r="66" spans="15:35">
      <c r="O66" s="25">
        <f t="shared" si="30"/>
        <v>2002</v>
      </c>
      <c r="P66" s="69">
        <f>('Exhibit B,S2'!AB25+'Exhibit B,S2'!AC25)-('Exhibit B,S3'!AB25+'Exhibit B,S3'!AC25)</f>
        <v>0</v>
      </c>
      <c r="Q66" s="69">
        <f>('Exhibit B,S2'!AD25+'Exhibit B,S2'!AE25)-('Exhibit B,S3'!AD25+'Exhibit B,S3'!AE25)</f>
        <v>0</v>
      </c>
      <c r="R66" s="69">
        <f>'Exhibit B,S2'!AF25-'Exhibit B,S3'!AF25</f>
        <v>0</v>
      </c>
      <c r="S66" s="69">
        <f>'Exhibit B,S2'!AG25-'Exhibit B,S3'!AG25</f>
        <v>0</v>
      </c>
      <c r="T66" s="137">
        <f t="shared" si="25"/>
        <v>0</v>
      </c>
      <c r="W66" s="69">
        <f t="shared" si="26"/>
        <v>0</v>
      </c>
      <c r="X66" s="69">
        <f t="shared" si="27"/>
        <v>0</v>
      </c>
      <c r="Y66" s="69">
        <f t="shared" si="28"/>
        <v>0</v>
      </c>
      <c r="Z66" s="69">
        <f t="shared" si="29"/>
        <v>0</v>
      </c>
      <c r="AA66" s="69">
        <f t="shared" si="29"/>
        <v>0</v>
      </c>
      <c r="AB66" s="69"/>
      <c r="AC66" s="69"/>
      <c r="AI66" s="69">
        <f t="shared" si="24"/>
        <v>0</v>
      </c>
    </row>
    <row r="67" spans="15:35">
      <c r="O67" s="25">
        <f t="shared" si="30"/>
        <v>2003</v>
      </c>
      <c r="P67" s="69">
        <f>('Exhibit B,S2'!AB26+'Exhibit B,S2'!AC26)-('Exhibit B,S3'!AB26+'Exhibit B,S3'!AC26)</f>
        <v>0</v>
      </c>
      <c r="Q67" s="69">
        <f>('Exhibit B,S2'!AD26+'Exhibit B,S2'!AE26)-('Exhibit B,S3'!AD26+'Exhibit B,S3'!AE26)</f>
        <v>0</v>
      </c>
      <c r="R67" s="69">
        <f>'Exhibit B,S2'!AF26-'Exhibit B,S3'!AF26</f>
        <v>0</v>
      </c>
      <c r="S67" s="69">
        <f>'Exhibit B,S2'!AG26-'Exhibit B,S3'!AG26</f>
        <v>0</v>
      </c>
      <c r="T67" s="137">
        <f t="shared" si="25"/>
        <v>0</v>
      </c>
      <c r="W67" s="69">
        <f t="shared" si="26"/>
        <v>0</v>
      </c>
      <c r="X67" s="69">
        <f t="shared" si="27"/>
        <v>0</v>
      </c>
      <c r="Y67" s="69">
        <f t="shared" si="28"/>
        <v>0</v>
      </c>
      <c r="Z67" s="69">
        <f t="shared" si="29"/>
        <v>0</v>
      </c>
      <c r="AA67" s="69">
        <f t="shared" si="29"/>
        <v>0</v>
      </c>
      <c r="AB67" s="69"/>
      <c r="AC67" s="69"/>
      <c r="AI67" s="69">
        <f t="shared" si="24"/>
        <v>0</v>
      </c>
    </row>
    <row r="68" spans="15:35">
      <c r="O68" s="25">
        <f t="shared" si="30"/>
        <v>2004</v>
      </c>
      <c r="P68" s="69">
        <f>('Exhibit B,S2'!AB27+'Exhibit B,S2'!AC27)-('Exhibit B,S3'!AB27+'Exhibit B,S3'!AC27)</f>
        <v>0</v>
      </c>
      <c r="Q68" s="69">
        <f>('Exhibit B,S2'!AD27+'Exhibit B,S2'!AE27)-('Exhibit B,S3'!AD27+'Exhibit B,S3'!AE27)</f>
        <v>5000</v>
      </c>
      <c r="R68" s="69">
        <f>'Exhibit B,S2'!AF27-'Exhibit B,S3'!AF27</f>
        <v>0</v>
      </c>
      <c r="S68" s="69">
        <f>'Exhibit B,S2'!AG27-'Exhibit B,S3'!AG27</f>
        <v>0</v>
      </c>
      <c r="T68" s="137">
        <f t="shared" si="25"/>
        <v>5000</v>
      </c>
      <c r="U68" s="137"/>
      <c r="V68" s="137"/>
      <c r="W68" s="69">
        <f t="shared" si="26"/>
        <v>0</v>
      </c>
      <c r="X68" s="69">
        <f t="shared" si="27"/>
        <v>0</v>
      </c>
      <c r="Y68" s="69">
        <f t="shared" si="28"/>
        <v>5000</v>
      </c>
      <c r="Z68" s="69">
        <f t="shared" si="29"/>
        <v>0</v>
      </c>
      <c r="AA68" s="69">
        <f t="shared" si="29"/>
        <v>204.67621128115022</v>
      </c>
      <c r="AB68" s="69"/>
      <c r="AC68" s="69"/>
      <c r="AI68" s="69">
        <f t="shared" si="24"/>
        <v>204.67621128115022</v>
      </c>
    </row>
    <row r="69" spans="15:35">
      <c r="O69" s="25">
        <f t="shared" si="30"/>
        <v>2005</v>
      </c>
      <c r="P69" s="69">
        <f>('Exhibit B,S2'!AB28+'Exhibit B,S2'!AC28)-('Exhibit B,S3'!AB28+'Exhibit B,S3'!AC28)</f>
        <v>0</v>
      </c>
      <c r="Q69" s="69">
        <f>('Exhibit B,S2'!AD28+'Exhibit B,S2'!AE28)-('Exhibit B,S3'!AD28+'Exhibit B,S3'!AE28)</f>
        <v>0</v>
      </c>
      <c r="R69" s="69">
        <f>'Exhibit B,S2'!AF28-'Exhibit B,S3'!AF28</f>
        <v>0</v>
      </c>
      <c r="S69" s="69">
        <f>'Exhibit B,S2'!AG28-'Exhibit B,S3'!AG28</f>
        <v>0</v>
      </c>
      <c r="T69" s="137">
        <f t="shared" si="25"/>
        <v>0</v>
      </c>
      <c r="U69" s="137"/>
      <c r="V69" s="137"/>
      <c r="W69" s="69">
        <f t="shared" si="26"/>
        <v>0</v>
      </c>
      <c r="X69" s="69">
        <f t="shared" si="27"/>
        <v>0</v>
      </c>
      <c r="Y69" s="69">
        <f t="shared" si="28"/>
        <v>0</v>
      </c>
      <c r="Z69" s="69">
        <f t="shared" si="29"/>
        <v>0</v>
      </c>
      <c r="AA69" s="69">
        <f t="shared" si="29"/>
        <v>0</v>
      </c>
      <c r="AB69" s="69"/>
      <c r="AC69" s="69"/>
      <c r="AI69" s="69">
        <f t="shared" si="24"/>
        <v>0</v>
      </c>
    </row>
    <row r="70" spans="15:35">
      <c r="O70" s="25">
        <f t="shared" si="30"/>
        <v>2006</v>
      </c>
      <c r="P70" s="69">
        <f>('Exhibit B,S2'!AB29+'Exhibit B,S2'!AC29)-('Exhibit B,S3'!AB29+'Exhibit B,S3'!AC29)</f>
        <v>2681.5</v>
      </c>
      <c r="Q70" s="69">
        <f>('Exhibit B,S2'!AD29+'Exhibit B,S2'!AE29)-('Exhibit B,S3'!AD29+'Exhibit B,S3'!AE29)</f>
        <v>30485.269999999997</v>
      </c>
      <c r="R70" s="69">
        <f>'Exhibit B,S2'!AF29-'Exhibit B,S3'!AF29</f>
        <v>0</v>
      </c>
      <c r="S70" s="69">
        <f>'Exhibit B,S2'!AG29-'Exhibit B,S3'!AG29</f>
        <v>-0.27999999999883585</v>
      </c>
      <c r="T70" s="137">
        <f t="shared" si="25"/>
        <v>33166.49</v>
      </c>
      <c r="U70" s="137"/>
      <c r="V70" s="137"/>
      <c r="W70" s="69">
        <f t="shared" si="26"/>
        <v>0</v>
      </c>
      <c r="X70" s="69">
        <f t="shared" si="27"/>
        <v>2681.5</v>
      </c>
      <c r="Y70" s="69">
        <f t="shared" si="28"/>
        <v>30484.989999999998</v>
      </c>
      <c r="Z70" s="69">
        <f t="shared" si="29"/>
        <v>109.76785211008087</v>
      </c>
      <c r="AA70" s="69">
        <f t="shared" si="29"/>
        <v>1247.9104508287503</v>
      </c>
      <c r="AB70" s="69"/>
      <c r="AC70" s="69"/>
      <c r="AI70" s="69">
        <f t="shared" si="24"/>
        <v>1357.6783029388312</v>
      </c>
    </row>
    <row r="71" spans="15:35">
      <c r="O71" s="25">
        <f t="shared" si="30"/>
        <v>2007</v>
      </c>
      <c r="P71" s="69">
        <f>('Exhibit B,S2'!AB30+'Exhibit B,S2'!AC30)-('Exhibit B,S3'!AB30+'Exhibit B,S3'!AC30)</f>
        <v>0</v>
      </c>
      <c r="Q71" s="69">
        <f>('Exhibit B,S2'!AD30+'Exhibit B,S2'!AE30)-('Exhibit B,S3'!AD30+'Exhibit B,S3'!AE30)</f>
        <v>0</v>
      </c>
      <c r="R71" s="69">
        <f>'Exhibit B,S2'!AF30-'Exhibit B,S3'!AF30</f>
        <v>0</v>
      </c>
      <c r="S71" s="69">
        <f>'Exhibit B,S2'!AG30-'Exhibit B,S3'!AG30</f>
        <v>0</v>
      </c>
      <c r="T71" s="137">
        <f t="shared" si="25"/>
        <v>0</v>
      </c>
      <c r="U71" s="137"/>
      <c r="V71" s="137"/>
      <c r="W71" s="69">
        <f t="shared" si="26"/>
        <v>0</v>
      </c>
      <c r="X71" s="69">
        <f t="shared" si="27"/>
        <v>0</v>
      </c>
      <c r="Y71" s="69">
        <f t="shared" si="28"/>
        <v>0</v>
      </c>
      <c r="Z71" s="69">
        <f t="shared" si="29"/>
        <v>0</v>
      </c>
      <c r="AA71" s="69">
        <f t="shared" si="29"/>
        <v>0</v>
      </c>
      <c r="AB71" s="69"/>
      <c r="AC71" s="69"/>
      <c r="AI71" s="69">
        <f t="shared" si="24"/>
        <v>0</v>
      </c>
    </row>
    <row r="72" spans="15:35">
      <c r="O72" s="25">
        <f t="shared" si="30"/>
        <v>2008</v>
      </c>
      <c r="P72" s="69">
        <f>('Exhibit B,S2'!AB31+'Exhibit B,S2'!AC31)-('Exhibit B,S3'!AB31+'Exhibit B,S3'!AC31)</f>
        <v>0</v>
      </c>
      <c r="Q72" s="69">
        <f>('Exhibit B,S2'!AD31+'Exhibit B,S2'!AE31)-('Exhibit B,S3'!AD31+'Exhibit B,S3'!AE31)</f>
        <v>0</v>
      </c>
      <c r="R72" s="69">
        <f>'Exhibit B,S2'!AF31-'Exhibit B,S3'!AF31</f>
        <v>0</v>
      </c>
      <c r="S72" s="69">
        <f>'Exhibit B,S2'!AG31-'Exhibit B,S3'!AG31</f>
        <v>0</v>
      </c>
      <c r="T72" s="137">
        <f t="shared" si="25"/>
        <v>0</v>
      </c>
      <c r="U72" s="137"/>
      <c r="V72" s="137"/>
      <c r="W72" s="69">
        <f t="shared" si="26"/>
        <v>0</v>
      </c>
      <c r="X72" s="69">
        <f t="shared" si="27"/>
        <v>0</v>
      </c>
      <c r="Y72" s="69">
        <f t="shared" si="28"/>
        <v>0</v>
      </c>
      <c r="Z72" s="69">
        <f t="shared" si="29"/>
        <v>0</v>
      </c>
      <c r="AA72" s="69">
        <f t="shared" si="29"/>
        <v>0</v>
      </c>
      <c r="AB72" s="69"/>
      <c r="AC72" s="69"/>
      <c r="AI72" s="69">
        <f t="shared" si="24"/>
        <v>0</v>
      </c>
    </row>
    <row r="73" spans="15:35">
      <c r="O73" s="25">
        <f t="shared" si="30"/>
        <v>2009</v>
      </c>
      <c r="P73" s="69">
        <f>('Exhibit B,S2'!AB32+'Exhibit B,S2'!AC32)-('Exhibit B,S3'!AB32+'Exhibit B,S3'!AC32)</f>
        <v>0</v>
      </c>
      <c r="Q73" s="69">
        <f>('Exhibit B,S2'!AD32+'Exhibit B,S2'!AE32)-('Exhibit B,S3'!AD32+'Exhibit B,S3'!AE32)</f>
        <v>0</v>
      </c>
      <c r="R73" s="69">
        <f>'Exhibit B,S2'!AF32-'Exhibit B,S3'!AF32</f>
        <v>0</v>
      </c>
      <c r="S73" s="69">
        <f>'Exhibit B,S2'!AG32-'Exhibit B,S3'!AG32</f>
        <v>0</v>
      </c>
      <c r="T73" s="137">
        <f t="shared" si="25"/>
        <v>0</v>
      </c>
      <c r="U73" s="137"/>
      <c r="V73" s="137"/>
      <c r="W73" s="69">
        <f t="shared" si="26"/>
        <v>0</v>
      </c>
      <c r="X73" s="69">
        <f t="shared" si="27"/>
        <v>0</v>
      </c>
      <c r="Y73" s="69">
        <f t="shared" si="28"/>
        <v>0</v>
      </c>
      <c r="Z73" s="69">
        <f t="shared" si="29"/>
        <v>0</v>
      </c>
      <c r="AA73" s="69">
        <f t="shared" si="29"/>
        <v>0</v>
      </c>
      <c r="AB73" s="69"/>
      <c r="AC73" s="69"/>
      <c r="AI73" s="69">
        <f t="shared" si="24"/>
        <v>0</v>
      </c>
    </row>
    <row r="74" spans="15:35">
      <c r="O74" s="25">
        <f t="shared" si="30"/>
        <v>2010</v>
      </c>
      <c r="P74" s="69">
        <f>('Exhibit B,S2'!AB33+'Exhibit B,S2'!AC33)-('Exhibit B,S3'!AB33+'Exhibit B,S3'!AC33)</f>
        <v>0</v>
      </c>
      <c r="Q74" s="69">
        <f>('Exhibit B,S2'!AD33+'Exhibit B,S2'!AE33)-('Exhibit B,S3'!AD33+'Exhibit B,S3'!AE33)</f>
        <v>0</v>
      </c>
      <c r="R74" s="69">
        <f>'Exhibit B,S2'!AF33-'Exhibit B,S3'!AF33</f>
        <v>0</v>
      </c>
      <c r="S74" s="69">
        <f>'Exhibit B,S2'!AG33-'Exhibit B,S3'!AG33</f>
        <v>2215</v>
      </c>
      <c r="T74" s="137">
        <f t="shared" si="25"/>
        <v>2215</v>
      </c>
      <c r="U74" s="137"/>
      <c r="V74" s="137"/>
      <c r="W74" s="69">
        <f t="shared" si="26"/>
        <v>0</v>
      </c>
      <c r="X74" s="69">
        <f t="shared" si="27"/>
        <v>0</v>
      </c>
      <c r="Y74" s="69">
        <f t="shared" si="28"/>
        <v>2215</v>
      </c>
      <c r="Z74" s="69">
        <f t="shared" si="29"/>
        <v>0</v>
      </c>
      <c r="AA74" s="69">
        <f t="shared" si="29"/>
        <v>90.671561597549555</v>
      </c>
      <c r="AB74" s="69"/>
      <c r="AC74" s="69"/>
      <c r="AI74" s="69">
        <f t="shared" si="24"/>
        <v>90.671561597549555</v>
      </c>
    </row>
    <row r="75" spans="15:35">
      <c r="O75" s="25">
        <f t="shared" si="30"/>
        <v>2011</v>
      </c>
      <c r="P75" s="69">
        <f>('Exhibit B,S2'!AB34+'Exhibit B,S2'!AC34)-('Exhibit B,S3'!AB34+'Exhibit B,S3'!AC34)</f>
        <v>0</v>
      </c>
      <c r="Q75" s="69">
        <f>('Exhibit B,S2'!AD34+'Exhibit B,S2'!AE34)-('Exhibit B,S3'!AD34+'Exhibit B,S3'!AE34)</f>
        <v>0</v>
      </c>
      <c r="R75" s="69">
        <f>'Exhibit B,S2'!AF34-'Exhibit B,S3'!AF34</f>
        <v>0</v>
      </c>
      <c r="S75" s="69">
        <f>'Exhibit B,S2'!AG34-'Exhibit B,S3'!AG34</f>
        <v>22026.860000000335</v>
      </c>
      <c r="T75" s="137">
        <f t="shared" si="25"/>
        <v>22026.860000000335</v>
      </c>
      <c r="U75" s="137"/>
      <c r="V75" s="137"/>
      <c r="W75" s="69">
        <f t="shared" si="26"/>
        <v>0</v>
      </c>
      <c r="X75" s="69">
        <f t="shared" si="27"/>
        <v>0</v>
      </c>
      <c r="Y75" s="69">
        <f t="shared" si="28"/>
        <v>22026.860000000335</v>
      </c>
      <c r="Z75" s="69">
        <f t="shared" si="29"/>
        <v>0</v>
      </c>
      <c r="AA75" s="69">
        <f t="shared" si="29"/>
        <v>901.67485024407711</v>
      </c>
      <c r="AB75" s="69"/>
      <c r="AC75" s="69"/>
      <c r="AI75" s="69">
        <f t="shared" si="24"/>
        <v>901.67485024407711</v>
      </c>
    </row>
    <row r="76" spans="15:35">
      <c r="O76" s="25">
        <f t="shared" si="30"/>
        <v>2012</v>
      </c>
      <c r="P76" s="69">
        <f>('Exhibit B,S2'!AB35+'Exhibit B,S2'!AC35)-('Exhibit B,S3'!AB35+'Exhibit B,S3'!AC35)</f>
        <v>44863.429999999702</v>
      </c>
      <c r="Q76" s="69">
        <f>('Exhibit B,S2'!AD35+'Exhibit B,S2'!AE35)-('Exhibit B,S3'!AD35+'Exhibit B,S3'!AE35)</f>
        <v>0</v>
      </c>
      <c r="R76" s="69">
        <f>'Exhibit B,S2'!AF35-'Exhibit B,S3'!AF35</f>
        <v>0</v>
      </c>
      <c r="S76" s="69">
        <f>'Exhibit B,S2'!AG35-'Exhibit B,S3'!AG35</f>
        <v>888073.33000000007</v>
      </c>
      <c r="T76" s="137">
        <f t="shared" si="25"/>
        <v>932936.75999999978</v>
      </c>
      <c r="U76" s="137"/>
      <c r="V76" s="137"/>
      <c r="W76" s="69">
        <f t="shared" si="26"/>
        <v>0</v>
      </c>
      <c r="X76" s="69">
        <f t="shared" si="27"/>
        <v>44863.429999999702</v>
      </c>
      <c r="Y76" s="69">
        <f t="shared" si="28"/>
        <v>888073.33000000007</v>
      </c>
      <c r="Z76" s="69">
        <f t="shared" si="29"/>
        <v>1836.4953754954065</v>
      </c>
      <c r="AA76" s="69">
        <f t="shared" si="29"/>
        <v>36353.496904846928</v>
      </c>
      <c r="AB76" s="69"/>
      <c r="AC76" s="69"/>
      <c r="AI76" s="69">
        <f t="shared" si="24"/>
        <v>38189.992280342332</v>
      </c>
    </row>
    <row r="77" spans="15:35">
      <c r="O77" s="25">
        <f t="shared" si="30"/>
        <v>2013</v>
      </c>
      <c r="P77" s="69">
        <f>('Exhibit B,S2'!AB36+'Exhibit B,S2'!AC36)-('Exhibit B,S3'!AB36+'Exhibit B,S3'!AC36)</f>
        <v>0</v>
      </c>
      <c r="Q77" s="69">
        <f>('Exhibit B,S2'!AD36+'Exhibit B,S2'!AE36)-('Exhibit B,S3'!AD36+'Exhibit B,S3'!AE36)</f>
        <v>0</v>
      </c>
      <c r="R77" s="69">
        <f>'Exhibit B,S2'!AF36-'Exhibit B,S3'!AF36</f>
        <v>2633.7300000000978</v>
      </c>
      <c r="S77" s="69">
        <f>'Exhibit B,S2'!AG36-'Exhibit B,S3'!AG36</f>
        <v>4361559.9799999986</v>
      </c>
      <c r="T77" s="137">
        <f t="shared" si="25"/>
        <v>4364193.709999999</v>
      </c>
      <c r="U77" s="137">
        <f>('Exhibit B,2'!AA59-'Exhibit B,2'!AC59)</f>
        <v>0</v>
      </c>
      <c r="V77" s="137">
        <f>'Exhibit B,3'!AQ59-'Exhibit B,3'!AS59</f>
        <v>0</v>
      </c>
      <c r="W77" s="69">
        <f t="shared" si="26"/>
        <v>0</v>
      </c>
      <c r="X77" s="69">
        <f t="shared" si="27"/>
        <v>2633.7300000000978</v>
      </c>
      <c r="Y77" s="69">
        <f t="shared" si="28"/>
        <v>4361559.9799999986</v>
      </c>
      <c r="Z77" s="69">
        <f t="shared" si="29"/>
        <v>107.81237558750476</v>
      </c>
      <c r="AA77" s="69">
        <f t="shared" si="29"/>
        <v>178541.51439637778</v>
      </c>
      <c r="AB77" s="69">
        <f>U77/($U$88+$V$88)*$AB$90</f>
        <v>0</v>
      </c>
      <c r="AC77" s="69">
        <f>V77/($U$88+$V$88)*$AB$90</f>
        <v>0</v>
      </c>
      <c r="AD77" s="206">
        <f>0.05*AB77</f>
        <v>0</v>
      </c>
      <c r="AE77" s="206">
        <f>0.05*AC77</f>
        <v>0</v>
      </c>
      <c r="AI77" s="69">
        <f t="shared" si="24"/>
        <v>178649.32677196528</v>
      </c>
    </row>
    <row r="78" spans="15:35">
      <c r="O78" s="25">
        <f t="shared" si="30"/>
        <v>2014</v>
      </c>
      <c r="P78" s="69">
        <f>('Exhibit B,S2'!AB37+'Exhibit B,S2'!AC37)-('Exhibit B,S3'!AB37+'Exhibit B,S3'!AC37)</f>
        <v>49102.580000000075</v>
      </c>
      <c r="Q78" s="69">
        <f>('Exhibit B,S2'!AD37+'Exhibit B,S2'!AE37)-('Exhibit B,S3'!AD37+'Exhibit B,S3'!AE37)</f>
        <v>0</v>
      </c>
      <c r="R78" s="69">
        <f>'Exhibit B,S2'!AF37-'Exhibit B,S3'!AF37</f>
        <v>54466.899999999907</v>
      </c>
      <c r="S78" s="69">
        <f>'Exhibit B,S2'!AG37-'Exhibit B,S3'!AG37</f>
        <v>1299029.1499999985</v>
      </c>
      <c r="T78" s="137">
        <f t="shared" si="25"/>
        <v>1402598.6299999985</v>
      </c>
      <c r="U78" s="137">
        <f>('Exhibit B,2'!AA60-'Exhibit B,2'!AC60)</f>
        <v>0</v>
      </c>
      <c r="V78" s="137">
        <f>'Exhibit B,3'!AQ60-'Exhibit B,3'!AS60</f>
        <v>3450.5</v>
      </c>
      <c r="W78" s="69">
        <f t="shared" si="26"/>
        <v>3450.5</v>
      </c>
      <c r="X78" s="69">
        <f t="shared" si="27"/>
        <v>103569.47999999998</v>
      </c>
      <c r="Y78" s="69">
        <f t="shared" si="28"/>
        <v>1299029.1499999985</v>
      </c>
      <c r="Z78" s="69">
        <f t="shared" si="29"/>
        <v>4239.6417541517712</v>
      </c>
      <c r="AA78" s="69">
        <f t="shared" si="29"/>
        <v>53176.072953154537</v>
      </c>
      <c r="AB78" s="69">
        <f t="shared" ref="AB78:AC86" si="31">U78/($U$88+$V$88)*$AB$90</f>
        <v>0</v>
      </c>
      <c r="AC78" s="69">
        <f t="shared" si="31"/>
        <v>82.407006793363593</v>
      </c>
      <c r="AD78" s="69">
        <f t="shared" ref="AD78:AD86" si="32">0.05*AB78</f>
        <v>0</v>
      </c>
      <c r="AE78" s="69">
        <f t="shared" ref="AE78:AE86" si="33">0.05*AC78</f>
        <v>4.12035033966818</v>
      </c>
      <c r="AF78" s="84">
        <f>AB78-AD78</f>
        <v>0</v>
      </c>
      <c r="AG78" s="84">
        <f>AC78-AE78</f>
        <v>78.286656453695414</v>
      </c>
      <c r="AI78" s="69">
        <f t="shared" si="24"/>
        <v>57498.121714099674</v>
      </c>
    </row>
    <row r="79" spans="15:35">
      <c r="O79" s="25">
        <f t="shared" si="30"/>
        <v>2015</v>
      </c>
      <c r="P79" s="69">
        <f>('Exhibit B,S2'!AB38+'Exhibit B,S2'!AC38)-('Exhibit B,S3'!AB38+'Exhibit B,S3'!AC38)</f>
        <v>38080.949999999255</v>
      </c>
      <c r="Q79" s="69">
        <f>('Exhibit B,S2'!AD38+'Exhibit B,S2'!AE38)-('Exhibit B,S3'!AD38+'Exhibit B,S3'!AE38)</f>
        <v>0</v>
      </c>
      <c r="R79" s="69">
        <f>'Exhibit B,S2'!AF38-'Exhibit B,S3'!AF38</f>
        <v>1074948.8699999999</v>
      </c>
      <c r="S79" s="69">
        <f>'Exhibit B,S2'!AG38-'Exhibit B,S3'!AG38</f>
        <v>1735861.2999999998</v>
      </c>
      <c r="T79" s="137">
        <f t="shared" si="25"/>
        <v>2848891.1199999992</v>
      </c>
      <c r="U79" s="137">
        <f>('Exhibit B,2'!AA61-'Exhibit B,2'!AC61)</f>
        <v>0</v>
      </c>
      <c r="V79" s="137">
        <f>'Exhibit B,3'!AQ61-'Exhibit B,3'!AS61</f>
        <v>15201</v>
      </c>
      <c r="W79" s="69">
        <f t="shared" si="26"/>
        <v>15201</v>
      </c>
      <c r="X79" s="69">
        <f t="shared" si="27"/>
        <v>1113029.8199999991</v>
      </c>
      <c r="Y79" s="69">
        <f t="shared" si="28"/>
        <v>1735861.2999999998</v>
      </c>
      <c r="Z79" s="69">
        <f t="shared" si="29"/>
        <v>45562.145320108088</v>
      </c>
      <c r="AA79" s="69">
        <f t="shared" si="29"/>
        <v>71057.902838714421</v>
      </c>
      <c r="AB79" s="69">
        <f t="shared" si="31"/>
        <v>0</v>
      </c>
      <c r="AC79" s="69">
        <f t="shared" si="31"/>
        <v>363.03982329109402</v>
      </c>
      <c r="AD79" s="69">
        <f t="shared" si="32"/>
        <v>0</v>
      </c>
      <c r="AE79" s="69">
        <f t="shared" si="33"/>
        <v>18.151991164554701</v>
      </c>
      <c r="AF79" s="84">
        <f t="shared" ref="AF79:AF86" si="34">AB79-AD79</f>
        <v>0</v>
      </c>
      <c r="AG79" s="84">
        <f t="shared" ref="AG79:AG86" si="35">AC79-AE79</f>
        <v>344.88783212653931</v>
      </c>
      <c r="AI79" s="69">
        <f t="shared" si="24"/>
        <v>116983.0879821136</v>
      </c>
    </row>
    <row r="80" spans="15:35">
      <c r="O80" s="25">
        <f t="shared" si="30"/>
        <v>2016</v>
      </c>
      <c r="P80" s="69">
        <f>('Exhibit B,S2'!AB39+'Exhibit B,S2'!AC39)-('Exhibit B,S3'!AB39+'Exhibit B,S3'!AC39)</f>
        <v>48482.800000000745</v>
      </c>
      <c r="Q80" s="69">
        <f>('Exhibit B,S2'!AD39+'Exhibit B,S2'!AE39)-('Exhibit B,S3'!AD39+'Exhibit B,S3'!AE39)</f>
        <v>761109.99999999953</v>
      </c>
      <c r="R80" s="69">
        <f>'Exhibit B,S2'!AF39-'Exhibit B,S3'!AF39</f>
        <v>42154.320000000298</v>
      </c>
      <c r="S80" s="69">
        <f>'Exhibit B,S2'!AG39-'Exhibit B,S3'!AG39</f>
        <v>3136368.88</v>
      </c>
      <c r="T80" s="137">
        <f t="shared" si="25"/>
        <v>3988116.0000000005</v>
      </c>
      <c r="U80" s="137">
        <f>('Exhibit B,2'!AA62-'Exhibit B,2'!AC62)</f>
        <v>0</v>
      </c>
      <c r="V80" s="137">
        <f>'Exhibit B,3'!AQ62-'Exhibit B,3'!AS62</f>
        <v>1401288.3100000024</v>
      </c>
      <c r="W80" s="69">
        <f t="shared" si="26"/>
        <v>1401288.3100000024</v>
      </c>
      <c r="X80" s="69">
        <f t="shared" si="27"/>
        <v>90637.120000001043</v>
      </c>
      <c r="Y80" s="69">
        <f t="shared" si="28"/>
        <v>3897478.8799999994</v>
      </c>
      <c r="Z80" s="69">
        <f t="shared" si="29"/>
        <v>3710.252464607036</v>
      </c>
      <c r="AA80" s="69">
        <f t="shared" si="29"/>
        <v>159544.24214134013</v>
      </c>
      <c r="AB80" s="69">
        <f t="shared" si="31"/>
        <v>0</v>
      </c>
      <c r="AC80" s="69">
        <f t="shared" si="31"/>
        <v>33466.446973375212</v>
      </c>
      <c r="AD80" s="69">
        <f t="shared" si="32"/>
        <v>0</v>
      </c>
      <c r="AE80" s="69">
        <f t="shared" si="33"/>
        <v>1673.3223486687607</v>
      </c>
      <c r="AF80" s="84">
        <f t="shared" si="34"/>
        <v>0</v>
      </c>
      <c r="AG80" s="84">
        <f t="shared" si="35"/>
        <v>31793.124624706452</v>
      </c>
      <c r="AI80" s="69">
        <f t="shared" si="24"/>
        <v>196720.94157932239</v>
      </c>
    </row>
    <row r="81" spans="15:35">
      <c r="O81" s="25">
        <f t="shared" si="30"/>
        <v>2017</v>
      </c>
      <c r="P81" s="69">
        <f>('Exhibit B,S2'!AB40+'Exhibit B,S2'!AC40)-('Exhibit B,S3'!AB40+'Exhibit B,S3'!AC40)</f>
        <v>1435233.3999999994</v>
      </c>
      <c r="Q81" s="69">
        <f>('Exhibit B,S2'!AD40+'Exhibit B,S2'!AE40)-('Exhibit B,S3'!AD40+'Exhibit B,S3'!AE40)</f>
        <v>26652.880000000005</v>
      </c>
      <c r="R81" s="69">
        <f>'Exhibit B,S2'!AF40-'Exhibit B,S3'!AF40</f>
        <v>13622.059999999998</v>
      </c>
      <c r="S81" s="69">
        <f>'Exhibit B,S2'!AG40-'Exhibit B,S3'!AG40</f>
        <v>1575975.5300000003</v>
      </c>
      <c r="T81" s="137">
        <f t="shared" si="25"/>
        <v>3051483.8699999996</v>
      </c>
      <c r="U81" s="137">
        <f>('Exhibit B,2'!AA63-'Exhibit B,2'!AC63)</f>
        <v>139507.57999999984</v>
      </c>
      <c r="V81" s="137">
        <f>'Exhibit B,3'!AQ63-'Exhibit B,3'!AS63</f>
        <v>130931.06000000052</v>
      </c>
      <c r="W81" s="69">
        <f t="shared" si="26"/>
        <v>270438.64000000036</v>
      </c>
      <c r="X81" s="69">
        <f t="shared" si="27"/>
        <v>1448855.4599999995</v>
      </c>
      <c r="Y81" s="69">
        <f t="shared" si="28"/>
        <v>1602628.4100000001</v>
      </c>
      <c r="Z81" s="69">
        <f t="shared" si="29"/>
        <v>59309.249249361601</v>
      </c>
      <c r="AA81" s="69">
        <f t="shared" si="29"/>
        <v>65603.982210066766</v>
      </c>
      <c r="AB81" s="69">
        <f t="shared" si="31"/>
        <v>3331.8075910116509</v>
      </c>
      <c r="AC81" s="69">
        <f t="shared" si="31"/>
        <v>3126.977757102547</v>
      </c>
      <c r="AD81" s="69">
        <f t="shared" si="32"/>
        <v>166.59037955058255</v>
      </c>
      <c r="AE81" s="69">
        <f t="shared" si="33"/>
        <v>156.34888785512737</v>
      </c>
      <c r="AF81" s="84">
        <f t="shared" si="34"/>
        <v>3165.2172114610685</v>
      </c>
      <c r="AG81" s="84">
        <f t="shared" si="35"/>
        <v>2970.6288692474195</v>
      </c>
      <c r="AI81" s="69">
        <f t="shared" si="24"/>
        <v>131372.01680754256</v>
      </c>
    </row>
    <row r="82" spans="15:35">
      <c r="O82" s="25">
        <f t="shared" si="30"/>
        <v>2018</v>
      </c>
      <c r="P82" s="69">
        <f>('Exhibit B,S2'!AB41+'Exhibit B,S2'!AC41)-('Exhibit B,S3'!AB41+'Exhibit B,S3'!AC41)</f>
        <v>1065710.7599999998</v>
      </c>
      <c r="Q82" s="69">
        <f>('Exhibit B,S2'!AD41+'Exhibit B,S2'!AE41)-('Exhibit B,S3'!AD41+'Exhibit B,S3'!AE41)</f>
        <v>793168.44</v>
      </c>
      <c r="R82" s="69">
        <f>'Exhibit B,S2'!AF41-'Exhibit B,S3'!AF41</f>
        <v>246393.17999999996</v>
      </c>
      <c r="S82" s="69">
        <f>'Exhibit B,S2'!AG41-'Exhibit B,S3'!AG41</f>
        <v>151733.54999999981</v>
      </c>
      <c r="T82" s="137">
        <f t="shared" si="25"/>
        <v>2257005.9299999997</v>
      </c>
      <c r="U82" s="137">
        <f>('Exhibit B,2'!AA64-'Exhibit B,2'!AC64)</f>
        <v>1.4551915228366852E-11</v>
      </c>
      <c r="V82" s="137">
        <f>'Exhibit B,3'!AQ64-'Exhibit B,3'!AS64</f>
        <v>1380960.5099999998</v>
      </c>
      <c r="W82" s="69">
        <f t="shared" si="26"/>
        <v>1380960.5099999998</v>
      </c>
      <c r="X82" s="69">
        <f t="shared" si="27"/>
        <v>1312103.9399999997</v>
      </c>
      <c r="Y82" s="69">
        <f t="shared" si="28"/>
        <v>944901.98999999976</v>
      </c>
      <c r="Z82" s="69">
        <f t="shared" si="29"/>
        <v>53711.292649253912</v>
      </c>
      <c r="AA82" s="69">
        <f t="shared" si="29"/>
        <v>38679.791869043846</v>
      </c>
      <c r="AB82" s="69">
        <f t="shared" si="31"/>
        <v>3.4753797336052115E-13</v>
      </c>
      <c r="AC82" s="69">
        <f t="shared" si="31"/>
        <v>32980.965694518716</v>
      </c>
      <c r="AD82" s="69">
        <f t="shared" si="32"/>
        <v>1.7376898668026058E-14</v>
      </c>
      <c r="AE82" s="69">
        <f t="shared" si="33"/>
        <v>1649.0482847259359</v>
      </c>
      <c r="AF82" s="84">
        <f t="shared" si="34"/>
        <v>3.301610746924951E-13</v>
      </c>
      <c r="AG82" s="84">
        <f t="shared" si="35"/>
        <v>31331.917409792779</v>
      </c>
      <c r="AI82" s="69">
        <f t="shared" si="24"/>
        <v>125372.05021281648</v>
      </c>
    </row>
    <row r="83" spans="15:35">
      <c r="O83" s="25">
        <f t="shared" si="30"/>
        <v>2019</v>
      </c>
      <c r="P83" s="69">
        <f>('Exhibit B,S2'!AB42+'Exhibit B,S2'!AC42)-('Exhibit B,S3'!AB42+'Exhibit B,S3'!AC42)</f>
        <v>1621737.9700000007</v>
      </c>
      <c r="Q83" s="69">
        <f>('Exhibit B,S2'!AD42+'Exhibit B,S2'!AE42)-('Exhibit B,S3'!AD42+'Exhibit B,S3'!AE42)</f>
        <v>30710.219999999739</v>
      </c>
      <c r="R83" s="69">
        <f>'Exhibit B,S2'!AF42-'Exhibit B,S3'!AF42</f>
        <v>37362.240000000005</v>
      </c>
      <c r="S83" s="69">
        <f>'Exhibit B,S2'!AG42-'Exhibit B,S3'!AG42</f>
        <v>129643.39000000001</v>
      </c>
      <c r="T83" s="137">
        <f t="shared" si="25"/>
        <v>1819453.8200000003</v>
      </c>
      <c r="U83" s="137">
        <f>('Exhibit B,2'!AA65-'Exhibit B,2'!AC65)</f>
        <v>760312.47</v>
      </c>
      <c r="V83" s="137">
        <f>'Exhibit B,3'!AQ65-'Exhibit B,3'!AS65</f>
        <v>3277757.9899999998</v>
      </c>
      <c r="W83" s="69">
        <f t="shared" si="26"/>
        <v>4038070.46</v>
      </c>
      <c r="X83" s="69">
        <f t="shared" si="27"/>
        <v>1659100.2100000007</v>
      </c>
      <c r="Y83" s="69">
        <f t="shared" si="28"/>
        <v>160353.60999999975</v>
      </c>
      <c r="Z83" s="69">
        <f t="shared" si="29"/>
        <v>67915.669023712166</v>
      </c>
      <c r="AA83" s="69">
        <f t="shared" si="29"/>
        <v>6564.113872011023</v>
      </c>
      <c r="AB83" s="69">
        <f t="shared" si="31"/>
        <v>18158.259637840616</v>
      </c>
      <c r="AC83" s="69">
        <f t="shared" si="31"/>
        <v>78281.473684663608</v>
      </c>
      <c r="AD83" s="69">
        <f t="shared" si="32"/>
        <v>907.91298189203087</v>
      </c>
      <c r="AE83" s="69">
        <f t="shared" si="33"/>
        <v>3914.0736842331808</v>
      </c>
      <c r="AF83" s="84">
        <f t="shared" si="34"/>
        <v>17250.346655948586</v>
      </c>
      <c r="AG83" s="84">
        <f t="shared" si="35"/>
        <v>74367.400000430425</v>
      </c>
      <c r="AI83" s="69">
        <f t="shared" si="24"/>
        <v>170919.51621822742</v>
      </c>
    </row>
    <row r="84" spans="15:35">
      <c r="O84" s="25">
        <f t="shared" si="30"/>
        <v>2020</v>
      </c>
      <c r="P84" s="69">
        <f>('Exhibit B,S2'!AB43+'Exhibit B,S2'!AC43)-('Exhibit B,S3'!AB43+'Exhibit B,S3'!AC43)</f>
        <v>4846499.49</v>
      </c>
      <c r="Q84" s="69">
        <f>('Exhibit B,S2'!AD43+'Exhibit B,S2'!AE43)-('Exhibit B,S3'!AD43+'Exhibit B,S3'!AE43)</f>
        <v>546555.21000000008</v>
      </c>
      <c r="R84" s="69">
        <f>'Exhibit B,S2'!AF43-'Exhibit B,S3'!AF43</f>
        <v>10923.810000000012</v>
      </c>
      <c r="S84" s="69">
        <f>'Exhibit B,S2'!AG43-'Exhibit B,S3'!AG43</f>
        <v>152935.04000000001</v>
      </c>
      <c r="T84" s="137">
        <f t="shared" si="25"/>
        <v>5556913.5499999998</v>
      </c>
      <c r="U84" s="137">
        <f>('Exhibit B,2'!AA66-'Exhibit B,2'!AC66)</f>
        <v>1076338.5699999998</v>
      </c>
      <c r="V84" s="137">
        <f>'Exhibit B,3'!AQ66-'Exhibit B,3'!AS66</f>
        <v>70832.7</v>
      </c>
      <c r="W84" s="69">
        <f t="shared" si="26"/>
        <v>1147171.2699999998</v>
      </c>
      <c r="X84" s="69">
        <f t="shared" si="27"/>
        <v>4857423.3</v>
      </c>
      <c r="Y84" s="69">
        <f t="shared" si="28"/>
        <v>699490.25000000012</v>
      </c>
      <c r="Z84" s="69">
        <f t="shared" si="29"/>
        <v>198839.79952655637</v>
      </c>
      <c r="AA84" s="69">
        <f t="shared" si="29"/>
        <v>28633.802839620923</v>
      </c>
      <c r="AB84" s="69">
        <f t="shared" si="31"/>
        <v>25705.793319794011</v>
      </c>
      <c r="AC84" s="69">
        <f t="shared" si="31"/>
        <v>1691.6710013309043</v>
      </c>
      <c r="AD84" s="69">
        <f>0.05*AB84</f>
        <v>1285.2896659897006</v>
      </c>
      <c r="AE84" s="69">
        <f t="shared" si="33"/>
        <v>84.583550066545229</v>
      </c>
      <c r="AF84" s="84">
        <f t="shared" si="34"/>
        <v>24420.50365380431</v>
      </c>
      <c r="AG84" s="84">
        <f t="shared" si="35"/>
        <v>1607.0874512643591</v>
      </c>
      <c r="AI84" s="69">
        <f t="shared" si="24"/>
        <v>254871.0666873022</v>
      </c>
    </row>
    <row r="85" spans="15:35">
      <c r="O85" s="25">
        <f t="shared" si="30"/>
        <v>2021</v>
      </c>
      <c r="P85" s="69">
        <f>('Exhibit B,S2'!AB44+'Exhibit B,S2'!AC44)-('Exhibit B,S3'!AB44+'Exhibit B,S3'!AC44)</f>
        <v>303867.45</v>
      </c>
      <c r="Q85" s="69">
        <f>('Exhibit B,S2'!AD44+'Exhibit B,S2'!AE44)-('Exhibit B,S3'!AD44+'Exhibit B,S3'!AE44)</f>
        <v>3725</v>
      </c>
      <c r="R85" s="69">
        <f>'Exhibit B,S2'!AF44-'Exhibit B,S3'!AF44</f>
        <v>3610</v>
      </c>
      <c r="S85" s="69">
        <f>'Exhibit B,S2'!AG44-'Exhibit B,S3'!AG44</f>
        <v>11298.98</v>
      </c>
      <c r="T85" s="137">
        <f t="shared" si="25"/>
        <v>322501.43</v>
      </c>
      <c r="U85" s="137">
        <f>('Exhibit B,2'!AA67-'Exhibit B,2'!AC67)</f>
        <v>1198648.58</v>
      </c>
      <c r="V85" s="137">
        <f>'Exhibit B,3'!AQ67-'Exhibit B,3'!AS67</f>
        <v>2849.11</v>
      </c>
      <c r="W85" s="69">
        <f t="shared" si="26"/>
        <v>1201497.6900000002</v>
      </c>
      <c r="X85" s="69">
        <f t="shared" si="27"/>
        <v>307477.45</v>
      </c>
      <c r="Y85" s="69">
        <f t="shared" si="28"/>
        <v>15023.98</v>
      </c>
      <c r="Z85" s="69">
        <f t="shared" si="29"/>
        <v>12586.663904077861</v>
      </c>
      <c r="AA85" s="69">
        <f t="shared" si="29"/>
        <v>615.01026095275506</v>
      </c>
      <c r="AB85" s="69">
        <f t="shared" si="31"/>
        <v>28626.877749577052</v>
      </c>
      <c r="AC85" s="69">
        <f t="shared" si="31"/>
        <v>68.044233335760083</v>
      </c>
      <c r="AD85" s="69">
        <f t="shared" si="32"/>
        <v>1431.3438874788526</v>
      </c>
      <c r="AE85" s="69">
        <f t="shared" si="33"/>
        <v>3.4022116667880042</v>
      </c>
      <c r="AF85" s="84">
        <f t="shared" si="34"/>
        <v>27195.5338620982</v>
      </c>
      <c r="AG85" s="84">
        <f t="shared" si="35"/>
        <v>64.642021668972077</v>
      </c>
      <c r="AI85" s="69">
        <f t="shared" si="24"/>
        <v>41896.596147943434</v>
      </c>
    </row>
    <row r="86" spans="15:35">
      <c r="O86" s="25">
        <f t="shared" si="30"/>
        <v>2022</v>
      </c>
      <c r="P86" s="69">
        <f>('Exhibit B,S2'!AB45+'Exhibit B,S2'!AC45)-('Exhibit B,S3'!AB45+'Exhibit B,S3'!AC45)</f>
        <v>395862.9</v>
      </c>
      <c r="Q86" s="69">
        <f>('Exhibit B,S2'!AD45+'Exhibit B,S2'!AE45)-('Exhibit B,S3'!AD45+'Exhibit B,S3'!AE45)</f>
        <v>2950</v>
      </c>
      <c r="R86" s="69">
        <f>'Exhibit B,S2'!AF45-'Exhibit B,S3'!AF45</f>
        <v>21947.98</v>
      </c>
      <c r="S86" s="69">
        <f>'Exhibit B,S2'!AG45-'Exhibit B,S3'!AG45</f>
        <v>4500</v>
      </c>
      <c r="T86" s="137">
        <f t="shared" si="25"/>
        <v>425260.88</v>
      </c>
      <c r="U86" s="137">
        <f>('Exhibit B,2'!AA68-'Exhibit B,2'!AC68)</f>
        <v>36605.5</v>
      </c>
      <c r="V86" s="137">
        <f>'Exhibit B,3'!AQ68-'Exhibit B,3'!AS68</f>
        <v>0</v>
      </c>
      <c r="W86" s="69">
        <f t="shared" si="26"/>
        <v>36605.5</v>
      </c>
      <c r="X86" s="69">
        <f t="shared" si="27"/>
        <v>417810.88</v>
      </c>
      <c r="Y86" s="69">
        <f t="shared" si="28"/>
        <v>7450</v>
      </c>
      <c r="Z86" s="69">
        <f t="shared" si="29"/>
        <v>17103.189590088659</v>
      </c>
      <c r="AA86" s="69">
        <f t="shared" si="29"/>
        <v>304.96755480891386</v>
      </c>
      <c r="AB86" s="69">
        <f t="shared" si="31"/>
        <v>874.23552736544582</v>
      </c>
      <c r="AC86" s="69">
        <f t="shared" si="31"/>
        <v>0</v>
      </c>
      <c r="AD86" s="69">
        <f t="shared" si="32"/>
        <v>43.711776368272297</v>
      </c>
      <c r="AE86" s="69">
        <f t="shared" si="33"/>
        <v>0</v>
      </c>
      <c r="AF86" s="84">
        <f t="shared" si="34"/>
        <v>830.52375099717347</v>
      </c>
      <c r="AG86" s="84">
        <f t="shared" si="35"/>
        <v>0</v>
      </c>
      <c r="AI86" s="69">
        <f t="shared" si="24"/>
        <v>18282.39267226302</v>
      </c>
    </row>
    <row r="87" spans="15:35">
      <c r="O87" s="25"/>
      <c r="P87" s="105"/>
      <c r="Q87" s="105"/>
      <c r="R87" s="105"/>
      <c r="S87" s="105"/>
      <c r="T87" s="105"/>
      <c r="U87" s="105"/>
      <c r="V87" s="105"/>
      <c r="W87" s="105"/>
      <c r="X87" s="105"/>
      <c r="Y87" s="105"/>
      <c r="Z87" s="105"/>
      <c r="AA87" s="105"/>
      <c r="AB87" s="105"/>
      <c r="AC87" s="105"/>
      <c r="AD87" s="105"/>
      <c r="AE87" s="105"/>
      <c r="AF87" s="105"/>
      <c r="AG87" s="105"/>
      <c r="AI87" s="105"/>
    </row>
    <row r="88" spans="15:35">
      <c r="O88" s="25" t="s">
        <v>0</v>
      </c>
      <c r="P88" s="68">
        <f t="shared" ref="P88:W88" si="36">SUM(P58:P87)</f>
        <v>9852123.2299999986</v>
      </c>
      <c r="Q88" s="68">
        <f t="shared" si="36"/>
        <v>2200357.0199999991</v>
      </c>
      <c r="R88" s="68">
        <f t="shared" si="36"/>
        <v>1508063.0900000003</v>
      </c>
      <c r="S88" s="68">
        <f t="shared" si="36"/>
        <v>13471220.709999997</v>
      </c>
      <c r="T88" s="68">
        <f t="shared" si="36"/>
        <v>27031764.049999997</v>
      </c>
      <c r="U88" s="68">
        <f>SUM(U68:U87)</f>
        <v>3211412.6999999997</v>
      </c>
      <c r="V88" s="68">
        <f>SUM(V68:V87)</f>
        <v>6283271.1800000034</v>
      </c>
      <c r="W88" s="68">
        <f t="shared" si="36"/>
        <v>9494683.8800000027</v>
      </c>
      <c r="X88" s="68">
        <f t="shared" ref="X88:AC88" si="37">SUM(X58:X87)</f>
        <v>11360186.32</v>
      </c>
      <c r="Y88" s="68">
        <f t="shared" si="37"/>
        <v>15671577.729999997</v>
      </c>
      <c r="Z88" s="68">
        <f t="shared" si="37"/>
        <v>465031.97908511048</v>
      </c>
      <c r="AA88" s="68">
        <f t="shared" si="37"/>
        <v>641519.8309148897</v>
      </c>
      <c r="AB88" s="68">
        <f t="shared" si="37"/>
        <v>76696.973825588764</v>
      </c>
      <c r="AC88" s="68">
        <f t="shared" si="37"/>
        <v>150061.02617441118</v>
      </c>
      <c r="AD88" s="68">
        <f t="shared" ref="AD88:AE88" si="38">SUM(AD58:AD87)</f>
        <v>3834.8486912794388</v>
      </c>
      <c r="AE88" s="68">
        <f t="shared" si="38"/>
        <v>7503.0513087205609</v>
      </c>
      <c r="AF88" s="68">
        <f t="shared" ref="AF88:AG88" si="39">SUM(AF58:AF87)</f>
        <v>72862.125134309346</v>
      </c>
      <c r="AG88" s="68">
        <f t="shared" si="39"/>
        <v>142557.9748656906</v>
      </c>
      <c r="AI88" s="68">
        <f>SUM(AI58:AI87)</f>
        <v>1333309.8100000003</v>
      </c>
    </row>
    <row r="89" spans="15:35">
      <c r="AF89" s="61"/>
      <c r="AG89" s="61"/>
    </row>
    <row r="90" spans="15:35">
      <c r="Z90" s="17">
        <v>1106551.81</v>
      </c>
      <c r="AB90" s="17">
        <v>226758</v>
      </c>
      <c r="AH90" s="61" t="s">
        <v>685</v>
      </c>
      <c r="AI90" s="235">
        <v>0</v>
      </c>
    </row>
  </sheetData>
  <phoneticPr fontId="8" type="noConversion"/>
  <printOptions horizontalCentered="1"/>
  <pageMargins left="0.7" right="0.7" top="0.75" bottom="0.75" header="0.3" footer="0.3"/>
  <pageSetup scale="87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4">
    <pageSetUpPr fitToPage="1"/>
  </sheetPr>
  <dimension ref="A1:Q158"/>
  <sheetViews>
    <sheetView zoomScaleNormal="100" workbookViewId="0">
      <selection activeCell="I17" sqref="I17:I35"/>
    </sheetView>
  </sheetViews>
  <sheetFormatPr baseColWidth="10" defaultColWidth="8.7109375" defaultRowHeight="15"/>
  <cols>
    <col min="1" max="1" width="9.7109375" style="1" customWidth="1"/>
    <col min="2" max="2" width="1.7109375" style="1" customWidth="1"/>
    <col min="3" max="3" width="10.7109375" style="1" customWidth="1"/>
    <col min="4" max="4" width="1.7109375" style="1" customWidth="1"/>
    <col min="5" max="5" width="10.7109375" style="1" customWidth="1"/>
    <col min="6" max="6" width="1.7109375" style="1" customWidth="1"/>
    <col min="7" max="7" width="10.7109375" style="1" customWidth="1"/>
    <col min="8" max="8" width="1.7109375" style="1" customWidth="1"/>
    <col min="9" max="9" width="10.7109375" style="1" customWidth="1"/>
    <col min="10" max="10" width="1.7109375" style="1" customWidth="1"/>
    <col min="11" max="11" width="10.7109375" style="1" customWidth="1"/>
    <col min="12" max="12" width="1.7109375" style="1" customWidth="1"/>
    <col min="13" max="13" width="10.7109375" style="1" customWidth="1"/>
    <col min="14" max="16384" width="8.7109375" style="1"/>
  </cols>
  <sheetData>
    <row r="1" spans="1:17">
      <c r="M1" s="52" t="s">
        <v>107</v>
      </c>
    </row>
    <row r="2" spans="1:17">
      <c r="M2" s="52" t="s">
        <v>56</v>
      </c>
    </row>
    <row r="4" spans="1:17" s="140" customFormat="1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17" s="140" customFormat="1"/>
    <row r="6" spans="1:17" s="140" customFormat="1">
      <c r="A6" s="5" t="s">
        <v>228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17" s="140" customFormat="1"/>
    <row r="8" spans="1:17" s="140" customFormat="1"/>
    <row r="9" spans="1:17" s="140" customFormat="1"/>
    <row r="10" spans="1:17" s="140" customFormat="1"/>
    <row r="12" spans="1:17">
      <c r="A12" s="6" t="s">
        <v>1478</v>
      </c>
      <c r="C12" s="5" t="s">
        <v>298</v>
      </c>
      <c r="D12" s="5"/>
      <c r="E12" s="5"/>
      <c r="F12" s="5"/>
      <c r="G12" s="5"/>
      <c r="I12" s="2" t="s">
        <v>299</v>
      </c>
      <c r="K12" s="5" t="s">
        <v>1</v>
      </c>
      <c r="L12" s="5"/>
      <c r="M12" s="5"/>
    </row>
    <row r="13" spans="1:17">
      <c r="A13" s="6" t="s">
        <v>4</v>
      </c>
      <c r="C13" s="118" t="s">
        <v>12</v>
      </c>
      <c r="D13" s="118"/>
      <c r="E13" s="118" t="s">
        <v>302</v>
      </c>
      <c r="F13" s="106"/>
      <c r="G13" s="118" t="s">
        <v>67</v>
      </c>
      <c r="I13" s="6" t="s">
        <v>109</v>
      </c>
      <c r="J13" s="6"/>
      <c r="K13" s="106" t="s">
        <v>9</v>
      </c>
      <c r="L13" s="106"/>
      <c r="M13" s="118" t="s">
        <v>13</v>
      </c>
    </row>
    <row r="14" spans="1:17">
      <c r="A14" s="106" t="s">
        <v>27</v>
      </c>
      <c r="C14" s="106" t="s">
        <v>33</v>
      </c>
      <c r="D14" s="6"/>
      <c r="E14" s="106" t="s">
        <v>36</v>
      </c>
      <c r="G14" s="106" t="s">
        <v>38</v>
      </c>
      <c r="I14" s="106" t="s">
        <v>40</v>
      </c>
      <c r="K14" s="106" t="s">
        <v>42</v>
      </c>
      <c r="M14" s="118" t="s">
        <v>30</v>
      </c>
    </row>
    <row r="15" spans="1:17">
      <c r="Q15" s="469"/>
    </row>
    <row r="16" spans="1:17">
      <c r="A16" s="2" t="s">
        <v>2</v>
      </c>
      <c r="K16" s="274">
        <v>0.22500000000000001</v>
      </c>
      <c r="M16" s="274">
        <v>0.1</v>
      </c>
      <c r="P16" s="469"/>
    </row>
    <row r="17" spans="1:13">
      <c r="A17" s="6">
        <v>2004</v>
      </c>
      <c r="C17" s="469">
        <f>'Exhibit R,S9'!T32</f>
        <v>0.25222870042274725</v>
      </c>
      <c r="D17" s="274"/>
      <c r="E17" s="469">
        <f>'Exhibit R,S9'!U$108</f>
        <v>1</v>
      </c>
      <c r="G17" s="266">
        <f>C17*E17</f>
        <v>0.25222870042274725</v>
      </c>
      <c r="I17" s="274">
        <f>IF(('Exhibit G,3'!Q26+'Exhibit G,3'!R26+'Exhibit H,5'!Q26+'Exhibit H,5'!R26)=0,0,('Exhibit G,3'!T26+'Exhibit H,5'!T26)/(('Exhibit G,3'!Q26+'Exhibit G,3'!R26)+('Exhibit H,5'!Q26+'Exhibit H,5'!R26)))</f>
        <v>0.50000000000000078</v>
      </c>
      <c r="K17" s="274">
        <f>K16</f>
        <v>0.22500000000000001</v>
      </c>
      <c r="M17" s="274">
        <f>M16</f>
        <v>0.1</v>
      </c>
    </row>
    <row r="18" spans="1:13">
      <c r="A18" s="6">
        <f>A17+1</f>
        <v>2005</v>
      </c>
      <c r="C18" s="469">
        <f>'Exhibit R,S9'!S33</f>
        <v>0.24591516228143345</v>
      </c>
      <c r="D18" s="274"/>
      <c r="E18" s="469">
        <f>'Exhibit R,S9'!T$108</f>
        <v>1</v>
      </c>
      <c r="G18" s="266">
        <f t="shared" ref="G18:G35" si="0">C18*E18</f>
        <v>0.24591516228143345</v>
      </c>
      <c r="I18" s="274">
        <f>IF(('Exhibit G,3'!Q27+'Exhibit G,3'!R27+'Exhibit H,5'!Q27+'Exhibit H,5'!R27)=0,0,('Exhibit G,3'!T27+'Exhibit H,5'!T27)/(('Exhibit G,3'!Q27+'Exhibit G,3'!R27)+('Exhibit H,5'!Q27+'Exhibit H,5'!R27)))</f>
        <v>0.50000000000000022</v>
      </c>
      <c r="K18" s="274">
        <f t="shared" ref="K18:K35" si="1">K17</f>
        <v>0.22500000000000001</v>
      </c>
      <c r="M18" s="274">
        <f t="shared" ref="M18:M35" si="2">M17</f>
        <v>0.1</v>
      </c>
    </row>
    <row r="19" spans="1:13">
      <c r="A19" s="6">
        <f t="shared" ref="A19:A35" si="3">A18+1</f>
        <v>2006</v>
      </c>
      <c r="C19" s="469">
        <f>'Exhibit R,S9'!R34</f>
        <v>0.23413946773510741</v>
      </c>
      <c r="D19" s="274"/>
      <c r="E19" s="469">
        <f>'Exhibit R,S9'!S$108</f>
        <v>1</v>
      </c>
      <c r="G19" s="266">
        <f t="shared" si="0"/>
        <v>0.23413946773510741</v>
      </c>
      <c r="I19" s="274">
        <f>IF(('Exhibit G,3'!Q28+'Exhibit G,3'!R28+'Exhibit H,5'!Q28+'Exhibit H,5'!R28)=0,0,('Exhibit G,3'!T28+'Exhibit H,5'!T28)/(('Exhibit G,3'!Q28+'Exhibit G,3'!R28)+('Exhibit H,5'!Q28+'Exhibit H,5'!R28)))</f>
        <v>0</v>
      </c>
      <c r="K19" s="274">
        <f t="shared" si="1"/>
        <v>0.22500000000000001</v>
      </c>
      <c r="M19" s="274">
        <f t="shared" si="2"/>
        <v>0.1</v>
      </c>
    </row>
    <row r="20" spans="1:13">
      <c r="A20" s="6">
        <f t="shared" si="3"/>
        <v>2007</v>
      </c>
      <c r="C20" s="469">
        <f>'Exhibit R,S9'!Q35</f>
        <v>0.28151209764074347</v>
      </c>
      <c r="D20" s="274"/>
      <c r="E20" s="469">
        <f>'Exhibit R,S9'!R$108</f>
        <v>1</v>
      </c>
      <c r="G20" s="266">
        <f t="shared" si="0"/>
        <v>0.28151209764074347</v>
      </c>
      <c r="I20" s="274">
        <f>IF(('Exhibit G,3'!Q29+'Exhibit G,3'!R29+'Exhibit H,5'!Q29+'Exhibit H,5'!R29)=0,0,('Exhibit G,3'!T29+'Exhibit H,5'!T29)/(('Exhibit G,3'!Q29+'Exhibit G,3'!R29)+('Exhibit H,5'!Q29+'Exhibit H,5'!R29)))</f>
        <v>0.49999999999999906</v>
      </c>
      <c r="K20" s="274">
        <f t="shared" si="1"/>
        <v>0.22500000000000001</v>
      </c>
      <c r="M20" s="274">
        <f t="shared" si="2"/>
        <v>0.1</v>
      </c>
    </row>
    <row r="21" spans="1:13">
      <c r="A21" s="6">
        <f t="shared" si="3"/>
        <v>2008</v>
      </c>
      <c r="C21" s="469">
        <f>'Exhibit R,S9'!P36</f>
        <v>0.20783221627649207</v>
      </c>
      <c r="D21" s="274"/>
      <c r="E21" s="469">
        <f>'Exhibit R,S9'!Q$108</f>
        <v>1</v>
      </c>
      <c r="G21" s="266">
        <f t="shared" si="0"/>
        <v>0.20783221627649207</v>
      </c>
      <c r="I21" s="274">
        <f>IF(('Exhibit G,3'!Q30+'Exhibit G,3'!R30+'Exhibit H,5'!Q30+'Exhibit H,5'!R30)=0,0,('Exhibit G,3'!T30+'Exhibit H,5'!T30)/(('Exhibit G,3'!Q30+'Exhibit G,3'!R30)+('Exhibit H,5'!Q30+'Exhibit H,5'!R30)))</f>
        <v>0.50000000000000022</v>
      </c>
      <c r="K21" s="274">
        <f t="shared" si="1"/>
        <v>0.22500000000000001</v>
      </c>
      <c r="M21" s="274">
        <f t="shared" si="2"/>
        <v>0.1</v>
      </c>
    </row>
    <row r="22" spans="1:13">
      <c r="A22" s="6">
        <f t="shared" si="3"/>
        <v>2009</v>
      </c>
      <c r="C22" s="469">
        <f>'Exhibit R,S9'!O37</f>
        <v>0.2054022388415695</v>
      </c>
      <c r="D22" s="274"/>
      <c r="E22" s="469">
        <f>'Exhibit R,S9'!P$108</f>
        <v>1</v>
      </c>
      <c r="G22" s="266">
        <f t="shared" si="0"/>
        <v>0.2054022388415695</v>
      </c>
      <c r="I22" s="274">
        <f>IF(('Exhibit G,3'!Q31+'Exhibit G,3'!R31+'Exhibit H,5'!Q31+'Exhibit H,5'!R31)=0,0,('Exhibit G,3'!T31+'Exhibit H,5'!T31)/(('Exhibit G,3'!Q31+'Exhibit G,3'!R31)+('Exhibit H,5'!Q31+'Exhibit H,5'!R31)))</f>
        <v>0.49999999999999994</v>
      </c>
      <c r="K22" s="274">
        <f t="shared" si="1"/>
        <v>0.22500000000000001</v>
      </c>
      <c r="M22" s="274">
        <f t="shared" si="2"/>
        <v>0.1</v>
      </c>
    </row>
    <row r="23" spans="1:13">
      <c r="A23" s="6">
        <f t="shared" si="3"/>
        <v>2010</v>
      </c>
      <c r="C23" s="469">
        <f>'Exhibit R,S9'!N38</f>
        <v>0.1708271212477038</v>
      </c>
      <c r="D23" s="274"/>
      <c r="E23" s="469">
        <f>'Exhibit R,S9'!O$108</f>
        <v>1</v>
      </c>
      <c r="G23" s="266">
        <f t="shared" si="0"/>
        <v>0.1708271212477038</v>
      </c>
      <c r="I23" s="274">
        <f>IF(('Exhibit G,3'!Q32+'Exhibit G,3'!R32+'Exhibit H,5'!Q32+'Exhibit H,5'!R32)=0,0,('Exhibit G,3'!T32+'Exhibit H,5'!T32)/(('Exhibit G,3'!Q32+'Exhibit G,3'!R32)+('Exhibit H,5'!Q32+'Exhibit H,5'!R32)))</f>
        <v>0.49999999999999989</v>
      </c>
      <c r="K23" s="274">
        <f t="shared" si="1"/>
        <v>0.22500000000000001</v>
      </c>
      <c r="M23" s="274">
        <f t="shared" si="2"/>
        <v>0.1</v>
      </c>
    </row>
    <row r="24" spans="1:13">
      <c r="A24" s="6">
        <f t="shared" si="3"/>
        <v>2011</v>
      </c>
      <c r="C24" s="469">
        <f>'Exhibit R,S9'!M39</f>
        <v>0.19731800396926358</v>
      </c>
      <c r="D24" s="274"/>
      <c r="E24" s="469">
        <f>'Exhibit R,S9'!N$108</f>
        <v>1</v>
      </c>
      <c r="G24" s="266">
        <f t="shared" si="0"/>
        <v>0.19731800396926358</v>
      </c>
      <c r="I24" s="274">
        <f>IF(('Exhibit G,3'!Q33+'Exhibit G,3'!R33+'Exhibit H,5'!Q33+'Exhibit H,5'!R33)=0,0,('Exhibit G,3'!T33+'Exhibit H,5'!T33)/(('Exhibit G,3'!Q33+'Exhibit G,3'!R33)+('Exhibit H,5'!Q33+'Exhibit H,5'!R33)))</f>
        <v>0.50000000000000033</v>
      </c>
      <c r="K24" s="274">
        <f t="shared" si="1"/>
        <v>0.22500000000000001</v>
      </c>
      <c r="M24" s="274">
        <f t="shared" si="2"/>
        <v>0.1</v>
      </c>
    </row>
    <row r="25" spans="1:13">
      <c r="A25" s="6">
        <f t="shared" si="3"/>
        <v>2012</v>
      </c>
      <c r="C25" s="469">
        <f>'Exhibit R,S9'!L40</f>
        <v>0.18978430547871114</v>
      </c>
      <c r="D25" s="274"/>
      <c r="E25" s="469">
        <f>'Exhibit R,S9'!M$108</f>
        <v>1</v>
      </c>
      <c r="G25" s="266">
        <f t="shared" si="0"/>
        <v>0.18978430547871114</v>
      </c>
      <c r="I25" s="274">
        <f>IF(('Exhibit G,3'!Q34+'Exhibit G,3'!R34+'Exhibit H,5'!Q34+'Exhibit H,5'!R34)=0,0,('Exhibit G,3'!T34+'Exhibit H,5'!T34)/(('Exhibit G,3'!Q34+'Exhibit G,3'!R34)+('Exhibit H,5'!Q34+'Exhibit H,5'!R34)))</f>
        <v>0.49999999999999994</v>
      </c>
      <c r="K25" s="274">
        <f t="shared" si="1"/>
        <v>0.22500000000000001</v>
      </c>
      <c r="M25" s="274">
        <f t="shared" si="2"/>
        <v>0.1</v>
      </c>
    </row>
    <row r="26" spans="1:13">
      <c r="A26" s="6">
        <f t="shared" si="3"/>
        <v>2013</v>
      </c>
      <c r="C26" s="469">
        <f>'Exhibit R,S9'!K41</f>
        <v>0.14998310883564434</v>
      </c>
      <c r="D26" s="274"/>
      <c r="E26" s="469">
        <f>'Exhibit R,S9'!L$108</f>
        <v>1</v>
      </c>
      <c r="G26" s="266">
        <f t="shared" si="0"/>
        <v>0.14998310883564434</v>
      </c>
      <c r="I26" s="274">
        <f>IF(('Exhibit G,3'!Q35+'Exhibit G,3'!R35+'Exhibit H,5'!Q35+'Exhibit H,5'!R35)=0,0,('Exhibit G,3'!T35+'Exhibit H,5'!T35)/(('Exhibit G,3'!Q35+'Exhibit G,3'!R35)+('Exhibit H,5'!Q35+'Exhibit H,5'!R35)))</f>
        <v>0.50000000000000011</v>
      </c>
      <c r="K26" s="274">
        <f t="shared" si="1"/>
        <v>0.22500000000000001</v>
      </c>
      <c r="M26" s="274">
        <f t="shared" si="2"/>
        <v>0.1</v>
      </c>
    </row>
    <row r="27" spans="1:13">
      <c r="A27" s="6">
        <f t="shared" si="3"/>
        <v>2014</v>
      </c>
      <c r="C27" s="469">
        <f>'Exhibit R,S9'!J42</f>
        <v>0.20143766762975143</v>
      </c>
      <c r="D27" s="274"/>
      <c r="E27" s="469">
        <f>'Exhibit R,S9'!K$108</f>
        <v>1</v>
      </c>
      <c r="G27" s="266">
        <f t="shared" si="0"/>
        <v>0.20143766762975143</v>
      </c>
      <c r="I27" s="274">
        <f>IF(('Exhibit G,3'!Q36+'Exhibit G,3'!R36+'Exhibit H,5'!Q36+'Exhibit H,5'!R36)=0,0,('Exhibit G,3'!T36+'Exhibit H,5'!T36)/(('Exhibit G,3'!Q36+'Exhibit G,3'!R36)+('Exhibit H,5'!Q36+'Exhibit H,5'!R36)))</f>
        <v>0.49999999999999989</v>
      </c>
      <c r="K27" s="274">
        <f t="shared" si="1"/>
        <v>0.22500000000000001</v>
      </c>
      <c r="M27" s="274">
        <f t="shared" si="2"/>
        <v>0.1</v>
      </c>
    </row>
    <row r="28" spans="1:13">
      <c r="A28" s="6">
        <f t="shared" si="3"/>
        <v>2015</v>
      </c>
      <c r="C28" s="469">
        <f>'Exhibit R,S9'!I43</f>
        <v>0.14709401437735631</v>
      </c>
      <c r="D28" s="274"/>
      <c r="E28" s="469">
        <f>'Exhibit R,S9'!I$108</f>
        <v>1.0100249999999997</v>
      </c>
      <c r="G28" s="266">
        <f t="shared" si="0"/>
        <v>0.14856863187148928</v>
      </c>
      <c r="I28" s="274">
        <f>IF(('Exhibit G,3'!Q37+'Exhibit G,3'!R37+'Exhibit H,5'!Q37+'Exhibit H,5'!R37)=0,0,('Exhibit G,3'!T37+'Exhibit H,5'!T37)/(('Exhibit G,3'!Q37+'Exhibit G,3'!R37)+('Exhibit H,5'!Q37+'Exhibit H,5'!R37)))</f>
        <v>0.49999999999999972</v>
      </c>
      <c r="K28" s="274">
        <f t="shared" si="1"/>
        <v>0.22500000000000001</v>
      </c>
      <c r="M28" s="274">
        <f t="shared" si="2"/>
        <v>0.1</v>
      </c>
    </row>
    <row r="29" spans="1:13">
      <c r="A29" s="6">
        <f t="shared" si="3"/>
        <v>2016</v>
      </c>
      <c r="C29" s="469">
        <f>'Exhibit R,S9'!H44</f>
        <v>0.14728510075268733</v>
      </c>
      <c r="D29" s="274"/>
      <c r="E29" s="469">
        <f>'Exhibit R,S9'!H$108</f>
        <v>1.0453758749999997</v>
      </c>
      <c r="G29" s="266">
        <f t="shared" si="0"/>
        <v>0.15396829107380364</v>
      </c>
      <c r="I29" s="274">
        <f>IF(('Exhibit G,3'!Q38+'Exhibit G,3'!R38+'Exhibit H,5'!Q38+'Exhibit H,5'!R38)=0,0,('Exhibit G,3'!T38+'Exhibit H,5'!T38)/(('Exhibit G,3'!Q38+'Exhibit G,3'!R38)+('Exhibit H,5'!Q38+'Exhibit H,5'!R38)))</f>
        <v>0.62279483870642516</v>
      </c>
      <c r="K29" s="274">
        <f t="shared" si="1"/>
        <v>0.22500000000000001</v>
      </c>
      <c r="M29" s="274">
        <f t="shared" si="2"/>
        <v>0.1</v>
      </c>
    </row>
    <row r="30" spans="1:13">
      <c r="A30" s="6">
        <f t="shared" si="3"/>
        <v>2017</v>
      </c>
      <c r="C30" s="469">
        <f>'Exhibit R,S9'!G45</f>
        <v>0.20456770832697813</v>
      </c>
      <c r="D30" s="274"/>
      <c r="E30" s="469">
        <f>'Exhibit R,S9'!G$108</f>
        <v>1.0976446687499997</v>
      </c>
      <c r="G30" s="266">
        <f t="shared" si="0"/>
        <v>0.22454265444351246</v>
      </c>
      <c r="I30" s="274">
        <f>IF(('Exhibit G,3'!Q39+'Exhibit G,3'!R39+'Exhibit H,5'!Q39+'Exhibit H,5'!R39)=0,0,('Exhibit G,3'!T39+'Exhibit H,5'!T39)/(('Exhibit G,3'!Q39+'Exhibit G,3'!R39)+('Exhibit H,5'!Q39+'Exhibit H,5'!R39)))</f>
        <v>4.7790697674418601</v>
      </c>
      <c r="K30" s="274">
        <f t="shared" si="1"/>
        <v>0.22500000000000001</v>
      </c>
      <c r="M30" s="274">
        <f t="shared" si="2"/>
        <v>0.1</v>
      </c>
    </row>
    <row r="31" spans="1:13">
      <c r="A31" s="6">
        <f t="shared" si="3"/>
        <v>2018</v>
      </c>
      <c r="C31" s="469">
        <f>'Exhibit R,S9'!F46</f>
        <v>0.1191191863603553</v>
      </c>
      <c r="D31" s="274"/>
      <c r="E31" s="469">
        <f>'Exhibit R,S9'!F$108</f>
        <v>1.0976446687499997</v>
      </c>
      <c r="G31" s="266">
        <f t="shared" si="0"/>
        <v>0.13075053985428167</v>
      </c>
      <c r="I31" s="274">
        <f>IF(('Exhibit G,3'!Q40+'Exhibit G,3'!R40+'Exhibit H,5'!Q40+'Exhibit H,5'!R40)=0,0,('Exhibit G,3'!T40+'Exhibit H,5'!T40)/(('Exhibit G,3'!Q40+'Exhibit G,3'!R40)+('Exhibit H,5'!Q40+'Exhibit H,5'!R40)))</f>
        <v>0</v>
      </c>
      <c r="K31" s="274">
        <f t="shared" si="1"/>
        <v>0.22500000000000001</v>
      </c>
      <c r="M31" s="274">
        <f t="shared" si="2"/>
        <v>0.1</v>
      </c>
    </row>
    <row r="32" spans="1:13">
      <c r="A32" s="6">
        <f t="shared" si="3"/>
        <v>2019</v>
      </c>
      <c r="C32" s="469">
        <f>'Exhibit R,S9'!E47</f>
        <v>0.17426533028197841</v>
      </c>
      <c r="D32" s="274"/>
      <c r="E32" s="469">
        <f>'Exhibit R,S9'!E$108</f>
        <v>1.0976446687499997</v>
      </c>
      <c r="G32" s="266">
        <f t="shared" si="0"/>
        <v>0.19128141073197147</v>
      </c>
      <c r="I32" s="274">
        <f>IF(('Exhibit G,3'!Q41+'Exhibit G,3'!R41+'Exhibit H,5'!Q41+'Exhibit H,5'!R41)=0,0,('Exhibit G,3'!T41+'Exhibit H,5'!T41)/(('Exhibit G,3'!Q41+'Exhibit G,3'!R41)+('Exhibit H,5'!Q41+'Exhibit H,5'!R41)))</f>
        <v>0.39865191321145554</v>
      </c>
      <c r="K32" s="274">
        <f t="shared" si="1"/>
        <v>0.22500000000000001</v>
      </c>
      <c r="M32" s="274">
        <f t="shared" si="2"/>
        <v>0.1</v>
      </c>
    </row>
    <row r="33" spans="1:13">
      <c r="A33" s="6">
        <f t="shared" si="3"/>
        <v>2020</v>
      </c>
      <c r="C33" s="469">
        <f>'Exhibit R,S9'!D48</f>
        <v>0.15460144860042713</v>
      </c>
      <c r="D33" s="274"/>
      <c r="E33" s="469">
        <f>'Exhibit R,S9'!D$108</f>
        <v>1.2074091356249996</v>
      </c>
      <c r="G33" s="266">
        <f t="shared" si="0"/>
        <v>0.18666720142101453</v>
      </c>
      <c r="I33" s="274">
        <f>IF(('Exhibit G,3'!Q42+'Exhibit G,3'!R42+'Exhibit H,5'!Q42+'Exhibit H,5'!R42)=0,0,('Exhibit G,3'!T42+'Exhibit H,5'!T42)/(('Exhibit G,3'!Q42+'Exhibit G,3'!R42)+('Exhibit H,5'!Q42+'Exhibit H,5'!R42)))</f>
        <v>0</v>
      </c>
      <c r="K33" s="274">
        <f t="shared" si="1"/>
        <v>0.22500000000000001</v>
      </c>
      <c r="M33" s="274">
        <f t="shared" si="2"/>
        <v>0.1</v>
      </c>
    </row>
    <row r="34" spans="1:13">
      <c r="A34" s="6">
        <f t="shared" si="3"/>
        <v>2021</v>
      </c>
      <c r="C34" s="469">
        <f>'Exhibit R,S9'!C49</f>
        <v>0.53245717844568818</v>
      </c>
      <c r="D34" s="274"/>
      <c r="E34" s="469">
        <f>'Exhibit R,S9'!$C108</f>
        <v>0.8451863949374997</v>
      </c>
      <c r="G34" s="266">
        <f t="shared" si="0"/>
        <v>0.45002556310910419</v>
      </c>
      <c r="I34" s="274">
        <f>IF(('Exhibit G,3'!Q43+'Exhibit G,3'!R43+'Exhibit H,5'!Q43+'Exhibit H,5'!R43)=0,0,('Exhibit G,3'!T43+'Exhibit H,5'!T43)/(('Exhibit G,3'!Q43+'Exhibit G,3'!R43)+('Exhibit H,5'!Q43+'Exhibit H,5'!R43)))</f>
        <v>0</v>
      </c>
      <c r="K34" s="274">
        <f t="shared" si="1"/>
        <v>0.22500000000000001</v>
      </c>
      <c r="M34" s="274">
        <f t="shared" si="2"/>
        <v>0.1</v>
      </c>
    </row>
    <row r="35" spans="1:13">
      <c r="A35" s="6">
        <f t="shared" si="3"/>
        <v>2022</v>
      </c>
      <c r="C35" s="469">
        <f>'Exhibit R,S9'!B50</f>
        <v>0.59094275267913721</v>
      </c>
      <c r="D35" s="274"/>
      <c r="E35" s="469">
        <f>'Exhibit R,S9'!B$108</f>
        <v>0.61276013632968729</v>
      </c>
      <c r="G35" s="266">
        <f t="shared" si="0"/>
        <v>0.36210616169470877</v>
      </c>
      <c r="I35" s="274">
        <f>IF(('Exhibit G,3'!Q44+'Exhibit G,3'!R44+'Exhibit H,5'!Q44+'Exhibit H,5'!R44)=0,0,('Exhibit G,3'!T44+'Exhibit H,5'!T44)/(('Exhibit G,3'!Q44+'Exhibit G,3'!R44)+('Exhibit H,5'!Q44+'Exhibit H,5'!R44)))</f>
        <v>0</v>
      </c>
      <c r="K35" s="274">
        <f t="shared" si="1"/>
        <v>0.22500000000000001</v>
      </c>
      <c r="M35" s="274">
        <f t="shared" si="2"/>
        <v>0.1</v>
      </c>
    </row>
    <row r="41" spans="1:13">
      <c r="A41" s="64" t="s">
        <v>104</v>
      </c>
      <c r="C41" s="3" t="s">
        <v>911</v>
      </c>
    </row>
    <row r="42" spans="1:13">
      <c r="A42" s="64" t="s">
        <v>36</v>
      </c>
      <c r="C42" s="3" t="s">
        <v>911</v>
      </c>
      <c r="D42" s="3"/>
      <c r="E42" s="3"/>
    </row>
    <row r="43" spans="1:13">
      <c r="A43" s="64" t="s">
        <v>38</v>
      </c>
      <c r="C43" s="3" t="s">
        <v>142</v>
      </c>
      <c r="D43" s="3"/>
      <c r="E43" s="3"/>
    </row>
    <row r="44" spans="1:13">
      <c r="A44" s="64" t="s">
        <v>40</v>
      </c>
      <c r="C44" s="3" t="s">
        <v>1337</v>
      </c>
      <c r="D44" s="3"/>
      <c r="E44" s="3"/>
    </row>
    <row r="80" spans="5:5">
      <c r="E80" s="469"/>
    </row>
    <row r="81" spans="5:5">
      <c r="E81" s="469"/>
    </row>
    <row r="82" spans="5:5">
      <c r="E82" s="469"/>
    </row>
    <row r="83" spans="5:5">
      <c r="E83" s="469"/>
    </row>
    <row r="84" spans="5:5">
      <c r="E84" s="469"/>
    </row>
    <row r="85" spans="5:5">
      <c r="E85" s="469"/>
    </row>
    <row r="86" spans="5:5">
      <c r="E86" s="469"/>
    </row>
    <row r="87" spans="5:5">
      <c r="E87" s="469"/>
    </row>
    <row r="88" spans="5:5">
      <c r="E88" s="469"/>
    </row>
    <row r="89" spans="5:5">
      <c r="E89" s="469"/>
    </row>
    <row r="90" spans="5:5">
      <c r="E90" s="469"/>
    </row>
    <row r="91" spans="5:5">
      <c r="E91" s="469"/>
    </row>
    <row r="92" spans="5:5">
      <c r="E92" s="469"/>
    </row>
    <row r="93" spans="5:5">
      <c r="E93" s="469"/>
    </row>
    <row r="94" spans="5:5">
      <c r="E94" s="469"/>
    </row>
    <row r="95" spans="5:5">
      <c r="E95" s="469"/>
    </row>
    <row r="96" spans="5:5">
      <c r="E96" s="469"/>
    </row>
    <row r="97" spans="5:5">
      <c r="E97" s="469"/>
    </row>
    <row r="98" spans="5:5">
      <c r="E98" s="469"/>
    </row>
    <row r="133" spans="5:5">
      <c r="E133" s="469"/>
    </row>
    <row r="134" spans="5:5">
      <c r="E134" s="469"/>
    </row>
    <row r="135" spans="5:5">
      <c r="E135" s="469"/>
    </row>
    <row r="136" spans="5:5">
      <c r="E136" s="469"/>
    </row>
    <row r="137" spans="5:5">
      <c r="E137" s="469"/>
    </row>
    <row r="138" spans="5:5">
      <c r="E138" s="469"/>
    </row>
    <row r="139" spans="5:5">
      <c r="E139" s="469"/>
    </row>
    <row r="140" spans="5:5">
      <c r="E140" s="469"/>
    </row>
    <row r="141" spans="5:5">
      <c r="E141" s="469"/>
    </row>
    <row r="142" spans="5:5">
      <c r="E142" s="469"/>
    </row>
    <row r="143" spans="5:5">
      <c r="E143" s="469"/>
    </row>
    <row r="144" spans="5:5">
      <c r="E144" s="469"/>
    </row>
    <row r="145" spans="5:5">
      <c r="E145" s="469"/>
    </row>
    <row r="146" spans="5:5">
      <c r="E146" s="469"/>
    </row>
    <row r="147" spans="5:5">
      <c r="E147" s="469"/>
    </row>
    <row r="148" spans="5:5">
      <c r="E148" s="469"/>
    </row>
    <row r="149" spans="5:5">
      <c r="E149" s="469"/>
    </row>
    <row r="150" spans="5:5">
      <c r="E150" s="469"/>
    </row>
    <row r="151" spans="5:5">
      <c r="E151" s="469"/>
    </row>
    <row r="152" spans="5:5">
      <c r="E152" s="469"/>
    </row>
    <row r="153" spans="5:5">
      <c r="E153" s="469"/>
    </row>
    <row r="154" spans="5:5">
      <c r="E154" s="469"/>
    </row>
    <row r="155" spans="5:5">
      <c r="E155" s="469"/>
    </row>
    <row r="156" spans="5:5">
      <c r="E156" s="469"/>
    </row>
    <row r="157" spans="5:5">
      <c r="E157" s="469"/>
    </row>
    <row r="158" spans="5:5">
      <c r="E158" s="469"/>
    </row>
  </sheetData>
  <printOptions horizontalCentered="1"/>
  <pageMargins left="0.7" right="0.7" top="0.75" bottom="0.75" header="0.3" footer="0.3"/>
  <pageSetup scale="88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pageSetUpPr fitToPage="1"/>
  </sheetPr>
  <dimension ref="A1:O54"/>
  <sheetViews>
    <sheetView showOutlineSymbols="0" zoomScaleNormal="100" workbookViewId="0">
      <selection activeCell="I46" sqref="I46"/>
    </sheetView>
  </sheetViews>
  <sheetFormatPr baseColWidth="10" defaultColWidth="9.7109375" defaultRowHeight="15"/>
  <cols>
    <col min="1" max="1" width="10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1.7109375" style="1" customWidth="1"/>
    <col min="12" max="14" width="9.7109375" style="1"/>
    <col min="15" max="15" width="10.85546875" style="1" bestFit="1" customWidth="1"/>
    <col min="16" max="16384" width="9.7109375" style="1"/>
  </cols>
  <sheetData>
    <row r="1" spans="1:15">
      <c r="K1" s="52" t="s">
        <v>105</v>
      </c>
    </row>
    <row r="2" spans="1:15">
      <c r="K2" s="52" t="s">
        <v>56</v>
      </c>
    </row>
    <row r="4" spans="1:15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140"/>
    </row>
    <row r="5" spans="1:15" ht="16">
      <c r="A5" s="5"/>
      <c r="F5" s="51"/>
    </row>
    <row r="6" spans="1:15">
      <c r="A6" s="5" t="s">
        <v>271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5">
      <c r="A7" s="5" t="s">
        <v>85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15">
      <c r="A8" s="5"/>
      <c r="B8" s="5"/>
      <c r="C8" s="5"/>
      <c r="D8" s="5"/>
      <c r="E8" s="5"/>
      <c r="F8" s="5"/>
      <c r="G8" s="5"/>
      <c r="H8" s="5"/>
      <c r="I8" s="5"/>
      <c r="J8" s="5"/>
      <c r="K8" s="5"/>
    </row>
    <row r="12" spans="1:15">
      <c r="C12" s="6" t="s">
        <v>3</v>
      </c>
      <c r="E12" s="6"/>
      <c r="G12" s="6" t="s">
        <v>2</v>
      </c>
    </row>
    <row r="13" spans="1:15">
      <c r="C13" s="6" t="s">
        <v>4</v>
      </c>
      <c r="E13" s="6" t="s">
        <v>79</v>
      </c>
      <c r="G13" s="6" t="s">
        <v>1</v>
      </c>
      <c r="I13" s="6" t="s">
        <v>1</v>
      </c>
      <c r="O13" s="61"/>
    </row>
    <row r="14" spans="1:15">
      <c r="C14" s="106" t="s">
        <v>27</v>
      </c>
      <c r="E14" s="106" t="s">
        <v>33</v>
      </c>
      <c r="G14" s="106" t="s">
        <v>36</v>
      </c>
      <c r="I14" s="106" t="s">
        <v>38</v>
      </c>
      <c r="O14" s="61"/>
    </row>
    <row r="15" spans="1:15">
      <c r="O15" s="61"/>
    </row>
    <row r="16" spans="1:15">
      <c r="C16" s="6">
        <v>1994</v>
      </c>
      <c r="E16" s="19">
        <f>EF!G15</f>
        <v>12530063.48</v>
      </c>
      <c r="F16" s="19"/>
      <c r="G16" s="66">
        <v>12530063.48</v>
      </c>
      <c r="H16" s="19"/>
      <c r="I16" s="19">
        <f>E16</f>
        <v>12530063.48</v>
      </c>
      <c r="O16" s="137"/>
    </row>
    <row r="17" spans="3:15">
      <c r="C17" s="6">
        <f>C16+1</f>
        <v>1995</v>
      </c>
      <c r="E17" s="20">
        <f>EF!G16</f>
        <v>27996861.369999997</v>
      </c>
      <c r="G17" s="20">
        <v>27996861.369999997</v>
      </c>
      <c r="I17" s="20">
        <f t="shared" ref="I17:I44" si="0">E17</f>
        <v>27996861.369999997</v>
      </c>
      <c r="O17" s="137"/>
    </row>
    <row r="18" spans="3:15">
      <c r="C18" s="6">
        <f t="shared" ref="C18:C44" si="1">C17+1</f>
        <v>1996</v>
      </c>
      <c r="E18" s="20">
        <f>EF!G17</f>
        <v>19535873.620000001</v>
      </c>
      <c r="G18" s="20">
        <v>19535873.620000001</v>
      </c>
      <c r="I18" s="20">
        <f t="shared" si="0"/>
        <v>19535873.620000001</v>
      </c>
      <c r="O18" s="137"/>
    </row>
    <row r="19" spans="3:15">
      <c r="C19" s="6">
        <f t="shared" si="1"/>
        <v>1997</v>
      </c>
      <c r="E19" s="20">
        <f>EF!G18</f>
        <v>11966733.120000001</v>
      </c>
      <c r="G19" s="20">
        <v>11966733.120000001</v>
      </c>
      <c r="I19" s="20">
        <f t="shared" si="0"/>
        <v>11966733.120000001</v>
      </c>
      <c r="O19" s="137"/>
    </row>
    <row r="20" spans="3:15">
      <c r="C20" s="6">
        <f t="shared" si="1"/>
        <v>1998</v>
      </c>
      <c r="E20" s="20">
        <f>EF!G19</f>
        <v>28253567.849999998</v>
      </c>
      <c r="G20" s="20">
        <v>28253567.849999998</v>
      </c>
      <c r="I20" s="20">
        <f t="shared" si="0"/>
        <v>28253567.849999998</v>
      </c>
      <c r="O20" s="137"/>
    </row>
    <row r="21" spans="3:15">
      <c r="C21" s="6">
        <f t="shared" si="1"/>
        <v>1999</v>
      </c>
      <c r="E21" s="20">
        <f>EF!G20</f>
        <v>23093430.41</v>
      </c>
      <c r="G21" s="20">
        <v>23093430.41</v>
      </c>
      <c r="I21" s="20">
        <f t="shared" si="0"/>
        <v>23093430.41</v>
      </c>
      <c r="O21" s="137"/>
    </row>
    <row r="22" spans="3:15">
      <c r="C22" s="6">
        <f t="shared" si="1"/>
        <v>2000</v>
      </c>
      <c r="E22" s="20">
        <f>EF!G21</f>
        <v>16953048.240000002</v>
      </c>
      <c r="G22" s="20">
        <v>16953048.240000002</v>
      </c>
      <c r="I22" s="20">
        <f t="shared" si="0"/>
        <v>16953048.240000002</v>
      </c>
      <c r="O22" s="137"/>
    </row>
    <row r="23" spans="3:15">
      <c r="C23" s="6">
        <f t="shared" si="1"/>
        <v>2001</v>
      </c>
      <c r="E23" s="20">
        <f>EF!G22</f>
        <v>9326571.5999999996</v>
      </c>
      <c r="G23" s="20">
        <v>9326571.5999999996</v>
      </c>
      <c r="I23" s="20">
        <f t="shared" si="0"/>
        <v>9326571.5999999996</v>
      </c>
      <c r="O23" s="137"/>
    </row>
    <row r="24" spans="3:15">
      <c r="C24" s="6">
        <f t="shared" si="1"/>
        <v>2002</v>
      </c>
      <c r="E24" s="20">
        <f>EF!G23</f>
        <v>5903704.3700000048</v>
      </c>
      <c r="G24" s="20">
        <v>5903704.3700000001</v>
      </c>
      <c r="I24" s="20">
        <f t="shared" si="0"/>
        <v>5903704.3700000048</v>
      </c>
      <c r="O24" s="137"/>
    </row>
    <row r="25" spans="3:15">
      <c r="C25" s="6">
        <f t="shared" si="1"/>
        <v>2003</v>
      </c>
      <c r="E25" s="20">
        <f>EF!G24</f>
        <v>8645889.150000006</v>
      </c>
      <c r="G25" s="20">
        <v>8645889.1500000004</v>
      </c>
      <c r="I25" s="20">
        <f t="shared" si="0"/>
        <v>8645889.150000006</v>
      </c>
      <c r="O25" s="137"/>
    </row>
    <row r="26" spans="3:15">
      <c r="C26" s="6">
        <f t="shared" si="1"/>
        <v>2004</v>
      </c>
      <c r="E26" s="20">
        <f>EF!G25</f>
        <v>545392.89999999851</v>
      </c>
      <c r="G26" s="20">
        <v>545392.9</v>
      </c>
      <c r="I26" s="20">
        <f t="shared" si="0"/>
        <v>545392.89999999851</v>
      </c>
      <c r="O26" s="137"/>
    </row>
    <row r="27" spans="3:15">
      <c r="C27" s="6">
        <f t="shared" si="1"/>
        <v>2005</v>
      </c>
      <c r="E27" s="20">
        <f>EF!G26</f>
        <v>1330029.5099999993</v>
      </c>
      <c r="G27" s="20">
        <v>1330029.51</v>
      </c>
      <c r="I27" s="20">
        <f t="shared" si="0"/>
        <v>1330029.5099999993</v>
      </c>
      <c r="O27" s="137"/>
    </row>
    <row r="28" spans="3:15">
      <c r="C28" s="6">
        <f t="shared" si="1"/>
        <v>2006</v>
      </c>
      <c r="E28" s="20">
        <f>EF!G27</f>
        <v>0</v>
      </c>
      <c r="G28" s="20">
        <v>0</v>
      </c>
      <c r="I28" s="20">
        <f t="shared" si="0"/>
        <v>0</v>
      </c>
      <c r="O28" s="137"/>
    </row>
    <row r="29" spans="3:15">
      <c r="C29" s="6">
        <f t="shared" si="1"/>
        <v>2007</v>
      </c>
      <c r="E29" s="20">
        <f>EF!G28</f>
        <v>733464.96000000276</v>
      </c>
      <c r="G29" s="20">
        <v>733464.96</v>
      </c>
      <c r="I29" s="20">
        <f t="shared" si="0"/>
        <v>733464.96000000276</v>
      </c>
      <c r="O29" s="137"/>
    </row>
    <row r="30" spans="3:15">
      <c r="C30" s="6">
        <f t="shared" si="1"/>
        <v>2008</v>
      </c>
      <c r="E30" s="20">
        <f>EF!G29</f>
        <v>823895.1099999994</v>
      </c>
      <c r="G30" s="20">
        <v>823895.11</v>
      </c>
      <c r="I30" s="20">
        <f t="shared" si="0"/>
        <v>823895.1099999994</v>
      </c>
      <c r="O30" s="137"/>
    </row>
    <row r="31" spans="3:15">
      <c r="C31" s="6">
        <f t="shared" si="1"/>
        <v>2009</v>
      </c>
      <c r="E31" s="20">
        <f>EF!G30</f>
        <v>1716687.8200000003</v>
      </c>
      <c r="G31" s="20">
        <v>1716687.82</v>
      </c>
      <c r="I31" s="20">
        <f t="shared" si="0"/>
        <v>1716687.8200000003</v>
      </c>
      <c r="O31" s="137"/>
    </row>
    <row r="32" spans="3:15">
      <c r="C32" s="6">
        <f t="shared" si="1"/>
        <v>2010</v>
      </c>
      <c r="E32" s="20">
        <f>EF!G31</f>
        <v>2126900.6900000013</v>
      </c>
      <c r="G32" s="20">
        <v>2126900.69</v>
      </c>
      <c r="I32" s="20">
        <f t="shared" si="0"/>
        <v>2126900.6900000013</v>
      </c>
      <c r="O32" s="137"/>
    </row>
    <row r="33" spans="3:15">
      <c r="C33" s="6">
        <f t="shared" si="1"/>
        <v>2011</v>
      </c>
      <c r="E33" s="20">
        <f>EF!G32</f>
        <v>2235848.3499999978</v>
      </c>
      <c r="G33" s="20">
        <v>2235848.35</v>
      </c>
      <c r="I33" s="20">
        <f t="shared" si="0"/>
        <v>2235848.3499999978</v>
      </c>
      <c r="O33" s="137"/>
    </row>
    <row r="34" spans="3:15">
      <c r="C34" s="6">
        <f t="shared" si="1"/>
        <v>2012</v>
      </c>
      <c r="E34" s="20">
        <f>EF!G33</f>
        <v>5992753.5500000007</v>
      </c>
      <c r="G34" s="20">
        <v>5992765.2509156987</v>
      </c>
      <c r="I34" s="20">
        <f t="shared" si="0"/>
        <v>5992753.5500000007</v>
      </c>
      <c r="O34" s="137"/>
    </row>
    <row r="35" spans="3:15">
      <c r="C35" s="6">
        <f t="shared" si="1"/>
        <v>2013</v>
      </c>
      <c r="E35" s="20">
        <f>EF!G34</f>
        <v>6075394.3230250329</v>
      </c>
      <c r="G35" s="20">
        <v>6075471.5690046465</v>
      </c>
      <c r="I35" s="20">
        <f t="shared" si="0"/>
        <v>6075394.3230250329</v>
      </c>
      <c r="O35" s="137"/>
    </row>
    <row r="36" spans="3:15">
      <c r="C36" s="6">
        <f t="shared" si="1"/>
        <v>2014</v>
      </c>
      <c r="E36" s="20">
        <f>EF!G35</f>
        <v>1329634.9964780128</v>
      </c>
      <c r="G36" s="20">
        <v>1330347.3190715206</v>
      </c>
      <c r="I36" s="20">
        <f t="shared" si="0"/>
        <v>1329634.9964780128</v>
      </c>
      <c r="O36" s="137"/>
    </row>
    <row r="37" spans="3:15">
      <c r="C37" s="6">
        <f t="shared" si="1"/>
        <v>2015</v>
      </c>
      <c r="E37" s="20">
        <f>EF!G36</f>
        <v>1326638.9809761005</v>
      </c>
      <c r="G37" s="20">
        <v>1336987.1061422329</v>
      </c>
      <c r="I37" s="20">
        <f t="shared" si="0"/>
        <v>1326638.9809761005</v>
      </c>
      <c r="O37" s="137"/>
    </row>
    <row r="38" spans="3:15">
      <c r="C38" s="6">
        <f t="shared" si="1"/>
        <v>2016</v>
      </c>
      <c r="E38" s="20">
        <f>EF!G37</f>
        <v>3446137.4098387784</v>
      </c>
      <c r="G38" s="20">
        <v>4082003.3399698278</v>
      </c>
      <c r="I38" s="20">
        <f t="shared" si="0"/>
        <v>3446137.4098387784</v>
      </c>
      <c r="O38" s="137"/>
    </row>
    <row r="39" spans="3:15">
      <c r="C39" s="6">
        <f t="shared" si="1"/>
        <v>2017</v>
      </c>
      <c r="E39" s="20">
        <f>EF!G38</f>
        <v>251366.08021133463</v>
      </c>
      <c r="G39" s="20">
        <v>1490099.2407151954</v>
      </c>
      <c r="I39" s="20">
        <f t="shared" si="0"/>
        <v>251366.08021133463</v>
      </c>
      <c r="O39" s="137"/>
    </row>
    <row r="40" spans="3:15">
      <c r="C40" s="6">
        <f t="shared" si="1"/>
        <v>2018</v>
      </c>
      <c r="E40" s="20">
        <f>EF!G39</f>
        <v>2910988.6339054117</v>
      </c>
      <c r="G40" s="20">
        <v>594338.68271187041</v>
      </c>
      <c r="I40" s="20">
        <f t="shared" si="0"/>
        <v>2910988.6339054117</v>
      </c>
      <c r="O40" s="137"/>
    </row>
    <row r="41" spans="3:15">
      <c r="C41" s="6">
        <f t="shared" si="1"/>
        <v>2019</v>
      </c>
      <c r="E41" s="20">
        <f>EF!G40</f>
        <v>1068156.5102322558</v>
      </c>
      <c r="G41" s="20">
        <v>1037679.5149411361</v>
      </c>
      <c r="I41" s="20">
        <f t="shared" si="0"/>
        <v>1068156.5102322558</v>
      </c>
      <c r="O41" s="137"/>
    </row>
    <row r="42" spans="3:15">
      <c r="C42" s="6">
        <f t="shared" si="1"/>
        <v>2020</v>
      </c>
      <c r="E42" s="20">
        <f>EF!G41</f>
        <v>1340576.8884482326</v>
      </c>
      <c r="G42" s="20">
        <v>920047.38817323884</v>
      </c>
      <c r="I42" s="20">
        <f t="shared" si="0"/>
        <v>1340576.8884482326</v>
      </c>
      <c r="O42" s="137"/>
    </row>
    <row r="43" spans="3:15">
      <c r="C43" s="6">
        <f t="shared" si="1"/>
        <v>2021</v>
      </c>
      <c r="E43" s="20">
        <f>EF!G42</f>
        <v>628994.85886219202</v>
      </c>
      <c r="G43" s="20">
        <v>862743.63665463368</v>
      </c>
      <c r="I43" s="20">
        <f t="shared" si="0"/>
        <v>628994.85886219202</v>
      </c>
      <c r="O43" s="137"/>
    </row>
    <row r="44" spans="3:15">
      <c r="C44" s="6">
        <f t="shared" si="1"/>
        <v>2022</v>
      </c>
      <c r="E44" s="20">
        <f>EF!G43</f>
        <v>846911.27969565545</v>
      </c>
      <c r="G44" s="338" t="s">
        <v>490</v>
      </c>
      <c r="I44" s="20">
        <f t="shared" si="0"/>
        <v>846911.27969565545</v>
      </c>
      <c r="O44" s="137"/>
    </row>
    <row r="45" spans="3:15">
      <c r="C45" s="6"/>
      <c r="E45" s="105"/>
      <c r="G45" s="105"/>
      <c r="I45" s="105"/>
      <c r="O45" s="20"/>
    </row>
    <row r="46" spans="3:15">
      <c r="C46" s="6" t="s">
        <v>0</v>
      </c>
      <c r="E46" s="26">
        <f>SUM(E16:E45)</f>
        <v>198935516.06167302</v>
      </c>
      <c r="G46" s="52" t="s">
        <v>1031</v>
      </c>
      <c r="I46" s="26">
        <f>SUM(I16:I45)</f>
        <v>198935516.06167302</v>
      </c>
      <c r="O46" s="68"/>
    </row>
    <row r="47" spans="3:15">
      <c r="C47" s="6"/>
      <c r="E47" s="26"/>
      <c r="G47" s="26"/>
    </row>
    <row r="48" spans="3:15">
      <c r="C48" s="2" t="s">
        <v>1347</v>
      </c>
      <c r="E48" s="26">
        <f>SUM(E16:E43)</f>
        <v>198088604.78197736</v>
      </c>
      <c r="G48" s="26">
        <f>SUM(G16:G43)</f>
        <v>197440445.59830004</v>
      </c>
      <c r="I48" s="26">
        <f>SUM(I16:I43)</f>
        <v>198088604.78197736</v>
      </c>
    </row>
    <row r="52" spans="1:3">
      <c r="A52" s="52" t="s">
        <v>104</v>
      </c>
      <c r="C52" s="3" t="s">
        <v>300</v>
      </c>
    </row>
    <row r="53" spans="1:3">
      <c r="A53" s="52" t="s">
        <v>36</v>
      </c>
      <c r="C53" s="3" t="s">
        <v>1575</v>
      </c>
    </row>
    <row r="54" spans="1:3">
      <c r="A54" s="64" t="s">
        <v>38</v>
      </c>
      <c r="C54" s="3" t="s">
        <v>182</v>
      </c>
    </row>
  </sheetData>
  <phoneticPr fontId="8" type="noConversion"/>
  <printOptions horizontalCentered="1"/>
  <pageMargins left="0.7" right="0.7" top="0.75" bottom="0.75" header="0.3" footer="0.3"/>
  <pageSetup scale="8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5">
    <pageSetUpPr fitToPage="1"/>
  </sheetPr>
  <dimension ref="A1:AT68"/>
  <sheetViews>
    <sheetView topLeftCell="A17" zoomScaleNormal="100" workbookViewId="0">
      <selection activeCell="Q49" sqref="Q49"/>
    </sheetView>
  </sheetViews>
  <sheetFormatPr baseColWidth="10" defaultColWidth="8.7109375" defaultRowHeight="15"/>
  <cols>
    <col min="1" max="1" width="13.7109375" style="1" customWidth="1"/>
    <col min="2" max="2" width="1.7109375" style="1" customWidth="1"/>
    <col min="3" max="3" width="13.7109375" style="1" customWidth="1"/>
    <col min="4" max="4" width="1.7109375" style="1" customWidth="1"/>
    <col min="5" max="5" width="13.7109375" style="1" customWidth="1"/>
    <col min="6" max="6" width="1.7109375" style="1" customWidth="1"/>
    <col min="7" max="7" width="13.7109375" style="1" customWidth="1"/>
    <col min="8" max="8" width="1.7109375" style="1" customWidth="1"/>
    <col min="9" max="9" width="13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2.7109375" style="1" customWidth="1"/>
    <col min="14" max="14" width="1.7109375" style="1" customWidth="1"/>
    <col min="15" max="15" width="11.7109375" style="1" customWidth="1"/>
    <col min="16" max="16" width="1.7109375" style="1" customWidth="1"/>
    <col min="17" max="17" width="12.7109375" style="1" customWidth="1"/>
    <col min="18" max="18" width="1.7109375" style="1" customWidth="1"/>
    <col min="19" max="19" width="12.7109375" style="1" customWidth="1"/>
    <col min="20" max="20" width="1.7109375" style="1" customWidth="1"/>
    <col min="21" max="21" width="12.7109375" style="1" customWidth="1"/>
    <col min="22" max="22" width="1.7109375" style="1" customWidth="1"/>
    <col min="23" max="23" width="11.7109375" style="1" customWidth="1"/>
    <col min="24" max="24" width="1.7109375" style="1" customWidth="1"/>
    <col min="25" max="25" width="12.7109375" style="1" customWidth="1"/>
    <col min="26" max="26" width="1.7109375" style="1" customWidth="1"/>
    <col min="27" max="27" width="12.7109375" style="1" customWidth="1"/>
    <col min="28" max="28" width="1.7109375" style="1" customWidth="1"/>
    <col min="29" max="29" width="11.7109375" style="1" customWidth="1"/>
    <col min="30" max="30" width="1.7109375" style="1" customWidth="1"/>
    <col min="31" max="31" width="11.7109375" style="1" customWidth="1"/>
    <col min="32" max="33" width="1.7109375" style="1" customWidth="1"/>
    <col min="34" max="34" width="13.7109375" style="1" customWidth="1"/>
    <col min="35" max="35" width="1.7109375" style="1" customWidth="1"/>
    <col min="36" max="36" width="11.7109375" style="1" customWidth="1"/>
    <col min="37" max="37" width="1.7109375" style="1" customWidth="1"/>
    <col min="38" max="38" width="12.7109375" style="1" customWidth="1"/>
    <col min="39" max="39" width="1.7109375" style="1" customWidth="1"/>
    <col min="40" max="40" width="11.7109375" style="1" customWidth="1"/>
    <col min="41" max="41" width="1.7109375" style="1" customWidth="1"/>
    <col min="42" max="42" width="12.7109375" style="1" customWidth="1"/>
    <col min="43" max="43" width="1.7109375" style="1" customWidth="1"/>
    <col min="44" max="44" width="11.7109375" style="1" customWidth="1"/>
    <col min="45" max="45" width="1.7109375" style="1" customWidth="1"/>
    <col min="46" max="46" width="10.7109375" style="1" customWidth="1"/>
    <col min="47" max="16384" width="8.7109375" style="1"/>
  </cols>
  <sheetData>
    <row r="1" spans="1:46">
      <c r="AE1" s="52" t="s">
        <v>337</v>
      </c>
    </row>
    <row r="2" spans="1:46">
      <c r="AE2" s="52" t="s">
        <v>56</v>
      </c>
    </row>
    <row r="3" spans="1:46">
      <c r="A3" s="140"/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</row>
    <row r="4" spans="1:46" ht="16">
      <c r="A4" s="4" t="s">
        <v>872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140"/>
      <c r="AG4" s="140"/>
      <c r="AH4" s="140"/>
      <c r="AI4" s="140"/>
      <c r="AJ4" s="140"/>
      <c r="AK4" s="140"/>
      <c r="AL4" s="140"/>
      <c r="AM4" s="140"/>
      <c r="AN4" s="140"/>
      <c r="AO4" s="140"/>
    </row>
    <row r="5" spans="1:46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</row>
    <row r="6" spans="1:46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140"/>
      <c r="AG6" s="140"/>
      <c r="AH6" s="140"/>
      <c r="AI6" s="140"/>
      <c r="AJ6" s="140"/>
      <c r="AK6" s="140"/>
      <c r="AL6" s="140"/>
      <c r="AM6" s="140"/>
      <c r="AN6" s="140"/>
      <c r="AO6" s="140"/>
    </row>
    <row r="7" spans="1:46">
      <c r="A7" s="5" t="s">
        <v>878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140"/>
      <c r="AG7" s="140"/>
      <c r="AH7" s="140"/>
      <c r="AI7" s="140"/>
      <c r="AJ7" s="140"/>
      <c r="AK7" s="140"/>
      <c r="AL7" s="140"/>
      <c r="AM7" s="140"/>
      <c r="AN7" s="140"/>
      <c r="AO7" s="140"/>
    </row>
    <row r="8" spans="1:46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</row>
    <row r="9" spans="1:46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</row>
    <row r="10" spans="1:46">
      <c r="AH10" s="61"/>
      <c r="AI10" s="61"/>
      <c r="AJ10" s="61"/>
      <c r="AK10" s="25" t="s">
        <v>1657</v>
      </c>
      <c r="AL10" s="61"/>
      <c r="AM10" s="61"/>
      <c r="AN10" s="61"/>
      <c r="AP10" s="134" t="s">
        <v>118</v>
      </c>
      <c r="AQ10" s="135"/>
      <c r="AR10" s="135"/>
    </row>
    <row r="11" spans="1:46">
      <c r="B11" s="6"/>
      <c r="C11" s="6"/>
      <c r="F11" s="6"/>
      <c r="H11" s="6"/>
      <c r="I11" s="133" t="s">
        <v>77</v>
      </c>
      <c r="J11" s="5"/>
      <c r="K11" s="5"/>
      <c r="M11" s="133" t="s">
        <v>118</v>
      </c>
      <c r="N11" s="5"/>
      <c r="O11" s="5"/>
      <c r="Q11" s="133" t="s">
        <v>77</v>
      </c>
      <c r="R11" s="5"/>
      <c r="S11" s="5"/>
      <c r="U11" s="133" t="s">
        <v>118</v>
      </c>
      <c r="V11" s="5"/>
      <c r="W11" s="5"/>
      <c r="Y11" s="133" t="s">
        <v>77</v>
      </c>
      <c r="Z11" s="5"/>
      <c r="AA11" s="5"/>
      <c r="AC11" s="133" t="s">
        <v>118</v>
      </c>
      <c r="AD11" s="5"/>
      <c r="AE11" s="5"/>
      <c r="AH11" s="134" t="s">
        <v>77</v>
      </c>
      <c r="AI11" s="135"/>
      <c r="AJ11" s="135"/>
      <c r="AK11" s="61"/>
      <c r="AL11" s="134" t="s">
        <v>118</v>
      </c>
      <c r="AM11" s="135"/>
      <c r="AN11" s="135"/>
      <c r="AP11" s="255"/>
      <c r="AQ11" s="596" t="s">
        <v>730</v>
      </c>
      <c r="AR11" s="256"/>
    </row>
    <row r="12" spans="1:46">
      <c r="A12" s="6" t="s">
        <v>3</v>
      </c>
      <c r="B12" s="6"/>
      <c r="C12" s="7" t="s">
        <v>272</v>
      </c>
      <c r="D12" s="8"/>
      <c r="E12" s="8"/>
      <c r="F12" s="8"/>
      <c r="G12" s="8"/>
      <c r="H12" s="6"/>
      <c r="I12" s="7" t="s">
        <v>168</v>
      </c>
      <c r="J12" s="8"/>
      <c r="K12" s="8"/>
      <c r="M12" s="7" t="s">
        <v>168</v>
      </c>
      <c r="N12" s="8"/>
      <c r="O12" s="8"/>
      <c r="Q12" s="7" t="s">
        <v>261</v>
      </c>
      <c r="R12" s="8"/>
      <c r="S12" s="8"/>
      <c r="U12" s="7" t="s">
        <v>261</v>
      </c>
      <c r="V12" s="8"/>
      <c r="W12" s="8"/>
      <c r="Y12" s="7" t="s">
        <v>710</v>
      </c>
      <c r="Z12" s="8"/>
      <c r="AA12" s="8"/>
      <c r="AC12" s="7" t="s">
        <v>710</v>
      </c>
      <c r="AD12" s="8"/>
      <c r="AE12" s="8"/>
      <c r="AH12" s="255" t="s">
        <v>168</v>
      </c>
      <c r="AI12" s="256"/>
      <c r="AJ12" s="256"/>
      <c r="AK12" s="61"/>
      <c r="AL12" s="255" t="s">
        <v>168</v>
      </c>
      <c r="AM12" s="256"/>
      <c r="AN12" s="256"/>
      <c r="AP12" s="97" t="s">
        <v>1682</v>
      </c>
      <c r="AQ12" s="25"/>
      <c r="AR12" s="97" t="s">
        <v>1683</v>
      </c>
      <c r="AT12" s="97" t="s">
        <v>1684</v>
      </c>
    </row>
    <row r="13" spans="1:46">
      <c r="A13" s="6" t="s">
        <v>4</v>
      </c>
      <c r="B13" s="6"/>
      <c r="C13" s="2" t="s">
        <v>160</v>
      </c>
      <c r="E13" s="2" t="s">
        <v>198</v>
      </c>
      <c r="G13" s="2" t="s">
        <v>0</v>
      </c>
      <c r="H13" s="6"/>
      <c r="I13" s="2" t="s">
        <v>160</v>
      </c>
      <c r="K13" s="2" t="s">
        <v>198</v>
      </c>
      <c r="M13" s="2" t="s">
        <v>160</v>
      </c>
      <c r="O13" s="2" t="s">
        <v>198</v>
      </c>
      <c r="Q13" s="2" t="s">
        <v>160</v>
      </c>
      <c r="S13" s="2" t="s">
        <v>198</v>
      </c>
      <c r="U13" s="2" t="s">
        <v>160</v>
      </c>
      <c r="W13" s="2" t="s">
        <v>198</v>
      </c>
      <c r="Y13" s="2" t="s">
        <v>160</v>
      </c>
      <c r="AA13" s="2" t="s">
        <v>198</v>
      </c>
      <c r="AC13" s="2" t="s">
        <v>160</v>
      </c>
      <c r="AE13" s="2" t="s">
        <v>198</v>
      </c>
      <c r="AH13" s="97" t="s">
        <v>160</v>
      </c>
      <c r="AI13" s="61"/>
      <c r="AJ13" s="97" t="s">
        <v>198</v>
      </c>
      <c r="AK13" s="61"/>
      <c r="AL13" s="97" t="s">
        <v>160</v>
      </c>
      <c r="AM13" s="61"/>
      <c r="AN13" s="97" t="s">
        <v>198</v>
      </c>
      <c r="AP13" s="97" t="s">
        <v>160</v>
      </c>
      <c r="AQ13" s="61"/>
      <c r="AR13" s="97" t="s">
        <v>198</v>
      </c>
      <c r="AT13" s="97" t="s">
        <v>0</v>
      </c>
    </row>
    <row r="14" spans="1:46">
      <c r="A14" s="9">
        <v>-1</v>
      </c>
      <c r="C14" s="9">
        <v>-2</v>
      </c>
      <c r="E14" s="9">
        <v>-3</v>
      </c>
      <c r="G14" s="9">
        <v>-4</v>
      </c>
      <c r="I14" s="9">
        <v>-5</v>
      </c>
      <c r="K14" s="9">
        <v>-6</v>
      </c>
      <c r="M14" s="9">
        <v>-7</v>
      </c>
      <c r="O14" s="9">
        <v>-8</v>
      </c>
      <c r="Q14" s="9">
        <v>-9</v>
      </c>
      <c r="S14" s="9">
        <v>-10</v>
      </c>
      <c r="U14" s="9">
        <f>S14-1</f>
        <v>-11</v>
      </c>
      <c r="W14" s="9">
        <f>U14-1</f>
        <v>-12</v>
      </c>
      <c r="Y14" s="9">
        <f>W14-1</f>
        <v>-13</v>
      </c>
      <c r="AA14" s="9">
        <f>Y14-1</f>
        <v>-14</v>
      </c>
      <c r="AC14" s="9">
        <f>AA14-1</f>
        <v>-15</v>
      </c>
      <c r="AE14" s="9">
        <f>AC14-1</f>
        <v>-16</v>
      </c>
      <c r="AH14" s="193">
        <v>-17</v>
      </c>
      <c r="AI14" s="61"/>
      <c r="AJ14" s="193">
        <f>AH14-1</f>
        <v>-18</v>
      </c>
      <c r="AK14" s="61"/>
      <c r="AL14" s="193">
        <f>AJ14-1</f>
        <v>-19</v>
      </c>
      <c r="AM14" s="193"/>
      <c r="AN14" s="193">
        <f>AL14-1</f>
        <v>-20</v>
      </c>
      <c r="AP14" s="193">
        <f>AN14-1</f>
        <v>-21</v>
      </c>
      <c r="AQ14" s="193"/>
      <c r="AR14" s="193">
        <f>AP14-1</f>
        <v>-22</v>
      </c>
      <c r="AT14" s="193">
        <f>AR14-1</f>
        <v>-23</v>
      </c>
    </row>
    <row r="15" spans="1:46">
      <c r="H15" s="6"/>
      <c r="K15" s="147"/>
      <c r="AH15" s="61"/>
      <c r="AI15" s="61"/>
      <c r="AJ15" s="61"/>
      <c r="AK15" s="61"/>
      <c r="AL15" s="61"/>
      <c r="AM15" s="61"/>
      <c r="AN15" s="61"/>
    </row>
    <row r="16" spans="1:46">
      <c r="A16" s="6">
        <v>1994</v>
      </c>
      <c r="B16" s="19"/>
      <c r="C16" s="147">
        <f>EF!C15</f>
        <v>12530063.48</v>
      </c>
      <c r="D16" s="147"/>
      <c r="E16" s="147">
        <f>EF!E15</f>
        <v>0</v>
      </c>
      <c r="F16" s="147"/>
      <c r="G16" s="147">
        <f>C16+E16</f>
        <v>12530063.48</v>
      </c>
      <c r="H16" s="147"/>
      <c r="I16" s="147">
        <f>EF!I15</f>
        <v>34673446.140000001</v>
      </c>
      <c r="J16" s="147"/>
      <c r="K16" s="147">
        <f>EF!K15</f>
        <v>9600</v>
      </c>
      <c r="L16" s="147"/>
      <c r="M16" s="147">
        <f>EF!M15</f>
        <v>22143382.66</v>
      </c>
      <c r="N16" s="147"/>
      <c r="O16" s="147">
        <f>EF!O15</f>
        <v>9600</v>
      </c>
      <c r="P16" s="147"/>
      <c r="Q16" s="505">
        <f>'Exhibit O,2'!I16+'Exhibit N,2'!I16</f>
        <v>34673446.140000001</v>
      </c>
      <c r="R16" s="505"/>
      <c r="S16" s="505">
        <f>'Exhibit M,2'!I16+'Exhibit L,2'!I16</f>
        <v>9600</v>
      </c>
      <c r="T16" s="505"/>
      <c r="U16" s="497">
        <f>Q16-'Exhibit H,4'!C16</f>
        <v>22143382.66</v>
      </c>
      <c r="V16" s="497"/>
      <c r="W16" s="497">
        <f>S16-'Exhibit G,2'!G16</f>
        <v>9600</v>
      </c>
      <c r="X16" s="147"/>
      <c r="Y16" s="147">
        <f>I16-Q16</f>
        <v>0</v>
      </c>
      <c r="Z16" s="147"/>
      <c r="AA16" s="147">
        <f>K16-S16</f>
        <v>0</v>
      </c>
      <c r="AB16" s="147"/>
      <c r="AC16" s="147">
        <f>M16-U16</f>
        <v>0</v>
      </c>
      <c r="AD16" s="147"/>
      <c r="AE16" s="147">
        <f>O16-W16</f>
        <v>0</v>
      </c>
      <c r="AH16" s="122">
        <v>34673446.140000001</v>
      </c>
      <c r="AI16" s="122"/>
      <c r="AJ16" s="122">
        <v>9600</v>
      </c>
      <c r="AK16" s="122"/>
      <c r="AL16" s="122">
        <v>22143382.66</v>
      </c>
      <c r="AM16" s="122"/>
      <c r="AN16" s="122">
        <v>9600</v>
      </c>
      <c r="AO16" s="16"/>
      <c r="AP16" s="220">
        <f>M16-AL16</f>
        <v>0</v>
      </c>
      <c r="AQ16" s="123"/>
      <c r="AR16" s="220">
        <f>O16-AN16</f>
        <v>0</v>
      </c>
      <c r="AS16" s="61"/>
      <c r="AT16" s="160">
        <f>AP16+AR16</f>
        <v>0</v>
      </c>
    </row>
    <row r="17" spans="1:46">
      <c r="A17" s="6">
        <f>A16+1</f>
        <v>1995</v>
      </c>
      <c r="C17" s="494">
        <f>EF!C16</f>
        <v>27722793.159999996</v>
      </c>
      <c r="D17" s="494"/>
      <c r="E17" s="494">
        <f>EF!E16</f>
        <v>274068.21000000002</v>
      </c>
      <c r="F17" s="494"/>
      <c r="G17" s="494">
        <f t="shared" ref="G17:G44" si="0">C17+E17</f>
        <v>27996861.369999997</v>
      </c>
      <c r="H17" s="494"/>
      <c r="I17" s="494">
        <f>EF!I16</f>
        <v>53054735.739999995</v>
      </c>
      <c r="J17" s="494"/>
      <c r="K17" s="494">
        <f>EF!K16</f>
        <v>924635.38</v>
      </c>
      <c r="L17" s="494"/>
      <c r="M17" s="494">
        <f>EF!M16</f>
        <v>25331942.579999998</v>
      </c>
      <c r="N17" s="494"/>
      <c r="O17" s="494">
        <f>EF!O16</f>
        <v>650567.16999999993</v>
      </c>
      <c r="P17" s="494"/>
      <c r="Q17" s="501">
        <f>'Exhibit O,2'!I17+'Exhibit N,2'!I17</f>
        <v>53054735.739999995</v>
      </c>
      <c r="R17" s="501"/>
      <c r="S17" s="501">
        <f>'Exhibit M,2'!I17+'Exhibit L,2'!I17</f>
        <v>924635.38</v>
      </c>
      <c r="T17" s="501"/>
      <c r="U17" s="494">
        <f>Q17-'Exhibit H,4'!C17</f>
        <v>25331942.579999998</v>
      </c>
      <c r="V17" s="494"/>
      <c r="W17" s="494">
        <f>S17-'Exhibit G,2'!G17</f>
        <v>650567.16999999993</v>
      </c>
      <c r="X17" s="494"/>
      <c r="Y17" s="494">
        <f t="shared" ref="Y17:Y44" si="1">I17-Q17</f>
        <v>0</v>
      </c>
      <c r="Z17" s="494"/>
      <c r="AA17" s="494">
        <f t="shared" ref="AA17:AA44" si="2">K17-S17</f>
        <v>0</v>
      </c>
      <c r="AB17" s="501"/>
      <c r="AC17" s="494">
        <f t="shared" ref="AC17:AC44" si="3">M17-U17</f>
        <v>0</v>
      </c>
      <c r="AD17" s="494"/>
      <c r="AE17" s="494">
        <f t="shared" ref="AE17:AE44" si="4">O17-W17</f>
        <v>0</v>
      </c>
      <c r="AH17" s="137">
        <v>53054735.739999995</v>
      </c>
      <c r="AI17" s="355"/>
      <c r="AJ17" s="137">
        <v>924635.38</v>
      </c>
      <c r="AK17" s="355"/>
      <c r="AL17" s="137">
        <v>25331942.579999998</v>
      </c>
      <c r="AM17" s="137"/>
      <c r="AN17" s="137">
        <v>650567.16999999993</v>
      </c>
      <c r="AP17" s="69">
        <f t="shared" ref="AP17:AP43" si="5">M17-AL17</f>
        <v>0</v>
      </c>
      <c r="AQ17" s="69"/>
      <c r="AR17" s="69">
        <f t="shared" ref="AR17:AR43" si="6">O17-AN17</f>
        <v>0</v>
      </c>
      <c r="AS17" s="69"/>
      <c r="AT17" s="69">
        <f t="shared" ref="AT17:AT43" si="7">AP17+AR17</f>
        <v>0</v>
      </c>
    </row>
    <row r="18" spans="1:46">
      <c r="A18" s="6">
        <f t="shared" ref="A18:A44" si="8">A17+1</f>
        <v>1996</v>
      </c>
      <c r="C18" s="494">
        <f>EF!C17</f>
        <v>19535873.620000001</v>
      </c>
      <c r="D18" s="494"/>
      <c r="E18" s="494">
        <f>EF!E17</f>
        <v>0</v>
      </c>
      <c r="F18" s="494"/>
      <c r="G18" s="494">
        <f t="shared" si="0"/>
        <v>19535873.620000001</v>
      </c>
      <c r="H18" s="494"/>
      <c r="I18" s="494">
        <f>EF!I17</f>
        <v>46655939.089999996</v>
      </c>
      <c r="J18" s="494"/>
      <c r="K18" s="494">
        <f>EF!K17</f>
        <v>931618.13</v>
      </c>
      <c r="L18" s="494"/>
      <c r="M18" s="494">
        <f>EF!M17</f>
        <v>27120065.469999995</v>
      </c>
      <c r="N18" s="494"/>
      <c r="O18" s="494">
        <f>EF!O17</f>
        <v>931618.13</v>
      </c>
      <c r="P18" s="494"/>
      <c r="Q18" s="501">
        <f>'Exhibit O,2'!I18+'Exhibit N,2'!I18</f>
        <v>46655939.089999996</v>
      </c>
      <c r="R18" s="501"/>
      <c r="S18" s="501">
        <f>'Exhibit M,2'!I18+'Exhibit L,2'!I18</f>
        <v>931618.13</v>
      </c>
      <c r="T18" s="501"/>
      <c r="U18" s="494">
        <f>Q18-'Exhibit H,4'!C18</f>
        <v>27120065.469999995</v>
      </c>
      <c r="V18" s="494"/>
      <c r="W18" s="494">
        <f>S18-'Exhibit G,2'!G18</f>
        <v>931618.13</v>
      </c>
      <c r="X18" s="494"/>
      <c r="Y18" s="494">
        <f t="shared" si="1"/>
        <v>0</v>
      </c>
      <c r="Z18" s="494"/>
      <c r="AA18" s="494">
        <f t="shared" si="2"/>
        <v>0</v>
      </c>
      <c r="AB18" s="501"/>
      <c r="AC18" s="494">
        <f t="shared" si="3"/>
        <v>0</v>
      </c>
      <c r="AD18" s="494"/>
      <c r="AE18" s="494">
        <f t="shared" si="4"/>
        <v>0</v>
      </c>
      <c r="AH18" s="137">
        <v>46655939.089999996</v>
      </c>
      <c r="AI18" s="355"/>
      <c r="AJ18" s="137">
        <v>931618.13</v>
      </c>
      <c r="AK18" s="355"/>
      <c r="AL18" s="137">
        <v>27120065.469999995</v>
      </c>
      <c r="AM18" s="137"/>
      <c r="AN18" s="137">
        <v>931618.13</v>
      </c>
      <c r="AP18" s="69">
        <f t="shared" si="5"/>
        <v>0</v>
      </c>
      <c r="AQ18" s="69"/>
      <c r="AR18" s="69">
        <f t="shared" si="6"/>
        <v>0</v>
      </c>
      <c r="AS18" s="69"/>
      <c r="AT18" s="69">
        <f t="shared" si="7"/>
        <v>0</v>
      </c>
    </row>
    <row r="19" spans="1:46">
      <c r="A19" s="6">
        <f t="shared" si="8"/>
        <v>1997</v>
      </c>
      <c r="C19" s="494">
        <f>EF!C18</f>
        <v>10551553.370000001</v>
      </c>
      <c r="D19" s="494"/>
      <c r="E19" s="494">
        <f>EF!E18</f>
        <v>1415179.75</v>
      </c>
      <c r="F19" s="494"/>
      <c r="G19" s="494">
        <f t="shared" si="0"/>
        <v>11966733.120000001</v>
      </c>
      <c r="H19" s="494"/>
      <c r="I19" s="494">
        <f>EF!I18</f>
        <v>36175371.239999995</v>
      </c>
      <c r="J19" s="494"/>
      <c r="K19" s="494">
        <f>EF!K18</f>
        <v>1920601.1</v>
      </c>
      <c r="L19" s="494"/>
      <c r="M19" s="494">
        <f>EF!M18</f>
        <v>25623817.869999994</v>
      </c>
      <c r="N19" s="494"/>
      <c r="O19" s="494">
        <f>EF!O18</f>
        <v>505421.35000000009</v>
      </c>
      <c r="P19" s="494"/>
      <c r="Q19" s="501">
        <f>'Exhibit O,2'!I19+'Exhibit N,2'!I19</f>
        <v>36175371.239999995</v>
      </c>
      <c r="R19" s="501"/>
      <c r="S19" s="501">
        <f>'Exhibit M,2'!I19+'Exhibit L,2'!I19</f>
        <v>1920601.1</v>
      </c>
      <c r="T19" s="501"/>
      <c r="U19" s="494">
        <f>Q19-'Exhibit H,4'!C19</f>
        <v>25623817.869999994</v>
      </c>
      <c r="V19" s="494"/>
      <c r="W19" s="494">
        <f>S19-'Exhibit G,2'!G19</f>
        <v>505421.35000000009</v>
      </c>
      <c r="X19" s="494"/>
      <c r="Y19" s="494">
        <f t="shared" si="1"/>
        <v>0</v>
      </c>
      <c r="Z19" s="494"/>
      <c r="AA19" s="494">
        <f t="shared" si="2"/>
        <v>0</v>
      </c>
      <c r="AB19" s="501"/>
      <c r="AC19" s="494">
        <f t="shared" si="3"/>
        <v>0</v>
      </c>
      <c r="AD19" s="494"/>
      <c r="AE19" s="494">
        <f t="shared" si="4"/>
        <v>0</v>
      </c>
      <c r="AH19" s="137">
        <v>36175371.239999995</v>
      </c>
      <c r="AI19" s="355"/>
      <c r="AJ19" s="137">
        <v>1920601.1</v>
      </c>
      <c r="AK19" s="355"/>
      <c r="AL19" s="137">
        <v>25623817.869999994</v>
      </c>
      <c r="AM19" s="137"/>
      <c r="AN19" s="137">
        <v>505421.35000000009</v>
      </c>
      <c r="AP19" s="69">
        <f t="shared" si="5"/>
        <v>0</v>
      </c>
      <c r="AQ19" s="69"/>
      <c r="AR19" s="69">
        <f t="shared" si="6"/>
        <v>0</v>
      </c>
      <c r="AS19" s="69"/>
      <c r="AT19" s="69">
        <f t="shared" si="7"/>
        <v>0</v>
      </c>
    </row>
    <row r="20" spans="1:46">
      <c r="A20" s="6">
        <f t="shared" si="8"/>
        <v>1998</v>
      </c>
      <c r="C20" s="494">
        <f>EF!C19</f>
        <v>28046459.449999999</v>
      </c>
      <c r="D20" s="494"/>
      <c r="E20" s="494">
        <f>EF!E19</f>
        <v>207108.40000000002</v>
      </c>
      <c r="F20" s="494"/>
      <c r="G20" s="494">
        <f t="shared" si="0"/>
        <v>28253567.849999998</v>
      </c>
      <c r="H20" s="494"/>
      <c r="I20" s="494">
        <f>EF!I19</f>
        <v>53964670.75</v>
      </c>
      <c r="J20" s="494"/>
      <c r="K20" s="494">
        <f>EF!K19</f>
        <v>810501.99</v>
      </c>
      <c r="L20" s="494"/>
      <c r="M20" s="494">
        <f>EF!M19</f>
        <v>25918211.300000001</v>
      </c>
      <c r="N20" s="494"/>
      <c r="O20" s="494">
        <f>EF!O19</f>
        <v>603393.59</v>
      </c>
      <c r="P20" s="494"/>
      <c r="Q20" s="501">
        <f>'Exhibit O,2'!I20+'Exhibit N,2'!I20</f>
        <v>53964670.75</v>
      </c>
      <c r="R20" s="501"/>
      <c r="S20" s="501">
        <f>'Exhibit M,2'!I20+'Exhibit L,2'!I20</f>
        <v>810501.99</v>
      </c>
      <c r="T20" s="501"/>
      <c r="U20" s="494">
        <f>Q20-'Exhibit H,4'!C20</f>
        <v>25918211.300000001</v>
      </c>
      <c r="V20" s="494"/>
      <c r="W20" s="494">
        <f>S20-'Exhibit G,2'!G20</f>
        <v>603393.59</v>
      </c>
      <c r="X20" s="494"/>
      <c r="Y20" s="494">
        <f t="shared" si="1"/>
        <v>0</v>
      </c>
      <c r="Z20" s="494"/>
      <c r="AA20" s="494">
        <f t="shared" si="2"/>
        <v>0</v>
      </c>
      <c r="AB20" s="501"/>
      <c r="AC20" s="494">
        <f t="shared" si="3"/>
        <v>0</v>
      </c>
      <c r="AD20" s="494"/>
      <c r="AE20" s="494">
        <f t="shared" si="4"/>
        <v>0</v>
      </c>
      <c r="AH20" s="137">
        <v>53964670.75</v>
      </c>
      <c r="AI20" s="355"/>
      <c r="AJ20" s="137">
        <v>810501.99</v>
      </c>
      <c r="AK20" s="355"/>
      <c r="AL20" s="137">
        <v>25918211.300000001</v>
      </c>
      <c r="AM20" s="137"/>
      <c r="AN20" s="137">
        <v>603393.59</v>
      </c>
      <c r="AP20" s="69">
        <f t="shared" si="5"/>
        <v>0</v>
      </c>
      <c r="AQ20" s="69"/>
      <c r="AR20" s="69">
        <f t="shared" si="6"/>
        <v>0</v>
      </c>
      <c r="AS20" s="69"/>
      <c r="AT20" s="69">
        <f t="shared" si="7"/>
        <v>0</v>
      </c>
    </row>
    <row r="21" spans="1:46">
      <c r="A21" s="6">
        <f t="shared" si="8"/>
        <v>1999</v>
      </c>
      <c r="C21" s="494">
        <f>EF!C20</f>
        <v>23093430.41</v>
      </c>
      <c r="D21" s="494"/>
      <c r="E21" s="494">
        <f>EF!E20</f>
        <v>0</v>
      </c>
      <c r="F21" s="494"/>
      <c r="G21" s="494">
        <f t="shared" si="0"/>
        <v>23093430.41</v>
      </c>
      <c r="H21" s="494"/>
      <c r="I21" s="494">
        <f>EF!I20</f>
        <v>53421110.340000004</v>
      </c>
      <c r="J21" s="494"/>
      <c r="K21" s="494">
        <f>EF!K20</f>
        <v>818508.42</v>
      </c>
      <c r="L21" s="494"/>
      <c r="M21" s="494">
        <f>EF!M20</f>
        <v>30327679.930000003</v>
      </c>
      <c r="N21" s="494"/>
      <c r="O21" s="494">
        <f>EF!O20</f>
        <v>818508.42</v>
      </c>
      <c r="P21" s="494"/>
      <c r="Q21" s="501">
        <f>'Exhibit O,2'!I21+'Exhibit N,2'!I21</f>
        <v>53421110.340000004</v>
      </c>
      <c r="R21" s="501"/>
      <c r="S21" s="501">
        <f>'Exhibit M,2'!I21+'Exhibit L,2'!I21</f>
        <v>818508.42</v>
      </c>
      <c r="T21" s="501"/>
      <c r="U21" s="494">
        <f>Q21-'Exhibit H,4'!C21</f>
        <v>30327679.930000003</v>
      </c>
      <c r="V21" s="494"/>
      <c r="W21" s="494">
        <f>S21-'Exhibit G,2'!G21</f>
        <v>818508.42</v>
      </c>
      <c r="X21" s="494"/>
      <c r="Y21" s="494">
        <f t="shared" si="1"/>
        <v>0</v>
      </c>
      <c r="Z21" s="494"/>
      <c r="AA21" s="494">
        <f t="shared" si="2"/>
        <v>0</v>
      </c>
      <c r="AB21" s="501"/>
      <c r="AC21" s="494">
        <f t="shared" si="3"/>
        <v>0</v>
      </c>
      <c r="AD21" s="494"/>
      <c r="AE21" s="494">
        <f t="shared" si="4"/>
        <v>0</v>
      </c>
      <c r="AH21" s="137">
        <v>53421110.340000004</v>
      </c>
      <c r="AI21" s="355"/>
      <c r="AJ21" s="137">
        <v>818508.42</v>
      </c>
      <c r="AK21" s="355"/>
      <c r="AL21" s="137">
        <v>30327679.930000003</v>
      </c>
      <c r="AM21" s="137"/>
      <c r="AN21" s="137">
        <v>818508.42</v>
      </c>
      <c r="AP21" s="69">
        <f t="shared" si="5"/>
        <v>0</v>
      </c>
      <c r="AQ21" s="69"/>
      <c r="AR21" s="69">
        <f t="shared" si="6"/>
        <v>0</v>
      </c>
      <c r="AS21" s="69"/>
      <c r="AT21" s="69">
        <f t="shared" si="7"/>
        <v>0</v>
      </c>
    </row>
    <row r="22" spans="1:46">
      <c r="A22" s="6">
        <f t="shared" si="8"/>
        <v>2000</v>
      </c>
      <c r="C22" s="494">
        <f>EF!C21</f>
        <v>16813843.780000001</v>
      </c>
      <c r="D22" s="494"/>
      <c r="E22" s="494">
        <f>EF!E21</f>
        <v>139204.45999999996</v>
      </c>
      <c r="F22" s="494"/>
      <c r="G22" s="494">
        <f t="shared" si="0"/>
        <v>16953048.240000002</v>
      </c>
      <c r="H22" s="494"/>
      <c r="I22" s="494">
        <f>EF!I21</f>
        <v>43910495.93</v>
      </c>
      <c r="J22" s="494"/>
      <c r="K22" s="494">
        <f>EF!K21</f>
        <v>1599932.79</v>
      </c>
      <c r="L22" s="494"/>
      <c r="M22" s="494">
        <f>EF!M21</f>
        <v>27096652.149999999</v>
      </c>
      <c r="N22" s="494"/>
      <c r="O22" s="494">
        <f>EF!O21</f>
        <v>1460728.33</v>
      </c>
      <c r="P22" s="494"/>
      <c r="Q22" s="501">
        <f>'Exhibit O,2'!I22+'Exhibit N,2'!I22</f>
        <v>43910495.93</v>
      </c>
      <c r="R22" s="501"/>
      <c r="S22" s="501">
        <f>'Exhibit M,2'!I22+'Exhibit L,2'!I22</f>
        <v>1599932.79</v>
      </c>
      <c r="T22" s="501"/>
      <c r="U22" s="494">
        <f>Q22-'Exhibit H,4'!C22</f>
        <v>27096652.149999999</v>
      </c>
      <c r="V22" s="494"/>
      <c r="W22" s="494">
        <f>S22-'Exhibit G,2'!G22</f>
        <v>1460728.33</v>
      </c>
      <c r="X22" s="494"/>
      <c r="Y22" s="494">
        <f t="shared" si="1"/>
        <v>0</v>
      </c>
      <c r="Z22" s="494"/>
      <c r="AA22" s="494">
        <f t="shared" si="2"/>
        <v>0</v>
      </c>
      <c r="AB22" s="501"/>
      <c r="AC22" s="494">
        <f t="shared" si="3"/>
        <v>0</v>
      </c>
      <c r="AD22" s="494"/>
      <c r="AE22" s="494">
        <f t="shared" si="4"/>
        <v>0</v>
      </c>
      <c r="AH22" s="137">
        <v>43910495.93</v>
      </c>
      <c r="AI22" s="355"/>
      <c r="AJ22" s="137">
        <v>1599932.79</v>
      </c>
      <c r="AK22" s="355"/>
      <c r="AL22" s="137">
        <v>27096652.149999999</v>
      </c>
      <c r="AM22" s="137"/>
      <c r="AN22" s="137">
        <v>1460728.33</v>
      </c>
      <c r="AP22" s="69">
        <f t="shared" si="5"/>
        <v>0</v>
      </c>
      <c r="AQ22" s="69"/>
      <c r="AR22" s="69">
        <f t="shared" si="6"/>
        <v>0</v>
      </c>
      <c r="AS22" s="69"/>
      <c r="AT22" s="69">
        <f t="shared" si="7"/>
        <v>0</v>
      </c>
    </row>
    <row r="23" spans="1:46">
      <c r="A23" s="6">
        <f t="shared" si="8"/>
        <v>2001</v>
      </c>
      <c r="C23" s="494">
        <f>EF!C22</f>
        <v>8970924.5199999996</v>
      </c>
      <c r="D23" s="494"/>
      <c r="E23" s="494">
        <f>EF!E22</f>
        <v>355647.08000000007</v>
      </c>
      <c r="F23" s="494"/>
      <c r="G23" s="494">
        <f t="shared" si="0"/>
        <v>9326571.5999999996</v>
      </c>
      <c r="H23" s="494"/>
      <c r="I23" s="494">
        <f>EF!I22</f>
        <v>34627879.330000006</v>
      </c>
      <c r="J23" s="494"/>
      <c r="K23" s="494">
        <f>EF!K22</f>
        <v>3016042.23</v>
      </c>
      <c r="L23" s="494"/>
      <c r="M23" s="494">
        <f>EF!M22</f>
        <v>25656954.810000006</v>
      </c>
      <c r="N23" s="494"/>
      <c r="O23" s="494">
        <f>EF!O22</f>
        <v>2660395.15</v>
      </c>
      <c r="P23" s="494"/>
      <c r="Q23" s="501">
        <f>'Exhibit O,2'!I23+'Exhibit N,2'!I23</f>
        <v>34627879.330000006</v>
      </c>
      <c r="R23" s="501"/>
      <c r="S23" s="501">
        <f>'Exhibit M,2'!I23+'Exhibit L,2'!I23</f>
        <v>3016042.23</v>
      </c>
      <c r="T23" s="501"/>
      <c r="U23" s="494">
        <f>Q23-'Exhibit H,4'!C23</f>
        <v>25656954.810000006</v>
      </c>
      <c r="V23" s="494"/>
      <c r="W23" s="494">
        <f>S23-'Exhibit G,2'!G23</f>
        <v>2660395.15</v>
      </c>
      <c r="X23" s="494"/>
      <c r="Y23" s="494">
        <f t="shared" si="1"/>
        <v>0</v>
      </c>
      <c r="Z23" s="494"/>
      <c r="AA23" s="494">
        <f t="shared" si="2"/>
        <v>0</v>
      </c>
      <c r="AB23" s="501"/>
      <c r="AC23" s="494">
        <f t="shared" si="3"/>
        <v>0</v>
      </c>
      <c r="AD23" s="494"/>
      <c r="AE23" s="494">
        <f t="shared" si="4"/>
        <v>0</v>
      </c>
      <c r="AH23" s="137">
        <v>34627879.330000006</v>
      </c>
      <c r="AI23" s="355"/>
      <c r="AJ23" s="137">
        <v>3016042.23</v>
      </c>
      <c r="AK23" s="355"/>
      <c r="AL23" s="137">
        <v>25656954.810000006</v>
      </c>
      <c r="AM23" s="137"/>
      <c r="AN23" s="137">
        <v>2660395.15</v>
      </c>
      <c r="AP23" s="69">
        <f t="shared" si="5"/>
        <v>0</v>
      </c>
      <c r="AQ23" s="69"/>
      <c r="AR23" s="69">
        <f t="shared" si="6"/>
        <v>0</v>
      </c>
      <c r="AS23" s="69"/>
      <c r="AT23" s="69">
        <f t="shared" si="7"/>
        <v>0</v>
      </c>
    </row>
    <row r="24" spans="1:46">
      <c r="A24" s="6">
        <f t="shared" si="8"/>
        <v>2002</v>
      </c>
      <c r="C24" s="494">
        <f>EF!C23</f>
        <v>5903704.3700000048</v>
      </c>
      <c r="D24" s="494"/>
      <c r="E24" s="494">
        <f>EF!E23</f>
        <v>0</v>
      </c>
      <c r="F24" s="494"/>
      <c r="G24" s="494">
        <f t="shared" si="0"/>
        <v>5903704.3700000048</v>
      </c>
      <c r="H24" s="494"/>
      <c r="I24" s="494">
        <f>EF!I23</f>
        <v>39010397.339999989</v>
      </c>
      <c r="J24" s="494"/>
      <c r="K24" s="494">
        <f>EF!K23</f>
        <v>647640.80999999994</v>
      </c>
      <c r="L24" s="494"/>
      <c r="M24" s="494">
        <f>EF!M23</f>
        <v>33106692.969999984</v>
      </c>
      <c r="N24" s="494"/>
      <c r="O24" s="494">
        <f>EF!O23</f>
        <v>647640.80999999994</v>
      </c>
      <c r="P24" s="494"/>
      <c r="Q24" s="501">
        <f>'Exhibit O,2'!I24+'Exhibit N,2'!I24</f>
        <v>39010397.339999989</v>
      </c>
      <c r="R24" s="501"/>
      <c r="S24" s="501">
        <f>'Exhibit M,2'!I24+'Exhibit L,2'!I24</f>
        <v>647640.80999999994</v>
      </c>
      <c r="T24" s="501"/>
      <c r="U24" s="494">
        <f>Q24-'Exhibit H,4'!C24</f>
        <v>33106692.969999984</v>
      </c>
      <c r="V24" s="494"/>
      <c r="W24" s="494">
        <f>S24-'Exhibit G,2'!G24</f>
        <v>647640.80999999994</v>
      </c>
      <c r="X24" s="494"/>
      <c r="Y24" s="494">
        <f t="shared" si="1"/>
        <v>0</v>
      </c>
      <c r="Z24" s="494"/>
      <c r="AA24" s="494">
        <f t="shared" si="2"/>
        <v>0</v>
      </c>
      <c r="AB24" s="501"/>
      <c r="AC24" s="494">
        <f t="shared" si="3"/>
        <v>0</v>
      </c>
      <c r="AD24" s="494"/>
      <c r="AE24" s="494">
        <f t="shared" si="4"/>
        <v>0</v>
      </c>
      <c r="AH24" s="137">
        <v>39010397.339999989</v>
      </c>
      <c r="AI24" s="355"/>
      <c r="AJ24" s="137">
        <v>647640.80999999994</v>
      </c>
      <c r="AK24" s="355"/>
      <c r="AL24" s="137">
        <v>33106692.969999988</v>
      </c>
      <c r="AM24" s="137"/>
      <c r="AN24" s="137">
        <v>647640.80999999994</v>
      </c>
      <c r="AP24" s="69">
        <f t="shared" si="5"/>
        <v>0</v>
      </c>
      <c r="AQ24" s="69"/>
      <c r="AR24" s="69">
        <f t="shared" si="6"/>
        <v>0</v>
      </c>
      <c r="AS24" s="69"/>
      <c r="AT24" s="69">
        <f t="shared" si="7"/>
        <v>0</v>
      </c>
    </row>
    <row r="25" spans="1:46">
      <c r="A25" s="6">
        <f t="shared" si="8"/>
        <v>2003</v>
      </c>
      <c r="C25" s="494">
        <f>EF!C24</f>
        <v>8418136.270000007</v>
      </c>
      <c r="D25" s="494"/>
      <c r="E25" s="494">
        <f>EF!E24</f>
        <v>227752.87999999989</v>
      </c>
      <c r="F25" s="494"/>
      <c r="G25" s="494">
        <f t="shared" si="0"/>
        <v>8645889.150000006</v>
      </c>
      <c r="H25" s="494"/>
      <c r="I25" s="494">
        <f>EF!I24</f>
        <v>36418044.310000002</v>
      </c>
      <c r="J25" s="494"/>
      <c r="K25" s="494">
        <f>EF!K24</f>
        <v>3203612.7199999997</v>
      </c>
      <c r="L25" s="494"/>
      <c r="M25" s="494">
        <f>EF!M24</f>
        <v>27999908.039999995</v>
      </c>
      <c r="N25" s="494"/>
      <c r="O25" s="494">
        <f>EF!O24</f>
        <v>2975859.84</v>
      </c>
      <c r="P25" s="494"/>
      <c r="Q25" s="501">
        <f>'Exhibit O,2'!I25+'Exhibit N,2'!I25</f>
        <v>36418044.310000002</v>
      </c>
      <c r="R25" s="501"/>
      <c r="S25" s="501">
        <f>'Exhibit M,2'!I25+'Exhibit L,2'!I25</f>
        <v>3203612.7199999997</v>
      </c>
      <c r="T25" s="501"/>
      <c r="U25" s="494">
        <f>Q25-'Exhibit H,4'!C25</f>
        <v>27999908.039999995</v>
      </c>
      <c r="V25" s="494"/>
      <c r="W25" s="494">
        <f>S25-'Exhibit G,2'!G25</f>
        <v>2975859.84</v>
      </c>
      <c r="X25" s="494"/>
      <c r="Y25" s="494">
        <f t="shared" si="1"/>
        <v>0</v>
      </c>
      <c r="Z25" s="494"/>
      <c r="AA25" s="494">
        <f t="shared" si="2"/>
        <v>0</v>
      </c>
      <c r="AB25" s="501"/>
      <c r="AC25" s="494">
        <f t="shared" si="3"/>
        <v>0</v>
      </c>
      <c r="AD25" s="494"/>
      <c r="AE25" s="494">
        <f t="shared" si="4"/>
        <v>0</v>
      </c>
      <c r="AH25" s="137">
        <v>36418044.310000002</v>
      </c>
      <c r="AI25" s="355"/>
      <c r="AJ25" s="137">
        <v>3203612.7199999997</v>
      </c>
      <c r="AK25" s="355"/>
      <c r="AL25" s="137">
        <v>27999908.040000003</v>
      </c>
      <c r="AM25" s="137"/>
      <c r="AN25" s="137">
        <v>2975859.84</v>
      </c>
      <c r="AP25" s="69">
        <f t="shared" si="5"/>
        <v>0</v>
      </c>
      <c r="AQ25" s="69"/>
      <c r="AR25" s="69">
        <f t="shared" si="6"/>
        <v>0</v>
      </c>
      <c r="AS25" s="69"/>
      <c r="AT25" s="69">
        <f t="shared" si="7"/>
        <v>0</v>
      </c>
    </row>
    <row r="26" spans="1:46">
      <c r="A26" s="6">
        <f t="shared" si="8"/>
        <v>2004</v>
      </c>
      <c r="C26" s="494">
        <f>EF!C25</f>
        <v>545392.89999999851</v>
      </c>
      <c r="D26" s="494"/>
      <c r="E26" s="494">
        <f>EF!E25</f>
        <v>0</v>
      </c>
      <c r="F26" s="494"/>
      <c r="G26" s="494">
        <f t="shared" si="0"/>
        <v>545392.89999999851</v>
      </c>
      <c r="H26" s="494"/>
      <c r="I26" s="494">
        <f>EF!I25</f>
        <v>19328436.559999995</v>
      </c>
      <c r="J26" s="494"/>
      <c r="K26" s="494">
        <f>EF!K25</f>
        <v>3017389.9</v>
      </c>
      <c r="L26" s="494"/>
      <c r="M26" s="494">
        <f>EF!M25</f>
        <v>18783043.659999996</v>
      </c>
      <c r="N26" s="494"/>
      <c r="O26" s="494">
        <f>EF!O25</f>
        <v>3017389.9</v>
      </c>
      <c r="P26" s="494"/>
      <c r="Q26" s="501">
        <f>'Exhibit O,2'!I26+'Exhibit N,2'!I26</f>
        <v>19328436.559999995</v>
      </c>
      <c r="R26" s="501"/>
      <c r="S26" s="501">
        <f>'Exhibit M,2'!I26+'Exhibit L,2'!I26</f>
        <v>3017389.9</v>
      </c>
      <c r="T26" s="501"/>
      <c r="U26" s="494">
        <f>Q26-'Exhibit H,4'!C26</f>
        <v>18783043.659999996</v>
      </c>
      <c r="V26" s="494"/>
      <c r="W26" s="494">
        <f>S26-'Exhibit G,2'!G26</f>
        <v>3017389.9</v>
      </c>
      <c r="X26" s="494"/>
      <c r="Y26" s="494">
        <f t="shared" si="1"/>
        <v>0</v>
      </c>
      <c r="Z26" s="494"/>
      <c r="AA26" s="494">
        <f t="shared" si="2"/>
        <v>0</v>
      </c>
      <c r="AB26" s="501"/>
      <c r="AC26" s="494">
        <f t="shared" si="3"/>
        <v>0</v>
      </c>
      <c r="AD26" s="494"/>
      <c r="AE26" s="494">
        <f t="shared" si="4"/>
        <v>0</v>
      </c>
      <c r="AH26" s="137">
        <v>19328436.559999995</v>
      </c>
      <c r="AI26" s="355"/>
      <c r="AJ26" s="137">
        <v>3012389.9</v>
      </c>
      <c r="AK26" s="355"/>
      <c r="AL26" s="137">
        <v>18783043.659999996</v>
      </c>
      <c r="AM26" s="137"/>
      <c r="AN26" s="137">
        <v>3012389.9</v>
      </c>
      <c r="AP26" s="69">
        <f t="shared" si="5"/>
        <v>0</v>
      </c>
      <c r="AQ26" s="69"/>
      <c r="AR26" s="69">
        <f t="shared" si="6"/>
        <v>5000</v>
      </c>
      <c r="AS26" s="69"/>
      <c r="AT26" s="69">
        <f t="shared" si="7"/>
        <v>5000</v>
      </c>
    </row>
    <row r="27" spans="1:46">
      <c r="A27" s="6">
        <f t="shared" si="8"/>
        <v>2005</v>
      </c>
      <c r="C27" s="494">
        <f>EF!C26</f>
        <v>1276257.6799999997</v>
      </c>
      <c r="D27" s="494"/>
      <c r="E27" s="494">
        <f>EF!E26</f>
        <v>53771.829999999609</v>
      </c>
      <c r="F27" s="494"/>
      <c r="G27" s="494">
        <f t="shared" si="0"/>
        <v>1330029.5099999993</v>
      </c>
      <c r="H27" s="494"/>
      <c r="I27" s="494">
        <f>EF!I26</f>
        <v>20518160.280000001</v>
      </c>
      <c r="J27" s="494"/>
      <c r="K27" s="494">
        <f>EF!K26</f>
        <v>2531133.4699999997</v>
      </c>
      <c r="L27" s="494"/>
      <c r="M27" s="494">
        <f>EF!M26</f>
        <v>19241902.600000001</v>
      </c>
      <c r="N27" s="494"/>
      <c r="O27" s="494">
        <f>EF!O26</f>
        <v>2477361.64</v>
      </c>
      <c r="P27" s="494"/>
      <c r="Q27" s="501">
        <f>'Exhibit O,2'!I27+'Exhibit N,2'!I27</f>
        <v>20518160.280000001</v>
      </c>
      <c r="R27" s="501"/>
      <c r="S27" s="501">
        <f>'Exhibit M,2'!I27+'Exhibit L,2'!I27</f>
        <v>2531133.4699999997</v>
      </c>
      <c r="T27" s="501"/>
      <c r="U27" s="494">
        <f>Q27-'Exhibit H,4'!C27</f>
        <v>19241902.600000001</v>
      </c>
      <c r="V27" s="494"/>
      <c r="W27" s="494">
        <f>S27-'Exhibit G,2'!G27</f>
        <v>2477361.64</v>
      </c>
      <c r="X27" s="494"/>
      <c r="Y27" s="494">
        <f t="shared" si="1"/>
        <v>0</v>
      </c>
      <c r="Z27" s="494"/>
      <c r="AA27" s="494">
        <f t="shared" si="2"/>
        <v>0</v>
      </c>
      <c r="AB27" s="501"/>
      <c r="AC27" s="494">
        <f t="shared" si="3"/>
        <v>0</v>
      </c>
      <c r="AD27" s="494"/>
      <c r="AE27" s="494">
        <f t="shared" si="4"/>
        <v>0</v>
      </c>
      <c r="AH27" s="137">
        <v>20518160.280000001</v>
      </c>
      <c r="AI27" s="355"/>
      <c r="AJ27" s="137">
        <v>2531133.4699999997</v>
      </c>
      <c r="AK27" s="355"/>
      <c r="AL27" s="137">
        <v>19241902.600000001</v>
      </c>
      <c r="AM27" s="137"/>
      <c r="AN27" s="137">
        <v>2477361.6399999997</v>
      </c>
      <c r="AP27" s="69">
        <f t="shared" si="5"/>
        <v>0</v>
      </c>
      <c r="AQ27" s="69"/>
      <c r="AR27" s="69">
        <f t="shared" si="6"/>
        <v>0</v>
      </c>
      <c r="AS27" s="69"/>
      <c r="AT27" s="69">
        <f t="shared" si="7"/>
        <v>0</v>
      </c>
    </row>
    <row r="28" spans="1:46">
      <c r="A28" s="6">
        <f t="shared" si="8"/>
        <v>2006</v>
      </c>
      <c r="C28" s="494">
        <f>EF!C27</f>
        <v>0</v>
      </c>
      <c r="D28" s="494"/>
      <c r="E28" s="494">
        <f>EF!E27</f>
        <v>0</v>
      </c>
      <c r="F28" s="494"/>
      <c r="G28" s="494">
        <f t="shared" si="0"/>
        <v>0</v>
      </c>
      <c r="H28" s="494"/>
      <c r="I28" s="494">
        <f>EF!I27</f>
        <v>20009669.5</v>
      </c>
      <c r="J28" s="494"/>
      <c r="K28" s="494">
        <f>EF!K27</f>
        <v>78000</v>
      </c>
      <c r="L28" s="494"/>
      <c r="M28" s="494">
        <f>EF!M27</f>
        <v>20009669.5</v>
      </c>
      <c r="N28" s="494"/>
      <c r="O28" s="494">
        <f>EF!O27</f>
        <v>78000</v>
      </c>
      <c r="P28" s="494"/>
      <c r="Q28" s="501">
        <f>'Exhibit O,2'!I28+'Exhibit N,2'!I28</f>
        <v>20009669.5</v>
      </c>
      <c r="R28" s="501"/>
      <c r="S28" s="501">
        <f>'Exhibit M,2'!I28+'Exhibit L,2'!I28</f>
        <v>78000</v>
      </c>
      <c r="T28" s="501"/>
      <c r="U28" s="494">
        <f>Q28-'Exhibit H,4'!C28</f>
        <v>20009669.5</v>
      </c>
      <c r="V28" s="494"/>
      <c r="W28" s="494">
        <f>S28-'Exhibit G,2'!G28</f>
        <v>78000</v>
      </c>
      <c r="X28" s="494"/>
      <c r="Y28" s="494">
        <f t="shared" si="1"/>
        <v>0</v>
      </c>
      <c r="Z28" s="494"/>
      <c r="AA28" s="494">
        <f t="shared" si="2"/>
        <v>0</v>
      </c>
      <c r="AB28" s="501"/>
      <c r="AC28" s="494">
        <f t="shared" si="3"/>
        <v>0</v>
      </c>
      <c r="AD28" s="494"/>
      <c r="AE28" s="494">
        <f t="shared" si="4"/>
        <v>0</v>
      </c>
      <c r="AH28" s="137">
        <v>20215805.799999997</v>
      </c>
      <c r="AI28" s="355"/>
      <c r="AJ28" s="137">
        <v>58000</v>
      </c>
      <c r="AK28" s="355"/>
      <c r="AL28" s="137">
        <v>20215805.799999997</v>
      </c>
      <c r="AM28" s="137"/>
      <c r="AN28" s="137">
        <v>58000</v>
      </c>
      <c r="AP28" s="69">
        <f t="shared" si="5"/>
        <v>-206136.29999999702</v>
      </c>
      <c r="AQ28" s="69"/>
      <c r="AR28" s="69">
        <f t="shared" si="6"/>
        <v>20000</v>
      </c>
      <c r="AS28" s="69"/>
      <c r="AT28" s="69">
        <f t="shared" si="7"/>
        <v>-186136.29999999702</v>
      </c>
    </row>
    <row r="29" spans="1:46">
      <c r="A29" s="6">
        <f t="shared" si="8"/>
        <v>2007</v>
      </c>
      <c r="C29" s="494">
        <f>EF!C28</f>
        <v>638230.88000000268</v>
      </c>
      <c r="D29" s="494"/>
      <c r="E29" s="494">
        <f>EF!E28</f>
        <v>95234.080000000075</v>
      </c>
      <c r="F29" s="494"/>
      <c r="G29" s="494">
        <f t="shared" si="0"/>
        <v>733464.96000000276</v>
      </c>
      <c r="H29" s="494"/>
      <c r="I29" s="494">
        <f>EF!I28</f>
        <v>21064584.210000001</v>
      </c>
      <c r="J29" s="494"/>
      <c r="K29" s="494">
        <f>EF!K28</f>
        <v>1306127.32</v>
      </c>
      <c r="L29" s="494"/>
      <c r="M29" s="494">
        <f>EF!M28</f>
        <v>20426353.329999998</v>
      </c>
      <c r="N29" s="494"/>
      <c r="O29" s="494">
        <f>EF!O28</f>
        <v>1210893.24</v>
      </c>
      <c r="P29" s="494"/>
      <c r="Q29" s="501">
        <f>'Exhibit O,2'!I29+'Exhibit N,2'!I29</f>
        <v>21064584.210000001</v>
      </c>
      <c r="R29" s="501"/>
      <c r="S29" s="501">
        <f>'Exhibit M,2'!I29+'Exhibit L,2'!I29</f>
        <v>1306127.32</v>
      </c>
      <c r="T29" s="501"/>
      <c r="U29" s="494">
        <f>Q29-'Exhibit H,4'!C29</f>
        <v>20426353.329999998</v>
      </c>
      <c r="V29" s="494"/>
      <c r="W29" s="494">
        <f>S29-'Exhibit G,2'!G29</f>
        <v>1210893.24</v>
      </c>
      <c r="X29" s="494"/>
      <c r="Y29" s="494">
        <f t="shared" si="1"/>
        <v>0</v>
      </c>
      <c r="Z29" s="494"/>
      <c r="AA29" s="494">
        <f t="shared" si="2"/>
        <v>0</v>
      </c>
      <c r="AB29" s="501"/>
      <c r="AC29" s="494">
        <f t="shared" si="3"/>
        <v>0</v>
      </c>
      <c r="AD29" s="494"/>
      <c r="AE29" s="494">
        <f t="shared" si="4"/>
        <v>0</v>
      </c>
      <c r="AH29" s="137">
        <v>21064584.210000001</v>
      </c>
      <c r="AI29" s="355"/>
      <c r="AJ29" s="137">
        <v>1306127.32</v>
      </c>
      <c r="AK29" s="355"/>
      <c r="AL29" s="137">
        <v>20426353.330000002</v>
      </c>
      <c r="AM29" s="137"/>
      <c r="AN29" s="137">
        <v>1210893.24</v>
      </c>
      <c r="AP29" s="69">
        <f t="shared" si="5"/>
        <v>0</v>
      </c>
      <c r="AQ29" s="69"/>
      <c r="AR29" s="69">
        <f t="shared" si="6"/>
        <v>0</v>
      </c>
      <c r="AS29" s="69"/>
      <c r="AT29" s="69">
        <f t="shared" si="7"/>
        <v>0</v>
      </c>
    </row>
    <row r="30" spans="1:46">
      <c r="A30" s="6">
        <f t="shared" si="8"/>
        <v>2008</v>
      </c>
      <c r="C30" s="494">
        <f>EF!C29</f>
        <v>823895.1099999994</v>
      </c>
      <c r="D30" s="494"/>
      <c r="E30" s="494">
        <f>EF!E29</f>
        <v>0</v>
      </c>
      <c r="F30" s="494"/>
      <c r="G30" s="494">
        <f t="shared" si="0"/>
        <v>823895.1099999994</v>
      </c>
      <c r="H30" s="494"/>
      <c r="I30" s="494">
        <f>EF!I29</f>
        <v>21023781.949999999</v>
      </c>
      <c r="J30" s="494"/>
      <c r="K30" s="494">
        <f>EF!K29</f>
        <v>1078745.1299999999</v>
      </c>
      <c r="L30" s="494"/>
      <c r="M30" s="494">
        <f>EF!M29</f>
        <v>20199886.84</v>
      </c>
      <c r="N30" s="494"/>
      <c r="O30" s="494">
        <f>EF!O29</f>
        <v>1078745.1299999999</v>
      </c>
      <c r="P30" s="494"/>
      <c r="Q30" s="501">
        <f>'Exhibit O,2'!I30+'Exhibit N,2'!I30</f>
        <v>21023781.949999999</v>
      </c>
      <c r="R30" s="501"/>
      <c r="S30" s="501">
        <f>'Exhibit M,2'!I30+'Exhibit L,2'!I30</f>
        <v>1078745.1299999999</v>
      </c>
      <c r="T30" s="501"/>
      <c r="U30" s="494">
        <f>Q30-'Exhibit H,4'!C30</f>
        <v>20199886.84</v>
      </c>
      <c r="V30" s="494"/>
      <c r="W30" s="494">
        <f>S30-'Exhibit G,2'!G30</f>
        <v>1078745.1299999999</v>
      </c>
      <c r="X30" s="494"/>
      <c r="Y30" s="494">
        <f t="shared" si="1"/>
        <v>0</v>
      </c>
      <c r="Z30" s="494"/>
      <c r="AA30" s="494">
        <f t="shared" si="2"/>
        <v>0</v>
      </c>
      <c r="AB30" s="501"/>
      <c r="AC30" s="494">
        <f t="shared" si="3"/>
        <v>0</v>
      </c>
      <c r="AD30" s="494"/>
      <c r="AE30" s="494">
        <f t="shared" si="4"/>
        <v>0</v>
      </c>
      <c r="AH30" s="137">
        <v>21023781.949999999</v>
      </c>
      <c r="AI30" s="355"/>
      <c r="AJ30" s="137">
        <v>1078745.1299999999</v>
      </c>
      <c r="AK30" s="355"/>
      <c r="AL30" s="137">
        <v>20199886.84</v>
      </c>
      <c r="AM30" s="137"/>
      <c r="AN30" s="137">
        <v>1078745.1299999999</v>
      </c>
      <c r="AP30" s="69">
        <f t="shared" si="5"/>
        <v>0</v>
      </c>
      <c r="AQ30" s="69"/>
      <c r="AR30" s="69">
        <f t="shared" si="6"/>
        <v>0</v>
      </c>
      <c r="AS30" s="69"/>
      <c r="AT30" s="69">
        <f t="shared" si="7"/>
        <v>0</v>
      </c>
    </row>
    <row r="31" spans="1:46">
      <c r="A31" s="6">
        <f t="shared" si="8"/>
        <v>2009</v>
      </c>
      <c r="C31" s="494">
        <f>EF!C30</f>
        <v>1716687.8200000003</v>
      </c>
      <c r="D31" s="494"/>
      <c r="E31" s="494">
        <f>EF!E30</f>
        <v>0</v>
      </c>
      <c r="F31" s="494"/>
      <c r="G31" s="494">
        <f t="shared" si="0"/>
        <v>1716687.8200000003</v>
      </c>
      <c r="H31" s="494"/>
      <c r="I31" s="494">
        <f>EF!I30</f>
        <v>18970738.100000001</v>
      </c>
      <c r="J31" s="494"/>
      <c r="K31" s="494">
        <f>EF!K30</f>
        <v>2851</v>
      </c>
      <c r="L31" s="494"/>
      <c r="M31" s="494">
        <f>EF!M30</f>
        <v>17254050.280000001</v>
      </c>
      <c r="N31" s="494"/>
      <c r="O31" s="494">
        <f>EF!O30</f>
        <v>2851</v>
      </c>
      <c r="P31" s="494"/>
      <c r="Q31" s="501">
        <f>'Exhibit O,2'!I31+'Exhibit N,2'!I31</f>
        <v>18970738.100000001</v>
      </c>
      <c r="R31" s="501"/>
      <c r="S31" s="501">
        <f>'Exhibit M,2'!I31+'Exhibit L,2'!I31</f>
        <v>2851</v>
      </c>
      <c r="T31" s="501"/>
      <c r="U31" s="494">
        <f>Q31-'Exhibit H,4'!C31</f>
        <v>17254050.280000001</v>
      </c>
      <c r="V31" s="494"/>
      <c r="W31" s="494">
        <f>S31-'Exhibit G,2'!G31</f>
        <v>2851</v>
      </c>
      <c r="X31" s="494"/>
      <c r="Y31" s="494">
        <f t="shared" si="1"/>
        <v>0</v>
      </c>
      <c r="Z31" s="494"/>
      <c r="AA31" s="494">
        <f t="shared" si="2"/>
        <v>0</v>
      </c>
      <c r="AB31" s="501"/>
      <c r="AC31" s="494">
        <f t="shared" si="3"/>
        <v>0</v>
      </c>
      <c r="AD31" s="494"/>
      <c r="AE31" s="494">
        <f t="shared" si="4"/>
        <v>0</v>
      </c>
      <c r="AH31" s="137">
        <v>18970738.100000001</v>
      </c>
      <c r="AI31" s="355"/>
      <c r="AJ31" s="137">
        <v>2851.0256934990098</v>
      </c>
      <c r="AK31" s="355"/>
      <c r="AL31" s="137">
        <v>17254050.280000001</v>
      </c>
      <c r="AM31" s="137"/>
      <c r="AN31" s="137">
        <v>2851.0256934990098</v>
      </c>
      <c r="AP31" s="69">
        <f t="shared" si="5"/>
        <v>0</v>
      </c>
      <c r="AQ31" s="69"/>
      <c r="AR31" s="69">
        <f t="shared" si="6"/>
        <v>-2.5693499009776133E-2</v>
      </c>
      <c r="AS31" s="69"/>
      <c r="AT31" s="69">
        <f t="shared" si="7"/>
        <v>-2.5693499009776133E-2</v>
      </c>
    </row>
    <row r="32" spans="1:46">
      <c r="A32" s="6">
        <f t="shared" si="8"/>
        <v>2010</v>
      </c>
      <c r="C32" s="494">
        <f>EF!C31</f>
        <v>2126900.6900000013</v>
      </c>
      <c r="D32" s="494"/>
      <c r="E32" s="494">
        <f>EF!E31</f>
        <v>0</v>
      </c>
      <c r="F32" s="494"/>
      <c r="G32" s="494">
        <f t="shared" si="0"/>
        <v>2126900.6900000013</v>
      </c>
      <c r="H32" s="494"/>
      <c r="I32" s="494">
        <f>EF!I31</f>
        <v>25135887.52</v>
      </c>
      <c r="J32" s="494"/>
      <c r="K32" s="494">
        <f>EF!K31</f>
        <v>0</v>
      </c>
      <c r="L32" s="494"/>
      <c r="M32" s="494">
        <f>EF!M31</f>
        <v>23008986.829999998</v>
      </c>
      <c r="N32" s="494"/>
      <c r="O32" s="494">
        <f>EF!O31</f>
        <v>0</v>
      </c>
      <c r="P32" s="494"/>
      <c r="Q32" s="501">
        <f>'Exhibit O,2'!I32+'Exhibit N,2'!I32</f>
        <v>25135887.52</v>
      </c>
      <c r="R32" s="501"/>
      <c r="S32" s="501">
        <f>'Exhibit M,2'!I32+'Exhibit L,2'!I32</f>
        <v>0</v>
      </c>
      <c r="T32" s="501"/>
      <c r="U32" s="494">
        <f>Q32-'Exhibit H,4'!C32</f>
        <v>23008986.829999998</v>
      </c>
      <c r="V32" s="494"/>
      <c r="W32" s="494">
        <f>S32-'Exhibit G,2'!G32</f>
        <v>0</v>
      </c>
      <c r="X32" s="494"/>
      <c r="Y32" s="494">
        <f t="shared" si="1"/>
        <v>0</v>
      </c>
      <c r="Z32" s="494"/>
      <c r="AA32" s="494">
        <f t="shared" si="2"/>
        <v>0</v>
      </c>
      <c r="AB32" s="501"/>
      <c r="AC32" s="494">
        <f t="shared" si="3"/>
        <v>0</v>
      </c>
      <c r="AD32" s="494"/>
      <c r="AE32" s="494">
        <f t="shared" si="4"/>
        <v>0</v>
      </c>
      <c r="AH32" s="137">
        <v>25135887.52</v>
      </c>
      <c r="AI32" s="355"/>
      <c r="AJ32" s="137">
        <v>0</v>
      </c>
      <c r="AK32" s="355"/>
      <c r="AL32" s="137">
        <v>23008986.829999998</v>
      </c>
      <c r="AM32" s="137"/>
      <c r="AN32" s="137">
        <v>0</v>
      </c>
      <c r="AP32" s="69">
        <f t="shared" si="5"/>
        <v>0</v>
      </c>
      <c r="AQ32" s="69"/>
      <c r="AR32" s="69">
        <f t="shared" si="6"/>
        <v>0</v>
      </c>
      <c r="AS32" s="69"/>
      <c r="AT32" s="69">
        <f t="shared" si="7"/>
        <v>0</v>
      </c>
    </row>
    <row r="33" spans="1:46">
      <c r="A33" s="6">
        <f t="shared" si="8"/>
        <v>2011</v>
      </c>
      <c r="C33" s="494">
        <f>EF!C32</f>
        <v>2235848.3499999978</v>
      </c>
      <c r="D33" s="494"/>
      <c r="E33" s="494">
        <f>EF!E32</f>
        <v>0</v>
      </c>
      <c r="F33" s="494"/>
      <c r="G33" s="494">
        <f t="shared" si="0"/>
        <v>2235848.3499999978</v>
      </c>
      <c r="H33" s="494"/>
      <c r="I33" s="494">
        <f>EF!I32</f>
        <v>16859176.939999998</v>
      </c>
      <c r="J33" s="494"/>
      <c r="K33" s="494">
        <f>EF!K32</f>
        <v>407361.58052147331</v>
      </c>
      <c r="L33" s="494"/>
      <c r="M33" s="494">
        <f>EF!M32</f>
        <v>14623328.59</v>
      </c>
      <c r="N33" s="494"/>
      <c r="O33" s="494">
        <f>EF!O32</f>
        <v>407361.58052147331</v>
      </c>
      <c r="P33" s="494"/>
      <c r="Q33" s="501">
        <f>'Exhibit O,2'!I33+'Exhibit N,2'!I33</f>
        <v>16859176.939999998</v>
      </c>
      <c r="R33" s="501"/>
      <c r="S33" s="501">
        <f>'Exhibit M,2'!I33+'Exhibit L,2'!I33</f>
        <v>407297.79</v>
      </c>
      <c r="T33" s="501"/>
      <c r="U33" s="494">
        <f>Q33-'Exhibit H,4'!C33</f>
        <v>14623328.59</v>
      </c>
      <c r="V33" s="494"/>
      <c r="W33" s="494">
        <f>S33-'Exhibit G,2'!G33</f>
        <v>407297.79</v>
      </c>
      <c r="X33" s="494"/>
      <c r="Y33" s="494">
        <f t="shared" si="1"/>
        <v>0</v>
      </c>
      <c r="Z33" s="494"/>
      <c r="AA33" s="494">
        <f t="shared" si="2"/>
        <v>63.790521473332774</v>
      </c>
      <c r="AB33" s="501"/>
      <c r="AC33" s="494">
        <f t="shared" si="3"/>
        <v>0</v>
      </c>
      <c r="AD33" s="494"/>
      <c r="AE33" s="494">
        <f t="shared" si="4"/>
        <v>63.790521473332774</v>
      </c>
      <c r="AH33" s="137">
        <v>16859176.939999998</v>
      </c>
      <c r="AI33" s="355"/>
      <c r="AJ33" s="137">
        <v>407574.07383896492</v>
      </c>
      <c r="AK33" s="355"/>
      <c r="AL33" s="137">
        <v>14623328.589999998</v>
      </c>
      <c r="AM33" s="137"/>
      <c r="AN33" s="137">
        <v>407574.07383896492</v>
      </c>
      <c r="AP33" s="69">
        <f t="shared" si="5"/>
        <v>0</v>
      </c>
      <c r="AQ33" s="69"/>
      <c r="AR33" s="69">
        <f t="shared" si="6"/>
        <v>-212.49331749160774</v>
      </c>
      <c r="AS33" s="69"/>
      <c r="AT33" s="69">
        <f t="shared" si="7"/>
        <v>-212.49331749160774</v>
      </c>
    </row>
    <row r="34" spans="1:46">
      <c r="A34" s="6">
        <f t="shared" si="8"/>
        <v>2012</v>
      </c>
      <c r="C34" s="494">
        <f>EF!C33</f>
        <v>5992753.5500000007</v>
      </c>
      <c r="D34" s="494"/>
      <c r="E34" s="494">
        <f>EF!E33</f>
        <v>0</v>
      </c>
      <c r="F34" s="494"/>
      <c r="G34" s="494">
        <f t="shared" si="0"/>
        <v>5992753.5500000007</v>
      </c>
      <c r="H34" s="494"/>
      <c r="I34" s="494">
        <f>EF!I33</f>
        <v>23495663.590000004</v>
      </c>
      <c r="J34" s="494"/>
      <c r="K34" s="494">
        <f>EF!K33</f>
        <v>1102035.9602525134</v>
      </c>
      <c r="L34" s="494"/>
      <c r="M34" s="494">
        <f>EF!M33</f>
        <v>17502910.040000003</v>
      </c>
      <c r="N34" s="494"/>
      <c r="O34" s="494">
        <f>EF!O33</f>
        <v>1102035.9602525134</v>
      </c>
      <c r="P34" s="494"/>
      <c r="Q34" s="501">
        <f>'Exhibit O,2'!I34+'Exhibit N,2'!I34</f>
        <v>23495663.590000004</v>
      </c>
      <c r="R34" s="501"/>
      <c r="S34" s="501">
        <f>'Exhibit M,2'!I34+'Exhibit L,2'!I34</f>
        <v>1101243.9099999999</v>
      </c>
      <c r="T34" s="501"/>
      <c r="U34" s="494">
        <f>Q34-'Exhibit H,4'!C34</f>
        <v>17502910.040000003</v>
      </c>
      <c r="V34" s="494"/>
      <c r="W34" s="494">
        <f>S34-'Exhibit G,2'!G34</f>
        <v>1101243.9099999999</v>
      </c>
      <c r="X34" s="494"/>
      <c r="Y34" s="494">
        <f t="shared" si="1"/>
        <v>0</v>
      </c>
      <c r="Z34" s="494"/>
      <c r="AA34" s="494">
        <f t="shared" si="2"/>
        <v>792.05025251349434</v>
      </c>
      <c r="AB34" s="501"/>
      <c r="AC34" s="494">
        <f t="shared" si="3"/>
        <v>0</v>
      </c>
      <c r="AD34" s="494"/>
      <c r="AE34" s="494">
        <f t="shared" si="4"/>
        <v>792.05025251349434</v>
      </c>
      <c r="AH34" s="137">
        <v>23472370.420000002</v>
      </c>
      <c r="AI34" s="355"/>
      <c r="AJ34" s="137">
        <v>1104347.2996114462</v>
      </c>
      <c r="AK34" s="355"/>
      <c r="AL34" s="137">
        <v>17479616.870000001</v>
      </c>
      <c r="AM34" s="137"/>
      <c r="AN34" s="137">
        <v>1104335.5986957471</v>
      </c>
      <c r="AP34" s="69">
        <f t="shared" si="5"/>
        <v>23293.170000001788</v>
      </c>
      <c r="AQ34" s="69"/>
      <c r="AR34" s="69">
        <f t="shared" si="6"/>
        <v>-2299.6384432336781</v>
      </c>
      <c r="AS34" s="69"/>
      <c r="AT34" s="69">
        <f t="shared" si="7"/>
        <v>20993.53155676811</v>
      </c>
    </row>
    <row r="35" spans="1:46">
      <c r="A35" s="6">
        <f t="shared" si="8"/>
        <v>2013</v>
      </c>
      <c r="C35" s="494">
        <f>EF!C34</f>
        <v>6075393.9799999986</v>
      </c>
      <c r="D35" s="494"/>
      <c r="E35" s="494">
        <f>EF!E34</f>
        <v>0.34302503385637095</v>
      </c>
      <c r="F35" s="494"/>
      <c r="G35" s="494">
        <f t="shared" si="0"/>
        <v>6075394.3230250329</v>
      </c>
      <c r="H35" s="494"/>
      <c r="I35" s="494">
        <f>EF!I34</f>
        <v>20861638.420000002</v>
      </c>
      <c r="J35" s="494"/>
      <c r="K35" s="494">
        <f>EF!K34</f>
        <v>1998647.3999071326</v>
      </c>
      <c r="L35" s="494"/>
      <c r="M35" s="494">
        <f>EF!M34</f>
        <v>14786244.440000003</v>
      </c>
      <c r="N35" s="494"/>
      <c r="O35" s="494">
        <f>EF!O34</f>
        <v>1998647.0568820988</v>
      </c>
      <c r="P35" s="494"/>
      <c r="Q35" s="501">
        <f>'Exhibit O,2'!I35+'Exhibit N,2'!I35</f>
        <v>20861638.420000002</v>
      </c>
      <c r="R35" s="501"/>
      <c r="S35" s="501">
        <f>'Exhibit M,2'!I35+'Exhibit L,2'!I35</f>
        <v>1991946.4100000001</v>
      </c>
      <c r="T35" s="501"/>
      <c r="U35" s="494">
        <f>Q35-'Exhibit H,4'!C35</f>
        <v>14786244.440000003</v>
      </c>
      <c r="V35" s="494"/>
      <c r="W35" s="494">
        <f>S35-'Exhibit G,2'!G35</f>
        <v>1991946.4100000001</v>
      </c>
      <c r="X35" s="494"/>
      <c r="Y35" s="494">
        <f t="shared" si="1"/>
        <v>0</v>
      </c>
      <c r="Z35" s="494"/>
      <c r="AA35" s="494">
        <f t="shared" si="2"/>
        <v>6700.9899071324617</v>
      </c>
      <c r="AB35" s="501"/>
      <c r="AC35" s="494">
        <f t="shared" si="3"/>
        <v>0</v>
      </c>
      <c r="AD35" s="494"/>
      <c r="AE35" s="494">
        <f t="shared" si="4"/>
        <v>6700.6468820986338</v>
      </c>
      <c r="AH35" s="137">
        <v>20861638.420000002</v>
      </c>
      <c r="AI35" s="355"/>
      <c r="AJ35" s="137">
        <v>2013265.8418738819</v>
      </c>
      <c r="AK35" s="355"/>
      <c r="AL35" s="137">
        <v>14786244.440000001</v>
      </c>
      <c r="AM35" s="137"/>
      <c r="AN35" s="137">
        <v>2013188.2528692354</v>
      </c>
      <c r="AP35" s="69">
        <f t="shared" si="5"/>
        <v>0</v>
      </c>
      <c r="AQ35" s="69"/>
      <c r="AR35" s="69">
        <f t="shared" si="6"/>
        <v>-14541.195987136569</v>
      </c>
      <c r="AS35" s="69"/>
      <c r="AT35" s="69">
        <f t="shared" si="7"/>
        <v>-14541.195987136569</v>
      </c>
    </row>
    <row r="36" spans="1:46">
      <c r="A36" s="6">
        <f t="shared" si="8"/>
        <v>2014</v>
      </c>
      <c r="C36" s="494">
        <f>EF!C35</f>
        <v>1329575.0700000003</v>
      </c>
      <c r="D36" s="494"/>
      <c r="E36" s="494">
        <f>EF!E35</f>
        <v>59.926478012515055</v>
      </c>
      <c r="F36" s="494"/>
      <c r="G36" s="494">
        <f t="shared" si="0"/>
        <v>1329634.9964780128</v>
      </c>
      <c r="H36" s="494"/>
      <c r="I36" s="494">
        <f>EF!I35</f>
        <v>15413427.860000001</v>
      </c>
      <c r="J36" s="494"/>
      <c r="K36" s="494">
        <f>EF!K35</f>
        <v>548996.66268209089</v>
      </c>
      <c r="L36" s="494"/>
      <c r="M36" s="494">
        <f>EF!M35</f>
        <v>14083852.790000001</v>
      </c>
      <c r="N36" s="494"/>
      <c r="O36" s="494">
        <f>EF!O35</f>
        <v>548936.73620407842</v>
      </c>
      <c r="P36" s="494"/>
      <c r="Q36" s="501">
        <f>'Exhibit O,2'!I36+'Exhibit N,2'!I36</f>
        <v>15413427.860000001</v>
      </c>
      <c r="R36" s="501"/>
      <c r="S36" s="501">
        <f>'Exhibit M,2'!I36+'Exhibit L,2'!I36</f>
        <v>543806.18000000005</v>
      </c>
      <c r="T36" s="501"/>
      <c r="U36" s="494">
        <f>Q36-'Exhibit H,4'!C36</f>
        <v>14083852.790000001</v>
      </c>
      <c r="V36" s="494"/>
      <c r="W36" s="494">
        <f>S36-'Exhibit G,2'!G36</f>
        <v>543806.18000000005</v>
      </c>
      <c r="X36" s="494"/>
      <c r="Y36" s="494">
        <f t="shared" si="1"/>
        <v>0</v>
      </c>
      <c r="Z36" s="494"/>
      <c r="AA36" s="494">
        <f t="shared" si="2"/>
        <v>5190.4826820908347</v>
      </c>
      <c r="AB36" s="501"/>
      <c r="AC36" s="494">
        <f t="shared" si="3"/>
        <v>0</v>
      </c>
      <c r="AD36" s="494"/>
      <c r="AE36" s="494">
        <f t="shared" si="4"/>
        <v>5130.5562040783698</v>
      </c>
      <c r="AH36" s="137">
        <v>15424983.406905109</v>
      </c>
      <c r="AI36" s="355"/>
      <c r="AJ36" s="137">
        <v>558145.57570289331</v>
      </c>
      <c r="AK36" s="355"/>
      <c r="AL36" s="137">
        <v>14095408.336905109</v>
      </c>
      <c r="AM36" s="137"/>
      <c r="AN36" s="137">
        <v>557373.32663137279</v>
      </c>
      <c r="AP36" s="69">
        <f t="shared" si="5"/>
        <v>-11555.546905107796</v>
      </c>
      <c r="AQ36" s="69"/>
      <c r="AR36" s="69">
        <f t="shared" si="6"/>
        <v>-8436.5904272943735</v>
      </c>
      <c r="AS36" s="69"/>
      <c r="AT36" s="69">
        <f t="shared" si="7"/>
        <v>-19992.13733240217</v>
      </c>
    </row>
    <row r="37" spans="1:46">
      <c r="A37" s="6">
        <f t="shared" si="8"/>
        <v>2015</v>
      </c>
      <c r="C37" s="494">
        <f>EF!C36</f>
        <v>1325604.9400000013</v>
      </c>
      <c r="D37" s="494"/>
      <c r="E37" s="494">
        <f>EF!E36</f>
        <v>1034.0409760990906</v>
      </c>
      <c r="F37" s="494"/>
      <c r="G37" s="494">
        <f t="shared" si="0"/>
        <v>1326638.9809761005</v>
      </c>
      <c r="H37" s="494"/>
      <c r="I37" s="494">
        <f>EF!I36</f>
        <v>21091012.005524084</v>
      </c>
      <c r="J37" s="494"/>
      <c r="K37" s="494">
        <f>EF!K36</f>
        <v>671720.90708352916</v>
      </c>
      <c r="L37" s="494"/>
      <c r="M37" s="494">
        <f>EF!M36</f>
        <v>19765407.065524083</v>
      </c>
      <c r="N37" s="494"/>
      <c r="O37" s="494">
        <f>EF!O36</f>
        <v>670686.86610743008</v>
      </c>
      <c r="P37" s="494"/>
      <c r="Q37" s="501">
        <f>'Exhibit O,2'!I37+'Exhibit N,2'!I37</f>
        <v>21060004.139999997</v>
      </c>
      <c r="R37" s="501"/>
      <c r="S37" s="501">
        <f>'Exhibit M,2'!I37+'Exhibit L,2'!I37</f>
        <v>651635.24</v>
      </c>
      <c r="T37" s="501"/>
      <c r="U37" s="494">
        <f>Q37-'Exhibit H,4'!C37</f>
        <v>19734399.199999996</v>
      </c>
      <c r="V37" s="494"/>
      <c r="W37" s="494">
        <f>S37-'Exhibit G,2'!G37</f>
        <v>651635.24</v>
      </c>
      <c r="X37" s="494"/>
      <c r="Y37" s="494">
        <f t="shared" si="1"/>
        <v>31007.865524087101</v>
      </c>
      <c r="Z37" s="494"/>
      <c r="AA37" s="494">
        <f t="shared" si="2"/>
        <v>20085.667083529173</v>
      </c>
      <c r="AB37" s="501"/>
      <c r="AC37" s="494">
        <f t="shared" si="3"/>
        <v>31007.865524087101</v>
      </c>
      <c r="AD37" s="494"/>
      <c r="AE37" s="494">
        <f t="shared" si="4"/>
        <v>19051.626107430086</v>
      </c>
      <c r="AH37" s="137">
        <v>21237645.968688041</v>
      </c>
      <c r="AI37" s="355"/>
      <c r="AJ37" s="137">
        <v>701978.04160569899</v>
      </c>
      <c r="AK37" s="355"/>
      <c r="AL37" s="137">
        <v>19910767.143487196</v>
      </c>
      <c r="AM37" s="137"/>
      <c r="AN37" s="137">
        <v>691869.76066431182</v>
      </c>
      <c r="AP37" s="69">
        <f t="shared" si="5"/>
        <v>-145360.07796311378</v>
      </c>
      <c r="AQ37" s="69"/>
      <c r="AR37" s="69">
        <f t="shared" si="6"/>
        <v>-21182.894556881743</v>
      </c>
      <c r="AS37" s="69"/>
      <c r="AT37" s="69">
        <f t="shared" si="7"/>
        <v>-166542.97251999553</v>
      </c>
    </row>
    <row r="38" spans="1:46">
      <c r="A38" s="6">
        <f t="shared" si="8"/>
        <v>2016</v>
      </c>
      <c r="C38" s="494">
        <f>EF!C37</f>
        <v>2363477.9617348793</v>
      </c>
      <c r="D38" s="494"/>
      <c r="E38" s="494">
        <f>EF!E37</f>
        <v>1082659.4481038991</v>
      </c>
      <c r="F38" s="494"/>
      <c r="G38" s="494">
        <f t="shared" si="0"/>
        <v>3446137.4098387784</v>
      </c>
      <c r="H38" s="494"/>
      <c r="I38" s="494">
        <f>EF!I37</f>
        <v>12928167.364172783</v>
      </c>
      <c r="J38" s="494"/>
      <c r="K38" s="494">
        <f>EF!K37</f>
        <v>5182954.5227005687</v>
      </c>
      <c r="L38" s="494"/>
      <c r="M38" s="494">
        <f>EF!M37</f>
        <v>10564689.402437903</v>
      </c>
      <c r="N38" s="494"/>
      <c r="O38" s="494">
        <f>EF!O37</f>
        <v>4100295.0745966695</v>
      </c>
      <c r="P38" s="494"/>
      <c r="Q38" s="501">
        <f>'Exhibit O,2'!I38+'Exhibit N,2'!I38</f>
        <v>12777784.629999999</v>
      </c>
      <c r="R38" s="501"/>
      <c r="S38" s="501">
        <f>'Exhibit M,2'!I38+'Exhibit L,2'!I38</f>
        <v>4540014.8499999996</v>
      </c>
      <c r="T38" s="501"/>
      <c r="U38" s="494">
        <f>Q38-'Exhibit H,4'!C38</f>
        <v>10430082.310000001</v>
      </c>
      <c r="V38" s="494"/>
      <c r="W38" s="494">
        <f>S38-'Exhibit G,2'!G38</f>
        <v>3683738.7399999998</v>
      </c>
      <c r="X38" s="494"/>
      <c r="Y38" s="494">
        <f t="shared" si="1"/>
        <v>150382.73417278379</v>
      </c>
      <c r="Z38" s="494"/>
      <c r="AA38" s="494">
        <f t="shared" si="2"/>
        <v>642939.67270056903</v>
      </c>
      <c r="AB38" s="501"/>
      <c r="AC38" s="494">
        <f t="shared" si="3"/>
        <v>134607.09243790247</v>
      </c>
      <c r="AD38" s="494"/>
      <c r="AE38" s="494">
        <f t="shared" si="4"/>
        <v>416556.33459666977</v>
      </c>
      <c r="AH38" s="137">
        <v>14005464.763363007</v>
      </c>
      <c r="AI38" s="355"/>
      <c r="AJ38" s="137">
        <v>5566284.6165994257</v>
      </c>
      <c r="AK38" s="355"/>
      <c r="AL38" s="137">
        <v>11517344.243005961</v>
      </c>
      <c r="AM38" s="137"/>
      <c r="AN38" s="137">
        <v>3972401.7969866437</v>
      </c>
      <c r="AP38" s="69">
        <f t="shared" si="5"/>
        <v>-952654.84056805819</v>
      </c>
      <c r="AQ38" s="69"/>
      <c r="AR38" s="69">
        <f t="shared" si="6"/>
        <v>127893.27761002583</v>
      </c>
      <c r="AS38" s="69"/>
      <c r="AT38" s="69">
        <f t="shared" si="7"/>
        <v>-824761.56295803236</v>
      </c>
    </row>
    <row r="39" spans="1:46">
      <c r="A39" s="6">
        <f t="shared" si="8"/>
        <v>2017</v>
      </c>
      <c r="C39" s="494">
        <f>EF!C38</f>
        <v>238953.73828461423</v>
      </c>
      <c r="D39" s="494"/>
      <c r="E39" s="494">
        <f>EF!E38</f>
        <v>12412.341926720395</v>
      </c>
      <c r="F39" s="494"/>
      <c r="G39" s="494">
        <f t="shared" si="0"/>
        <v>251366.08021133463</v>
      </c>
      <c r="H39" s="494"/>
      <c r="I39" s="494">
        <f>EF!I38</f>
        <v>7702835.2463280298</v>
      </c>
      <c r="J39" s="494"/>
      <c r="K39" s="494">
        <f>EF!K38</f>
        <v>643372.87884363276</v>
      </c>
      <c r="L39" s="494"/>
      <c r="M39" s="494">
        <f>EF!M38</f>
        <v>7463881.5080434158</v>
      </c>
      <c r="N39" s="494"/>
      <c r="O39" s="494">
        <f>EF!O38</f>
        <v>630960.53691691242</v>
      </c>
      <c r="P39" s="494"/>
      <c r="Q39" s="501">
        <f>'Exhibit O,2'!I39+'Exhibit N,2'!I39</f>
        <v>6912304.1399999987</v>
      </c>
      <c r="R39" s="501"/>
      <c r="S39" s="501">
        <f>'Exhibit M,2'!I39+'Exhibit L,2'!I39</f>
        <v>202847.07</v>
      </c>
      <c r="T39" s="501"/>
      <c r="U39" s="494">
        <f>Q39-'Exhibit H,4'!C39</f>
        <v>6692144.1399999987</v>
      </c>
      <c r="V39" s="494"/>
      <c r="W39" s="494">
        <f>S39-'Exhibit G,2'!G39</f>
        <v>202847.07</v>
      </c>
      <c r="X39" s="494"/>
      <c r="Y39" s="494">
        <f t="shared" si="1"/>
        <v>790531.10632803105</v>
      </c>
      <c r="Z39" s="494"/>
      <c r="AA39" s="494">
        <f t="shared" si="2"/>
        <v>440525.80884363275</v>
      </c>
      <c r="AB39" s="501"/>
      <c r="AC39" s="494">
        <f t="shared" si="3"/>
        <v>771737.36804341711</v>
      </c>
      <c r="AD39" s="494"/>
      <c r="AE39" s="494">
        <f t="shared" si="4"/>
        <v>428113.46691691241</v>
      </c>
      <c r="AH39" s="137">
        <v>10200805.452990737</v>
      </c>
      <c r="AI39" s="355"/>
      <c r="AJ39" s="137">
        <v>1224886.5705539242</v>
      </c>
      <c r="AK39" s="355"/>
      <c r="AL39" s="137">
        <v>8751333.2481744532</v>
      </c>
      <c r="AM39" s="137"/>
      <c r="AN39" s="137">
        <v>1184259.5346550124</v>
      </c>
      <c r="AP39" s="69">
        <f t="shared" si="5"/>
        <v>-1287451.7401310373</v>
      </c>
      <c r="AQ39" s="69"/>
      <c r="AR39" s="69">
        <f t="shared" si="6"/>
        <v>-553298.99773810001</v>
      </c>
      <c r="AS39" s="69"/>
      <c r="AT39" s="69">
        <f t="shared" si="7"/>
        <v>-1840750.7378691374</v>
      </c>
    </row>
    <row r="40" spans="1:46">
      <c r="A40" s="6">
        <f t="shared" si="8"/>
        <v>2018</v>
      </c>
      <c r="C40" s="494">
        <f>EF!C39</f>
        <v>2825999.5451444173</v>
      </c>
      <c r="D40" s="494"/>
      <c r="E40" s="494">
        <f>EF!E39</f>
        <v>84989.088760994331</v>
      </c>
      <c r="F40" s="494"/>
      <c r="G40" s="494">
        <f t="shared" si="0"/>
        <v>2910988.6339054117</v>
      </c>
      <c r="H40" s="494"/>
      <c r="I40" s="494">
        <f>EF!I39</f>
        <v>17116650.864487838</v>
      </c>
      <c r="J40" s="494"/>
      <c r="K40" s="494">
        <f>EF!K39</f>
        <v>2156293.8228217755</v>
      </c>
      <c r="L40" s="494"/>
      <c r="M40" s="494">
        <f>EF!M39</f>
        <v>14290651.319343422</v>
      </c>
      <c r="N40" s="494"/>
      <c r="O40" s="494">
        <f>EF!O39</f>
        <v>2071304.7340607811</v>
      </c>
      <c r="P40" s="494"/>
      <c r="Q40" s="501">
        <f>'Exhibit O,2'!I40+'Exhibit N,2'!I40</f>
        <v>14350028.960000001</v>
      </c>
      <c r="R40" s="501"/>
      <c r="S40" s="501">
        <f>'Exhibit M,2'!I40+'Exhibit L,2'!I40</f>
        <v>1530224.19</v>
      </c>
      <c r="T40" s="501"/>
      <c r="U40" s="494">
        <f>Q40-'Exhibit H,4'!C40</f>
        <v>12350028.960000001</v>
      </c>
      <c r="V40" s="494"/>
      <c r="W40" s="494">
        <f>S40-'Exhibit G,2'!G40</f>
        <v>1530224.19</v>
      </c>
      <c r="X40" s="494"/>
      <c r="Y40" s="494">
        <f t="shared" si="1"/>
        <v>2766621.9044878371</v>
      </c>
      <c r="Z40" s="494"/>
      <c r="AA40" s="494">
        <f t="shared" si="2"/>
        <v>626069.63282177551</v>
      </c>
      <c r="AB40" s="501"/>
      <c r="AC40" s="494">
        <f t="shared" si="3"/>
        <v>1940622.3593434207</v>
      </c>
      <c r="AD40" s="494"/>
      <c r="AE40" s="494">
        <f t="shared" si="4"/>
        <v>541080.54406078113</v>
      </c>
      <c r="AH40" s="137">
        <v>15146171.705237675</v>
      </c>
      <c r="AI40" s="355"/>
      <c r="AJ40" s="137">
        <v>1493206.7839122107</v>
      </c>
      <c r="AK40" s="355"/>
      <c r="AL40" s="137">
        <v>14620904.736959729</v>
      </c>
      <c r="AM40" s="137"/>
      <c r="AN40" s="137">
        <v>1424135.0694782862</v>
      </c>
      <c r="AP40" s="69">
        <f t="shared" si="5"/>
        <v>-330253.41761630774</v>
      </c>
      <c r="AQ40" s="69"/>
      <c r="AR40" s="69">
        <f t="shared" si="6"/>
        <v>647169.66458249488</v>
      </c>
      <c r="AS40" s="69"/>
      <c r="AT40" s="69">
        <f t="shared" si="7"/>
        <v>316916.24696618714</v>
      </c>
    </row>
    <row r="41" spans="1:46">
      <c r="A41" s="6">
        <f t="shared" si="8"/>
        <v>2019</v>
      </c>
      <c r="C41" s="494">
        <f>EF!C40</f>
        <v>703652.46809703798</v>
      </c>
      <c r="D41" s="494"/>
      <c r="E41" s="494">
        <f>EF!E40</f>
        <v>364504.04213521769</v>
      </c>
      <c r="F41" s="494"/>
      <c r="G41" s="494">
        <f t="shared" si="0"/>
        <v>1068156.5102322558</v>
      </c>
      <c r="H41" s="494"/>
      <c r="I41" s="494">
        <f>EF!I40</f>
        <v>14079435.040762978</v>
      </c>
      <c r="J41" s="494"/>
      <c r="K41" s="494">
        <f>EF!K40</f>
        <v>3062320.1343217399</v>
      </c>
      <c r="L41" s="494"/>
      <c r="M41" s="494">
        <f>EF!M40</f>
        <v>13375782.572665939</v>
      </c>
      <c r="N41" s="494"/>
      <c r="O41" s="494">
        <f>EF!O40</f>
        <v>2697816.0921865222</v>
      </c>
      <c r="P41" s="494"/>
      <c r="Q41" s="501">
        <f>'Exhibit O,2'!I41+'Exhibit N,2'!I41</f>
        <v>10777609.43</v>
      </c>
      <c r="R41" s="501"/>
      <c r="S41" s="501">
        <f>'Exhibit M,2'!I41+'Exhibit L,2'!I41</f>
        <v>2428737.89</v>
      </c>
      <c r="T41" s="501"/>
      <c r="U41" s="494">
        <f>Q41-'Exhibit H,4'!C41</f>
        <v>10583232.560000001</v>
      </c>
      <c r="V41" s="494"/>
      <c r="W41" s="494">
        <f>S41-'Exhibit G,2'!G41</f>
        <v>2245477.37</v>
      </c>
      <c r="X41" s="494"/>
      <c r="Y41" s="494">
        <f t="shared" si="1"/>
        <v>3301825.610762978</v>
      </c>
      <c r="Z41" s="494"/>
      <c r="AA41" s="494">
        <f t="shared" si="2"/>
        <v>633582.24432173977</v>
      </c>
      <c r="AB41" s="501"/>
      <c r="AC41" s="494">
        <f t="shared" si="3"/>
        <v>2792550.0126659386</v>
      </c>
      <c r="AD41" s="494"/>
      <c r="AE41" s="494">
        <f t="shared" si="4"/>
        <v>452338.72218652209</v>
      </c>
      <c r="AH41" s="137">
        <v>14304724.56500469</v>
      </c>
      <c r="AI41" s="355"/>
      <c r="AJ41" s="137">
        <v>2400776.9163405625</v>
      </c>
      <c r="AK41" s="355"/>
      <c r="AL41" s="137">
        <v>13489767.239771977</v>
      </c>
      <c r="AM41" s="137"/>
      <c r="AN41" s="137">
        <v>2178054.7266321382</v>
      </c>
      <c r="AP41" s="69">
        <f t="shared" si="5"/>
        <v>-113984.66710603796</v>
      </c>
      <c r="AQ41" s="69"/>
      <c r="AR41" s="69">
        <f t="shared" si="6"/>
        <v>519761.36555438396</v>
      </c>
      <c r="AS41" s="69"/>
      <c r="AT41" s="69">
        <f t="shared" si="7"/>
        <v>405776.698448346</v>
      </c>
    </row>
    <row r="42" spans="1:46">
      <c r="A42" s="6">
        <f t="shared" si="8"/>
        <v>2020</v>
      </c>
      <c r="C42" s="494">
        <f>EF!C41</f>
        <v>1249245.588074143</v>
      </c>
      <c r="D42" s="494"/>
      <c r="E42" s="494">
        <f>EF!E41</f>
        <v>91331.300374089536</v>
      </c>
      <c r="F42" s="494"/>
      <c r="G42" s="494">
        <f t="shared" si="0"/>
        <v>1340576.8884482326</v>
      </c>
      <c r="H42" s="494"/>
      <c r="I42" s="494">
        <f>EF!I41</f>
        <v>12770051.247786101</v>
      </c>
      <c r="J42" s="494"/>
      <c r="K42" s="494">
        <f>EF!K41</f>
        <v>1265041.6896571</v>
      </c>
      <c r="L42" s="494"/>
      <c r="M42" s="494">
        <f>EF!M41</f>
        <v>11520805.659711957</v>
      </c>
      <c r="N42" s="494"/>
      <c r="O42" s="494">
        <f>EF!O41</f>
        <v>1173710.3892830105</v>
      </c>
      <c r="P42" s="494"/>
      <c r="Q42" s="501">
        <f>'Exhibit O,2'!I42+'Exhibit N,2'!I42</f>
        <v>8231174.7300000004</v>
      </c>
      <c r="R42" s="501"/>
      <c r="S42" s="501">
        <f>'Exhibit M,2'!I42+'Exhibit L,2'!I42</f>
        <v>583411.92000000004</v>
      </c>
      <c r="T42" s="501"/>
      <c r="U42" s="494">
        <f>Q42-'Exhibit H,4'!C42</f>
        <v>7638178.3200000003</v>
      </c>
      <c r="V42" s="494"/>
      <c r="W42" s="494">
        <f>S42-'Exhibit G,2'!G42</f>
        <v>583411.92000000004</v>
      </c>
      <c r="X42" s="494"/>
      <c r="Y42" s="494">
        <f t="shared" si="1"/>
        <v>4538876.5177861005</v>
      </c>
      <c r="Z42" s="494"/>
      <c r="AA42" s="494">
        <f t="shared" si="2"/>
        <v>681629.76965709997</v>
      </c>
      <c r="AB42" s="501"/>
      <c r="AC42" s="494">
        <f t="shared" si="3"/>
        <v>3882627.3397119567</v>
      </c>
      <c r="AD42" s="494"/>
      <c r="AE42" s="494">
        <f t="shared" si="4"/>
        <v>590298.46928301046</v>
      </c>
      <c r="AH42" s="137">
        <v>10768873.320447076</v>
      </c>
      <c r="AI42" s="355"/>
      <c r="AJ42" s="137">
        <v>1306005.4828053738</v>
      </c>
      <c r="AK42" s="355"/>
      <c r="AL42" s="137">
        <v>9961124.0756457411</v>
      </c>
      <c r="AM42" s="137"/>
      <c r="AN42" s="137">
        <v>1193707.3394334698</v>
      </c>
      <c r="AP42" s="69">
        <f t="shared" si="5"/>
        <v>1559681.5840662159</v>
      </c>
      <c r="AQ42" s="69"/>
      <c r="AR42" s="69">
        <f t="shared" si="6"/>
        <v>-19996.950150459306</v>
      </c>
      <c r="AS42" s="69"/>
      <c r="AT42" s="69">
        <f t="shared" si="7"/>
        <v>1539684.6339157566</v>
      </c>
    </row>
    <row r="43" spans="1:46">
      <c r="A43" s="6">
        <f t="shared" si="8"/>
        <v>2021</v>
      </c>
      <c r="C43" s="494">
        <f>EF!C42</f>
        <v>576697.19209940301</v>
      </c>
      <c r="D43" s="494"/>
      <c r="E43" s="494">
        <f>EF!E42</f>
        <v>52297.666762788969</v>
      </c>
      <c r="F43" s="494"/>
      <c r="G43" s="494">
        <f t="shared" si="0"/>
        <v>628994.85886219202</v>
      </c>
      <c r="H43" s="494"/>
      <c r="I43" s="494">
        <f>EF!I42</f>
        <v>10662567.119791672</v>
      </c>
      <c r="J43" s="494"/>
      <c r="K43" s="494">
        <f>EF!K42</f>
        <v>851749.687957132</v>
      </c>
      <c r="L43" s="494"/>
      <c r="M43" s="494">
        <f>EF!M42</f>
        <v>10085869.927692268</v>
      </c>
      <c r="N43" s="494"/>
      <c r="O43" s="494">
        <f>EF!O42</f>
        <v>799452.02119434299</v>
      </c>
      <c r="P43" s="494"/>
      <c r="Q43" s="501">
        <f>'Exhibit O,2'!I43+'Exhibit N,2'!I43</f>
        <v>2146692.9499999997</v>
      </c>
      <c r="R43" s="501"/>
      <c r="S43" s="501">
        <f>'Exhibit M,2'!I43+'Exhibit L,2'!I43</f>
        <v>18712.5</v>
      </c>
      <c r="T43" s="501"/>
      <c r="U43" s="494">
        <f>Q43-'Exhibit H,4'!C43</f>
        <v>2146692.9499999997</v>
      </c>
      <c r="V43" s="494"/>
      <c r="W43" s="494">
        <f>S43-'Exhibit G,2'!G43</f>
        <v>18712.5</v>
      </c>
      <c r="X43" s="494"/>
      <c r="Y43" s="494">
        <f t="shared" si="1"/>
        <v>8515874.1697916724</v>
      </c>
      <c r="Z43" s="494"/>
      <c r="AA43" s="494">
        <f t="shared" si="2"/>
        <v>833037.187957132</v>
      </c>
      <c r="AB43" s="501"/>
      <c r="AC43" s="494">
        <f t="shared" si="3"/>
        <v>7939176.9776922688</v>
      </c>
      <c r="AD43" s="494"/>
      <c r="AE43" s="494">
        <f t="shared" si="4"/>
        <v>780739.52119434299</v>
      </c>
      <c r="AH43" s="137">
        <v>11551799.902224608</v>
      </c>
      <c r="AI43" s="355"/>
      <c r="AJ43" s="137">
        <v>1210428.8533154356</v>
      </c>
      <c r="AK43" s="355"/>
      <c r="AL43" s="137">
        <v>10771733.940440245</v>
      </c>
      <c r="AM43" s="137"/>
      <c r="AN43" s="137">
        <v>1127751.1784451648</v>
      </c>
      <c r="AP43" s="69">
        <f t="shared" si="5"/>
        <v>-685864.01274797693</v>
      </c>
      <c r="AQ43" s="69"/>
      <c r="AR43" s="69">
        <f t="shared" si="6"/>
        <v>-328299.15725082182</v>
      </c>
      <c r="AS43" s="69"/>
      <c r="AT43" s="69">
        <f t="shared" si="7"/>
        <v>-1014163.1699987988</v>
      </c>
    </row>
    <row r="44" spans="1:46">
      <c r="A44" s="6">
        <f t="shared" si="8"/>
        <v>2022</v>
      </c>
      <c r="C44" s="494">
        <f>EF!C43</f>
        <v>683774.17505687242</v>
      </c>
      <c r="D44" s="494"/>
      <c r="E44" s="494">
        <f>EF!E43</f>
        <v>163137.10463878309</v>
      </c>
      <c r="F44" s="494"/>
      <c r="G44" s="494">
        <f t="shared" si="0"/>
        <v>846911.27969565545</v>
      </c>
      <c r="H44" s="494"/>
      <c r="I44" s="494">
        <f>EF!I43</f>
        <v>13146198.603999998</v>
      </c>
      <c r="J44" s="494"/>
      <c r="K44" s="494">
        <f>EF!K43</f>
        <v>3101891.6849870766</v>
      </c>
      <c r="L44" s="494"/>
      <c r="M44" s="494">
        <f>EF!M43</f>
        <v>12462424.428943126</v>
      </c>
      <c r="N44" s="494"/>
      <c r="O44" s="494">
        <f>EF!O43</f>
        <v>2938754.5803482933</v>
      </c>
      <c r="P44" s="494"/>
      <c r="Q44" s="501">
        <f>'Exhibit O,2'!I44+'Exhibit N,2'!I44</f>
        <v>2421009.17</v>
      </c>
      <c r="R44" s="501"/>
      <c r="S44" s="501">
        <f>'Exhibit M,2'!I44+'Exhibit L,2'!I44</f>
        <v>15000</v>
      </c>
      <c r="T44" s="501"/>
      <c r="U44" s="494">
        <f>Q44-'Exhibit H,4'!C44</f>
        <v>2421009.17</v>
      </c>
      <c r="V44" s="494"/>
      <c r="W44" s="494">
        <f>S44-'Exhibit G,2'!G44</f>
        <v>15000</v>
      </c>
      <c r="X44" s="494"/>
      <c r="Y44" s="494">
        <f t="shared" si="1"/>
        <v>10725189.433999998</v>
      </c>
      <c r="Z44" s="494"/>
      <c r="AA44" s="494">
        <f t="shared" si="2"/>
        <v>3086891.6849870766</v>
      </c>
      <c r="AB44" s="501"/>
      <c r="AC44" s="494">
        <f t="shared" si="3"/>
        <v>10041415.258943126</v>
      </c>
      <c r="AD44" s="494"/>
      <c r="AE44" s="494">
        <f t="shared" si="4"/>
        <v>2923754.5803482933</v>
      </c>
      <c r="AH44" s="355"/>
      <c r="AI44" s="355"/>
      <c r="AJ44" s="355"/>
      <c r="AK44" s="355"/>
      <c r="AL44" s="355"/>
      <c r="AM44" s="355"/>
      <c r="AN44" s="355"/>
      <c r="AP44" s="61"/>
      <c r="AQ44" s="61"/>
      <c r="AR44" s="61"/>
      <c r="AS44" s="61"/>
      <c r="AT44" s="61"/>
    </row>
    <row r="45" spans="1:46">
      <c r="A45" s="6"/>
      <c r="C45" s="105"/>
      <c r="E45" s="105"/>
      <c r="G45" s="105"/>
      <c r="I45" s="105"/>
      <c r="K45" s="105"/>
      <c r="M45" s="105"/>
      <c r="O45" s="105"/>
      <c r="Q45" s="105"/>
      <c r="R45" s="105"/>
      <c r="S45" s="105"/>
      <c r="U45" s="105"/>
      <c r="W45" s="105"/>
      <c r="Y45" s="105"/>
      <c r="AA45" s="105"/>
      <c r="AC45" s="105"/>
      <c r="AD45" s="105"/>
      <c r="AE45" s="105"/>
      <c r="AH45" s="280"/>
      <c r="AI45" s="61"/>
      <c r="AJ45" s="280"/>
      <c r="AK45" s="61"/>
      <c r="AL45" s="280"/>
      <c r="AM45" s="61"/>
      <c r="AN45" s="280"/>
      <c r="AP45" s="280"/>
      <c r="AQ45" s="280"/>
      <c r="AR45" s="280"/>
      <c r="AS45" s="280"/>
      <c r="AT45" s="280"/>
    </row>
    <row r="46" spans="1:46">
      <c r="A46" s="6" t="s">
        <v>0</v>
      </c>
      <c r="C46" s="26">
        <f>SUM(C16:C45)</f>
        <v>194315124.0684914</v>
      </c>
      <c r="E46" s="26">
        <f>SUM(E16:E45)</f>
        <v>4620391.9931816384</v>
      </c>
      <c r="G46" s="26">
        <f>SUM(G16:G45)</f>
        <v>198935516.06167302</v>
      </c>
      <c r="I46" s="26">
        <f>SUM(I16:I45)</f>
        <v>764090172.63285339</v>
      </c>
      <c r="K46" s="26">
        <f>SUM(K16:K45)</f>
        <v>42889327.321735762</v>
      </c>
      <c r="M46" s="26">
        <f>SUM(M16:M45)</f>
        <v>569775048.56436217</v>
      </c>
      <c r="O46" s="26">
        <f>SUM(O16:O45)</f>
        <v>38268935.328554116</v>
      </c>
      <c r="Q46" s="26">
        <f>SUM(Q16:Q45)</f>
        <v>733269863.28999996</v>
      </c>
      <c r="R46" s="26"/>
      <c r="S46" s="26">
        <f>SUM(S16:S45)</f>
        <v>35911818.339999996</v>
      </c>
      <c r="U46" s="26">
        <f>SUM(U16:U45)</f>
        <v>542241304.28999984</v>
      </c>
      <c r="W46" s="26">
        <f>SUM(W16:W45)</f>
        <v>32104315.019999996</v>
      </c>
      <c r="Y46" s="26">
        <f>SUM(Y16:Y45)</f>
        <v>30820309.342853487</v>
      </c>
      <c r="AA46" s="26">
        <f>SUM(AA16:AA45)</f>
        <v>6977508.981735765</v>
      </c>
      <c r="AC46" s="26">
        <f>SUM(AC16:AC45)</f>
        <v>27533744.274362117</v>
      </c>
      <c r="AD46" s="26"/>
      <c r="AE46" s="26">
        <f>SUM(AE16:AE45)</f>
        <v>6164620.3085541259</v>
      </c>
      <c r="AH46" s="68">
        <f t="shared" ref="AH46:AN46" si="9">SUM(AH16:AH45)</f>
        <v>752003139.49486077</v>
      </c>
      <c r="AI46" s="68"/>
      <c r="AJ46" s="68">
        <f t="shared" si="9"/>
        <v>39858840.471853308</v>
      </c>
      <c r="AK46" s="68"/>
      <c r="AL46" s="68">
        <f t="shared" si="9"/>
        <v>559462909.98439038</v>
      </c>
      <c r="AM46" s="68"/>
      <c r="AN46" s="68">
        <f t="shared" si="9"/>
        <v>34958624.384023838</v>
      </c>
      <c r="AP46" s="68">
        <f t="shared" ref="AP46" si="10">SUM(AP16:AP45)</f>
        <v>-2150285.848971419</v>
      </c>
      <c r="AQ46" s="68"/>
      <c r="AR46" s="68">
        <f t="shared" ref="AR46" si="11">SUM(AR16:AR45)</f>
        <v>371556.36418198654</v>
      </c>
      <c r="AS46" s="68"/>
      <c r="AT46" s="68">
        <f t="shared" ref="AT46" si="12">SUM(AT16:AT45)</f>
        <v>-1778729.4847894325</v>
      </c>
    </row>
    <row r="47" spans="1:46">
      <c r="A47" s="1" t="s">
        <v>1658</v>
      </c>
      <c r="C47" s="26">
        <f>C46-C44</f>
        <v>193631349.89343452</v>
      </c>
      <c r="D47" s="26"/>
      <c r="E47" s="26">
        <f>E46-E44</f>
        <v>4457254.8885428552</v>
      </c>
      <c r="F47" s="26"/>
      <c r="G47" s="26"/>
      <c r="I47" s="26">
        <f>I46-I44</f>
        <v>750943974.02885342</v>
      </c>
      <c r="K47" s="26">
        <f>K46-K44</f>
        <v>39787435.636748686</v>
      </c>
      <c r="M47" s="26">
        <f>M46-M44</f>
        <v>557312624.13541901</v>
      </c>
      <c r="O47" s="26">
        <f>O46-O44</f>
        <v>35330180.748205826</v>
      </c>
      <c r="Q47" s="26">
        <f>Q46-Q44</f>
        <v>730848854.12</v>
      </c>
      <c r="S47" s="26">
        <f>S46-S44</f>
        <v>35896818.339999996</v>
      </c>
      <c r="U47" s="26">
        <f>U46-U44</f>
        <v>539820295.11999989</v>
      </c>
      <c r="W47" s="26">
        <f>W46-W44</f>
        <v>32089315.019999996</v>
      </c>
      <c r="AB47" s="1" t="s">
        <v>1656</v>
      </c>
      <c r="AE47" s="16">
        <v>-9054504.8669464495</v>
      </c>
      <c r="AH47" s="61"/>
      <c r="AI47" s="61"/>
      <c r="AJ47" s="61"/>
      <c r="AK47" s="61"/>
      <c r="AL47" s="61"/>
      <c r="AM47" s="61"/>
      <c r="AN47" s="61"/>
      <c r="AP47" s="61"/>
      <c r="AQ47" s="61"/>
      <c r="AR47" s="61"/>
      <c r="AS47" s="61"/>
      <c r="AT47" s="61"/>
    </row>
    <row r="48" spans="1:46">
      <c r="A48" s="432" t="s">
        <v>793</v>
      </c>
      <c r="C48" s="26"/>
      <c r="E48" s="26"/>
      <c r="I48" s="26">
        <f>I47-AH46</f>
        <v>-1059165.4660073519</v>
      </c>
      <c r="K48" s="26">
        <f>K47-AJ46</f>
        <v>-71404.835104621947</v>
      </c>
      <c r="M48" s="26">
        <f>M47-AL46</f>
        <v>-2150285.8489713669</v>
      </c>
      <c r="O48" s="26">
        <f>O47-AN46</f>
        <v>371556.36418198794</v>
      </c>
      <c r="AP48" s="61"/>
      <c r="AQ48" s="61"/>
      <c r="AR48" s="61"/>
      <c r="AS48" s="61"/>
      <c r="AT48" s="61"/>
    </row>
    <row r="49" spans="1:23">
      <c r="C49" s="26"/>
      <c r="E49" s="26"/>
      <c r="G49" s="26"/>
      <c r="I49" s="26"/>
      <c r="K49" s="26"/>
      <c r="M49" s="26"/>
      <c r="O49" s="26"/>
      <c r="Q49" s="26"/>
      <c r="U49" s="26"/>
      <c r="W49" s="26"/>
    </row>
    <row r="50" spans="1:23">
      <c r="A50" s="64" t="s">
        <v>104</v>
      </c>
      <c r="C50" s="3" t="s">
        <v>309</v>
      </c>
    </row>
    <row r="51" spans="1:23">
      <c r="A51" s="64"/>
      <c r="B51" s="52"/>
      <c r="C51" s="3" t="s">
        <v>909</v>
      </c>
      <c r="O51" s="22"/>
      <c r="Q51" s="22"/>
    </row>
    <row r="52" spans="1:23">
      <c r="A52" s="64" t="s">
        <v>36</v>
      </c>
      <c r="B52" s="52"/>
      <c r="C52" s="3" t="s">
        <v>269</v>
      </c>
    </row>
    <row r="53" spans="1:23">
      <c r="A53" s="64" t="s">
        <v>38</v>
      </c>
      <c r="C53" s="3" t="s">
        <v>174</v>
      </c>
      <c r="O53" s="22"/>
    </row>
    <row r="54" spans="1:23">
      <c r="A54" s="139">
        <v>-5</v>
      </c>
      <c r="C54" s="3" t="s">
        <v>241</v>
      </c>
    </row>
    <row r="55" spans="1:23">
      <c r="A55" s="139">
        <v>-6</v>
      </c>
      <c r="B55" s="52"/>
      <c r="C55" s="3" t="s">
        <v>241</v>
      </c>
    </row>
    <row r="56" spans="1:23">
      <c r="A56" s="139">
        <v>-7</v>
      </c>
      <c r="C56" s="3" t="s">
        <v>362</v>
      </c>
    </row>
    <row r="57" spans="1:23">
      <c r="A57" s="139">
        <v>-8</v>
      </c>
      <c r="C57" s="3" t="s">
        <v>363</v>
      </c>
    </row>
    <row r="58" spans="1:23">
      <c r="A58" s="139">
        <v>-9</v>
      </c>
      <c r="C58" s="3" t="s">
        <v>711</v>
      </c>
    </row>
    <row r="59" spans="1:23">
      <c r="A59" s="139">
        <v>-10</v>
      </c>
      <c r="C59" s="3" t="s">
        <v>712</v>
      </c>
    </row>
    <row r="60" spans="1:23">
      <c r="A60" s="139">
        <v>-11</v>
      </c>
      <c r="C60" s="3" t="s">
        <v>713</v>
      </c>
    </row>
    <row r="61" spans="1:23">
      <c r="A61" s="139">
        <v>-12</v>
      </c>
      <c r="C61" s="3" t="s">
        <v>1541</v>
      </c>
    </row>
    <row r="62" spans="1:23">
      <c r="A62" s="64" t="s">
        <v>137</v>
      </c>
      <c r="C62" s="140" t="s">
        <v>715</v>
      </c>
    </row>
    <row r="63" spans="1:23">
      <c r="A63" s="64" t="s">
        <v>345</v>
      </c>
      <c r="C63" s="140" t="s">
        <v>716</v>
      </c>
    </row>
    <row r="64" spans="1:23">
      <c r="A64" s="64" t="s">
        <v>571</v>
      </c>
      <c r="C64" s="140" t="s">
        <v>714</v>
      </c>
    </row>
    <row r="65" spans="1:6">
      <c r="A65" s="64" t="s">
        <v>599</v>
      </c>
      <c r="C65" s="140" t="s">
        <v>717</v>
      </c>
    </row>
    <row r="66" spans="1:6">
      <c r="A66" s="64"/>
      <c r="F66" s="3"/>
    </row>
    <row r="67" spans="1:6">
      <c r="A67" s="64"/>
      <c r="F67" s="3"/>
    </row>
    <row r="68" spans="1:6">
      <c r="A68" s="64"/>
    </row>
  </sheetData>
  <printOptions horizontalCentered="1"/>
  <pageMargins left="0.7" right="0.7" top="0.75" bottom="0.75" header="0.3" footer="0.3"/>
  <pageSetup scale="44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>
    <pageSetUpPr fitToPage="1"/>
  </sheetPr>
  <dimension ref="A1:AI60"/>
  <sheetViews>
    <sheetView zoomScaleNormal="100" workbookViewId="0">
      <selection activeCell="C54" sqref="C54"/>
    </sheetView>
  </sheetViews>
  <sheetFormatPr baseColWidth="10" defaultColWidth="8.7109375" defaultRowHeight="15"/>
  <cols>
    <col min="1" max="1" width="9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1.7109375" style="1" customWidth="1"/>
    <col min="14" max="14" width="1.7109375" style="1" customWidth="1"/>
    <col min="15" max="15" width="11.7109375" style="1" customWidth="1"/>
    <col min="16" max="16" width="10.7109375" style="1" customWidth="1"/>
    <col min="17" max="18" width="8.7109375" style="1"/>
    <col min="19" max="19" width="9.85546875" style="1" bestFit="1" customWidth="1"/>
    <col min="20" max="32" width="12.7109375" style="1" customWidth="1"/>
    <col min="33" max="33" width="8.7109375" style="1"/>
    <col min="34" max="35" width="12.7109375" style="1" customWidth="1"/>
    <col min="36" max="16384" width="8.7109375" style="1"/>
  </cols>
  <sheetData>
    <row r="1" spans="1:35">
      <c r="O1" s="64" t="s">
        <v>102</v>
      </c>
    </row>
    <row r="2" spans="1:35">
      <c r="O2" s="52" t="s">
        <v>56</v>
      </c>
    </row>
    <row r="4" spans="1:35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140"/>
      <c r="Q4" s="140"/>
    </row>
    <row r="5" spans="1:35" ht="16">
      <c r="A5" s="492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</row>
    <row r="6" spans="1:35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140"/>
      <c r="Q6" s="140"/>
    </row>
    <row r="7" spans="1:35">
      <c r="A7" s="5" t="s">
        <v>359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140"/>
      <c r="Q7" s="140"/>
    </row>
    <row r="8" spans="1:35">
      <c r="A8" s="5" t="s">
        <v>1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140"/>
      <c r="Q8" s="140"/>
    </row>
    <row r="9" spans="1:3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510" t="s">
        <v>1660</v>
      </c>
      <c r="N9" s="140"/>
      <c r="O9" s="140"/>
      <c r="P9" s="140"/>
      <c r="Q9" s="140"/>
    </row>
    <row r="10" spans="1:35">
      <c r="S10" s="61"/>
      <c r="T10" s="25" t="s">
        <v>2</v>
      </c>
      <c r="U10" s="61"/>
    </row>
    <row r="11" spans="1:3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R11" s="61"/>
      <c r="S11" s="61"/>
      <c r="T11" s="25" t="s">
        <v>117</v>
      </c>
      <c r="U11" s="61"/>
      <c r="V11" s="61"/>
      <c r="Z11" s="61"/>
      <c r="AD11" s="61"/>
    </row>
    <row r="12" spans="1:35">
      <c r="A12" s="6" t="s">
        <v>3</v>
      </c>
      <c r="B12" s="6"/>
      <c r="C12" s="5" t="s">
        <v>70</v>
      </c>
      <c r="D12" s="5"/>
      <c r="E12" s="5"/>
      <c r="F12" s="6"/>
      <c r="G12" s="5" t="s">
        <v>72</v>
      </c>
      <c r="H12" s="5"/>
      <c r="I12" s="5"/>
      <c r="K12" s="6" t="s">
        <v>1</v>
      </c>
      <c r="M12" s="2" t="s">
        <v>330</v>
      </c>
      <c r="R12" s="61"/>
      <c r="S12" s="25" t="s">
        <v>3</v>
      </c>
      <c r="T12" s="25" t="s">
        <v>1304</v>
      </c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H12" s="25"/>
    </row>
    <row r="13" spans="1:35">
      <c r="A13" s="6" t="s">
        <v>4</v>
      </c>
      <c r="B13" s="6"/>
      <c r="C13" s="106" t="s">
        <v>14</v>
      </c>
      <c r="D13" s="106"/>
      <c r="E13" s="106" t="s">
        <v>12</v>
      </c>
      <c r="F13" s="6"/>
      <c r="G13" s="106" t="s">
        <v>14</v>
      </c>
      <c r="H13" s="105"/>
      <c r="I13" s="106" t="s">
        <v>12</v>
      </c>
      <c r="K13" s="6" t="s">
        <v>73</v>
      </c>
      <c r="M13" s="2" t="s">
        <v>217</v>
      </c>
      <c r="O13" s="2" t="s">
        <v>1</v>
      </c>
      <c r="R13" s="61"/>
      <c r="S13" s="25" t="s">
        <v>4</v>
      </c>
      <c r="T13" s="45" t="s">
        <v>1</v>
      </c>
      <c r="U13" s="25" t="s">
        <v>18</v>
      </c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H13" s="24"/>
    </row>
    <row r="14" spans="1:35">
      <c r="A14" s="106" t="s">
        <v>27</v>
      </c>
      <c r="B14" s="6"/>
      <c r="C14" s="118" t="s">
        <v>33</v>
      </c>
      <c r="D14" s="6"/>
      <c r="E14" s="106" t="s">
        <v>36</v>
      </c>
      <c r="G14" s="106" t="s">
        <v>38</v>
      </c>
      <c r="I14" s="106" t="s">
        <v>40</v>
      </c>
      <c r="K14" s="106" t="s">
        <v>42</v>
      </c>
      <c r="M14" s="118" t="s">
        <v>30</v>
      </c>
      <c r="O14" s="118" t="s">
        <v>31</v>
      </c>
      <c r="R14" s="61"/>
      <c r="S14" s="279" t="s">
        <v>103</v>
      </c>
      <c r="T14" s="279" t="s">
        <v>106</v>
      </c>
      <c r="U14" s="279" t="s">
        <v>108</v>
      </c>
      <c r="AA14" s="61"/>
      <c r="AB14" s="61"/>
      <c r="AC14" s="61"/>
    </row>
    <row r="15" spans="1:35">
      <c r="R15" s="61"/>
      <c r="S15" s="61"/>
      <c r="T15" s="61"/>
      <c r="U15" s="61"/>
      <c r="AA15" s="61"/>
      <c r="AB15" s="61"/>
      <c r="AC15" s="61"/>
    </row>
    <row r="16" spans="1:35">
      <c r="A16" s="6">
        <v>1994</v>
      </c>
      <c r="B16" s="6"/>
      <c r="C16" s="147">
        <f>'Exhibit G,3'!K16</f>
        <v>0</v>
      </c>
      <c r="D16" s="508"/>
      <c r="E16" s="147">
        <f>'Exhibit G,2'!K16</f>
        <v>0</v>
      </c>
      <c r="F16" s="147"/>
      <c r="G16" s="147">
        <f>'Exhibit G,3'!I16</f>
        <v>0</v>
      </c>
      <c r="H16" s="147"/>
      <c r="I16" s="147">
        <f>'Exhibit G,2'!I16</f>
        <v>0</v>
      </c>
      <c r="J16" s="147"/>
      <c r="K16" s="147">
        <f>E16</f>
        <v>0</v>
      </c>
      <c r="M16" s="74">
        <v>0</v>
      </c>
      <c r="O16" s="495">
        <f>K16-'Exhibit G,2'!C16*M16</f>
        <v>0</v>
      </c>
      <c r="R16" s="72"/>
      <c r="S16" s="61">
        <f>A16</f>
        <v>1994</v>
      </c>
      <c r="T16" s="137">
        <v>0</v>
      </c>
      <c r="U16" s="125">
        <f>O16-T16</f>
        <v>0</v>
      </c>
      <c r="AA16" s="61"/>
      <c r="AB16" s="61"/>
      <c r="AC16" s="61"/>
      <c r="AH16" s="172"/>
      <c r="AI16" s="137"/>
    </row>
    <row r="17" spans="1:35">
      <c r="A17" s="6">
        <f>A16+1</f>
        <v>1995</v>
      </c>
      <c r="B17" s="6"/>
      <c r="C17" s="494">
        <f>'Exhibit G,3'!K17</f>
        <v>274068.21000000002</v>
      </c>
      <c r="D17" s="506"/>
      <c r="E17" s="494">
        <f>'Exhibit G,2'!K17</f>
        <v>274068.21000000002</v>
      </c>
      <c r="F17" s="494"/>
      <c r="G17" s="494">
        <f>'Exhibit G,3'!I17</f>
        <v>274068.21000000002</v>
      </c>
      <c r="H17" s="494"/>
      <c r="I17" s="494">
        <f>'Exhibit G,2'!I17</f>
        <v>274068.21000000002</v>
      </c>
      <c r="J17" s="187"/>
      <c r="K17" s="494">
        <f t="shared" ref="K17:K34" si="0">E17</f>
        <v>274068.21000000002</v>
      </c>
      <c r="M17" s="74">
        <v>0</v>
      </c>
      <c r="O17" s="494">
        <f>K17-'Exhibit G,2'!C17*M17</f>
        <v>274068.21000000002</v>
      </c>
      <c r="R17" s="72"/>
      <c r="S17" s="61">
        <f t="shared" ref="S17:S44" si="1">A17</f>
        <v>1995</v>
      </c>
      <c r="T17" s="137">
        <v>274068.21000000002</v>
      </c>
      <c r="U17" s="137">
        <f t="shared" ref="U17:U43" si="2">O17-T17</f>
        <v>0</v>
      </c>
      <c r="AA17" s="61"/>
      <c r="AB17" s="61"/>
      <c r="AC17" s="61"/>
      <c r="AH17" s="172"/>
      <c r="AI17" s="137"/>
    </row>
    <row r="18" spans="1:35">
      <c r="A18" s="6">
        <f t="shared" ref="A18:A44" si="3">A17+1</f>
        <v>1996</v>
      </c>
      <c r="B18" s="6"/>
      <c r="C18" s="494">
        <f>'Exhibit G,3'!K18</f>
        <v>0</v>
      </c>
      <c r="D18" s="506"/>
      <c r="E18" s="494">
        <f>'Exhibit G,2'!K18</f>
        <v>0</v>
      </c>
      <c r="F18" s="494"/>
      <c r="G18" s="494">
        <f>'Exhibit G,3'!I18</f>
        <v>0</v>
      </c>
      <c r="H18" s="494"/>
      <c r="I18" s="494">
        <f>'Exhibit G,2'!I18</f>
        <v>0</v>
      </c>
      <c r="J18" s="187"/>
      <c r="K18" s="494">
        <f t="shared" si="0"/>
        <v>0</v>
      </c>
      <c r="M18" s="74">
        <v>0</v>
      </c>
      <c r="O18" s="494">
        <f>K18-'Exhibit G,2'!C18*M18</f>
        <v>0</v>
      </c>
      <c r="R18" s="72"/>
      <c r="S18" s="61">
        <f t="shared" si="1"/>
        <v>1996</v>
      </c>
      <c r="T18" s="137">
        <v>0</v>
      </c>
      <c r="U18" s="137">
        <f t="shared" si="2"/>
        <v>0</v>
      </c>
      <c r="AA18" s="61"/>
      <c r="AB18" s="61"/>
      <c r="AC18" s="61"/>
      <c r="AH18" s="172"/>
      <c r="AI18" s="137"/>
    </row>
    <row r="19" spans="1:35">
      <c r="A19" s="6">
        <f t="shared" si="3"/>
        <v>1997</v>
      </c>
      <c r="B19" s="6"/>
      <c r="C19" s="494">
        <f>'Exhibit G,3'!K19</f>
        <v>1415179.75</v>
      </c>
      <c r="D19" s="506"/>
      <c r="E19" s="494">
        <f>'Exhibit G,2'!K19</f>
        <v>1415179.75</v>
      </c>
      <c r="F19" s="494"/>
      <c r="G19" s="494">
        <f>'Exhibit G,3'!I19</f>
        <v>1415179.75</v>
      </c>
      <c r="H19" s="494"/>
      <c r="I19" s="494">
        <f>'Exhibit G,2'!I19</f>
        <v>1415179.75</v>
      </c>
      <c r="J19" s="187"/>
      <c r="K19" s="494">
        <f t="shared" si="0"/>
        <v>1415179.75</v>
      </c>
      <c r="M19" s="74">
        <v>0</v>
      </c>
      <c r="O19" s="494">
        <f>K19-'Exhibit G,2'!C19*M19</f>
        <v>1415179.75</v>
      </c>
      <c r="R19" s="72"/>
      <c r="S19" s="61">
        <f t="shared" si="1"/>
        <v>1997</v>
      </c>
      <c r="T19" s="137">
        <v>1415179.75</v>
      </c>
      <c r="U19" s="137">
        <f t="shared" si="2"/>
        <v>0</v>
      </c>
      <c r="AA19" s="61"/>
      <c r="AB19" s="61"/>
      <c r="AC19" s="61"/>
      <c r="AH19" s="172"/>
      <c r="AI19" s="137"/>
    </row>
    <row r="20" spans="1:35">
      <c r="A20" s="6">
        <f t="shared" si="3"/>
        <v>1998</v>
      </c>
      <c r="B20" s="6"/>
      <c r="C20" s="494">
        <f>'Exhibit G,3'!K20</f>
        <v>207108.40000000002</v>
      </c>
      <c r="D20" s="506"/>
      <c r="E20" s="494">
        <f>'Exhibit G,2'!K20</f>
        <v>207108.40000000002</v>
      </c>
      <c r="F20" s="494"/>
      <c r="G20" s="494">
        <f>'Exhibit G,3'!I20</f>
        <v>207108.40000000002</v>
      </c>
      <c r="H20" s="494"/>
      <c r="I20" s="494">
        <f>'Exhibit G,2'!I20</f>
        <v>207108.40000000002</v>
      </c>
      <c r="J20" s="187"/>
      <c r="K20" s="494">
        <f t="shared" si="0"/>
        <v>207108.40000000002</v>
      </c>
      <c r="M20" s="74">
        <v>0</v>
      </c>
      <c r="O20" s="494">
        <f>K20-'Exhibit G,2'!C20*M20</f>
        <v>207108.40000000002</v>
      </c>
      <c r="R20" s="72"/>
      <c r="S20" s="61">
        <f t="shared" si="1"/>
        <v>1998</v>
      </c>
      <c r="T20" s="137">
        <v>207108.40000000002</v>
      </c>
      <c r="U20" s="137">
        <f t="shared" si="2"/>
        <v>0</v>
      </c>
      <c r="AA20" s="61"/>
      <c r="AB20" s="61"/>
      <c r="AC20" s="61"/>
      <c r="AH20" s="172"/>
      <c r="AI20" s="137"/>
    </row>
    <row r="21" spans="1:35">
      <c r="A21" s="6">
        <f t="shared" si="3"/>
        <v>1999</v>
      </c>
      <c r="C21" s="494">
        <f>'Exhibit G,3'!K21</f>
        <v>0</v>
      </c>
      <c r="D21" s="506"/>
      <c r="E21" s="494">
        <f>'Exhibit G,2'!K21</f>
        <v>0</v>
      </c>
      <c r="F21" s="494"/>
      <c r="G21" s="494">
        <f>'Exhibit G,3'!I21</f>
        <v>0</v>
      </c>
      <c r="H21" s="494"/>
      <c r="I21" s="494">
        <f>'Exhibit G,2'!I21</f>
        <v>0</v>
      </c>
      <c r="J21" s="187"/>
      <c r="K21" s="494">
        <f t="shared" si="0"/>
        <v>0</v>
      </c>
      <c r="M21" s="74">
        <v>0</v>
      </c>
      <c r="O21" s="494">
        <f>K21-'Exhibit G,2'!C21*M21</f>
        <v>0</v>
      </c>
      <c r="R21" s="72"/>
      <c r="S21" s="61">
        <f t="shared" si="1"/>
        <v>1999</v>
      </c>
      <c r="T21" s="137">
        <v>0</v>
      </c>
      <c r="U21" s="137">
        <f t="shared" si="2"/>
        <v>0</v>
      </c>
      <c r="AA21" s="61"/>
      <c r="AB21" s="61"/>
      <c r="AC21" s="61"/>
      <c r="AH21" s="172"/>
      <c r="AI21" s="137"/>
    </row>
    <row r="22" spans="1:35">
      <c r="A22" s="6">
        <f t="shared" si="3"/>
        <v>2000</v>
      </c>
      <c r="C22" s="494">
        <f>'Exhibit G,3'!K22</f>
        <v>139204.46</v>
      </c>
      <c r="D22" s="506"/>
      <c r="E22" s="494">
        <f>'Exhibit G,2'!K22</f>
        <v>139204.45999999996</v>
      </c>
      <c r="F22" s="494"/>
      <c r="G22" s="494">
        <f>'Exhibit G,3'!I22</f>
        <v>139204.46</v>
      </c>
      <c r="H22" s="494"/>
      <c r="I22" s="494">
        <f>'Exhibit G,2'!I22</f>
        <v>139204.45999999996</v>
      </c>
      <c r="J22" s="187"/>
      <c r="K22" s="494">
        <f t="shared" si="0"/>
        <v>139204.45999999996</v>
      </c>
      <c r="M22" s="74">
        <v>0</v>
      </c>
      <c r="O22" s="494">
        <f>K22-'Exhibit G,2'!C22*M22</f>
        <v>139204.45999999996</v>
      </c>
      <c r="R22" s="72"/>
      <c r="S22" s="61">
        <f t="shared" si="1"/>
        <v>2000</v>
      </c>
      <c r="T22" s="137">
        <v>139204.46</v>
      </c>
      <c r="U22" s="137">
        <f t="shared" si="2"/>
        <v>0</v>
      </c>
      <c r="AA22" s="61"/>
      <c r="AB22" s="61"/>
      <c r="AC22" s="61"/>
      <c r="AH22" s="172"/>
      <c r="AI22" s="137"/>
    </row>
    <row r="23" spans="1:35">
      <c r="A23" s="6">
        <f t="shared" si="3"/>
        <v>2001</v>
      </c>
      <c r="C23" s="494">
        <f>'Exhibit G,3'!K23</f>
        <v>355647.08</v>
      </c>
      <c r="D23" s="506"/>
      <c r="E23" s="494">
        <f>'Exhibit G,2'!K23</f>
        <v>355647.08000000007</v>
      </c>
      <c r="F23" s="494"/>
      <c r="G23" s="494">
        <f>'Exhibit G,3'!I23</f>
        <v>355647.08</v>
      </c>
      <c r="H23" s="494"/>
      <c r="I23" s="494">
        <f>'Exhibit G,2'!I23</f>
        <v>355647.08000000007</v>
      </c>
      <c r="J23" s="187"/>
      <c r="K23" s="494">
        <f t="shared" si="0"/>
        <v>355647.08000000007</v>
      </c>
      <c r="M23" s="74">
        <v>0</v>
      </c>
      <c r="O23" s="494">
        <f>K23-'Exhibit G,2'!C23*M23</f>
        <v>355647.08000000007</v>
      </c>
      <c r="R23" s="72"/>
      <c r="S23" s="61">
        <f t="shared" si="1"/>
        <v>2001</v>
      </c>
      <c r="T23" s="137">
        <v>355647.08</v>
      </c>
      <c r="U23" s="137">
        <f t="shared" si="2"/>
        <v>0</v>
      </c>
      <c r="AA23" s="61"/>
      <c r="AB23" s="61"/>
      <c r="AC23" s="61"/>
      <c r="AH23" s="172"/>
      <c r="AI23" s="137"/>
    </row>
    <row r="24" spans="1:35">
      <c r="A24" s="6">
        <f t="shared" si="3"/>
        <v>2002</v>
      </c>
      <c r="C24" s="494">
        <f>'Exhibit G,3'!K24</f>
        <v>0</v>
      </c>
      <c r="D24" s="506"/>
      <c r="E24" s="494">
        <f>'Exhibit G,2'!K24</f>
        <v>0</v>
      </c>
      <c r="F24" s="494"/>
      <c r="G24" s="494">
        <f>'Exhibit G,3'!I24</f>
        <v>0</v>
      </c>
      <c r="H24" s="494"/>
      <c r="I24" s="494">
        <f>'Exhibit G,2'!I24</f>
        <v>0</v>
      </c>
      <c r="J24" s="187"/>
      <c r="K24" s="494">
        <f t="shared" si="0"/>
        <v>0</v>
      </c>
      <c r="M24" s="74">
        <v>0</v>
      </c>
      <c r="O24" s="494">
        <f>K24-'Exhibit G,2'!C24*M24</f>
        <v>0</v>
      </c>
      <c r="R24" s="72"/>
      <c r="S24" s="61">
        <f t="shared" si="1"/>
        <v>2002</v>
      </c>
      <c r="T24" s="137">
        <v>0</v>
      </c>
      <c r="U24" s="137">
        <f t="shared" si="2"/>
        <v>0</v>
      </c>
      <c r="AA24" s="61"/>
      <c r="AB24" s="61"/>
      <c r="AC24" s="61"/>
      <c r="AH24" s="172"/>
      <c r="AI24" s="137"/>
    </row>
    <row r="25" spans="1:35">
      <c r="A25" s="6">
        <f t="shared" si="3"/>
        <v>2003</v>
      </c>
      <c r="C25" s="494">
        <f>'Exhibit G,3'!K25</f>
        <v>227752.88</v>
      </c>
      <c r="D25" s="506"/>
      <c r="E25" s="494">
        <f>'Exhibit G,2'!K25</f>
        <v>227752.87999999989</v>
      </c>
      <c r="F25" s="494"/>
      <c r="G25" s="494">
        <f>'Exhibit G,3'!I25</f>
        <v>227752.88</v>
      </c>
      <c r="H25" s="494"/>
      <c r="I25" s="494">
        <f>'Exhibit G,2'!I25</f>
        <v>227752.87999999989</v>
      </c>
      <c r="J25" s="187"/>
      <c r="K25" s="494">
        <f t="shared" si="0"/>
        <v>227752.87999999989</v>
      </c>
      <c r="M25" s="74">
        <v>0</v>
      </c>
      <c r="O25" s="494">
        <f>K25-'Exhibit G,2'!C25*M25</f>
        <v>227752.87999999989</v>
      </c>
      <c r="R25" s="72"/>
      <c r="S25" s="61">
        <f t="shared" si="1"/>
        <v>2003</v>
      </c>
      <c r="T25" s="137">
        <v>227752.88</v>
      </c>
      <c r="U25" s="137">
        <f t="shared" si="2"/>
        <v>0</v>
      </c>
      <c r="AA25" s="61"/>
      <c r="AB25" s="61"/>
      <c r="AC25" s="61"/>
      <c r="AH25" s="172"/>
      <c r="AI25" s="137"/>
    </row>
    <row r="26" spans="1:35">
      <c r="A26" s="6">
        <f t="shared" si="3"/>
        <v>2004</v>
      </c>
      <c r="C26" s="494">
        <f>'Exhibit G,3'!K26</f>
        <v>0</v>
      </c>
      <c r="D26" s="506"/>
      <c r="E26" s="494">
        <f>'Exhibit G,2'!K26</f>
        <v>0</v>
      </c>
      <c r="F26" s="494"/>
      <c r="G26" s="494">
        <f>'Exhibit G,3'!I26</f>
        <v>0</v>
      </c>
      <c r="H26" s="494"/>
      <c r="I26" s="494">
        <f>'Exhibit G,2'!I26</f>
        <v>0</v>
      </c>
      <c r="J26" s="187"/>
      <c r="K26" s="494">
        <f t="shared" si="0"/>
        <v>0</v>
      </c>
      <c r="M26" s="74">
        <v>0</v>
      </c>
      <c r="O26" s="494">
        <f>K26-'Exhibit G,2'!C26*M26</f>
        <v>0</v>
      </c>
      <c r="R26" s="72"/>
      <c r="S26" s="61">
        <f t="shared" si="1"/>
        <v>2004</v>
      </c>
      <c r="T26" s="137">
        <v>0</v>
      </c>
      <c r="U26" s="137">
        <f t="shared" si="2"/>
        <v>0</v>
      </c>
      <c r="AA26" s="61"/>
      <c r="AB26" s="61"/>
      <c r="AC26" s="61"/>
      <c r="AH26" s="172"/>
      <c r="AI26" s="137"/>
    </row>
    <row r="27" spans="1:35">
      <c r="A27" s="6">
        <f t="shared" si="3"/>
        <v>2005</v>
      </c>
      <c r="C27" s="494">
        <f>'Exhibit G,3'!K27</f>
        <v>53771.83</v>
      </c>
      <c r="D27" s="506"/>
      <c r="E27" s="494">
        <f>'Exhibit G,2'!K27</f>
        <v>53771.829999999609</v>
      </c>
      <c r="F27" s="494"/>
      <c r="G27" s="494">
        <f>'Exhibit G,3'!I27</f>
        <v>53771.83</v>
      </c>
      <c r="H27" s="494"/>
      <c r="I27" s="494">
        <f>'Exhibit G,2'!I27</f>
        <v>53771.829999999609</v>
      </c>
      <c r="J27" s="187"/>
      <c r="K27" s="494">
        <f t="shared" si="0"/>
        <v>53771.829999999609</v>
      </c>
      <c r="M27" s="74">
        <v>0</v>
      </c>
      <c r="O27" s="494">
        <f>K27-'Exhibit G,2'!C27*M27</f>
        <v>53771.829999999609</v>
      </c>
      <c r="R27" s="72"/>
      <c r="S27" s="61">
        <f t="shared" si="1"/>
        <v>2005</v>
      </c>
      <c r="T27" s="137">
        <v>53771.83</v>
      </c>
      <c r="U27" s="137">
        <f t="shared" si="2"/>
        <v>-3.92901711165905E-10</v>
      </c>
      <c r="AA27" s="61"/>
      <c r="AB27" s="61"/>
      <c r="AC27" s="61"/>
      <c r="AH27" s="172"/>
      <c r="AI27" s="137"/>
    </row>
    <row r="28" spans="1:35">
      <c r="A28" s="6">
        <f t="shared" si="3"/>
        <v>2006</v>
      </c>
      <c r="C28" s="494">
        <f>'Exhibit G,3'!K28</f>
        <v>0</v>
      </c>
      <c r="D28" s="506"/>
      <c r="E28" s="494">
        <f>'Exhibit G,2'!K28</f>
        <v>0</v>
      </c>
      <c r="F28" s="494"/>
      <c r="G28" s="494">
        <f>'Exhibit G,3'!I28</f>
        <v>0</v>
      </c>
      <c r="H28" s="494"/>
      <c r="I28" s="494">
        <f>'Exhibit G,2'!I28</f>
        <v>0</v>
      </c>
      <c r="J28" s="187"/>
      <c r="K28" s="494">
        <f t="shared" si="0"/>
        <v>0</v>
      </c>
      <c r="M28" s="74">
        <v>0</v>
      </c>
      <c r="O28" s="494">
        <f>K28-'Exhibit G,2'!C28*M28</f>
        <v>0</v>
      </c>
      <c r="R28" s="72"/>
      <c r="S28" s="61">
        <f t="shared" si="1"/>
        <v>2006</v>
      </c>
      <c r="T28" s="137">
        <v>0</v>
      </c>
      <c r="U28" s="137">
        <f t="shared" si="2"/>
        <v>0</v>
      </c>
      <c r="AA28" s="61"/>
      <c r="AB28" s="61"/>
      <c r="AC28" s="61"/>
      <c r="AH28" s="172"/>
      <c r="AI28" s="137"/>
    </row>
    <row r="29" spans="1:35">
      <c r="A29" s="6">
        <f t="shared" si="3"/>
        <v>2007</v>
      </c>
      <c r="C29" s="494">
        <f>'Exhibit G,3'!K29</f>
        <v>95234.08</v>
      </c>
      <c r="D29" s="506"/>
      <c r="E29" s="494">
        <f>'Exhibit G,2'!K29</f>
        <v>95234.080000000075</v>
      </c>
      <c r="F29" s="494"/>
      <c r="G29" s="494">
        <f>'Exhibit G,3'!I29</f>
        <v>95234.08</v>
      </c>
      <c r="H29" s="494"/>
      <c r="I29" s="494">
        <f>'Exhibit G,2'!I29</f>
        <v>95234.080000000075</v>
      </c>
      <c r="J29" s="187"/>
      <c r="K29" s="494">
        <f t="shared" si="0"/>
        <v>95234.080000000075</v>
      </c>
      <c r="M29" s="74">
        <v>0</v>
      </c>
      <c r="O29" s="494">
        <f>K29-'Exhibit G,2'!C29*M29</f>
        <v>95234.080000000075</v>
      </c>
      <c r="R29" s="72"/>
      <c r="S29" s="61">
        <f t="shared" si="1"/>
        <v>2007</v>
      </c>
      <c r="T29" s="137">
        <v>95234.08</v>
      </c>
      <c r="U29" s="137">
        <f t="shared" si="2"/>
        <v>0</v>
      </c>
      <c r="AA29" s="61"/>
      <c r="AB29" s="61"/>
      <c r="AC29" s="61"/>
      <c r="AH29" s="172"/>
      <c r="AI29" s="137"/>
    </row>
    <row r="30" spans="1:35">
      <c r="A30" s="6">
        <f t="shared" si="3"/>
        <v>2008</v>
      </c>
      <c r="C30" s="494">
        <f>'Exhibit G,3'!K30</f>
        <v>0</v>
      </c>
      <c r="D30" s="506"/>
      <c r="E30" s="494">
        <f>'Exhibit G,2'!K30</f>
        <v>0</v>
      </c>
      <c r="F30" s="494"/>
      <c r="G30" s="494">
        <f>'Exhibit G,3'!I30</f>
        <v>0</v>
      </c>
      <c r="H30" s="494"/>
      <c r="I30" s="494">
        <f>'Exhibit G,2'!I30</f>
        <v>0</v>
      </c>
      <c r="J30" s="187"/>
      <c r="K30" s="494">
        <f t="shared" si="0"/>
        <v>0</v>
      </c>
      <c r="M30" s="74">
        <v>0</v>
      </c>
      <c r="O30" s="494">
        <f>K30-'Exhibit G,2'!C30*M30</f>
        <v>0</v>
      </c>
      <c r="R30" s="72"/>
      <c r="S30" s="61">
        <f t="shared" si="1"/>
        <v>2008</v>
      </c>
      <c r="T30" s="137">
        <v>0</v>
      </c>
      <c r="U30" s="137">
        <f t="shared" si="2"/>
        <v>0</v>
      </c>
      <c r="Y30" s="61"/>
      <c r="Z30" s="61" t="s">
        <v>1345</v>
      </c>
      <c r="AA30" s="61"/>
      <c r="AH30" s="172"/>
      <c r="AI30" s="137"/>
    </row>
    <row r="31" spans="1:35">
      <c r="A31" s="6">
        <f t="shared" si="3"/>
        <v>2009</v>
      </c>
      <c r="C31" s="494">
        <f>'Exhibit G,3'!K31</f>
        <v>0</v>
      </c>
      <c r="D31" s="506"/>
      <c r="E31" s="494">
        <f>'Exhibit G,2'!K31</f>
        <v>0</v>
      </c>
      <c r="F31" s="494"/>
      <c r="G31" s="494">
        <f>'Exhibit G,3'!I31</f>
        <v>0</v>
      </c>
      <c r="H31" s="494"/>
      <c r="I31" s="494">
        <f>'Exhibit G,2'!I31</f>
        <v>0</v>
      </c>
      <c r="J31" s="187"/>
      <c r="K31" s="494">
        <f t="shared" si="0"/>
        <v>0</v>
      </c>
      <c r="M31" s="74">
        <v>0</v>
      </c>
      <c r="O31" s="494">
        <f>K31-'Exhibit G,2'!C31*M31</f>
        <v>0</v>
      </c>
      <c r="R31" s="72"/>
      <c r="S31" s="61">
        <f t="shared" si="1"/>
        <v>2009</v>
      </c>
      <c r="T31" s="137">
        <v>0</v>
      </c>
      <c r="U31" s="137">
        <f t="shared" si="2"/>
        <v>0</v>
      </c>
      <c r="X31" s="291"/>
      <c r="AH31" s="172"/>
      <c r="AI31" s="137"/>
    </row>
    <row r="32" spans="1:35">
      <c r="A32" s="6">
        <f t="shared" si="3"/>
        <v>2010</v>
      </c>
      <c r="C32" s="494">
        <f>'Exhibit G,3'!K32</f>
        <v>0</v>
      </c>
      <c r="D32" s="506"/>
      <c r="E32" s="494">
        <f>'Exhibit G,2'!K32</f>
        <v>0</v>
      </c>
      <c r="F32" s="494"/>
      <c r="G32" s="494">
        <f>'Exhibit G,3'!I32</f>
        <v>0</v>
      </c>
      <c r="H32" s="494"/>
      <c r="I32" s="494">
        <f>'Exhibit G,2'!I32</f>
        <v>0</v>
      </c>
      <c r="J32" s="187"/>
      <c r="K32" s="494">
        <f t="shared" si="0"/>
        <v>0</v>
      </c>
      <c r="M32" s="74">
        <v>0</v>
      </c>
      <c r="O32" s="507">
        <f>E32</f>
        <v>0</v>
      </c>
      <c r="R32" s="72"/>
      <c r="S32" s="61">
        <f t="shared" si="1"/>
        <v>2010</v>
      </c>
      <c r="T32" s="137">
        <v>0</v>
      </c>
      <c r="U32" s="137">
        <f t="shared" si="2"/>
        <v>0</v>
      </c>
      <c r="X32" s="61" t="s">
        <v>860</v>
      </c>
      <c r="AH32" s="172"/>
      <c r="AI32" s="137"/>
    </row>
    <row r="33" spans="1:35">
      <c r="A33" s="6">
        <f t="shared" si="3"/>
        <v>2011</v>
      </c>
      <c r="C33" s="494">
        <f>'Exhibit G,3'!K33</f>
        <v>0</v>
      </c>
      <c r="D33" s="506"/>
      <c r="E33" s="494">
        <f>'Exhibit G,2'!K33</f>
        <v>0</v>
      </c>
      <c r="F33" s="494"/>
      <c r="G33" s="494">
        <f>'Exhibit G,3'!I33</f>
        <v>0</v>
      </c>
      <c r="H33" s="494"/>
      <c r="I33" s="494">
        <f>'Exhibit G,2'!I33</f>
        <v>0</v>
      </c>
      <c r="J33" s="187"/>
      <c r="K33" s="494">
        <f t="shared" si="0"/>
        <v>0</v>
      </c>
      <c r="M33" s="74">
        <v>0</v>
      </c>
      <c r="O33" s="507">
        <f>E33</f>
        <v>0</v>
      </c>
      <c r="R33" s="72"/>
      <c r="S33" s="61">
        <f t="shared" si="1"/>
        <v>2011</v>
      </c>
      <c r="T33" s="137">
        <v>0</v>
      </c>
      <c r="U33" s="137">
        <f t="shared" si="2"/>
        <v>0</v>
      </c>
      <c r="X33" s="61"/>
      <c r="Y33" s="121" t="s">
        <v>1346</v>
      </c>
      <c r="Z33" s="61"/>
      <c r="AB33" s="61" t="s">
        <v>287</v>
      </c>
      <c r="AC33" s="61" t="s">
        <v>86</v>
      </c>
      <c r="AD33" s="61" t="s">
        <v>1</v>
      </c>
      <c r="AH33" s="172"/>
      <c r="AI33" s="137"/>
    </row>
    <row r="34" spans="1:35">
      <c r="A34" s="6">
        <f t="shared" si="3"/>
        <v>2012</v>
      </c>
      <c r="C34" s="494">
        <f>'Exhibit G,3'!K34</f>
        <v>0</v>
      </c>
      <c r="D34" s="506"/>
      <c r="E34" s="494">
        <f>'Exhibit G,2'!K34</f>
        <v>0</v>
      </c>
      <c r="F34" s="494"/>
      <c r="G34" s="494">
        <f>'Exhibit G,3'!I34</f>
        <v>4.8802434872614514E-2</v>
      </c>
      <c r="H34" s="494"/>
      <c r="I34" s="494">
        <f>'Exhibit G,2'!I34</f>
        <v>1.0319486072757464E-2</v>
      </c>
      <c r="J34" s="187"/>
      <c r="K34" s="494">
        <f t="shared" si="0"/>
        <v>0</v>
      </c>
      <c r="M34" s="74">
        <v>0</v>
      </c>
      <c r="O34" s="507">
        <f>E34</f>
        <v>0</v>
      </c>
      <c r="R34" s="72"/>
      <c r="S34" s="61">
        <f t="shared" si="1"/>
        <v>2012</v>
      </c>
      <c r="T34" s="137">
        <v>11.700915699230309</v>
      </c>
      <c r="U34" s="137">
        <f t="shared" si="2"/>
        <v>-11.700915699230309</v>
      </c>
      <c r="X34" s="61"/>
      <c r="Y34" s="61" t="s">
        <v>8</v>
      </c>
      <c r="Z34" s="121" t="s">
        <v>1346</v>
      </c>
      <c r="AA34" s="121" t="s">
        <v>1346</v>
      </c>
      <c r="AB34" s="61" t="s">
        <v>565</v>
      </c>
      <c r="AC34" s="61" t="s">
        <v>330</v>
      </c>
      <c r="AD34" s="61" t="s">
        <v>330</v>
      </c>
      <c r="AH34" s="172"/>
      <c r="AI34" s="137"/>
    </row>
    <row r="35" spans="1:35">
      <c r="A35" s="6">
        <f t="shared" si="3"/>
        <v>2013</v>
      </c>
      <c r="C35" s="494">
        <f>'Exhibit G,3'!K35</f>
        <v>0</v>
      </c>
      <c r="D35" s="506"/>
      <c r="E35" s="494">
        <f>'Exhibit G,2'!K35</f>
        <v>0</v>
      </c>
      <c r="F35" s="494"/>
      <c r="G35" s="494">
        <f>'Exhibit G,3'!I35</f>
        <v>1.1740467937769417</v>
      </c>
      <c r="H35" s="494"/>
      <c r="I35" s="494">
        <f>'Exhibit G,2'!I35</f>
        <v>0.34302503385637095</v>
      </c>
      <c r="J35" s="187"/>
      <c r="K35" s="494">
        <f t="shared" ref="K35:K44" si="4">I35</f>
        <v>0.34302503385637095</v>
      </c>
      <c r="M35" s="74">
        <v>0</v>
      </c>
      <c r="O35" s="494">
        <f>K35-'Exhibit G,2'!C35*M35</f>
        <v>0.34302503385637095</v>
      </c>
      <c r="P35" s="22"/>
      <c r="R35" s="72"/>
      <c r="S35" s="61">
        <f t="shared" si="1"/>
        <v>2013</v>
      </c>
      <c r="T35" s="137">
        <v>77.589004646481001</v>
      </c>
      <c r="U35" s="137">
        <f t="shared" si="2"/>
        <v>-77.245979612624637</v>
      </c>
      <c r="X35" s="61" t="s">
        <v>4</v>
      </c>
      <c r="Y35" s="61" t="s">
        <v>330</v>
      </c>
      <c r="Z35" s="61" t="s">
        <v>862</v>
      </c>
      <c r="AA35" s="61" t="s">
        <v>109</v>
      </c>
      <c r="AB35" s="61" t="s">
        <v>492</v>
      </c>
      <c r="AC35" s="61" t="s">
        <v>62</v>
      </c>
      <c r="AD35" s="61" t="s">
        <v>62</v>
      </c>
      <c r="AH35" s="172"/>
      <c r="AI35" s="137"/>
    </row>
    <row r="36" spans="1:35">
      <c r="A36" s="6">
        <f t="shared" si="3"/>
        <v>2014</v>
      </c>
      <c r="C36" s="494">
        <f>'Exhibit G,3'!K36</f>
        <v>0</v>
      </c>
      <c r="D36" s="506"/>
      <c r="E36" s="494">
        <f>'Exhibit G,2'!K36</f>
        <v>0</v>
      </c>
      <c r="F36" s="494"/>
      <c r="G36" s="494">
        <f>'Exhibit G,3'!I36</f>
        <v>184.96993315865569</v>
      </c>
      <c r="H36" s="494"/>
      <c r="I36" s="494">
        <f>'Exhibit G,2'!I36</f>
        <v>59.926478012515055</v>
      </c>
      <c r="J36" s="187"/>
      <c r="K36" s="494">
        <f t="shared" si="4"/>
        <v>59.926478012515055</v>
      </c>
      <c r="M36" s="74">
        <v>0</v>
      </c>
      <c r="O36" s="494">
        <f>K36-'Exhibit G,2'!C36*M36</f>
        <v>59.926478012515055</v>
      </c>
      <c r="P36" s="22"/>
      <c r="R36" s="72"/>
      <c r="S36" s="61">
        <f t="shared" si="1"/>
        <v>2014</v>
      </c>
      <c r="T36" s="137">
        <v>772.24907152054766</v>
      </c>
      <c r="U36" s="137">
        <f t="shared" si="2"/>
        <v>-712.32259350803258</v>
      </c>
      <c r="X36" s="61"/>
      <c r="Y36" s="61"/>
      <c r="AB36" s="61"/>
      <c r="AC36" s="61"/>
      <c r="AD36" s="61"/>
      <c r="AH36" s="172"/>
      <c r="AI36" s="137"/>
    </row>
    <row r="37" spans="1:35">
      <c r="A37" s="6">
        <f t="shared" si="3"/>
        <v>2015</v>
      </c>
      <c r="C37" s="494">
        <f>'Exhibit G,3'!K37</f>
        <v>0</v>
      </c>
      <c r="D37" s="506"/>
      <c r="E37" s="494">
        <f>'Exhibit G,2'!K37</f>
        <v>0</v>
      </c>
      <c r="F37" s="494"/>
      <c r="G37" s="494">
        <f>'Exhibit G,3'!I37</f>
        <v>2511.0781140524655</v>
      </c>
      <c r="H37" s="494"/>
      <c r="I37" s="494">
        <f>'Exhibit G,2'!I37</f>
        <v>1034.0409760990906</v>
      </c>
      <c r="J37" s="187"/>
      <c r="K37" s="494">
        <f t="shared" si="4"/>
        <v>1034.0409760990906</v>
      </c>
      <c r="M37" s="74">
        <v>0</v>
      </c>
      <c r="O37" s="494">
        <f>K37-'Exhibit G,2'!C37*M37</f>
        <v>1034.0409760990906</v>
      </c>
      <c r="P37" s="22"/>
      <c r="R37" s="72"/>
      <c r="S37" s="61">
        <f t="shared" si="1"/>
        <v>2015</v>
      </c>
      <c r="T37" s="137">
        <v>10108.280941387178</v>
      </c>
      <c r="U37" s="137">
        <f t="shared" si="2"/>
        <v>-9074.2399652880886</v>
      </c>
      <c r="W37" s="61"/>
      <c r="X37" s="61"/>
      <c r="Y37" s="61"/>
      <c r="AB37" s="61"/>
      <c r="AC37" s="61"/>
      <c r="AD37" s="61"/>
      <c r="AH37" s="172"/>
      <c r="AI37" s="137"/>
    </row>
    <row r="38" spans="1:35">
      <c r="A38" s="6">
        <f t="shared" si="3"/>
        <v>2016</v>
      </c>
      <c r="C38" s="494">
        <f>'Exhibit G,3'!K38</f>
        <v>1258876.6902113734</v>
      </c>
      <c r="D38" s="506"/>
      <c r="E38" s="494">
        <f>'Exhibit G,2'!K38</f>
        <v>1061969.6314253167</v>
      </c>
      <c r="F38" s="494"/>
      <c r="G38" s="494">
        <f>'Exhibit G,3'!I38</f>
        <v>1230065.653561332</v>
      </c>
      <c r="H38" s="494"/>
      <c r="I38" s="494">
        <f>'Exhibit G,2'!I38</f>
        <v>1082659.4481038991</v>
      </c>
      <c r="J38" s="187"/>
      <c r="K38" s="494">
        <f t="shared" si="4"/>
        <v>1082659.4481038991</v>
      </c>
      <c r="M38" s="74">
        <v>0</v>
      </c>
      <c r="O38" s="494">
        <f>K38-'Exhibit G,2'!C38*M38</f>
        <v>1082659.4481038991</v>
      </c>
      <c r="P38" s="22"/>
      <c r="R38" s="72"/>
      <c r="S38" s="61">
        <f t="shared" si="1"/>
        <v>2016</v>
      </c>
      <c r="T38" s="137">
        <v>1593882.819612782</v>
      </c>
      <c r="U38" s="137">
        <f t="shared" si="2"/>
        <v>-511223.37150888285</v>
      </c>
      <c r="W38" s="149"/>
      <c r="X38" s="61">
        <v>2015</v>
      </c>
      <c r="Y38" s="22">
        <v>0</v>
      </c>
      <c r="Z38" s="137">
        <v>14731363.354715852</v>
      </c>
      <c r="AA38" s="72">
        <f>Y38/Z38</f>
        <v>0</v>
      </c>
      <c r="AB38" s="153">
        <v>1</v>
      </c>
      <c r="AC38" s="137"/>
      <c r="AD38" s="72"/>
      <c r="AH38" s="172"/>
      <c r="AI38" s="137"/>
    </row>
    <row r="39" spans="1:35">
      <c r="A39" s="6">
        <f t="shared" si="3"/>
        <v>2017</v>
      </c>
      <c r="C39" s="494">
        <f>'Exhibit G,3'!K39</f>
        <v>0</v>
      </c>
      <c r="D39" s="506"/>
      <c r="E39" s="494">
        <f>'Exhibit G,2'!K39</f>
        <v>0</v>
      </c>
      <c r="F39" s="494"/>
      <c r="G39" s="494">
        <f>'Exhibit G,3'!I39</f>
        <v>17398.637669309031</v>
      </c>
      <c r="H39" s="494"/>
      <c r="I39" s="494">
        <f>'Exhibit G,2'!I39</f>
        <v>12412.341926720395</v>
      </c>
      <c r="J39" s="187"/>
      <c r="K39" s="494">
        <f t="shared" si="4"/>
        <v>12412.341926720395</v>
      </c>
      <c r="M39" s="74">
        <v>0</v>
      </c>
      <c r="O39" s="494">
        <f>K39-'Exhibit G,2'!C39*M39</f>
        <v>12412.341926720395</v>
      </c>
      <c r="P39" s="22"/>
      <c r="R39" s="72"/>
      <c r="S39" s="61">
        <f t="shared" si="1"/>
        <v>2017</v>
      </c>
      <c r="T39" s="137">
        <v>40627.035898911716</v>
      </c>
      <c r="U39" s="137">
        <f t="shared" si="2"/>
        <v>-28214.693972191322</v>
      </c>
      <c r="V39" s="72"/>
      <c r="W39" s="149"/>
      <c r="X39" s="61">
        <v>2016</v>
      </c>
      <c r="Y39" s="22">
        <v>0</v>
      </c>
      <c r="Z39" s="137">
        <v>21203484.438094951</v>
      </c>
      <c r="AA39" s="72">
        <f>Y39/Z39</f>
        <v>0</v>
      </c>
      <c r="AB39" s="153">
        <v>0.93</v>
      </c>
      <c r="AC39" s="72">
        <f>AA39*(1-AB38)/(1-AB39)</f>
        <v>0</v>
      </c>
      <c r="AD39" s="72">
        <v>0</v>
      </c>
      <c r="AE39" s="61"/>
      <c r="AH39" s="172"/>
      <c r="AI39" s="137"/>
    </row>
    <row r="40" spans="1:35">
      <c r="A40" s="6">
        <f t="shared" si="3"/>
        <v>2018</v>
      </c>
      <c r="C40" s="494">
        <f>'Exhibit G,3'!K40</f>
        <v>0</v>
      </c>
      <c r="D40" s="506"/>
      <c r="E40" s="494">
        <f>'Exhibit G,2'!K40</f>
        <v>0</v>
      </c>
      <c r="F40" s="494"/>
      <c r="G40" s="494">
        <f>'Exhibit G,3'!I40</f>
        <v>109448.85363739742</v>
      </c>
      <c r="H40" s="494"/>
      <c r="I40" s="494">
        <f>'Exhibit G,2'!I40</f>
        <v>84989.088760994331</v>
      </c>
      <c r="J40" s="187"/>
      <c r="K40" s="494">
        <f t="shared" si="4"/>
        <v>84989.088760994331</v>
      </c>
      <c r="M40" s="74">
        <v>0</v>
      </c>
      <c r="O40" s="494">
        <f>K40-'Exhibit G,2'!C40*M40</f>
        <v>84989.088760994331</v>
      </c>
      <c r="P40" s="22"/>
      <c r="R40" s="72"/>
      <c r="S40" s="61">
        <f t="shared" si="1"/>
        <v>2018</v>
      </c>
      <c r="T40" s="137">
        <v>69071.714433924528</v>
      </c>
      <c r="U40" s="137">
        <f t="shared" si="2"/>
        <v>15917.374327069803</v>
      </c>
      <c r="V40" s="72"/>
      <c r="W40" s="149"/>
      <c r="X40" s="61">
        <v>2017</v>
      </c>
      <c r="Y40" s="355">
        <v>3082.1723925907813</v>
      </c>
      <c r="Z40" s="137">
        <v>17254336.951034106</v>
      </c>
      <c r="AA40" s="72">
        <f>Y40/Z40</f>
        <v>1.7863174930092326E-4</v>
      </c>
      <c r="AB40" s="153">
        <v>0.85</v>
      </c>
      <c r="AC40" s="72">
        <f>AA40*(1-AB39)/(1-AB40)</f>
        <v>8.3361483007097443E-5</v>
      </c>
      <c r="AD40" s="72">
        <v>0</v>
      </c>
      <c r="AE40" s="72"/>
      <c r="AF40" s="72"/>
      <c r="AH40" s="172"/>
      <c r="AI40" s="137"/>
    </row>
    <row r="41" spans="1:35">
      <c r="A41" s="6">
        <f t="shared" si="3"/>
        <v>2019</v>
      </c>
      <c r="C41" s="494">
        <f>'Exhibit G,3'!K41</f>
        <v>512158.82599812734</v>
      </c>
      <c r="D41" s="506"/>
      <c r="E41" s="494">
        <f>'Exhibit G,2'!K41</f>
        <v>570075.27385661996</v>
      </c>
      <c r="F41" s="494"/>
      <c r="G41" s="494">
        <f>'Exhibit G,3'!I41</f>
        <v>311253.97156852117</v>
      </c>
      <c r="H41" s="494"/>
      <c r="I41" s="494">
        <f>'Exhibit G,2'!I41</f>
        <v>364504.04213521769</v>
      </c>
      <c r="J41" s="187"/>
      <c r="K41" s="494">
        <f t="shared" si="4"/>
        <v>364504.04213521769</v>
      </c>
      <c r="M41" s="74">
        <v>0</v>
      </c>
      <c r="O41" s="494">
        <f>K41-'Exhibit G,2'!C41*M41</f>
        <v>364504.04213521769</v>
      </c>
      <c r="P41" s="22"/>
      <c r="R41" s="72"/>
      <c r="S41" s="61">
        <f t="shared" si="1"/>
        <v>2019</v>
      </c>
      <c r="T41" s="137">
        <v>222722.18970842435</v>
      </c>
      <c r="U41" s="137">
        <f t="shared" si="2"/>
        <v>141781.85242679334</v>
      </c>
      <c r="V41" s="72"/>
      <c r="W41" s="149"/>
      <c r="X41" s="61">
        <v>2018</v>
      </c>
      <c r="Y41" s="355">
        <v>5087.7045108066059</v>
      </c>
      <c r="Z41" s="137">
        <v>9984990.1244515739</v>
      </c>
      <c r="AA41" s="72">
        <f>Y41/Z41</f>
        <v>5.0953525716041187E-4</v>
      </c>
      <c r="AB41" s="153">
        <v>0.55000000000000004</v>
      </c>
      <c r="AC41" s="72">
        <f>AA41*(1-AB40)/(1-AB41)</f>
        <v>1.6984508572013733E-4</v>
      </c>
      <c r="AD41" s="72">
        <v>0</v>
      </c>
      <c r="AE41" s="72"/>
      <c r="AF41" s="72"/>
      <c r="AH41" s="172"/>
      <c r="AI41" s="137"/>
    </row>
    <row r="42" spans="1:35">
      <c r="A42" s="6">
        <f t="shared" si="3"/>
        <v>2020</v>
      </c>
      <c r="C42" s="494">
        <f>'Exhibit G,3'!K42</f>
        <v>0</v>
      </c>
      <c r="D42" s="506"/>
      <c r="E42" s="494">
        <f>'Exhibit G,2'!K42</f>
        <v>0</v>
      </c>
      <c r="F42" s="494"/>
      <c r="G42" s="494">
        <f>'Exhibit G,3'!I42</f>
        <v>101988.14649408656</v>
      </c>
      <c r="H42" s="494"/>
      <c r="I42" s="494">
        <f>'Exhibit G,2'!I42</f>
        <v>91331.300374089536</v>
      </c>
      <c r="J42" s="187"/>
      <c r="K42" s="494">
        <f t="shared" si="4"/>
        <v>91331.300374089536</v>
      </c>
      <c r="M42" s="74">
        <v>0</v>
      </c>
      <c r="O42" s="494">
        <f>K42-'Exhibit G,2'!C42*M42</f>
        <v>91331.300374089536</v>
      </c>
      <c r="P42" s="22"/>
      <c r="R42" s="72"/>
      <c r="S42" s="61">
        <f t="shared" si="1"/>
        <v>2020</v>
      </c>
      <c r="T42" s="137">
        <v>112298.14337190392</v>
      </c>
      <c r="U42" s="137">
        <f t="shared" si="2"/>
        <v>-20966.842997814383</v>
      </c>
      <c r="V42" s="72"/>
      <c r="W42" s="149"/>
      <c r="X42" s="61">
        <v>2019</v>
      </c>
      <c r="Y42" s="355">
        <v>3646.9750737933023</v>
      </c>
      <c r="Z42" s="137">
        <v>13381980.129070811</v>
      </c>
      <c r="AA42" s="72">
        <f>Y42/Z42</f>
        <v>2.7252880654565228E-4</v>
      </c>
      <c r="AB42" s="153">
        <v>0.3</v>
      </c>
      <c r="AC42" s="72">
        <f>AA42*(1-AB41)/(1-AB42)</f>
        <v>1.7519708992220503E-4</v>
      </c>
      <c r="AD42" s="72">
        <v>0</v>
      </c>
      <c r="AE42" s="72"/>
      <c r="AF42" s="72"/>
      <c r="AH42" s="172"/>
      <c r="AI42" s="137"/>
    </row>
    <row r="43" spans="1:35">
      <c r="A43" s="6">
        <f t="shared" si="3"/>
        <v>2021</v>
      </c>
      <c r="C43" s="494">
        <f>'Exhibit G,3'!K43</f>
        <v>0</v>
      </c>
      <c r="D43" s="506"/>
      <c r="E43" s="494">
        <f>'Exhibit G,2'!K43</f>
        <v>0</v>
      </c>
      <c r="F43" s="494"/>
      <c r="G43" s="494">
        <f>'Exhibit G,3'!I43</f>
        <v>54283.069611442232</v>
      </c>
      <c r="H43" s="494"/>
      <c r="I43" s="494">
        <f>'Exhibit G,2'!I43</f>
        <v>52297.666762788969</v>
      </c>
      <c r="J43" s="187"/>
      <c r="K43" s="494">
        <f t="shared" si="4"/>
        <v>52297.666762788969</v>
      </c>
      <c r="M43" s="74">
        <v>0</v>
      </c>
      <c r="O43" s="494">
        <f>K43-'Exhibit G,2'!C43*M43</f>
        <v>52297.666762788969</v>
      </c>
      <c r="P43" s="22"/>
      <c r="R43" s="72"/>
      <c r="S43" s="61">
        <f t="shared" si="1"/>
        <v>2021</v>
      </c>
      <c r="T43" s="137">
        <v>82677.674870270872</v>
      </c>
      <c r="U43" s="137">
        <f t="shared" si="2"/>
        <v>-30380.008107481903</v>
      </c>
      <c r="V43" s="72"/>
      <c r="W43" s="149"/>
      <c r="X43" s="61"/>
      <c r="Z43" s="61"/>
      <c r="AA43" s="72"/>
      <c r="AB43" s="61"/>
      <c r="AC43" s="153"/>
      <c r="AD43" s="61"/>
      <c r="AE43" s="72"/>
      <c r="AF43" s="72"/>
      <c r="AH43" s="172"/>
      <c r="AI43" s="137"/>
    </row>
    <row r="44" spans="1:35">
      <c r="A44" s="6">
        <f t="shared" si="3"/>
        <v>2022</v>
      </c>
      <c r="C44" s="494">
        <f>'Exhibit G,3'!K44</f>
        <v>0</v>
      </c>
      <c r="D44" s="506"/>
      <c r="E44" s="494">
        <f>'Exhibit G,2'!K44</f>
        <v>0</v>
      </c>
      <c r="F44" s="494"/>
      <c r="G44" s="494">
        <f>'Exhibit G,3'!I44</f>
        <v>163694.77783188588</v>
      </c>
      <c r="H44" s="494"/>
      <c r="I44" s="494">
        <f>'Exhibit G,2'!I44</f>
        <v>163137.10463878309</v>
      </c>
      <c r="J44" s="187"/>
      <c r="K44" s="494">
        <f t="shared" si="4"/>
        <v>163137.10463878309</v>
      </c>
      <c r="M44" s="74">
        <v>0</v>
      </c>
      <c r="O44" s="494">
        <f>K44-'Exhibit G,2'!C44*M44</f>
        <v>163137.10463878309</v>
      </c>
      <c r="P44" s="22"/>
      <c r="R44" s="72"/>
      <c r="S44" s="61">
        <f t="shared" si="1"/>
        <v>2022</v>
      </c>
      <c r="T44" s="137">
        <v>0</v>
      </c>
      <c r="U44" s="72"/>
      <c r="V44" s="72"/>
      <c r="W44" s="149"/>
      <c r="X44" s="137">
        <f>SUM(X33:X43)</f>
        <v>10085</v>
      </c>
      <c r="Y44" s="137">
        <f>SUM(Y33:Y43)</f>
        <v>11816.85197719069</v>
      </c>
      <c r="AB44" s="61"/>
      <c r="AC44" s="137"/>
      <c r="AD44" s="61"/>
      <c r="AE44" s="72"/>
      <c r="AF44" s="72"/>
      <c r="AH44" s="172"/>
      <c r="AI44" s="61"/>
    </row>
    <row r="45" spans="1:35">
      <c r="A45" s="6"/>
      <c r="C45" s="105"/>
      <c r="D45" s="6"/>
      <c r="E45" s="105"/>
      <c r="G45" s="105"/>
      <c r="I45" s="105"/>
      <c r="K45" s="105"/>
      <c r="O45" s="105"/>
      <c r="T45" s="105"/>
      <c r="U45" s="105"/>
      <c r="W45" s="61"/>
      <c r="AE45" s="61"/>
      <c r="AI45" s="61"/>
    </row>
    <row r="46" spans="1:35">
      <c r="A46" s="6" t="s">
        <v>0</v>
      </c>
      <c r="C46" s="26">
        <f>SUM(C16:C45)</f>
        <v>4539002.2062095003</v>
      </c>
      <c r="D46" s="6"/>
      <c r="E46" s="26">
        <f>SUM(E16:E45)</f>
        <v>4400011.5952819362</v>
      </c>
      <c r="F46" s="6"/>
      <c r="G46" s="26">
        <f>SUM(G16:G45)</f>
        <v>4758797.0712704146</v>
      </c>
      <c r="I46" s="26">
        <f>SUM(I16:I45)</f>
        <v>4620392.0035011247</v>
      </c>
      <c r="K46" s="26">
        <f>SUM(K16:K45)</f>
        <v>4620391.9931816384</v>
      </c>
      <c r="O46" s="26">
        <f>SUM(O16:O44)</f>
        <v>4620391.9931816384</v>
      </c>
      <c r="P46" s="26"/>
      <c r="Q46" s="26"/>
      <c r="R46" s="61"/>
      <c r="S46" s="26"/>
      <c r="T46" s="68">
        <f>SUM(T16:T45)</f>
        <v>4900216.0878294725</v>
      </c>
      <c r="U46" s="68">
        <f>SUM(U16:U45)</f>
        <v>-442961.19928661571</v>
      </c>
      <c r="W46" s="61"/>
      <c r="AE46" s="61"/>
      <c r="AH46" s="26"/>
      <c r="AI46" s="68"/>
    </row>
    <row r="47" spans="1:35">
      <c r="AI47" s="61"/>
    </row>
    <row r="48" spans="1:35">
      <c r="O48" s="26"/>
      <c r="S48" s="26"/>
      <c r="Y48" s="25"/>
      <c r="Z48" s="25"/>
      <c r="AA48" s="25"/>
      <c r="AI48" s="61"/>
    </row>
    <row r="49" spans="1:35">
      <c r="W49" s="61"/>
      <c r="Y49" s="25"/>
      <c r="Z49" s="25"/>
      <c r="AA49" s="25" t="s">
        <v>7</v>
      </c>
      <c r="AI49" s="61"/>
    </row>
    <row r="50" spans="1:35">
      <c r="A50" s="64" t="s">
        <v>104</v>
      </c>
      <c r="C50" s="3" t="s">
        <v>220</v>
      </c>
      <c r="W50" s="61"/>
      <c r="Y50" s="25" t="s">
        <v>7</v>
      </c>
      <c r="Z50" s="25" t="s">
        <v>492</v>
      </c>
      <c r="AA50" s="25" t="s">
        <v>330</v>
      </c>
      <c r="AI50" s="61"/>
    </row>
    <row r="51" spans="1:35">
      <c r="A51" s="64" t="s">
        <v>36</v>
      </c>
      <c r="C51" s="3" t="s">
        <v>221</v>
      </c>
      <c r="W51" s="61"/>
      <c r="X51" s="61" t="s">
        <v>4</v>
      </c>
      <c r="Y51" s="25" t="s">
        <v>13</v>
      </c>
      <c r="Z51" s="25" t="s">
        <v>22</v>
      </c>
      <c r="AA51" s="25" t="s">
        <v>13</v>
      </c>
      <c r="AI51" s="61"/>
    </row>
    <row r="52" spans="1:35">
      <c r="A52" s="64" t="s">
        <v>38</v>
      </c>
      <c r="C52" s="3" t="s">
        <v>230</v>
      </c>
      <c r="D52" s="6"/>
      <c r="W52" s="61"/>
      <c r="X52" s="61"/>
      <c r="Y52" s="61"/>
      <c r="Z52" s="61"/>
      <c r="AA52" s="61"/>
      <c r="AI52" s="61"/>
    </row>
    <row r="53" spans="1:35">
      <c r="A53" s="64" t="s">
        <v>40</v>
      </c>
      <c r="C53" s="3" t="s">
        <v>231</v>
      </c>
      <c r="E53" s="6"/>
      <c r="V53" s="22"/>
      <c r="W53" s="61"/>
      <c r="X53" s="61">
        <v>2015</v>
      </c>
      <c r="Y53" s="137">
        <f>'Exhibit G,2'!C38</f>
        <v>1168788.5377290288</v>
      </c>
      <c r="Z53" s="153">
        <v>1</v>
      </c>
      <c r="AA53" s="61"/>
      <c r="AI53" s="61"/>
    </row>
    <row r="54" spans="1:35">
      <c r="A54" s="64" t="s">
        <v>30</v>
      </c>
      <c r="C54" s="3" t="s">
        <v>1479</v>
      </c>
      <c r="V54" s="22"/>
      <c r="W54" s="61"/>
      <c r="X54" s="61">
        <v>2016</v>
      </c>
      <c r="Y54" s="137">
        <f>'Exhibit G,2'!C39</f>
        <v>34742.66917526388</v>
      </c>
      <c r="Z54" s="153">
        <v>1</v>
      </c>
      <c r="AA54" s="61"/>
      <c r="AI54" s="61"/>
    </row>
    <row r="55" spans="1:35">
      <c r="A55" s="64"/>
      <c r="C55" s="3" t="s">
        <v>1424</v>
      </c>
      <c r="V55" s="22"/>
      <c r="W55" s="61"/>
      <c r="X55" s="61">
        <v>2017</v>
      </c>
      <c r="Y55" s="137">
        <f>'Exhibit G,2'!C40</f>
        <v>161011.50997043226</v>
      </c>
      <c r="Z55" s="153">
        <v>1</v>
      </c>
      <c r="AA55" s="61"/>
    </row>
    <row r="56" spans="1:35">
      <c r="A56" s="64" t="s">
        <v>31</v>
      </c>
      <c r="C56" s="3" t="s">
        <v>473</v>
      </c>
      <c r="V56" s="22"/>
      <c r="W56" s="61"/>
      <c r="X56" s="61">
        <v>2018</v>
      </c>
      <c r="Y56" s="137">
        <f>'Exhibit G,2'!C41</f>
        <v>267110.93484885781</v>
      </c>
      <c r="Z56" s="153">
        <v>0.93</v>
      </c>
      <c r="AA56" s="206">
        <f>Y56*(1-Z56)</f>
        <v>18697.765439420033</v>
      </c>
    </row>
    <row r="57" spans="1:35">
      <c r="C57" s="140"/>
      <c r="V57" s="22"/>
      <c r="W57" s="61"/>
      <c r="X57" s="61">
        <v>2019</v>
      </c>
      <c r="Y57" s="137">
        <f>'Exhibit G,2'!C42</f>
        <v>108944.86390670027</v>
      </c>
      <c r="Z57" s="153">
        <v>0.85</v>
      </c>
      <c r="AA57" s="206">
        <f>Y57*(1-Z57)</f>
        <v>16341.729586005042</v>
      </c>
    </row>
    <row r="58" spans="1:35">
      <c r="V58" s="22"/>
      <c r="W58" s="61"/>
      <c r="X58" s="61"/>
    </row>
    <row r="59" spans="1:35">
      <c r="W59" s="61"/>
      <c r="X59" s="416" t="s">
        <v>0</v>
      </c>
      <c r="Y59" s="137">
        <f>SUM(Y48:Y58)</f>
        <v>1740598.5156302832</v>
      </c>
      <c r="AA59" s="137">
        <f>SUM(AA48:AA58)</f>
        <v>35039.495025425073</v>
      </c>
    </row>
    <row r="60" spans="1:35">
      <c r="W60" s="61"/>
    </row>
  </sheetData>
  <printOptions horizontalCentered="1"/>
  <pageMargins left="0.7" right="0.7" top="0.75" bottom="0.75" header="0.3" footer="0.3"/>
  <pageSetup scale="72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>
    <pageSetUpPr fitToPage="1"/>
  </sheetPr>
  <dimension ref="A1:T54"/>
  <sheetViews>
    <sheetView topLeftCell="A9" zoomScaleNormal="100" workbookViewId="0">
      <selection activeCell="K12" sqref="K12"/>
    </sheetView>
  </sheetViews>
  <sheetFormatPr baseColWidth="10" defaultColWidth="8.7109375" defaultRowHeight="15"/>
  <cols>
    <col min="1" max="1" width="9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9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3" width="8.7109375" style="1"/>
    <col min="14" max="14" width="10.28515625" style="1" bestFit="1" customWidth="1"/>
    <col min="15" max="17" width="8.7109375" style="1"/>
    <col min="18" max="18" width="11.7109375" style="1" bestFit="1" customWidth="1"/>
    <col min="19" max="19" width="8.7109375" style="1"/>
    <col min="20" max="20" width="11.7109375" style="1" bestFit="1" customWidth="1"/>
    <col min="21" max="16384" width="8.7109375" style="1"/>
  </cols>
  <sheetData>
    <row r="1" spans="1:11">
      <c r="K1" s="64" t="s">
        <v>102</v>
      </c>
    </row>
    <row r="2" spans="1:11">
      <c r="K2" s="52" t="s">
        <v>45</v>
      </c>
    </row>
    <row r="4" spans="1:11" ht="16">
      <c r="A4" s="4"/>
      <c r="B4" s="5"/>
      <c r="C4" s="5"/>
      <c r="D4" s="5"/>
      <c r="E4" s="5"/>
      <c r="F4" s="51" t="s">
        <v>872</v>
      </c>
      <c r="G4" s="5"/>
      <c r="H4" s="5"/>
      <c r="I4" s="5"/>
      <c r="J4" s="5"/>
      <c r="K4" s="5"/>
    </row>
    <row r="5" spans="1:11">
      <c r="A5" s="5"/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>
      <c r="B6" s="5"/>
      <c r="C6" s="5"/>
      <c r="D6" s="5"/>
      <c r="E6" s="5"/>
      <c r="F6" s="6" t="s">
        <v>57</v>
      </c>
      <c r="G6" s="5"/>
      <c r="H6" s="5"/>
      <c r="I6" s="5"/>
      <c r="J6" s="5"/>
      <c r="K6" s="5"/>
    </row>
    <row r="7" spans="1:11">
      <c r="B7" s="5"/>
      <c r="C7" s="5"/>
      <c r="D7" s="5"/>
      <c r="E7" s="5"/>
      <c r="F7" s="2" t="s">
        <v>359</v>
      </c>
      <c r="G7" s="5"/>
      <c r="H7" s="5"/>
      <c r="I7" s="5"/>
      <c r="J7" s="5"/>
      <c r="K7" s="5"/>
    </row>
    <row r="8" spans="1:11">
      <c r="B8" s="5"/>
      <c r="C8" s="5"/>
      <c r="D8" s="5"/>
      <c r="E8" s="5"/>
      <c r="F8" s="2" t="s">
        <v>93</v>
      </c>
      <c r="G8" s="5"/>
      <c r="H8" s="5"/>
      <c r="I8" s="5"/>
      <c r="J8" s="5"/>
      <c r="K8" s="5"/>
    </row>
    <row r="11" spans="1:11">
      <c r="C11" s="5" t="s">
        <v>13</v>
      </c>
      <c r="E11" s="5" t="s">
        <v>13</v>
      </c>
      <c r="G11" s="5" t="s">
        <v>13</v>
      </c>
    </row>
    <row r="12" spans="1:11">
      <c r="A12" s="6" t="s">
        <v>3</v>
      </c>
      <c r="C12" s="6" t="s">
        <v>7</v>
      </c>
      <c r="E12" s="6" t="s">
        <v>7</v>
      </c>
      <c r="G12" s="2" t="s">
        <v>12</v>
      </c>
      <c r="I12" s="7" t="s">
        <v>1612</v>
      </c>
      <c r="J12" s="8"/>
      <c r="K12" s="8"/>
    </row>
    <row r="13" spans="1:11">
      <c r="A13" s="6" t="s">
        <v>4</v>
      </c>
      <c r="C13" s="6" t="s">
        <v>55</v>
      </c>
      <c r="E13" s="6" t="s">
        <v>69</v>
      </c>
      <c r="G13" s="2" t="s">
        <v>55</v>
      </c>
      <c r="I13" s="2" t="s">
        <v>153</v>
      </c>
      <c r="K13" s="2" t="s">
        <v>154</v>
      </c>
    </row>
    <row r="14" spans="1:11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</row>
    <row r="16" spans="1:11">
      <c r="A16" s="6">
        <v>1994</v>
      </c>
      <c r="C16" s="509">
        <f>'Exhibit I,1'!I16</f>
        <v>0</v>
      </c>
      <c r="E16" s="289">
        <f>'Exhibit L,2'!E16</f>
        <v>0</v>
      </c>
      <c r="G16" s="509">
        <f>'Exhibit G,3'!R16</f>
        <v>0</v>
      </c>
      <c r="H16" s="147"/>
      <c r="I16" s="147">
        <f>C16*E16+G16</f>
        <v>0</v>
      </c>
      <c r="J16" s="147"/>
      <c r="K16" s="147">
        <f>G16/(1-E16)</f>
        <v>0</v>
      </c>
    </row>
    <row r="17" spans="1:11">
      <c r="A17" s="6">
        <f>A16+1</f>
        <v>1995</v>
      </c>
      <c r="C17" s="499">
        <f>'Exhibit I,1'!I17</f>
        <v>274068.21000000008</v>
      </c>
      <c r="E17" s="289">
        <f>'Exhibit L,2'!E17</f>
        <v>0</v>
      </c>
      <c r="G17" s="54">
        <f>'Exhibit G,3'!R17</f>
        <v>274068.21000000002</v>
      </c>
      <c r="H17" s="187"/>
      <c r="I17" s="494">
        <f t="shared" ref="I17:I44" si="0">C17*E17+G17</f>
        <v>274068.21000000002</v>
      </c>
      <c r="J17" s="494"/>
      <c r="K17" s="494">
        <f t="shared" ref="K17:K44" si="1">G17/(1-E17)</f>
        <v>274068.21000000002</v>
      </c>
    </row>
    <row r="18" spans="1:11">
      <c r="A18" s="6">
        <f t="shared" ref="A18:A44" si="2">A17+1</f>
        <v>1996</v>
      </c>
      <c r="C18" s="499">
        <f>'Exhibit I,1'!I18</f>
        <v>0</v>
      </c>
      <c r="E18" s="289">
        <f>'Exhibit L,2'!E18</f>
        <v>0</v>
      </c>
      <c r="G18" s="54">
        <f>'Exhibit G,3'!R18</f>
        <v>0</v>
      </c>
      <c r="H18" s="187"/>
      <c r="I18" s="494">
        <f t="shared" si="0"/>
        <v>0</v>
      </c>
      <c r="J18" s="494"/>
      <c r="K18" s="494">
        <f t="shared" si="1"/>
        <v>0</v>
      </c>
    </row>
    <row r="19" spans="1:11">
      <c r="A19" s="6">
        <f t="shared" si="2"/>
        <v>1997</v>
      </c>
      <c r="C19" s="499">
        <f>'Exhibit I,1'!I19</f>
        <v>1415179.7500000002</v>
      </c>
      <c r="E19" s="289">
        <f>'Exhibit L,2'!E19</f>
        <v>0</v>
      </c>
      <c r="G19" s="54">
        <f>'Exhibit G,3'!R19</f>
        <v>1415179.75</v>
      </c>
      <c r="H19" s="187"/>
      <c r="I19" s="494">
        <f t="shared" si="0"/>
        <v>1415179.75</v>
      </c>
      <c r="J19" s="494"/>
      <c r="K19" s="494">
        <f t="shared" si="1"/>
        <v>1415179.75</v>
      </c>
    </row>
    <row r="20" spans="1:11">
      <c r="A20" s="6">
        <f t="shared" si="2"/>
        <v>1998</v>
      </c>
      <c r="C20" s="499">
        <f>'Exhibit I,1'!I20</f>
        <v>207108.4</v>
      </c>
      <c r="E20" s="289">
        <f>'Exhibit L,2'!E20</f>
        <v>0</v>
      </c>
      <c r="G20" s="54">
        <f>'Exhibit G,3'!R20</f>
        <v>207108.40000000002</v>
      </c>
      <c r="H20" s="187"/>
      <c r="I20" s="494">
        <f t="shared" si="0"/>
        <v>207108.40000000002</v>
      </c>
      <c r="J20" s="494"/>
      <c r="K20" s="494">
        <f t="shared" si="1"/>
        <v>207108.40000000002</v>
      </c>
    </row>
    <row r="21" spans="1:11">
      <c r="A21" s="6">
        <f t="shared" si="2"/>
        <v>1999</v>
      </c>
      <c r="C21" s="499">
        <f>'Exhibit I,1'!I21</f>
        <v>0</v>
      </c>
      <c r="E21" s="289">
        <f>'Exhibit L,2'!E21</f>
        <v>0</v>
      </c>
      <c r="G21" s="54">
        <f>'Exhibit G,3'!R21</f>
        <v>0</v>
      </c>
      <c r="H21" s="187"/>
      <c r="I21" s="494">
        <f t="shared" si="0"/>
        <v>0</v>
      </c>
      <c r="J21" s="494"/>
      <c r="K21" s="494">
        <f t="shared" si="1"/>
        <v>0</v>
      </c>
    </row>
    <row r="22" spans="1:11">
      <c r="A22" s="6">
        <f t="shared" si="2"/>
        <v>2000</v>
      </c>
      <c r="C22" s="499">
        <f>'Exhibit I,1'!I22</f>
        <v>139204.46000000005</v>
      </c>
      <c r="E22" s="289">
        <f>'Exhibit L,2'!E22</f>
        <v>0</v>
      </c>
      <c r="G22" s="54">
        <f>'Exhibit G,3'!R22</f>
        <v>139204.45999999996</v>
      </c>
      <c r="H22" s="187"/>
      <c r="I22" s="494">
        <f t="shared" si="0"/>
        <v>139204.45999999996</v>
      </c>
      <c r="J22" s="494"/>
      <c r="K22" s="494">
        <f t="shared" si="1"/>
        <v>139204.45999999996</v>
      </c>
    </row>
    <row r="23" spans="1:11">
      <c r="A23" s="6">
        <f t="shared" si="2"/>
        <v>2001</v>
      </c>
      <c r="C23" s="499">
        <f>'Exhibit I,1'!I23</f>
        <v>355647.08000000007</v>
      </c>
      <c r="E23" s="289">
        <f>'Exhibit L,2'!E23</f>
        <v>0</v>
      </c>
      <c r="G23" s="54">
        <f>'Exhibit G,3'!R23</f>
        <v>355647.08000000007</v>
      </c>
      <c r="H23" s="187"/>
      <c r="I23" s="494">
        <f t="shared" si="0"/>
        <v>355647.08000000007</v>
      </c>
      <c r="J23" s="494"/>
      <c r="K23" s="494">
        <f t="shared" si="1"/>
        <v>355647.08000000007</v>
      </c>
    </row>
    <row r="24" spans="1:11">
      <c r="A24" s="6">
        <f t="shared" si="2"/>
        <v>2002</v>
      </c>
      <c r="C24" s="499">
        <f>'Exhibit I,1'!I24</f>
        <v>0</v>
      </c>
      <c r="E24" s="289">
        <f>'Exhibit L,2'!E24</f>
        <v>0</v>
      </c>
      <c r="G24" s="54">
        <f>'Exhibit G,3'!R24</f>
        <v>0</v>
      </c>
      <c r="H24" s="187"/>
      <c r="I24" s="494">
        <f t="shared" si="0"/>
        <v>0</v>
      </c>
      <c r="J24" s="494"/>
      <c r="K24" s="494">
        <f t="shared" si="1"/>
        <v>0</v>
      </c>
    </row>
    <row r="25" spans="1:11">
      <c r="A25" s="6">
        <f t="shared" si="2"/>
        <v>2003</v>
      </c>
      <c r="C25" s="499">
        <f>'Exhibit I,1'!I25</f>
        <v>227752.87999999995</v>
      </c>
      <c r="E25" s="289">
        <f>'Exhibit L,2'!E25</f>
        <v>0</v>
      </c>
      <c r="G25" s="54">
        <f>'Exhibit G,3'!R25</f>
        <v>227752.87999999989</v>
      </c>
      <c r="H25" s="187"/>
      <c r="I25" s="494">
        <f t="shared" si="0"/>
        <v>227752.87999999989</v>
      </c>
      <c r="J25" s="494"/>
      <c r="K25" s="494">
        <f t="shared" si="1"/>
        <v>227752.87999999989</v>
      </c>
    </row>
    <row r="26" spans="1:11">
      <c r="A26" s="6">
        <f t="shared" si="2"/>
        <v>2004</v>
      </c>
      <c r="C26" s="499">
        <f>'Exhibit I,1'!I26</f>
        <v>0</v>
      </c>
      <c r="E26" s="289">
        <f>'Exhibit L,2'!E26</f>
        <v>0</v>
      </c>
      <c r="G26" s="54">
        <f>'Exhibit G,3'!R26</f>
        <v>0</v>
      </c>
      <c r="H26" s="187"/>
      <c r="I26" s="494">
        <f t="shared" si="0"/>
        <v>0</v>
      </c>
      <c r="J26" s="494"/>
      <c r="K26" s="494">
        <f t="shared" si="1"/>
        <v>0</v>
      </c>
    </row>
    <row r="27" spans="1:11">
      <c r="A27" s="6">
        <f t="shared" si="2"/>
        <v>2005</v>
      </c>
      <c r="C27" s="499">
        <f>'Exhibit I,1'!I27</f>
        <v>53771.830000000176</v>
      </c>
      <c r="E27" s="289">
        <f>'Exhibit L,2'!E27</f>
        <v>0</v>
      </c>
      <c r="G27" s="54">
        <f>'Exhibit G,3'!R27</f>
        <v>53771.829999999609</v>
      </c>
      <c r="H27" s="187"/>
      <c r="I27" s="494">
        <f t="shared" si="0"/>
        <v>53771.829999999609</v>
      </c>
      <c r="J27" s="494"/>
      <c r="K27" s="494">
        <f t="shared" si="1"/>
        <v>53771.829999999609</v>
      </c>
    </row>
    <row r="28" spans="1:11">
      <c r="A28" s="6">
        <f t="shared" si="2"/>
        <v>2006</v>
      </c>
      <c r="C28" s="499">
        <f>'Exhibit I,1'!I28</f>
        <v>0</v>
      </c>
      <c r="E28" s="289">
        <f>'Exhibit L,2'!E28</f>
        <v>0</v>
      </c>
      <c r="G28" s="54">
        <f>'Exhibit G,3'!R28</f>
        <v>0</v>
      </c>
      <c r="H28" s="187"/>
      <c r="I28" s="494">
        <f t="shared" si="0"/>
        <v>0</v>
      </c>
      <c r="J28" s="494"/>
      <c r="K28" s="494">
        <f t="shared" si="1"/>
        <v>0</v>
      </c>
    </row>
    <row r="29" spans="1:11">
      <c r="A29" s="6">
        <f t="shared" si="2"/>
        <v>2007</v>
      </c>
      <c r="C29" s="499">
        <f>'Exhibit I,1'!I29</f>
        <v>95234.08000000006</v>
      </c>
      <c r="E29" s="289">
        <f>'Exhibit L,2'!E29</f>
        <v>0</v>
      </c>
      <c r="G29" s="54">
        <f>'Exhibit G,3'!R29</f>
        <v>95234.080000000075</v>
      </c>
      <c r="H29" s="187"/>
      <c r="I29" s="494">
        <f t="shared" si="0"/>
        <v>95234.080000000075</v>
      </c>
      <c r="J29" s="494"/>
      <c r="K29" s="494">
        <f t="shared" si="1"/>
        <v>95234.080000000075</v>
      </c>
    </row>
    <row r="30" spans="1:11">
      <c r="A30" s="6">
        <f t="shared" si="2"/>
        <v>2008</v>
      </c>
      <c r="C30" s="499">
        <f>'Exhibit I,1'!I30</f>
        <v>0</v>
      </c>
      <c r="E30" s="289">
        <f>'Exhibit L,2'!E30</f>
        <v>0</v>
      </c>
      <c r="G30" s="54">
        <f>'Exhibit G,3'!R30</f>
        <v>0</v>
      </c>
      <c r="H30" s="187"/>
      <c r="I30" s="494">
        <f t="shared" si="0"/>
        <v>0</v>
      </c>
      <c r="J30" s="494"/>
      <c r="K30" s="494">
        <f t="shared" si="1"/>
        <v>0</v>
      </c>
    </row>
    <row r="31" spans="1:11">
      <c r="A31" s="6">
        <f t="shared" si="2"/>
        <v>2009</v>
      </c>
      <c r="C31" s="499">
        <f>'Exhibit I,1'!I31</f>
        <v>0</v>
      </c>
      <c r="E31" s="289">
        <f>'Exhibit L,2'!E31</f>
        <v>0</v>
      </c>
      <c r="G31" s="54">
        <f>'Exhibit G,3'!R31</f>
        <v>0</v>
      </c>
      <c r="H31" s="187"/>
      <c r="I31" s="494">
        <f t="shared" si="0"/>
        <v>0</v>
      </c>
      <c r="J31" s="494"/>
      <c r="K31" s="494">
        <f t="shared" si="1"/>
        <v>0</v>
      </c>
    </row>
    <row r="32" spans="1:11">
      <c r="A32" s="6">
        <f t="shared" si="2"/>
        <v>2010</v>
      </c>
      <c r="C32" s="499">
        <f>'Exhibit I,1'!I32</f>
        <v>0</v>
      </c>
      <c r="E32" s="289">
        <f>'Exhibit L,2'!E32</f>
        <v>0</v>
      </c>
      <c r="G32" s="54">
        <f>'Exhibit G,3'!R32</f>
        <v>0</v>
      </c>
      <c r="H32" s="187"/>
      <c r="I32" s="494">
        <f t="shared" si="0"/>
        <v>0</v>
      </c>
      <c r="J32" s="494"/>
      <c r="K32" s="494">
        <f t="shared" si="1"/>
        <v>0</v>
      </c>
    </row>
    <row r="33" spans="1:20">
      <c r="A33" s="6">
        <f t="shared" si="2"/>
        <v>2011</v>
      </c>
      <c r="C33" s="499">
        <f>'Exhibit I,1'!I33</f>
        <v>0</v>
      </c>
      <c r="E33" s="289">
        <f>'Exhibit L,2'!E33</f>
        <v>5.7670101048401534E-5</v>
      </c>
      <c r="G33" s="54">
        <f>'Exhibit G,3'!R33</f>
        <v>0</v>
      </c>
      <c r="H33" s="187"/>
      <c r="I33" s="494">
        <f t="shared" si="0"/>
        <v>0</v>
      </c>
      <c r="J33" s="494"/>
      <c r="K33" s="494">
        <f t="shared" si="1"/>
        <v>0</v>
      </c>
    </row>
    <row r="34" spans="1:20">
      <c r="A34" s="6">
        <f t="shared" si="2"/>
        <v>2012</v>
      </c>
      <c r="C34" s="499">
        <f>'Exhibit I,1'!I34</f>
        <v>11.676426313374336</v>
      </c>
      <c r="E34" s="289">
        <f>'Exhibit L,2'!E34</f>
        <v>8.8378805259425874E-4</v>
      </c>
      <c r="G34" s="54">
        <f>'Exhibit G,3'!R34</f>
        <v>0</v>
      </c>
      <c r="H34" s="187"/>
      <c r="I34" s="494">
        <f t="shared" si="0"/>
        <v>1.0319486072757464E-2</v>
      </c>
      <c r="J34" s="494"/>
      <c r="K34" s="494">
        <f t="shared" si="1"/>
        <v>0</v>
      </c>
    </row>
    <row r="35" spans="1:20">
      <c r="A35" s="6">
        <f t="shared" si="2"/>
        <v>2013</v>
      </c>
      <c r="C35" s="499">
        <f>'Exhibit I,1'!I35</f>
        <v>77.025626309625679</v>
      </c>
      <c r="E35" s="289">
        <f>'Exhibit L,2'!E35</f>
        <v>4.4533884408480828E-3</v>
      </c>
      <c r="G35" s="54">
        <f>'Exhibit G,3'!R35</f>
        <v>0</v>
      </c>
      <c r="H35" s="187"/>
      <c r="I35" s="494">
        <f t="shared" si="0"/>
        <v>0.34302503385637095</v>
      </c>
      <c r="J35" s="494"/>
      <c r="K35" s="494">
        <f t="shared" si="1"/>
        <v>0</v>
      </c>
    </row>
    <row r="36" spans="1:20">
      <c r="A36" s="6">
        <f t="shared" si="2"/>
        <v>2014</v>
      </c>
      <c r="C36" s="499">
        <f>'Exhibit I,1'!I36</f>
        <v>3558.205812027209</v>
      </c>
      <c r="E36" s="289">
        <f>'Exhibit L,2'!E36</f>
        <v>1.6841768345708275E-2</v>
      </c>
      <c r="G36" s="54">
        <f>'Exhibit G,3'!R36</f>
        <v>0</v>
      </c>
      <c r="H36" s="187"/>
      <c r="I36" s="494">
        <f t="shared" si="0"/>
        <v>59.926478012515055</v>
      </c>
      <c r="J36" s="494"/>
      <c r="K36" s="494">
        <f t="shared" si="1"/>
        <v>0</v>
      </c>
    </row>
    <row r="37" spans="1:20">
      <c r="A37" s="6">
        <f t="shared" si="2"/>
        <v>2015</v>
      </c>
      <c r="C37" s="499">
        <f>'Exhibit I,1'!I37</f>
        <v>18680.743987223243</v>
      </c>
      <c r="E37" s="289">
        <f>'Exhibit L,2'!E37</f>
        <v>5.5353308027042525E-2</v>
      </c>
      <c r="G37" s="54">
        <f>'Exhibit G,3'!R37</f>
        <v>0</v>
      </c>
      <c r="H37" s="187"/>
      <c r="I37" s="494">
        <f t="shared" si="0"/>
        <v>1034.0409760990906</v>
      </c>
      <c r="J37" s="494"/>
      <c r="K37" s="494">
        <f t="shared" si="1"/>
        <v>0</v>
      </c>
    </row>
    <row r="38" spans="1:20">
      <c r="A38" s="6">
        <f t="shared" si="2"/>
        <v>2016</v>
      </c>
      <c r="C38" s="499">
        <f>'Exhibit I,1'!I38</f>
        <v>1168788.5377290288</v>
      </c>
      <c r="E38" s="289">
        <f>'Exhibit L,2'!E38</f>
        <v>0.19369058713029896</v>
      </c>
      <c r="G38" s="54">
        <f>'Exhibit G,3'!R38</f>
        <v>856276.10999999987</v>
      </c>
      <c r="H38" s="187"/>
      <c r="I38" s="494">
        <f t="shared" si="0"/>
        <v>1082659.4481038991</v>
      </c>
      <c r="J38" s="494"/>
      <c r="K38" s="494">
        <f t="shared" si="1"/>
        <v>1061969.6314253167</v>
      </c>
    </row>
    <row r="39" spans="1:20">
      <c r="A39" s="6">
        <f t="shared" si="2"/>
        <v>2017</v>
      </c>
      <c r="C39" s="499">
        <f>'Exhibit I,1'!I39</f>
        <v>34742.66917526388</v>
      </c>
      <c r="E39" s="289">
        <f>'Exhibit L,2'!E39</f>
        <v>0.35726506400831592</v>
      </c>
      <c r="G39" s="54">
        <f>'Exhibit G,3'!R39</f>
        <v>0</v>
      </c>
      <c r="H39" s="187"/>
      <c r="I39" s="494">
        <f t="shared" si="0"/>
        <v>12412.341926720395</v>
      </c>
      <c r="J39" s="494"/>
      <c r="K39" s="494">
        <f t="shared" si="1"/>
        <v>0</v>
      </c>
      <c r="N39" s="20"/>
      <c r="P39" s="141"/>
      <c r="R39" s="20"/>
      <c r="T39" s="174"/>
    </row>
    <row r="40" spans="1:20">
      <c r="A40" s="6">
        <f t="shared" si="2"/>
        <v>2018</v>
      </c>
      <c r="C40" s="499">
        <f>'Exhibit I,1'!I40</f>
        <v>161011.50997043226</v>
      </c>
      <c r="E40" s="289">
        <f>'Exhibit L,2'!E40</f>
        <v>0.52784480299949676</v>
      </c>
      <c r="G40" s="54">
        <f>'Exhibit G,3'!R40</f>
        <v>0</v>
      </c>
      <c r="H40" s="187"/>
      <c r="I40" s="494">
        <f t="shared" si="0"/>
        <v>84989.088760994331</v>
      </c>
      <c r="J40" s="494"/>
      <c r="K40" s="494">
        <f t="shared" si="1"/>
        <v>0</v>
      </c>
    </row>
    <row r="41" spans="1:20">
      <c r="A41" s="6">
        <f t="shared" si="2"/>
        <v>2019</v>
      </c>
      <c r="C41" s="499">
        <f>'Exhibit I,1'!I41</f>
        <v>267110.93484885781</v>
      </c>
      <c r="E41" s="289">
        <f>'Exhibit L,2'!E41</f>
        <v>0.67853276855839917</v>
      </c>
      <c r="G41" s="54">
        <f>'Exhibit G,3'!R41</f>
        <v>183260.52000000002</v>
      </c>
      <c r="H41" s="187"/>
      <c r="I41" s="494">
        <f t="shared" si="0"/>
        <v>364504.04213521769</v>
      </c>
      <c r="J41" s="494"/>
      <c r="K41" s="494">
        <f t="shared" si="1"/>
        <v>570075.27385661996</v>
      </c>
    </row>
    <row r="42" spans="1:20">
      <c r="A42" s="6">
        <f t="shared" si="2"/>
        <v>2020</v>
      </c>
      <c r="C42" s="499">
        <f>'Exhibit I,1'!I42</f>
        <v>108944.86390670027</v>
      </c>
      <c r="E42" s="289">
        <f>'Exhibit L,2'!E42</f>
        <v>0.83832589347493358</v>
      </c>
      <c r="G42" s="54">
        <f>'Exhibit G,3'!R42</f>
        <v>0</v>
      </c>
      <c r="H42" s="187"/>
      <c r="I42" s="494">
        <f t="shared" si="0"/>
        <v>91331.300374089536</v>
      </c>
      <c r="J42" s="494"/>
      <c r="K42" s="494">
        <f t="shared" si="1"/>
        <v>0</v>
      </c>
    </row>
    <row r="43" spans="1:20">
      <c r="A43" s="6">
        <f t="shared" si="2"/>
        <v>2021</v>
      </c>
      <c r="C43" s="499">
        <f>'Exhibit I,1'!I43</f>
        <v>54748.054057480716</v>
      </c>
      <c r="E43" s="289">
        <f>'Exhibit L,2'!E43</f>
        <v>0.95524247689024611</v>
      </c>
      <c r="G43" s="54">
        <f>'Exhibit G,3'!R43</f>
        <v>0</v>
      </c>
      <c r="H43" s="187"/>
      <c r="I43" s="494">
        <f t="shared" si="0"/>
        <v>52297.666762788969</v>
      </c>
      <c r="J43" s="494"/>
      <c r="K43" s="494">
        <f t="shared" si="1"/>
        <v>0</v>
      </c>
    </row>
    <row r="44" spans="1:20">
      <c r="A44" s="6">
        <f t="shared" si="2"/>
        <v>2022</v>
      </c>
      <c r="C44" s="499">
        <f>'Exhibit I,1'!I44</f>
        <v>163738.93846961251</v>
      </c>
      <c r="E44" s="289">
        <f>'Exhibit L,2'!E44</f>
        <v>0.99632443060609488</v>
      </c>
      <c r="G44" s="54">
        <f>'Exhibit G,3'!R44</f>
        <v>0</v>
      </c>
      <c r="H44" s="187"/>
      <c r="I44" s="494">
        <f t="shared" si="0"/>
        <v>163137.10463878309</v>
      </c>
      <c r="J44" s="494"/>
      <c r="K44" s="494">
        <f t="shared" si="1"/>
        <v>0</v>
      </c>
    </row>
    <row r="45" spans="1:20">
      <c r="A45" s="6"/>
      <c r="C45" s="105"/>
      <c r="G45" s="290"/>
      <c r="I45" s="290"/>
      <c r="K45" s="290"/>
    </row>
    <row r="46" spans="1:20">
      <c r="A46" s="6" t="s">
        <v>0</v>
      </c>
      <c r="C46" s="26">
        <f>SUM(C16:C45)</f>
        <v>4749379.8500092495</v>
      </c>
      <c r="G46" s="26">
        <f>SUM(G16:G45)</f>
        <v>3807503.3199999994</v>
      </c>
      <c r="I46" s="26">
        <f>SUM(I16:I45)</f>
        <v>4620392.0035011247</v>
      </c>
      <c r="K46" s="26">
        <f>SUM(K16:K45)</f>
        <v>4400011.5952819362</v>
      </c>
    </row>
    <row r="48" spans="1:20">
      <c r="A48" s="2"/>
      <c r="C48" s="26"/>
      <c r="G48" s="26"/>
      <c r="I48" s="26"/>
      <c r="K48" s="26"/>
    </row>
    <row r="50" spans="1:3">
      <c r="A50" s="64" t="s">
        <v>104</v>
      </c>
      <c r="C50" s="3" t="s">
        <v>232</v>
      </c>
    </row>
    <row r="51" spans="1:3">
      <c r="A51" s="64" t="s">
        <v>36</v>
      </c>
      <c r="C51" s="3" t="s">
        <v>365</v>
      </c>
    </row>
    <row r="52" spans="1:3">
      <c r="A52" s="64" t="s">
        <v>38</v>
      </c>
      <c r="C52" s="3" t="s">
        <v>740</v>
      </c>
    </row>
    <row r="53" spans="1:3">
      <c r="A53" s="64" t="s">
        <v>40</v>
      </c>
      <c r="C53" s="3" t="s">
        <v>910</v>
      </c>
    </row>
    <row r="54" spans="1:3">
      <c r="A54" s="64" t="s">
        <v>42</v>
      </c>
      <c r="C54" s="3" t="s">
        <v>472</v>
      </c>
    </row>
  </sheetData>
  <printOptions horizontalCentered="1"/>
  <pageMargins left="0.7" right="0.7" top="0.75" bottom="0.75" header="0.3" footer="0.3"/>
  <pageSetup scale="82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8">
    <pageSetUpPr fitToPage="1"/>
  </sheetPr>
  <dimension ref="A1:Z54"/>
  <sheetViews>
    <sheetView zoomScaleNormal="100" workbookViewId="0">
      <selection activeCell="I37" sqref="I37"/>
    </sheetView>
  </sheetViews>
  <sheetFormatPr baseColWidth="10" defaultColWidth="8.7109375" defaultRowHeight="15"/>
  <cols>
    <col min="1" max="1" width="9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9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5" width="8.7109375" style="1"/>
    <col min="16" max="22" width="12.7109375" style="1" customWidth="1"/>
    <col min="23" max="24" width="8.7109375" style="1"/>
    <col min="25" max="26" width="12.7109375" style="1" customWidth="1"/>
    <col min="27" max="16384" width="8.7109375" style="1"/>
  </cols>
  <sheetData>
    <row r="1" spans="1:26">
      <c r="K1" s="64" t="s">
        <v>102</v>
      </c>
    </row>
    <row r="2" spans="1:26">
      <c r="K2" s="52" t="s">
        <v>66</v>
      </c>
    </row>
    <row r="4" spans="1:26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140"/>
      <c r="M4" s="140"/>
      <c r="N4" s="140"/>
    </row>
    <row r="5" spans="1:26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</row>
    <row r="6" spans="1:26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  <c r="L6" s="140"/>
      <c r="M6" s="140"/>
      <c r="N6" s="140"/>
    </row>
    <row r="7" spans="1:26">
      <c r="A7" s="5" t="s">
        <v>359</v>
      </c>
      <c r="B7" s="5"/>
      <c r="C7" s="5"/>
      <c r="D7" s="5"/>
      <c r="E7" s="5"/>
      <c r="F7" s="5"/>
      <c r="G7" s="5"/>
      <c r="H7" s="5"/>
      <c r="I7" s="5"/>
      <c r="J7" s="5"/>
      <c r="K7" s="5"/>
      <c r="L7" s="140"/>
      <c r="M7" s="140"/>
      <c r="N7" s="140"/>
    </row>
    <row r="8" spans="1:26">
      <c r="A8" s="5" t="s">
        <v>97</v>
      </c>
      <c r="B8" s="5"/>
      <c r="C8" s="5"/>
      <c r="D8" s="5"/>
      <c r="E8" s="5"/>
      <c r="F8" s="5"/>
      <c r="G8" s="5"/>
      <c r="H8" s="5"/>
      <c r="I8" s="5"/>
      <c r="J8" s="5"/>
      <c r="K8" s="5"/>
      <c r="L8" s="140"/>
      <c r="M8" s="140"/>
      <c r="N8" s="140"/>
    </row>
    <row r="9" spans="1:26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</row>
    <row r="11" spans="1:26">
      <c r="C11" s="5" t="s">
        <v>13</v>
      </c>
      <c r="E11" s="5" t="s">
        <v>13</v>
      </c>
      <c r="G11" s="5" t="s">
        <v>13</v>
      </c>
      <c r="P11" s="25" t="s">
        <v>1358</v>
      </c>
      <c r="Q11" s="593">
        <v>2022</v>
      </c>
      <c r="R11" s="593">
        <v>2022</v>
      </c>
      <c r="S11" s="44" t="s">
        <v>2</v>
      </c>
      <c r="T11" s="44" t="s">
        <v>2</v>
      </c>
      <c r="U11" s="44" t="s">
        <v>12</v>
      </c>
      <c r="Y11" s="25" t="s">
        <v>706</v>
      </c>
      <c r="Z11" s="61"/>
    </row>
    <row r="12" spans="1:26">
      <c r="A12" s="6" t="s">
        <v>3</v>
      </c>
      <c r="C12" s="6" t="s">
        <v>7</v>
      </c>
      <c r="E12" s="6" t="s">
        <v>7</v>
      </c>
      <c r="G12" s="2" t="s">
        <v>14</v>
      </c>
      <c r="I12" s="7" t="s">
        <v>1612</v>
      </c>
      <c r="J12" s="8"/>
      <c r="K12" s="8"/>
      <c r="O12" s="25" t="s">
        <v>3</v>
      </c>
      <c r="P12" s="25" t="s">
        <v>177</v>
      </c>
      <c r="Q12" s="44" t="s">
        <v>1610</v>
      </c>
      <c r="R12" s="44" t="s">
        <v>1610</v>
      </c>
      <c r="S12" s="44" t="s">
        <v>1610</v>
      </c>
      <c r="T12" s="44" t="s">
        <v>1610</v>
      </c>
      <c r="U12" s="44" t="s">
        <v>119</v>
      </c>
      <c r="Y12" s="25" t="s">
        <v>0</v>
      </c>
      <c r="Z12" s="61"/>
    </row>
    <row r="13" spans="1:26">
      <c r="A13" s="6" t="s">
        <v>4</v>
      </c>
      <c r="C13" s="6" t="s">
        <v>55</v>
      </c>
      <c r="E13" s="6" t="s">
        <v>63</v>
      </c>
      <c r="G13" s="2" t="s">
        <v>55</v>
      </c>
      <c r="I13" s="2" t="s">
        <v>153</v>
      </c>
      <c r="K13" s="2" t="s">
        <v>154</v>
      </c>
      <c r="O13" s="25" t="s">
        <v>4</v>
      </c>
      <c r="P13" s="25" t="s">
        <v>16</v>
      </c>
      <c r="Q13" s="44" t="s">
        <v>1611</v>
      </c>
      <c r="R13" s="45" t="s">
        <v>525</v>
      </c>
      <c r="S13" s="44" t="s">
        <v>1611</v>
      </c>
      <c r="T13" s="45" t="s">
        <v>525</v>
      </c>
      <c r="U13" s="568" t="s">
        <v>1590</v>
      </c>
      <c r="Y13" s="61" t="s">
        <v>735</v>
      </c>
      <c r="Z13" s="61" t="s">
        <v>18</v>
      </c>
    </row>
    <row r="14" spans="1:26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  <c r="O14" s="143">
        <v>-1</v>
      </c>
      <c r="P14" s="143">
        <f t="shared" ref="P14:U14" si="0">O14-1</f>
        <v>-2</v>
      </c>
      <c r="Q14" s="143">
        <f t="shared" si="0"/>
        <v>-3</v>
      </c>
      <c r="R14" s="143">
        <f t="shared" si="0"/>
        <v>-4</v>
      </c>
      <c r="S14" s="143">
        <f t="shared" si="0"/>
        <v>-5</v>
      </c>
      <c r="T14" s="143">
        <f t="shared" si="0"/>
        <v>-6</v>
      </c>
      <c r="U14" s="143">
        <f t="shared" si="0"/>
        <v>-7</v>
      </c>
      <c r="Y14" s="143">
        <f>W15-1</f>
        <v>-1</v>
      </c>
      <c r="Z14" s="143">
        <f>W15-1</f>
        <v>-1</v>
      </c>
    </row>
    <row r="15" spans="1:26">
      <c r="O15" s="277"/>
      <c r="Q15" s="25"/>
      <c r="R15" s="25"/>
      <c r="S15" s="25"/>
      <c r="T15" s="25"/>
      <c r="U15" s="25"/>
      <c r="Y15" s="61"/>
      <c r="Z15" s="61"/>
    </row>
    <row r="16" spans="1:26">
      <c r="A16" s="6">
        <v>1994</v>
      </c>
      <c r="C16" s="147">
        <f>'Exhibit I,1'!I16</f>
        <v>0</v>
      </c>
      <c r="E16" s="289">
        <f>'Exhibit L,3'!E16</f>
        <v>0</v>
      </c>
      <c r="G16" s="147">
        <f>Q16</f>
        <v>0</v>
      </c>
      <c r="H16" s="147"/>
      <c r="I16" s="147">
        <f>C16*E16+G16</f>
        <v>0</v>
      </c>
      <c r="J16" s="147"/>
      <c r="K16" s="147">
        <f>G16/(1-E16)</f>
        <v>0</v>
      </c>
      <c r="O16" s="25">
        <v>1994</v>
      </c>
      <c r="Q16" s="95">
        <v>0</v>
      </c>
      <c r="R16" s="95">
        <v>0</v>
      </c>
      <c r="S16" s="95">
        <v>0</v>
      </c>
      <c r="T16" s="95">
        <v>0</v>
      </c>
      <c r="U16" s="95">
        <f>R16-T16</f>
        <v>0</v>
      </c>
      <c r="Y16" s="205">
        <v>0</v>
      </c>
      <c r="Z16" s="84">
        <f t="shared" ref="Z16:Z23" si="1">G16-Y16</f>
        <v>0</v>
      </c>
    </row>
    <row r="17" spans="1:26">
      <c r="A17" s="6">
        <f>A16+1</f>
        <v>1995</v>
      </c>
      <c r="C17" s="494">
        <f>'Exhibit I,1'!I17</f>
        <v>274068.21000000008</v>
      </c>
      <c r="E17" s="289">
        <f>'Exhibit L,3'!E17</f>
        <v>0</v>
      </c>
      <c r="G17" s="17">
        <f t="shared" ref="G17:G44" si="2">Q17</f>
        <v>274068.21000000002</v>
      </c>
      <c r="H17" s="187"/>
      <c r="I17" s="494">
        <f t="shared" ref="I17:I44" si="3">C17*E17+G17</f>
        <v>274068.21000000002</v>
      </c>
      <c r="J17" s="494"/>
      <c r="K17" s="494">
        <f t="shared" ref="K17:K44" si="4">G17/(1-E17)</f>
        <v>274068.21000000002</v>
      </c>
      <c r="O17" s="25">
        <f>O16+1</f>
        <v>1995</v>
      </c>
      <c r="Q17" s="95">
        <v>274068.21000000002</v>
      </c>
      <c r="R17" s="95">
        <v>274068.21000000002</v>
      </c>
      <c r="S17" s="95">
        <v>274068.21000000002</v>
      </c>
      <c r="T17" s="95">
        <v>274068.21000000002</v>
      </c>
      <c r="U17" s="95">
        <f t="shared" ref="U17:U43" si="5">R17-T17</f>
        <v>0</v>
      </c>
      <c r="Y17" s="205">
        <v>79846.209999999992</v>
      </c>
      <c r="Z17" s="84">
        <f t="shared" si="1"/>
        <v>194222.00000000003</v>
      </c>
    </row>
    <row r="18" spans="1:26">
      <c r="A18" s="6">
        <f t="shared" ref="A18:A44" si="6">A17+1</f>
        <v>1996</v>
      </c>
      <c r="C18" s="494">
        <f>'Exhibit I,1'!I18</f>
        <v>0</v>
      </c>
      <c r="E18" s="289">
        <f>'Exhibit L,3'!E18</f>
        <v>0</v>
      </c>
      <c r="G18" s="17">
        <f t="shared" si="2"/>
        <v>0</v>
      </c>
      <c r="H18" s="187"/>
      <c r="I18" s="494">
        <f t="shared" si="3"/>
        <v>0</v>
      </c>
      <c r="J18" s="494"/>
      <c r="K18" s="494">
        <f t="shared" si="4"/>
        <v>0</v>
      </c>
      <c r="O18" s="25">
        <f t="shared" ref="O18:O44" si="7">O17+1</f>
        <v>1996</v>
      </c>
      <c r="Q18" s="95">
        <v>0</v>
      </c>
      <c r="R18" s="95">
        <v>0</v>
      </c>
      <c r="S18" s="95">
        <v>0</v>
      </c>
      <c r="T18" s="95">
        <v>0</v>
      </c>
      <c r="U18" s="95">
        <f t="shared" si="5"/>
        <v>0</v>
      </c>
      <c r="Y18" s="205">
        <v>0</v>
      </c>
      <c r="Z18" s="84">
        <f t="shared" si="1"/>
        <v>0</v>
      </c>
    </row>
    <row r="19" spans="1:26">
      <c r="A19" s="6">
        <f t="shared" si="6"/>
        <v>1997</v>
      </c>
      <c r="C19" s="494">
        <f>'Exhibit I,1'!I19</f>
        <v>1415179.7500000002</v>
      </c>
      <c r="E19" s="289">
        <f>'Exhibit L,3'!E19</f>
        <v>0</v>
      </c>
      <c r="G19" s="17">
        <f t="shared" si="2"/>
        <v>1415179.75</v>
      </c>
      <c r="H19" s="187"/>
      <c r="I19" s="494">
        <f t="shared" si="3"/>
        <v>1415179.75</v>
      </c>
      <c r="J19" s="494"/>
      <c r="K19" s="494">
        <f t="shared" si="4"/>
        <v>1415179.75</v>
      </c>
      <c r="O19" s="25">
        <f t="shared" si="7"/>
        <v>1997</v>
      </c>
      <c r="Q19" s="95">
        <v>1415179.75</v>
      </c>
      <c r="R19" s="95">
        <v>1415179.75</v>
      </c>
      <c r="S19" s="95">
        <v>1415179.75</v>
      </c>
      <c r="T19" s="95">
        <v>1415179.75</v>
      </c>
      <c r="U19" s="95">
        <f t="shared" si="5"/>
        <v>0</v>
      </c>
      <c r="Y19" s="205">
        <v>274068.21000000002</v>
      </c>
      <c r="Z19" s="84">
        <f t="shared" si="1"/>
        <v>1141111.54</v>
      </c>
    </row>
    <row r="20" spans="1:26">
      <c r="A20" s="6">
        <f t="shared" si="6"/>
        <v>1998</v>
      </c>
      <c r="C20" s="494">
        <f>'Exhibit I,1'!I20</f>
        <v>207108.4</v>
      </c>
      <c r="E20" s="289">
        <f>'Exhibit L,3'!E20</f>
        <v>0</v>
      </c>
      <c r="G20" s="17">
        <f t="shared" si="2"/>
        <v>207108.40000000002</v>
      </c>
      <c r="H20" s="187"/>
      <c r="I20" s="494">
        <f t="shared" si="3"/>
        <v>207108.40000000002</v>
      </c>
      <c r="J20" s="494"/>
      <c r="K20" s="494">
        <f t="shared" si="4"/>
        <v>207108.40000000002</v>
      </c>
      <c r="O20" s="25">
        <f t="shared" si="7"/>
        <v>1998</v>
      </c>
      <c r="Q20" s="95">
        <v>207108.40000000002</v>
      </c>
      <c r="R20" s="95">
        <v>207108.40000000002</v>
      </c>
      <c r="S20" s="95">
        <v>207108.40000000002</v>
      </c>
      <c r="T20" s="95">
        <v>207108.40000000002</v>
      </c>
      <c r="U20" s="95">
        <f t="shared" si="5"/>
        <v>0</v>
      </c>
      <c r="Y20" s="205">
        <v>0</v>
      </c>
      <c r="Z20" s="84">
        <f t="shared" si="1"/>
        <v>207108.40000000002</v>
      </c>
    </row>
    <row r="21" spans="1:26">
      <c r="A21" s="6">
        <f t="shared" si="6"/>
        <v>1999</v>
      </c>
      <c r="C21" s="494">
        <f>'Exhibit I,1'!I21</f>
        <v>0</v>
      </c>
      <c r="E21" s="289">
        <f>'Exhibit L,3'!E21</f>
        <v>0</v>
      </c>
      <c r="G21" s="17">
        <f t="shared" si="2"/>
        <v>0</v>
      </c>
      <c r="H21" s="187"/>
      <c r="I21" s="494">
        <f t="shared" si="3"/>
        <v>0</v>
      </c>
      <c r="J21" s="494"/>
      <c r="K21" s="494">
        <f t="shared" si="4"/>
        <v>0</v>
      </c>
      <c r="O21" s="25">
        <f t="shared" si="7"/>
        <v>1999</v>
      </c>
      <c r="Q21" s="95">
        <v>0</v>
      </c>
      <c r="R21" s="95">
        <v>0</v>
      </c>
      <c r="S21" s="95">
        <v>0</v>
      </c>
      <c r="T21" s="95">
        <v>0</v>
      </c>
      <c r="U21" s="95">
        <f t="shared" si="5"/>
        <v>0</v>
      </c>
      <c r="Y21" s="205">
        <v>1415179.75</v>
      </c>
      <c r="Z21" s="84">
        <f t="shared" si="1"/>
        <v>-1415179.75</v>
      </c>
    </row>
    <row r="22" spans="1:26">
      <c r="A22" s="6">
        <f t="shared" si="6"/>
        <v>2000</v>
      </c>
      <c r="C22" s="494">
        <f>'Exhibit I,1'!I22</f>
        <v>139204.46000000005</v>
      </c>
      <c r="E22" s="289">
        <f>'Exhibit L,3'!E22</f>
        <v>0</v>
      </c>
      <c r="G22" s="17">
        <f t="shared" si="2"/>
        <v>139204.46</v>
      </c>
      <c r="H22" s="187"/>
      <c r="I22" s="494">
        <f t="shared" si="3"/>
        <v>139204.46</v>
      </c>
      <c r="J22" s="494"/>
      <c r="K22" s="494">
        <f t="shared" si="4"/>
        <v>139204.46</v>
      </c>
      <c r="O22" s="25">
        <f t="shared" si="7"/>
        <v>2000</v>
      </c>
      <c r="Q22" s="95">
        <v>139204.46</v>
      </c>
      <c r="R22" s="95">
        <v>139204.45999999996</v>
      </c>
      <c r="S22" s="95">
        <v>139204.46</v>
      </c>
      <c r="T22" s="95">
        <v>139204.46</v>
      </c>
      <c r="U22" s="95">
        <f t="shared" si="5"/>
        <v>0</v>
      </c>
      <c r="Y22" s="205">
        <v>207108.40000000002</v>
      </c>
      <c r="Z22" s="84">
        <f t="shared" si="1"/>
        <v>-67903.940000000031</v>
      </c>
    </row>
    <row r="23" spans="1:26">
      <c r="A23" s="6">
        <f t="shared" si="6"/>
        <v>2001</v>
      </c>
      <c r="C23" s="494">
        <f>'Exhibit I,1'!I23</f>
        <v>355647.08000000007</v>
      </c>
      <c r="E23" s="289">
        <f>'Exhibit L,3'!E23</f>
        <v>0</v>
      </c>
      <c r="G23" s="17">
        <f t="shared" si="2"/>
        <v>355647.08</v>
      </c>
      <c r="H23" s="187"/>
      <c r="I23" s="494">
        <f t="shared" si="3"/>
        <v>355647.08</v>
      </c>
      <c r="J23" s="494"/>
      <c r="K23" s="494">
        <f t="shared" si="4"/>
        <v>355647.08</v>
      </c>
      <c r="O23" s="25">
        <f t="shared" si="7"/>
        <v>2001</v>
      </c>
      <c r="Q23" s="95">
        <v>355647.08</v>
      </c>
      <c r="R23" s="95">
        <v>355647.08000000007</v>
      </c>
      <c r="S23" s="95">
        <v>355647.08</v>
      </c>
      <c r="T23" s="95">
        <v>355647.08</v>
      </c>
      <c r="U23" s="95">
        <f t="shared" si="5"/>
        <v>0</v>
      </c>
      <c r="Y23" s="205">
        <v>0</v>
      </c>
      <c r="Z23" s="84">
        <f t="shared" si="1"/>
        <v>355647.08</v>
      </c>
    </row>
    <row r="24" spans="1:26">
      <c r="A24" s="6">
        <f t="shared" si="6"/>
        <v>2002</v>
      </c>
      <c r="C24" s="494">
        <f>'Exhibit I,1'!I24</f>
        <v>0</v>
      </c>
      <c r="E24" s="289">
        <f>'Exhibit L,3'!E24</f>
        <v>0</v>
      </c>
      <c r="G24" s="17">
        <f t="shared" si="2"/>
        <v>0</v>
      </c>
      <c r="H24" s="187"/>
      <c r="I24" s="494">
        <f t="shared" si="3"/>
        <v>0</v>
      </c>
      <c r="J24" s="494"/>
      <c r="K24" s="494">
        <f t="shared" si="4"/>
        <v>0</v>
      </c>
      <c r="O24" s="25">
        <f t="shared" si="7"/>
        <v>2002</v>
      </c>
      <c r="Q24" s="95">
        <v>0</v>
      </c>
      <c r="R24" s="95">
        <v>0</v>
      </c>
      <c r="S24" s="95">
        <v>0</v>
      </c>
      <c r="T24" s="95">
        <v>0</v>
      </c>
      <c r="U24" s="95">
        <f t="shared" si="5"/>
        <v>0</v>
      </c>
      <c r="Y24" s="205">
        <v>139204.46</v>
      </c>
      <c r="Z24" s="84">
        <f>G24-Y24</f>
        <v>-139204.46</v>
      </c>
    </row>
    <row r="25" spans="1:26">
      <c r="A25" s="6">
        <f t="shared" si="6"/>
        <v>2003</v>
      </c>
      <c r="C25" s="494">
        <f>'Exhibit I,1'!I25</f>
        <v>227752.87999999995</v>
      </c>
      <c r="E25" s="289">
        <f>'Exhibit L,3'!E25</f>
        <v>0</v>
      </c>
      <c r="G25" s="17">
        <f t="shared" si="2"/>
        <v>227752.88</v>
      </c>
      <c r="H25" s="187"/>
      <c r="I25" s="494">
        <f t="shared" si="3"/>
        <v>227752.88</v>
      </c>
      <c r="J25" s="494"/>
      <c r="K25" s="494">
        <f t="shared" si="4"/>
        <v>227752.88</v>
      </c>
      <c r="O25" s="25">
        <f t="shared" si="7"/>
        <v>2003</v>
      </c>
      <c r="Q25" s="95">
        <v>227752.88</v>
      </c>
      <c r="R25" s="95">
        <v>227752.87999999989</v>
      </c>
      <c r="S25" s="95">
        <v>227752.88</v>
      </c>
      <c r="T25" s="95">
        <v>227752.88</v>
      </c>
      <c r="U25" s="95">
        <f t="shared" si="5"/>
        <v>0</v>
      </c>
      <c r="Y25" s="205">
        <v>355647.08</v>
      </c>
      <c r="Z25" s="84">
        <f t="shared" ref="Z25:Z44" si="8">G25-Y25</f>
        <v>-127894.20000000001</v>
      </c>
    </row>
    <row r="26" spans="1:26">
      <c r="A26" s="6">
        <f t="shared" si="6"/>
        <v>2004</v>
      </c>
      <c r="C26" s="494">
        <f>'Exhibit I,1'!I26</f>
        <v>0</v>
      </c>
      <c r="E26" s="289">
        <f>'Exhibit L,3'!E26</f>
        <v>0</v>
      </c>
      <c r="G26" s="17">
        <f t="shared" si="2"/>
        <v>0</v>
      </c>
      <c r="H26" s="187"/>
      <c r="I26" s="494">
        <f t="shared" si="3"/>
        <v>0</v>
      </c>
      <c r="J26" s="494"/>
      <c r="K26" s="494">
        <f t="shared" si="4"/>
        <v>0</v>
      </c>
      <c r="O26" s="25">
        <f t="shared" si="7"/>
        <v>2004</v>
      </c>
      <c r="Q26" s="95">
        <v>0</v>
      </c>
      <c r="R26" s="95">
        <v>0</v>
      </c>
      <c r="S26" s="95">
        <v>0</v>
      </c>
      <c r="T26" s="95">
        <v>0</v>
      </c>
      <c r="U26" s="95">
        <f t="shared" si="5"/>
        <v>0</v>
      </c>
      <c r="Y26" s="205">
        <v>0</v>
      </c>
      <c r="Z26" s="84">
        <f t="shared" si="8"/>
        <v>0</v>
      </c>
    </row>
    <row r="27" spans="1:26">
      <c r="A27" s="6">
        <f t="shared" si="6"/>
        <v>2005</v>
      </c>
      <c r="C27" s="494">
        <f>'Exhibit I,1'!I27</f>
        <v>53771.830000000176</v>
      </c>
      <c r="E27" s="289">
        <f>'Exhibit L,3'!E27</f>
        <v>0</v>
      </c>
      <c r="G27" s="17">
        <f t="shared" si="2"/>
        <v>53771.83</v>
      </c>
      <c r="H27" s="187"/>
      <c r="I27" s="494">
        <f t="shared" si="3"/>
        <v>53771.83</v>
      </c>
      <c r="J27" s="494"/>
      <c r="K27" s="494">
        <f t="shared" si="4"/>
        <v>53771.83</v>
      </c>
      <c r="O27" s="25">
        <f t="shared" si="7"/>
        <v>2005</v>
      </c>
      <c r="Q27" s="95">
        <v>53771.83</v>
      </c>
      <c r="R27" s="95">
        <v>53771.829999999609</v>
      </c>
      <c r="S27" s="95">
        <v>53771.83</v>
      </c>
      <c r="T27" s="95">
        <v>53771.83</v>
      </c>
      <c r="U27" s="95">
        <f t="shared" si="5"/>
        <v>-3.92901711165905E-10</v>
      </c>
      <c r="Y27" s="205">
        <v>227752.88</v>
      </c>
      <c r="Z27" s="84">
        <f t="shared" si="8"/>
        <v>-173981.05</v>
      </c>
    </row>
    <row r="28" spans="1:26">
      <c r="A28" s="6">
        <f t="shared" si="6"/>
        <v>2006</v>
      </c>
      <c r="C28" s="494">
        <f>'Exhibit I,1'!I28</f>
        <v>0</v>
      </c>
      <c r="E28" s="289">
        <f>'Exhibit L,3'!E28</f>
        <v>0</v>
      </c>
      <c r="G28" s="17">
        <f t="shared" si="2"/>
        <v>0</v>
      </c>
      <c r="H28" s="187"/>
      <c r="I28" s="494">
        <f t="shared" si="3"/>
        <v>0</v>
      </c>
      <c r="J28" s="494"/>
      <c r="K28" s="494">
        <f t="shared" si="4"/>
        <v>0</v>
      </c>
      <c r="O28" s="25">
        <f t="shared" si="7"/>
        <v>2006</v>
      </c>
      <c r="Q28" s="95">
        <v>0</v>
      </c>
      <c r="R28" s="95">
        <v>0</v>
      </c>
      <c r="S28" s="95">
        <v>0</v>
      </c>
      <c r="T28" s="95">
        <v>0</v>
      </c>
      <c r="U28" s="95">
        <f t="shared" si="5"/>
        <v>0</v>
      </c>
      <c r="Y28" s="205">
        <v>0</v>
      </c>
      <c r="Z28" s="84">
        <f t="shared" si="8"/>
        <v>0</v>
      </c>
    </row>
    <row r="29" spans="1:26">
      <c r="A29" s="6">
        <f t="shared" si="6"/>
        <v>2007</v>
      </c>
      <c r="C29" s="494">
        <f>'Exhibit I,1'!I29</f>
        <v>95234.08000000006</v>
      </c>
      <c r="E29" s="289">
        <f>'Exhibit L,3'!E29</f>
        <v>0</v>
      </c>
      <c r="G29" s="17">
        <f t="shared" si="2"/>
        <v>95234.08</v>
      </c>
      <c r="H29" s="187"/>
      <c r="I29" s="494">
        <f t="shared" si="3"/>
        <v>95234.08</v>
      </c>
      <c r="J29" s="494"/>
      <c r="K29" s="494">
        <f t="shared" si="4"/>
        <v>95234.08</v>
      </c>
      <c r="O29" s="25">
        <f t="shared" si="7"/>
        <v>2007</v>
      </c>
      <c r="Q29" s="95">
        <v>95234.08</v>
      </c>
      <c r="R29" s="95">
        <v>95234.080000000075</v>
      </c>
      <c r="S29" s="95">
        <v>95234.08</v>
      </c>
      <c r="T29" s="95">
        <v>95234.08</v>
      </c>
      <c r="U29" s="95">
        <f t="shared" si="5"/>
        <v>0</v>
      </c>
      <c r="Y29" s="205">
        <v>53771.83</v>
      </c>
      <c r="Z29" s="84">
        <f t="shared" si="8"/>
        <v>41462.25</v>
      </c>
    </row>
    <row r="30" spans="1:26">
      <c r="A30" s="6">
        <f t="shared" si="6"/>
        <v>2008</v>
      </c>
      <c r="C30" s="494">
        <f>'Exhibit I,1'!I30</f>
        <v>0</v>
      </c>
      <c r="E30" s="289">
        <f>'Exhibit L,3'!E30</f>
        <v>0</v>
      </c>
      <c r="G30" s="17">
        <f t="shared" si="2"/>
        <v>0</v>
      </c>
      <c r="H30" s="187"/>
      <c r="I30" s="494">
        <f t="shared" si="3"/>
        <v>0</v>
      </c>
      <c r="J30" s="494"/>
      <c r="K30" s="494">
        <f t="shared" si="4"/>
        <v>0</v>
      </c>
      <c r="O30" s="25">
        <f t="shared" si="7"/>
        <v>2008</v>
      </c>
      <c r="Q30" s="95">
        <v>0</v>
      </c>
      <c r="R30" s="95">
        <v>0</v>
      </c>
      <c r="S30" s="95">
        <v>0</v>
      </c>
      <c r="T30" s="95">
        <v>0</v>
      </c>
      <c r="U30" s="95">
        <f t="shared" si="5"/>
        <v>0</v>
      </c>
      <c r="Y30" s="205">
        <v>0</v>
      </c>
      <c r="Z30" s="84">
        <f t="shared" si="8"/>
        <v>0</v>
      </c>
    </row>
    <row r="31" spans="1:26">
      <c r="A31" s="6">
        <f t="shared" si="6"/>
        <v>2009</v>
      </c>
      <c r="C31" s="494">
        <f>'Exhibit I,1'!I31</f>
        <v>0</v>
      </c>
      <c r="E31" s="289">
        <f>'Exhibit L,3'!E31</f>
        <v>0</v>
      </c>
      <c r="G31" s="17">
        <f t="shared" si="2"/>
        <v>0</v>
      </c>
      <c r="H31" s="187"/>
      <c r="I31" s="494">
        <f t="shared" si="3"/>
        <v>0</v>
      </c>
      <c r="J31" s="494"/>
      <c r="K31" s="494">
        <f t="shared" si="4"/>
        <v>0</v>
      </c>
      <c r="O31" s="25">
        <f t="shared" si="7"/>
        <v>2009</v>
      </c>
      <c r="Q31" s="95">
        <v>0</v>
      </c>
      <c r="R31" s="95">
        <v>0</v>
      </c>
      <c r="S31" s="95">
        <v>0</v>
      </c>
      <c r="T31" s="95">
        <v>0</v>
      </c>
      <c r="U31" s="95">
        <f t="shared" si="5"/>
        <v>0</v>
      </c>
      <c r="Y31" s="205">
        <v>95234.08</v>
      </c>
      <c r="Z31" s="84">
        <f t="shared" si="8"/>
        <v>-95234.08</v>
      </c>
    </row>
    <row r="32" spans="1:26">
      <c r="A32" s="6">
        <f t="shared" si="6"/>
        <v>2010</v>
      </c>
      <c r="C32" s="494">
        <f>'Exhibit I,1'!I32</f>
        <v>0</v>
      </c>
      <c r="E32" s="289">
        <f>'Exhibit L,3'!E32</f>
        <v>9.4886289035756022E-5</v>
      </c>
      <c r="G32" s="17">
        <f t="shared" si="2"/>
        <v>0</v>
      </c>
      <c r="H32" s="187"/>
      <c r="I32" s="494">
        <f t="shared" si="3"/>
        <v>0</v>
      </c>
      <c r="J32" s="494"/>
      <c r="K32" s="494">
        <f t="shared" si="4"/>
        <v>0</v>
      </c>
      <c r="O32" s="25">
        <f t="shared" si="7"/>
        <v>2010</v>
      </c>
      <c r="Q32" s="95">
        <v>0</v>
      </c>
      <c r="R32" s="95">
        <v>0</v>
      </c>
      <c r="S32" s="95">
        <v>0</v>
      </c>
      <c r="T32" s="95">
        <v>0</v>
      </c>
      <c r="U32" s="95">
        <f t="shared" si="5"/>
        <v>0</v>
      </c>
      <c r="Y32" s="205">
        <v>0</v>
      </c>
      <c r="Z32" s="84">
        <f t="shared" si="8"/>
        <v>0</v>
      </c>
    </row>
    <row r="33" spans="1:26">
      <c r="A33" s="6">
        <f t="shared" si="6"/>
        <v>2011</v>
      </c>
      <c r="C33" s="494">
        <f>'Exhibit I,1'!I33</f>
        <v>0</v>
      </c>
      <c r="E33" s="289">
        <f>'Exhibit L,3'!E33</f>
        <v>8.4150088061685224E-4</v>
      </c>
      <c r="G33" s="17">
        <f t="shared" si="2"/>
        <v>0</v>
      </c>
      <c r="H33" s="187"/>
      <c r="I33" s="494">
        <f t="shared" si="3"/>
        <v>0</v>
      </c>
      <c r="J33" s="494"/>
      <c r="K33" s="494">
        <f t="shared" si="4"/>
        <v>0</v>
      </c>
      <c r="O33" s="25">
        <f t="shared" si="7"/>
        <v>2011</v>
      </c>
      <c r="Q33" s="95">
        <v>0</v>
      </c>
      <c r="R33" s="95">
        <v>0</v>
      </c>
      <c r="S33" s="95">
        <v>0</v>
      </c>
      <c r="T33" s="95">
        <v>0</v>
      </c>
      <c r="U33" s="95">
        <f t="shared" si="5"/>
        <v>0</v>
      </c>
      <c r="Y33" s="205">
        <v>0</v>
      </c>
      <c r="Z33" s="84">
        <f t="shared" si="8"/>
        <v>0</v>
      </c>
    </row>
    <row r="34" spans="1:26">
      <c r="A34" s="6">
        <f t="shared" si="6"/>
        <v>2012</v>
      </c>
      <c r="C34" s="494">
        <f>'Exhibit I,1'!I34</f>
        <v>11.676426313374336</v>
      </c>
      <c r="E34" s="289">
        <f>'Exhibit L,3'!E34</f>
        <v>4.1795694643930181E-3</v>
      </c>
      <c r="G34" s="17">
        <f t="shared" si="2"/>
        <v>0</v>
      </c>
      <c r="H34" s="187"/>
      <c r="I34" s="494">
        <f t="shared" si="3"/>
        <v>4.8802434872614514E-2</v>
      </c>
      <c r="J34" s="494"/>
      <c r="K34" s="494">
        <f t="shared" si="4"/>
        <v>0</v>
      </c>
      <c r="O34" s="25">
        <f t="shared" si="7"/>
        <v>2012</v>
      </c>
      <c r="P34" s="20">
        <v>60418.264507058659</v>
      </c>
      <c r="Q34" s="95">
        <v>0</v>
      </c>
      <c r="R34" s="95">
        <v>0</v>
      </c>
      <c r="S34" s="95">
        <v>0</v>
      </c>
      <c r="T34" s="95">
        <v>0</v>
      </c>
      <c r="U34" s="95">
        <f t="shared" si="5"/>
        <v>0</v>
      </c>
      <c r="Y34" s="205">
        <v>0</v>
      </c>
      <c r="Z34" s="84">
        <f t="shared" si="8"/>
        <v>0</v>
      </c>
    </row>
    <row r="35" spans="1:26">
      <c r="A35" s="6">
        <f t="shared" si="6"/>
        <v>2013</v>
      </c>
      <c r="C35" s="494">
        <f>'Exhibit I,1'!I35</f>
        <v>77.025626309625679</v>
      </c>
      <c r="E35" s="289">
        <f>'Exhibit L,3'!E35</f>
        <v>1.5242288184162733E-2</v>
      </c>
      <c r="G35" s="17">
        <f t="shared" si="2"/>
        <v>0</v>
      </c>
      <c r="H35" s="187"/>
      <c r="I35" s="494">
        <f t="shared" si="3"/>
        <v>1.1740467937769417</v>
      </c>
      <c r="J35" s="494"/>
      <c r="K35" s="494">
        <f t="shared" si="4"/>
        <v>0</v>
      </c>
      <c r="O35" s="25">
        <f t="shared" si="7"/>
        <v>2013</v>
      </c>
      <c r="P35" s="20">
        <v>64491.388085083367</v>
      </c>
      <c r="Q35" s="95">
        <v>0</v>
      </c>
      <c r="R35" s="95">
        <v>0</v>
      </c>
      <c r="S35" s="95">
        <v>0</v>
      </c>
      <c r="T35" s="95">
        <v>0</v>
      </c>
      <c r="U35" s="95">
        <f t="shared" si="5"/>
        <v>0</v>
      </c>
      <c r="Y35" s="205">
        <v>0</v>
      </c>
      <c r="Z35" s="84">
        <f t="shared" si="8"/>
        <v>0</v>
      </c>
    </row>
    <row r="36" spans="1:26">
      <c r="A36" s="6">
        <f t="shared" si="6"/>
        <v>2014</v>
      </c>
      <c r="C36" s="494">
        <f>'Exhibit I,1'!I36</f>
        <v>3558.205812027209</v>
      </c>
      <c r="E36" s="289">
        <f>'Exhibit L,3'!E36</f>
        <v>5.1984045592144423E-2</v>
      </c>
      <c r="G36" s="17">
        <f t="shared" si="2"/>
        <v>0</v>
      </c>
      <c r="H36" s="187"/>
      <c r="I36" s="494">
        <f t="shared" si="3"/>
        <v>184.96993315865569</v>
      </c>
      <c r="J36" s="494"/>
      <c r="K36" s="494">
        <f t="shared" si="4"/>
        <v>0</v>
      </c>
      <c r="O36" s="25">
        <f t="shared" si="7"/>
        <v>2014</v>
      </c>
      <c r="P36" s="20">
        <v>64564.150610409648</v>
      </c>
      <c r="Q36" s="95">
        <v>0</v>
      </c>
      <c r="R36" s="95">
        <v>0</v>
      </c>
      <c r="S36" s="95">
        <v>0</v>
      </c>
      <c r="T36" s="95">
        <v>0</v>
      </c>
      <c r="U36" s="95">
        <f t="shared" si="5"/>
        <v>0</v>
      </c>
      <c r="Y36" s="205">
        <v>0</v>
      </c>
      <c r="Z36" s="84">
        <f t="shared" si="8"/>
        <v>0</v>
      </c>
    </row>
    <row r="37" spans="1:26">
      <c r="A37" s="6">
        <f t="shared" si="6"/>
        <v>2015</v>
      </c>
      <c r="C37" s="494">
        <f>'Exhibit I,1'!I37</f>
        <v>18680.743987223243</v>
      </c>
      <c r="E37" s="289">
        <f>'Exhibit L,3'!E37</f>
        <v>0.13442066952846876</v>
      </c>
      <c r="G37" s="17">
        <f t="shared" si="2"/>
        <v>0</v>
      </c>
      <c r="H37" s="187"/>
      <c r="I37" s="494">
        <f t="shared" si="3"/>
        <v>2511.0781140524655</v>
      </c>
      <c r="J37" s="494"/>
      <c r="K37" s="494">
        <f t="shared" si="4"/>
        <v>0</v>
      </c>
      <c r="O37" s="25">
        <f t="shared" si="7"/>
        <v>2015</v>
      </c>
      <c r="P37" s="20">
        <v>64380.058494796765</v>
      </c>
      <c r="Q37" s="95">
        <v>0</v>
      </c>
      <c r="R37" s="95">
        <v>0</v>
      </c>
      <c r="S37" s="95">
        <v>0</v>
      </c>
      <c r="T37" s="95">
        <v>0</v>
      </c>
      <c r="U37" s="95">
        <f t="shared" si="5"/>
        <v>0</v>
      </c>
      <c r="Y37" s="205">
        <v>0</v>
      </c>
      <c r="Z37" s="84">
        <f t="shared" si="8"/>
        <v>0</v>
      </c>
    </row>
    <row r="38" spans="1:26">
      <c r="A38" s="6">
        <f t="shared" si="6"/>
        <v>2016</v>
      </c>
      <c r="C38" s="494">
        <f>'Exhibit I,1'!I38</f>
        <v>1168788.5377290288</v>
      </c>
      <c r="E38" s="289">
        <f>'Exhibit L,3'!E38</f>
        <v>0.31980938509853118</v>
      </c>
      <c r="G38" s="17">
        <f t="shared" si="2"/>
        <v>856276.11</v>
      </c>
      <c r="H38" s="187"/>
      <c r="I38" s="494">
        <f t="shared" si="3"/>
        <v>1230065.653561332</v>
      </c>
      <c r="J38" s="494"/>
      <c r="K38" s="494">
        <f t="shared" si="4"/>
        <v>1258876.6902113734</v>
      </c>
      <c r="O38" s="25">
        <f t="shared" si="7"/>
        <v>2016</v>
      </c>
      <c r="P38" s="20">
        <v>79914.036054836703</v>
      </c>
      <c r="Q38" s="95">
        <v>856276.11</v>
      </c>
      <c r="R38" s="95">
        <v>856276.10999999987</v>
      </c>
      <c r="S38" s="95">
        <v>856276.11</v>
      </c>
      <c r="T38" s="95">
        <v>1299610.1100000001</v>
      </c>
      <c r="U38" s="95">
        <f t="shared" si="5"/>
        <v>-443334.00000000023</v>
      </c>
      <c r="Y38" s="205">
        <v>0</v>
      </c>
      <c r="Z38" s="84">
        <f t="shared" si="8"/>
        <v>856276.11</v>
      </c>
    </row>
    <row r="39" spans="1:26">
      <c r="A39" s="6">
        <f t="shared" si="6"/>
        <v>2017</v>
      </c>
      <c r="C39" s="494">
        <f>'Exhibit I,1'!I39</f>
        <v>34742.66917526388</v>
      </c>
      <c r="E39" s="289">
        <f>'Exhibit L,3'!E39</f>
        <v>0.50078586597763564</v>
      </c>
      <c r="G39" s="17">
        <f t="shared" si="2"/>
        <v>0</v>
      </c>
      <c r="H39" s="187"/>
      <c r="I39" s="494">
        <f t="shared" si="3"/>
        <v>17398.637669309031</v>
      </c>
      <c r="J39" s="494"/>
      <c r="K39" s="494">
        <f t="shared" si="4"/>
        <v>0</v>
      </c>
      <c r="O39" s="25">
        <f t="shared" si="7"/>
        <v>2017</v>
      </c>
      <c r="P39" s="20">
        <v>209710.75638614531</v>
      </c>
      <c r="Q39" s="95">
        <v>0</v>
      </c>
      <c r="R39" s="95">
        <v>0</v>
      </c>
      <c r="S39" s="95">
        <v>0</v>
      </c>
      <c r="T39" s="95">
        <v>0</v>
      </c>
      <c r="U39" s="95">
        <f t="shared" si="5"/>
        <v>0</v>
      </c>
      <c r="Y39" s="205">
        <v>0</v>
      </c>
      <c r="Z39" s="84">
        <f t="shared" si="8"/>
        <v>0</v>
      </c>
    </row>
    <row r="40" spans="1:26">
      <c r="A40" s="6">
        <f t="shared" si="6"/>
        <v>2018</v>
      </c>
      <c r="C40" s="494">
        <f>'Exhibit I,1'!I40</f>
        <v>161011.50997043226</v>
      </c>
      <c r="E40" s="289">
        <f>'Exhibit L,3'!E40</f>
        <v>0.67975794809635859</v>
      </c>
      <c r="G40" s="17">
        <f t="shared" si="2"/>
        <v>0</v>
      </c>
      <c r="H40" s="187"/>
      <c r="I40" s="494">
        <f t="shared" si="3"/>
        <v>109448.85363739742</v>
      </c>
      <c r="J40" s="494"/>
      <c r="K40" s="494">
        <f t="shared" si="4"/>
        <v>0</v>
      </c>
      <c r="O40" s="25">
        <f t="shared" si="7"/>
        <v>2018</v>
      </c>
      <c r="P40" s="20">
        <v>116671.96970843927</v>
      </c>
      <c r="Q40" s="95">
        <v>0</v>
      </c>
      <c r="R40" s="95">
        <v>0</v>
      </c>
      <c r="S40" s="95">
        <v>0</v>
      </c>
      <c r="T40" s="95">
        <v>0</v>
      </c>
      <c r="U40" s="95">
        <f t="shared" si="5"/>
        <v>0</v>
      </c>
      <c r="Y40" s="205">
        <v>606096.11</v>
      </c>
      <c r="Z40" s="84">
        <f t="shared" si="8"/>
        <v>-606096.11</v>
      </c>
    </row>
    <row r="41" spans="1:26">
      <c r="A41" s="6">
        <f t="shared" si="6"/>
        <v>2019</v>
      </c>
      <c r="C41" s="494">
        <f>'Exhibit I,1'!I41</f>
        <v>267110.93484885781</v>
      </c>
      <c r="E41" s="289">
        <f>'Exhibit L,3'!E41</f>
        <v>0.81985955270770372</v>
      </c>
      <c r="G41" s="17">
        <f t="shared" si="2"/>
        <v>92260.52</v>
      </c>
      <c r="H41" s="187"/>
      <c r="I41" s="494">
        <f t="shared" si="3"/>
        <v>311253.97156852117</v>
      </c>
      <c r="J41" s="494"/>
      <c r="K41" s="494">
        <f t="shared" si="4"/>
        <v>512158.82599812734</v>
      </c>
      <c r="O41" s="25">
        <f t="shared" si="7"/>
        <v>2019</v>
      </c>
      <c r="P41" s="20">
        <v>112228.60668798766</v>
      </c>
      <c r="Q41" s="95">
        <v>92260.52</v>
      </c>
      <c r="R41" s="95">
        <v>183260.52000000002</v>
      </c>
      <c r="S41" s="95">
        <v>92260.52</v>
      </c>
      <c r="T41" s="95">
        <v>92260.52</v>
      </c>
      <c r="U41" s="95">
        <f t="shared" si="5"/>
        <v>91000.000000000015</v>
      </c>
      <c r="Y41" s="205">
        <v>0</v>
      </c>
      <c r="Z41" s="84">
        <f t="shared" si="8"/>
        <v>92260.52</v>
      </c>
    </row>
    <row r="42" spans="1:26">
      <c r="A42" s="6">
        <f t="shared" si="6"/>
        <v>2020</v>
      </c>
      <c r="C42" s="494">
        <f>'Exhibit I,1'!I42</f>
        <v>108944.86390670027</v>
      </c>
      <c r="E42" s="289">
        <f>'Exhibit L,3'!E42</f>
        <v>0.93614460413139433</v>
      </c>
      <c r="G42" s="17">
        <f t="shared" si="2"/>
        <v>0</v>
      </c>
      <c r="H42" s="187"/>
      <c r="I42" s="494">
        <f t="shared" si="3"/>
        <v>101988.14649408656</v>
      </c>
      <c r="J42" s="494"/>
      <c r="K42" s="494">
        <f t="shared" si="4"/>
        <v>0</v>
      </c>
      <c r="O42" s="25">
        <f t="shared" si="7"/>
        <v>2020</v>
      </c>
      <c r="P42" s="20">
        <v>44745.421435326934</v>
      </c>
      <c r="Q42" s="95">
        <v>0</v>
      </c>
      <c r="R42" s="95">
        <v>0</v>
      </c>
      <c r="S42" s="95">
        <v>0</v>
      </c>
      <c r="T42" s="95">
        <v>0</v>
      </c>
      <c r="U42" s="95">
        <f t="shared" si="5"/>
        <v>0</v>
      </c>
      <c r="Y42" s="205">
        <v>0</v>
      </c>
      <c r="Z42" s="84">
        <f t="shared" si="8"/>
        <v>0</v>
      </c>
    </row>
    <row r="43" spans="1:26">
      <c r="A43" s="6">
        <f t="shared" si="6"/>
        <v>2021</v>
      </c>
      <c r="C43" s="494">
        <f>'Exhibit I,1'!I43</f>
        <v>54748.054057480716</v>
      </c>
      <c r="E43" s="289">
        <f>'Exhibit L,3'!E43</f>
        <v>0.99150683153870101</v>
      </c>
      <c r="G43" s="17">
        <f t="shared" si="2"/>
        <v>0</v>
      </c>
      <c r="H43" s="187"/>
      <c r="I43" s="494">
        <f t="shared" si="3"/>
        <v>54283.069611442232</v>
      </c>
      <c r="J43" s="494"/>
      <c r="K43" s="494">
        <f t="shared" si="4"/>
        <v>0</v>
      </c>
      <c r="O43" s="25">
        <f t="shared" si="7"/>
        <v>2021</v>
      </c>
      <c r="P43" s="20">
        <v>65947.083842405686</v>
      </c>
      <c r="Q43" s="95">
        <v>0</v>
      </c>
      <c r="R43" s="95">
        <v>0</v>
      </c>
      <c r="S43" s="95">
        <v>0</v>
      </c>
      <c r="T43" s="95">
        <v>0</v>
      </c>
      <c r="U43" s="95">
        <f t="shared" si="5"/>
        <v>0</v>
      </c>
      <c r="Y43" s="205">
        <v>0</v>
      </c>
      <c r="Z43" s="84">
        <f t="shared" si="8"/>
        <v>0</v>
      </c>
    </row>
    <row r="44" spans="1:26" ht="16">
      <c r="A44" s="6">
        <f t="shared" si="6"/>
        <v>2022</v>
      </c>
      <c r="C44" s="494">
        <f>'Exhibit I,1'!I44</f>
        <v>163738.93846961251</v>
      </c>
      <c r="E44" s="289">
        <f>'Exhibit L,3'!E44</f>
        <v>0.99973029849747785</v>
      </c>
      <c r="G44" s="17">
        <f t="shared" si="2"/>
        <v>0</v>
      </c>
      <c r="H44" s="187"/>
      <c r="I44" s="494">
        <f t="shared" si="3"/>
        <v>163694.77783188588</v>
      </c>
      <c r="J44" s="494"/>
      <c r="K44" s="494">
        <f t="shared" si="4"/>
        <v>0</v>
      </c>
      <c r="O44" s="25">
        <f t="shared" si="7"/>
        <v>2022</v>
      </c>
      <c r="P44" s="20">
        <v>56052.23863973187</v>
      </c>
      <c r="Q44" s="95">
        <v>0</v>
      </c>
      <c r="R44" s="95">
        <v>0</v>
      </c>
      <c r="S44" s="364"/>
      <c r="T44" s="95"/>
      <c r="U44" s="95"/>
      <c r="Y44" s="205">
        <v>0</v>
      </c>
      <c r="Z44" s="84">
        <f t="shared" si="8"/>
        <v>0</v>
      </c>
    </row>
    <row r="45" spans="1:26">
      <c r="A45" s="6"/>
      <c r="C45" s="290"/>
      <c r="G45" s="290"/>
      <c r="I45" s="290"/>
      <c r="K45" s="290"/>
      <c r="P45" s="25"/>
      <c r="Q45" s="25"/>
      <c r="R45" s="25"/>
      <c r="S45" s="25"/>
      <c r="T45" s="25"/>
      <c r="U45" s="25"/>
    </row>
    <row r="46" spans="1:26">
      <c r="A46" s="6" t="s">
        <v>0</v>
      </c>
      <c r="C46" s="26">
        <f>SUM(C16:C45)</f>
        <v>4749379.8500092495</v>
      </c>
      <c r="G46" s="26">
        <f>SUM(G16:G45)</f>
        <v>3716503.32</v>
      </c>
      <c r="I46" s="26">
        <f>SUM(I16:I45)</f>
        <v>4758797.0712704146</v>
      </c>
      <c r="K46" s="26">
        <f>SUM(K16:K45)</f>
        <v>4539002.2062095003</v>
      </c>
      <c r="O46" s="25" t="s">
        <v>0</v>
      </c>
      <c r="P46" s="278">
        <f t="shared" ref="P46:U46" si="9">SUM(P16:P44)</f>
        <v>939123.97445222188</v>
      </c>
      <c r="Q46" s="278">
        <f t="shared" si="9"/>
        <v>3716503.32</v>
      </c>
      <c r="R46" s="278">
        <f t="shared" si="9"/>
        <v>3807503.3199999994</v>
      </c>
      <c r="S46" s="278">
        <f t="shared" si="9"/>
        <v>3716503.32</v>
      </c>
      <c r="T46" s="278">
        <f t="shared" si="9"/>
        <v>4159837.32</v>
      </c>
      <c r="U46" s="278">
        <f t="shared" si="9"/>
        <v>-352334.00000000064</v>
      </c>
      <c r="Y46" s="278">
        <f>SUM(Y16:Y44)</f>
        <v>3453909.01</v>
      </c>
      <c r="Z46" s="278">
        <f>SUM(Z16:Z44)</f>
        <v>262594.31000000006</v>
      </c>
    </row>
    <row r="48" spans="1:26">
      <c r="A48" s="2"/>
      <c r="C48" s="26"/>
      <c r="G48" s="26"/>
      <c r="I48" s="26"/>
      <c r="K48" s="26"/>
      <c r="Q48" s="26"/>
    </row>
    <row r="50" spans="1:3">
      <c r="A50" s="1" t="s">
        <v>489</v>
      </c>
      <c r="C50" s="1" t="s">
        <v>1480</v>
      </c>
    </row>
    <row r="51" spans="1:3">
      <c r="A51" s="64" t="s">
        <v>36</v>
      </c>
      <c r="C51" s="3" t="s">
        <v>366</v>
      </c>
    </row>
    <row r="52" spans="1:3">
      <c r="A52" s="64" t="s">
        <v>38</v>
      </c>
      <c r="C52" s="3" t="s">
        <v>740</v>
      </c>
    </row>
    <row r="53" spans="1:3">
      <c r="A53" s="64" t="s">
        <v>40</v>
      </c>
      <c r="C53" s="3" t="s">
        <v>283</v>
      </c>
    </row>
    <row r="54" spans="1:3">
      <c r="A54" s="64" t="s">
        <v>42</v>
      </c>
      <c r="C54" s="3" t="s">
        <v>472</v>
      </c>
    </row>
  </sheetData>
  <printOptions horizontalCentered="1"/>
  <pageMargins left="0.7" right="0.7" top="0.75" bottom="0.75" header="0.3" footer="0.3"/>
  <pageSetup scale="7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>
    <pageSetUpPr fitToPage="1"/>
  </sheetPr>
  <dimension ref="A1:Q55"/>
  <sheetViews>
    <sheetView showOutlineSymbols="0" topLeftCell="A7" zoomScaleNormal="100" workbookViewId="0">
      <selection activeCell="K44" sqref="K44"/>
    </sheetView>
  </sheetViews>
  <sheetFormatPr baseColWidth="10" defaultColWidth="9.7109375" defaultRowHeight="15"/>
  <cols>
    <col min="1" max="1" width="9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2.7109375" style="1" customWidth="1"/>
    <col min="12" max="14" width="9.7109375" style="1"/>
    <col min="15" max="16" width="14.7109375" style="1" bestFit="1" customWidth="1"/>
    <col min="17" max="16384" width="9.7109375" style="1"/>
  </cols>
  <sheetData>
    <row r="1" spans="1:17">
      <c r="K1" s="52" t="s">
        <v>88</v>
      </c>
    </row>
    <row r="2" spans="1:17">
      <c r="K2" s="52" t="s">
        <v>56</v>
      </c>
    </row>
    <row r="4" spans="1:17" ht="16">
      <c r="A4" s="4" t="s">
        <v>872</v>
      </c>
      <c r="B4" s="4"/>
      <c r="C4" s="4"/>
      <c r="D4" s="4"/>
      <c r="E4" s="4"/>
      <c r="F4" s="5"/>
      <c r="G4" s="5"/>
      <c r="H4" s="5"/>
      <c r="I4" s="5"/>
      <c r="J4" s="5"/>
      <c r="K4" s="5"/>
      <c r="L4" s="140"/>
      <c r="M4" s="140"/>
      <c r="N4" s="140"/>
      <c r="O4" s="140"/>
    </row>
    <row r="5" spans="1:17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</row>
    <row r="6" spans="1:17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  <c r="L6" s="140"/>
      <c r="M6" s="140"/>
      <c r="N6" s="140"/>
      <c r="O6" s="140"/>
    </row>
    <row r="7" spans="1:17">
      <c r="A7" s="5" t="s">
        <v>226</v>
      </c>
      <c r="B7" s="5"/>
      <c r="C7" s="5"/>
      <c r="D7" s="5"/>
      <c r="E7" s="5"/>
      <c r="F7" s="5"/>
      <c r="G7" s="5"/>
      <c r="H7" s="5"/>
      <c r="I7" s="5"/>
      <c r="J7" s="5"/>
      <c r="K7" s="5"/>
      <c r="L7" s="140"/>
      <c r="M7" s="140"/>
      <c r="N7" s="140"/>
      <c r="O7" s="140"/>
    </row>
    <row r="8" spans="1:17">
      <c r="A8" s="5" t="s">
        <v>1</v>
      </c>
      <c r="B8" s="5"/>
      <c r="C8" s="5"/>
      <c r="D8" s="5"/>
      <c r="E8" s="5"/>
      <c r="F8" s="5"/>
      <c r="G8" s="5"/>
      <c r="H8" s="5"/>
      <c r="I8" s="5"/>
      <c r="J8" s="5"/>
      <c r="K8" s="5"/>
      <c r="L8" s="140"/>
      <c r="M8" s="140"/>
      <c r="N8" s="140"/>
      <c r="O8" s="140"/>
    </row>
    <row r="9" spans="1:17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140"/>
      <c r="M9" s="140"/>
      <c r="N9" s="140"/>
      <c r="O9" s="25" t="s">
        <v>2</v>
      </c>
    </row>
    <row r="10" spans="1:17">
      <c r="O10" s="25" t="s">
        <v>117</v>
      </c>
    </row>
    <row r="11" spans="1:17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M11" s="61"/>
      <c r="N11" s="97" t="s">
        <v>6</v>
      </c>
      <c r="O11" s="25" t="s">
        <v>1304</v>
      </c>
      <c r="P11" s="61"/>
      <c r="Q11" s="61"/>
    </row>
    <row r="12" spans="1:17">
      <c r="A12" s="2" t="s">
        <v>6</v>
      </c>
      <c r="B12" s="6"/>
      <c r="C12" s="5" t="s">
        <v>70</v>
      </c>
      <c r="D12" s="5"/>
      <c r="E12" s="5"/>
      <c r="F12" s="6"/>
      <c r="G12" s="5" t="s">
        <v>72</v>
      </c>
      <c r="H12" s="5"/>
      <c r="I12" s="5"/>
      <c r="K12" s="6" t="s">
        <v>1</v>
      </c>
      <c r="M12" s="61"/>
      <c r="N12" s="25" t="s">
        <v>4</v>
      </c>
      <c r="O12" s="45" t="s">
        <v>1</v>
      </c>
      <c r="P12" s="61"/>
      <c r="Q12" s="61"/>
    </row>
    <row r="13" spans="1:17">
      <c r="A13" s="6" t="s">
        <v>4</v>
      </c>
      <c r="B13" s="6"/>
      <c r="C13" s="106" t="s">
        <v>14</v>
      </c>
      <c r="D13" s="106"/>
      <c r="E13" s="106" t="s">
        <v>12</v>
      </c>
      <c r="F13" s="6"/>
      <c r="G13" s="106" t="s">
        <v>14</v>
      </c>
      <c r="H13" s="105"/>
      <c r="I13" s="106" t="s">
        <v>12</v>
      </c>
      <c r="K13" s="6" t="s">
        <v>73</v>
      </c>
      <c r="M13" s="61"/>
      <c r="N13" s="142" t="s">
        <v>27</v>
      </c>
      <c r="O13" s="203" t="s">
        <v>30</v>
      </c>
      <c r="P13" s="61" t="s">
        <v>18</v>
      </c>
      <c r="Q13" s="61"/>
    </row>
    <row r="14" spans="1:17">
      <c r="A14" s="106" t="s">
        <v>27</v>
      </c>
      <c r="B14" s="6"/>
      <c r="C14" s="118" t="s">
        <v>33</v>
      </c>
      <c r="D14" s="6"/>
      <c r="E14" s="118" t="s">
        <v>36</v>
      </c>
      <c r="G14" s="106" t="s">
        <v>38</v>
      </c>
      <c r="I14" s="106" t="s">
        <v>40</v>
      </c>
      <c r="K14" s="106" t="s">
        <v>42</v>
      </c>
      <c r="M14" s="61"/>
      <c r="N14" s="61"/>
      <c r="P14" s="61"/>
      <c r="Q14" s="61"/>
    </row>
    <row r="15" spans="1:17">
      <c r="M15" s="61"/>
      <c r="N15" s="25"/>
      <c r="P15" s="61"/>
      <c r="Q15" s="61"/>
    </row>
    <row r="16" spans="1:17">
      <c r="A16" s="6">
        <v>1994</v>
      </c>
      <c r="B16" s="6"/>
      <c r="C16" s="147">
        <f>'Exhibit H,5'!K16</f>
        <v>12530063.48</v>
      </c>
      <c r="D16" s="508"/>
      <c r="E16" s="147">
        <f>'Exhibit H,4'!K16</f>
        <v>12530063.48</v>
      </c>
      <c r="F16" s="147"/>
      <c r="G16" s="147">
        <f>'Exhibit H,3'!K16</f>
        <v>12530063.48</v>
      </c>
      <c r="H16" s="147"/>
      <c r="I16" s="147">
        <f>'Exhibit H,2'!K16</f>
        <v>12530063.48</v>
      </c>
      <c r="J16" s="147"/>
      <c r="K16" s="497">
        <f>E16</f>
        <v>12530063.48</v>
      </c>
      <c r="M16" s="61"/>
      <c r="N16" s="25">
        <v>1994</v>
      </c>
      <c r="O16" s="223">
        <v>12530063.48</v>
      </c>
      <c r="P16" s="223">
        <f>K16-O16</f>
        <v>0</v>
      </c>
      <c r="Q16" s="61"/>
    </row>
    <row r="17" spans="1:17">
      <c r="A17" s="6">
        <f>A16+1</f>
        <v>1995</v>
      </c>
      <c r="B17" s="6"/>
      <c r="C17" s="494">
        <f>'Exhibit H,5'!K17</f>
        <v>27722793.159999996</v>
      </c>
      <c r="D17" s="506"/>
      <c r="E17" s="494">
        <f>'Exhibit H,4'!K17</f>
        <v>27722793.159999996</v>
      </c>
      <c r="F17" s="494"/>
      <c r="G17" s="494">
        <f>'Exhibit H,3'!K17</f>
        <v>27722793.159999996</v>
      </c>
      <c r="H17" s="494"/>
      <c r="I17" s="494">
        <f>'Exhibit H,2'!K17</f>
        <v>27722793.159999996</v>
      </c>
      <c r="J17" s="494"/>
      <c r="K17" s="187">
        <f>E17</f>
        <v>27722793.159999996</v>
      </c>
      <c r="M17" s="61"/>
      <c r="N17" s="25">
        <f t="shared" ref="N17:N43" si="0">N16+1</f>
        <v>1995</v>
      </c>
      <c r="O17" s="69">
        <v>27722793.159999996</v>
      </c>
      <c r="P17" s="137">
        <f t="shared" ref="P17:P39" si="1">K17-O17</f>
        <v>0</v>
      </c>
      <c r="Q17" s="61"/>
    </row>
    <row r="18" spans="1:17">
      <c r="A18" s="6">
        <f t="shared" ref="A18:A44" si="2">A17+1</f>
        <v>1996</v>
      </c>
      <c r="B18" s="6"/>
      <c r="C18" s="494">
        <f>'Exhibit H,5'!K18</f>
        <v>19535873.620000001</v>
      </c>
      <c r="D18" s="506"/>
      <c r="E18" s="494">
        <f>'Exhibit H,4'!K18</f>
        <v>19535873.620000001</v>
      </c>
      <c r="F18" s="494"/>
      <c r="G18" s="494">
        <f>'Exhibit H,3'!K18</f>
        <v>19535873.620000001</v>
      </c>
      <c r="H18" s="494"/>
      <c r="I18" s="494">
        <f>'Exhibit H,2'!K18</f>
        <v>19535873.620000001</v>
      </c>
      <c r="J18" s="494"/>
      <c r="K18" s="187">
        <f t="shared" ref="K18:K25" si="3">E18</f>
        <v>19535873.620000001</v>
      </c>
      <c r="M18" s="61"/>
      <c r="N18" s="25">
        <f t="shared" si="0"/>
        <v>1996</v>
      </c>
      <c r="O18" s="69">
        <v>19535873.620000001</v>
      </c>
      <c r="P18" s="137">
        <f t="shared" si="1"/>
        <v>0</v>
      </c>
      <c r="Q18" s="61"/>
    </row>
    <row r="19" spans="1:17">
      <c r="A19" s="6">
        <f t="shared" si="2"/>
        <v>1997</v>
      </c>
      <c r="B19" s="6"/>
      <c r="C19" s="494">
        <f>'Exhibit H,5'!K19</f>
        <v>10551553.370000001</v>
      </c>
      <c r="D19" s="506"/>
      <c r="E19" s="494">
        <f>'Exhibit H,4'!K19</f>
        <v>10551553.370000001</v>
      </c>
      <c r="F19" s="494"/>
      <c r="G19" s="494">
        <f>'Exhibit H,3'!K19</f>
        <v>10551553.370000001</v>
      </c>
      <c r="H19" s="494"/>
      <c r="I19" s="494">
        <f>'Exhibit H,2'!K19</f>
        <v>10551553.370000001</v>
      </c>
      <c r="J19" s="494"/>
      <c r="K19" s="187">
        <f t="shared" si="3"/>
        <v>10551553.370000001</v>
      </c>
      <c r="M19" s="61"/>
      <c r="N19" s="25">
        <f t="shared" si="0"/>
        <v>1997</v>
      </c>
      <c r="O19" s="69">
        <v>10551553.370000001</v>
      </c>
      <c r="P19" s="137">
        <f t="shared" si="1"/>
        <v>0</v>
      </c>
      <c r="Q19" s="61"/>
    </row>
    <row r="20" spans="1:17">
      <c r="A20" s="6">
        <f t="shared" si="2"/>
        <v>1998</v>
      </c>
      <c r="B20" s="6"/>
      <c r="C20" s="494">
        <f>'Exhibit H,5'!K20</f>
        <v>28046459.449999999</v>
      </c>
      <c r="D20" s="506"/>
      <c r="E20" s="494">
        <f>'Exhibit H,4'!K20</f>
        <v>28046459.449999999</v>
      </c>
      <c r="F20" s="494"/>
      <c r="G20" s="494">
        <f>'Exhibit H,3'!K20</f>
        <v>28046459.449999999</v>
      </c>
      <c r="H20" s="494"/>
      <c r="I20" s="494">
        <f>'Exhibit H,2'!K20</f>
        <v>28046459.449999999</v>
      </c>
      <c r="J20" s="494"/>
      <c r="K20" s="187">
        <f t="shared" si="3"/>
        <v>28046459.449999999</v>
      </c>
      <c r="M20" s="61"/>
      <c r="N20" s="25">
        <f t="shared" si="0"/>
        <v>1998</v>
      </c>
      <c r="O20" s="69">
        <v>28046459.449999999</v>
      </c>
      <c r="P20" s="137">
        <f t="shared" si="1"/>
        <v>0</v>
      </c>
      <c r="Q20" s="61"/>
    </row>
    <row r="21" spans="1:17">
      <c r="A21" s="6">
        <f t="shared" si="2"/>
        <v>1999</v>
      </c>
      <c r="C21" s="494">
        <f>'Exhibit H,5'!K21</f>
        <v>23093430.41</v>
      </c>
      <c r="D21" s="506"/>
      <c r="E21" s="494">
        <f>'Exhibit H,4'!K21</f>
        <v>23093430.41</v>
      </c>
      <c r="F21" s="494"/>
      <c r="G21" s="494">
        <f>'Exhibit H,3'!K21</f>
        <v>23093430.41</v>
      </c>
      <c r="H21" s="494"/>
      <c r="I21" s="494">
        <f>'Exhibit H,2'!K21</f>
        <v>23093430.41</v>
      </c>
      <c r="J21" s="494"/>
      <c r="K21" s="187">
        <f t="shared" si="3"/>
        <v>23093430.41</v>
      </c>
      <c r="M21" s="61"/>
      <c r="N21" s="25">
        <f t="shared" si="0"/>
        <v>1999</v>
      </c>
      <c r="O21" s="69">
        <v>23093430.41</v>
      </c>
      <c r="P21" s="137">
        <f t="shared" si="1"/>
        <v>0</v>
      </c>
      <c r="Q21" s="61"/>
    </row>
    <row r="22" spans="1:17">
      <c r="A22" s="6">
        <f t="shared" si="2"/>
        <v>2000</v>
      </c>
      <c r="C22" s="494">
        <f>'Exhibit H,5'!K22</f>
        <v>16813843.780000001</v>
      </c>
      <c r="D22" s="506"/>
      <c r="E22" s="494">
        <f>'Exhibit H,4'!K22</f>
        <v>16813843.780000001</v>
      </c>
      <c r="F22" s="494"/>
      <c r="G22" s="494">
        <f>'Exhibit H,3'!K22</f>
        <v>16813843.780000001</v>
      </c>
      <c r="H22" s="494"/>
      <c r="I22" s="494">
        <f>'Exhibit H,2'!K22</f>
        <v>16813843.780000001</v>
      </c>
      <c r="J22" s="494"/>
      <c r="K22" s="187">
        <f t="shared" si="3"/>
        <v>16813843.780000001</v>
      </c>
      <c r="M22" s="61"/>
      <c r="N22" s="25">
        <f t="shared" si="0"/>
        <v>2000</v>
      </c>
      <c r="O22" s="69">
        <v>16813843.780000001</v>
      </c>
      <c r="P22" s="137">
        <f t="shared" si="1"/>
        <v>0</v>
      </c>
      <c r="Q22" s="61"/>
    </row>
    <row r="23" spans="1:17">
      <c r="A23" s="6">
        <f t="shared" si="2"/>
        <v>2001</v>
      </c>
      <c r="C23" s="494">
        <f>'Exhibit H,5'!K23</f>
        <v>8970924.5199999996</v>
      </c>
      <c r="D23" s="506"/>
      <c r="E23" s="494">
        <f>'Exhibit H,4'!K23</f>
        <v>8970924.5199999996</v>
      </c>
      <c r="F23" s="494"/>
      <c r="G23" s="494">
        <f>'Exhibit H,3'!K23</f>
        <v>8970924.5199999996</v>
      </c>
      <c r="H23" s="494"/>
      <c r="I23" s="494">
        <f>'Exhibit H,2'!K23</f>
        <v>8970924.5199999996</v>
      </c>
      <c r="J23" s="494"/>
      <c r="K23" s="187">
        <f t="shared" si="3"/>
        <v>8970924.5199999996</v>
      </c>
      <c r="M23" s="61"/>
      <c r="N23" s="25">
        <f t="shared" si="0"/>
        <v>2001</v>
      </c>
      <c r="O23" s="69">
        <v>8970924.5199999996</v>
      </c>
      <c r="P23" s="137">
        <f t="shared" si="1"/>
        <v>0</v>
      </c>
      <c r="Q23" s="61"/>
    </row>
    <row r="24" spans="1:17">
      <c r="A24" s="6">
        <f t="shared" si="2"/>
        <v>2002</v>
      </c>
      <c r="C24" s="494">
        <f>'Exhibit H,5'!K24</f>
        <v>5903704.3700000001</v>
      </c>
      <c r="D24" s="506"/>
      <c r="E24" s="494">
        <f>'Exhibit H,4'!K24</f>
        <v>5903704.3700000048</v>
      </c>
      <c r="F24" s="494"/>
      <c r="G24" s="494">
        <f>'Exhibit H,3'!K24</f>
        <v>5903704.3700000001</v>
      </c>
      <c r="H24" s="494"/>
      <c r="I24" s="494">
        <f>'Exhibit H,2'!K24</f>
        <v>5903704.3700000048</v>
      </c>
      <c r="J24" s="494"/>
      <c r="K24" s="187">
        <f t="shared" si="3"/>
        <v>5903704.3700000048</v>
      </c>
      <c r="M24" s="61"/>
      <c r="N24" s="25">
        <f t="shared" si="0"/>
        <v>2002</v>
      </c>
      <c r="O24" s="69">
        <v>5903704.3700000001</v>
      </c>
      <c r="P24" s="137">
        <f t="shared" si="1"/>
        <v>0</v>
      </c>
      <c r="Q24" s="61"/>
    </row>
    <row r="25" spans="1:17">
      <c r="A25" s="6">
        <f t="shared" si="2"/>
        <v>2003</v>
      </c>
      <c r="C25" s="494">
        <f>'Exhibit H,5'!K25</f>
        <v>8418136.2699999996</v>
      </c>
      <c r="D25" s="506"/>
      <c r="E25" s="494">
        <f>'Exhibit H,4'!K25</f>
        <v>8418136.270000007</v>
      </c>
      <c r="F25" s="494"/>
      <c r="G25" s="494">
        <f>'Exhibit H,3'!K25</f>
        <v>8418136.2699999996</v>
      </c>
      <c r="H25" s="494"/>
      <c r="I25" s="494">
        <f>'Exhibit H,2'!K25</f>
        <v>8418136.270000007</v>
      </c>
      <c r="J25" s="494"/>
      <c r="K25" s="187">
        <f t="shared" si="3"/>
        <v>8418136.270000007</v>
      </c>
      <c r="M25" s="61"/>
      <c r="N25" s="25">
        <f t="shared" si="0"/>
        <v>2003</v>
      </c>
      <c r="O25" s="69">
        <v>8418136.2699999996</v>
      </c>
      <c r="P25" s="137">
        <f t="shared" si="1"/>
        <v>0</v>
      </c>
      <c r="Q25" s="61"/>
    </row>
    <row r="26" spans="1:17">
      <c r="A26" s="6">
        <f t="shared" si="2"/>
        <v>2004</v>
      </c>
      <c r="C26" s="494">
        <f>'Exhibit H,5'!K26</f>
        <v>545392.9</v>
      </c>
      <c r="D26" s="506"/>
      <c r="E26" s="494">
        <f>'Exhibit H,4'!K26</f>
        <v>545392.89999999851</v>
      </c>
      <c r="F26" s="494"/>
      <c r="G26" s="494">
        <f>'Exhibit H,3'!K26</f>
        <v>545392.9</v>
      </c>
      <c r="H26" s="494"/>
      <c r="I26" s="494">
        <f>'Exhibit H,2'!K26</f>
        <v>545392.89999999851</v>
      </c>
      <c r="J26" s="494"/>
      <c r="K26" s="494">
        <f t="shared" ref="K26:K40" si="4">E26</f>
        <v>545392.89999999851</v>
      </c>
      <c r="M26" s="61"/>
      <c r="N26" s="25">
        <f t="shared" si="0"/>
        <v>2004</v>
      </c>
      <c r="O26" s="69">
        <v>545392.9</v>
      </c>
      <c r="P26" s="137">
        <f t="shared" si="1"/>
        <v>-1.5133991837501526E-9</v>
      </c>
      <c r="Q26" s="61"/>
    </row>
    <row r="27" spans="1:17">
      <c r="A27" s="6">
        <f t="shared" si="2"/>
        <v>2005</v>
      </c>
      <c r="C27" s="494">
        <f>'Exhibit H,5'!K27</f>
        <v>1276257.68</v>
      </c>
      <c r="D27" s="506"/>
      <c r="E27" s="494">
        <f>'Exhibit H,4'!K27</f>
        <v>1276257.6799999997</v>
      </c>
      <c r="F27" s="494"/>
      <c r="G27" s="494">
        <f>'Exhibit H,3'!K27</f>
        <v>1276257.68</v>
      </c>
      <c r="H27" s="494"/>
      <c r="I27" s="494">
        <f>'Exhibit H,2'!K27</f>
        <v>1276257.6799999997</v>
      </c>
      <c r="J27" s="494"/>
      <c r="K27" s="494">
        <f t="shared" si="4"/>
        <v>1276257.6799999997</v>
      </c>
      <c r="M27" s="61"/>
      <c r="N27" s="25">
        <f t="shared" si="0"/>
        <v>2005</v>
      </c>
      <c r="O27" s="69">
        <v>1276257.68</v>
      </c>
      <c r="P27" s="137">
        <f t="shared" si="1"/>
        <v>0</v>
      </c>
      <c r="Q27" s="61"/>
    </row>
    <row r="28" spans="1:17">
      <c r="A28" s="6">
        <f t="shared" si="2"/>
        <v>2006</v>
      </c>
      <c r="C28" s="494">
        <f>'Exhibit H,5'!K28</f>
        <v>0</v>
      </c>
      <c r="D28" s="506"/>
      <c r="E28" s="494">
        <f>'Exhibit H,4'!K28</f>
        <v>0</v>
      </c>
      <c r="F28" s="494"/>
      <c r="G28" s="494">
        <f>'Exhibit H,3'!K28</f>
        <v>0</v>
      </c>
      <c r="H28" s="494"/>
      <c r="I28" s="494">
        <f>'Exhibit H,2'!K28</f>
        <v>0</v>
      </c>
      <c r="J28" s="494"/>
      <c r="K28" s="494">
        <f t="shared" si="4"/>
        <v>0</v>
      </c>
      <c r="M28" s="61"/>
      <c r="N28" s="25">
        <f t="shared" si="0"/>
        <v>2006</v>
      </c>
      <c r="O28" s="69">
        <v>0</v>
      </c>
      <c r="P28" s="137">
        <f t="shared" si="1"/>
        <v>0</v>
      </c>
      <c r="Q28" s="61"/>
    </row>
    <row r="29" spans="1:17">
      <c r="A29" s="6">
        <f t="shared" si="2"/>
        <v>2007</v>
      </c>
      <c r="C29" s="494">
        <f>'Exhibit H,5'!K29</f>
        <v>638230.88</v>
      </c>
      <c r="D29" s="506"/>
      <c r="E29" s="494">
        <f>'Exhibit H,4'!K29</f>
        <v>638230.88000000268</v>
      </c>
      <c r="F29" s="494"/>
      <c r="G29" s="494">
        <f>'Exhibit H,3'!K29</f>
        <v>638230.88</v>
      </c>
      <c r="H29" s="494"/>
      <c r="I29" s="494">
        <f>'Exhibit H,2'!K29</f>
        <v>638230.88000000268</v>
      </c>
      <c r="J29" s="494"/>
      <c r="K29" s="494">
        <f t="shared" si="4"/>
        <v>638230.88000000268</v>
      </c>
      <c r="M29" s="61"/>
      <c r="N29" s="25">
        <f t="shared" si="0"/>
        <v>2007</v>
      </c>
      <c r="O29" s="69">
        <v>638230.88</v>
      </c>
      <c r="P29" s="137">
        <f t="shared" si="1"/>
        <v>2.6775524020195007E-9</v>
      </c>
      <c r="Q29" s="61"/>
    </row>
    <row r="30" spans="1:17">
      <c r="A30" s="6">
        <f t="shared" si="2"/>
        <v>2008</v>
      </c>
      <c r="C30" s="494">
        <f>'Exhibit H,5'!K30</f>
        <v>823895.11</v>
      </c>
      <c r="D30" s="506"/>
      <c r="E30" s="494">
        <f>'Exhibit H,4'!K30</f>
        <v>823895.1099999994</v>
      </c>
      <c r="F30" s="494"/>
      <c r="G30" s="494">
        <f>'Exhibit H,3'!K30</f>
        <v>823895.11</v>
      </c>
      <c r="H30" s="494"/>
      <c r="I30" s="494">
        <f>'Exhibit H,2'!K30</f>
        <v>823895.1099999994</v>
      </c>
      <c r="J30" s="494"/>
      <c r="K30" s="494">
        <f t="shared" si="4"/>
        <v>823895.1099999994</v>
      </c>
      <c r="M30" s="61"/>
      <c r="N30" s="25">
        <f t="shared" si="0"/>
        <v>2008</v>
      </c>
      <c r="O30" s="69">
        <v>823895.11</v>
      </c>
      <c r="P30" s="137">
        <f t="shared" si="1"/>
        <v>0</v>
      </c>
      <c r="Q30" s="61"/>
    </row>
    <row r="31" spans="1:17">
      <c r="A31" s="6">
        <f t="shared" si="2"/>
        <v>2009</v>
      </c>
      <c r="C31" s="494">
        <f>'Exhibit H,5'!K31</f>
        <v>1716687.82</v>
      </c>
      <c r="D31" s="506"/>
      <c r="E31" s="494">
        <f>'Exhibit H,4'!K31</f>
        <v>1716687.8200000003</v>
      </c>
      <c r="F31" s="494"/>
      <c r="G31" s="494">
        <f>'Exhibit H,3'!K31</f>
        <v>1716687.82</v>
      </c>
      <c r="H31" s="494"/>
      <c r="I31" s="494">
        <f>'Exhibit H,2'!K31</f>
        <v>1716687.8200000003</v>
      </c>
      <c r="J31" s="494"/>
      <c r="K31" s="494">
        <f t="shared" si="4"/>
        <v>1716687.8200000003</v>
      </c>
      <c r="M31" s="61"/>
      <c r="N31" s="25">
        <f t="shared" si="0"/>
        <v>2009</v>
      </c>
      <c r="O31" s="69">
        <v>1716687.82</v>
      </c>
      <c r="P31" s="137">
        <f t="shared" si="1"/>
        <v>0</v>
      </c>
      <c r="Q31" s="61"/>
    </row>
    <row r="32" spans="1:17">
      <c r="A32" s="6">
        <f t="shared" si="2"/>
        <v>2010</v>
      </c>
      <c r="C32" s="494">
        <f>'Exhibit H,5'!K32</f>
        <v>2126900.69</v>
      </c>
      <c r="D32" s="506"/>
      <c r="E32" s="494">
        <f>'Exhibit H,4'!K32</f>
        <v>2126900.6900000013</v>
      </c>
      <c r="F32" s="494"/>
      <c r="G32" s="494">
        <f>'Exhibit H,3'!K32</f>
        <v>2126900.69</v>
      </c>
      <c r="H32" s="494"/>
      <c r="I32" s="494">
        <f>'Exhibit H,2'!K32</f>
        <v>2126900.6900000013</v>
      </c>
      <c r="J32" s="494"/>
      <c r="K32" s="494">
        <f t="shared" si="4"/>
        <v>2126900.6900000013</v>
      </c>
      <c r="M32" s="61"/>
      <c r="N32" s="25">
        <f t="shared" si="0"/>
        <v>2010</v>
      </c>
      <c r="O32" s="69">
        <v>2126900.69</v>
      </c>
      <c r="P32" s="137">
        <f t="shared" si="1"/>
        <v>0</v>
      </c>
      <c r="Q32" s="61"/>
    </row>
    <row r="33" spans="1:17">
      <c r="A33" s="6">
        <f t="shared" si="2"/>
        <v>2011</v>
      </c>
      <c r="C33" s="494">
        <f>'Exhibit H,5'!K33</f>
        <v>2235848.35</v>
      </c>
      <c r="D33" s="506"/>
      <c r="E33" s="494">
        <f>'Exhibit H,4'!K33</f>
        <v>2235848.3499999978</v>
      </c>
      <c r="F33" s="494"/>
      <c r="G33" s="494">
        <f>'Exhibit H,3'!K33</f>
        <v>2235848.35</v>
      </c>
      <c r="H33" s="494"/>
      <c r="I33" s="494">
        <f>'Exhibit H,2'!K33</f>
        <v>2235848.3499999978</v>
      </c>
      <c r="J33" s="494"/>
      <c r="K33" s="494">
        <f t="shared" si="4"/>
        <v>2235848.3499999978</v>
      </c>
      <c r="M33" s="61"/>
      <c r="N33" s="25">
        <f t="shared" si="0"/>
        <v>2011</v>
      </c>
      <c r="O33" s="69">
        <v>2235848.35</v>
      </c>
      <c r="P33" s="137">
        <f t="shared" si="1"/>
        <v>0</v>
      </c>
      <c r="Q33" s="61"/>
    </row>
    <row r="34" spans="1:17">
      <c r="A34" s="6">
        <f t="shared" si="2"/>
        <v>2012</v>
      </c>
      <c r="C34" s="494">
        <f>'Exhibit H,5'!K34</f>
        <v>5992753.5499999998</v>
      </c>
      <c r="D34" s="506"/>
      <c r="E34" s="494">
        <f>'Exhibit H,4'!K34</f>
        <v>5992753.5500000007</v>
      </c>
      <c r="F34" s="494"/>
      <c r="G34" s="494">
        <f>'Exhibit H,3'!K34</f>
        <v>5992753.5499999998</v>
      </c>
      <c r="H34" s="494"/>
      <c r="I34" s="494">
        <f>'Exhibit H,2'!K34</f>
        <v>5992753.5500000007</v>
      </c>
      <c r="J34" s="494"/>
      <c r="K34" s="494">
        <f t="shared" si="4"/>
        <v>5992753.5500000007</v>
      </c>
      <c r="M34" s="61"/>
      <c r="N34" s="25">
        <f t="shared" si="0"/>
        <v>2012</v>
      </c>
      <c r="O34" s="69">
        <v>5992753.5499999998</v>
      </c>
      <c r="P34" s="137">
        <f t="shared" si="1"/>
        <v>0</v>
      </c>
      <c r="Q34" s="61"/>
    </row>
    <row r="35" spans="1:17">
      <c r="A35" s="6">
        <f t="shared" si="2"/>
        <v>2013</v>
      </c>
      <c r="C35" s="494">
        <f>'Exhibit H,5'!K35</f>
        <v>6075393.9800000004</v>
      </c>
      <c r="D35" s="506"/>
      <c r="E35" s="494">
        <f>'Exhibit H,4'!K35</f>
        <v>6075393.9799999986</v>
      </c>
      <c r="F35" s="494"/>
      <c r="G35" s="494">
        <f>'Exhibit H,3'!K35</f>
        <v>6075393.9800000004</v>
      </c>
      <c r="H35" s="494"/>
      <c r="I35" s="494">
        <f>'Exhibit H,2'!K35</f>
        <v>6075393.9799999986</v>
      </c>
      <c r="J35" s="494"/>
      <c r="K35" s="494">
        <f t="shared" si="4"/>
        <v>6075393.9799999986</v>
      </c>
      <c r="M35" s="61"/>
      <c r="N35" s="25">
        <f t="shared" si="0"/>
        <v>2013</v>
      </c>
      <c r="O35" s="69">
        <v>6075393.9800000004</v>
      </c>
      <c r="P35" s="137">
        <f t="shared" si="1"/>
        <v>0</v>
      </c>
      <c r="Q35" s="61"/>
    </row>
    <row r="36" spans="1:17">
      <c r="A36" s="6">
        <f t="shared" si="2"/>
        <v>2014</v>
      </c>
      <c r="C36" s="494">
        <f>'Exhibit H,5'!K36</f>
        <v>1329575.07</v>
      </c>
      <c r="D36" s="506"/>
      <c r="E36" s="494">
        <f>'Exhibit H,4'!K36</f>
        <v>1329575.0700000003</v>
      </c>
      <c r="F36" s="494"/>
      <c r="G36" s="494">
        <f>'Exhibit H,3'!K36</f>
        <v>1329575.07</v>
      </c>
      <c r="H36" s="494"/>
      <c r="I36" s="494">
        <f>'Exhibit H,2'!K36</f>
        <v>1329575.0700000003</v>
      </c>
      <c r="J36" s="494"/>
      <c r="K36" s="494">
        <f t="shared" si="4"/>
        <v>1329575.0700000003</v>
      </c>
      <c r="M36" s="61"/>
      <c r="N36" s="25">
        <f t="shared" si="0"/>
        <v>2014</v>
      </c>
      <c r="O36" s="69">
        <v>1329575.07</v>
      </c>
      <c r="P36" s="137">
        <f t="shared" si="1"/>
        <v>0</v>
      </c>
      <c r="Q36" s="61"/>
    </row>
    <row r="37" spans="1:17">
      <c r="A37" s="6">
        <f t="shared" si="2"/>
        <v>2015</v>
      </c>
      <c r="C37" s="494">
        <f>'Exhibit H,5'!K37</f>
        <v>1340230.4709327982</v>
      </c>
      <c r="D37" s="506"/>
      <c r="E37" s="494">
        <f>'Exhibit H,4'!K37</f>
        <v>1325604.9400000013</v>
      </c>
      <c r="F37" s="494"/>
      <c r="G37" s="494">
        <f>'Exhibit H,3'!K37</f>
        <v>1339995.1174415546</v>
      </c>
      <c r="H37" s="494"/>
      <c r="I37" s="494">
        <f>'Exhibit H,2'!K37</f>
        <v>1325604.9400000013</v>
      </c>
      <c r="J37" s="494"/>
      <c r="K37" s="494">
        <f t="shared" si="4"/>
        <v>1325604.9400000013</v>
      </c>
      <c r="M37" s="61"/>
      <c r="N37" s="25">
        <f t="shared" si="0"/>
        <v>2015</v>
      </c>
      <c r="O37" s="69">
        <v>1326878.8252008457</v>
      </c>
      <c r="P37" s="137">
        <f>K37-O37</f>
        <v>-1273.8852008443791</v>
      </c>
      <c r="Q37" s="61"/>
    </row>
    <row r="38" spans="1:17">
      <c r="A38" s="6">
        <f t="shared" si="2"/>
        <v>2016</v>
      </c>
      <c r="C38" s="494">
        <f>'Exhibit H,5'!K38</f>
        <v>1937112.0671450512</v>
      </c>
      <c r="D38" s="506"/>
      <c r="E38" s="494">
        <f>'Exhibit H,4'!K38</f>
        <v>2363477.9617348793</v>
      </c>
      <c r="F38" s="494"/>
      <c r="G38" s="494">
        <f>'Exhibit H,3'!K38</f>
        <v>1959742.8467959159</v>
      </c>
      <c r="H38" s="494"/>
      <c r="I38" s="494">
        <f>'Exhibit H,2'!K38</f>
        <v>2362698.1839207252</v>
      </c>
      <c r="J38" s="494"/>
      <c r="K38" s="494">
        <f t="shared" si="4"/>
        <v>2363477.9617348793</v>
      </c>
      <c r="M38" s="61"/>
      <c r="N38" s="25">
        <f t="shared" si="0"/>
        <v>2016</v>
      </c>
      <c r="O38" s="69">
        <v>2488120.5203570458</v>
      </c>
      <c r="P38" s="137">
        <f t="shared" si="1"/>
        <v>-124642.55862216651</v>
      </c>
      <c r="Q38" s="61"/>
    </row>
    <row r="39" spans="1:17">
      <c r="A39" s="6">
        <f t="shared" si="2"/>
        <v>2017</v>
      </c>
      <c r="C39" s="494">
        <f>'Exhibit H,5'!K39</f>
        <v>0</v>
      </c>
      <c r="D39" s="506"/>
      <c r="E39" s="494">
        <f>'Exhibit H,4'!K39</f>
        <v>238953.73828461423</v>
      </c>
      <c r="F39" s="494"/>
      <c r="G39" s="494">
        <f>'Exhibit H,3'!K39</f>
        <v>207295.24051645197</v>
      </c>
      <c r="H39" s="494"/>
      <c r="I39" s="494">
        <f>'Exhibit H,2'!K39</f>
        <v>294844.15102742455</v>
      </c>
      <c r="J39" s="494"/>
      <c r="K39" s="494">
        <f t="shared" si="4"/>
        <v>238953.73828461423</v>
      </c>
      <c r="M39" s="61"/>
      <c r="N39" s="25">
        <f t="shared" si="0"/>
        <v>2017</v>
      </c>
      <c r="O39" s="69">
        <v>1449472.2048162837</v>
      </c>
      <c r="P39" s="137">
        <f t="shared" si="1"/>
        <v>-1210518.4665316695</v>
      </c>
      <c r="Q39" s="61"/>
    </row>
    <row r="40" spans="1:17">
      <c r="A40" s="6">
        <f t="shared" si="2"/>
        <v>2018</v>
      </c>
      <c r="C40" s="494">
        <f>'Exhibit H,5'!K40</f>
        <v>0</v>
      </c>
      <c r="D40" s="506"/>
      <c r="E40" s="494">
        <f>'Exhibit H,4'!K40</f>
        <v>2825999.5451444173</v>
      </c>
      <c r="F40" s="494"/>
      <c r="G40" s="494">
        <f>'Exhibit H,3'!K40</f>
        <v>446626.39124749188</v>
      </c>
      <c r="H40" s="494"/>
      <c r="I40" s="494">
        <f>'Exhibit H,2'!K40</f>
        <v>2297459.8885661303</v>
      </c>
      <c r="J40" s="494"/>
      <c r="K40" s="494">
        <f t="shared" si="4"/>
        <v>2825999.5451444173</v>
      </c>
      <c r="M40" s="61"/>
      <c r="N40" s="25">
        <f t="shared" si="0"/>
        <v>2018</v>
      </c>
      <c r="O40" s="69">
        <v>525266.96827794588</v>
      </c>
      <c r="P40" s="137">
        <f>K40-O40</f>
        <v>2300732.5768664712</v>
      </c>
      <c r="Q40" s="61"/>
    </row>
    <row r="41" spans="1:17">
      <c r="A41" s="6">
        <f t="shared" si="2"/>
        <v>2019</v>
      </c>
      <c r="C41" s="494">
        <f>'Exhibit H,5'!K41</f>
        <v>5031.9205051239669</v>
      </c>
      <c r="D41" s="506"/>
      <c r="E41" s="494">
        <f>'Exhibit H,4'!K41</f>
        <v>378060.18129045179</v>
      </c>
      <c r="F41" s="494"/>
      <c r="G41" s="494">
        <f>'Exhibit H,3'!K41</f>
        <v>659313.07691430976</v>
      </c>
      <c r="H41" s="494"/>
      <c r="I41" s="494">
        <f>'Exhibit H,2'!K41</f>
        <v>703652.46809703798</v>
      </c>
      <c r="J41" s="494"/>
      <c r="K41" s="187">
        <f>I41</f>
        <v>703652.46809703798</v>
      </c>
      <c r="M41" s="61"/>
      <c r="N41" s="25">
        <f t="shared" si="0"/>
        <v>2019</v>
      </c>
      <c r="O41" s="69">
        <v>814957.32523271174</v>
      </c>
      <c r="P41" s="137">
        <f>K41-O41</f>
        <v>-111304.85713567375</v>
      </c>
      <c r="Q41" s="61"/>
    </row>
    <row r="42" spans="1:17">
      <c r="A42" s="6">
        <f t="shared" si="2"/>
        <v>2020</v>
      </c>
      <c r="C42" s="494">
        <f>'Exhibit H,5'!K42</f>
        <v>2867966.2664725827</v>
      </c>
      <c r="D42" s="506"/>
      <c r="E42" s="494">
        <f>'Exhibit H,4'!K42</f>
        <v>1518603.0185643875</v>
      </c>
      <c r="F42" s="494"/>
      <c r="G42" s="494">
        <f>'Exhibit H,3'!K42</f>
        <v>1447056.0369357662</v>
      </c>
      <c r="H42" s="494"/>
      <c r="I42" s="494">
        <f>'Exhibit H,2'!K42</f>
        <v>1249245.588074143</v>
      </c>
      <c r="J42" s="494"/>
      <c r="K42" s="187">
        <f>I42</f>
        <v>1249245.588074143</v>
      </c>
      <c r="M42" s="61"/>
      <c r="N42" s="25">
        <f t="shared" si="0"/>
        <v>2020</v>
      </c>
      <c r="O42" s="69">
        <v>807749.24480133492</v>
      </c>
      <c r="P42" s="137">
        <f>K42-O42</f>
        <v>441496.34327280812</v>
      </c>
      <c r="Q42" s="61"/>
    </row>
    <row r="43" spans="1:17">
      <c r="A43" s="6">
        <f t="shared" si="2"/>
        <v>2021</v>
      </c>
      <c r="C43" s="494">
        <f>'Exhibit H,5'!K43</f>
        <v>0</v>
      </c>
      <c r="D43" s="506"/>
      <c r="E43" s="494">
        <f>'Exhibit H,4'!K43</f>
        <v>0</v>
      </c>
      <c r="F43" s="494"/>
      <c r="G43" s="494">
        <f>'Exhibit H,3'!K43</f>
        <v>663188.20554734813</v>
      </c>
      <c r="H43" s="494"/>
      <c r="I43" s="494">
        <f>'Exhibit H,2'!K43</f>
        <v>576697.19209940301</v>
      </c>
      <c r="J43" s="494"/>
      <c r="K43" s="187">
        <f>I43</f>
        <v>576697.19209940301</v>
      </c>
      <c r="M43" s="61"/>
      <c r="N43" s="25">
        <f t="shared" si="0"/>
        <v>2021</v>
      </c>
      <c r="O43" s="69">
        <v>780065.96178436279</v>
      </c>
      <c r="P43" s="137">
        <f>K43-O43</f>
        <v>-203368.76968495979</v>
      </c>
      <c r="Q43" s="61"/>
    </row>
    <row r="44" spans="1:17">
      <c r="A44" s="6">
        <f t="shared" si="2"/>
        <v>2022</v>
      </c>
      <c r="C44" s="494">
        <f>'Exhibit H,5'!K44</f>
        <v>0</v>
      </c>
      <c r="D44" s="506"/>
      <c r="E44" s="494">
        <f>'Exhibit H,4'!K44</f>
        <v>0</v>
      </c>
      <c r="F44" s="494"/>
      <c r="G44" s="494">
        <f>'Exhibit H,3'!K44</f>
        <v>693199.40813383018</v>
      </c>
      <c r="H44" s="494"/>
      <c r="I44" s="494">
        <f>'Exhibit H,2'!K44</f>
        <v>683774.17505687242</v>
      </c>
      <c r="J44" s="494"/>
      <c r="K44" s="187">
        <f>I44</f>
        <v>683774.17505687242</v>
      </c>
      <c r="M44" s="61"/>
      <c r="N44" s="61"/>
      <c r="Q44" s="61"/>
    </row>
    <row r="45" spans="1:17">
      <c r="A45" s="6"/>
      <c r="C45" s="105"/>
      <c r="D45" s="6"/>
      <c r="E45" s="105"/>
      <c r="G45" s="105"/>
      <c r="I45" s="105"/>
      <c r="K45" s="105"/>
      <c r="M45" s="61"/>
      <c r="N45" s="61"/>
      <c r="O45" s="105"/>
      <c r="P45" s="105"/>
      <c r="Q45" s="61"/>
    </row>
    <row r="46" spans="1:17">
      <c r="A46" s="6" t="s">
        <v>0</v>
      </c>
      <c r="C46" s="245" t="s">
        <v>71</v>
      </c>
      <c r="D46" s="6"/>
      <c r="E46" s="245" t="s">
        <v>71</v>
      </c>
      <c r="G46" s="26">
        <f>SUM(G16:G45)</f>
        <v>191764134.78353274</v>
      </c>
      <c r="I46" s="26">
        <f>SUM(I16:I45)</f>
        <v>193841695.04684174</v>
      </c>
      <c r="J46" s="26"/>
      <c r="K46" s="26">
        <f>SUM(K16:K45)</f>
        <v>194315124.0684914</v>
      </c>
      <c r="M46" s="61"/>
      <c r="N46" s="61"/>
      <c r="O46" s="26">
        <f>SUM(O15:O45)</f>
        <v>192540229.51047057</v>
      </c>
      <c r="P46" s="26">
        <f>SUM(P15:P45)</f>
        <v>1091120.3829639666</v>
      </c>
      <c r="Q46" s="61"/>
    </row>
    <row r="48" spans="1:17">
      <c r="P48" s="26"/>
    </row>
    <row r="50" spans="1:5">
      <c r="A50" s="64" t="s">
        <v>104</v>
      </c>
      <c r="C50" s="3" t="s">
        <v>233</v>
      </c>
    </row>
    <row r="51" spans="1:5">
      <c r="A51" s="64" t="s">
        <v>36</v>
      </c>
      <c r="C51" s="3" t="s">
        <v>234</v>
      </c>
    </row>
    <row r="52" spans="1:5">
      <c r="A52" s="64" t="s">
        <v>38</v>
      </c>
      <c r="C52" s="3" t="s">
        <v>235</v>
      </c>
      <c r="D52" s="6"/>
    </row>
    <row r="53" spans="1:5">
      <c r="A53" s="64" t="s">
        <v>40</v>
      </c>
      <c r="C53" s="3" t="s">
        <v>236</v>
      </c>
      <c r="E53" s="6"/>
    </row>
    <row r="54" spans="1:5">
      <c r="A54" s="64"/>
      <c r="C54" s="3"/>
    </row>
    <row r="55" spans="1:5">
      <c r="C55" s="140"/>
    </row>
  </sheetData>
  <phoneticPr fontId="8" type="noConversion"/>
  <printOptions horizontalCentered="1"/>
  <pageMargins left="0.7" right="0.7" top="0.75" bottom="0.75" header="0.3" footer="0.3"/>
  <pageSetup scale="7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9">
    <pageSetUpPr fitToPage="1"/>
  </sheetPr>
  <dimension ref="A1:M56"/>
  <sheetViews>
    <sheetView topLeftCell="A23" zoomScaleNormal="100" workbookViewId="0">
      <selection activeCell="A48" sqref="A48:K48"/>
    </sheetView>
  </sheetViews>
  <sheetFormatPr baseColWidth="10" defaultColWidth="8.7109375" defaultRowHeight="15"/>
  <cols>
    <col min="1" max="1" width="9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2.7109375" style="1" customWidth="1"/>
    <col min="12" max="12" width="8.7109375" style="1"/>
    <col min="13" max="13" width="12.7109375" style="1" customWidth="1"/>
    <col min="14" max="16384" width="8.7109375" style="1"/>
  </cols>
  <sheetData>
    <row r="1" spans="1:13">
      <c r="K1" s="52" t="s">
        <v>88</v>
      </c>
    </row>
    <row r="2" spans="1:13">
      <c r="K2" s="52" t="s">
        <v>45</v>
      </c>
    </row>
    <row r="4" spans="1:13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140"/>
    </row>
    <row r="5" spans="1:13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</row>
    <row r="6" spans="1:13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  <c r="L6" s="140"/>
    </row>
    <row r="7" spans="1:13">
      <c r="A7" s="5" t="s">
        <v>226</v>
      </c>
      <c r="B7" s="5"/>
      <c r="C7" s="5"/>
      <c r="D7" s="5"/>
      <c r="E7" s="5"/>
      <c r="F7" s="5"/>
      <c r="G7" s="5"/>
      <c r="H7" s="5"/>
      <c r="I7" s="5"/>
      <c r="J7" s="5"/>
      <c r="K7" s="5"/>
      <c r="L7" s="140"/>
    </row>
    <row r="8" spans="1:13">
      <c r="A8" s="5" t="s">
        <v>68</v>
      </c>
      <c r="B8" s="5"/>
      <c r="C8" s="5"/>
      <c r="D8" s="5"/>
      <c r="E8" s="5"/>
      <c r="F8" s="5"/>
      <c r="G8" s="5"/>
      <c r="H8" s="5"/>
      <c r="I8" s="5"/>
      <c r="J8" s="5"/>
      <c r="K8" s="5"/>
      <c r="L8" s="140"/>
    </row>
    <row r="10" spans="1:13">
      <c r="I10" s="6" t="s">
        <v>95</v>
      </c>
    </row>
    <row r="11" spans="1:13">
      <c r="C11" s="5" t="s">
        <v>13</v>
      </c>
      <c r="E11" s="5" t="s">
        <v>13</v>
      </c>
      <c r="G11" s="6" t="s">
        <v>101</v>
      </c>
      <c r="I11" s="6" t="s">
        <v>67</v>
      </c>
      <c r="K11" s="6" t="s">
        <v>67</v>
      </c>
    </row>
    <row r="12" spans="1:13">
      <c r="A12" s="2" t="s">
        <v>6</v>
      </c>
      <c r="C12" s="6" t="s">
        <v>7</v>
      </c>
      <c r="E12" s="6" t="s">
        <v>7</v>
      </c>
      <c r="G12" s="6" t="s">
        <v>100</v>
      </c>
      <c r="I12" s="6" t="s">
        <v>8</v>
      </c>
      <c r="K12" s="2" t="s">
        <v>13</v>
      </c>
    </row>
    <row r="13" spans="1:13">
      <c r="A13" s="6" t="s">
        <v>4</v>
      </c>
      <c r="C13" s="6" t="s">
        <v>55</v>
      </c>
      <c r="E13" s="6" t="s">
        <v>69</v>
      </c>
      <c r="G13" s="6" t="s">
        <v>11</v>
      </c>
      <c r="I13" s="6" t="s">
        <v>11</v>
      </c>
      <c r="K13" s="6" t="s">
        <v>55</v>
      </c>
    </row>
    <row r="14" spans="1:13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</row>
    <row r="16" spans="1:13">
      <c r="A16" s="6">
        <v>1994</v>
      </c>
      <c r="C16" s="147">
        <f>'Exhibit I,2'!I15</f>
        <v>12530063.480000002</v>
      </c>
      <c r="E16" s="289">
        <f>1-'Exhibit H,6'!K16</f>
        <v>0</v>
      </c>
      <c r="G16" s="147">
        <f>'Exhibit H,4'!C16+'Exhibit H,4'!E16</f>
        <v>12530063.48</v>
      </c>
      <c r="H16" s="147"/>
      <c r="I16" s="147">
        <f>'Exhibit H,4'!I16</f>
        <v>0</v>
      </c>
      <c r="J16" s="147"/>
      <c r="K16" s="147">
        <f>C16*E16+G16-I16</f>
        <v>12530063.48</v>
      </c>
      <c r="M16" s="20"/>
    </row>
    <row r="17" spans="1:13">
      <c r="A17" s="6">
        <f>A16+1</f>
        <v>1995</v>
      </c>
      <c r="C17" s="494">
        <f>'Exhibit I,2'!I16</f>
        <v>27722793.16</v>
      </c>
      <c r="E17" s="289">
        <f>1-'Exhibit H,6'!K17</f>
        <v>0</v>
      </c>
      <c r="G17" s="494">
        <f>'Exhibit H,4'!C17+'Exhibit H,4'!E17</f>
        <v>27722793.159999996</v>
      </c>
      <c r="H17" s="494"/>
      <c r="I17" s="494">
        <f>'Exhibit H,4'!I17</f>
        <v>0</v>
      </c>
      <c r="J17" s="494"/>
      <c r="K17" s="494">
        <f t="shared" ref="K17:K44" si="0">C17*E17+G17-I17</f>
        <v>27722793.159999996</v>
      </c>
      <c r="M17" s="20"/>
    </row>
    <row r="18" spans="1:13">
      <c r="A18" s="6">
        <f t="shared" ref="A18:A44" si="1">A17+1</f>
        <v>1996</v>
      </c>
      <c r="C18" s="494">
        <f>'Exhibit I,2'!I17</f>
        <v>19535873.620000005</v>
      </c>
      <c r="E18" s="289">
        <f>1-'Exhibit H,6'!K18</f>
        <v>0</v>
      </c>
      <c r="G18" s="494">
        <f>'Exhibit H,4'!C18+'Exhibit H,4'!E18</f>
        <v>19535873.620000001</v>
      </c>
      <c r="H18" s="494"/>
      <c r="I18" s="494">
        <f>'Exhibit H,4'!I18</f>
        <v>0</v>
      </c>
      <c r="J18" s="494"/>
      <c r="K18" s="494">
        <f t="shared" si="0"/>
        <v>19535873.620000001</v>
      </c>
      <c r="M18" s="20"/>
    </row>
    <row r="19" spans="1:13">
      <c r="A19" s="6">
        <f t="shared" si="1"/>
        <v>1997</v>
      </c>
      <c r="C19" s="494">
        <f>'Exhibit I,2'!I18</f>
        <v>10551553.369999999</v>
      </c>
      <c r="E19" s="289">
        <f>1-'Exhibit H,6'!K19</f>
        <v>0</v>
      </c>
      <c r="G19" s="494">
        <f>'Exhibit H,4'!C19+'Exhibit H,4'!E19</f>
        <v>10551553.370000001</v>
      </c>
      <c r="H19" s="494"/>
      <c r="I19" s="494">
        <f>'Exhibit H,4'!I19</f>
        <v>0</v>
      </c>
      <c r="J19" s="494"/>
      <c r="K19" s="494">
        <f t="shared" si="0"/>
        <v>10551553.370000001</v>
      </c>
      <c r="M19" s="20"/>
    </row>
    <row r="20" spans="1:13">
      <c r="A20" s="6">
        <f t="shared" si="1"/>
        <v>1998</v>
      </c>
      <c r="C20" s="494">
        <f>'Exhibit I,2'!I19</f>
        <v>28046459.449999996</v>
      </c>
      <c r="E20" s="289">
        <f>1-'Exhibit H,6'!K20</f>
        <v>0</v>
      </c>
      <c r="G20" s="494">
        <f>'Exhibit H,4'!C20+'Exhibit H,4'!E20</f>
        <v>28046459.449999999</v>
      </c>
      <c r="H20" s="494"/>
      <c r="I20" s="494">
        <f>'Exhibit H,4'!I20</f>
        <v>0</v>
      </c>
      <c r="J20" s="494"/>
      <c r="K20" s="494">
        <f t="shared" si="0"/>
        <v>28046459.449999999</v>
      </c>
      <c r="M20" s="20"/>
    </row>
    <row r="21" spans="1:13">
      <c r="A21" s="6">
        <f t="shared" si="1"/>
        <v>1999</v>
      </c>
      <c r="C21" s="494">
        <f>'Exhibit I,2'!I20</f>
        <v>23093430.41</v>
      </c>
      <c r="E21" s="289">
        <f>1-'Exhibit H,6'!K21</f>
        <v>0</v>
      </c>
      <c r="G21" s="494">
        <f>'Exhibit H,4'!C21+'Exhibit H,4'!E21</f>
        <v>23093430.41</v>
      </c>
      <c r="H21" s="494"/>
      <c r="I21" s="494">
        <f>'Exhibit H,4'!I21</f>
        <v>0</v>
      </c>
      <c r="J21" s="494"/>
      <c r="K21" s="494">
        <f t="shared" si="0"/>
        <v>23093430.41</v>
      </c>
      <c r="M21" s="20"/>
    </row>
    <row r="22" spans="1:13">
      <c r="A22" s="6">
        <f t="shared" si="1"/>
        <v>2000</v>
      </c>
      <c r="C22" s="494">
        <f>'Exhibit I,2'!I21</f>
        <v>16813843.780000001</v>
      </c>
      <c r="E22" s="289">
        <f>1-'Exhibit H,6'!K22</f>
        <v>0</v>
      </c>
      <c r="G22" s="494">
        <f>'Exhibit H,4'!C22+'Exhibit H,4'!E22</f>
        <v>16813843.780000001</v>
      </c>
      <c r="H22" s="494"/>
      <c r="I22" s="494">
        <f>'Exhibit H,4'!I22</f>
        <v>0</v>
      </c>
      <c r="J22" s="494"/>
      <c r="K22" s="494">
        <f t="shared" si="0"/>
        <v>16813843.780000001</v>
      </c>
      <c r="M22" s="20"/>
    </row>
    <row r="23" spans="1:13">
      <c r="A23" s="6">
        <f t="shared" si="1"/>
        <v>2001</v>
      </c>
      <c r="C23" s="494">
        <f>'Exhibit I,2'!I22</f>
        <v>8970924.5199999996</v>
      </c>
      <c r="E23" s="289">
        <f>1-'Exhibit H,6'!K23</f>
        <v>0</v>
      </c>
      <c r="G23" s="494">
        <f>'Exhibit H,4'!C23+'Exhibit H,4'!E23</f>
        <v>8970924.5199999996</v>
      </c>
      <c r="H23" s="494"/>
      <c r="I23" s="494">
        <f>'Exhibit H,4'!I23</f>
        <v>0</v>
      </c>
      <c r="J23" s="494"/>
      <c r="K23" s="494">
        <f t="shared" si="0"/>
        <v>8970924.5199999996</v>
      </c>
      <c r="M23" s="20"/>
    </row>
    <row r="24" spans="1:13">
      <c r="A24" s="6">
        <f t="shared" si="1"/>
        <v>2002</v>
      </c>
      <c r="C24" s="494">
        <f>'Exhibit I,2'!I23</f>
        <v>5903704.3700000001</v>
      </c>
      <c r="E24" s="289">
        <f>1-'Exhibit H,6'!K24</f>
        <v>0</v>
      </c>
      <c r="G24" s="494">
        <f>'Exhibit H,4'!C24+'Exhibit H,4'!E24</f>
        <v>5903704.3700000048</v>
      </c>
      <c r="H24" s="494"/>
      <c r="I24" s="494">
        <f>'Exhibit H,4'!I24</f>
        <v>0</v>
      </c>
      <c r="J24" s="494"/>
      <c r="K24" s="494">
        <f t="shared" si="0"/>
        <v>5903704.3700000048</v>
      </c>
      <c r="M24" s="20"/>
    </row>
    <row r="25" spans="1:13">
      <c r="A25" s="6">
        <f t="shared" si="1"/>
        <v>2003</v>
      </c>
      <c r="C25" s="494">
        <f>'Exhibit I,2'!I24</f>
        <v>8418136.2699999996</v>
      </c>
      <c r="E25" s="289">
        <f>1-'Exhibit H,6'!K25</f>
        <v>0</v>
      </c>
      <c r="G25" s="494">
        <f>'Exhibit H,4'!C25+'Exhibit H,4'!E25</f>
        <v>8418136.270000007</v>
      </c>
      <c r="H25" s="494"/>
      <c r="I25" s="494">
        <f>'Exhibit H,4'!I25</f>
        <v>0</v>
      </c>
      <c r="J25" s="494"/>
      <c r="K25" s="494">
        <f t="shared" si="0"/>
        <v>8418136.270000007</v>
      </c>
      <c r="M25" s="20"/>
    </row>
    <row r="26" spans="1:13">
      <c r="A26" s="6">
        <f t="shared" si="1"/>
        <v>2004</v>
      </c>
      <c r="C26" s="494">
        <f>'Exhibit I,2'!I25</f>
        <v>545392.89999999898</v>
      </c>
      <c r="E26" s="289">
        <f>1-'Exhibit H,6'!K26</f>
        <v>0</v>
      </c>
      <c r="G26" s="494">
        <f>'Exhibit H,4'!C26+'Exhibit H,4'!E26</f>
        <v>545392.89999999851</v>
      </c>
      <c r="H26" s="494"/>
      <c r="I26" s="494">
        <f>'Exhibit H,4'!I26</f>
        <v>0</v>
      </c>
      <c r="J26" s="494"/>
      <c r="K26" s="494">
        <f t="shared" si="0"/>
        <v>545392.89999999851</v>
      </c>
      <c r="M26" s="20"/>
    </row>
    <row r="27" spans="1:13">
      <c r="A27" s="6">
        <f t="shared" si="1"/>
        <v>2005</v>
      </c>
      <c r="C27" s="494">
        <f>'Exhibit I,2'!I26</f>
        <v>1276257.6799999997</v>
      </c>
      <c r="E27" s="289">
        <f>1-'Exhibit H,6'!K27</f>
        <v>0</v>
      </c>
      <c r="G27" s="494">
        <f>'Exhibit H,4'!C27+'Exhibit H,4'!E27</f>
        <v>1276257.6799999997</v>
      </c>
      <c r="H27" s="494"/>
      <c r="I27" s="494">
        <f>'Exhibit H,4'!I27</f>
        <v>0</v>
      </c>
      <c r="J27" s="494"/>
      <c r="K27" s="494">
        <f t="shared" si="0"/>
        <v>1276257.6799999997</v>
      </c>
      <c r="M27" s="20"/>
    </row>
    <row r="28" spans="1:13">
      <c r="A28" s="6">
        <f t="shared" si="1"/>
        <v>2006</v>
      </c>
      <c r="C28" s="494">
        <f>'Exhibit I,2'!I27</f>
        <v>0</v>
      </c>
      <c r="E28" s="289">
        <f>1-'Exhibit H,6'!K28</f>
        <v>0</v>
      </c>
      <c r="G28" s="494">
        <f>'Exhibit H,4'!C28+'Exhibit H,4'!E28</f>
        <v>0</v>
      </c>
      <c r="H28" s="494"/>
      <c r="I28" s="494">
        <f>'Exhibit H,4'!I28</f>
        <v>0</v>
      </c>
      <c r="J28" s="494"/>
      <c r="K28" s="494">
        <f t="shared" si="0"/>
        <v>0</v>
      </c>
      <c r="M28" s="20"/>
    </row>
    <row r="29" spans="1:13">
      <c r="A29" s="6">
        <f t="shared" si="1"/>
        <v>2007</v>
      </c>
      <c r="C29" s="494">
        <f>'Exhibit I,2'!I28</f>
        <v>638230.87999999942</v>
      </c>
      <c r="E29" s="289">
        <f>1-'Exhibit H,6'!K29</f>
        <v>0</v>
      </c>
      <c r="G29" s="494">
        <f>'Exhibit H,4'!C29+'Exhibit H,4'!E29</f>
        <v>638230.88000000268</v>
      </c>
      <c r="H29" s="494"/>
      <c r="I29" s="494">
        <f>'Exhibit H,4'!I29</f>
        <v>0</v>
      </c>
      <c r="J29" s="494"/>
      <c r="K29" s="494">
        <f t="shared" si="0"/>
        <v>638230.88000000268</v>
      </c>
      <c r="M29" s="20"/>
    </row>
    <row r="30" spans="1:13">
      <c r="A30" s="6">
        <f t="shared" si="1"/>
        <v>2008</v>
      </c>
      <c r="C30" s="494">
        <f>'Exhibit I,2'!I29</f>
        <v>823895.1099999994</v>
      </c>
      <c r="E30" s="289">
        <f>1-'Exhibit H,6'!K30</f>
        <v>0</v>
      </c>
      <c r="G30" s="494">
        <f>'Exhibit H,4'!C30+'Exhibit H,4'!E30</f>
        <v>823895.1099999994</v>
      </c>
      <c r="H30" s="494"/>
      <c r="I30" s="494">
        <f>'Exhibit H,4'!I30</f>
        <v>0</v>
      </c>
      <c r="J30" s="494"/>
      <c r="K30" s="494">
        <f t="shared" si="0"/>
        <v>823895.1099999994</v>
      </c>
      <c r="M30" s="20"/>
    </row>
    <row r="31" spans="1:13">
      <c r="A31" s="6">
        <f t="shared" si="1"/>
        <v>2009</v>
      </c>
      <c r="C31" s="494">
        <f>'Exhibit I,2'!I30</f>
        <v>1716687.8199999996</v>
      </c>
      <c r="E31" s="289">
        <f>1-'Exhibit H,6'!K31</f>
        <v>0</v>
      </c>
      <c r="G31" s="494">
        <f>'Exhibit H,4'!C31+'Exhibit H,4'!E31</f>
        <v>1716687.8200000003</v>
      </c>
      <c r="H31" s="494"/>
      <c r="I31" s="494">
        <f>'Exhibit H,4'!I31</f>
        <v>0</v>
      </c>
      <c r="J31" s="494"/>
      <c r="K31" s="494">
        <f t="shared" si="0"/>
        <v>1716687.8200000003</v>
      </c>
      <c r="M31" s="20"/>
    </row>
    <row r="32" spans="1:13">
      <c r="A32" s="6">
        <f t="shared" si="1"/>
        <v>2010</v>
      </c>
      <c r="C32" s="494">
        <f>'Exhibit I,2'!I31</f>
        <v>2126900.6900000013</v>
      </c>
      <c r="E32" s="289">
        <f>1-'Exhibit H,6'!K32</f>
        <v>0</v>
      </c>
      <c r="G32" s="494">
        <f>'Exhibit H,4'!C32+'Exhibit H,4'!E32</f>
        <v>2126900.6900000013</v>
      </c>
      <c r="H32" s="494"/>
      <c r="I32" s="494">
        <f>'Exhibit H,4'!I32</f>
        <v>0</v>
      </c>
      <c r="J32" s="494"/>
      <c r="K32" s="494">
        <f t="shared" si="0"/>
        <v>2126900.6900000013</v>
      </c>
      <c r="M32" s="20"/>
    </row>
    <row r="33" spans="1:13">
      <c r="A33" s="6">
        <f t="shared" si="1"/>
        <v>2011</v>
      </c>
      <c r="C33" s="494">
        <f>'Exhibit I,2'!I32</f>
        <v>2235848.3499999992</v>
      </c>
      <c r="E33" s="289">
        <f>1-'Exhibit H,6'!K33</f>
        <v>0</v>
      </c>
      <c r="G33" s="494">
        <f>'Exhibit H,4'!C33+'Exhibit H,4'!E33</f>
        <v>2235848.3499999978</v>
      </c>
      <c r="H33" s="494"/>
      <c r="I33" s="494">
        <f>'Exhibit H,4'!I33</f>
        <v>0</v>
      </c>
      <c r="J33" s="494"/>
      <c r="K33" s="494">
        <f t="shared" si="0"/>
        <v>2235848.3499999978</v>
      </c>
      <c r="M33" s="20"/>
    </row>
    <row r="34" spans="1:13">
      <c r="A34" s="6">
        <f t="shared" si="1"/>
        <v>2012</v>
      </c>
      <c r="C34" s="494">
        <f>'Exhibit I,2'!I33</f>
        <v>5998700.5517177861</v>
      </c>
      <c r="E34" s="289">
        <f>1-'Exhibit H,6'!K34</f>
        <v>0</v>
      </c>
      <c r="G34" s="494">
        <f>'Exhibit H,4'!C34+'Exhibit H,4'!E34</f>
        <v>5992753.5500000007</v>
      </c>
      <c r="H34" s="494"/>
      <c r="I34" s="494">
        <f>'Exhibit H,4'!I34</f>
        <v>0</v>
      </c>
      <c r="J34" s="494"/>
      <c r="K34" s="494">
        <f t="shared" si="0"/>
        <v>5992753.5500000007</v>
      </c>
      <c r="M34" s="20"/>
    </row>
    <row r="35" spans="1:13">
      <c r="A35" s="6">
        <f t="shared" si="1"/>
        <v>2013</v>
      </c>
      <c r="C35" s="494">
        <f>'Exhibit I,2'!I34</f>
        <v>6075393.9799999995</v>
      </c>
      <c r="E35" s="289">
        <f>1-'Exhibit H,6'!K35</f>
        <v>0</v>
      </c>
      <c r="G35" s="494">
        <f>'Exhibit H,4'!C35+'Exhibit H,4'!E35</f>
        <v>6075393.9799999986</v>
      </c>
      <c r="H35" s="494"/>
      <c r="I35" s="494">
        <f>'Exhibit H,4'!I35</f>
        <v>0</v>
      </c>
      <c r="J35" s="494"/>
      <c r="K35" s="494">
        <f t="shared" si="0"/>
        <v>6075393.9799999986</v>
      </c>
      <c r="M35" s="20"/>
    </row>
    <row r="36" spans="1:13">
      <c r="A36" s="6">
        <f t="shared" si="1"/>
        <v>2014</v>
      </c>
      <c r="C36" s="494">
        <f>'Exhibit I,2'!I35</f>
        <v>1328579.0256815106</v>
      </c>
      <c r="E36" s="289">
        <f>1-'Exhibit H,6'!K36</f>
        <v>0</v>
      </c>
      <c r="G36" s="494">
        <f>'Exhibit H,4'!C36+'Exhibit H,4'!E36</f>
        <v>1329575.0700000003</v>
      </c>
      <c r="H36" s="494"/>
      <c r="I36" s="494">
        <f>'Exhibit H,4'!I36</f>
        <v>0</v>
      </c>
      <c r="J36" s="494"/>
      <c r="K36" s="494">
        <f t="shared" si="0"/>
        <v>1329575.0700000003</v>
      </c>
      <c r="M36" s="20"/>
    </row>
    <row r="37" spans="1:13">
      <c r="A37" s="6">
        <f t="shared" si="1"/>
        <v>2015</v>
      </c>
      <c r="C37" s="494">
        <f>'Exhibit I,2'!I36</f>
        <v>1318663.5328260895</v>
      </c>
      <c r="E37" s="289">
        <f>1-'Exhibit H,6'!K37</f>
        <v>0</v>
      </c>
      <c r="G37" s="494">
        <f>'Exhibit H,4'!C37+'Exhibit H,4'!E37</f>
        <v>1325604.9400000013</v>
      </c>
      <c r="H37" s="494"/>
      <c r="I37" s="494">
        <f>'Exhibit H,4'!I37</f>
        <v>0</v>
      </c>
      <c r="J37" s="494"/>
      <c r="K37" s="494">
        <f t="shared" si="0"/>
        <v>1325604.9400000013</v>
      </c>
      <c r="M37" s="20"/>
    </row>
    <row r="38" spans="1:13">
      <c r="A38" s="6">
        <f t="shared" si="1"/>
        <v>2016</v>
      </c>
      <c r="C38" s="494">
        <f>'Exhibit I,2'!I37</f>
        <v>2246653.0673961686</v>
      </c>
      <c r="E38" s="289">
        <f>1-'Exhibit H,6'!K38</f>
        <v>6.6747572815534228E-3</v>
      </c>
      <c r="G38" s="494">
        <f>'Exhibit H,4'!C38+'Exhibit H,4'!E38</f>
        <v>2347702.3199999984</v>
      </c>
      <c r="H38" s="494"/>
      <c r="I38" s="494">
        <f>'Exhibit H,4'!I38</f>
        <v>0</v>
      </c>
      <c r="J38" s="494"/>
      <c r="K38" s="494">
        <f t="shared" si="0"/>
        <v>2362698.1839207252</v>
      </c>
      <c r="M38" s="20"/>
    </row>
    <row r="39" spans="1:13">
      <c r="A39" s="6">
        <f t="shared" si="1"/>
        <v>2017</v>
      </c>
      <c r="C39" s="494">
        <f>'Exhibit I,2'!I38</f>
        <v>949574.63003652345</v>
      </c>
      <c r="E39" s="289">
        <f>1-'Exhibit H,6'!K39</f>
        <v>7.8650112023898489E-2</v>
      </c>
      <c r="G39" s="494">
        <f>'Exhibit H,4'!C39+'Exhibit H,4'!E39</f>
        <v>220160</v>
      </c>
      <c r="H39" s="494"/>
      <c r="I39" s="494">
        <f>'Exhibit H,4'!I39</f>
        <v>0</v>
      </c>
      <c r="J39" s="494"/>
      <c r="K39" s="494">
        <f t="shared" si="0"/>
        <v>294844.15102742455</v>
      </c>
      <c r="M39" s="20"/>
    </row>
    <row r="40" spans="1:13">
      <c r="A40" s="6">
        <f t="shared" si="1"/>
        <v>2018</v>
      </c>
      <c r="C40" s="494">
        <f>'Exhibit I,2'!I39</f>
        <v>1017702.1461187608</v>
      </c>
      <c r="E40" s="289">
        <f>1-'Exhibit H,6'!K40</f>
        <v>0.2922858025804127</v>
      </c>
      <c r="G40" s="494">
        <f>'Exhibit H,4'!C40+'Exhibit H,4'!E40</f>
        <v>2000000</v>
      </c>
      <c r="H40" s="494"/>
      <c r="I40" s="494">
        <f>'Exhibit H,4'!I40</f>
        <v>0</v>
      </c>
      <c r="J40" s="494"/>
      <c r="K40" s="494">
        <f t="shared" si="0"/>
        <v>2297459.8885661303</v>
      </c>
      <c r="M40" s="20"/>
    </row>
    <row r="41" spans="1:13">
      <c r="A41" s="6">
        <f t="shared" si="1"/>
        <v>2019</v>
      </c>
      <c r="C41" s="494">
        <f>'Exhibit I,2'!I40</f>
        <v>1048199.8804938646</v>
      </c>
      <c r="E41" s="289">
        <f>1-'Exhibit H,6'!K41</f>
        <v>0.48585733272273512</v>
      </c>
      <c r="G41" s="494">
        <f>'Exhibit H,4'!C41+'Exhibit H,4'!E41</f>
        <v>194376.86999999918</v>
      </c>
      <c r="H41" s="494"/>
      <c r="I41" s="494">
        <f>'Exhibit H,4'!I41</f>
        <v>0</v>
      </c>
      <c r="J41" s="494"/>
      <c r="K41" s="494">
        <f t="shared" si="0"/>
        <v>703652.46809703798</v>
      </c>
      <c r="M41" s="20"/>
    </row>
    <row r="42" spans="1:13">
      <c r="A42" s="6">
        <f t="shared" si="1"/>
        <v>2020</v>
      </c>
      <c r="C42" s="494">
        <f>'Exhibit I,2'!I41</f>
        <v>1076679.848147894</v>
      </c>
      <c r="E42" s="289">
        <f>1-'Exhibit H,6'!K42</f>
        <v>0.60951189827043162</v>
      </c>
      <c r="G42" s="494">
        <f>'Exhibit H,4'!C42+'Exhibit H,4'!E42</f>
        <v>592996.41000000015</v>
      </c>
      <c r="H42" s="494"/>
      <c r="I42" s="494">
        <f>'Exhibit H,4'!I42</f>
        <v>0</v>
      </c>
      <c r="J42" s="494"/>
      <c r="K42" s="494">
        <f t="shared" si="0"/>
        <v>1249245.588074143</v>
      </c>
      <c r="M42" s="20"/>
    </row>
    <row r="43" spans="1:13">
      <c r="A43" s="6">
        <f t="shared" si="1"/>
        <v>2021</v>
      </c>
      <c r="C43" s="494">
        <f>'Exhibit I,2'!I42</f>
        <v>685723.39891264588</v>
      </c>
      <c r="E43" s="289">
        <f>1-'Exhibit H,6'!K43</f>
        <v>0.84100556144631189</v>
      </c>
      <c r="G43" s="494">
        <f>'Exhibit H,4'!C43+'Exhibit H,4'!E43</f>
        <v>0</v>
      </c>
      <c r="H43" s="494"/>
      <c r="I43" s="494">
        <f>'Exhibit H,4'!I43</f>
        <v>0</v>
      </c>
      <c r="J43" s="494"/>
      <c r="K43" s="494">
        <f t="shared" si="0"/>
        <v>576697.19209940301</v>
      </c>
      <c r="M43" s="20"/>
    </row>
    <row r="44" spans="1:13">
      <c r="A44" s="6">
        <f t="shared" si="1"/>
        <v>2022</v>
      </c>
      <c r="C44" s="494">
        <f>'Exhibit I,2'!I43</f>
        <v>693945.76694854186</v>
      </c>
      <c r="E44" s="289">
        <f>1-'Exhibit H,6'!K44</f>
        <v>0.98534238210516578</v>
      </c>
      <c r="G44" s="494">
        <f>'Exhibit H,4'!C44+'Exhibit H,4'!E44</f>
        <v>0</v>
      </c>
      <c r="H44" s="494"/>
      <c r="I44" s="494">
        <f>'Exhibit H,4'!I44</f>
        <v>0</v>
      </c>
      <c r="J44" s="494"/>
      <c r="K44" s="494">
        <f t="shared" si="0"/>
        <v>683774.17505687242</v>
      </c>
      <c r="M44" s="20"/>
    </row>
    <row r="45" spans="1:13">
      <c r="A45" s="6"/>
      <c r="C45" s="105"/>
      <c r="G45" s="290"/>
      <c r="I45" s="290"/>
      <c r="K45" s="290"/>
    </row>
    <row r="46" spans="1:13">
      <c r="A46" s="6" t="s">
        <v>0</v>
      </c>
      <c r="C46" s="26">
        <f>SUM(C16:C45)</f>
        <v>193389811.68827987</v>
      </c>
      <c r="G46" s="26">
        <f>SUM(G16:G45)</f>
        <v>191028559.00000003</v>
      </c>
      <c r="I46" s="26">
        <f>SUM(I16:I45)</f>
        <v>0</v>
      </c>
      <c r="K46" s="26">
        <f>SUM(K16:K45)</f>
        <v>193841695.04684174</v>
      </c>
    </row>
    <row r="48" spans="1:13">
      <c r="A48" s="2"/>
      <c r="C48" s="26"/>
      <c r="G48" s="26"/>
      <c r="K48" s="26"/>
    </row>
    <row r="52" spans="1:3">
      <c r="A52" s="64" t="s">
        <v>104</v>
      </c>
      <c r="C52" s="3" t="s">
        <v>653</v>
      </c>
    </row>
    <row r="53" spans="1:3">
      <c r="A53" s="64" t="s">
        <v>36</v>
      </c>
      <c r="C53" s="3" t="s">
        <v>237</v>
      </c>
    </row>
    <row r="54" spans="1:3">
      <c r="A54" s="64" t="s">
        <v>38</v>
      </c>
      <c r="C54" s="3" t="s">
        <v>740</v>
      </c>
    </row>
    <row r="55" spans="1:3">
      <c r="A55" s="64" t="s">
        <v>40</v>
      </c>
      <c r="C55" s="3" t="s">
        <v>928</v>
      </c>
    </row>
    <row r="56" spans="1:3">
      <c r="A56" s="64" t="s">
        <v>42</v>
      </c>
      <c r="C56" s="3" t="s">
        <v>219</v>
      </c>
    </row>
  </sheetData>
  <printOptions horizontalCentered="1"/>
  <pageMargins left="0.7" right="0.7" top="0.75" bottom="0.75" header="0.3" footer="0.3"/>
  <pageSetup scale="7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0">
    <pageSetUpPr fitToPage="1"/>
  </sheetPr>
  <dimension ref="A1:Q56"/>
  <sheetViews>
    <sheetView zoomScaleNormal="100" workbookViewId="0"/>
  </sheetViews>
  <sheetFormatPr baseColWidth="10" defaultColWidth="8.7109375" defaultRowHeight="15"/>
  <cols>
    <col min="1" max="1" width="9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9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2.7109375" style="1" customWidth="1"/>
    <col min="12" max="15" width="8.7109375" style="1"/>
    <col min="16" max="17" width="14.7109375" style="1" bestFit="1" customWidth="1"/>
    <col min="18" max="16384" width="8.7109375" style="1"/>
  </cols>
  <sheetData>
    <row r="1" spans="1:17">
      <c r="K1" s="64" t="s">
        <v>88</v>
      </c>
    </row>
    <row r="2" spans="1:17">
      <c r="K2" s="52" t="s">
        <v>66</v>
      </c>
    </row>
    <row r="4" spans="1:17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140"/>
    </row>
    <row r="5" spans="1:17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</row>
    <row r="6" spans="1:17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  <c r="L6" s="140"/>
    </row>
    <row r="7" spans="1:17">
      <c r="A7" s="5" t="s">
        <v>226</v>
      </c>
      <c r="B7" s="5"/>
      <c r="C7" s="5"/>
      <c r="D7" s="5"/>
      <c r="E7" s="5"/>
      <c r="F7" s="5"/>
      <c r="G7" s="5"/>
      <c r="H7" s="5"/>
      <c r="I7" s="5"/>
      <c r="J7" s="5"/>
      <c r="K7" s="5"/>
      <c r="L7" s="140"/>
    </row>
    <row r="8" spans="1:17">
      <c r="A8" s="5" t="s">
        <v>58</v>
      </c>
      <c r="B8" s="5"/>
      <c r="C8" s="5"/>
      <c r="D8" s="5"/>
      <c r="E8" s="5"/>
      <c r="F8" s="5"/>
      <c r="G8" s="5"/>
      <c r="H8" s="5"/>
      <c r="I8" s="5"/>
      <c r="J8" s="5"/>
      <c r="K8" s="5"/>
      <c r="L8" s="140"/>
    </row>
    <row r="10" spans="1:17">
      <c r="I10" s="6" t="s">
        <v>95</v>
      </c>
    </row>
    <row r="11" spans="1:17">
      <c r="C11" s="5" t="s">
        <v>13</v>
      </c>
      <c r="E11" s="5" t="s">
        <v>13</v>
      </c>
      <c r="G11" s="6" t="s">
        <v>99</v>
      </c>
      <c r="I11" s="6" t="s">
        <v>67</v>
      </c>
      <c r="K11" s="6" t="s">
        <v>67</v>
      </c>
      <c r="P11" s="25"/>
      <c r="Q11" s="61"/>
    </row>
    <row r="12" spans="1:17">
      <c r="A12" s="2" t="s">
        <v>6</v>
      </c>
      <c r="C12" s="6" t="s">
        <v>7</v>
      </c>
      <c r="E12" s="6" t="s">
        <v>7</v>
      </c>
      <c r="G12" s="6" t="s">
        <v>100</v>
      </c>
      <c r="I12" s="6" t="s">
        <v>8</v>
      </c>
      <c r="K12" s="2" t="s">
        <v>13</v>
      </c>
    </row>
    <row r="13" spans="1:17">
      <c r="A13" s="6" t="s">
        <v>4</v>
      </c>
      <c r="C13" s="6" t="s">
        <v>55</v>
      </c>
      <c r="E13" s="6" t="s">
        <v>63</v>
      </c>
      <c r="G13" s="6" t="s">
        <v>11</v>
      </c>
      <c r="I13" s="6" t="s">
        <v>11</v>
      </c>
      <c r="K13" s="6" t="s">
        <v>55</v>
      </c>
    </row>
    <row r="14" spans="1:17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</row>
    <row r="16" spans="1:17">
      <c r="A16" s="6">
        <v>1994</v>
      </c>
      <c r="C16" s="509">
        <f>'Exhibit I,2'!I15</f>
        <v>12530063.480000002</v>
      </c>
      <c r="E16" s="289">
        <f>1-'Exhibit H,7'!K16</f>
        <v>0</v>
      </c>
      <c r="G16" s="509">
        <f>'Exhibit H,5'!C16+'Exhibit H,5'!E16</f>
        <v>12530063.48</v>
      </c>
      <c r="H16" s="147"/>
      <c r="I16" s="147">
        <f>'Exhibit H,5'!I16</f>
        <v>0</v>
      </c>
      <c r="J16" s="147"/>
      <c r="K16" s="147">
        <f>C16*E16+G16-I16</f>
        <v>12530063.48</v>
      </c>
    </row>
    <row r="17" spans="1:17">
      <c r="A17" s="6">
        <f>A16+1</f>
        <v>1995</v>
      </c>
      <c r="C17" s="499">
        <f>'Exhibit I,2'!I16</f>
        <v>27722793.16</v>
      </c>
      <c r="E17" s="289">
        <f>1-'Exhibit H,7'!K17</f>
        <v>0</v>
      </c>
      <c r="G17" s="499">
        <f>'Exhibit H,5'!C17+'Exhibit H,5'!E17</f>
        <v>27722793.159999996</v>
      </c>
      <c r="H17" s="187"/>
      <c r="I17" s="494">
        <f>'Exhibit H,5'!I17</f>
        <v>0</v>
      </c>
      <c r="J17" s="187"/>
      <c r="K17" s="494">
        <f t="shared" ref="K17:K44" si="0">C17*E17+G17-I17</f>
        <v>27722793.159999996</v>
      </c>
      <c r="P17" s="205"/>
      <c r="Q17" s="84"/>
    </row>
    <row r="18" spans="1:17">
      <c r="A18" s="6">
        <f t="shared" ref="A18:A44" si="1">A17+1</f>
        <v>1996</v>
      </c>
      <c r="C18" s="499">
        <f>'Exhibit I,2'!I17</f>
        <v>19535873.620000005</v>
      </c>
      <c r="E18" s="289">
        <f>1-'Exhibit H,7'!K18</f>
        <v>0</v>
      </c>
      <c r="G18" s="499">
        <f>'Exhibit H,5'!C18+'Exhibit H,5'!E18</f>
        <v>19535873.620000001</v>
      </c>
      <c r="H18" s="187"/>
      <c r="I18" s="494">
        <f>'Exhibit H,5'!I18</f>
        <v>0</v>
      </c>
      <c r="J18" s="187"/>
      <c r="K18" s="494">
        <f t="shared" si="0"/>
        <v>19535873.620000001</v>
      </c>
      <c r="P18" s="205"/>
      <c r="Q18" s="84"/>
    </row>
    <row r="19" spans="1:17">
      <c r="A19" s="6">
        <f t="shared" si="1"/>
        <v>1997</v>
      </c>
      <c r="C19" s="499">
        <f>'Exhibit I,2'!I18</f>
        <v>10551553.369999999</v>
      </c>
      <c r="E19" s="289">
        <f>1-'Exhibit H,7'!K19</f>
        <v>0</v>
      </c>
      <c r="G19" s="499">
        <f>'Exhibit H,5'!C19+'Exhibit H,5'!E19</f>
        <v>10551553.370000001</v>
      </c>
      <c r="H19" s="187"/>
      <c r="I19" s="494">
        <f>'Exhibit H,5'!I19</f>
        <v>0</v>
      </c>
      <c r="J19" s="187"/>
      <c r="K19" s="494">
        <f t="shared" si="0"/>
        <v>10551553.370000001</v>
      </c>
      <c r="P19" s="205"/>
      <c r="Q19" s="84"/>
    </row>
    <row r="20" spans="1:17">
      <c r="A20" s="6">
        <f t="shared" si="1"/>
        <v>1998</v>
      </c>
      <c r="C20" s="499">
        <f>'Exhibit I,2'!I19</f>
        <v>28046459.449999996</v>
      </c>
      <c r="E20" s="289">
        <f>1-'Exhibit H,7'!K20</f>
        <v>0</v>
      </c>
      <c r="G20" s="499">
        <f>'Exhibit H,5'!C20+'Exhibit H,5'!E20</f>
        <v>28046459.449999999</v>
      </c>
      <c r="H20" s="187"/>
      <c r="I20" s="494">
        <f>'Exhibit H,5'!I20</f>
        <v>0</v>
      </c>
      <c r="J20" s="187"/>
      <c r="K20" s="494">
        <f t="shared" si="0"/>
        <v>28046459.449999999</v>
      </c>
      <c r="P20" s="205"/>
      <c r="Q20" s="84"/>
    </row>
    <row r="21" spans="1:17">
      <c r="A21" s="6">
        <f t="shared" si="1"/>
        <v>1999</v>
      </c>
      <c r="C21" s="499">
        <f>'Exhibit I,2'!I20</f>
        <v>23093430.41</v>
      </c>
      <c r="E21" s="289">
        <f>1-'Exhibit H,7'!K21</f>
        <v>0</v>
      </c>
      <c r="G21" s="499">
        <f>'Exhibit H,5'!C21+'Exhibit H,5'!E21</f>
        <v>23093430.41</v>
      </c>
      <c r="H21" s="187"/>
      <c r="I21" s="494">
        <f>'Exhibit H,5'!I21</f>
        <v>0</v>
      </c>
      <c r="J21" s="187"/>
      <c r="K21" s="494">
        <f t="shared" si="0"/>
        <v>23093430.41</v>
      </c>
      <c r="P21" s="205"/>
      <c r="Q21" s="84"/>
    </row>
    <row r="22" spans="1:17">
      <c r="A22" s="6">
        <f t="shared" si="1"/>
        <v>2000</v>
      </c>
      <c r="C22" s="499">
        <f>'Exhibit I,2'!I21</f>
        <v>16813843.780000001</v>
      </c>
      <c r="E22" s="289">
        <f>1-'Exhibit H,7'!K22</f>
        <v>0</v>
      </c>
      <c r="G22" s="499">
        <f>'Exhibit H,5'!C22+'Exhibit H,5'!E22</f>
        <v>16813843.780000001</v>
      </c>
      <c r="H22" s="187"/>
      <c r="I22" s="494">
        <f>'Exhibit H,5'!I22</f>
        <v>0</v>
      </c>
      <c r="J22" s="187"/>
      <c r="K22" s="494">
        <f t="shared" si="0"/>
        <v>16813843.780000001</v>
      </c>
      <c r="P22" s="205"/>
      <c r="Q22" s="84"/>
    </row>
    <row r="23" spans="1:17">
      <c r="A23" s="6">
        <f t="shared" si="1"/>
        <v>2001</v>
      </c>
      <c r="C23" s="499">
        <f>'Exhibit I,2'!I22</f>
        <v>8970924.5199999996</v>
      </c>
      <c r="E23" s="289">
        <f>1-'Exhibit H,7'!K23</f>
        <v>0</v>
      </c>
      <c r="G23" s="499">
        <f>'Exhibit H,5'!C23+'Exhibit H,5'!E23</f>
        <v>8970924.5199999996</v>
      </c>
      <c r="H23" s="187"/>
      <c r="I23" s="494">
        <f>'Exhibit H,5'!I23</f>
        <v>0</v>
      </c>
      <c r="J23" s="187"/>
      <c r="K23" s="494">
        <f t="shared" si="0"/>
        <v>8970924.5199999996</v>
      </c>
      <c r="P23" s="205"/>
      <c r="Q23" s="84"/>
    </row>
    <row r="24" spans="1:17">
      <c r="A24" s="6">
        <f t="shared" si="1"/>
        <v>2002</v>
      </c>
      <c r="C24" s="499">
        <f>'Exhibit I,2'!I23</f>
        <v>5903704.3700000001</v>
      </c>
      <c r="E24" s="289">
        <f>1-'Exhibit H,7'!K24</f>
        <v>0</v>
      </c>
      <c r="G24" s="499">
        <f>'Exhibit H,5'!C24+'Exhibit H,5'!E24</f>
        <v>5903704.3700000001</v>
      </c>
      <c r="H24" s="187"/>
      <c r="I24" s="494">
        <f>'Exhibit H,5'!I24</f>
        <v>0</v>
      </c>
      <c r="J24" s="187"/>
      <c r="K24" s="494">
        <f t="shared" si="0"/>
        <v>5903704.3700000001</v>
      </c>
      <c r="P24" s="205"/>
      <c r="Q24" s="84"/>
    </row>
    <row r="25" spans="1:17">
      <c r="A25" s="6">
        <f t="shared" si="1"/>
        <v>2003</v>
      </c>
      <c r="C25" s="499">
        <f>'Exhibit I,2'!I24</f>
        <v>8418136.2699999996</v>
      </c>
      <c r="E25" s="289">
        <f>1-'Exhibit H,7'!K25</f>
        <v>0</v>
      </c>
      <c r="G25" s="499">
        <f>'Exhibit H,5'!C25+'Exhibit H,5'!E25</f>
        <v>8418136.2699999996</v>
      </c>
      <c r="H25" s="187"/>
      <c r="I25" s="494">
        <f>'Exhibit H,5'!I25</f>
        <v>0</v>
      </c>
      <c r="J25" s="187"/>
      <c r="K25" s="494">
        <f t="shared" si="0"/>
        <v>8418136.2699999996</v>
      </c>
      <c r="P25" s="205"/>
      <c r="Q25" s="137"/>
    </row>
    <row r="26" spans="1:17">
      <c r="A26" s="6">
        <f t="shared" si="1"/>
        <v>2004</v>
      </c>
      <c r="C26" s="499">
        <f>'Exhibit I,2'!I25</f>
        <v>545392.89999999898</v>
      </c>
      <c r="E26" s="289">
        <f>1-'Exhibit H,7'!K26</f>
        <v>0</v>
      </c>
      <c r="G26" s="499">
        <f>'Exhibit H,5'!C26+'Exhibit H,5'!E26</f>
        <v>545392.9</v>
      </c>
      <c r="H26" s="187"/>
      <c r="I26" s="494">
        <f>'Exhibit H,5'!I26</f>
        <v>0</v>
      </c>
      <c r="J26" s="187"/>
      <c r="K26" s="494">
        <f t="shared" si="0"/>
        <v>545392.9</v>
      </c>
      <c r="P26" s="205"/>
      <c r="Q26" s="137"/>
    </row>
    <row r="27" spans="1:17">
      <c r="A27" s="6">
        <f t="shared" si="1"/>
        <v>2005</v>
      </c>
      <c r="C27" s="499">
        <f>'Exhibit I,2'!I26</f>
        <v>1276257.6799999997</v>
      </c>
      <c r="E27" s="289">
        <f>1-'Exhibit H,7'!K27</f>
        <v>0</v>
      </c>
      <c r="G27" s="499">
        <f>'Exhibit H,5'!C27+'Exhibit H,5'!E27</f>
        <v>1276257.68</v>
      </c>
      <c r="H27" s="187"/>
      <c r="I27" s="494">
        <f>'Exhibit H,5'!I27</f>
        <v>0</v>
      </c>
      <c r="J27" s="187"/>
      <c r="K27" s="494">
        <f t="shared" si="0"/>
        <v>1276257.68</v>
      </c>
      <c r="P27" s="205"/>
      <c r="Q27" s="137"/>
    </row>
    <row r="28" spans="1:17">
      <c r="A28" s="6">
        <f t="shared" si="1"/>
        <v>2006</v>
      </c>
      <c r="C28" s="499">
        <f>'Exhibit I,2'!I27</f>
        <v>0</v>
      </c>
      <c r="E28" s="289">
        <f>1-'Exhibit H,7'!K28</f>
        <v>0</v>
      </c>
      <c r="G28" s="499">
        <f>'Exhibit H,5'!C28+'Exhibit H,5'!E28</f>
        <v>0</v>
      </c>
      <c r="H28" s="187"/>
      <c r="I28" s="494">
        <f>'Exhibit H,5'!I28</f>
        <v>0</v>
      </c>
      <c r="J28" s="187"/>
      <c r="K28" s="494">
        <f t="shared" si="0"/>
        <v>0</v>
      </c>
      <c r="P28" s="205"/>
      <c r="Q28" s="137"/>
    </row>
    <row r="29" spans="1:17">
      <c r="A29" s="6">
        <f t="shared" si="1"/>
        <v>2007</v>
      </c>
      <c r="C29" s="499">
        <f>'Exhibit I,2'!I28</f>
        <v>638230.87999999942</v>
      </c>
      <c r="E29" s="289">
        <f>1-'Exhibit H,7'!K29</f>
        <v>0</v>
      </c>
      <c r="G29" s="499">
        <f>'Exhibit H,5'!C29+'Exhibit H,5'!E29</f>
        <v>638230.88</v>
      </c>
      <c r="H29" s="187"/>
      <c r="I29" s="494">
        <f>'Exhibit H,5'!I29</f>
        <v>0</v>
      </c>
      <c r="J29" s="187"/>
      <c r="K29" s="494">
        <f t="shared" si="0"/>
        <v>638230.88</v>
      </c>
      <c r="P29" s="205"/>
      <c r="Q29" s="137"/>
    </row>
    <row r="30" spans="1:17">
      <c r="A30" s="6">
        <f t="shared" si="1"/>
        <v>2008</v>
      </c>
      <c r="C30" s="499">
        <f>'Exhibit I,2'!I29</f>
        <v>823895.1099999994</v>
      </c>
      <c r="E30" s="289">
        <f>1-'Exhibit H,7'!K30</f>
        <v>0</v>
      </c>
      <c r="G30" s="499">
        <f>'Exhibit H,5'!C30+'Exhibit H,5'!E30</f>
        <v>823895.11</v>
      </c>
      <c r="H30" s="187"/>
      <c r="I30" s="494">
        <f>'Exhibit H,5'!I30</f>
        <v>0</v>
      </c>
      <c r="J30" s="187"/>
      <c r="K30" s="494">
        <f t="shared" si="0"/>
        <v>823895.11</v>
      </c>
      <c r="P30" s="205"/>
      <c r="Q30" s="137"/>
    </row>
    <row r="31" spans="1:17">
      <c r="A31" s="6">
        <f t="shared" si="1"/>
        <v>2009</v>
      </c>
      <c r="C31" s="499">
        <f>'Exhibit I,2'!I30</f>
        <v>1716687.8199999996</v>
      </c>
      <c r="E31" s="289">
        <f>1-'Exhibit H,7'!K31</f>
        <v>0</v>
      </c>
      <c r="G31" s="499">
        <f>'Exhibit H,5'!C31+'Exhibit H,5'!E31</f>
        <v>1716687.82</v>
      </c>
      <c r="H31" s="187"/>
      <c r="I31" s="494">
        <f>'Exhibit H,5'!I31</f>
        <v>0</v>
      </c>
      <c r="J31" s="187"/>
      <c r="K31" s="494">
        <f t="shared" si="0"/>
        <v>1716687.82</v>
      </c>
      <c r="P31" s="205"/>
      <c r="Q31" s="137"/>
    </row>
    <row r="32" spans="1:17">
      <c r="A32" s="6">
        <f t="shared" si="1"/>
        <v>2010</v>
      </c>
      <c r="C32" s="499">
        <f>'Exhibit I,2'!I31</f>
        <v>2126900.6900000013</v>
      </c>
      <c r="E32" s="289">
        <f>1-'Exhibit H,7'!K32</f>
        <v>0</v>
      </c>
      <c r="G32" s="499">
        <f>'Exhibit H,5'!C32+'Exhibit H,5'!E32</f>
        <v>2126900.69</v>
      </c>
      <c r="H32" s="187"/>
      <c r="I32" s="494">
        <f>'Exhibit H,5'!I32</f>
        <v>0</v>
      </c>
      <c r="J32" s="187"/>
      <c r="K32" s="494">
        <f t="shared" si="0"/>
        <v>2126900.69</v>
      </c>
      <c r="P32" s="205"/>
      <c r="Q32" s="137"/>
    </row>
    <row r="33" spans="1:17">
      <c r="A33" s="6">
        <f t="shared" si="1"/>
        <v>2011</v>
      </c>
      <c r="C33" s="499">
        <f>'Exhibit I,2'!I32</f>
        <v>2235848.3499999992</v>
      </c>
      <c r="E33" s="289">
        <f>1-'Exhibit H,7'!K33</f>
        <v>0</v>
      </c>
      <c r="G33" s="499">
        <f>'Exhibit H,5'!C33+'Exhibit H,5'!E33</f>
        <v>2235848.35</v>
      </c>
      <c r="H33" s="187"/>
      <c r="I33" s="494">
        <f>'Exhibit H,5'!I33</f>
        <v>0</v>
      </c>
      <c r="J33" s="187"/>
      <c r="K33" s="494">
        <f t="shared" si="0"/>
        <v>2235848.35</v>
      </c>
      <c r="P33" s="205"/>
      <c r="Q33" s="137"/>
    </row>
    <row r="34" spans="1:17">
      <c r="A34" s="6">
        <f t="shared" si="1"/>
        <v>2012</v>
      </c>
      <c r="C34" s="499">
        <f>'Exhibit I,2'!I33</f>
        <v>5998700.5517177861</v>
      </c>
      <c r="E34" s="289">
        <f>1-'Exhibit H,7'!K34</f>
        <v>0</v>
      </c>
      <c r="G34" s="499">
        <f>'Exhibit H,5'!C34+'Exhibit H,5'!E34</f>
        <v>5992753.5499999998</v>
      </c>
      <c r="H34" s="187"/>
      <c r="I34" s="494">
        <f>'Exhibit H,5'!I34</f>
        <v>0</v>
      </c>
      <c r="J34" s="187"/>
      <c r="K34" s="494">
        <f t="shared" si="0"/>
        <v>5992753.5499999998</v>
      </c>
      <c r="P34" s="205"/>
      <c r="Q34" s="137"/>
    </row>
    <row r="35" spans="1:17">
      <c r="A35" s="6">
        <f t="shared" si="1"/>
        <v>2013</v>
      </c>
      <c r="C35" s="499">
        <f>'Exhibit I,2'!I34</f>
        <v>6075393.9799999995</v>
      </c>
      <c r="E35" s="289">
        <f>1-'Exhibit H,7'!K35</f>
        <v>0</v>
      </c>
      <c r="G35" s="499">
        <f>'Exhibit H,5'!C35+'Exhibit H,5'!E35</f>
        <v>6075393.9800000004</v>
      </c>
      <c r="H35" s="187"/>
      <c r="I35" s="494">
        <f>'Exhibit H,5'!I35</f>
        <v>0</v>
      </c>
      <c r="J35" s="187"/>
      <c r="K35" s="494">
        <f t="shared" si="0"/>
        <v>6075393.9800000004</v>
      </c>
      <c r="P35" s="205"/>
      <c r="Q35" s="137"/>
    </row>
    <row r="36" spans="1:17">
      <c r="A36" s="6">
        <f t="shared" si="1"/>
        <v>2014</v>
      </c>
      <c r="C36" s="499">
        <f>'Exhibit I,2'!I35</f>
        <v>1328579.0256815106</v>
      </c>
      <c r="E36" s="289">
        <f>1-'Exhibit H,7'!K36</f>
        <v>0</v>
      </c>
      <c r="G36" s="499">
        <f>'Exhibit H,5'!C36+'Exhibit H,5'!E36</f>
        <v>1329575.07</v>
      </c>
      <c r="H36" s="187"/>
      <c r="I36" s="494">
        <f>'Exhibit H,5'!I36</f>
        <v>0</v>
      </c>
      <c r="J36" s="187"/>
      <c r="K36" s="494">
        <f t="shared" si="0"/>
        <v>1329575.07</v>
      </c>
      <c r="P36" s="205"/>
      <c r="Q36" s="137"/>
    </row>
    <row r="37" spans="1:17">
      <c r="A37" s="6">
        <f t="shared" si="1"/>
        <v>2015</v>
      </c>
      <c r="C37" s="499">
        <f>'Exhibit I,2'!I36</f>
        <v>1318663.5328260895</v>
      </c>
      <c r="E37" s="289">
        <f>1-'Exhibit H,7'!K37</f>
        <v>1.0912698412698374E-2</v>
      </c>
      <c r="G37" s="499">
        <f>'Exhibit H,5'!C37+'Exhibit H,5'!E37</f>
        <v>1325604.94</v>
      </c>
      <c r="H37" s="187"/>
      <c r="I37" s="494">
        <f>'Exhibit H,5'!I37</f>
        <v>0</v>
      </c>
      <c r="J37" s="187"/>
      <c r="K37" s="494">
        <f t="shared" si="0"/>
        <v>1339995.1174415546</v>
      </c>
      <c r="P37" s="205"/>
      <c r="Q37" s="137"/>
    </row>
    <row r="38" spans="1:17">
      <c r="A38" s="6">
        <f t="shared" si="1"/>
        <v>2016</v>
      </c>
      <c r="C38" s="499">
        <f>'Exhibit I,2'!I37</f>
        <v>2246653.0673961686</v>
      </c>
      <c r="E38" s="289">
        <f>1-'Exhibit H,7'!K38</f>
        <v>7.3110766045548781E-2</v>
      </c>
      <c r="G38" s="499">
        <f>'Exhibit H,5'!C38+'Exhibit H,5'!E38</f>
        <v>1795488.32</v>
      </c>
      <c r="H38" s="187"/>
      <c r="I38" s="494">
        <f>'Exhibit H,5'!I38</f>
        <v>0</v>
      </c>
      <c r="J38" s="187"/>
      <c r="K38" s="494">
        <f t="shared" si="0"/>
        <v>1959742.8467959159</v>
      </c>
      <c r="P38" s="205"/>
      <c r="Q38" s="137"/>
    </row>
    <row r="39" spans="1:17">
      <c r="A39" s="6">
        <f t="shared" si="1"/>
        <v>2017</v>
      </c>
      <c r="C39" s="499">
        <f>'Exhibit I,2'!I38</f>
        <v>949574.63003652345</v>
      </c>
      <c r="E39" s="289">
        <f>1-'Exhibit H,7'!K39</f>
        <v>0.21830326333431926</v>
      </c>
      <c r="G39" s="499">
        <f>'Exhibit H,5'!C39+'Exhibit H,5'!E39</f>
        <v>0</v>
      </c>
      <c r="H39" s="187"/>
      <c r="I39" s="494">
        <f>'Exhibit H,5'!I39</f>
        <v>0</v>
      </c>
      <c r="J39" s="187"/>
      <c r="K39" s="494">
        <f t="shared" si="0"/>
        <v>207295.24051645197</v>
      </c>
      <c r="P39" s="205"/>
      <c r="Q39" s="137"/>
    </row>
    <row r="40" spans="1:17">
      <c r="A40" s="6">
        <f t="shared" si="1"/>
        <v>2018</v>
      </c>
      <c r="C40" s="499">
        <f>'Exhibit I,2'!I39</f>
        <v>1017702.1461187608</v>
      </c>
      <c r="E40" s="289">
        <f>1-'Exhibit H,7'!K40</f>
        <v>0.43885766867133325</v>
      </c>
      <c r="G40" s="499">
        <f>'Exhibit H,5'!C40+'Exhibit H,5'!E40</f>
        <v>0</v>
      </c>
      <c r="H40" s="187"/>
      <c r="I40" s="494">
        <f>'Exhibit H,5'!I40</f>
        <v>0</v>
      </c>
      <c r="J40" s="187"/>
      <c r="K40" s="494">
        <f t="shared" si="0"/>
        <v>446626.39124749188</v>
      </c>
      <c r="P40" s="205"/>
      <c r="Q40" s="137"/>
    </row>
    <row r="41" spans="1:17">
      <c r="A41" s="6">
        <f t="shared" si="1"/>
        <v>2019</v>
      </c>
      <c r="C41" s="499">
        <f>'Exhibit I,2'!I40</f>
        <v>1048199.8804938646</v>
      </c>
      <c r="E41" s="289">
        <f>1-'Exhibit H,7'!K41</f>
        <v>0.6272059548457064</v>
      </c>
      <c r="G41" s="499">
        <f>'Exhibit H,5'!C41+'Exhibit H,5'!E41</f>
        <v>1875.87</v>
      </c>
      <c r="H41" s="187"/>
      <c r="I41" s="494">
        <f>'Exhibit H,5'!I41</f>
        <v>0</v>
      </c>
      <c r="J41" s="187"/>
      <c r="K41" s="494">
        <f t="shared" si="0"/>
        <v>659313.07691430976</v>
      </c>
      <c r="P41" s="205"/>
      <c r="Q41" s="137"/>
    </row>
    <row r="42" spans="1:17">
      <c r="A42" s="6">
        <f t="shared" si="1"/>
        <v>2020</v>
      </c>
      <c r="C42" s="499">
        <f>'Exhibit I,2'!I41</f>
        <v>1076679.848147894</v>
      </c>
      <c r="E42" s="289">
        <f>1-'Exhibit H,7'!K42</f>
        <v>0.79323452408338535</v>
      </c>
      <c r="G42" s="499">
        <f>'Exhibit H,5'!C42+'Exhibit H,5'!E42</f>
        <v>592996.41</v>
      </c>
      <c r="H42" s="187"/>
      <c r="I42" s="494">
        <f>'Exhibit H,5'!I42</f>
        <v>0</v>
      </c>
      <c r="J42" s="187"/>
      <c r="K42" s="494">
        <f t="shared" si="0"/>
        <v>1447056.0369357662</v>
      </c>
      <c r="P42" s="205"/>
      <c r="Q42" s="137"/>
    </row>
    <row r="43" spans="1:17">
      <c r="A43" s="6">
        <f t="shared" si="1"/>
        <v>2021</v>
      </c>
      <c r="C43" s="499">
        <f>'Exhibit I,2'!I42</f>
        <v>685723.39891264588</v>
      </c>
      <c r="E43" s="289">
        <f>1-'Exhibit H,7'!K43</f>
        <v>0.96713661309934607</v>
      </c>
      <c r="G43" s="499">
        <f>'Exhibit H,5'!C43+'Exhibit H,5'!E43</f>
        <v>0</v>
      </c>
      <c r="H43" s="187"/>
      <c r="I43" s="494">
        <f>'Exhibit H,5'!I43</f>
        <v>0</v>
      </c>
      <c r="J43" s="187"/>
      <c r="K43" s="494">
        <f t="shared" si="0"/>
        <v>663188.20554734813</v>
      </c>
      <c r="P43" s="205"/>
      <c r="Q43" s="137"/>
    </row>
    <row r="44" spans="1:17">
      <c r="A44" s="6">
        <f t="shared" si="1"/>
        <v>2022</v>
      </c>
      <c r="C44" s="499">
        <f>'Exhibit I,2'!I43</f>
        <v>693945.76694854186</v>
      </c>
      <c r="E44" s="289">
        <f>1-'Exhibit H,7'!K44</f>
        <v>0.99892447097416037</v>
      </c>
      <c r="G44" s="499">
        <f>'Exhibit H,5'!C44+'Exhibit H,5'!E44</f>
        <v>0</v>
      </c>
      <c r="H44" s="187"/>
      <c r="I44" s="494">
        <f>'Exhibit H,5'!I44</f>
        <v>0</v>
      </c>
      <c r="J44" s="187"/>
      <c r="K44" s="494">
        <f t="shared" si="0"/>
        <v>693199.40813383018</v>
      </c>
      <c r="P44" s="205"/>
      <c r="Q44" s="205"/>
    </row>
    <row r="45" spans="1:17">
      <c r="A45" s="6"/>
      <c r="C45" s="290"/>
      <c r="G45" s="290"/>
      <c r="I45" s="290"/>
      <c r="K45" s="290"/>
      <c r="P45" s="205"/>
      <c r="Q45" s="205"/>
    </row>
    <row r="46" spans="1:17">
      <c r="A46" s="6" t="s">
        <v>0</v>
      </c>
      <c r="C46" s="26">
        <f>SUM(C16:C45)</f>
        <v>193389811.68827987</v>
      </c>
      <c r="G46" s="26">
        <f>SUM(G16:G45)</f>
        <v>188063684.00000003</v>
      </c>
      <c r="I46" s="26">
        <f>SUM(I16:I45)</f>
        <v>0</v>
      </c>
      <c r="K46" s="26">
        <f>SUM(K16:K45)</f>
        <v>191764134.78353274</v>
      </c>
      <c r="P46" s="205"/>
      <c r="Q46" s="205"/>
    </row>
    <row r="48" spans="1:17">
      <c r="A48" s="2"/>
      <c r="C48" s="26"/>
      <c r="G48" s="26"/>
      <c r="K48" s="26"/>
    </row>
    <row r="49" spans="1:7">
      <c r="G49" s="26"/>
    </row>
    <row r="52" spans="1:7">
      <c r="A52" s="64" t="s">
        <v>104</v>
      </c>
      <c r="C52" s="3" t="s">
        <v>653</v>
      </c>
    </row>
    <row r="53" spans="1:7">
      <c r="A53" s="64" t="s">
        <v>36</v>
      </c>
      <c r="C53" s="3" t="s">
        <v>238</v>
      </c>
    </row>
    <row r="54" spans="1:7">
      <c r="A54" s="64" t="s">
        <v>38</v>
      </c>
      <c r="C54" s="3" t="s">
        <v>740</v>
      </c>
    </row>
    <row r="55" spans="1:7">
      <c r="A55" s="64" t="s">
        <v>40</v>
      </c>
      <c r="C55" s="3" t="s">
        <v>929</v>
      </c>
    </row>
    <row r="56" spans="1:7">
      <c r="A56" s="64" t="s">
        <v>42</v>
      </c>
      <c r="C56" s="3" t="s">
        <v>219</v>
      </c>
    </row>
  </sheetData>
  <printOptions horizontalCentered="1"/>
  <pageMargins left="0.7" right="0.7" top="0.75" bottom="0.75" header="0.3" footer="0.3"/>
  <pageSetup scale="7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1">
    <pageSetUpPr fitToPage="1"/>
  </sheetPr>
  <dimension ref="A1:M54"/>
  <sheetViews>
    <sheetView topLeftCell="A23" zoomScaleNormal="100" workbookViewId="0">
      <selection activeCell="I17" sqref="I17"/>
    </sheetView>
  </sheetViews>
  <sheetFormatPr baseColWidth="10" defaultColWidth="8.7109375" defaultRowHeight="15"/>
  <cols>
    <col min="1" max="1" width="8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2.7109375" style="1" customWidth="1"/>
    <col min="12" max="16384" width="8.7109375" style="1"/>
  </cols>
  <sheetData>
    <row r="1" spans="1:12">
      <c r="K1" s="52" t="s">
        <v>88</v>
      </c>
    </row>
    <row r="2" spans="1:12">
      <c r="K2" s="52" t="s">
        <v>96</v>
      </c>
    </row>
    <row r="4" spans="1:12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140"/>
    </row>
    <row r="5" spans="1:12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</row>
    <row r="6" spans="1:12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  <c r="L6" s="140"/>
    </row>
    <row r="7" spans="1:12">
      <c r="A7" s="5" t="s">
        <v>226</v>
      </c>
      <c r="B7" s="5"/>
      <c r="C7" s="5"/>
      <c r="D7" s="5"/>
      <c r="E7" s="5"/>
      <c r="F7" s="5"/>
      <c r="G7" s="5"/>
      <c r="H7" s="5"/>
      <c r="I7" s="5"/>
      <c r="J7" s="5"/>
      <c r="K7" s="5"/>
      <c r="L7" s="140"/>
    </row>
    <row r="8" spans="1:12">
      <c r="A8" s="5" t="s">
        <v>93</v>
      </c>
      <c r="B8" s="5"/>
      <c r="C8" s="5"/>
      <c r="D8" s="5"/>
      <c r="E8" s="5"/>
      <c r="F8" s="5"/>
      <c r="G8" s="5"/>
      <c r="H8" s="5"/>
      <c r="I8" s="5"/>
      <c r="J8" s="5"/>
      <c r="K8" s="5"/>
      <c r="L8" s="140"/>
    </row>
    <row r="9" spans="1:12">
      <c r="A9" s="5"/>
      <c r="B9" s="5"/>
      <c r="C9" s="5"/>
      <c r="D9" s="5"/>
      <c r="E9" s="5"/>
      <c r="F9" s="5"/>
      <c r="G9" s="5"/>
      <c r="H9" s="5"/>
      <c r="I9" s="5"/>
      <c r="J9" s="5"/>
      <c r="K9" s="5"/>
    </row>
    <row r="10" spans="1:12">
      <c r="I10" s="6" t="s">
        <v>95</v>
      </c>
    </row>
    <row r="11" spans="1:12">
      <c r="C11" s="6" t="s">
        <v>13</v>
      </c>
      <c r="D11" s="6"/>
      <c r="E11" s="6" t="s">
        <v>12</v>
      </c>
      <c r="F11" s="6"/>
      <c r="G11" s="6" t="s">
        <v>86</v>
      </c>
      <c r="H11" s="6"/>
      <c r="I11" s="6" t="s">
        <v>67</v>
      </c>
      <c r="J11" s="6"/>
      <c r="K11" s="6" t="s">
        <v>67</v>
      </c>
    </row>
    <row r="12" spans="1:12">
      <c r="A12" s="2" t="s">
        <v>6</v>
      </c>
      <c r="B12" s="6"/>
      <c r="C12" s="6" t="s">
        <v>12</v>
      </c>
      <c r="D12" s="6"/>
      <c r="E12" s="6" t="s">
        <v>11</v>
      </c>
      <c r="F12" s="6"/>
      <c r="G12" s="6" t="s">
        <v>87</v>
      </c>
      <c r="H12" s="6"/>
      <c r="I12" s="6" t="s">
        <v>11</v>
      </c>
      <c r="J12" s="6"/>
      <c r="K12" s="6" t="s">
        <v>13</v>
      </c>
    </row>
    <row r="13" spans="1:12">
      <c r="A13" s="6" t="s">
        <v>4</v>
      </c>
      <c r="B13" s="6"/>
      <c r="C13" s="6" t="s">
        <v>55</v>
      </c>
      <c r="D13" s="6"/>
      <c r="E13" s="6" t="s">
        <v>19</v>
      </c>
      <c r="F13" s="6"/>
      <c r="G13" s="6" t="s">
        <v>22</v>
      </c>
      <c r="H13" s="6"/>
      <c r="I13" s="6" t="s">
        <v>19</v>
      </c>
      <c r="J13" s="6"/>
      <c r="K13" s="6" t="s">
        <v>55</v>
      </c>
    </row>
    <row r="14" spans="1:12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</row>
    <row r="16" spans="1:12">
      <c r="A16" s="6">
        <v>1994</v>
      </c>
      <c r="C16" s="147">
        <f>'Exhibit H,5'!R16</f>
        <v>12530063.48</v>
      </c>
      <c r="D16" s="147"/>
      <c r="E16" s="147">
        <v>0</v>
      </c>
      <c r="G16" s="274">
        <f>'Exhibit H,6'!K16</f>
        <v>1</v>
      </c>
      <c r="I16" s="147">
        <v>0</v>
      </c>
      <c r="J16" s="147"/>
      <c r="K16" s="147">
        <f>(C16+E16)/G16-I16</f>
        <v>12530063.48</v>
      </c>
    </row>
    <row r="17" spans="1:13">
      <c r="A17" s="6">
        <f>A16+1</f>
        <v>1995</v>
      </c>
      <c r="C17" s="17">
        <f>'Exhibit H,5'!R17</f>
        <v>27722793.159999996</v>
      </c>
      <c r="D17" s="187"/>
      <c r="E17" s="187">
        <v>0</v>
      </c>
      <c r="G17" s="274">
        <f>'Exhibit H,6'!K17</f>
        <v>1</v>
      </c>
      <c r="I17" s="187">
        <v>0</v>
      </c>
      <c r="J17" s="187"/>
      <c r="K17" s="494">
        <f t="shared" ref="K17:K44" si="0">(C17+E17)/G17-I17</f>
        <v>27722793.159999996</v>
      </c>
    </row>
    <row r="18" spans="1:13">
      <c r="A18" s="6">
        <f t="shared" ref="A18:A44" si="1">A17+1</f>
        <v>1996</v>
      </c>
      <c r="C18" s="17">
        <f>'Exhibit H,5'!R18</f>
        <v>19535873.620000001</v>
      </c>
      <c r="D18" s="187"/>
      <c r="E18" s="187">
        <v>0</v>
      </c>
      <c r="G18" s="274">
        <f>'Exhibit H,6'!K18</f>
        <v>1</v>
      </c>
      <c r="I18" s="187">
        <v>0</v>
      </c>
      <c r="J18" s="187"/>
      <c r="K18" s="494">
        <f t="shared" si="0"/>
        <v>19535873.620000001</v>
      </c>
    </row>
    <row r="19" spans="1:13">
      <c r="A19" s="6">
        <f t="shared" si="1"/>
        <v>1997</v>
      </c>
      <c r="C19" s="17">
        <f>'Exhibit H,5'!R19</f>
        <v>10551553.370000001</v>
      </c>
      <c r="D19" s="187"/>
      <c r="E19" s="187">
        <v>0</v>
      </c>
      <c r="G19" s="274">
        <f>'Exhibit H,6'!K19</f>
        <v>1</v>
      </c>
      <c r="I19" s="187">
        <v>0</v>
      </c>
      <c r="J19" s="187"/>
      <c r="K19" s="494">
        <f t="shared" si="0"/>
        <v>10551553.370000001</v>
      </c>
    </row>
    <row r="20" spans="1:13">
      <c r="A20" s="6">
        <f t="shared" si="1"/>
        <v>1998</v>
      </c>
      <c r="C20" s="17">
        <f>'Exhibit H,5'!R20</f>
        <v>28046459.449999999</v>
      </c>
      <c r="D20" s="187"/>
      <c r="E20" s="187">
        <v>0</v>
      </c>
      <c r="G20" s="274">
        <f>'Exhibit H,6'!K20</f>
        <v>1</v>
      </c>
      <c r="I20" s="187">
        <v>0</v>
      </c>
      <c r="J20" s="187"/>
      <c r="K20" s="494">
        <f t="shared" si="0"/>
        <v>28046459.449999999</v>
      </c>
    </row>
    <row r="21" spans="1:13">
      <c r="A21" s="6">
        <f t="shared" si="1"/>
        <v>1999</v>
      </c>
      <c r="C21" s="17">
        <f>'Exhibit H,5'!R21</f>
        <v>23093430.41</v>
      </c>
      <c r="D21" s="187"/>
      <c r="E21" s="187">
        <v>0</v>
      </c>
      <c r="G21" s="274">
        <f>'Exhibit H,6'!K21</f>
        <v>1</v>
      </c>
      <c r="I21" s="187">
        <v>0</v>
      </c>
      <c r="J21" s="187"/>
      <c r="K21" s="494">
        <f t="shared" si="0"/>
        <v>23093430.41</v>
      </c>
    </row>
    <row r="22" spans="1:13">
      <c r="A22" s="6">
        <f t="shared" si="1"/>
        <v>2000</v>
      </c>
      <c r="C22" s="17">
        <f>'Exhibit H,5'!R22</f>
        <v>16813843.780000001</v>
      </c>
      <c r="D22" s="187"/>
      <c r="E22" s="187">
        <v>0</v>
      </c>
      <c r="G22" s="274">
        <f>'Exhibit H,6'!K22</f>
        <v>1</v>
      </c>
      <c r="I22" s="187">
        <v>0</v>
      </c>
      <c r="J22" s="187"/>
      <c r="K22" s="494">
        <f t="shared" si="0"/>
        <v>16813843.780000001</v>
      </c>
    </row>
    <row r="23" spans="1:13">
      <c r="A23" s="6">
        <f t="shared" si="1"/>
        <v>2001</v>
      </c>
      <c r="C23" s="17">
        <f>'Exhibit H,5'!R23</f>
        <v>8970924.5199999996</v>
      </c>
      <c r="D23" s="187"/>
      <c r="E23" s="187">
        <v>0</v>
      </c>
      <c r="G23" s="274">
        <f>'Exhibit H,6'!K23</f>
        <v>1</v>
      </c>
      <c r="I23" s="187">
        <v>0</v>
      </c>
      <c r="J23" s="187"/>
      <c r="K23" s="494">
        <f t="shared" si="0"/>
        <v>8970924.5199999996</v>
      </c>
    </row>
    <row r="24" spans="1:13">
      <c r="A24" s="6">
        <f t="shared" si="1"/>
        <v>2002</v>
      </c>
      <c r="C24" s="17">
        <f>'Exhibit H,5'!R24</f>
        <v>5903704.3700000048</v>
      </c>
      <c r="D24" s="187"/>
      <c r="E24" s="187">
        <v>0</v>
      </c>
      <c r="G24" s="274">
        <f>'Exhibit H,6'!K24</f>
        <v>1</v>
      </c>
      <c r="I24" s="187">
        <v>0</v>
      </c>
      <c r="J24" s="187"/>
      <c r="K24" s="494">
        <f t="shared" si="0"/>
        <v>5903704.3700000048</v>
      </c>
    </row>
    <row r="25" spans="1:13">
      <c r="A25" s="6">
        <f t="shared" si="1"/>
        <v>2003</v>
      </c>
      <c r="C25" s="17">
        <f>'Exhibit H,5'!R25</f>
        <v>8418136.270000007</v>
      </c>
      <c r="D25" s="187"/>
      <c r="E25" s="187">
        <v>0</v>
      </c>
      <c r="G25" s="274">
        <f>'Exhibit H,6'!K25</f>
        <v>1</v>
      </c>
      <c r="I25" s="187">
        <v>0</v>
      </c>
      <c r="J25" s="187"/>
      <c r="K25" s="494">
        <f t="shared" si="0"/>
        <v>8418136.270000007</v>
      </c>
      <c r="M25" s="61"/>
    </row>
    <row r="26" spans="1:13">
      <c r="A26" s="6">
        <f t="shared" si="1"/>
        <v>2004</v>
      </c>
      <c r="C26" s="17">
        <f>'Exhibit H,5'!R26</f>
        <v>545392.89999999851</v>
      </c>
      <c r="D26" s="187"/>
      <c r="E26" s="187">
        <v>0</v>
      </c>
      <c r="G26" s="274">
        <f>'Exhibit H,6'!K26</f>
        <v>1</v>
      </c>
      <c r="I26" s="187">
        <v>0</v>
      </c>
      <c r="J26" s="187"/>
      <c r="K26" s="494">
        <f t="shared" si="0"/>
        <v>545392.89999999851</v>
      </c>
    </row>
    <row r="27" spans="1:13">
      <c r="A27" s="6">
        <f t="shared" si="1"/>
        <v>2005</v>
      </c>
      <c r="C27" s="17">
        <f>'Exhibit H,5'!R27</f>
        <v>1276257.6799999997</v>
      </c>
      <c r="D27" s="187"/>
      <c r="E27" s="187">
        <v>0</v>
      </c>
      <c r="G27" s="274">
        <f>'Exhibit H,6'!K27</f>
        <v>1</v>
      </c>
      <c r="I27" s="187">
        <v>0</v>
      </c>
      <c r="J27" s="187"/>
      <c r="K27" s="494">
        <f t="shared" si="0"/>
        <v>1276257.6799999997</v>
      </c>
    </row>
    <row r="28" spans="1:13">
      <c r="A28" s="6">
        <f t="shared" si="1"/>
        <v>2006</v>
      </c>
      <c r="C28" s="17">
        <f>'Exhibit H,5'!R28</f>
        <v>0</v>
      </c>
      <c r="D28" s="187"/>
      <c r="E28" s="187">
        <v>0</v>
      </c>
      <c r="G28" s="274">
        <f>'Exhibit H,6'!K28</f>
        <v>1</v>
      </c>
      <c r="I28" s="187">
        <v>0</v>
      </c>
      <c r="J28" s="187"/>
      <c r="K28" s="494">
        <f t="shared" si="0"/>
        <v>0</v>
      </c>
    </row>
    <row r="29" spans="1:13">
      <c r="A29" s="6">
        <f t="shared" si="1"/>
        <v>2007</v>
      </c>
      <c r="C29" s="17">
        <f>'Exhibit H,5'!R29</f>
        <v>638230.88000000268</v>
      </c>
      <c r="D29" s="187"/>
      <c r="E29" s="187">
        <v>0</v>
      </c>
      <c r="G29" s="274">
        <f>'Exhibit H,6'!K29</f>
        <v>1</v>
      </c>
      <c r="I29" s="187">
        <v>0</v>
      </c>
      <c r="J29" s="187"/>
      <c r="K29" s="494">
        <f t="shared" si="0"/>
        <v>638230.88000000268</v>
      </c>
    </row>
    <row r="30" spans="1:13">
      <c r="A30" s="6">
        <f t="shared" si="1"/>
        <v>2008</v>
      </c>
      <c r="C30" s="17">
        <f>'Exhibit H,5'!R30</f>
        <v>823895.1099999994</v>
      </c>
      <c r="D30" s="187"/>
      <c r="E30" s="187">
        <v>0</v>
      </c>
      <c r="G30" s="274">
        <f>'Exhibit H,6'!K30</f>
        <v>1</v>
      </c>
      <c r="I30" s="187">
        <v>0</v>
      </c>
      <c r="J30" s="187"/>
      <c r="K30" s="494">
        <f t="shared" si="0"/>
        <v>823895.1099999994</v>
      </c>
    </row>
    <row r="31" spans="1:13">
      <c r="A31" s="6">
        <f t="shared" si="1"/>
        <v>2009</v>
      </c>
      <c r="C31" s="17">
        <f>'Exhibit H,5'!R31</f>
        <v>1716687.8200000003</v>
      </c>
      <c r="D31" s="187"/>
      <c r="E31" s="187">
        <v>0</v>
      </c>
      <c r="G31" s="274">
        <f>'Exhibit H,6'!K31</f>
        <v>1</v>
      </c>
      <c r="I31" s="187">
        <v>0</v>
      </c>
      <c r="J31" s="187"/>
      <c r="K31" s="494">
        <f t="shared" si="0"/>
        <v>1716687.8200000003</v>
      </c>
    </row>
    <row r="32" spans="1:13">
      <c r="A32" s="6">
        <f t="shared" si="1"/>
        <v>2010</v>
      </c>
      <c r="C32" s="17">
        <f>'Exhibit H,5'!R32</f>
        <v>2126900.6900000013</v>
      </c>
      <c r="D32" s="187"/>
      <c r="E32" s="187">
        <v>0</v>
      </c>
      <c r="G32" s="274">
        <f>'Exhibit H,6'!K32</f>
        <v>1</v>
      </c>
      <c r="I32" s="187">
        <v>0</v>
      </c>
      <c r="J32" s="187"/>
      <c r="K32" s="494">
        <f t="shared" si="0"/>
        <v>2126900.6900000013</v>
      </c>
    </row>
    <row r="33" spans="1:12">
      <c r="A33" s="6">
        <f t="shared" si="1"/>
        <v>2011</v>
      </c>
      <c r="C33" s="17">
        <f>'Exhibit H,5'!R33</f>
        <v>2235848.3499999978</v>
      </c>
      <c r="D33" s="187"/>
      <c r="E33" s="187">
        <v>0</v>
      </c>
      <c r="G33" s="274">
        <f>'Exhibit H,6'!K33</f>
        <v>1</v>
      </c>
      <c r="I33" s="187">
        <v>0</v>
      </c>
      <c r="J33" s="187"/>
      <c r="K33" s="494">
        <f t="shared" si="0"/>
        <v>2235848.3499999978</v>
      </c>
    </row>
    <row r="34" spans="1:12">
      <c r="A34" s="6">
        <f t="shared" si="1"/>
        <v>2012</v>
      </c>
      <c r="C34" s="17">
        <f>'Exhibit H,5'!R34</f>
        <v>5992753.5500000007</v>
      </c>
      <c r="D34" s="187"/>
      <c r="E34" s="187">
        <v>0</v>
      </c>
      <c r="G34" s="274">
        <f>'Exhibit H,6'!K34</f>
        <v>1</v>
      </c>
      <c r="I34" s="187">
        <v>0</v>
      </c>
      <c r="J34" s="187"/>
      <c r="K34" s="494">
        <f t="shared" si="0"/>
        <v>5992753.5500000007</v>
      </c>
    </row>
    <row r="35" spans="1:12">
      <c r="A35" s="6">
        <f t="shared" si="1"/>
        <v>2013</v>
      </c>
      <c r="C35" s="17">
        <f>'Exhibit H,5'!R35</f>
        <v>6075393.9799999986</v>
      </c>
      <c r="D35" s="187"/>
      <c r="E35" s="187">
        <v>0</v>
      </c>
      <c r="G35" s="274">
        <f>'Exhibit H,6'!K35</f>
        <v>1</v>
      </c>
      <c r="I35" s="187">
        <v>0</v>
      </c>
      <c r="J35" s="187"/>
      <c r="K35" s="494">
        <f t="shared" si="0"/>
        <v>6075393.9799999986</v>
      </c>
    </row>
    <row r="36" spans="1:12">
      <c r="A36" s="6">
        <f t="shared" si="1"/>
        <v>2014</v>
      </c>
      <c r="C36" s="17">
        <f>'Exhibit H,5'!R36</f>
        <v>1329575.0700000003</v>
      </c>
      <c r="D36" s="187"/>
      <c r="E36" s="187">
        <v>0</v>
      </c>
      <c r="G36" s="274">
        <f>'Exhibit H,6'!K36</f>
        <v>1</v>
      </c>
      <c r="I36" s="187">
        <v>0</v>
      </c>
      <c r="J36" s="187"/>
      <c r="K36" s="494">
        <f t="shared" si="0"/>
        <v>1329575.0700000003</v>
      </c>
    </row>
    <row r="37" spans="1:12">
      <c r="A37" s="6">
        <f t="shared" si="1"/>
        <v>2015</v>
      </c>
      <c r="C37" s="17">
        <f>'Exhibit H,5'!R37</f>
        <v>1325604.9400000013</v>
      </c>
      <c r="D37" s="187"/>
      <c r="E37" s="187">
        <v>0</v>
      </c>
      <c r="G37" s="274">
        <f>'Exhibit H,6'!K37</f>
        <v>1</v>
      </c>
      <c r="I37" s="187">
        <v>0</v>
      </c>
      <c r="J37" s="187"/>
      <c r="K37" s="494">
        <f t="shared" si="0"/>
        <v>1325604.9400000013</v>
      </c>
    </row>
    <row r="38" spans="1:12">
      <c r="A38" s="6">
        <f t="shared" si="1"/>
        <v>2016</v>
      </c>
      <c r="C38" s="17">
        <f>'Exhibit H,5'!R38</f>
        <v>2347702.3199999984</v>
      </c>
      <c r="D38" s="187"/>
      <c r="E38" s="187">
        <v>0</v>
      </c>
      <c r="G38" s="274">
        <f>'Exhibit H,6'!K38</f>
        <v>0.99332524271844658</v>
      </c>
      <c r="I38" s="187">
        <v>0</v>
      </c>
      <c r="J38" s="187"/>
      <c r="K38" s="494">
        <f t="shared" si="0"/>
        <v>2363477.9617348793</v>
      </c>
    </row>
    <row r="39" spans="1:12">
      <c r="A39" s="6">
        <f t="shared" si="1"/>
        <v>2017</v>
      </c>
      <c r="C39" s="17">
        <f>'Exhibit H,5'!R39</f>
        <v>220160</v>
      </c>
      <c r="D39" s="187"/>
      <c r="E39" s="187">
        <v>0</v>
      </c>
      <c r="G39" s="274">
        <f>'Exhibit H,6'!K39</f>
        <v>0.92134988797610151</v>
      </c>
      <c r="I39" s="187">
        <v>0</v>
      </c>
      <c r="J39" s="187"/>
      <c r="K39" s="494">
        <f t="shared" si="0"/>
        <v>238953.73828461423</v>
      </c>
    </row>
    <row r="40" spans="1:12">
      <c r="A40" s="6">
        <f t="shared" si="1"/>
        <v>2018</v>
      </c>
      <c r="C40" s="17">
        <f>'Exhibit H,5'!R40</f>
        <v>2000000</v>
      </c>
      <c r="D40" s="187"/>
      <c r="E40" s="187">
        <v>0</v>
      </c>
      <c r="G40" s="274">
        <f>'Exhibit H,6'!K40</f>
        <v>0.7077141974195873</v>
      </c>
      <c r="I40" s="187">
        <v>0</v>
      </c>
      <c r="J40" s="187"/>
      <c r="K40" s="494">
        <f t="shared" si="0"/>
        <v>2825999.5451444173</v>
      </c>
    </row>
    <row r="41" spans="1:12">
      <c r="A41" s="6">
        <f t="shared" si="1"/>
        <v>2019</v>
      </c>
      <c r="C41" s="17">
        <f>'Exhibit H,5'!R41</f>
        <v>194376.86999999918</v>
      </c>
      <c r="D41" s="187"/>
      <c r="E41" s="187">
        <v>0</v>
      </c>
      <c r="G41" s="274">
        <f>'Exhibit H,6'!K41</f>
        <v>0.51414266727726488</v>
      </c>
      <c r="I41" s="187">
        <v>0</v>
      </c>
      <c r="J41" s="187"/>
      <c r="K41" s="494">
        <f t="shared" si="0"/>
        <v>378060.18129045179</v>
      </c>
    </row>
    <row r="42" spans="1:12">
      <c r="A42" s="6">
        <f t="shared" si="1"/>
        <v>2020</v>
      </c>
      <c r="C42" s="17">
        <f>'Exhibit H,5'!R42</f>
        <v>592996.41000000015</v>
      </c>
      <c r="D42" s="187"/>
      <c r="E42" s="187">
        <v>0</v>
      </c>
      <c r="G42" s="274">
        <f>'Exhibit H,6'!K42</f>
        <v>0.39048810172956838</v>
      </c>
      <c r="I42" s="187">
        <v>0</v>
      </c>
      <c r="J42" s="187"/>
      <c r="K42" s="494">
        <f t="shared" si="0"/>
        <v>1518603.0185643875</v>
      </c>
      <c r="L42" s="61"/>
    </row>
    <row r="43" spans="1:12">
      <c r="A43" s="6">
        <f t="shared" si="1"/>
        <v>2021</v>
      </c>
      <c r="C43" s="17">
        <f>'Exhibit H,5'!R43</f>
        <v>0</v>
      </c>
      <c r="D43" s="187"/>
      <c r="E43" s="187">
        <v>0</v>
      </c>
      <c r="G43" s="274">
        <f>'Exhibit H,6'!K43</f>
        <v>0.15899443855368806</v>
      </c>
      <c r="I43" s="187">
        <v>0</v>
      </c>
      <c r="J43" s="187"/>
      <c r="K43" s="494">
        <f t="shared" si="0"/>
        <v>0</v>
      </c>
    </row>
    <row r="44" spans="1:12">
      <c r="A44" s="6">
        <f t="shared" si="1"/>
        <v>2022</v>
      </c>
      <c r="C44" s="17">
        <f>'Exhibit H,5'!R44</f>
        <v>0</v>
      </c>
      <c r="D44" s="187"/>
      <c r="E44" s="187">
        <v>0</v>
      </c>
      <c r="G44" s="274">
        <f>'Exhibit H,6'!K44</f>
        <v>1.4657617894834241E-2</v>
      </c>
      <c r="I44" s="187">
        <v>0</v>
      </c>
      <c r="J44" s="187"/>
      <c r="K44" s="494">
        <f t="shared" si="0"/>
        <v>0</v>
      </c>
    </row>
    <row r="45" spans="1:12">
      <c r="A45" s="6"/>
      <c r="C45" s="105"/>
      <c r="E45" s="105"/>
      <c r="I45" s="105"/>
      <c r="K45" s="105"/>
    </row>
    <row r="46" spans="1:12">
      <c r="A46" s="6" t="s">
        <v>0</v>
      </c>
      <c r="C46" s="26">
        <f>SUM(C16:C45)</f>
        <v>191028559.00000003</v>
      </c>
      <c r="E46" s="26">
        <f>SUM(E16:E45)</f>
        <v>0</v>
      </c>
      <c r="I46" s="26">
        <f>SUM(I16:I45)</f>
        <v>0</v>
      </c>
      <c r="K46" s="26">
        <f>SUM(K16:K45)</f>
        <v>192998417.84501877</v>
      </c>
    </row>
    <row r="50" spans="1:2">
      <c r="A50" s="6" t="s">
        <v>50</v>
      </c>
      <c r="B50" s="1" t="s">
        <v>677</v>
      </c>
    </row>
    <row r="51" spans="1:2">
      <c r="B51" s="1" t="s">
        <v>1577</v>
      </c>
    </row>
    <row r="52" spans="1:2">
      <c r="B52" s="3" t="s">
        <v>239</v>
      </c>
    </row>
    <row r="53" spans="1:2">
      <c r="B53" s="1" t="s">
        <v>927</v>
      </c>
    </row>
    <row r="54" spans="1:2">
      <c r="B54" s="1" t="s">
        <v>94</v>
      </c>
    </row>
  </sheetData>
  <printOptions horizontalCentered="1"/>
  <pageMargins left="0.7" right="0.7" top="0.75" bottom="0.75" header="0.3" footer="0.3"/>
  <pageSetup scale="82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2">
    <pageSetUpPr fitToPage="1"/>
  </sheetPr>
  <dimension ref="A1:V58"/>
  <sheetViews>
    <sheetView topLeftCell="A16" zoomScaleNormal="100" workbookViewId="0">
      <selection activeCell="N34" sqref="N34"/>
    </sheetView>
  </sheetViews>
  <sheetFormatPr baseColWidth="10" defaultColWidth="8.7109375" defaultRowHeight="15"/>
  <cols>
    <col min="1" max="1" width="8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5" width="8.7109375" style="1"/>
    <col min="16" max="16" width="12.7109375" style="1" customWidth="1"/>
    <col min="17" max="17" width="12.85546875" style="1" bestFit="1" customWidth="1"/>
    <col min="18" max="21" width="12.7109375" style="1" customWidth="1"/>
    <col min="22" max="22" width="12.85546875" style="1" bestFit="1" customWidth="1"/>
    <col min="23" max="16384" width="8.7109375" style="1"/>
  </cols>
  <sheetData>
    <row r="1" spans="1:21">
      <c r="K1" s="52" t="s">
        <v>88</v>
      </c>
    </row>
    <row r="2" spans="1:21">
      <c r="K2" s="52" t="s">
        <v>98</v>
      </c>
    </row>
    <row r="4" spans="1:21" ht="16">
      <c r="A4" s="4" t="s">
        <v>872</v>
      </c>
      <c r="B4" s="4"/>
      <c r="C4" s="4"/>
      <c r="D4" s="4"/>
      <c r="E4" s="4"/>
      <c r="F4" s="4"/>
      <c r="G4" s="4"/>
      <c r="H4" s="4"/>
      <c r="I4" s="4"/>
      <c r="J4" s="4"/>
      <c r="K4" s="4"/>
    </row>
    <row r="5" spans="1:21">
      <c r="A5" s="5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</row>
    <row r="6" spans="1:21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  <c r="L6" s="140"/>
    </row>
    <row r="7" spans="1:21">
      <c r="A7" s="5" t="s">
        <v>226</v>
      </c>
      <c r="B7" s="5"/>
      <c r="C7" s="5"/>
      <c r="D7" s="5"/>
      <c r="E7" s="5"/>
      <c r="F7" s="5"/>
      <c r="G7" s="5"/>
      <c r="H7" s="5"/>
      <c r="I7" s="5"/>
      <c r="J7" s="5"/>
      <c r="K7" s="5"/>
      <c r="L7" s="140"/>
    </row>
    <row r="8" spans="1:21">
      <c r="A8" s="5" t="s">
        <v>97</v>
      </c>
      <c r="B8" s="5"/>
      <c r="C8" s="5"/>
      <c r="D8" s="5"/>
      <c r="E8" s="5"/>
      <c r="F8" s="5"/>
      <c r="G8" s="5"/>
      <c r="H8" s="5"/>
      <c r="I8" s="5"/>
      <c r="J8" s="5"/>
      <c r="K8" s="5"/>
      <c r="L8" s="140"/>
    </row>
    <row r="9" spans="1:21">
      <c r="A9" s="5"/>
      <c r="B9" s="5"/>
      <c r="C9" s="5"/>
      <c r="D9" s="5"/>
      <c r="E9" s="5"/>
      <c r="F9" s="5"/>
      <c r="G9" s="5"/>
      <c r="H9" s="5"/>
      <c r="I9" s="5"/>
      <c r="J9" s="5"/>
      <c r="K9" s="5"/>
    </row>
    <row r="10" spans="1:21">
      <c r="E10" s="6"/>
      <c r="I10" s="6" t="s">
        <v>95</v>
      </c>
    </row>
    <row r="11" spans="1:21">
      <c r="C11" s="6" t="s">
        <v>13</v>
      </c>
      <c r="D11" s="6"/>
      <c r="E11" s="6" t="s">
        <v>14</v>
      </c>
      <c r="F11" s="6"/>
      <c r="H11" s="6"/>
      <c r="I11" s="6" t="s">
        <v>67</v>
      </c>
      <c r="J11" s="6"/>
      <c r="K11" s="6" t="s">
        <v>67</v>
      </c>
      <c r="P11" s="25" t="s">
        <v>1358</v>
      </c>
      <c r="R11" s="44"/>
      <c r="S11" s="44" t="s">
        <v>2</v>
      </c>
      <c r="T11" s="44" t="s">
        <v>2</v>
      </c>
      <c r="U11" s="44" t="s">
        <v>12</v>
      </c>
    </row>
    <row r="12" spans="1:21">
      <c r="A12" s="2" t="s">
        <v>6</v>
      </c>
      <c r="B12" s="6"/>
      <c r="C12" s="6" t="s">
        <v>14</v>
      </c>
      <c r="D12" s="6"/>
      <c r="E12" s="6" t="s">
        <v>11</v>
      </c>
      <c r="F12" s="6"/>
      <c r="G12" s="6" t="s">
        <v>91</v>
      </c>
      <c r="H12" s="6"/>
      <c r="I12" s="6" t="s">
        <v>11</v>
      </c>
      <c r="J12" s="6"/>
      <c r="K12" s="6" t="s">
        <v>13</v>
      </c>
      <c r="O12" s="25" t="s">
        <v>3</v>
      </c>
      <c r="P12" s="25" t="s">
        <v>177</v>
      </c>
      <c r="Q12" s="44" t="s">
        <v>1610</v>
      </c>
      <c r="R12" s="44" t="s">
        <v>1610</v>
      </c>
      <c r="S12" s="44" t="s">
        <v>1610</v>
      </c>
      <c r="T12" s="44" t="s">
        <v>1610</v>
      </c>
      <c r="U12" s="44" t="s">
        <v>119</v>
      </c>
    </row>
    <row r="13" spans="1:21">
      <c r="A13" s="6" t="s">
        <v>4</v>
      </c>
      <c r="B13" s="6"/>
      <c r="C13" s="6" t="s">
        <v>55</v>
      </c>
      <c r="D13" s="6"/>
      <c r="E13" s="6" t="s">
        <v>19</v>
      </c>
      <c r="F13" s="6"/>
      <c r="G13" s="6" t="s">
        <v>22</v>
      </c>
      <c r="H13" s="6"/>
      <c r="I13" s="6" t="s">
        <v>19</v>
      </c>
      <c r="J13" s="6"/>
      <c r="K13" s="6" t="s">
        <v>55</v>
      </c>
      <c r="O13" s="25" t="s">
        <v>4</v>
      </c>
      <c r="P13" s="25" t="s">
        <v>16</v>
      </c>
      <c r="Q13" s="44" t="s">
        <v>1611</v>
      </c>
      <c r="R13" s="45" t="s">
        <v>525</v>
      </c>
      <c r="S13" s="44" t="s">
        <v>1611</v>
      </c>
      <c r="T13" s="45" t="s">
        <v>525</v>
      </c>
      <c r="U13" s="568" t="s">
        <v>1590</v>
      </c>
    </row>
    <row r="14" spans="1:21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  <c r="O14" s="143">
        <v>-1</v>
      </c>
      <c r="P14" s="143">
        <f t="shared" ref="P14:U14" si="0">O14-1</f>
        <v>-2</v>
      </c>
      <c r="Q14" s="143">
        <f t="shared" si="0"/>
        <v>-3</v>
      </c>
      <c r="R14" s="143">
        <f t="shared" si="0"/>
        <v>-4</v>
      </c>
      <c r="S14" s="143">
        <f t="shared" si="0"/>
        <v>-5</v>
      </c>
      <c r="T14" s="143">
        <f t="shared" si="0"/>
        <v>-6</v>
      </c>
      <c r="U14" s="143">
        <f t="shared" si="0"/>
        <v>-7</v>
      </c>
    </row>
    <row r="15" spans="1:21">
      <c r="O15" s="277"/>
      <c r="Q15" s="25"/>
      <c r="R15" s="25"/>
      <c r="S15" s="25"/>
      <c r="T15" s="25"/>
      <c r="U15" s="25"/>
    </row>
    <row r="16" spans="1:21">
      <c r="A16" s="6">
        <v>1994</v>
      </c>
      <c r="C16" s="147">
        <f>Q16</f>
        <v>12530063.48</v>
      </c>
      <c r="D16" s="147"/>
      <c r="E16" s="147">
        <v>0</v>
      </c>
      <c r="G16" s="274">
        <f>'Exhibit H,7'!K16</f>
        <v>1</v>
      </c>
      <c r="I16" s="147">
        <v>0</v>
      </c>
      <c r="J16" s="147"/>
      <c r="K16" s="147">
        <f>(C16+E16)/G16-I16</f>
        <v>12530063.48</v>
      </c>
      <c r="O16" s="25">
        <v>1994</v>
      </c>
      <c r="Q16" s="95">
        <v>12530063.48</v>
      </c>
      <c r="R16" s="95">
        <v>12530063.48</v>
      </c>
      <c r="S16" s="95">
        <v>12530063.48</v>
      </c>
      <c r="T16" s="95">
        <v>12530063.48</v>
      </c>
      <c r="U16" s="95">
        <f>R16-T16</f>
        <v>0</v>
      </c>
    </row>
    <row r="17" spans="1:21">
      <c r="A17" s="6">
        <f>A16+1</f>
        <v>1995</v>
      </c>
      <c r="C17" s="17">
        <f t="shared" ref="C17:C44" si="1">Q17</f>
        <v>27722793.159999996</v>
      </c>
      <c r="D17" s="187"/>
      <c r="E17" s="187">
        <v>0</v>
      </c>
      <c r="G17" s="274">
        <f>'Exhibit H,7'!K17</f>
        <v>1</v>
      </c>
      <c r="I17" s="187">
        <v>0</v>
      </c>
      <c r="J17" s="187"/>
      <c r="K17" s="494">
        <f t="shared" ref="K17:K44" si="2">(C17+E17)/G17-I17</f>
        <v>27722793.159999996</v>
      </c>
      <c r="O17" s="25">
        <f>O16+1</f>
        <v>1995</v>
      </c>
      <c r="Q17" s="95">
        <v>27722793.159999996</v>
      </c>
      <c r="R17" s="95">
        <v>27722793.159999996</v>
      </c>
      <c r="S17" s="95">
        <v>27722793.159999996</v>
      </c>
      <c r="T17" s="95">
        <v>27722793.159999996</v>
      </c>
      <c r="U17" s="95">
        <f t="shared" ref="U17:U43" si="3">R17-T17</f>
        <v>0</v>
      </c>
    </row>
    <row r="18" spans="1:21">
      <c r="A18" s="6">
        <f t="shared" ref="A18:A44" si="4">A17+1</f>
        <v>1996</v>
      </c>
      <c r="C18" s="17">
        <f t="shared" si="1"/>
        <v>19535873.620000001</v>
      </c>
      <c r="D18" s="187"/>
      <c r="E18" s="187">
        <v>0</v>
      </c>
      <c r="G18" s="274">
        <f>'Exhibit H,7'!K18</f>
        <v>1</v>
      </c>
      <c r="I18" s="187">
        <v>0</v>
      </c>
      <c r="J18" s="187"/>
      <c r="K18" s="494">
        <f t="shared" si="2"/>
        <v>19535873.620000001</v>
      </c>
      <c r="O18" s="25">
        <f t="shared" ref="O18:O44" si="5">O17+1</f>
        <v>1996</v>
      </c>
      <c r="Q18" s="95">
        <v>19535873.620000001</v>
      </c>
      <c r="R18" s="95">
        <v>19535873.620000001</v>
      </c>
      <c r="S18" s="95">
        <v>19535873.620000001</v>
      </c>
      <c r="T18" s="95">
        <v>19535873.620000001</v>
      </c>
      <c r="U18" s="95">
        <f t="shared" si="3"/>
        <v>0</v>
      </c>
    </row>
    <row r="19" spans="1:21">
      <c r="A19" s="6">
        <f t="shared" si="4"/>
        <v>1997</v>
      </c>
      <c r="C19" s="17">
        <f t="shared" si="1"/>
        <v>10551553.370000001</v>
      </c>
      <c r="D19" s="187"/>
      <c r="E19" s="187">
        <v>0</v>
      </c>
      <c r="G19" s="274">
        <f>'Exhibit H,7'!K19</f>
        <v>1</v>
      </c>
      <c r="I19" s="187">
        <v>0</v>
      </c>
      <c r="J19" s="187"/>
      <c r="K19" s="494">
        <f t="shared" si="2"/>
        <v>10551553.370000001</v>
      </c>
      <c r="O19" s="25">
        <f t="shared" si="5"/>
        <v>1997</v>
      </c>
      <c r="Q19" s="95">
        <v>10551553.370000001</v>
      </c>
      <c r="R19" s="95">
        <v>10551553.370000001</v>
      </c>
      <c r="S19" s="95">
        <v>10551553.370000001</v>
      </c>
      <c r="T19" s="95">
        <v>10551553.370000001</v>
      </c>
      <c r="U19" s="95">
        <f t="shared" si="3"/>
        <v>0</v>
      </c>
    </row>
    <row r="20" spans="1:21">
      <c r="A20" s="6">
        <f t="shared" si="4"/>
        <v>1998</v>
      </c>
      <c r="C20" s="17">
        <f t="shared" si="1"/>
        <v>28046459.449999999</v>
      </c>
      <c r="D20" s="187"/>
      <c r="E20" s="187">
        <v>0</v>
      </c>
      <c r="G20" s="274">
        <f>'Exhibit H,7'!K20</f>
        <v>1</v>
      </c>
      <c r="I20" s="187">
        <v>0</v>
      </c>
      <c r="J20" s="187"/>
      <c r="K20" s="494">
        <f t="shared" si="2"/>
        <v>28046459.449999999</v>
      </c>
      <c r="O20" s="25">
        <f t="shared" si="5"/>
        <v>1998</v>
      </c>
      <c r="Q20" s="95">
        <v>28046459.449999999</v>
      </c>
      <c r="R20" s="95">
        <v>28046459.449999999</v>
      </c>
      <c r="S20" s="95">
        <v>28046459.449999999</v>
      </c>
      <c r="T20" s="95">
        <v>28046459.449999999</v>
      </c>
      <c r="U20" s="95">
        <f t="shared" si="3"/>
        <v>0</v>
      </c>
    </row>
    <row r="21" spans="1:21">
      <c r="A21" s="6">
        <f t="shared" si="4"/>
        <v>1999</v>
      </c>
      <c r="C21" s="17">
        <f t="shared" si="1"/>
        <v>23093430.41</v>
      </c>
      <c r="D21" s="187"/>
      <c r="E21" s="187">
        <v>0</v>
      </c>
      <c r="G21" s="274">
        <f>'Exhibit H,7'!K21</f>
        <v>1</v>
      </c>
      <c r="I21" s="187">
        <v>0</v>
      </c>
      <c r="J21" s="187"/>
      <c r="K21" s="494">
        <f t="shared" si="2"/>
        <v>23093430.41</v>
      </c>
      <c r="O21" s="25">
        <f t="shared" si="5"/>
        <v>1999</v>
      </c>
      <c r="Q21" s="95">
        <v>23093430.41</v>
      </c>
      <c r="R21" s="95">
        <v>23093430.41</v>
      </c>
      <c r="S21" s="95">
        <v>23093430.41</v>
      </c>
      <c r="T21" s="95">
        <v>23093430.41</v>
      </c>
      <c r="U21" s="95">
        <f t="shared" si="3"/>
        <v>0</v>
      </c>
    </row>
    <row r="22" spans="1:21">
      <c r="A22" s="6">
        <f t="shared" si="4"/>
        <v>2000</v>
      </c>
      <c r="C22" s="17">
        <f t="shared" si="1"/>
        <v>16813843.780000001</v>
      </c>
      <c r="D22" s="187"/>
      <c r="E22" s="187">
        <v>0</v>
      </c>
      <c r="G22" s="274">
        <f>'Exhibit H,7'!K22</f>
        <v>1</v>
      </c>
      <c r="I22" s="187">
        <v>0</v>
      </c>
      <c r="J22" s="187"/>
      <c r="K22" s="494">
        <f t="shared" si="2"/>
        <v>16813843.780000001</v>
      </c>
      <c r="O22" s="25">
        <f t="shared" si="5"/>
        <v>2000</v>
      </c>
      <c r="Q22" s="95">
        <v>16813843.780000001</v>
      </c>
      <c r="R22" s="95">
        <v>16813843.780000001</v>
      </c>
      <c r="S22" s="95">
        <v>16813843.780000001</v>
      </c>
      <c r="T22" s="95">
        <v>16813843.780000001</v>
      </c>
      <c r="U22" s="95">
        <f t="shared" si="3"/>
        <v>0</v>
      </c>
    </row>
    <row r="23" spans="1:21">
      <c r="A23" s="6">
        <f t="shared" si="4"/>
        <v>2001</v>
      </c>
      <c r="C23" s="17">
        <f t="shared" si="1"/>
        <v>8970924.5199999996</v>
      </c>
      <c r="D23" s="187"/>
      <c r="E23" s="187">
        <v>0</v>
      </c>
      <c r="G23" s="274">
        <f>'Exhibit H,7'!K23</f>
        <v>1</v>
      </c>
      <c r="I23" s="187">
        <v>0</v>
      </c>
      <c r="J23" s="187"/>
      <c r="K23" s="494">
        <f t="shared" si="2"/>
        <v>8970924.5199999996</v>
      </c>
      <c r="O23" s="25">
        <f t="shared" si="5"/>
        <v>2001</v>
      </c>
      <c r="Q23" s="95">
        <v>8970924.5199999996</v>
      </c>
      <c r="R23" s="95">
        <v>8970924.5199999996</v>
      </c>
      <c r="S23" s="95">
        <v>8970924.5199999996</v>
      </c>
      <c r="T23" s="95">
        <v>8970924.5199999996</v>
      </c>
      <c r="U23" s="95">
        <f t="shared" si="3"/>
        <v>0</v>
      </c>
    </row>
    <row r="24" spans="1:21">
      <c r="A24" s="6">
        <f t="shared" si="4"/>
        <v>2002</v>
      </c>
      <c r="C24" s="17">
        <f t="shared" si="1"/>
        <v>5903704.3700000001</v>
      </c>
      <c r="D24" s="187"/>
      <c r="E24" s="187">
        <v>0</v>
      </c>
      <c r="G24" s="274">
        <f>'Exhibit H,7'!K24</f>
        <v>1</v>
      </c>
      <c r="I24" s="187">
        <v>0</v>
      </c>
      <c r="J24" s="187"/>
      <c r="K24" s="494">
        <f t="shared" si="2"/>
        <v>5903704.3700000001</v>
      </c>
      <c r="O24" s="25">
        <f t="shared" si="5"/>
        <v>2002</v>
      </c>
      <c r="Q24" s="95">
        <v>5903704.3700000001</v>
      </c>
      <c r="R24" s="95">
        <v>5903704.3700000048</v>
      </c>
      <c r="S24" s="95">
        <v>5903704.3700000001</v>
      </c>
      <c r="T24" s="95">
        <v>5903704.3700000001</v>
      </c>
      <c r="U24" s="95">
        <f t="shared" si="3"/>
        <v>0</v>
      </c>
    </row>
    <row r="25" spans="1:21">
      <c r="A25" s="6">
        <f t="shared" si="4"/>
        <v>2003</v>
      </c>
      <c r="C25" s="17">
        <f t="shared" si="1"/>
        <v>8418136.2699999996</v>
      </c>
      <c r="D25" s="187"/>
      <c r="E25" s="187">
        <v>0</v>
      </c>
      <c r="G25" s="274">
        <f>'Exhibit H,7'!K25</f>
        <v>1</v>
      </c>
      <c r="I25" s="187">
        <v>0</v>
      </c>
      <c r="J25" s="187"/>
      <c r="K25" s="494">
        <f t="shared" si="2"/>
        <v>8418136.2699999996</v>
      </c>
      <c r="O25" s="25">
        <f t="shared" si="5"/>
        <v>2003</v>
      </c>
      <c r="Q25" s="95">
        <v>8418136.2699999996</v>
      </c>
      <c r="R25" s="95">
        <v>8418136.270000007</v>
      </c>
      <c r="S25" s="95">
        <v>8418136.2699999996</v>
      </c>
      <c r="T25" s="95">
        <v>8418136.2699999996</v>
      </c>
      <c r="U25" s="95">
        <f t="shared" si="3"/>
        <v>0</v>
      </c>
    </row>
    <row r="26" spans="1:21">
      <c r="A26" s="6">
        <f t="shared" si="4"/>
        <v>2004</v>
      </c>
      <c r="C26" s="17">
        <f t="shared" si="1"/>
        <v>545392.9</v>
      </c>
      <c r="D26" s="187"/>
      <c r="E26" s="187">
        <v>0</v>
      </c>
      <c r="G26" s="274">
        <f>'Exhibit H,7'!K26</f>
        <v>1</v>
      </c>
      <c r="I26" s="187">
        <v>0</v>
      </c>
      <c r="J26" s="187"/>
      <c r="K26" s="494">
        <f t="shared" si="2"/>
        <v>545392.9</v>
      </c>
      <c r="O26" s="25">
        <f t="shared" si="5"/>
        <v>2004</v>
      </c>
      <c r="Q26" s="95">
        <v>545392.9</v>
      </c>
      <c r="R26" s="95">
        <v>545392.89999999851</v>
      </c>
      <c r="S26" s="95">
        <v>545392.9</v>
      </c>
      <c r="T26" s="95">
        <v>545392.9</v>
      </c>
      <c r="U26" s="95">
        <f t="shared" si="3"/>
        <v>-1.5133991837501526E-9</v>
      </c>
    </row>
    <row r="27" spans="1:21">
      <c r="A27" s="6">
        <f t="shared" si="4"/>
        <v>2005</v>
      </c>
      <c r="C27" s="17">
        <f t="shared" si="1"/>
        <v>1276257.68</v>
      </c>
      <c r="D27" s="187"/>
      <c r="E27" s="187">
        <v>0</v>
      </c>
      <c r="G27" s="274">
        <f>'Exhibit H,7'!K27</f>
        <v>1</v>
      </c>
      <c r="I27" s="187">
        <v>0</v>
      </c>
      <c r="J27" s="187"/>
      <c r="K27" s="494">
        <f t="shared" si="2"/>
        <v>1276257.68</v>
      </c>
      <c r="O27" s="25">
        <f t="shared" si="5"/>
        <v>2005</v>
      </c>
      <c r="Q27" s="95">
        <v>1276257.68</v>
      </c>
      <c r="R27" s="95">
        <v>1276257.6799999997</v>
      </c>
      <c r="S27" s="95">
        <v>1276257.68</v>
      </c>
      <c r="T27" s="95">
        <v>1276257.68</v>
      </c>
      <c r="U27" s="95">
        <f t="shared" si="3"/>
        <v>0</v>
      </c>
    </row>
    <row r="28" spans="1:21">
      <c r="A28" s="6">
        <f t="shared" si="4"/>
        <v>2006</v>
      </c>
      <c r="C28" s="17">
        <f t="shared" si="1"/>
        <v>0</v>
      </c>
      <c r="D28" s="187"/>
      <c r="E28" s="187">
        <v>0</v>
      </c>
      <c r="G28" s="274">
        <f>'Exhibit H,7'!K28</f>
        <v>1</v>
      </c>
      <c r="I28" s="187">
        <v>0</v>
      </c>
      <c r="J28" s="187"/>
      <c r="K28" s="494">
        <f t="shared" si="2"/>
        <v>0</v>
      </c>
      <c r="O28" s="25">
        <f t="shared" si="5"/>
        <v>2006</v>
      </c>
      <c r="Q28" s="95">
        <v>0</v>
      </c>
      <c r="R28" s="95">
        <v>0</v>
      </c>
      <c r="S28" s="95">
        <v>0</v>
      </c>
      <c r="T28" s="95">
        <v>0</v>
      </c>
      <c r="U28" s="95">
        <f t="shared" si="3"/>
        <v>0</v>
      </c>
    </row>
    <row r="29" spans="1:21">
      <c r="A29" s="6">
        <f t="shared" si="4"/>
        <v>2007</v>
      </c>
      <c r="C29" s="17">
        <f t="shared" si="1"/>
        <v>638230.88</v>
      </c>
      <c r="D29" s="187"/>
      <c r="E29" s="187">
        <v>0</v>
      </c>
      <c r="G29" s="274">
        <f>'Exhibit H,7'!K29</f>
        <v>1</v>
      </c>
      <c r="I29" s="187">
        <v>0</v>
      </c>
      <c r="J29" s="187"/>
      <c r="K29" s="494">
        <f t="shared" si="2"/>
        <v>638230.88</v>
      </c>
      <c r="O29" s="25">
        <f t="shared" si="5"/>
        <v>2007</v>
      </c>
      <c r="Q29" s="95">
        <v>638230.88</v>
      </c>
      <c r="R29" s="95">
        <v>638230.88000000268</v>
      </c>
      <c r="S29" s="95">
        <v>638230.88</v>
      </c>
      <c r="T29" s="95">
        <v>638230.88</v>
      </c>
      <c r="U29" s="95">
        <f t="shared" si="3"/>
        <v>2.6775524020195007E-9</v>
      </c>
    </row>
    <row r="30" spans="1:21">
      <c r="A30" s="6">
        <f t="shared" si="4"/>
        <v>2008</v>
      </c>
      <c r="C30" s="17">
        <f t="shared" si="1"/>
        <v>823895.11</v>
      </c>
      <c r="D30" s="187"/>
      <c r="E30" s="187">
        <v>0</v>
      </c>
      <c r="G30" s="274">
        <f>'Exhibit H,7'!K30</f>
        <v>1</v>
      </c>
      <c r="I30" s="187">
        <v>0</v>
      </c>
      <c r="J30" s="187"/>
      <c r="K30" s="494">
        <f t="shared" si="2"/>
        <v>823895.11</v>
      </c>
      <c r="O30" s="25">
        <f t="shared" si="5"/>
        <v>2008</v>
      </c>
      <c r="Q30" s="95">
        <v>823895.11</v>
      </c>
      <c r="R30" s="95">
        <v>823895.1099999994</v>
      </c>
      <c r="S30" s="95">
        <v>823895.11</v>
      </c>
      <c r="T30" s="95">
        <v>823895.11</v>
      </c>
      <c r="U30" s="95">
        <f t="shared" si="3"/>
        <v>0</v>
      </c>
    </row>
    <row r="31" spans="1:21">
      <c r="A31" s="6">
        <f t="shared" si="4"/>
        <v>2009</v>
      </c>
      <c r="C31" s="17">
        <f t="shared" si="1"/>
        <v>1716687.82</v>
      </c>
      <c r="D31" s="187"/>
      <c r="E31" s="187">
        <v>0</v>
      </c>
      <c r="G31" s="274">
        <f>'Exhibit H,7'!K31</f>
        <v>1</v>
      </c>
      <c r="I31" s="187">
        <v>0</v>
      </c>
      <c r="J31" s="187"/>
      <c r="K31" s="494">
        <f t="shared" si="2"/>
        <v>1716687.82</v>
      </c>
      <c r="O31" s="25">
        <f t="shared" si="5"/>
        <v>2009</v>
      </c>
      <c r="Q31" s="95">
        <v>1716687.82</v>
      </c>
      <c r="R31" s="95">
        <v>1716687.8200000003</v>
      </c>
      <c r="S31" s="95">
        <v>1716687.82</v>
      </c>
      <c r="T31" s="95">
        <v>1716687.82</v>
      </c>
      <c r="U31" s="95">
        <f t="shared" si="3"/>
        <v>0</v>
      </c>
    </row>
    <row r="32" spans="1:21">
      <c r="A32" s="6">
        <f t="shared" si="4"/>
        <v>2010</v>
      </c>
      <c r="C32" s="17">
        <f t="shared" si="1"/>
        <v>2126900.69</v>
      </c>
      <c r="D32" s="187"/>
      <c r="E32" s="187">
        <v>0</v>
      </c>
      <c r="G32" s="274">
        <f>'Exhibit H,7'!K32</f>
        <v>1</v>
      </c>
      <c r="I32" s="187">
        <v>0</v>
      </c>
      <c r="J32" s="187"/>
      <c r="K32" s="494">
        <f t="shared" si="2"/>
        <v>2126900.69</v>
      </c>
      <c r="O32" s="25">
        <f t="shared" si="5"/>
        <v>2010</v>
      </c>
      <c r="Q32" s="95">
        <v>2126900.69</v>
      </c>
      <c r="R32" s="95">
        <v>2126900.6900000013</v>
      </c>
      <c r="S32" s="95">
        <v>2126900.69</v>
      </c>
      <c r="T32" s="95">
        <v>2126900.69</v>
      </c>
      <c r="U32" s="95">
        <f t="shared" si="3"/>
        <v>0</v>
      </c>
    </row>
    <row r="33" spans="1:22">
      <c r="A33" s="6">
        <f t="shared" si="4"/>
        <v>2011</v>
      </c>
      <c r="C33" s="17">
        <f t="shared" si="1"/>
        <v>2235848.35</v>
      </c>
      <c r="D33" s="187"/>
      <c r="E33" s="187">
        <v>0</v>
      </c>
      <c r="G33" s="274">
        <f>'Exhibit H,7'!K33</f>
        <v>1</v>
      </c>
      <c r="I33" s="187">
        <v>0</v>
      </c>
      <c r="J33" s="187"/>
      <c r="K33" s="494">
        <f t="shared" si="2"/>
        <v>2235848.35</v>
      </c>
      <c r="O33" s="25">
        <f t="shared" si="5"/>
        <v>2011</v>
      </c>
      <c r="P33" s="602">
        <f>'Exhibit M,3'!P33-'Exhibit M,3'!Q33+'Exhibit O,3'!P33-'Exhibit O,3'!Q33</f>
        <v>5207468.2310351245</v>
      </c>
      <c r="Q33" s="95">
        <v>2235848.35</v>
      </c>
      <c r="R33" s="95">
        <v>2235848.3499999978</v>
      </c>
      <c r="S33" s="95">
        <v>2235848.35</v>
      </c>
      <c r="T33" s="95">
        <v>2235848.35</v>
      </c>
      <c r="U33" s="95">
        <f t="shared" si="3"/>
        <v>0</v>
      </c>
    </row>
    <row r="34" spans="1:22">
      <c r="A34" s="6">
        <f t="shared" si="4"/>
        <v>2012</v>
      </c>
      <c r="C34" s="17">
        <f t="shared" si="1"/>
        <v>5992753.5499999998</v>
      </c>
      <c r="D34" s="187"/>
      <c r="E34" s="187">
        <v>0</v>
      </c>
      <c r="G34" s="274">
        <f>'Exhibit H,7'!K34</f>
        <v>1</v>
      </c>
      <c r="I34" s="187">
        <v>0</v>
      </c>
      <c r="J34" s="187"/>
      <c r="K34" s="494">
        <f t="shared" si="2"/>
        <v>5992753.5499999998</v>
      </c>
      <c r="O34" s="25">
        <f t="shared" si="5"/>
        <v>2012</v>
      </c>
      <c r="P34" s="602">
        <f>'Exhibit M,3'!P34-'Exhibit M,3'!Q34+'Exhibit O,3'!P34-'Exhibit O,3'!Q34</f>
        <v>4916147.8229327872</v>
      </c>
      <c r="Q34" s="95">
        <v>5992753.5499999998</v>
      </c>
      <c r="R34" s="95">
        <v>5992753.5500000007</v>
      </c>
      <c r="S34" s="95">
        <v>5992753.5499999998</v>
      </c>
      <c r="T34" s="95">
        <v>5992753.5499999998</v>
      </c>
      <c r="U34" s="95">
        <f t="shared" si="3"/>
        <v>0</v>
      </c>
    </row>
    <row r="35" spans="1:22">
      <c r="A35" s="6">
        <f t="shared" si="4"/>
        <v>2013</v>
      </c>
      <c r="C35" s="17">
        <f t="shared" si="1"/>
        <v>6075393.9800000004</v>
      </c>
      <c r="D35" s="187"/>
      <c r="E35" s="187">
        <v>0</v>
      </c>
      <c r="G35" s="274">
        <f>'Exhibit H,7'!K35</f>
        <v>1</v>
      </c>
      <c r="I35" s="187">
        <v>0</v>
      </c>
      <c r="J35" s="187"/>
      <c r="K35" s="494">
        <f t="shared" si="2"/>
        <v>6075393.9800000004</v>
      </c>
      <c r="O35" s="25">
        <f t="shared" si="5"/>
        <v>2013</v>
      </c>
      <c r="P35" s="602">
        <f>'Exhibit M,3'!P35-'Exhibit M,3'!Q35+'Exhibit O,3'!P35-'Exhibit O,3'!Q35</f>
        <v>4907684.7560253739</v>
      </c>
      <c r="Q35" s="95">
        <v>6075393.9800000004</v>
      </c>
      <c r="R35" s="95">
        <v>6075393.9799999986</v>
      </c>
      <c r="S35" s="95">
        <v>6075393.9800000004</v>
      </c>
      <c r="T35" s="95">
        <v>6075393.9800000004</v>
      </c>
      <c r="U35" s="95">
        <f t="shared" si="3"/>
        <v>0</v>
      </c>
    </row>
    <row r="36" spans="1:22">
      <c r="A36" s="6">
        <f t="shared" si="4"/>
        <v>2014</v>
      </c>
      <c r="C36" s="17">
        <f t="shared" si="1"/>
        <v>1329575.07</v>
      </c>
      <c r="D36" s="187"/>
      <c r="E36" s="187">
        <v>0</v>
      </c>
      <c r="G36" s="274">
        <f>'Exhibit H,7'!K36</f>
        <v>1</v>
      </c>
      <c r="I36" s="187">
        <v>0</v>
      </c>
      <c r="J36" s="187"/>
      <c r="K36" s="494">
        <f t="shared" si="2"/>
        <v>1329575.07</v>
      </c>
      <c r="O36" s="25">
        <f t="shared" si="5"/>
        <v>2014</v>
      </c>
      <c r="P36" s="602">
        <f>'Exhibit M,3'!P36-'Exhibit M,3'!Q36+'Exhibit O,3'!P36-'Exhibit O,3'!Q36</f>
        <v>4170991.155145254</v>
      </c>
      <c r="Q36" s="95">
        <v>1329575.07</v>
      </c>
      <c r="R36" s="95">
        <v>1329575.0700000003</v>
      </c>
      <c r="S36" s="95">
        <v>1329575.07</v>
      </c>
      <c r="T36" s="95">
        <v>1329575.07</v>
      </c>
      <c r="U36" s="95">
        <f t="shared" si="3"/>
        <v>0</v>
      </c>
    </row>
    <row r="37" spans="1:22">
      <c r="A37" s="6">
        <f t="shared" si="4"/>
        <v>2015</v>
      </c>
      <c r="C37" s="17">
        <f t="shared" si="1"/>
        <v>1325604.94</v>
      </c>
      <c r="D37" s="187"/>
      <c r="E37" s="187">
        <v>0</v>
      </c>
      <c r="G37" s="274">
        <f>'Exhibit H,7'!K37</f>
        <v>0.98908730158730163</v>
      </c>
      <c r="I37" s="187">
        <v>0</v>
      </c>
      <c r="J37" s="187"/>
      <c r="K37" s="494">
        <f t="shared" si="2"/>
        <v>1340230.4709327982</v>
      </c>
      <c r="O37" s="25">
        <f t="shared" si="5"/>
        <v>2015</v>
      </c>
      <c r="P37" s="602">
        <f>'Exhibit M,3'!P37-'Exhibit M,3'!Q37+'Exhibit O,3'!P37-'Exhibit O,3'!Q37</f>
        <v>2915441.0952941366</v>
      </c>
      <c r="Q37" s="95">
        <v>1325604.94</v>
      </c>
      <c r="R37" s="95">
        <v>1325604.9400000013</v>
      </c>
      <c r="S37" s="95">
        <v>1325604.94</v>
      </c>
      <c r="T37" s="95">
        <v>1325604.94</v>
      </c>
      <c r="U37" s="95">
        <f t="shared" si="3"/>
        <v>0</v>
      </c>
    </row>
    <row r="38" spans="1:22">
      <c r="A38" s="6">
        <f t="shared" si="4"/>
        <v>2016</v>
      </c>
      <c r="C38" s="17">
        <f t="shared" si="1"/>
        <v>1795488.32</v>
      </c>
      <c r="D38" s="187"/>
      <c r="E38" s="187">
        <v>0</v>
      </c>
      <c r="G38" s="274">
        <f>'Exhibit H,7'!K38</f>
        <v>0.92688923395445122</v>
      </c>
      <c r="I38" s="187">
        <v>0</v>
      </c>
      <c r="J38" s="187"/>
      <c r="K38" s="494">
        <f t="shared" si="2"/>
        <v>1937112.0671450512</v>
      </c>
      <c r="O38" s="25">
        <f t="shared" si="5"/>
        <v>2016</v>
      </c>
      <c r="P38" s="602">
        <f>'Exhibit M,3'!P38-'Exhibit M,3'!Q38+'Exhibit O,3'!P38-'Exhibit O,3'!Q38</f>
        <v>3026899.7166761234</v>
      </c>
      <c r="Q38" s="95">
        <v>1795488.32</v>
      </c>
      <c r="R38" s="95">
        <v>2347702.3199999984</v>
      </c>
      <c r="S38" s="95">
        <v>1795488.32</v>
      </c>
      <c r="T38" s="95">
        <v>2347316.3199999998</v>
      </c>
      <c r="U38" s="95">
        <f t="shared" si="3"/>
        <v>385.99999999860302</v>
      </c>
    </row>
    <row r="39" spans="1:22">
      <c r="A39" s="6">
        <f t="shared" si="4"/>
        <v>2017</v>
      </c>
      <c r="C39" s="17">
        <f t="shared" si="1"/>
        <v>0</v>
      </c>
      <c r="D39" s="187"/>
      <c r="E39" s="187">
        <v>0</v>
      </c>
      <c r="G39" s="274">
        <f>'Exhibit H,7'!K39</f>
        <v>0.78169673666568074</v>
      </c>
      <c r="I39" s="187">
        <v>0</v>
      </c>
      <c r="J39" s="187"/>
      <c r="K39" s="494">
        <f t="shared" si="2"/>
        <v>0</v>
      </c>
      <c r="O39" s="25">
        <f t="shared" si="5"/>
        <v>2017</v>
      </c>
      <c r="P39" s="602">
        <f>'Exhibit M,3'!P39-'Exhibit M,3'!Q39+'Exhibit O,3'!P39-'Exhibit O,3'!Q39</f>
        <v>1893652.8771807346</v>
      </c>
      <c r="Q39" s="95">
        <v>0</v>
      </c>
      <c r="R39" s="95">
        <v>220160</v>
      </c>
      <c r="S39" s="95">
        <v>0</v>
      </c>
      <c r="T39" s="95">
        <v>1052160</v>
      </c>
      <c r="U39" s="95">
        <f t="shared" si="3"/>
        <v>-832000</v>
      </c>
    </row>
    <row r="40" spans="1:22">
      <c r="A40" s="6">
        <f t="shared" si="4"/>
        <v>2018</v>
      </c>
      <c r="C40" s="17">
        <f t="shared" si="1"/>
        <v>0</v>
      </c>
      <c r="D40" s="187"/>
      <c r="E40" s="187">
        <v>0</v>
      </c>
      <c r="G40" s="274">
        <f>'Exhibit H,7'!K40</f>
        <v>0.56114233132866675</v>
      </c>
      <c r="I40" s="187">
        <v>0</v>
      </c>
      <c r="J40" s="187"/>
      <c r="K40" s="494">
        <f t="shared" si="2"/>
        <v>0</v>
      </c>
      <c r="L40" s="61"/>
      <c r="O40" s="25">
        <f t="shared" si="5"/>
        <v>2018</v>
      </c>
      <c r="P40" s="602">
        <f>'Exhibit M,3'!P40-'Exhibit M,3'!Q40+'Exhibit O,3'!P40-'Exhibit O,3'!Q40</f>
        <v>2166515.6402826067</v>
      </c>
      <c r="Q40" s="95">
        <v>0</v>
      </c>
      <c r="R40" s="95">
        <v>2000000</v>
      </c>
      <c r="S40" s="95">
        <v>0</v>
      </c>
      <c r="T40" s="95">
        <v>0</v>
      </c>
      <c r="U40" s="95">
        <f t="shared" si="3"/>
        <v>2000000</v>
      </c>
      <c r="V40" s="95"/>
    </row>
    <row r="41" spans="1:22">
      <c r="A41" s="6">
        <f t="shared" si="4"/>
        <v>2019</v>
      </c>
      <c r="C41" s="17">
        <f t="shared" si="1"/>
        <v>1875.87</v>
      </c>
      <c r="D41" s="187"/>
      <c r="E41" s="187">
        <v>0</v>
      </c>
      <c r="G41" s="274">
        <f>'Exhibit H,7'!K41</f>
        <v>0.3727940451542936</v>
      </c>
      <c r="I41" s="187">
        <v>0</v>
      </c>
      <c r="J41" s="187"/>
      <c r="K41" s="494">
        <f t="shared" si="2"/>
        <v>5031.9205051239669</v>
      </c>
      <c r="O41" s="25">
        <f t="shared" si="5"/>
        <v>2019</v>
      </c>
      <c r="P41" s="602">
        <f>'Exhibit M,3'!P41-'Exhibit M,3'!Q41+'Exhibit O,3'!P41-'Exhibit O,3'!Q41</f>
        <v>2439069.1563487668</v>
      </c>
      <c r="Q41" s="95">
        <v>1875.87</v>
      </c>
      <c r="R41" s="95">
        <v>194376.86999999918</v>
      </c>
      <c r="S41" s="95">
        <v>1750</v>
      </c>
      <c r="T41" s="95">
        <v>95813</v>
      </c>
      <c r="U41" s="95">
        <f t="shared" si="3"/>
        <v>98563.86999999918</v>
      </c>
    </row>
    <row r="42" spans="1:22">
      <c r="A42" s="6">
        <f t="shared" si="4"/>
        <v>2020</v>
      </c>
      <c r="C42" s="17">
        <f t="shared" si="1"/>
        <v>592996.41</v>
      </c>
      <c r="D42" s="187"/>
      <c r="E42" s="187">
        <v>0</v>
      </c>
      <c r="G42" s="274">
        <f>'Exhibit H,7'!K42</f>
        <v>0.20676547591661465</v>
      </c>
      <c r="I42" s="187">
        <v>0</v>
      </c>
      <c r="J42" s="187"/>
      <c r="K42" s="494">
        <f t="shared" si="2"/>
        <v>2867966.2664725827</v>
      </c>
      <c r="O42" s="25">
        <f t="shared" si="5"/>
        <v>2020</v>
      </c>
      <c r="P42" s="602">
        <f>'Exhibit M,3'!P42-'Exhibit M,3'!Q42+'Exhibit O,3'!P42-'Exhibit O,3'!Q42</f>
        <v>3298648.930248756</v>
      </c>
      <c r="Q42" s="95">
        <v>592996.41</v>
      </c>
      <c r="R42" s="95">
        <v>592996.41000000015</v>
      </c>
      <c r="S42" s="95">
        <v>0</v>
      </c>
      <c r="T42" s="95">
        <v>0</v>
      </c>
      <c r="U42" s="95">
        <f t="shared" si="3"/>
        <v>592996.41000000015</v>
      </c>
    </row>
    <row r="43" spans="1:22">
      <c r="A43" s="6">
        <f t="shared" si="4"/>
        <v>2021</v>
      </c>
      <c r="C43" s="17">
        <f t="shared" si="1"/>
        <v>0</v>
      </c>
      <c r="D43" s="187"/>
      <c r="E43" s="187">
        <v>0</v>
      </c>
      <c r="G43" s="274">
        <f>'Exhibit H,7'!K43</f>
        <v>3.2863386900653983E-2</v>
      </c>
      <c r="I43" s="187">
        <v>0</v>
      </c>
      <c r="J43" s="187"/>
      <c r="K43" s="494">
        <f t="shared" si="2"/>
        <v>0</v>
      </c>
      <c r="O43" s="25">
        <f t="shared" si="5"/>
        <v>2021</v>
      </c>
      <c r="P43" s="602">
        <f>'Exhibit M,3'!P43-'Exhibit M,3'!Q43+'Exhibit O,3'!P43-'Exhibit O,3'!Q43</f>
        <v>2992120.9435591176</v>
      </c>
      <c r="Q43" s="95">
        <v>0</v>
      </c>
      <c r="R43" s="95">
        <v>0</v>
      </c>
      <c r="S43" s="95">
        <v>0</v>
      </c>
      <c r="T43" s="95">
        <v>0</v>
      </c>
      <c r="U43" s="95">
        <f t="shared" si="3"/>
        <v>0</v>
      </c>
    </row>
    <row r="44" spans="1:22" ht="16">
      <c r="A44" s="6">
        <f t="shared" si="4"/>
        <v>2022</v>
      </c>
      <c r="C44" s="17">
        <f t="shared" si="1"/>
        <v>0</v>
      </c>
      <c r="D44" s="187"/>
      <c r="E44" s="187">
        <v>0</v>
      </c>
      <c r="G44" s="274">
        <f>'Exhibit H,7'!K44</f>
        <v>1.075529025839585E-3</v>
      </c>
      <c r="I44" s="187">
        <v>0</v>
      </c>
      <c r="J44" s="187"/>
      <c r="K44" s="494">
        <f t="shared" si="2"/>
        <v>0</v>
      </c>
      <c r="O44" s="25">
        <f t="shared" si="5"/>
        <v>2022</v>
      </c>
      <c r="P44" s="602">
        <f>'Exhibit M,3'!P44-'Exhibit M,3'!Q44+'Exhibit O,3'!P44-'Exhibit O,3'!Q44</f>
        <v>3076763.6096857116</v>
      </c>
      <c r="Q44" s="95">
        <v>0</v>
      </c>
      <c r="R44" s="95">
        <v>0</v>
      </c>
      <c r="S44" s="364"/>
      <c r="T44" s="95"/>
      <c r="U44" s="364"/>
    </row>
    <row r="45" spans="1:22" ht="16">
      <c r="A45" s="6"/>
      <c r="C45" s="105"/>
      <c r="E45" s="105"/>
      <c r="I45" s="105"/>
      <c r="K45" s="105"/>
      <c r="P45" s="25"/>
      <c r="Q45" s="95"/>
      <c r="R45" s="95"/>
      <c r="S45" s="95"/>
      <c r="T45" s="25"/>
      <c r="U45" s="364"/>
    </row>
    <row r="46" spans="1:22">
      <c r="A46" s="6" t="s">
        <v>0</v>
      </c>
      <c r="C46" s="26">
        <f>SUM(C16:C45)</f>
        <v>188063684.00000003</v>
      </c>
      <c r="E46" s="26">
        <f>SUM(E16:E45)</f>
        <v>0</v>
      </c>
      <c r="I46" s="26">
        <f>SUM(I16:I45)</f>
        <v>0</v>
      </c>
      <c r="K46" s="26">
        <f>SUM(K16:K45)</f>
        <v>190498059.18505561</v>
      </c>
      <c r="O46" s="25" t="s">
        <v>0</v>
      </c>
      <c r="P46" s="278">
        <f>SUM(P16:P43)</f>
        <v>37934640.324728779</v>
      </c>
      <c r="Q46" s="278">
        <f t="shared" ref="Q46:U46" si="6">SUM(Q16:Q44)</f>
        <v>188063684.00000003</v>
      </c>
      <c r="R46" s="278">
        <f t="shared" si="6"/>
        <v>191028559.00000003</v>
      </c>
      <c r="S46" s="278">
        <f t="shared" si="6"/>
        <v>187470561.72000003</v>
      </c>
      <c r="T46" s="278">
        <f t="shared" si="6"/>
        <v>189168612.72000003</v>
      </c>
      <c r="U46" s="278">
        <f t="shared" si="6"/>
        <v>1859946.2799999991</v>
      </c>
      <c r="V46" s="22"/>
    </row>
    <row r="47" spans="1:22">
      <c r="Q47" s="95"/>
      <c r="R47" s="95"/>
      <c r="S47" s="95"/>
      <c r="V47" s="22"/>
    </row>
    <row r="48" spans="1:22">
      <c r="Q48" s="95"/>
      <c r="R48" s="95"/>
      <c r="S48" s="95"/>
    </row>
    <row r="49" spans="1:19">
      <c r="Q49" s="95"/>
      <c r="R49" s="95"/>
      <c r="S49" s="95"/>
    </row>
    <row r="50" spans="1:19">
      <c r="A50" s="6" t="s">
        <v>50</v>
      </c>
      <c r="B50" s="1" t="s">
        <v>926</v>
      </c>
      <c r="Q50" s="95"/>
      <c r="R50" s="95"/>
      <c r="S50" s="95"/>
    </row>
    <row r="51" spans="1:19">
      <c r="B51" s="1" t="s">
        <v>1578</v>
      </c>
      <c r="Q51" s="95"/>
      <c r="R51" s="95"/>
      <c r="S51" s="95"/>
    </row>
    <row r="52" spans="1:19">
      <c r="B52" s="3" t="s">
        <v>240</v>
      </c>
      <c r="Q52" s="95"/>
      <c r="R52" s="95"/>
      <c r="S52" s="95"/>
    </row>
    <row r="53" spans="1:19">
      <c r="B53" s="1" t="s">
        <v>927</v>
      </c>
      <c r="Q53" s="95"/>
      <c r="R53" s="95"/>
      <c r="S53" s="95"/>
    </row>
    <row r="54" spans="1:19">
      <c r="B54" s="1" t="s">
        <v>94</v>
      </c>
      <c r="Q54" s="95"/>
      <c r="R54" s="95"/>
      <c r="S54" s="95"/>
    </row>
    <row r="55" spans="1:19">
      <c r="Q55" s="95"/>
      <c r="R55" s="95"/>
      <c r="S55" s="95"/>
    </row>
    <row r="56" spans="1:19">
      <c r="Q56" s="95"/>
      <c r="R56" s="95"/>
      <c r="S56" s="95"/>
    </row>
    <row r="57" spans="1:19">
      <c r="Q57" s="95"/>
      <c r="R57" s="95"/>
      <c r="S57" s="95"/>
    </row>
    <row r="58" spans="1:19">
      <c r="Q58" s="95"/>
      <c r="R58" s="95"/>
      <c r="S58" s="95"/>
    </row>
  </sheetData>
  <printOptions horizontalCentered="1"/>
  <pageMargins left="0.7" right="0.7" top="0.75" bottom="0.75" header="0.3" footer="0.3"/>
  <pageSetup scale="81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3">
    <pageSetUpPr fitToPage="1"/>
  </sheetPr>
  <dimension ref="A1:Q53"/>
  <sheetViews>
    <sheetView topLeftCell="A27" zoomScaleNormal="100" workbookViewId="0">
      <selection activeCell="E45" sqref="E45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2.7109375" style="1" customWidth="1"/>
    <col min="12" max="14" width="8.7109375" style="1"/>
    <col min="15" max="15" width="12.7109375" style="1" bestFit="1" customWidth="1"/>
    <col min="16" max="16" width="11.7109375" style="1" bestFit="1" customWidth="1"/>
    <col min="17" max="17" width="17.140625" style="1" bestFit="1" customWidth="1"/>
    <col min="18" max="16384" width="8.7109375" style="1"/>
  </cols>
  <sheetData>
    <row r="1" spans="1:17">
      <c r="K1" s="64" t="s">
        <v>88</v>
      </c>
    </row>
    <row r="2" spans="1:17">
      <c r="K2" s="52" t="s">
        <v>89</v>
      </c>
    </row>
    <row r="4" spans="1:17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140"/>
    </row>
    <row r="5" spans="1:17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</row>
    <row r="6" spans="1:17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  <c r="L6" s="140"/>
    </row>
    <row r="7" spans="1:17">
      <c r="A7" s="5" t="s">
        <v>226</v>
      </c>
      <c r="B7" s="5"/>
      <c r="C7" s="5"/>
      <c r="D7" s="5"/>
      <c r="E7" s="5"/>
      <c r="F7" s="5"/>
      <c r="G7" s="5"/>
      <c r="H7" s="5"/>
      <c r="I7" s="5"/>
      <c r="J7" s="5"/>
      <c r="K7" s="5"/>
      <c r="L7" s="140"/>
    </row>
    <row r="8" spans="1:17">
      <c r="A8" s="5" t="s">
        <v>84</v>
      </c>
      <c r="B8" s="5"/>
      <c r="C8" s="5"/>
      <c r="D8" s="5"/>
      <c r="E8" s="5"/>
      <c r="F8" s="5"/>
      <c r="G8" s="5"/>
      <c r="H8" s="5"/>
      <c r="I8" s="5"/>
      <c r="J8" s="5"/>
      <c r="K8" s="5"/>
      <c r="L8" s="140"/>
    </row>
    <row r="9" spans="1:17">
      <c r="A9" s="5"/>
      <c r="B9" s="5"/>
      <c r="C9" s="5"/>
      <c r="D9" s="5"/>
      <c r="E9" s="5"/>
      <c r="F9" s="5"/>
      <c r="G9" s="5"/>
      <c r="H9" s="5"/>
      <c r="I9" s="5"/>
      <c r="J9" s="5"/>
      <c r="K9" s="5"/>
    </row>
    <row r="10" spans="1:17">
      <c r="O10" s="23"/>
      <c r="P10" s="23"/>
      <c r="Q10" s="23"/>
    </row>
    <row r="11" spans="1:17">
      <c r="A11" s="6"/>
      <c r="B11" s="6"/>
      <c r="C11" s="6" t="s">
        <v>79</v>
      </c>
      <c r="D11" s="6"/>
      <c r="E11" s="6" t="s">
        <v>12</v>
      </c>
      <c r="F11" s="6"/>
      <c r="G11" s="8" t="s">
        <v>176</v>
      </c>
      <c r="H11" s="8"/>
      <c r="I11" s="8"/>
      <c r="J11" s="8"/>
      <c r="K11" s="8"/>
    </row>
    <row r="12" spans="1:17">
      <c r="A12" s="2" t="s">
        <v>6</v>
      </c>
      <c r="B12" s="6"/>
      <c r="C12" s="6" t="s">
        <v>15</v>
      </c>
      <c r="D12" s="6"/>
      <c r="E12" s="6" t="s">
        <v>15</v>
      </c>
      <c r="F12" s="6"/>
      <c r="G12" s="6"/>
      <c r="H12" s="5"/>
      <c r="I12" s="2" t="s">
        <v>15</v>
      </c>
      <c r="J12" s="6"/>
      <c r="K12" s="2" t="s">
        <v>13</v>
      </c>
    </row>
    <row r="13" spans="1:17">
      <c r="A13" s="6" t="s">
        <v>4</v>
      </c>
      <c r="B13" s="6"/>
      <c r="C13" s="6" t="s">
        <v>55</v>
      </c>
      <c r="D13" s="6"/>
      <c r="E13" s="6" t="s">
        <v>55</v>
      </c>
      <c r="F13" s="6"/>
      <c r="G13" s="6" t="s">
        <v>86</v>
      </c>
      <c r="H13" s="5"/>
      <c r="I13" s="2" t="s">
        <v>1</v>
      </c>
      <c r="J13" s="6"/>
      <c r="K13" s="2" t="s">
        <v>1</v>
      </c>
    </row>
    <row r="14" spans="1:17">
      <c r="A14" s="106" t="s">
        <v>27</v>
      </c>
      <c r="C14" s="106" t="s">
        <v>33</v>
      </c>
      <c r="E14" s="106" t="s">
        <v>36</v>
      </c>
      <c r="G14" s="106" t="s">
        <v>38</v>
      </c>
      <c r="H14" s="6"/>
      <c r="I14" s="118" t="s">
        <v>40</v>
      </c>
      <c r="J14" s="6"/>
      <c r="K14" s="118" t="s">
        <v>42</v>
      </c>
    </row>
    <row r="15" spans="1:17">
      <c r="G15" s="252">
        <v>1</v>
      </c>
      <c r="H15" s="6"/>
      <c r="I15" s="6"/>
      <c r="J15" s="6"/>
      <c r="K15" s="6"/>
    </row>
    <row r="16" spans="1:17">
      <c r="A16" s="6">
        <v>1994</v>
      </c>
      <c r="C16" s="147">
        <f>'Exhibit N,1'!K16</f>
        <v>9014361.5099999998</v>
      </c>
      <c r="D16" s="147"/>
      <c r="E16" s="147">
        <f>'Exhibit N,2'!I16</f>
        <v>9014361.5099999998</v>
      </c>
      <c r="G16" s="274">
        <f>E16/C16</f>
        <v>1</v>
      </c>
      <c r="H16" s="6"/>
      <c r="I16" s="274">
        <v>1</v>
      </c>
      <c r="J16" s="6"/>
      <c r="K16" s="274">
        <f>I16</f>
        <v>1</v>
      </c>
      <c r="N16" s="274"/>
      <c r="O16" s="146"/>
      <c r="P16" s="158"/>
      <c r="Q16" s="20"/>
    </row>
    <row r="17" spans="1:17">
      <c r="A17" s="6">
        <f>A16+1</f>
        <v>1995</v>
      </c>
      <c r="C17" s="494">
        <f>'Exhibit N,1'!K17</f>
        <v>25158701.43</v>
      </c>
      <c r="D17" s="187"/>
      <c r="E17" s="494">
        <f>'Exhibit N,2'!I17</f>
        <v>25158701.43</v>
      </c>
      <c r="G17" s="274">
        <f t="shared" ref="G17:G44" si="0">E17/C17</f>
        <v>1</v>
      </c>
      <c r="H17" s="6"/>
      <c r="I17" s="274">
        <v>1</v>
      </c>
      <c r="J17" s="6"/>
      <c r="K17" s="274">
        <f t="shared" ref="K17:K44" si="1">I17</f>
        <v>1</v>
      </c>
      <c r="O17" s="146"/>
      <c r="P17" s="158"/>
      <c r="Q17" s="20"/>
    </row>
    <row r="18" spans="1:17">
      <c r="A18" s="6">
        <f t="shared" ref="A18:A44" si="2">A17+1</f>
        <v>1996</v>
      </c>
      <c r="C18" s="494">
        <f>'Exhibit N,1'!K18</f>
        <v>16457011</v>
      </c>
      <c r="D18" s="187"/>
      <c r="E18" s="494">
        <f>'Exhibit N,2'!I18</f>
        <v>16457011</v>
      </c>
      <c r="G18" s="274">
        <f t="shared" si="0"/>
        <v>1</v>
      </c>
      <c r="H18" s="274"/>
      <c r="I18" s="274">
        <v>1</v>
      </c>
      <c r="J18" s="274"/>
      <c r="K18" s="274">
        <f t="shared" si="1"/>
        <v>1</v>
      </c>
      <c r="O18" s="146"/>
      <c r="P18" s="158"/>
      <c r="Q18" s="20"/>
    </row>
    <row r="19" spans="1:17">
      <c r="A19" s="6">
        <f t="shared" si="2"/>
        <v>1997</v>
      </c>
      <c r="C19" s="494">
        <f>'Exhibit N,1'!K19</f>
        <v>9461637.870000001</v>
      </c>
      <c r="D19" s="187"/>
      <c r="E19" s="494">
        <f>'Exhibit N,2'!I19</f>
        <v>9461637.870000001</v>
      </c>
      <c r="G19" s="274">
        <f t="shared" si="0"/>
        <v>1</v>
      </c>
      <c r="H19" s="274"/>
      <c r="I19" s="274">
        <v>1</v>
      </c>
      <c r="J19" s="274"/>
      <c r="K19" s="274">
        <f t="shared" si="1"/>
        <v>1</v>
      </c>
      <c r="O19" s="146"/>
      <c r="P19" s="158"/>
      <c r="Q19" s="20"/>
    </row>
    <row r="20" spans="1:17">
      <c r="A20" s="6">
        <f t="shared" si="2"/>
        <v>1998</v>
      </c>
      <c r="C20" s="494">
        <f>'Exhibit N,1'!K20</f>
        <v>24800000</v>
      </c>
      <c r="D20" s="187"/>
      <c r="E20" s="494">
        <f>'Exhibit N,2'!I20</f>
        <v>24800000</v>
      </c>
      <c r="G20" s="274">
        <f t="shared" si="0"/>
        <v>1</v>
      </c>
      <c r="H20" s="274"/>
      <c r="I20" s="274">
        <v>1</v>
      </c>
      <c r="J20" s="274"/>
      <c r="K20" s="274">
        <f t="shared" si="1"/>
        <v>1</v>
      </c>
      <c r="O20" s="146"/>
      <c r="P20" s="158"/>
      <c r="Q20" s="20"/>
    </row>
    <row r="21" spans="1:17">
      <c r="A21" s="6">
        <f t="shared" si="2"/>
        <v>1999</v>
      </c>
      <c r="C21" s="494">
        <f>'Exhibit N,1'!K21</f>
        <v>18284000</v>
      </c>
      <c r="D21" s="187"/>
      <c r="E21" s="494">
        <f>'Exhibit N,2'!I21</f>
        <v>18284000</v>
      </c>
      <c r="G21" s="274">
        <f t="shared" si="0"/>
        <v>1</v>
      </c>
      <c r="H21" s="274"/>
      <c r="I21" s="274">
        <v>1</v>
      </c>
      <c r="J21" s="274"/>
      <c r="K21" s="274">
        <f t="shared" si="1"/>
        <v>1</v>
      </c>
      <c r="O21" s="146"/>
      <c r="P21" s="158"/>
      <c r="Q21" s="20"/>
    </row>
    <row r="22" spans="1:17">
      <c r="A22" s="6">
        <f t="shared" si="2"/>
        <v>2000</v>
      </c>
      <c r="C22" s="494">
        <f>'Exhibit N,1'!K22</f>
        <v>16115000</v>
      </c>
      <c r="D22" s="187"/>
      <c r="E22" s="494">
        <f>'Exhibit N,2'!I22</f>
        <v>16115000</v>
      </c>
      <c r="G22" s="274">
        <f t="shared" si="0"/>
        <v>1</v>
      </c>
      <c r="H22" s="274"/>
      <c r="I22" s="274">
        <v>1</v>
      </c>
      <c r="J22" s="274"/>
      <c r="K22" s="274">
        <f t="shared" si="1"/>
        <v>1</v>
      </c>
      <c r="O22" s="146"/>
      <c r="P22" s="158"/>
      <c r="Q22" s="20"/>
    </row>
    <row r="23" spans="1:17">
      <c r="A23" s="6">
        <f t="shared" si="2"/>
        <v>2001</v>
      </c>
      <c r="C23" s="494">
        <f>'Exhibit N,1'!K23</f>
        <v>12067167</v>
      </c>
      <c r="D23" s="187"/>
      <c r="E23" s="494">
        <f>'Exhibit N,2'!I23</f>
        <v>12067167</v>
      </c>
      <c r="G23" s="274">
        <f t="shared" si="0"/>
        <v>1</v>
      </c>
      <c r="H23" s="274"/>
      <c r="I23" s="274">
        <v>1</v>
      </c>
      <c r="J23" s="274"/>
      <c r="K23" s="274">
        <f t="shared" si="1"/>
        <v>1</v>
      </c>
      <c r="O23" s="146"/>
      <c r="P23" s="158"/>
      <c r="Q23" s="20"/>
    </row>
    <row r="24" spans="1:17">
      <c r="A24" s="6">
        <f t="shared" si="2"/>
        <v>2002</v>
      </c>
      <c r="C24" s="494">
        <f>'Exhibit N,1'!K24</f>
        <v>12700000</v>
      </c>
      <c r="D24" s="187"/>
      <c r="E24" s="494">
        <f>'Exhibit N,2'!I24</f>
        <v>12700000</v>
      </c>
      <c r="G24" s="274">
        <f t="shared" si="0"/>
        <v>1</v>
      </c>
      <c r="H24" s="274"/>
      <c r="I24" s="274">
        <v>1</v>
      </c>
      <c r="J24" s="274"/>
      <c r="K24" s="274">
        <f t="shared" si="1"/>
        <v>1</v>
      </c>
      <c r="O24" s="146"/>
      <c r="P24" s="158"/>
      <c r="Q24" s="20"/>
    </row>
    <row r="25" spans="1:17">
      <c r="A25" s="6">
        <f t="shared" si="2"/>
        <v>2003</v>
      </c>
      <c r="C25" s="494">
        <f>'Exhibit N,1'!K25</f>
        <v>15540000</v>
      </c>
      <c r="D25" s="187"/>
      <c r="E25" s="494">
        <f>'Exhibit N,2'!I25</f>
        <v>15540000</v>
      </c>
      <c r="G25" s="274">
        <f t="shared" si="0"/>
        <v>1</v>
      </c>
      <c r="H25" s="274"/>
      <c r="I25" s="274">
        <v>1</v>
      </c>
      <c r="J25" s="274"/>
      <c r="K25" s="274">
        <f t="shared" si="1"/>
        <v>1</v>
      </c>
      <c r="O25" s="146"/>
      <c r="P25" s="158"/>
      <c r="Q25" s="20"/>
    </row>
    <row r="26" spans="1:17">
      <c r="A26" s="6">
        <f t="shared" si="2"/>
        <v>2004</v>
      </c>
      <c r="C26" s="494">
        <f>'Exhibit N,1'!K26</f>
        <v>5025000</v>
      </c>
      <c r="D26" s="187"/>
      <c r="E26" s="494">
        <f>'Exhibit N,2'!I26</f>
        <v>5025000</v>
      </c>
      <c r="G26" s="274">
        <f t="shared" si="0"/>
        <v>1</v>
      </c>
      <c r="H26" s="274"/>
      <c r="I26" s="274">
        <v>1</v>
      </c>
      <c r="J26" s="274"/>
      <c r="K26" s="274">
        <f t="shared" si="1"/>
        <v>1</v>
      </c>
      <c r="O26" s="146"/>
      <c r="P26" s="158"/>
      <c r="Q26" s="20"/>
    </row>
    <row r="27" spans="1:17">
      <c r="A27" s="6">
        <f t="shared" si="2"/>
        <v>2005</v>
      </c>
      <c r="C27" s="494">
        <f>'Exhibit N,1'!K27</f>
        <v>4275000</v>
      </c>
      <c r="D27" s="187"/>
      <c r="E27" s="494">
        <f>'Exhibit N,2'!I27</f>
        <v>4275000</v>
      </c>
      <c r="G27" s="274">
        <f t="shared" si="0"/>
        <v>1</v>
      </c>
      <c r="H27" s="274"/>
      <c r="I27" s="274">
        <v>1</v>
      </c>
      <c r="J27" s="274"/>
      <c r="K27" s="274">
        <f t="shared" si="1"/>
        <v>1</v>
      </c>
      <c r="O27" s="146"/>
      <c r="P27" s="158"/>
      <c r="Q27" s="20"/>
    </row>
    <row r="28" spans="1:17">
      <c r="A28" s="6">
        <f t="shared" si="2"/>
        <v>2006</v>
      </c>
      <c r="C28" s="494">
        <f>'Exhibit N,1'!K28</f>
        <v>5350000</v>
      </c>
      <c r="D28" s="187"/>
      <c r="E28" s="494">
        <f>'Exhibit N,2'!I28</f>
        <v>5350000</v>
      </c>
      <c r="G28" s="274">
        <f t="shared" si="0"/>
        <v>1</v>
      </c>
      <c r="H28" s="274"/>
      <c r="I28" s="274">
        <f>'Exhibit Q,5'!I19</f>
        <v>1</v>
      </c>
      <c r="J28" s="274"/>
      <c r="K28" s="274">
        <f t="shared" si="1"/>
        <v>1</v>
      </c>
      <c r="O28" s="146"/>
      <c r="P28" s="158"/>
      <c r="Q28" s="20"/>
    </row>
    <row r="29" spans="1:17">
      <c r="A29" s="6">
        <f t="shared" si="2"/>
        <v>2007</v>
      </c>
      <c r="C29" s="494">
        <f>'Exhibit N,1'!K29</f>
        <v>4345000</v>
      </c>
      <c r="D29" s="187"/>
      <c r="E29" s="494">
        <f>'Exhibit N,2'!I29</f>
        <v>4345000</v>
      </c>
      <c r="G29" s="274">
        <f t="shared" si="0"/>
        <v>1</v>
      </c>
      <c r="H29" s="274"/>
      <c r="I29" s="274">
        <f>'Exhibit Q,5'!I20</f>
        <v>1</v>
      </c>
      <c r="J29" s="274"/>
      <c r="K29" s="274">
        <f t="shared" si="1"/>
        <v>1</v>
      </c>
      <c r="O29" s="146"/>
      <c r="P29" s="158"/>
      <c r="Q29" s="20"/>
    </row>
    <row r="30" spans="1:17">
      <c r="A30" s="6">
        <f t="shared" si="2"/>
        <v>2008</v>
      </c>
      <c r="C30" s="494">
        <f>'Exhibit N,1'!K30</f>
        <v>5515000</v>
      </c>
      <c r="D30" s="187"/>
      <c r="E30" s="494">
        <f>'Exhibit N,2'!I30</f>
        <v>5515000</v>
      </c>
      <c r="G30" s="274">
        <f t="shared" si="0"/>
        <v>1</v>
      </c>
      <c r="H30" s="274"/>
      <c r="I30" s="274">
        <f>'Exhibit Q,5'!I21</f>
        <v>1</v>
      </c>
      <c r="J30" s="274"/>
      <c r="K30" s="274">
        <f t="shared" si="1"/>
        <v>1</v>
      </c>
      <c r="O30" s="146"/>
      <c r="P30" s="158"/>
      <c r="Q30" s="20"/>
    </row>
    <row r="31" spans="1:17">
      <c r="A31" s="6">
        <f t="shared" si="2"/>
        <v>2009</v>
      </c>
      <c r="C31" s="494">
        <f>'Exhibit N,1'!K31</f>
        <v>6335000</v>
      </c>
      <c r="D31" s="187"/>
      <c r="E31" s="494">
        <f>'Exhibit N,2'!I31</f>
        <v>6335000</v>
      </c>
      <c r="G31" s="274">
        <f t="shared" si="0"/>
        <v>1</v>
      </c>
      <c r="H31" s="274"/>
      <c r="I31" s="274">
        <f>'Exhibit Q,5'!I22</f>
        <v>1</v>
      </c>
      <c r="J31" s="274"/>
      <c r="K31" s="274">
        <f t="shared" si="1"/>
        <v>1</v>
      </c>
      <c r="O31" s="146"/>
      <c r="P31" s="158"/>
      <c r="Q31" s="20"/>
    </row>
    <row r="32" spans="1:17">
      <c r="A32" s="6">
        <f t="shared" si="2"/>
        <v>2010</v>
      </c>
      <c r="C32" s="494">
        <f>'Exhibit N,1'!K32</f>
        <v>8462500</v>
      </c>
      <c r="D32" s="187"/>
      <c r="E32" s="494">
        <f>'Exhibit N,2'!I32</f>
        <v>8462500</v>
      </c>
      <c r="G32" s="274">
        <f t="shared" si="0"/>
        <v>1</v>
      </c>
      <c r="H32" s="274"/>
      <c r="I32" s="274">
        <f>'Exhibit Q,5'!I23</f>
        <v>1</v>
      </c>
      <c r="J32" s="274"/>
      <c r="K32" s="274">
        <f t="shared" si="1"/>
        <v>1</v>
      </c>
      <c r="O32" s="146"/>
      <c r="P32" s="158"/>
      <c r="Q32" s="20"/>
    </row>
    <row r="33" spans="1:17">
      <c r="A33" s="6">
        <f t="shared" si="2"/>
        <v>2011</v>
      </c>
      <c r="C33" s="494">
        <f>'Exhibit N,1'!K33</f>
        <v>7214500</v>
      </c>
      <c r="D33" s="187"/>
      <c r="E33" s="494">
        <f>'Exhibit N,2'!I33</f>
        <v>7214500</v>
      </c>
      <c r="G33" s="274">
        <f t="shared" si="0"/>
        <v>1</v>
      </c>
      <c r="H33" s="274"/>
      <c r="I33" s="274">
        <f>'Exhibit Q,5'!I24</f>
        <v>1</v>
      </c>
      <c r="J33" s="274"/>
      <c r="K33" s="274">
        <f t="shared" si="1"/>
        <v>1</v>
      </c>
      <c r="O33" s="146"/>
      <c r="P33" s="158"/>
      <c r="Q33" s="20"/>
    </row>
    <row r="34" spans="1:17">
      <c r="A34" s="6">
        <f t="shared" si="2"/>
        <v>2012</v>
      </c>
      <c r="C34" s="494">
        <f>'Exhibit N,1'!K34</f>
        <v>9894999.6699999999</v>
      </c>
      <c r="D34" s="187"/>
      <c r="E34" s="494">
        <f>'Exhibit N,2'!I34</f>
        <v>9894999.6699999999</v>
      </c>
      <c r="G34" s="274">
        <f t="shared" si="0"/>
        <v>1</v>
      </c>
      <c r="H34" s="274"/>
      <c r="I34" s="274">
        <f>'Exhibit Q,5'!I25</f>
        <v>1</v>
      </c>
      <c r="J34" s="274"/>
      <c r="K34" s="274">
        <f t="shared" si="1"/>
        <v>1</v>
      </c>
      <c r="O34" s="146"/>
      <c r="P34" s="158"/>
      <c r="Q34" s="20"/>
    </row>
    <row r="35" spans="1:17">
      <c r="A35" s="6">
        <f t="shared" si="2"/>
        <v>2013</v>
      </c>
      <c r="C35" s="494">
        <f>'Exhibit N,1'!K35</f>
        <v>9340000</v>
      </c>
      <c r="D35" s="187"/>
      <c r="E35" s="494">
        <f>'Exhibit N,2'!I35</f>
        <v>9340000</v>
      </c>
      <c r="G35" s="274">
        <f t="shared" si="0"/>
        <v>1</v>
      </c>
      <c r="H35" s="274"/>
      <c r="I35" s="274">
        <f>'Exhibit Q,5'!I26</f>
        <v>1</v>
      </c>
      <c r="J35" s="274"/>
      <c r="K35" s="274">
        <f t="shared" si="1"/>
        <v>1</v>
      </c>
      <c r="O35" s="146"/>
      <c r="P35" s="158"/>
      <c r="Q35" s="20"/>
    </row>
    <row r="36" spans="1:17">
      <c r="A36" s="6">
        <f t="shared" si="2"/>
        <v>2014</v>
      </c>
      <c r="C36" s="494">
        <f>'Exhibit N,1'!K36</f>
        <v>3935000</v>
      </c>
      <c r="D36" s="187"/>
      <c r="E36" s="494">
        <f>'Exhibit N,2'!I36</f>
        <v>3935000</v>
      </c>
      <c r="G36" s="274">
        <f t="shared" si="0"/>
        <v>1</v>
      </c>
      <c r="H36" s="274"/>
      <c r="I36" s="274">
        <f>'Exhibit Q,5'!I27</f>
        <v>1</v>
      </c>
      <c r="J36" s="274"/>
      <c r="K36" s="274">
        <f t="shared" si="1"/>
        <v>1</v>
      </c>
      <c r="O36" s="146"/>
      <c r="P36" s="158"/>
      <c r="Q36" s="20"/>
    </row>
    <row r="37" spans="1:17">
      <c r="A37" s="6">
        <f t="shared" si="2"/>
        <v>2015</v>
      </c>
      <c r="C37" s="494">
        <f>'Exhibit N,1'!K37</f>
        <v>7425000</v>
      </c>
      <c r="D37" s="187"/>
      <c r="E37" s="494">
        <f>'Exhibit N,2'!I37</f>
        <v>7425000</v>
      </c>
      <c r="G37" s="274">
        <f t="shared" si="0"/>
        <v>1</v>
      </c>
      <c r="H37" s="274"/>
      <c r="I37" s="274">
        <f>'Exhibit Q,5'!I28</f>
        <v>1</v>
      </c>
      <c r="J37" s="274"/>
      <c r="K37" s="274">
        <f t="shared" si="1"/>
        <v>1</v>
      </c>
      <c r="O37" s="146"/>
      <c r="P37" s="158"/>
      <c r="Q37" s="20"/>
    </row>
    <row r="38" spans="1:17">
      <c r="A38" s="6">
        <f t="shared" si="2"/>
        <v>2016</v>
      </c>
      <c r="C38" s="494">
        <f>'Exhibit N,1'!K38</f>
        <v>3932768.2357586091</v>
      </c>
      <c r="D38" s="187"/>
      <c r="E38" s="494">
        <f>'Exhibit N,2'!I38</f>
        <v>3900000</v>
      </c>
      <c r="G38" s="274">
        <f t="shared" si="0"/>
        <v>0.99166789553966983</v>
      </c>
      <c r="H38" s="274"/>
      <c r="I38" s="274">
        <f>'Exhibit Q,5'!I29</f>
        <v>0.99332524271844658</v>
      </c>
      <c r="J38" s="274"/>
      <c r="K38" s="274">
        <f t="shared" si="1"/>
        <v>0.99332524271844658</v>
      </c>
      <c r="O38" s="146"/>
      <c r="P38" s="158"/>
      <c r="Q38" s="20"/>
    </row>
    <row r="39" spans="1:17">
      <c r="A39" s="6">
        <f t="shared" si="2"/>
        <v>2017</v>
      </c>
      <c r="C39" s="494">
        <f>'Exhibit N,1'!K39</f>
        <v>1370223.5228028973</v>
      </c>
      <c r="D39" s="187"/>
      <c r="E39" s="494">
        <f>'Exhibit N,2'!I39</f>
        <v>925000</v>
      </c>
      <c r="G39" s="274">
        <f t="shared" si="0"/>
        <v>0.67507234010100892</v>
      </c>
      <c r="H39" s="274"/>
      <c r="I39" s="274">
        <f>'Exhibit Q,5'!I30</f>
        <v>0.92134988797610151</v>
      </c>
      <c r="J39" s="274"/>
      <c r="K39" s="274">
        <f t="shared" si="1"/>
        <v>0.92134988797610151</v>
      </c>
      <c r="O39" s="146"/>
      <c r="P39" s="158"/>
      <c r="Q39" s="20"/>
    </row>
    <row r="40" spans="1:17">
      <c r="A40" s="6">
        <f t="shared" si="2"/>
        <v>2018</v>
      </c>
      <c r="C40" s="494">
        <f>'Exhibit N,1'!K40</f>
        <v>6796528.9060723232</v>
      </c>
      <c r="D40" s="187"/>
      <c r="E40" s="494">
        <f>'Exhibit N,2'!I40</f>
        <v>4810000</v>
      </c>
      <c r="G40" s="274">
        <f t="shared" si="0"/>
        <v>0.7077141974195873</v>
      </c>
      <c r="H40" s="274"/>
      <c r="I40" s="274">
        <f>'Exhibit Q,5'!I31</f>
        <v>0.7077141974195873</v>
      </c>
      <c r="J40" s="274"/>
      <c r="K40" s="274">
        <f t="shared" si="1"/>
        <v>0.7077141974195873</v>
      </c>
      <c r="O40" s="146"/>
      <c r="P40" s="158"/>
      <c r="Q40" s="20"/>
    </row>
    <row r="41" spans="1:17">
      <c r="A41" s="6">
        <f t="shared" si="2"/>
        <v>2019</v>
      </c>
      <c r="C41" s="494">
        <f>'Exhibit N,1'!K41</f>
        <v>3291977.5179969817</v>
      </c>
      <c r="D41" s="187"/>
      <c r="E41" s="494">
        <f>'Exhibit N,2'!I41</f>
        <v>1405000</v>
      </c>
      <c r="G41" s="274">
        <f t="shared" si="0"/>
        <v>0.42679513827751731</v>
      </c>
      <c r="H41" s="274"/>
      <c r="I41" s="274">
        <f>'Exhibit Q,5'!I32</f>
        <v>0.51414266727726488</v>
      </c>
      <c r="J41" s="274"/>
      <c r="K41" s="274">
        <f t="shared" si="1"/>
        <v>0.51414266727726488</v>
      </c>
      <c r="O41" s="146"/>
      <c r="P41" s="158"/>
      <c r="Q41" s="20"/>
    </row>
    <row r="42" spans="1:17">
      <c r="A42" s="6">
        <f t="shared" si="2"/>
        <v>2020</v>
      </c>
      <c r="C42" s="494">
        <f>'Exhibit N,1'!K42</f>
        <v>3952279.7181433691</v>
      </c>
      <c r="D42" s="187"/>
      <c r="E42" s="494">
        <f>'Exhibit N,2'!I42</f>
        <v>1825000</v>
      </c>
      <c r="G42" s="274">
        <f t="shared" si="0"/>
        <v>0.46175881520281559</v>
      </c>
      <c r="H42" s="274"/>
      <c r="I42" s="274">
        <f>'Exhibit Q,5'!I33</f>
        <v>0.39048810172956838</v>
      </c>
      <c r="J42" s="274"/>
      <c r="K42" s="274">
        <f t="shared" si="1"/>
        <v>0.39048810172956838</v>
      </c>
      <c r="O42" s="146"/>
      <c r="P42" s="158"/>
      <c r="Q42" s="20"/>
    </row>
    <row r="43" spans="1:17">
      <c r="A43" s="6">
        <f t="shared" si="2"/>
        <v>2021</v>
      </c>
      <c r="C43" s="494">
        <f>'Exhibit N,1'!K43</f>
        <v>3479294.0470653204</v>
      </c>
      <c r="D43" s="187"/>
      <c r="E43" s="494">
        <f>'Exhibit N,2'!I43</f>
        <v>0</v>
      </c>
      <c r="G43" s="274">
        <f t="shared" si="0"/>
        <v>0</v>
      </c>
      <c r="H43" s="274"/>
      <c r="I43" s="274">
        <f>'Exhibit Q,5'!I34</f>
        <v>0.15899443855368806</v>
      </c>
      <c r="J43" s="274"/>
      <c r="K43" s="274">
        <f t="shared" si="1"/>
        <v>0.15899443855368806</v>
      </c>
      <c r="O43" s="146"/>
      <c r="P43" s="158"/>
      <c r="Q43" s="20"/>
    </row>
    <row r="44" spans="1:17">
      <c r="A44" s="6">
        <f t="shared" si="2"/>
        <v>2022</v>
      </c>
      <c r="C44" s="494">
        <f>'Exhibit N,1'!K44</f>
        <v>3977294.4919970254</v>
      </c>
      <c r="D44" s="187"/>
      <c r="E44" s="494">
        <f>'Exhibit N,2'!I44</f>
        <v>0</v>
      </c>
      <c r="G44" s="274">
        <f t="shared" si="0"/>
        <v>0</v>
      </c>
      <c r="H44" s="274"/>
      <c r="I44" s="274">
        <f>'Exhibit Q,5'!I35</f>
        <v>1.4657617894834241E-2</v>
      </c>
      <c r="J44" s="274"/>
      <c r="K44" s="274">
        <f t="shared" si="1"/>
        <v>1.4657617894834241E-2</v>
      </c>
      <c r="O44" s="146"/>
      <c r="P44" s="158"/>
      <c r="Q44" s="20"/>
    </row>
    <row r="45" spans="1:17">
      <c r="C45" s="105"/>
      <c r="E45" s="105"/>
      <c r="O45" s="20"/>
      <c r="P45" s="20"/>
      <c r="Q45" s="20"/>
    </row>
    <row r="46" spans="1:17">
      <c r="A46" s="6" t="s">
        <v>0</v>
      </c>
      <c r="C46" s="26">
        <f>SUM(C16:C45)</f>
        <v>263515244.91983652</v>
      </c>
      <c r="E46" s="26">
        <f>SUM(E16:E45)</f>
        <v>249579878.47999999</v>
      </c>
      <c r="O46" s="20"/>
      <c r="P46" s="20"/>
      <c r="Q46" s="20"/>
    </row>
    <row r="50" spans="1:3">
      <c r="A50" s="64" t="s">
        <v>104</v>
      </c>
      <c r="C50" s="3" t="s">
        <v>149</v>
      </c>
    </row>
    <row r="51" spans="1:3">
      <c r="A51" s="64" t="s">
        <v>36</v>
      </c>
      <c r="C51" s="3" t="s">
        <v>676</v>
      </c>
    </row>
    <row r="52" spans="1:3">
      <c r="A52" s="64" t="s">
        <v>38</v>
      </c>
      <c r="C52" s="3" t="s">
        <v>218</v>
      </c>
    </row>
    <row r="53" spans="1:3">
      <c r="A53" s="64" t="s">
        <v>40</v>
      </c>
      <c r="C53" s="3" t="s">
        <v>930</v>
      </c>
    </row>
  </sheetData>
  <printOptions horizontalCentered="1"/>
  <pageMargins left="0.7" right="0.7" top="0.75" bottom="0.75" header="0.3" footer="0.3"/>
  <pageSetup scale="82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4">
    <pageSetUpPr fitToPage="1"/>
  </sheetPr>
  <dimension ref="A1:L53"/>
  <sheetViews>
    <sheetView topLeftCell="A9" zoomScaleNormal="100" workbookViewId="0">
      <selection activeCell="C16" sqref="C16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2.7109375" style="1" customWidth="1"/>
    <col min="12" max="16384" width="8.7109375" style="1"/>
  </cols>
  <sheetData>
    <row r="1" spans="1:12">
      <c r="K1" s="52" t="s">
        <v>88</v>
      </c>
    </row>
    <row r="2" spans="1:12">
      <c r="K2" s="52" t="s">
        <v>92</v>
      </c>
    </row>
    <row r="4" spans="1:12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140"/>
    </row>
    <row r="5" spans="1:12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</row>
    <row r="6" spans="1:12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  <c r="L6" s="140"/>
    </row>
    <row r="7" spans="1:12">
      <c r="A7" s="5" t="s">
        <v>226</v>
      </c>
      <c r="B7" s="5"/>
      <c r="C7" s="5"/>
      <c r="D7" s="5"/>
      <c r="E7" s="5"/>
      <c r="F7" s="5"/>
      <c r="G7" s="5"/>
      <c r="H7" s="5"/>
      <c r="I7" s="5"/>
      <c r="J7" s="5"/>
      <c r="K7" s="5"/>
      <c r="L7" s="140"/>
    </row>
    <row r="8" spans="1:12">
      <c r="A8" s="5" t="s">
        <v>90</v>
      </c>
      <c r="B8" s="5"/>
      <c r="C8" s="5"/>
      <c r="D8" s="5"/>
      <c r="E8" s="5"/>
      <c r="F8" s="5"/>
      <c r="G8" s="5"/>
      <c r="H8" s="5"/>
      <c r="I8" s="5"/>
      <c r="J8" s="5"/>
      <c r="K8" s="5"/>
      <c r="L8" s="140"/>
    </row>
    <row r="9" spans="1:12">
      <c r="A9" s="5"/>
      <c r="B9" s="5"/>
      <c r="C9" s="5"/>
      <c r="D9" s="5"/>
      <c r="E9" s="5"/>
      <c r="F9" s="5"/>
      <c r="G9" s="5"/>
      <c r="H9" s="5"/>
      <c r="I9" s="5"/>
      <c r="K9" s="5"/>
    </row>
    <row r="11" spans="1:12">
      <c r="A11" s="6"/>
      <c r="B11" s="6"/>
      <c r="C11" s="6" t="s">
        <v>79</v>
      </c>
      <c r="D11" s="6"/>
      <c r="E11" s="6" t="s">
        <v>14</v>
      </c>
      <c r="F11" s="6"/>
      <c r="G11" s="7" t="s">
        <v>175</v>
      </c>
      <c r="H11" s="8"/>
      <c r="I11" s="8"/>
      <c r="J11" s="8"/>
      <c r="K11" s="8"/>
    </row>
    <row r="12" spans="1:12">
      <c r="A12" s="2" t="s">
        <v>6</v>
      </c>
      <c r="B12" s="6"/>
      <c r="C12" s="6" t="s">
        <v>15</v>
      </c>
      <c r="D12" s="6"/>
      <c r="E12" s="6" t="s">
        <v>15</v>
      </c>
      <c r="F12" s="6"/>
      <c r="G12" s="6"/>
      <c r="H12" s="5"/>
      <c r="I12" s="2" t="s">
        <v>15</v>
      </c>
      <c r="J12" s="6"/>
      <c r="K12" s="2" t="s">
        <v>13</v>
      </c>
    </row>
    <row r="13" spans="1:12">
      <c r="A13" s="6" t="s">
        <v>4</v>
      </c>
      <c r="B13" s="6"/>
      <c r="C13" s="6" t="s">
        <v>55</v>
      </c>
      <c r="D13" s="6"/>
      <c r="E13" s="6" t="s">
        <v>55</v>
      </c>
      <c r="F13" s="6"/>
      <c r="G13" s="6" t="s">
        <v>86</v>
      </c>
      <c r="H13" s="5"/>
      <c r="I13" s="2" t="s">
        <v>1</v>
      </c>
      <c r="J13" s="6"/>
      <c r="K13" s="2" t="s">
        <v>1</v>
      </c>
    </row>
    <row r="14" spans="1:12">
      <c r="A14" s="106" t="s">
        <v>27</v>
      </c>
      <c r="C14" s="106" t="s">
        <v>33</v>
      </c>
      <c r="E14" s="106" t="s">
        <v>36</v>
      </c>
      <c r="G14" s="106" t="s">
        <v>38</v>
      </c>
      <c r="H14" s="5"/>
      <c r="I14" s="118" t="s">
        <v>40</v>
      </c>
      <c r="J14" s="6"/>
      <c r="K14" s="118" t="s">
        <v>42</v>
      </c>
    </row>
    <row r="15" spans="1:12">
      <c r="G15" s="252">
        <v>1</v>
      </c>
      <c r="H15" s="5"/>
      <c r="I15" s="252"/>
    </row>
    <row r="16" spans="1:12">
      <c r="A16" s="6">
        <v>1994</v>
      </c>
      <c r="C16" s="147">
        <f>'Exhibit N,1'!K16</f>
        <v>9014361.5099999998</v>
      </c>
      <c r="D16" s="147"/>
      <c r="E16" s="147">
        <f>'Exhibit N,3'!I16</f>
        <v>9014361.5099999998</v>
      </c>
      <c r="G16" s="274">
        <f>E16/C16</f>
        <v>1</v>
      </c>
      <c r="H16" s="5"/>
      <c r="I16" s="274">
        <v>1</v>
      </c>
      <c r="K16" s="274">
        <f>I16</f>
        <v>1</v>
      </c>
    </row>
    <row r="17" spans="1:11">
      <c r="A17" s="6">
        <f>A16+1</f>
        <v>1995</v>
      </c>
      <c r="C17" s="494">
        <f>'Exhibit N,1'!K17</f>
        <v>25158701.43</v>
      </c>
      <c r="D17" s="187"/>
      <c r="E17" s="494">
        <f>'Exhibit N,3'!I17</f>
        <v>25158701.43</v>
      </c>
      <c r="G17" s="274">
        <f t="shared" ref="G17:G44" si="0">E17/C17</f>
        <v>1</v>
      </c>
      <c r="H17" s="5"/>
      <c r="I17" s="274">
        <v>1</v>
      </c>
      <c r="K17" s="274">
        <f t="shared" ref="K17:K44" si="1">I17</f>
        <v>1</v>
      </c>
    </row>
    <row r="18" spans="1:11">
      <c r="A18" s="6">
        <f t="shared" ref="A18:A44" si="2">A17+1</f>
        <v>1996</v>
      </c>
      <c r="C18" s="494">
        <f>'Exhibit N,1'!K18</f>
        <v>16457011</v>
      </c>
      <c r="D18" s="187"/>
      <c r="E18" s="494">
        <f>'Exhibit N,3'!I18</f>
        <v>16457011</v>
      </c>
      <c r="G18" s="274">
        <f t="shared" si="0"/>
        <v>1</v>
      </c>
      <c r="H18" s="5"/>
      <c r="I18" s="274">
        <v>1</v>
      </c>
      <c r="K18" s="274">
        <f t="shared" si="1"/>
        <v>1</v>
      </c>
    </row>
    <row r="19" spans="1:11">
      <c r="A19" s="6">
        <f t="shared" si="2"/>
        <v>1997</v>
      </c>
      <c r="C19" s="494">
        <f>'Exhibit N,1'!K19</f>
        <v>9461637.870000001</v>
      </c>
      <c r="D19" s="187"/>
      <c r="E19" s="494">
        <f>'Exhibit N,3'!I19</f>
        <v>9461637.870000001</v>
      </c>
      <c r="G19" s="274">
        <f t="shared" si="0"/>
        <v>1</v>
      </c>
      <c r="H19" s="274"/>
      <c r="I19" s="274">
        <v>1</v>
      </c>
      <c r="K19" s="274">
        <f t="shared" si="1"/>
        <v>1</v>
      </c>
    </row>
    <row r="20" spans="1:11">
      <c r="A20" s="6">
        <f t="shared" si="2"/>
        <v>1998</v>
      </c>
      <c r="C20" s="494">
        <f>'Exhibit N,1'!K20</f>
        <v>24800000</v>
      </c>
      <c r="D20" s="187"/>
      <c r="E20" s="494">
        <f>'Exhibit N,3'!I20</f>
        <v>24800000</v>
      </c>
      <c r="G20" s="274">
        <f t="shared" si="0"/>
        <v>1</v>
      </c>
      <c r="H20" s="274"/>
      <c r="I20" s="274">
        <v>1</v>
      </c>
      <c r="K20" s="274">
        <f t="shared" si="1"/>
        <v>1</v>
      </c>
    </row>
    <row r="21" spans="1:11">
      <c r="A21" s="6">
        <f t="shared" si="2"/>
        <v>1999</v>
      </c>
      <c r="C21" s="494">
        <f>'Exhibit N,1'!K21</f>
        <v>18284000</v>
      </c>
      <c r="D21" s="187"/>
      <c r="E21" s="494">
        <f>'Exhibit N,3'!I21</f>
        <v>18284000</v>
      </c>
      <c r="G21" s="274">
        <f t="shared" si="0"/>
        <v>1</v>
      </c>
      <c r="H21" s="274"/>
      <c r="I21" s="274">
        <v>1</v>
      </c>
      <c r="K21" s="274">
        <f t="shared" si="1"/>
        <v>1</v>
      </c>
    </row>
    <row r="22" spans="1:11">
      <c r="A22" s="6">
        <f t="shared" si="2"/>
        <v>2000</v>
      </c>
      <c r="C22" s="494">
        <f>'Exhibit N,1'!K22</f>
        <v>16115000</v>
      </c>
      <c r="D22" s="187"/>
      <c r="E22" s="494">
        <f>'Exhibit N,3'!I22</f>
        <v>16115000</v>
      </c>
      <c r="G22" s="274">
        <f t="shared" si="0"/>
        <v>1</v>
      </c>
      <c r="H22" s="274"/>
      <c r="I22" s="274">
        <v>1</v>
      </c>
      <c r="K22" s="274">
        <f t="shared" si="1"/>
        <v>1</v>
      </c>
    </row>
    <row r="23" spans="1:11">
      <c r="A23" s="6">
        <f t="shared" si="2"/>
        <v>2001</v>
      </c>
      <c r="C23" s="494">
        <f>'Exhibit N,1'!K23</f>
        <v>12067167</v>
      </c>
      <c r="D23" s="187"/>
      <c r="E23" s="494">
        <f>'Exhibit N,3'!I23</f>
        <v>12067167</v>
      </c>
      <c r="G23" s="274">
        <f t="shared" si="0"/>
        <v>1</v>
      </c>
      <c r="H23" s="274"/>
      <c r="I23" s="274">
        <v>1</v>
      </c>
      <c r="K23" s="274">
        <f t="shared" si="1"/>
        <v>1</v>
      </c>
    </row>
    <row r="24" spans="1:11">
      <c r="A24" s="6">
        <f t="shared" si="2"/>
        <v>2002</v>
      </c>
      <c r="C24" s="494">
        <f>'Exhibit N,1'!K24</f>
        <v>12700000</v>
      </c>
      <c r="D24" s="187"/>
      <c r="E24" s="494">
        <f>'Exhibit N,3'!I24</f>
        <v>12700000</v>
      </c>
      <c r="G24" s="274">
        <f t="shared" si="0"/>
        <v>1</v>
      </c>
      <c r="H24" s="274"/>
      <c r="I24" s="274">
        <v>1</v>
      </c>
      <c r="K24" s="274">
        <f t="shared" si="1"/>
        <v>1</v>
      </c>
    </row>
    <row r="25" spans="1:11">
      <c r="A25" s="6">
        <f t="shared" si="2"/>
        <v>2003</v>
      </c>
      <c r="C25" s="494">
        <f>'Exhibit N,1'!K25</f>
        <v>15540000</v>
      </c>
      <c r="D25" s="187"/>
      <c r="E25" s="494">
        <f>'Exhibit N,3'!I25</f>
        <v>15540000</v>
      </c>
      <c r="G25" s="274">
        <f t="shared" si="0"/>
        <v>1</v>
      </c>
      <c r="H25" s="274"/>
      <c r="I25" s="274">
        <f>'Exhibit Q,7'!I16</f>
        <v>1</v>
      </c>
      <c r="K25" s="274">
        <f t="shared" si="1"/>
        <v>1</v>
      </c>
    </row>
    <row r="26" spans="1:11">
      <c r="A26" s="6">
        <f t="shared" si="2"/>
        <v>2004</v>
      </c>
      <c r="C26" s="494">
        <f>'Exhibit N,1'!K26</f>
        <v>5025000</v>
      </c>
      <c r="D26" s="187"/>
      <c r="E26" s="494">
        <f>'Exhibit N,3'!I26</f>
        <v>5025000</v>
      </c>
      <c r="G26" s="274">
        <f t="shared" si="0"/>
        <v>1</v>
      </c>
      <c r="H26" s="274"/>
      <c r="I26" s="274">
        <f>'Exhibit Q,7'!I17</f>
        <v>1</v>
      </c>
      <c r="K26" s="274">
        <f t="shared" si="1"/>
        <v>1</v>
      </c>
    </row>
    <row r="27" spans="1:11">
      <c r="A27" s="6">
        <f t="shared" si="2"/>
        <v>2005</v>
      </c>
      <c r="C27" s="494">
        <f>'Exhibit N,1'!K27</f>
        <v>4275000</v>
      </c>
      <c r="D27" s="187"/>
      <c r="E27" s="494">
        <f>'Exhibit N,3'!I27</f>
        <v>4275000</v>
      </c>
      <c r="G27" s="274">
        <f t="shared" si="0"/>
        <v>1</v>
      </c>
      <c r="H27" s="274"/>
      <c r="I27" s="274">
        <f>'Exhibit Q,7'!I18</f>
        <v>1</v>
      </c>
      <c r="K27" s="274">
        <f t="shared" si="1"/>
        <v>1</v>
      </c>
    </row>
    <row r="28" spans="1:11">
      <c r="A28" s="6">
        <f t="shared" si="2"/>
        <v>2006</v>
      </c>
      <c r="C28" s="494">
        <f>'Exhibit N,1'!K28</f>
        <v>5350000</v>
      </c>
      <c r="D28" s="187"/>
      <c r="E28" s="494">
        <f>'Exhibit N,3'!I28</f>
        <v>5350000</v>
      </c>
      <c r="G28" s="274">
        <f t="shared" si="0"/>
        <v>1</v>
      </c>
      <c r="H28" s="274"/>
      <c r="I28" s="274">
        <f>'Exhibit Q,7'!I19</f>
        <v>1</v>
      </c>
      <c r="K28" s="274">
        <f t="shared" si="1"/>
        <v>1</v>
      </c>
    </row>
    <row r="29" spans="1:11">
      <c r="A29" s="6">
        <f t="shared" si="2"/>
        <v>2007</v>
      </c>
      <c r="C29" s="494">
        <f>'Exhibit N,1'!K29</f>
        <v>4345000</v>
      </c>
      <c r="D29" s="187"/>
      <c r="E29" s="494">
        <f>'Exhibit N,3'!I29</f>
        <v>4345000</v>
      </c>
      <c r="G29" s="274">
        <f t="shared" si="0"/>
        <v>1</v>
      </c>
      <c r="H29" s="274"/>
      <c r="I29" s="274">
        <f>'Exhibit Q,7'!I20</f>
        <v>1</v>
      </c>
      <c r="K29" s="274">
        <f t="shared" si="1"/>
        <v>1</v>
      </c>
    </row>
    <row r="30" spans="1:11">
      <c r="A30" s="6">
        <f t="shared" si="2"/>
        <v>2008</v>
      </c>
      <c r="C30" s="494">
        <f>'Exhibit N,1'!K30</f>
        <v>5515000</v>
      </c>
      <c r="D30" s="187"/>
      <c r="E30" s="494">
        <f>'Exhibit N,3'!I30</f>
        <v>5515000</v>
      </c>
      <c r="G30" s="274">
        <f t="shared" si="0"/>
        <v>1</v>
      </c>
      <c r="H30" s="274"/>
      <c r="I30" s="274">
        <f>'Exhibit Q,7'!I21</f>
        <v>1</v>
      </c>
      <c r="K30" s="274">
        <f t="shared" si="1"/>
        <v>1</v>
      </c>
    </row>
    <row r="31" spans="1:11">
      <c r="A31" s="6">
        <f t="shared" si="2"/>
        <v>2009</v>
      </c>
      <c r="C31" s="494">
        <f>'Exhibit N,1'!K31</f>
        <v>6335000</v>
      </c>
      <c r="D31" s="187"/>
      <c r="E31" s="494">
        <f>'Exhibit N,3'!I31</f>
        <v>6335000</v>
      </c>
      <c r="G31" s="274">
        <f t="shared" si="0"/>
        <v>1</v>
      </c>
      <c r="H31" s="274"/>
      <c r="I31" s="274">
        <f>'Exhibit Q,7'!I22</f>
        <v>1</v>
      </c>
      <c r="K31" s="274">
        <f t="shared" si="1"/>
        <v>1</v>
      </c>
    </row>
    <row r="32" spans="1:11">
      <c r="A32" s="6">
        <f t="shared" si="2"/>
        <v>2010</v>
      </c>
      <c r="C32" s="494">
        <f>'Exhibit N,1'!K32</f>
        <v>8462500</v>
      </c>
      <c r="D32" s="187"/>
      <c r="E32" s="494">
        <f>'Exhibit N,3'!I32</f>
        <v>8462500</v>
      </c>
      <c r="G32" s="274">
        <f t="shared" si="0"/>
        <v>1</v>
      </c>
      <c r="H32" s="274"/>
      <c r="I32" s="274">
        <f>'Exhibit Q,7'!I23</f>
        <v>1</v>
      </c>
      <c r="K32" s="274">
        <f t="shared" si="1"/>
        <v>1</v>
      </c>
    </row>
    <row r="33" spans="1:11">
      <c r="A33" s="6">
        <f t="shared" si="2"/>
        <v>2011</v>
      </c>
      <c r="C33" s="494">
        <f>'Exhibit N,1'!K33</f>
        <v>7214500</v>
      </c>
      <c r="D33" s="187"/>
      <c r="E33" s="494">
        <f>'Exhibit N,3'!I33</f>
        <v>7214500</v>
      </c>
      <c r="G33" s="274">
        <f t="shared" si="0"/>
        <v>1</v>
      </c>
      <c r="H33" s="274"/>
      <c r="I33" s="274">
        <f>'Exhibit Q,7'!I24</f>
        <v>1</v>
      </c>
      <c r="K33" s="274">
        <f t="shared" si="1"/>
        <v>1</v>
      </c>
    </row>
    <row r="34" spans="1:11">
      <c r="A34" s="6">
        <f t="shared" si="2"/>
        <v>2012</v>
      </c>
      <c r="C34" s="494">
        <f>'Exhibit N,1'!K34</f>
        <v>9894999.6699999999</v>
      </c>
      <c r="D34" s="187"/>
      <c r="E34" s="494">
        <f>'Exhibit N,3'!I34</f>
        <v>9894999.6699999999</v>
      </c>
      <c r="G34" s="274">
        <f t="shared" si="0"/>
        <v>1</v>
      </c>
      <c r="H34" s="274"/>
      <c r="I34" s="274">
        <f>'Exhibit Q,7'!I25</f>
        <v>1</v>
      </c>
      <c r="K34" s="274">
        <f t="shared" si="1"/>
        <v>1</v>
      </c>
    </row>
    <row r="35" spans="1:11">
      <c r="A35" s="6">
        <f t="shared" si="2"/>
        <v>2013</v>
      </c>
      <c r="C35" s="494">
        <f>'Exhibit N,1'!K35</f>
        <v>9340000</v>
      </c>
      <c r="D35" s="187"/>
      <c r="E35" s="494">
        <f>'Exhibit N,3'!I35</f>
        <v>9340000</v>
      </c>
      <c r="G35" s="274">
        <f t="shared" si="0"/>
        <v>1</v>
      </c>
      <c r="H35" s="274"/>
      <c r="I35" s="274">
        <f>'Exhibit Q,7'!I26</f>
        <v>1</v>
      </c>
      <c r="K35" s="274">
        <f t="shared" si="1"/>
        <v>1</v>
      </c>
    </row>
    <row r="36" spans="1:11">
      <c r="A36" s="6">
        <f t="shared" si="2"/>
        <v>2014</v>
      </c>
      <c r="C36" s="494">
        <f>'Exhibit N,1'!K36</f>
        <v>3935000</v>
      </c>
      <c r="D36" s="187"/>
      <c r="E36" s="494">
        <f>'Exhibit N,3'!I36</f>
        <v>2935000</v>
      </c>
      <c r="G36" s="274">
        <f t="shared" si="0"/>
        <v>0.74587039390088949</v>
      </c>
      <c r="H36" s="274"/>
      <c r="I36" s="274">
        <f>'Exhibit Q,7'!I27</f>
        <v>1</v>
      </c>
      <c r="K36" s="274">
        <f t="shared" si="1"/>
        <v>1</v>
      </c>
    </row>
    <row r="37" spans="1:11">
      <c r="A37" s="6">
        <f t="shared" si="2"/>
        <v>2015</v>
      </c>
      <c r="C37" s="494">
        <f>'Exhibit N,1'!K37</f>
        <v>7425000</v>
      </c>
      <c r="D37" s="187"/>
      <c r="E37" s="494">
        <f>'Exhibit N,3'!I37</f>
        <v>6425000</v>
      </c>
      <c r="G37" s="274">
        <f t="shared" si="0"/>
        <v>0.86531986531986527</v>
      </c>
      <c r="H37" s="274"/>
      <c r="I37" s="274">
        <f>'Exhibit Q,7'!I28</f>
        <v>0.98908730158730163</v>
      </c>
      <c r="K37" s="274">
        <f t="shared" si="1"/>
        <v>0.98908730158730163</v>
      </c>
    </row>
    <row r="38" spans="1:11">
      <c r="A38" s="6">
        <f t="shared" si="2"/>
        <v>2016</v>
      </c>
      <c r="C38" s="494">
        <f>'Exhibit N,1'!K38</f>
        <v>3932768.2357586091</v>
      </c>
      <c r="D38" s="187"/>
      <c r="E38" s="494">
        <f>'Exhibit N,3'!I38</f>
        <v>2900000</v>
      </c>
      <c r="G38" s="274">
        <f t="shared" si="0"/>
        <v>0.73739407617052377</v>
      </c>
      <c r="H38" s="274"/>
      <c r="I38" s="274">
        <f>'Exhibit Q,7'!I29</f>
        <v>0.92688923395445122</v>
      </c>
      <c r="K38" s="274">
        <f t="shared" si="1"/>
        <v>0.92688923395445122</v>
      </c>
    </row>
    <row r="39" spans="1:11">
      <c r="A39" s="6">
        <f t="shared" si="2"/>
        <v>2017</v>
      </c>
      <c r="C39" s="494">
        <f>'Exhibit N,1'!K39</f>
        <v>1370223.5228028973</v>
      </c>
      <c r="D39" s="187"/>
      <c r="E39" s="494">
        <f>'Exhibit N,3'!I39</f>
        <v>675000</v>
      </c>
      <c r="G39" s="274">
        <f t="shared" si="0"/>
        <v>0.4926203562899254</v>
      </c>
      <c r="H39" s="274"/>
      <c r="I39" s="274">
        <f>'Exhibit Q,7'!I30</f>
        <v>0.78169673666568074</v>
      </c>
      <c r="K39" s="274">
        <f t="shared" si="1"/>
        <v>0.78169673666568074</v>
      </c>
    </row>
    <row r="40" spans="1:11">
      <c r="A40" s="6">
        <f t="shared" si="2"/>
        <v>2018</v>
      </c>
      <c r="C40" s="494">
        <f>'Exhibit N,1'!K40</f>
        <v>6796528.9060723232</v>
      </c>
      <c r="D40" s="187"/>
      <c r="E40" s="494">
        <f>'Exhibit N,3'!I40</f>
        <v>1810000</v>
      </c>
      <c r="G40" s="274">
        <f t="shared" si="0"/>
        <v>0.26631241108720438</v>
      </c>
      <c r="H40" s="274"/>
      <c r="I40" s="274">
        <f>'Exhibit Q,7'!I31</f>
        <v>0.56114233132866675</v>
      </c>
      <c r="K40" s="274">
        <f t="shared" si="1"/>
        <v>0.56114233132866675</v>
      </c>
    </row>
    <row r="41" spans="1:11">
      <c r="A41" s="6">
        <f t="shared" si="2"/>
        <v>2019</v>
      </c>
      <c r="C41" s="494">
        <f>'Exhibit N,1'!K41</f>
        <v>3291977.5179969817</v>
      </c>
      <c r="D41" s="187"/>
      <c r="E41" s="494">
        <f>'Exhibit N,3'!I41</f>
        <v>405000</v>
      </c>
      <c r="G41" s="274">
        <f t="shared" si="0"/>
        <v>0.12302635658533417</v>
      </c>
      <c r="H41" s="274"/>
      <c r="I41" s="274">
        <f>'Exhibit Q,7'!I32</f>
        <v>0.3727940451542936</v>
      </c>
      <c r="K41" s="274">
        <f t="shared" si="1"/>
        <v>0.3727940451542936</v>
      </c>
    </row>
    <row r="42" spans="1:11">
      <c r="A42" s="6">
        <f t="shared" si="2"/>
        <v>2020</v>
      </c>
      <c r="C42" s="494">
        <f>'Exhibit N,1'!K42</f>
        <v>3952279.7181433691</v>
      </c>
      <c r="D42" s="187"/>
      <c r="E42" s="494">
        <f>'Exhibit N,3'!I42</f>
        <v>1575000</v>
      </c>
      <c r="G42" s="274">
        <f t="shared" si="0"/>
        <v>0.3985041829832518</v>
      </c>
      <c r="H42" s="274"/>
      <c r="I42" s="274">
        <f>'Exhibit Q,7'!I33</f>
        <v>0.20676547591661465</v>
      </c>
      <c r="K42" s="274">
        <f t="shared" si="1"/>
        <v>0.20676547591661465</v>
      </c>
    </row>
    <row r="43" spans="1:11">
      <c r="A43" s="6">
        <f t="shared" si="2"/>
        <v>2021</v>
      </c>
      <c r="C43" s="494">
        <f>'Exhibit N,1'!K43</f>
        <v>3479294.0470653204</v>
      </c>
      <c r="D43" s="187"/>
      <c r="E43" s="494">
        <f>'Exhibit N,3'!I43</f>
        <v>0</v>
      </c>
      <c r="G43" s="274">
        <f t="shared" si="0"/>
        <v>0</v>
      </c>
      <c r="H43" s="274"/>
      <c r="I43" s="274">
        <f>'Exhibit Q,7'!I34</f>
        <v>3.2863386900653983E-2</v>
      </c>
      <c r="K43" s="274">
        <f t="shared" si="1"/>
        <v>3.2863386900653983E-2</v>
      </c>
    </row>
    <row r="44" spans="1:11">
      <c r="A44" s="6">
        <f t="shared" si="2"/>
        <v>2022</v>
      </c>
      <c r="C44" s="494">
        <f>'Exhibit N,1'!K44</f>
        <v>3977294.4919970254</v>
      </c>
      <c r="D44" s="187"/>
      <c r="E44" s="494">
        <f>'Exhibit N,3'!I44</f>
        <v>0</v>
      </c>
      <c r="G44" s="274">
        <f t="shared" si="0"/>
        <v>0</v>
      </c>
      <c r="H44" s="274"/>
      <c r="I44" s="274">
        <f>'Exhibit Q,7'!I35</f>
        <v>1.075529025839585E-3</v>
      </c>
      <c r="K44" s="274">
        <f t="shared" si="1"/>
        <v>1.075529025839585E-3</v>
      </c>
    </row>
    <row r="45" spans="1:11">
      <c r="A45" s="6"/>
      <c r="C45" s="105"/>
      <c r="E45" s="105"/>
    </row>
    <row r="46" spans="1:11">
      <c r="A46" s="6" t="s">
        <v>0</v>
      </c>
      <c r="C46" s="26">
        <f>SUM(C16:C45)</f>
        <v>263515244.91983652</v>
      </c>
      <c r="E46" s="26">
        <f>SUM(E16:E45)</f>
        <v>242079878.47999999</v>
      </c>
    </row>
    <row r="50" spans="1:3">
      <c r="A50" s="64" t="s">
        <v>104</v>
      </c>
      <c r="C50" s="3" t="s">
        <v>149</v>
      </c>
    </row>
    <row r="51" spans="1:3">
      <c r="A51" s="64" t="s">
        <v>36</v>
      </c>
      <c r="C51" s="3" t="s">
        <v>675</v>
      </c>
    </row>
    <row r="52" spans="1:3">
      <c r="A52" s="64" t="s">
        <v>38</v>
      </c>
      <c r="C52" s="3" t="s">
        <v>218</v>
      </c>
    </row>
    <row r="53" spans="1:3">
      <c r="A53" s="64" t="s">
        <v>40</v>
      </c>
      <c r="C53" s="3" t="s">
        <v>912</v>
      </c>
    </row>
  </sheetData>
  <printOptions horizontalCentered="1"/>
  <pageMargins left="0.7" right="0.7" top="0.75" bottom="0.75" header="0.3" footer="0.3"/>
  <pageSetup scale="82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2">
    <pageSetUpPr fitToPage="1"/>
  </sheetPr>
  <dimension ref="A1:AG54"/>
  <sheetViews>
    <sheetView showOutlineSymbols="0" topLeftCell="A2" zoomScaleNormal="100" workbookViewId="0">
      <selection activeCell="A6" sqref="A6"/>
    </sheetView>
  </sheetViews>
  <sheetFormatPr baseColWidth="10" defaultColWidth="9.7109375" defaultRowHeight="15"/>
  <cols>
    <col min="1" max="1" width="9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0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0.7109375" style="1" customWidth="1"/>
    <col min="12" max="14" width="9.7109375" style="1"/>
    <col min="15" max="15" width="11.28515625" style="1" bestFit="1" customWidth="1"/>
    <col min="16" max="18" width="9.7109375" style="1"/>
    <col min="19" max="19" width="12.7109375" style="1" customWidth="1"/>
    <col min="20" max="20" width="1.7109375" style="1" customWidth="1"/>
    <col min="21" max="21" width="11.7109375" style="1" customWidth="1"/>
    <col min="22" max="22" width="12.7109375" style="1" customWidth="1"/>
    <col min="23" max="23" width="1.7109375" style="1" customWidth="1"/>
    <col min="24" max="24" width="11.7109375" style="1" customWidth="1"/>
    <col min="25" max="26" width="9.7109375" style="1"/>
    <col min="27" max="28" width="11.28515625" style="1" bestFit="1" customWidth="1"/>
    <col min="29" max="33" width="12.7109375" style="1" customWidth="1"/>
    <col min="34" max="16384" width="9.7109375" style="1"/>
  </cols>
  <sheetData>
    <row r="1" spans="1:33">
      <c r="I1" s="64" t="s">
        <v>83</v>
      </c>
    </row>
    <row r="2" spans="1:33">
      <c r="I2" s="64" t="s">
        <v>56</v>
      </c>
    </row>
    <row r="3" spans="1:33">
      <c r="A3" s="140"/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</row>
    <row r="4" spans="1:33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140"/>
      <c r="K4" s="140"/>
      <c r="L4" s="140"/>
      <c r="M4" s="140"/>
      <c r="N4" s="140"/>
    </row>
    <row r="5" spans="1:33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</row>
    <row r="6" spans="1:33">
      <c r="A6" s="5" t="s">
        <v>82</v>
      </c>
      <c r="B6" s="5"/>
      <c r="C6" s="5"/>
      <c r="D6" s="5"/>
      <c r="E6" s="5"/>
      <c r="F6" s="5"/>
      <c r="G6" s="5"/>
      <c r="H6" s="5"/>
      <c r="I6" s="5"/>
    </row>
    <row r="7" spans="1:33">
      <c r="A7" s="5" t="s">
        <v>358</v>
      </c>
      <c r="B7" s="5"/>
      <c r="C7" s="5"/>
      <c r="D7" s="5"/>
      <c r="E7" s="5"/>
      <c r="F7" s="5"/>
      <c r="G7" s="5"/>
      <c r="H7" s="5"/>
      <c r="I7" s="5"/>
    </row>
    <row r="9" spans="1:33">
      <c r="A9" s="5"/>
      <c r="B9" s="5"/>
      <c r="D9" s="5"/>
      <c r="E9" s="5"/>
      <c r="F9" s="5"/>
      <c r="G9" s="5"/>
      <c r="H9" s="5"/>
      <c r="J9" s="5"/>
      <c r="K9" s="5"/>
      <c r="O9" s="25" t="s">
        <v>2</v>
      </c>
      <c r="P9" s="25"/>
      <c r="AF9" s="61"/>
      <c r="AG9" s="25" t="s">
        <v>0</v>
      </c>
    </row>
    <row r="10" spans="1:33">
      <c r="C10" s="6" t="s">
        <v>1</v>
      </c>
      <c r="K10" s="97"/>
      <c r="O10" s="97" t="s">
        <v>198</v>
      </c>
      <c r="P10" s="25"/>
      <c r="AA10" s="25" t="s">
        <v>2</v>
      </c>
      <c r="AB10" s="25" t="s">
        <v>2</v>
      </c>
      <c r="AC10" s="25" t="s">
        <v>2</v>
      </c>
      <c r="AD10" s="25">
        <v>2022</v>
      </c>
      <c r="AE10" s="61"/>
      <c r="AF10" s="25" t="s">
        <v>0</v>
      </c>
      <c r="AG10" s="25" t="s">
        <v>7</v>
      </c>
    </row>
    <row r="11" spans="1:33">
      <c r="C11" s="6" t="s">
        <v>67</v>
      </c>
      <c r="D11" s="5"/>
      <c r="E11" s="6" t="s">
        <v>1</v>
      </c>
      <c r="G11" s="2"/>
      <c r="I11" s="6" t="s">
        <v>7</v>
      </c>
      <c r="K11" s="25"/>
      <c r="O11" s="25" t="s">
        <v>7</v>
      </c>
      <c r="P11" s="25"/>
      <c r="R11" s="61"/>
      <c r="AA11" s="25" t="s">
        <v>1</v>
      </c>
      <c r="AB11" s="25" t="s">
        <v>1</v>
      </c>
      <c r="AC11" s="25" t="s">
        <v>67</v>
      </c>
      <c r="AD11" s="25" t="s">
        <v>1</v>
      </c>
      <c r="AE11" s="25" t="s">
        <v>1</v>
      </c>
      <c r="AF11" s="25" t="s">
        <v>1</v>
      </c>
      <c r="AG11" s="25" t="s">
        <v>350</v>
      </c>
    </row>
    <row r="12" spans="1:33">
      <c r="A12" s="6" t="s">
        <v>3</v>
      </c>
      <c r="C12" s="6" t="s">
        <v>9</v>
      </c>
      <c r="D12" s="5"/>
      <c r="E12" s="6" t="s">
        <v>650</v>
      </c>
      <c r="F12" s="6"/>
      <c r="G12" s="2" t="s">
        <v>13</v>
      </c>
      <c r="H12" s="6"/>
      <c r="I12" s="6" t="s">
        <v>13</v>
      </c>
      <c r="J12" s="6"/>
      <c r="O12" s="25" t="s">
        <v>13</v>
      </c>
      <c r="P12" s="25"/>
      <c r="R12" s="61"/>
      <c r="AA12" s="25" t="s">
        <v>9</v>
      </c>
      <c r="AB12" s="25" t="s">
        <v>17</v>
      </c>
      <c r="AC12" s="25" t="s">
        <v>650</v>
      </c>
      <c r="AD12" s="25" t="s">
        <v>650</v>
      </c>
      <c r="AE12" s="25" t="s">
        <v>650</v>
      </c>
      <c r="AF12" s="25" t="s">
        <v>350</v>
      </c>
      <c r="AG12" s="25" t="s">
        <v>13</v>
      </c>
    </row>
    <row r="13" spans="1:33">
      <c r="A13" s="6" t="s">
        <v>4</v>
      </c>
      <c r="C13" s="2" t="s">
        <v>55</v>
      </c>
      <c r="D13" s="5"/>
      <c r="E13" s="6" t="s">
        <v>1370</v>
      </c>
      <c r="F13" s="6"/>
      <c r="G13" s="2" t="s">
        <v>1370</v>
      </c>
      <c r="H13" s="6"/>
      <c r="I13" s="2" t="s">
        <v>55</v>
      </c>
      <c r="J13" s="6"/>
      <c r="O13" s="25" t="s">
        <v>55</v>
      </c>
      <c r="P13" s="25" t="s">
        <v>18</v>
      </c>
      <c r="R13" s="61"/>
      <c r="AA13" s="25" t="s">
        <v>55</v>
      </c>
      <c r="AB13" s="25" t="s">
        <v>55</v>
      </c>
      <c r="AC13" s="25" t="s">
        <v>1370</v>
      </c>
      <c r="AD13" s="25" t="s">
        <v>1370</v>
      </c>
      <c r="AE13" s="25" t="s">
        <v>1370</v>
      </c>
      <c r="AF13" s="25" t="s">
        <v>55</v>
      </c>
      <c r="AG13" s="25" t="s">
        <v>55</v>
      </c>
    </row>
    <row r="14" spans="1:33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O14" s="203" t="s">
        <v>31</v>
      </c>
      <c r="P14" s="203" t="s">
        <v>103</v>
      </c>
      <c r="R14" s="61"/>
      <c r="AA14" s="203" t="s">
        <v>30</v>
      </c>
      <c r="AB14" s="203" t="s">
        <v>31</v>
      </c>
      <c r="AC14" s="203" t="s">
        <v>103</v>
      </c>
      <c r="AD14" s="203" t="s">
        <v>106</v>
      </c>
      <c r="AE14" s="203" t="s">
        <v>108</v>
      </c>
      <c r="AF14" s="203" t="s">
        <v>134</v>
      </c>
      <c r="AG14" s="203" t="s">
        <v>137</v>
      </c>
    </row>
    <row r="15" spans="1:33">
      <c r="O15" s="61"/>
      <c r="P15" s="61"/>
      <c r="Q15" s="61"/>
      <c r="R15" s="61"/>
      <c r="AA15" s="61"/>
      <c r="AB15" s="61"/>
      <c r="AC15" s="61"/>
      <c r="AD15" s="61"/>
      <c r="AE15" s="61"/>
      <c r="AF15" s="61"/>
      <c r="AG15" s="61"/>
    </row>
    <row r="16" spans="1:33">
      <c r="A16" s="6">
        <v>1994</v>
      </c>
      <c r="C16" s="511">
        <f>'Exhibit K,1'!M16</f>
        <v>9600</v>
      </c>
      <c r="E16" s="73">
        <f>AC16</f>
        <v>1</v>
      </c>
      <c r="G16" s="73">
        <f>1-E16</f>
        <v>0</v>
      </c>
      <c r="I16" s="511">
        <f>C16*G16</f>
        <v>0</v>
      </c>
      <c r="O16" s="137">
        <v>0</v>
      </c>
      <c r="P16" s="68">
        <f t="shared" ref="P16:P43" si="0">I16-O16</f>
        <v>0</v>
      </c>
      <c r="Q16" s="61"/>
      <c r="R16" s="61"/>
      <c r="AA16" s="137">
        <v>9600</v>
      </c>
      <c r="AB16" s="137">
        <v>9600</v>
      </c>
      <c r="AC16" s="376">
        <f>IF(AA16=0,1,AB16/AA16)</f>
        <v>1</v>
      </c>
      <c r="AD16" s="61"/>
      <c r="AE16" s="377">
        <f>AC16</f>
        <v>1</v>
      </c>
      <c r="AF16" s="223">
        <f>'Exhibit K,1'!M16</f>
        <v>9600</v>
      </c>
      <c r="AG16" s="122">
        <f>(1-AE16)*AF16</f>
        <v>0</v>
      </c>
    </row>
    <row r="17" spans="1:33">
      <c r="A17" s="6">
        <f>A16+1</f>
        <v>1995</v>
      </c>
      <c r="C17" s="494">
        <f>'Exhibit K,1'!M17</f>
        <v>924635.38</v>
      </c>
      <c r="D17" s="18"/>
      <c r="E17" s="73">
        <f t="shared" ref="E17:E28" si="1">AC17</f>
        <v>0.70359320449105023</v>
      </c>
      <c r="G17" s="73">
        <f t="shared" ref="G17:G44" si="2">1-E17</f>
        <v>0.29640679550894977</v>
      </c>
      <c r="I17" s="494">
        <f t="shared" ref="I17:I44" si="3">C17*G17</f>
        <v>274068.21000000008</v>
      </c>
      <c r="J17" s="18"/>
      <c r="O17" s="137">
        <v>274068.21000000008</v>
      </c>
      <c r="P17" s="137">
        <f t="shared" si="0"/>
        <v>0</v>
      </c>
      <c r="Q17" s="61"/>
      <c r="AA17" s="137">
        <v>924635.38</v>
      </c>
      <c r="AB17" s="137">
        <v>650567.16999999993</v>
      </c>
      <c r="AC17" s="376">
        <f t="shared" ref="AC17:AC43" si="4">IF(AA17=0,1,AB17/AA17)</f>
        <v>0.70359320449105023</v>
      </c>
      <c r="AD17" s="61"/>
      <c r="AE17" s="377">
        <f t="shared" ref="AE17:AE36" si="5">AC17</f>
        <v>0.70359320449105023</v>
      </c>
      <c r="AF17" s="137">
        <f>'Exhibit K,1'!M17</f>
        <v>924635.38</v>
      </c>
      <c r="AG17" s="137">
        <f t="shared" ref="AG17:AG44" si="6">(1-AE17)*AF17</f>
        <v>274068.21000000008</v>
      </c>
    </row>
    <row r="18" spans="1:33">
      <c r="A18" s="6">
        <f t="shared" ref="A18:A44" si="7">A17+1</f>
        <v>1996</v>
      </c>
      <c r="C18" s="494">
        <f>'Exhibit K,1'!M18</f>
        <v>931618.13</v>
      </c>
      <c r="D18" s="18"/>
      <c r="E18" s="73">
        <f t="shared" si="1"/>
        <v>1</v>
      </c>
      <c r="G18" s="73">
        <f t="shared" si="2"/>
        <v>0</v>
      </c>
      <c r="I18" s="494">
        <f t="shared" si="3"/>
        <v>0</v>
      </c>
      <c r="J18" s="18"/>
      <c r="O18" s="137">
        <v>0</v>
      </c>
      <c r="P18" s="137">
        <f t="shared" si="0"/>
        <v>0</v>
      </c>
      <c r="Q18" s="61"/>
      <c r="AA18" s="137">
        <v>931618.13</v>
      </c>
      <c r="AB18" s="137">
        <v>931618.13</v>
      </c>
      <c r="AC18" s="376">
        <f t="shared" si="4"/>
        <v>1</v>
      </c>
      <c r="AD18" s="61"/>
      <c r="AE18" s="377">
        <f t="shared" si="5"/>
        <v>1</v>
      </c>
      <c r="AF18" s="137">
        <f>'Exhibit K,1'!M18</f>
        <v>931618.13</v>
      </c>
      <c r="AG18" s="137">
        <f t="shared" si="6"/>
        <v>0</v>
      </c>
    </row>
    <row r="19" spans="1:33">
      <c r="A19" s="6">
        <f t="shared" si="7"/>
        <v>1997</v>
      </c>
      <c r="C19" s="494">
        <f>'Exhibit K,1'!M19</f>
        <v>1920601.1</v>
      </c>
      <c r="D19" s="18"/>
      <c r="E19" s="73">
        <f t="shared" si="1"/>
        <v>0.26315789884739732</v>
      </c>
      <c r="G19" s="73">
        <f t="shared" si="2"/>
        <v>0.73684210115260274</v>
      </c>
      <c r="I19" s="494">
        <f t="shared" si="3"/>
        <v>1415179.7500000002</v>
      </c>
      <c r="J19" s="18"/>
      <c r="O19" s="137">
        <v>1415179.7500000002</v>
      </c>
      <c r="P19" s="137">
        <f t="shared" si="0"/>
        <v>0</v>
      </c>
      <c r="Q19" s="61"/>
      <c r="S19" s="137"/>
      <c r="T19" s="137"/>
      <c r="U19" s="137"/>
      <c r="V19" s="73"/>
      <c r="X19" s="137"/>
      <c r="AA19" s="137">
        <v>1920601.1</v>
      </c>
      <c r="AB19" s="137">
        <v>505421.35000000009</v>
      </c>
      <c r="AC19" s="376">
        <f t="shared" si="4"/>
        <v>0.26315789884739732</v>
      </c>
      <c r="AD19" s="61"/>
      <c r="AE19" s="377">
        <f t="shared" si="5"/>
        <v>0.26315789884739732</v>
      </c>
      <c r="AF19" s="137">
        <f>'Exhibit K,1'!M19</f>
        <v>1920601.1</v>
      </c>
      <c r="AG19" s="137">
        <f t="shared" si="6"/>
        <v>1415179.7500000002</v>
      </c>
    </row>
    <row r="20" spans="1:33">
      <c r="A20" s="6">
        <f t="shared" si="7"/>
        <v>1998</v>
      </c>
      <c r="C20" s="494">
        <f>'Exhibit K,1'!M20</f>
        <v>810501.99</v>
      </c>
      <c r="D20" s="18"/>
      <c r="E20" s="73">
        <f t="shared" si="1"/>
        <v>0.74446898026740194</v>
      </c>
      <c r="G20" s="73">
        <f t="shared" si="2"/>
        <v>0.25553101973259806</v>
      </c>
      <c r="I20" s="494">
        <f t="shared" si="3"/>
        <v>207108.4</v>
      </c>
      <c r="J20" s="18"/>
      <c r="O20" s="137">
        <v>207108.4</v>
      </c>
      <c r="P20" s="137">
        <f t="shared" si="0"/>
        <v>0</v>
      </c>
      <c r="Q20" s="61"/>
      <c r="S20" s="137"/>
      <c r="T20" s="137"/>
      <c r="U20" s="137"/>
      <c r="V20" s="73"/>
      <c r="X20" s="137"/>
      <c r="AA20" s="137">
        <v>810501.99</v>
      </c>
      <c r="AB20" s="137">
        <v>603393.59</v>
      </c>
      <c r="AC20" s="376">
        <f t="shared" si="4"/>
        <v>0.74446898026740194</v>
      </c>
      <c r="AD20" s="61"/>
      <c r="AE20" s="377">
        <f t="shared" si="5"/>
        <v>0.74446898026740194</v>
      </c>
      <c r="AF20" s="137">
        <f>'Exhibit K,1'!M20</f>
        <v>810501.99</v>
      </c>
      <c r="AG20" s="137">
        <f t="shared" si="6"/>
        <v>207108.4</v>
      </c>
    </row>
    <row r="21" spans="1:33">
      <c r="A21" s="6">
        <f t="shared" si="7"/>
        <v>1999</v>
      </c>
      <c r="C21" s="494">
        <f>'Exhibit K,1'!M21</f>
        <v>818508.42</v>
      </c>
      <c r="D21" s="18"/>
      <c r="E21" s="73">
        <f t="shared" si="1"/>
        <v>1</v>
      </c>
      <c r="G21" s="73">
        <f t="shared" si="2"/>
        <v>0</v>
      </c>
      <c r="I21" s="494">
        <f t="shared" si="3"/>
        <v>0</v>
      </c>
      <c r="J21" s="18"/>
      <c r="O21" s="137">
        <v>0</v>
      </c>
      <c r="P21" s="137">
        <f t="shared" si="0"/>
        <v>0</v>
      </c>
      <c r="Q21" s="61"/>
      <c r="S21" s="137"/>
      <c r="T21" s="137"/>
      <c r="U21" s="137"/>
      <c r="V21" s="73"/>
      <c r="X21" s="137"/>
      <c r="AA21" s="137">
        <v>818508.42</v>
      </c>
      <c r="AB21" s="137">
        <v>818508.42</v>
      </c>
      <c r="AC21" s="376">
        <f t="shared" si="4"/>
        <v>1</v>
      </c>
      <c r="AD21" s="61"/>
      <c r="AE21" s="377">
        <f t="shared" si="5"/>
        <v>1</v>
      </c>
      <c r="AF21" s="137">
        <f>'Exhibit K,1'!M21</f>
        <v>818508.42</v>
      </c>
      <c r="AG21" s="137">
        <f t="shared" si="6"/>
        <v>0</v>
      </c>
    </row>
    <row r="22" spans="1:33">
      <c r="A22" s="6">
        <f t="shared" si="7"/>
        <v>2000</v>
      </c>
      <c r="C22" s="494">
        <f>'Exhibit K,1'!M22</f>
        <v>1599932.79</v>
      </c>
      <c r="D22" s="18"/>
      <c r="E22" s="73">
        <f t="shared" si="1"/>
        <v>0.91299355768563251</v>
      </c>
      <c r="G22" s="73">
        <f t="shared" si="2"/>
        <v>8.7006442314367494E-2</v>
      </c>
      <c r="I22" s="494">
        <f t="shared" si="3"/>
        <v>139204.46000000005</v>
      </c>
      <c r="J22" s="18"/>
      <c r="O22" s="137">
        <v>139204.46000000005</v>
      </c>
      <c r="P22" s="137">
        <f t="shared" si="0"/>
        <v>0</v>
      </c>
      <c r="Q22" s="61"/>
      <c r="S22" s="137"/>
      <c r="T22" s="137"/>
      <c r="U22" s="137"/>
      <c r="V22" s="73"/>
      <c r="X22" s="137"/>
      <c r="AA22" s="137">
        <v>1599932.79</v>
      </c>
      <c r="AB22" s="137">
        <v>1460728.33</v>
      </c>
      <c r="AC22" s="376">
        <f t="shared" si="4"/>
        <v>0.91299355768563251</v>
      </c>
      <c r="AD22" s="61"/>
      <c r="AE22" s="377">
        <f t="shared" si="5"/>
        <v>0.91299355768563251</v>
      </c>
      <c r="AF22" s="137">
        <f>'Exhibit K,1'!M22</f>
        <v>1599932.79</v>
      </c>
      <c r="AG22" s="137">
        <f t="shared" si="6"/>
        <v>139204.46000000005</v>
      </c>
    </row>
    <row r="23" spans="1:33">
      <c r="A23" s="6">
        <f t="shared" si="7"/>
        <v>2001</v>
      </c>
      <c r="C23" s="494">
        <f>'Exhibit K,1'!M23</f>
        <v>3016042.23</v>
      </c>
      <c r="D23" s="18"/>
      <c r="E23" s="73">
        <f t="shared" si="1"/>
        <v>0.88208153172974635</v>
      </c>
      <c r="G23" s="73">
        <f t="shared" si="2"/>
        <v>0.11791846827025365</v>
      </c>
      <c r="I23" s="494">
        <f t="shared" si="3"/>
        <v>355647.08000000007</v>
      </c>
      <c r="J23" s="18"/>
      <c r="O23" s="137">
        <v>355647.08000000007</v>
      </c>
      <c r="P23" s="137">
        <f t="shared" si="0"/>
        <v>0</v>
      </c>
      <c r="Q23" s="61"/>
      <c r="S23" s="137"/>
      <c r="T23" s="137"/>
      <c r="U23" s="137"/>
      <c r="V23" s="73"/>
      <c r="X23" s="137"/>
      <c r="AA23" s="137">
        <v>3016042.23</v>
      </c>
      <c r="AB23" s="137">
        <v>2660395.15</v>
      </c>
      <c r="AC23" s="376">
        <f t="shared" si="4"/>
        <v>0.88208153172974635</v>
      </c>
      <c r="AD23" s="61"/>
      <c r="AE23" s="377">
        <f t="shared" si="5"/>
        <v>0.88208153172974635</v>
      </c>
      <c r="AF23" s="137">
        <f>'Exhibit K,1'!M23</f>
        <v>3016042.23</v>
      </c>
      <c r="AG23" s="137">
        <f t="shared" si="6"/>
        <v>355647.08000000007</v>
      </c>
    </row>
    <row r="24" spans="1:33">
      <c r="A24" s="6">
        <f t="shared" si="7"/>
        <v>2002</v>
      </c>
      <c r="C24" s="494">
        <f>'Exhibit K,1'!M24</f>
        <v>647640.80999999994</v>
      </c>
      <c r="D24" s="18"/>
      <c r="E24" s="73">
        <f t="shared" si="1"/>
        <v>1</v>
      </c>
      <c r="G24" s="73">
        <f t="shared" si="2"/>
        <v>0</v>
      </c>
      <c r="I24" s="494">
        <f t="shared" si="3"/>
        <v>0</v>
      </c>
      <c r="J24" s="18"/>
      <c r="O24" s="137">
        <v>0</v>
      </c>
      <c r="P24" s="137">
        <f t="shared" si="0"/>
        <v>0</v>
      </c>
      <c r="Q24" s="61"/>
      <c r="S24" s="137"/>
      <c r="T24" s="137"/>
      <c r="U24" s="137"/>
      <c r="V24" s="73"/>
      <c r="X24" s="137"/>
      <c r="AA24" s="137">
        <v>647640.80999999994</v>
      </c>
      <c r="AB24" s="137">
        <v>647640.80999999994</v>
      </c>
      <c r="AC24" s="376">
        <f t="shared" si="4"/>
        <v>1</v>
      </c>
      <c r="AD24" s="61"/>
      <c r="AE24" s="377">
        <f t="shared" si="5"/>
        <v>1</v>
      </c>
      <c r="AF24" s="137">
        <f>'Exhibit K,1'!M24</f>
        <v>647640.80999999994</v>
      </c>
      <c r="AG24" s="137">
        <f t="shared" si="6"/>
        <v>0</v>
      </c>
    </row>
    <row r="25" spans="1:33">
      <c r="A25" s="6">
        <f t="shared" si="7"/>
        <v>2003</v>
      </c>
      <c r="C25" s="494">
        <f>'Exhibit K,1'!M25</f>
        <v>3203612.7199999997</v>
      </c>
      <c r="D25" s="18"/>
      <c r="E25" s="73">
        <f t="shared" si="1"/>
        <v>0.92890748667023648</v>
      </c>
      <c r="G25" s="73">
        <f t="shared" si="2"/>
        <v>7.1092513329763518E-2</v>
      </c>
      <c r="I25" s="494">
        <f t="shared" si="3"/>
        <v>227752.87999999995</v>
      </c>
      <c r="J25" s="18"/>
      <c r="O25" s="137">
        <v>227752.87999999995</v>
      </c>
      <c r="P25" s="137">
        <f t="shared" si="0"/>
        <v>0</v>
      </c>
      <c r="Q25" s="61"/>
      <c r="S25" s="137"/>
      <c r="T25" s="137"/>
      <c r="U25" s="137"/>
      <c r="V25" s="73"/>
      <c r="X25" s="137"/>
      <c r="AA25" s="137">
        <v>3203612.7199999997</v>
      </c>
      <c r="AB25" s="137">
        <v>2975859.84</v>
      </c>
      <c r="AC25" s="376">
        <f t="shared" si="4"/>
        <v>0.92890748667023648</v>
      </c>
      <c r="AD25" s="61"/>
      <c r="AE25" s="377">
        <f t="shared" si="5"/>
        <v>0.92890748667023648</v>
      </c>
      <c r="AF25" s="137">
        <f>'Exhibit K,1'!M25</f>
        <v>3203612.7199999997</v>
      </c>
      <c r="AG25" s="137">
        <f t="shared" si="6"/>
        <v>227752.87999999995</v>
      </c>
    </row>
    <row r="26" spans="1:33">
      <c r="A26" s="6">
        <f t="shared" si="7"/>
        <v>2004</v>
      </c>
      <c r="C26" s="494">
        <f>'Exhibit K,1'!M26</f>
        <v>3017389.9</v>
      </c>
      <c r="D26" s="18"/>
      <c r="E26" s="73">
        <f t="shared" si="1"/>
        <v>1</v>
      </c>
      <c r="G26" s="73">
        <f t="shared" si="2"/>
        <v>0</v>
      </c>
      <c r="I26" s="494">
        <f t="shared" si="3"/>
        <v>0</v>
      </c>
      <c r="J26" s="18"/>
      <c r="O26" s="137">
        <v>0</v>
      </c>
      <c r="P26" s="137">
        <f t="shared" si="0"/>
        <v>0</v>
      </c>
      <c r="Q26" s="61"/>
      <c r="S26" s="137"/>
      <c r="T26" s="137"/>
      <c r="U26" s="137"/>
      <c r="V26" s="73"/>
      <c r="X26" s="137"/>
      <c r="AA26" s="137">
        <v>3012389.9</v>
      </c>
      <c r="AB26" s="137">
        <v>3012389.9</v>
      </c>
      <c r="AC26" s="376">
        <f t="shared" si="4"/>
        <v>1</v>
      </c>
      <c r="AD26" s="61"/>
      <c r="AE26" s="377">
        <f t="shared" si="5"/>
        <v>1</v>
      </c>
      <c r="AF26" s="137">
        <f>'Exhibit K,1'!M26</f>
        <v>3017389.9</v>
      </c>
      <c r="AG26" s="137">
        <f t="shared" si="6"/>
        <v>0</v>
      </c>
    </row>
    <row r="27" spans="1:33">
      <c r="A27" s="6">
        <f t="shared" si="7"/>
        <v>2005</v>
      </c>
      <c r="C27" s="494">
        <f>'Exhibit K,1'!M27</f>
        <v>2531133.4699999997</v>
      </c>
      <c r="D27" s="18"/>
      <c r="E27" s="73">
        <f t="shared" si="1"/>
        <v>0.97875582989307941</v>
      </c>
      <c r="G27" s="73">
        <f t="shared" si="2"/>
        <v>2.124417010692059E-2</v>
      </c>
      <c r="I27" s="494">
        <f t="shared" si="3"/>
        <v>53771.830000000176</v>
      </c>
      <c r="J27" s="18"/>
      <c r="O27" s="137">
        <v>53771.830000000176</v>
      </c>
      <c r="P27" s="137">
        <f t="shared" si="0"/>
        <v>0</v>
      </c>
      <c r="Q27" s="61"/>
      <c r="S27" s="137"/>
      <c r="T27" s="137"/>
      <c r="U27" s="137"/>
      <c r="V27" s="73"/>
      <c r="X27" s="137"/>
      <c r="AA27" s="137">
        <v>2531133.4699999997</v>
      </c>
      <c r="AB27" s="137">
        <v>2477361.6399999997</v>
      </c>
      <c r="AC27" s="376">
        <f t="shared" si="4"/>
        <v>0.97875582989307941</v>
      </c>
      <c r="AD27" s="61"/>
      <c r="AE27" s="377">
        <f t="shared" si="5"/>
        <v>0.97875582989307941</v>
      </c>
      <c r="AF27" s="137">
        <f>'Exhibit K,1'!M27</f>
        <v>2531133.4699999997</v>
      </c>
      <c r="AG27" s="137">
        <f t="shared" si="6"/>
        <v>53771.830000000176</v>
      </c>
    </row>
    <row r="28" spans="1:33">
      <c r="A28" s="6">
        <f t="shared" si="7"/>
        <v>2006</v>
      </c>
      <c r="C28" s="494">
        <f>'Exhibit K,1'!M28</f>
        <v>78000</v>
      </c>
      <c r="D28" s="18"/>
      <c r="E28" s="73">
        <f t="shared" si="1"/>
        <v>1</v>
      </c>
      <c r="G28" s="73">
        <f t="shared" si="2"/>
        <v>0</v>
      </c>
      <c r="I28" s="494">
        <f t="shared" si="3"/>
        <v>0</v>
      </c>
      <c r="J28" s="18"/>
      <c r="O28" s="137">
        <v>0</v>
      </c>
      <c r="P28" s="137">
        <f t="shared" si="0"/>
        <v>0</v>
      </c>
      <c r="Q28" s="61"/>
      <c r="S28" s="137"/>
      <c r="T28" s="137"/>
      <c r="U28" s="137"/>
      <c r="V28" s="73"/>
      <c r="X28" s="137"/>
      <c r="AA28" s="137">
        <v>58000</v>
      </c>
      <c r="AB28" s="137">
        <v>58000</v>
      </c>
      <c r="AC28" s="376">
        <f t="shared" si="4"/>
        <v>1</v>
      </c>
      <c r="AD28" s="259"/>
      <c r="AE28" s="377">
        <f t="shared" si="5"/>
        <v>1</v>
      </c>
      <c r="AF28" s="137">
        <f>'Exhibit K,1'!M28</f>
        <v>78000</v>
      </c>
      <c r="AG28" s="137">
        <f t="shared" si="6"/>
        <v>0</v>
      </c>
    </row>
    <row r="29" spans="1:33">
      <c r="A29" s="6">
        <f t="shared" si="7"/>
        <v>2007</v>
      </c>
      <c r="C29" s="494">
        <f>'Exhibit K,1'!M29</f>
        <v>1306127.32</v>
      </c>
      <c r="D29" s="18"/>
      <c r="E29" s="73">
        <f>AD29</f>
        <v>0.92708667942111489</v>
      </c>
      <c r="G29" s="73">
        <f t="shared" si="2"/>
        <v>7.291332057888511E-2</v>
      </c>
      <c r="I29" s="494">
        <f t="shared" si="3"/>
        <v>95234.08000000006</v>
      </c>
      <c r="J29" s="18"/>
      <c r="O29" s="137">
        <v>95234.08000000006</v>
      </c>
      <c r="P29" s="137">
        <f t="shared" si="0"/>
        <v>0</v>
      </c>
      <c r="Q29" s="61"/>
      <c r="S29" s="137"/>
      <c r="T29" s="137"/>
      <c r="U29" s="137"/>
      <c r="V29" s="73"/>
      <c r="X29" s="137"/>
      <c r="AA29" s="137">
        <v>1306127.32</v>
      </c>
      <c r="AB29" s="137">
        <v>1210893.24</v>
      </c>
      <c r="AC29" s="376">
        <f t="shared" si="4"/>
        <v>0.92708667942111489</v>
      </c>
      <c r="AD29" s="259">
        <v>0.92708667942111489</v>
      </c>
      <c r="AE29" s="377">
        <f t="shared" si="5"/>
        <v>0.92708667942111489</v>
      </c>
      <c r="AF29" s="137">
        <f>'Exhibit K,1'!M29</f>
        <v>1306127.32</v>
      </c>
      <c r="AG29" s="137">
        <f t="shared" si="6"/>
        <v>95234.08000000006</v>
      </c>
    </row>
    <row r="30" spans="1:33">
      <c r="A30" s="6">
        <f t="shared" si="7"/>
        <v>2008</v>
      </c>
      <c r="C30" s="494">
        <f>'Exhibit K,1'!M30</f>
        <v>1078745.1299999999</v>
      </c>
      <c r="D30" s="18"/>
      <c r="E30" s="73">
        <f t="shared" ref="E30:E44" si="8">AD30</f>
        <v>1</v>
      </c>
      <c r="G30" s="73">
        <f t="shared" si="2"/>
        <v>0</v>
      </c>
      <c r="I30" s="494">
        <f t="shared" si="3"/>
        <v>0</v>
      </c>
      <c r="J30" s="18"/>
      <c r="O30" s="137">
        <v>0</v>
      </c>
      <c r="P30" s="137">
        <f t="shared" si="0"/>
        <v>0</v>
      </c>
      <c r="Q30" s="61"/>
      <c r="S30" s="137"/>
      <c r="T30" s="137"/>
      <c r="U30" s="137"/>
      <c r="V30" s="73"/>
      <c r="X30" s="137"/>
      <c r="AA30" s="137">
        <v>1078745.1299999999</v>
      </c>
      <c r="AB30" s="137">
        <v>1078745.1299999999</v>
      </c>
      <c r="AC30" s="376">
        <f t="shared" si="4"/>
        <v>1</v>
      </c>
      <c r="AD30" s="259">
        <v>1</v>
      </c>
      <c r="AE30" s="377">
        <f t="shared" si="5"/>
        <v>1</v>
      </c>
      <c r="AF30" s="137">
        <f>'Exhibit K,1'!M30</f>
        <v>1078745.1299999999</v>
      </c>
      <c r="AG30" s="137">
        <f t="shared" si="6"/>
        <v>0</v>
      </c>
    </row>
    <row r="31" spans="1:33">
      <c r="A31" s="6">
        <f t="shared" si="7"/>
        <v>2009</v>
      </c>
      <c r="C31" s="494">
        <f>'Exhibit K,1'!M31</f>
        <v>2851</v>
      </c>
      <c r="D31" s="18"/>
      <c r="E31" s="73">
        <f t="shared" si="8"/>
        <v>1</v>
      </c>
      <c r="G31" s="73">
        <f t="shared" si="2"/>
        <v>0</v>
      </c>
      <c r="I31" s="494">
        <f t="shared" si="3"/>
        <v>0</v>
      </c>
      <c r="J31" s="18"/>
      <c r="O31" s="137">
        <v>0</v>
      </c>
      <c r="P31" s="137">
        <f t="shared" si="0"/>
        <v>0</v>
      </c>
      <c r="Q31" s="61"/>
      <c r="S31" s="137"/>
      <c r="T31" s="137"/>
      <c r="U31" s="137"/>
      <c r="V31" s="73"/>
      <c r="X31" s="137"/>
      <c r="AA31" s="137">
        <v>2851.0256934990098</v>
      </c>
      <c r="AB31" s="137">
        <v>2851.0256934990098</v>
      </c>
      <c r="AC31" s="376">
        <f t="shared" si="4"/>
        <v>1</v>
      </c>
      <c r="AD31" s="259">
        <v>1</v>
      </c>
      <c r="AE31" s="377">
        <f t="shared" si="5"/>
        <v>1</v>
      </c>
      <c r="AF31" s="137">
        <f>'Exhibit K,1'!M31</f>
        <v>2851</v>
      </c>
      <c r="AG31" s="137">
        <f t="shared" si="6"/>
        <v>0</v>
      </c>
    </row>
    <row r="32" spans="1:33">
      <c r="A32" s="6">
        <f t="shared" si="7"/>
        <v>2010</v>
      </c>
      <c r="C32" s="494">
        <f>'Exhibit K,1'!M32</f>
        <v>0</v>
      </c>
      <c r="D32" s="18"/>
      <c r="E32" s="73">
        <f t="shared" si="8"/>
        <v>1</v>
      </c>
      <c r="G32" s="73">
        <f t="shared" si="2"/>
        <v>0</v>
      </c>
      <c r="I32" s="494">
        <f t="shared" si="3"/>
        <v>0</v>
      </c>
      <c r="J32" s="18"/>
      <c r="O32" s="137">
        <v>0</v>
      </c>
      <c r="P32" s="137">
        <f t="shared" si="0"/>
        <v>0</v>
      </c>
      <c r="Q32" s="61"/>
      <c r="S32" s="137"/>
      <c r="T32" s="137"/>
      <c r="U32" s="137"/>
      <c r="V32" s="73"/>
      <c r="X32" s="137"/>
      <c r="AA32" s="137">
        <v>0</v>
      </c>
      <c r="AB32" s="137">
        <v>0</v>
      </c>
      <c r="AC32" s="376">
        <f t="shared" si="4"/>
        <v>1</v>
      </c>
      <c r="AD32" s="259">
        <v>1</v>
      </c>
      <c r="AE32" s="377">
        <f t="shared" si="5"/>
        <v>1</v>
      </c>
      <c r="AF32" s="137">
        <f>'Exhibit K,1'!M32</f>
        <v>0</v>
      </c>
      <c r="AG32" s="137">
        <f t="shared" si="6"/>
        <v>0</v>
      </c>
    </row>
    <row r="33" spans="1:33">
      <c r="A33" s="6">
        <f t="shared" si="7"/>
        <v>2011</v>
      </c>
      <c r="C33" s="494">
        <f>'Exhibit K,1'!M33</f>
        <v>407361.58052147331</v>
      </c>
      <c r="D33" s="18"/>
      <c r="E33" s="73">
        <f t="shared" si="8"/>
        <v>1</v>
      </c>
      <c r="G33" s="73">
        <f t="shared" si="2"/>
        <v>0</v>
      </c>
      <c r="I33" s="494">
        <f t="shared" si="3"/>
        <v>0</v>
      </c>
      <c r="J33" s="18"/>
      <c r="O33" s="137">
        <v>431.17070038815319</v>
      </c>
      <c r="P33" s="137">
        <f t="shared" si="0"/>
        <v>-431.17070038815319</v>
      </c>
      <c r="Q33" s="61"/>
      <c r="S33" s="137"/>
      <c r="T33" s="137"/>
      <c r="U33" s="137"/>
      <c r="V33" s="73"/>
      <c r="X33" s="137"/>
      <c r="AA33" s="137">
        <v>407574.07383896492</v>
      </c>
      <c r="AB33" s="137">
        <v>407574.07383896492</v>
      </c>
      <c r="AC33" s="376">
        <f t="shared" si="4"/>
        <v>1</v>
      </c>
      <c r="AD33" s="259">
        <v>1</v>
      </c>
      <c r="AE33" s="377">
        <f t="shared" si="5"/>
        <v>1</v>
      </c>
      <c r="AF33" s="137">
        <f>'Exhibit K,1'!M33</f>
        <v>407361.58052147331</v>
      </c>
      <c r="AG33" s="137">
        <f t="shared" si="6"/>
        <v>0</v>
      </c>
    </row>
    <row r="34" spans="1:33">
      <c r="A34" s="6">
        <f t="shared" si="7"/>
        <v>2012</v>
      </c>
      <c r="C34" s="494">
        <f>'Exhibit K,1'!M34</f>
        <v>1102035.9602525134</v>
      </c>
      <c r="D34" s="18"/>
      <c r="E34" s="73">
        <f t="shared" si="8"/>
        <v>0.99998940467758357</v>
      </c>
      <c r="G34" s="73">
        <f t="shared" si="2"/>
        <v>1.0595322416429021E-5</v>
      </c>
      <c r="I34" s="494">
        <f t="shared" si="3"/>
        <v>11.676426313374336</v>
      </c>
      <c r="J34" s="18"/>
      <c r="O34" s="137">
        <v>3107.8625533514587</v>
      </c>
      <c r="P34" s="137">
        <f t="shared" si="0"/>
        <v>-3096.1861270380846</v>
      </c>
      <c r="Q34" s="61"/>
      <c r="S34" s="137"/>
      <c r="T34" s="137"/>
      <c r="U34" s="137"/>
      <c r="V34" s="73"/>
      <c r="X34" s="137"/>
      <c r="AA34" s="137">
        <v>1104347.2996114462</v>
      </c>
      <c r="AB34" s="137">
        <v>1104335.5986957471</v>
      </c>
      <c r="AC34" s="376">
        <f t="shared" si="4"/>
        <v>0.99998940467758357</v>
      </c>
      <c r="AD34" s="259">
        <v>0.99998940467758357</v>
      </c>
      <c r="AE34" s="377">
        <f t="shared" si="5"/>
        <v>0.99998940467758357</v>
      </c>
      <c r="AF34" s="137">
        <f>'Exhibit K,1'!M34</f>
        <v>1102035.9602525134</v>
      </c>
      <c r="AG34" s="137">
        <f t="shared" si="6"/>
        <v>11.676426313374336</v>
      </c>
    </row>
    <row r="35" spans="1:33">
      <c r="A35" s="6">
        <f t="shared" si="7"/>
        <v>2013</v>
      </c>
      <c r="C35" s="494">
        <f>'Exhibit K,1'!M35</f>
        <v>1998647.3999071326</v>
      </c>
      <c r="D35" s="18"/>
      <c r="E35" s="73">
        <f t="shared" si="8"/>
        <v>0.99996146112300088</v>
      </c>
      <c r="G35" s="73">
        <f t="shared" si="2"/>
        <v>3.8538876999116845E-5</v>
      </c>
      <c r="I35" s="494">
        <f t="shared" si="3"/>
        <v>77.025626309625679</v>
      </c>
      <c r="J35" s="18"/>
      <c r="O35" s="137">
        <v>5981.543948489787</v>
      </c>
      <c r="P35" s="137">
        <f t="shared" si="0"/>
        <v>-5904.5183221801617</v>
      </c>
      <c r="Q35" s="61"/>
      <c r="S35" s="137"/>
      <c r="T35" s="137"/>
      <c r="U35" s="137"/>
      <c r="V35" s="73"/>
      <c r="X35" s="137"/>
      <c r="AA35" s="137">
        <v>2013265.8418738819</v>
      </c>
      <c r="AB35" s="137">
        <v>2013188.2528692354</v>
      </c>
      <c r="AC35" s="376">
        <f t="shared" si="4"/>
        <v>0.99996146112300088</v>
      </c>
      <c r="AD35" s="259">
        <v>0.99996146112300088</v>
      </c>
      <c r="AE35" s="377">
        <f t="shared" si="5"/>
        <v>0.99996146112300088</v>
      </c>
      <c r="AF35" s="137">
        <f>'Exhibit K,1'!M35</f>
        <v>1998647.3999071326</v>
      </c>
      <c r="AG35" s="137">
        <f t="shared" si="6"/>
        <v>77.025626309625679</v>
      </c>
    </row>
    <row r="36" spans="1:33">
      <c r="A36" s="6">
        <f t="shared" si="7"/>
        <v>2014</v>
      </c>
      <c r="C36" s="494">
        <f>'Exhibit K,1'!M36</f>
        <v>548996.66268209089</v>
      </c>
      <c r="D36" s="18"/>
      <c r="E36" s="73">
        <f t="shared" si="8"/>
        <v>0.99351871139863801</v>
      </c>
      <c r="G36" s="73">
        <f t="shared" si="2"/>
        <v>6.4812886013619897E-3</v>
      </c>
      <c r="I36" s="494">
        <f t="shared" si="3"/>
        <v>3558.205812027209</v>
      </c>
      <c r="J36" s="18"/>
      <c r="O36" s="137">
        <v>21671.022787766629</v>
      </c>
      <c r="P36" s="137">
        <f t="shared" si="0"/>
        <v>-18112.816975739421</v>
      </c>
      <c r="Q36" s="61"/>
      <c r="S36" s="137"/>
      <c r="T36" s="137"/>
      <c r="U36" s="137"/>
      <c r="V36" s="73"/>
      <c r="X36" s="137"/>
      <c r="AA36" s="137">
        <v>558145.57570289331</v>
      </c>
      <c r="AB36" s="137">
        <v>557373.32663137279</v>
      </c>
      <c r="AC36" s="376">
        <f t="shared" si="4"/>
        <v>0.99861640205505886</v>
      </c>
      <c r="AD36" s="259">
        <v>0.99351871139863801</v>
      </c>
      <c r="AE36" s="377">
        <f t="shared" si="5"/>
        <v>0.99861640205505886</v>
      </c>
      <c r="AF36" s="137">
        <f>'Exhibit K,1'!M36</f>
        <v>548996.66268209089</v>
      </c>
      <c r="AG36" s="137">
        <f t="shared" si="6"/>
        <v>759.59065426648499</v>
      </c>
    </row>
    <row r="37" spans="1:33">
      <c r="A37" s="6">
        <f t="shared" si="7"/>
        <v>2015</v>
      </c>
      <c r="C37" s="494">
        <f>'Exhibit K,1'!M37</f>
        <v>671720.90708352916</v>
      </c>
      <c r="D37" s="18"/>
      <c r="E37" s="73">
        <f t="shared" si="8"/>
        <v>0.97218972375248658</v>
      </c>
      <c r="G37" s="73">
        <f t="shared" si="2"/>
        <v>2.7810276247513421E-2</v>
      </c>
      <c r="I37" s="494">
        <f t="shared" si="3"/>
        <v>18680.743987223243</v>
      </c>
      <c r="J37" s="18"/>
      <c r="O37" s="137">
        <v>80233.380750091193</v>
      </c>
      <c r="P37" s="137">
        <f t="shared" si="0"/>
        <v>-61552.636762867951</v>
      </c>
      <c r="Q37" s="61"/>
      <c r="S37" s="137"/>
      <c r="T37" s="137"/>
      <c r="U37" s="137"/>
      <c r="V37" s="73"/>
      <c r="X37" s="137"/>
      <c r="AA37" s="137">
        <v>701978.04160569899</v>
      </c>
      <c r="AB37" s="137">
        <v>691869.76066431182</v>
      </c>
      <c r="AC37" s="376">
        <f t="shared" si="4"/>
        <v>0.9856002889801716</v>
      </c>
      <c r="AD37" s="259">
        <v>0.97218972375248658</v>
      </c>
      <c r="AE37" s="259">
        <f>AD37</f>
        <v>0.97218972375248658</v>
      </c>
      <c r="AF37" s="137">
        <f>'Exhibit K,1'!M37</f>
        <v>671720.90708352916</v>
      </c>
      <c r="AG37" s="137">
        <f t="shared" si="6"/>
        <v>18680.743987223243</v>
      </c>
    </row>
    <row r="38" spans="1:33">
      <c r="A38" s="6">
        <f t="shared" si="7"/>
        <v>2016</v>
      </c>
      <c r="C38" s="494">
        <f>'Exhibit K,1'!M38</f>
        <v>5182954.5227005687</v>
      </c>
      <c r="D38" s="18"/>
      <c r="E38" s="73">
        <f t="shared" si="8"/>
        <v>0.77449376941088155</v>
      </c>
      <c r="G38" s="73">
        <f t="shared" si="2"/>
        <v>0.22550623058911845</v>
      </c>
      <c r="I38" s="494">
        <f t="shared" si="3"/>
        <v>1168788.5377290288</v>
      </c>
      <c r="J38" s="18"/>
      <c r="O38" s="137">
        <v>875360.9416945941</v>
      </c>
      <c r="P38" s="137">
        <f t="shared" si="0"/>
        <v>293427.59603443474</v>
      </c>
      <c r="Q38" s="61"/>
      <c r="S38" s="137"/>
      <c r="T38" s="137"/>
      <c r="U38" s="137"/>
      <c r="V38" s="73"/>
      <c r="X38" s="137"/>
      <c r="AA38" s="137">
        <v>5566284.6165994257</v>
      </c>
      <c r="AB38" s="137">
        <v>3972401.7969866437</v>
      </c>
      <c r="AC38" s="376">
        <f t="shared" si="4"/>
        <v>0.71365409255940593</v>
      </c>
      <c r="AD38" s="259">
        <v>0.77449376941088155</v>
      </c>
      <c r="AE38" s="259">
        <f t="shared" ref="AE38:AE44" si="9">AD38</f>
        <v>0.77449376941088155</v>
      </c>
      <c r="AF38" s="137">
        <f>'Exhibit K,1'!M38</f>
        <v>5182954.5227005687</v>
      </c>
      <c r="AG38" s="137">
        <f t="shared" si="6"/>
        <v>1168788.5377290288</v>
      </c>
    </row>
    <row r="39" spans="1:33">
      <c r="A39" s="6">
        <f t="shared" si="7"/>
        <v>2017</v>
      </c>
      <c r="C39" s="494">
        <f>'Exhibit K,1'!M39</f>
        <v>643372.87884363276</v>
      </c>
      <c r="D39" s="18"/>
      <c r="E39" s="73">
        <f t="shared" si="8"/>
        <v>0.94599917043797577</v>
      </c>
      <c r="G39" s="73">
        <f t="shared" si="2"/>
        <v>5.4000829562024233E-2</v>
      </c>
      <c r="I39" s="494">
        <f t="shared" si="3"/>
        <v>34742.66917526388</v>
      </c>
      <c r="J39" s="18"/>
      <c r="O39" s="137">
        <v>108738.21570562062</v>
      </c>
      <c r="P39" s="137">
        <f t="shared" si="0"/>
        <v>-73995.546530356747</v>
      </c>
      <c r="Q39" s="61"/>
      <c r="S39" s="137"/>
      <c r="T39" s="137"/>
      <c r="U39" s="137"/>
      <c r="V39" s="73"/>
      <c r="X39" s="137"/>
      <c r="AA39" s="137">
        <v>1224886.5705539242</v>
      </c>
      <c r="AB39" s="137">
        <v>1184259.5346550124</v>
      </c>
      <c r="AC39" s="376">
        <f t="shared" si="4"/>
        <v>0.96683200152930149</v>
      </c>
      <c r="AD39" s="259">
        <v>0.94599917043797577</v>
      </c>
      <c r="AE39" s="259">
        <f t="shared" si="9"/>
        <v>0.94599917043797577</v>
      </c>
      <c r="AF39" s="137">
        <f>'Exhibit K,1'!M39</f>
        <v>643372.87884363276</v>
      </c>
      <c r="AG39" s="137">
        <f t="shared" si="6"/>
        <v>34742.66917526388</v>
      </c>
    </row>
    <row r="40" spans="1:33">
      <c r="A40" s="6">
        <f t="shared" si="7"/>
        <v>2018</v>
      </c>
      <c r="C40" s="494">
        <f>'Exhibit K,1'!M40</f>
        <v>2156293.8228217755</v>
      </c>
      <c r="D40" s="18"/>
      <c r="E40" s="73">
        <f t="shared" si="8"/>
        <v>0.9253295129511947</v>
      </c>
      <c r="G40" s="73">
        <f t="shared" si="2"/>
        <v>7.4670487048805301E-2</v>
      </c>
      <c r="I40" s="494">
        <f t="shared" si="3"/>
        <v>161011.50997043226</v>
      </c>
      <c r="J40" s="18"/>
      <c r="O40" s="137">
        <v>135135.83234424298</v>
      </c>
      <c r="P40" s="137">
        <f t="shared" si="0"/>
        <v>25875.677626189281</v>
      </c>
      <c r="Q40" s="61"/>
      <c r="S40" s="137"/>
      <c r="T40" s="137"/>
      <c r="U40" s="137"/>
      <c r="V40" s="73"/>
      <c r="X40" s="137"/>
      <c r="AA40" s="137">
        <v>1493206.7839122107</v>
      </c>
      <c r="AB40" s="137">
        <v>1424135.0694782862</v>
      </c>
      <c r="AC40" s="376">
        <f t="shared" si="4"/>
        <v>0.95374269982021098</v>
      </c>
      <c r="AD40" s="259">
        <v>0.9253295129511947</v>
      </c>
      <c r="AE40" s="259">
        <f t="shared" si="9"/>
        <v>0.9253295129511947</v>
      </c>
      <c r="AF40" s="137">
        <f>'Exhibit K,1'!M40</f>
        <v>2156293.8228217755</v>
      </c>
      <c r="AG40" s="137">
        <f t="shared" si="6"/>
        <v>161011.50997043226</v>
      </c>
    </row>
    <row r="41" spans="1:33">
      <c r="A41" s="6">
        <f t="shared" si="7"/>
        <v>2019</v>
      </c>
      <c r="C41" s="494">
        <f>'Exhibit K,1'!M41</f>
        <v>3062320.1343217399</v>
      </c>
      <c r="D41" s="18"/>
      <c r="E41" s="73">
        <f t="shared" si="8"/>
        <v>0.91277498003714785</v>
      </c>
      <c r="G41" s="73">
        <f t="shared" si="2"/>
        <v>8.7225019962852146E-2</v>
      </c>
      <c r="I41" s="494">
        <f t="shared" si="3"/>
        <v>267110.93484885781</v>
      </c>
      <c r="J41" s="18"/>
      <c r="O41" s="137">
        <v>215706.51572640476</v>
      </c>
      <c r="P41" s="137">
        <f t="shared" si="0"/>
        <v>51404.419122453051</v>
      </c>
      <c r="Q41" s="61"/>
      <c r="S41" s="137"/>
      <c r="T41" s="137"/>
      <c r="U41" s="137"/>
      <c r="V41" s="73"/>
      <c r="X41" s="137"/>
      <c r="AA41" s="137">
        <v>2400776.9163405625</v>
      </c>
      <c r="AB41" s="137">
        <v>2178054.7266321382</v>
      </c>
      <c r="AC41" s="376">
        <f t="shared" si="4"/>
        <v>0.90722911896040992</v>
      </c>
      <c r="AD41" s="259">
        <v>0.91277498003714785</v>
      </c>
      <c r="AE41" s="259">
        <f t="shared" si="9"/>
        <v>0.91277498003714785</v>
      </c>
      <c r="AF41" s="137">
        <f>'Exhibit K,1'!M41</f>
        <v>3062320.1343217399</v>
      </c>
      <c r="AG41" s="137">
        <f t="shared" si="6"/>
        <v>267110.93484885781</v>
      </c>
    </row>
    <row r="42" spans="1:33">
      <c r="A42" s="6">
        <f t="shared" si="7"/>
        <v>2020</v>
      </c>
      <c r="C42" s="494">
        <f>'Exhibit K,1'!M42</f>
        <v>1265041.6896571</v>
      </c>
      <c r="D42" s="18"/>
      <c r="E42" s="73">
        <f t="shared" si="8"/>
        <v>0.91388041611796156</v>
      </c>
      <c r="G42" s="73">
        <f t="shared" si="2"/>
        <v>8.6119583882038442E-2</v>
      </c>
      <c r="I42" s="494">
        <f t="shared" si="3"/>
        <v>108944.86390670027</v>
      </c>
      <c r="J42" s="18"/>
      <c r="O42" s="137">
        <v>117714.42335498832</v>
      </c>
      <c r="P42" s="137">
        <f t="shared" si="0"/>
        <v>-8769.5594482880551</v>
      </c>
      <c r="Q42" s="61"/>
      <c r="S42" s="137"/>
      <c r="T42" s="137"/>
      <c r="U42" s="137"/>
      <c r="V42" s="73"/>
      <c r="X42" s="137"/>
      <c r="AA42" s="137">
        <v>1306005.4828053738</v>
      </c>
      <c r="AB42" s="137">
        <v>1193707.3394334698</v>
      </c>
      <c r="AC42" s="376">
        <f t="shared" si="4"/>
        <v>0.91401403374610557</v>
      </c>
      <c r="AD42" s="259">
        <v>0.91388041611796156</v>
      </c>
      <c r="AE42" s="259">
        <f t="shared" si="9"/>
        <v>0.91388041611796156</v>
      </c>
      <c r="AF42" s="137">
        <f>'Exhibit K,1'!M42</f>
        <v>1265041.6896571</v>
      </c>
      <c r="AG42" s="137">
        <f t="shared" si="6"/>
        <v>108944.86390670027</v>
      </c>
    </row>
    <row r="43" spans="1:33">
      <c r="A43" s="6">
        <f t="shared" si="7"/>
        <v>2021</v>
      </c>
      <c r="C43" s="494">
        <f>'Exhibit K,1'!M43</f>
        <v>851749.687957132</v>
      </c>
      <c r="D43" s="18"/>
      <c r="E43" s="73">
        <f t="shared" si="8"/>
        <v>0.93572283637838427</v>
      </c>
      <c r="G43" s="73">
        <f t="shared" si="2"/>
        <v>6.4277163621615729E-2</v>
      </c>
      <c r="I43" s="494">
        <f t="shared" si="3"/>
        <v>54748.054057480716</v>
      </c>
      <c r="J43" s="18"/>
      <c r="K43" s="68"/>
      <c r="O43" s="137">
        <v>82985.02741410349</v>
      </c>
      <c r="P43" s="137">
        <f t="shared" si="0"/>
        <v>-28236.973356622773</v>
      </c>
      <c r="Q43" s="61"/>
      <c r="S43" s="137"/>
      <c r="T43" s="137"/>
      <c r="U43" s="137"/>
      <c r="V43" s="137"/>
      <c r="W43" s="137"/>
      <c r="X43" s="137"/>
      <c r="AA43" s="137">
        <v>1210428.8533154356</v>
      </c>
      <c r="AB43" s="137">
        <v>1127751.1784451648</v>
      </c>
      <c r="AC43" s="376">
        <f t="shared" si="4"/>
        <v>0.93169555183370611</v>
      </c>
      <c r="AD43" s="259">
        <v>0.93572283637838427</v>
      </c>
      <c r="AE43" s="259">
        <f t="shared" si="9"/>
        <v>0.93572283637838427</v>
      </c>
      <c r="AF43" s="137">
        <f>'Exhibit K,1'!M43</f>
        <v>851749.687957132</v>
      </c>
      <c r="AG43" s="137">
        <f t="shared" si="6"/>
        <v>54748.054057480716</v>
      </c>
    </row>
    <row r="44" spans="1:33">
      <c r="A44" s="6">
        <f t="shared" si="7"/>
        <v>2022</v>
      </c>
      <c r="C44" s="494">
        <f>'Exhibit K,1'!M44</f>
        <v>3101891.6849870766</v>
      </c>
      <c r="D44" s="18"/>
      <c r="E44" s="73">
        <f t="shared" si="8"/>
        <v>0.94721319920289393</v>
      </c>
      <c r="G44" s="73">
        <f t="shared" si="2"/>
        <v>5.278680079710607E-2</v>
      </c>
      <c r="I44" s="494">
        <f t="shared" si="3"/>
        <v>163738.93846961251</v>
      </c>
      <c r="J44" s="18"/>
      <c r="K44" s="68"/>
      <c r="O44" s="137">
        <v>0</v>
      </c>
      <c r="P44" s="137"/>
      <c r="Q44" s="61"/>
      <c r="S44" s="137"/>
      <c r="T44" s="137"/>
      <c r="U44" s="137"/>
      <c r="V44" s="137"/>
      <c r="W44" s="137"/>
      <c r="X44" s="137"/>
      <c r="AA44" s="61"/>
      <c r="AB44" s="61"/>
      <c r="AC44" s="61"/>
      <c r="AD44" s="259">
        <v>0.94721319920289393</v>
      </c>
      <c r="AE44" s="259">
        <f t="shared" si="9"/>
        <v>0.94721319920289393</v>
      </c>
      <c r="AF44" s="137">
        <f>'Exhibit K,1'!M44</f>
        <v>3101891.6849870766</v>
      </c>
      <c r="AG44" s="137">
        <f t="shared" si="6"/>
        <v>163738.93846961251</v>
      </c>
    </row>
    <row r="45" spans="1:33">
      <c r="C45" s="105"/>
      <c r="E45" s="105"/>
      <c r="I45" s="105"/>
      <c r="K45" s="68"/>
      <c r="O45" s="280"/>
      <c r="P45" s="280"/>
      <c r="Q45" s="61"/>
      <c r="S45" s="137"/>
      <c r="T45" s="137"/>
      <c r="U45" s="137"/>
      <c r="V45" s="137"/>
      <c r="W45" s="137"/>
      <c r="X45" s="137"/>
      <c r="AA45" s="280"/>
      <c r="AB45" s="280"/>
      <c r="AC45" s="280"/>
      <c r="AD45" s="61"/>
      <c r="AE45" s="61"/>
      <c r="AF45" s="280"/>
      <c r="AG45" s="280"/>
    </row>
    <row r="46" spans="1:33">
      <c r="A46" s="6" t="s">
        <v>0</v>
      </c>
      <c r="C46" s="26">
        <f>SUM(C16:C45)</f>
        <v>42889327.321735762</v>
      </c>
      <c r="E46" s="26"/>
      <c r="I46" s="26">
        <f>SUM(I16:I45)</f>
        <v>4749379.8500092495</v>
      </c>
      <c r="K46" s="68"/>
      <c r="N46" s="26"/>
      <c r="O46" s="68">
        <f>SUM(O16:O45)</f>
        <v>4415032.6269800412</v>
      </c>
      <c r="P46" s="68">
        <f>SUM(P16:P45)</f>
        <v>170608.28455959572</v>
      </c>
      <c r="Q46" s="61"/>
      <c r="S46" s="137"/>
      <c r="T46" s="137"/>
      <c r="U46" s="137"/>
      <c r="V46" s="137"/>
      <c r="W46" s="137"/>
      <c r="X46" s="137"/>
      <c r="AA46" s="68">
        <f>SUM(AA16:AA44)</f>
        <v>39858840.471853308</v>
      </c>
      <c r="AB46" s="68">
        <f>SUM(AB16:AB44)</f>
        <v>34958624.384023838</v>
      </c>
      <c r="AC46" s="376">
        <f>AB46/AA46</f>
        <v>0.87706074662935052</v>
      </c>
      <c r="AD46" s="61"/>
      <c r="AE46" s="61"/>
      <c r="AF46" s="68">
        <f>SUM(AF16:AF44)</f>
        <v>42889327.321735762</v>
      </c>
      <c r="AG46" s="68">
        <f>SUM(AG16:AG44)</f>
        <v>4746581.2348514888</v>
      </c>
    </row>
    <row r="47" spans="1:33">
      <c r="C47" s="26"/>
      <c r="E47" s="26"/>
      <c r="I47" s="26"/>
      <c r="K47" s="68"/>
      <c r="O47" s="68"/>
      <c r="P47" s="68"/>
      <c r="Q47" s="61"/>
    </row>
    <row r="48" spans="1:33">
      <c r="C48" s="26"/>
      <c r="E48" s="26"/>
      <c r="I48" s="26"/>
      <c r="K48" s="68"/>
      <c r="O48" s="68"/>
      <c r="P48" s="68"/>
      <c r="Q48" s="61"/>
    </row>
    <row r="49" spans="1:33">
      <c r="K49" s="84"/>
      <c r="O49" s="61"/>
      <c r="P49" s="61"/>
      <c r="Q49" s="61"/>
      <c r="X49" s="22"/>
      <c r="AG49" s="22"/>
    </row>
    <row r="50" spans="1:33">
      <c r="A50" s="64" t="s">
        <v>104</v>
      </c>
      <c r="C50" s="3" t="s">
        <v>1431</v>
      </c>
      <c r="O50" s="61"/>
      <c r="P50" s="61"/>
      <c r="Q50" s="61"/>
    </row>
    <row r="51" spans="1:33">
      <c r="A51" s="64" t="s">
        <v>36</v>
      </c>
      <c r="C51" s="3" t="s">
        <v>913</v>
      </c>
    </row>
    <row r="52" spans="1:33">
      <c r="A52" s="64" t="s">
        <v>38</v>
      </c>
      <c r="C52" s="3" t="s">
        <v>652</v>
      </c>
    </row>
    <row r="53" spans="1:33">
      <c r="A53" s="64" t="s">
        <v>40</v>
      </c>
      <c r="C53" s="3" t="s">
        <v>1481</v>
      </c>
    </row>
    <row r="54" spans="1:33">
      <c r="A54" s="64"/>
      <c r="C54" s="3"/>
    </row>
  </sheetData>
  <phoneticPr fontId="8" type="noConversion"/>
  <printOptions horizontalCentered="1"/>
  <pageMargins left="0.7" right="0.7" top="0.75" bottom="0.75" header="0.3" footer="0.3"/>
  <pageSetup scale="83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0">
    <pageSetUpPr fitToPage="1"/>
  </sheetPr>
  <dimension ref="A1:AC55"/>
  <sheetViews>
    <sheetView showOutlineSymbols="0" zoomScaleNormal="100" workbookViewId="0">
      <selection activeCell="C43" sqref="C43"/>
    </sheetView>
  </sheetViews>
  <sheetFormatPr baseColWidth="10" defaultColWidth="9.7109375" defaultRowHeight="15"/>
  <cols>
    <col min="1" max="1" width="9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3.7109375" style="1" bestFit="1" customWidth="1"/>
    <col min="8" max="8" width="1.7109375" style="1" customWidth="1"/>
    <col min="9" max="9" width="12.7109375" style="1" customWidth="1"/>
    <col min="10" max="10" width="1.7109375" style="1" customWidth="1"/>
    <col min="11" max="11" width="12.7109375" style="1" customWidth="1"/>
    <col min="12" max="16" width="9.7109375" style="1"/>
    <col min="17" max="26" width="12.7109375" style="1" customWidth="1"/>
    <col min="27" max="27" width="9.7109375" style="1"/>
    <col min="28" max="28" width="13" style="1" bestFit="1" customWidth="1"/>
    <col min="29" max="29" width="10.28515625" style="1" bestFit="1" customWidth="1"/>
    <col min="30" max="16384" width="9.7109375" style="1"/>
  </cols>
  <sheetData>
    <row r="1" spans="1:29">
      <c r="I1" s="52" t="s">
        <v>83</v>
      </c>
    </row>
    <row r="2" spans="1:29">
      <c r="I2" s="64" t="s">
        <v>45</v>
      </c>
    </row>
    <row r="4" spans="1:29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140"/>
      <c r="K4" s="140"/>
      <c r="L4" s="140"/>
      <c r="M4" s="140"/>
      <c r="N4" s="140"/>
    </row>
    <row r="5" spans="1:29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</row>
    <row r="6" spans="1:29">
      <c r="A6" s="5" t="s">
        <v>82</v>
      </c>
      <c r="B6" s="5"/>
      <c r="C6" s="5"/>
      <c r="D6" s="5"/>
      <c r="E6" s="5"/>
      <c r="F6" s="5"/>
      <c r="G6" s="5"/>
      <c r="H6" s="5"/>
      <c r="I6" s="5"/>
      <c r="J6" s="140"/>
      <c r="K6" s="140"/>
      <c r="L6" s="140"/>
      <c r="M6" s="140"/>
      <c r="N6" s="140"/>
    </row>
    <row r="7" spans="1:29">
      <c r="A7" s="5" t="s">
        <v>216</v>
      </c>
      <c r="B7" s="5"/>
      <c r="C7" s="5"/>
      <c r="D7" s="5"/>
      <c r="E7" s="5"/>
      <c r="F7" s="5"/>
      <c r="G7" s="5"/>
      <c r="H7" s="5"/>
      <c r="I7" s="5"/>
      <c r="J7" s="140"/>
      <c r="K7" s="140"/>
      <c r="L7" s="140"/>
      <c r="M7" s="140"/>
      <c r="N7" s="140"/>
    </row>
    <row r="8" spans="1:29">
      <c r="M8" s="61"/>
      <c r="N8" s="61"/>
      <c r="V8" s="61"/>
      <c r="W8" s="25" t="s">
        <v>0</v>
      </c>
      <c r="AB8" s="25" t="s">
        <v>2</v>
      </c>
      <c r="AC8" s="25"/>
    </row>
    <row r="9" spans="1:29">
      <c r="C9" s="6" t="s">
        <v>1</v>
      </c>
      <c r="I9" s="61"/>
      <c r="M9" s="61"/>
      <c r="N9" s="25"/>
      <c r="Q9" s="25" t="s">
        <v>2</v>
      </c>
      <c r="R9" s="25" t="s">
        <v>2</v>
      </c>
      <c r="S9" s="25" t="s">
        <v>2</v>
      </c>
      <c r="T9" s="25">
        <v>2022</v>
      </c>
      <c r="U9" s="61"/>
      <c r="V9" s="25" t="s">
        <v>0</v>
      </c>
      <c r="W9" s="25" t="s">
        <v>7</v>
      </c>
      <c r="Y9" s="25" t="s">
        <v>0</v>
      </c>
      <c r="AB9" s="97" t="s">
        <v>198</v>
      </c>
      <c r="AC9" s="25"/>
    </row>
    <row r="10" spans="1:29">
      <c r="C10" s="6" t="s">
        <v>67</v>
      </c>
      <c r="E10" s="6" t="s">
        <v>1</v>
      </c>
      <c r="F10" s="6"/>
      <c r="G10" s="6"/>
      <c r="I10" s="6" t="s">
        <v>7</v>
      </c>
      <c r="K10" s="6"/>
      <c r="M10" s="61"/>
      <c r="N10" s="25"/>
      <c r="Q10" s="25" t="s">
        <v>1</v>
      </c>
      <c r="R10" s="25" t="s">
        <v>1</v>
      </c>
      <c r="S10" s="25" t="s">
        <v>67</v>
      </c>
      <c r="T10" s="25" t="s">
        <v>1</v>
      </c>
      <c r="U10" s="25" t="s">
        <v>1</v>
      </c>
      <c r="V10" s="25" t="s">
        <v>7</v>
      </c>
      <c r="W10" s="25" t="s">
        <v>160</v>
      </c>
      <c r="Y10" s="25" t="s">
        <v>1</v>
      </c>
      <c r="Z10" s="25" t="s">
        <v>7</v>
      </c>
      <c r="AB10" s="25" t="s">
        <v>7</v>
      </c>
      <c r="AC10" s="25"/>
    </row>
    <row r="11" spans="1:29">
      <c r="A11" s="6" t="s">
        <v>3</v>
      </c>
      <c r="B11" s="6"/>
      <c r="C11" s="6" t="s">
        <v>9</v>
      </c>
      <c r="D11" s="6"/>
      <c r="E11" s="6" t="s">
        <v>650</v>
      </c>
      <c r="F11" s="6"/>
      <c r="G11" s="6" t="s">
        <v>13</v>
      </c>
      <c r="I11" s="6" t="s">
        <v>13</v>
      </c>
      <c r="K11" s="6"/>
      <c r="M11" s="61"/>
      <c r="N11" s="25"/>
      <c r="Q11" s="25" t="s">
        <v>9</v>
      </c>
      <c r="R11" s="25" t="s">
        <v>17</v>
      </c>
      <c r="S11" s="25" t="s">
        <v>650</v>
      </c>
      <c r="T11" s="25" t="s">
        <v>650</v>
      </c>
      <c r="U11" s="25" t="s">
        <v>650</v>
      </c>
      <c r="V11" s="25" t="s">
        <v>160</v>
      </c>
      <c r="W11" s="25" t="s">
        <v>13</v>
      </c>
      <c r="Y11" s="25" t="s">
        <v>160</v>
      </c>
      <c r="Z11" s="25" t="s">
        <v>13</v>
      </c>
      <c r="AB11" s="25" t="s">
        <v>13</v>
      </c>
      <c r="AC11" s="25"/>
    </row>
    <row r="12" spans="1:29">
      <c r="A12" s="6" t="s">
        <v>4</v>
      </c>
      <c r="B12" s="6"/>
      <c r="C12" s="2" t="s">
        <v>55</v>
      </c>
      <c r="D12" s="6"/>
      <c r="E12" s="6" t="s">
        <v>1370</v>
      </c>
      <c r="F12" s="6"/>
      <c r="G12" s="6" t="s">
        <v>1370</v>
      </c>
      <c r="I12" s="6" t="s">
        <v>55</v>
      </c>
      <c r="K12" s="6"/>
      <c r="M12" s="61"/>
      <c r="N12" s="25"/>
      <c r="P12" s="25" t="s">
        <v>4</v>
      </c>
      <c r="Q12" s="25" t="s">
        <v>55</v>
      </c>
      <c r="R12" s="25" t="s">
        <v>55</v>
      </c>
      <c r="S12" s="25" t="s">
        <v>1370</v>
      </c>
      <c r="T12" s="25" t="s">
        <v>1370</v>
      </c>
      <c r="U12" s="25" t="s">
        <v>1370</v>
      </c>
      <c r="V12" s="25" t="s">
        <v>55</v>
      </c>
      <c r="W12" s="25" t="s">
        <v>55</v>
      </c>
      <c r="Y12" s="25" t="s">
        <v>55</v>
      </c>
      <c r="Z12" s="25" t="s">
        <v>55</v>
      </c>
      <c r="AB12" s="25" t="s">
        <v>55</v>
      </c>
      <c r="AC12" s="25" t="s">
        <v>18</v>
      </c>
    </row>
    <row r="13" spans="1:29">
      <c r="A13" s="106" t="s">
        <v>27</v>
      </c>
      <c r="C13" s="106" t="s">
        <v>33</v>
      </c>
      <c r="D13" s="6"/>
      <c r="E13" s="118" t="s">
        <v>36</v>
      </c>
      <c r="G13" s="118" t="s">
        <v>38</v>
      </c>
      <c r="H13" s="6"/>
      <c r="I13" s="118" t="s">
        <v>40</v>
      </c>
      <c r="J13" s="6"/>
      <c r="M13" s="61"/>
      <c r="P13" s="203" t="s">
        <v>42</v>
      </c>
      <c r="Q13" s="203" t="s">
        <v>30</v>
      </c>
      <c r="R13" s="203" t="s">
        <v>31</v>
      </c>
      <c r="S13" s="203" t="s">
        <v>103</v>
      </c>
      <c r="T13" s="203" t="s">
        <v>106</v>
      </c>
      <c r="U13" s="203" t="s">
        <v>108</v>
      </c>
      <c r="V13" s="203" t="s">
        <v>134</v>
      </c>
      <c r="W13" s="203" t="s">
        <v>137</v>
      </c>
      <c r="Y13" s="203" t="s">
        <v>345</v>
      </c>
      <c r="Z13" s="203" t="s">
        <v>571</v>
      </c>
      <c r="AB13" s="203"/>
      <c r="AC13" s="203"/>
    </row>
    <row r="14" spans="1:29">
      <c r="K14" s="19"/>
      <c r="M14" s="61"/>
      <c r="N14" s="61"/>
      <c r="Q14" s="61"/>
      <c r="R14" s="61"/>
      <c r="S14" s="61"/>
      <c r="T14" s="61"/>
      <c r="U14" s="61"/>
      <c r="V14" s="61"/>
      <c r="W14" s="61"/>
      <c r="AB14" s="61"/>
      <c r="AC14" s="61"/>
    </row>
    <row r="15" spans="1:29">
      <c r="A15" s="6">
        <v>1994</v>
      </c>
      <c r="B15" s="6"/>
      <c r="C15" s="147">
        <f>'Exhibit K,1'!G16</f>
        <v>34673446.140000001</v>
      </c>
      <c r="D15" s="6"/>
      <c r="E15" s="60">
        <f>S15</f>
        <v>0.6386265319747072</v>
      </c>
      <c r="F15" s="60"/>
      <c r="G15" s="60">
        <f>1-E15</f>
        <v>0.3613734680252928</v>
      </c>
      <c r="I15" s="147">
        <f>C15*G15</f>
        <v>12530063.480000002</v>
      </c>
      <c r="K15" s="18"/>
      <c r="M15" s="61"/>
      <c r="N15" s="259"/>
      <c r="P15" s="25">
        <f>A15</f>
        <v>1994</v>
      </c>
      <c r="Q15" s="137">
        <v>34673446.140000001</v>
      </c>
      <c r="R15" s="84">
        <v>22143382.66</v>
      </c>
      <c r="S15" s="376">
        <f>R15/Q15</f>
        <v>0.6386265319747072</v>
      </c>
      <c r="T15" s="377"/>
      <c r="U15" s="377">
        <f>S15</f>
        <v>0.6386265319747072</v>
      </c>
      <c r="V15" s="223">
        <f>'Exhibit P,1'!K16+'Exhibit P,1'!G16</f>
        <v>36909265.92721004</v>
      </c>
      <c r="W15" s="122">
        <f>(1-U15)*V15</f>
        <v>13338029.430383667</v>
      </c>
      <c r="Y15" s="122">
        <f>'Exhibit K,1'!G16</f>
        <v>34673446.140000001</v>
      </c>
      <c r="Z15" s="122">
        <f>(1-U15)*Y15</f>
        <v>12530063.480000002</v>
      </c>
      <c r="AB15" s="137">
        <v>12530063.480000002</v>
      </c>
      <c r="AC15" s="69">
        <f>I15-AB15</f>
        <v>0</v>
      </c>
    </row>
    <row r="16" spans="1:29">
      <c r="A16" s="6">
        <f>A15+1</f>
        <v>1995</v>
      </c>
      <c r="B16" s="6"/>
      <c r="C16" s="494">
        <f>'Exhibit K,1'!G17</f>
        <v>53054735.739999995</v>
      </c>
      <c r="D16" s="6"/>
      <c r="E16" s="60">
        <f t="shared" ref="E16:E27" si="0">S16</f>
        <v>0.47746807568963684</v>
      </c>
      <c r="F16" s="60"/>
      <c r="G16" s="60">
        <f t="shared" ref="G16:G43" si="1">1-E16</f>
        <v>0.52253192431036322</v>
      </c>
      <c r="I16" s="494">
        <f t="shared" ref="I16:I43" si="2">C16*G16</f>
        <v>27722793.16</v>
      </c>
      <c r="K16" s="18"/>
      <c r="M16" s="61"/>
      <c r="N16" s="259"/>
      <c r="P16" s="25">
        <f>P15+1</f>
        <v>1995</v>
      </c>
      <c r="Q16" s="137">
        <v>53054735.739999995</v>
      </c>
      <c r="R16" s="84">
        <v>25331942.579999998</v>
      </c>
      <c r="S16" s="376">
        <f t="shared" ref="S16:S42" si="3">R16/Q16</f>
        <v>0.47746807568963684</v>
      </c>
      <c r="T16" s="61"/>
      <c r="U16" s="377">
        <f t="shared" ref="U16:U35" si="4">S16</f>
        <v>0.47746807568963684</v>
      </c>
      <c r="V16" s="137">
        <f>'Exhibit P,1'!K17+'Exhibit P,1'!G17</f>
        <v>53067752.847082168</v>
      </c>
      <c r="W16" s="137">
        <f t="shared" ref="W16:W42" si="5">(1-U16)*V16</f>
        <v>27729595.014012601</v>
      </c>
      <c r="Y16" s="137">
        <f>'Exhibit K,1'!G17</f>
        <v>53054735.739999995</v>
      </c>
      <c r="Z16" s="137">
        <f t="shared" ref="Z16:Z43" si="6">(1-U16)*Y16</f>
        <v>27722793.16</v>
      </c>
      <c r="AB16" s="137">
        <v>27722793.16</v>
      </c>
      <c r="AC16" s="69">
        <f t="shared" ref="AC16:AC42" si="7">I16-AB16</f>
        <v>0</v>
      </c>
    </row>
    <row r="17" spans="1:29">
      <c r="A17" s="6">
        <f t="shared" ref="A17:A43" si="8">A16+1</f>
        <v>1996</v>
      </c>
      <c r="B17" s="6"/>
      <c r="C17" s="494">
        <f>'Exhibit K,1'!G18</f>
        <v>46655939.089999996</v>
      </c>
      <c r="D17" s="6"/>
      <c r="E17" s="60">
        <f t="shared" si="0"/>
        <v>0.581277882279574</v>
      </c>
      <c r="F17" s="60"/>
      <c r="G17" s="60">
        <f t="shared" si="1"/>
        <v>0.418722117720426</v>
      </c>
      <c r="I17" s="494">
        <f t="shared" si="2"/>
        <v>19535873.620000005</v>
      </c>
      <c r="K17" s="18"/>
      <c r="M17" s="61"/>
      <c r="N17" s="259"/>
      <c r="P17" s="25">
        <f t="shared" ref="P17:P43" si="9">P16+1</f>
        <v>1996</v>
      </c>
      <c r="Q17" s="137">
        <v>46655939.089999996</v>
      </c>
      <c r="R17" s="84">
        <v>27120065.469999995</v>
      </c>
      <c r="S17" s="376">
        <f t="shared" si="3"/>
        <v>0.581277882279574</v>
      </c>
      <c r="T17" s="61"/>
      <c r="U17" s="377">
        <f t="shared" si="4"/>
        <v>0.581277882279574</v>
      </c>
      <c r="V17" s="137">
        <f>'Exhibit P,1'!K18+'Exhibit P,1'!G18</f>
        <v>44130890.268528022</v>
      </c>
      <c r="W17" s="137">
        <f t="shared" si="5"/>
        <v>18478579.830125794</v>
      </c>
      <c r="Y17" s="137">
        <f>'Exhibit K,1'!G18</f>
        <v>46655939.089999996</v>
      </c>
      <c r="Z17" s="137">
        <f t="shared" si="6"/>
        <v>19535873.620000005</v>
      </c>
      <c r="AB17" s="137">
        <v>19535873.620000005</v>
      </c>
      <c r="AC17" s="69">
        <f t="shared" si="7"/>
        <v>0</v>
      </c>
    </row>
    <row r="18" spans="1:29">
      <c r="A18" s="6">
        <f t="shared" si="8"/>
        <v>1997</v>
      </c>
      <c r="B18" s="6"/>
      <c r="C18" s="494">
        <f>'Exhibit K,1'!G19</f>
        <v>36175371.239999995</v>
      </c>
      <c r="D18" s="6"/>
      <c r="E18" s="60">
        <f t="shared" si="0"/>
        <v>0.70832218140907732</v>
      </c>
      <c r="F18" s="60"/>
      <c r="G18" s="60">
        <f t="shared" si="1"/>
        <v>0.29167781859092268</v>
      </c>
      <c r="I18" s="494">
        <f t="shared" si="2"/>
        <v>10551553.369999999</v>
      </c>
      <c r="K18" s="18"/>
      <c r="M18" s="61"/>
      <c r="N18" s="259"/>
      <c r="P18" s="25">
        <f t="shared" si="9"/>
        <v>1997</v>
      </c>
      <c r="Q18" s="137">
        <v>36175371.239999995</v>
      </c>
      <c r="R18" s="84">
        <v>25623817.869999994</v>
      </c>
      <c r="S18" s="376">
        <f t="shared" si="3"/>
        <v>0.70832218140907732</v>
      </c>
      <c r="T18" s="61"/>
      <c r="U18" s="377">
        <f t="shared" si="4"/>
        <v>0.70832218140907732</v>
      </c>
      <c r="V18" s="137">
        <f>'Exhibit P,1'!K19+'Exhibit P,1'!G19</f>
        <v>34406607.344744816</v>
      </c>
      <c r="W18" s="137">
        <f t="shared" si="5"/>
        <v>10035644.175429586</v>
      </c>
      <c r="Y18" s="137">
        <f>'Exhibit K,1'!G19</f>
        <v>36175371.239999995</v>
      </c>
      <c r="Z18" s="137">
        <f t="shared" si="6"/>
        <v>10551553.369999999</v>
      </c>
      <c r="AB18" s="137">
        <v>10551553.369999999</v>
      </c>
      <c r="AC18" s="69">
        <f t="shared" si="7"/>
        <v>0</v>
      </c>
    </row>
    <row r="19" spans="1:29">
      <c r="A19" s="6">
        <f t="shared" si="8"/>
        <v>1998</v>
      </c>
      <c r="B19" s="6"/>
      <c r="C19" s="494">
        <f>'Exhibit K,1'!G20</f>
        <v>53964670.75</v>
      </c>
      <c r="D19" s="6"/>
      <c r="E19" s="60">
        <f t="shared" si="0"/>
        <v>0.48028109761051402</v>
      </c>
      <c r="F19" s="60"/>
      <c r="G19" s="60">
        <f t="shared" si="1"/>
        <v>0.51971890238948593</v>
      </c>
      <c r="I19" s="494">
        <f t="shared" si="2"/>
        <v>28046459.449999996</v>
      </c>
      <c r="K19" s="18"/>
      <c r="M19" s="61"/>
      <c r="N19" s="259"/>
      <c r="P19" s="25">
        <f t="shared" si="9"/>
        <v>1998</v>
      </c>
      <c r="Q19" s="137">
        <v>53964670.75</v>
      </c>
      <c r="R19" s="84">
        <v>25918211.300000001</v>
      </c>
      <c r="S19" s="376">
        <f t="shared" si="3"/>
        <v>0.48028109761051402</v>
      </c>
      <c r="T19" s="61"/>
      <c r="U19" s="377">
        <f t="shared" si="4"/>
        <v>0.48028109761051402</v>
      </c>
      <c r="V19" s="137">
        <f>'Exhibit P,1'!K20+'Exhibit P,1'!G20</f>
        <v>47199094.288815692</v>
      </c>
      <c r="W19" s="137">
        <f t="shared" si="5"/>
        <v>24530261.477561146</v>
      </c>
      <c r="Y19" s="137">
        <f>'Exhibit K,1'!G20</f>
        <v>53964670.75</v>
      </c>
      <c r="Z19" s="137">
        <f t="shared" si="6"/>
        <v>28046459.449999996</v>
      </c>
      <c r="AB19" s="137">
        <v>28046459.449999996</v>
      </c>
      <c r="AC19" s="69">
        <f t="shared" si="7"/>
        <v>0</v>
      </c>
    </row>
    <row r="20" spans="1:29">
      <c r="A20" s="6">
        <f t="shared" si="8"/>
        <v>1999</v>
      </c>
      <c r="C20" s="494">
        <f>'Exhibit K,1'!G21</f>
        <v>53421110.340000004</v>
      </c>
      <c r="E20" s="60">
        <f t="shared" si="0"/>
        <v>0.56770965142766072</v>
      </c>
      <c r="F20" s="60"/>
      <c r="G20" s="60">
        <f t="shared" si="1"/>
        <v>0.43229034857233928</v>
      </c>
      <c r="I20" s="494">
        <f t="shared" si="2"/>
        <v>23093430.41</v>
      </c>
      <c r="K20" s="18"/>
      <c r="M20" s="61"/>
      <c r="N20" s="259"/>
      <c r="P20" s="25">
        <f t="shared" si="9"/>
        <v>1999</v>
      </c>
      <c r="Q20" s="137">
        <v>53421110.340000004</v>
      </c>
      <c r="R20" s="84">
        <v>30327679.930000003</v>
      </c>
      <c r="S20" s="376">
        <f t="shared" si="3"/>
        <v>0.56770965142766072</v>
      </c>
      <c r="T20" s="61"/>
      <c r="U20" s="377">
        <f t="shared" si="4"/>
        <v>0.56770965142766072</v>
      </c>
      <c r="V20" s="137">
        <f>'Exhibit P,1'!K21+'Exhibit P,1'!G21</f>
        <v>40757992.050087363</v>
      </c>
      <c r="W20" s="137">
        <f t="shared" si="5"/>
        <v>17619286.590440899</v>
      </c>
      <c r="Y20" s="137">
        <f>'Exhibit K,1'!G21</f>
        <v>53421110.340000004</v>
      </c>
      <c r="Z20" s="137">
        <f t="shared" si="6"/>
        <v>23093430.41</v>
      </c>
      <c r="AB20" s="137">
        <v>23093430.41</v>
      </c>
      <c r="AC20" s="69">
        <f t="shared" si="7"/>
        <v>0</v>
      </c>
    </row>
    <row r="21" spans="1:29">
      <c r="A21" s="6">
        <f t="shared" si="8"/>
        <v>2000</v>
      </c>
      <c r="C21" s="494">
        <f>'Exhibit K,1'!G22</f>
        <v>43910495.93</v>
      </c>
      <c r="E21" s="60">
        <f t="shared" si="0"/>
        <v>0.61708827413828748</v>
      </c>
      <c r="F21" s="60"/>
      <c r="G21" s="60">
        <f t="shared" si="1"/>
        <v>0.38291172586171252</v>
      </c>
      <c r="I21" s="494">
        <f t="shared" si="2"/>
        <v>16813843.780000001</v>
      </c>
      <c r="K21" s="18"/>
      <c r="M21" s="61"/>
      <c r="N21" s="259"/>
      <c r="P21" s="25">
        <f t="shared" si="9"/>
        <v>2000</v>
      </c>
      <c r="Q21" s="137">
        <v>43910495.93</v>
      </c>
      <c r="R21" s="84">
        <v>27096652.149999999</v>
      </c>
      <c r="S21" s="376">
        <f t="shared" si="3"/>
        <v>0.61708827413828748</v>
      </c>
      <c r="T21" s="61"/>
      <c r="U21" s="377">
        <f t="shared" si="4"/>
        <v>0.61708827413828748</v>
      </c>
      <c r="V21" s="137">
        <f>'Exhibit P,1'!K22+'Exhibit P,1'!G22</f>
        <v>42096733.933400869</v>
      </c>
      <c r="W21" s="137">
        <f t="shared" si="5"/>
        <v>16119333.043579845</v>
      </c>
      <c r="Y21" s="137">
        <f>'Exhibit K,1'!G22</f>
        <v>43910495.93</v>
      </c>
      <c r="Z21" s="137">
        <f t="shared" si="6"/>
        <v>16813843.780000001</v>
      </c>
      <c r="AB21" s="137">
        <v>16813843.780000001</v>
      </c>
      <c r="AC21" s="69">
        <f t="shared" si="7"/>
        <v>0</v>
      </c>
    </row>
    <row r="22" spans="1:29">
      <c r="A22" s="6">
        <f t="shared" si="8"/>
        <v>2001</v>
      </c>
      <c r="C22" s="494">
        <f>'Exhibit K,1'!G23</f>
        <v>34627879.330000006</v>
      </c>
      <c r="E22" s="60">
        <f t="shared" si="0"/>
        <v>0.74093347055682957</v>
      </c>
      <c r="F22" s="60"/>
      <c r="G22" s="60">
        <f t="shared" si="1"/>
        <v>0.25906652944317043</v>
      </c>
      <c r="I22" s="494">
        <f t="shared" si="2"/>
        <v>8970924.5199999996</v>
      </c>
      <c r="K22" s="18"/>
      <c r="M22" s="61"/>
      <c r="N22" s="259"/>
      <c r="P22" s="25">
        <f t="shared" si="9"/>
        <v>2001</v>
      </c>
      <c r="Q22" s="137">
        <v>34627879.330000006</v>
      </c>
      <c r="R22" s="84">
        <v>25656954.810000006</v>
      </c>
      <c r="S22" s="376">
        <f t="shared" si="3"/>
        <v>0.74093347055682957</v>
      </c>
      <c r="T22" s="61"/>
      <c r="U22" s="377">
        <f t="shared" si="4"/>
        <v>0.74093347055682957</v>
      </c>
      <c r="V22" s="137">
        <f>'Exhibit P,1'!K23+'Exhibit P,1'!G23</f>
        <v>38498666.717623658</v>
      </c>
      <c r="W22" s="137">
        <f t="shared" si="5"/>
        <v>9973715.9747240543</v>
      </c>
      <c r="Y22" s="137">
        <f>'Exhibit K,1'!G23</f>
        <v>34627879.330000006</v>
      </c>
      <c r="Z22" s="137">
        <f t="shared" si="6"/>
        <v>8970924.5199999996</v>
      </c>
      <c r="AB22" s="137">
        <v>8970924.5199999996</v>
      </c>
      <c r="AC22" s="69">
        <f t="shared" si="7"/>
        <v>0</v>
      </c>
    </row>
    <row r="23" spans="1:29">
      <c r="A23" s="6">
        <f t="shared" si="8"/>
        <v>2002</v>
      </c>
      <c r="C23" s="494">
        <f>'Exhibit K,1'!G24</f>
        <v>39010397.339999989</v>
      </c>
      <c r="E23" s="60">
        <f t="shared" si="0"/>
        <v>0.84866331100025649</v>
      </c>
      <c r="F23" s="60"/>
      <c r="G23" s="60">
        <f t="shared" si="1"/>
        <v>0.15133668899974351</v>
      </c>
      <c r="I23" s="494">
        <f t="shared" si="2"/>
        <v>5903704.3700000001</v>
      </c>
      <c r="K23" s="18"/>
      <c r="M23" s="61"/>
      <c r="N23" s="259"/>
      <c r="P23" s="25">
        <f t="shared" si="9"/>
        <v>2002</v>
      </c>
      <c r="Q23" s="137">
        <v>39010397.339999989</v>
      </c>
      <c r="R23" s="84">
        <v>33106692.969999988</v>
      </c>
      <c r="S23" s="376">
        <f t="shared" si="3"/>
        <v>0.84866331100025649</v>
      </c>
      <c r="T23" s="61"/>
      <c r="U23" s="377">
        <f t="shared" si="4"/>
        <v>0.84866331100025649</v>
      </c>
      <c r="V23" s="137">
        <f>'Exhibit P,1'!K24+'Exhibit P,1'!G24</f>
        <v>33605432.841476709</v>
      </c>
      <c r="W23" s="137">
        <f t="shared" si="5"/>
        <v>5085734.9386323271</v>
      </c>
      <c r="Y23" s="137">
        <f>'Exhibit K,1'!G24</f>
        <v>39010397.339999989</v>
      </c>
      <c r="Z23" s="137">
        <f t="shared" si="6"/>
        <v>5903704.3700000001</v>
      </c>
      <c r="AB23" s="137">
        <v>5903704.3700000001</v>
      </c>
      <c r="AC23" s="69">
        <f t="shared" si="7"/>
        <v>0</v>
      </c>
    </row>
    <row r="24" spans="1:29">
      <c r="A24" s="6">
        <f t="shared" si="8"/>
        <v>2003</v>
      </c>
      <c r="C24" s="494">
        <f>'Exhibit K,1'!G25</f>
        <v>36418044.310000002</v>
      </c>
      <c r="E24" s="60">
        <f t="shared" si="0"/>
        <v>0.76884710781439547</v>
      </c>
      <c r="F24" s="60"/>
      <c r="G24" s="60">
        <f t="shared" si="1"/>
        <v>0.23115289218560453</v>
      </c>
      <c r="I24" s="494">
        <f t="shared" si="2"/>
        <v>8418136.2699999996</v>
      </c>
      <c r="K24" s="18"/>
      <c r="M24" s="61"/>
      <c r="N24" s="259"/>
      <c r="P24" s="25">
        <f t="shared" si="9"/>
        <v>2003</v>
      </c>
      <c r="Q24" s="137">
        <v>36418044.310000002</v>
      </c>
      <c r="R24" s="84">
        <v>27999908.040000003</v>
      </c>
      <c r="S24" s="376">
        <f t="shared" si="3"/>
        <v>0.76884710781439547</v>
      </c>
      <c r="T24" s="61"/>
      <c r="U24" s="377">
        <f t="shared" si="4"/>
        <v>0.76884710781439547</v>
      </c>
      <c r="V24" s="137">
        <f>'Exhibit P,1'!K25+'Exhibit P,1'!G25</f>
        <v>30955861.246804111</v>
      </c>
      <c r="W24" s="137">
        <f t="shared" si="5"/>
        <v>7155536.8572950438</v>
      </c>
      <c r="Y24" s="137">
        <f>'Exhibit K,1'!G25</f>
        <v>36418044.310000002</v>
      </c>
      <c r="Z24" s="137">
        <f t="shared" si="6"/>
        <v>8418136.2699999996</v>
      </c>
      <c r="AB24" s="137">
        <v>8418136.2700000033</v>
      </c>
      <c r="AC24" s="69">
        <f t="shared" si="7"/>
        <v>0</v>
      </c>
    </row>
    <row r="25" spans="1:29">
      <c r="A25" s="6">
        <f t="shared" si="8"/>
        <v>2004</v>
      </c>
      <c r="C25" s="494">
        <f>'Exhibit K,1'!G26</f>
        <v>19328436.559999995</v>
      </c>
      <c r="E25" s="60">
        <f t="shared" si="0"/>
        <v>0.97178287554159015</v>
      </c>
      <c r="F25" s="60"/>
      <c r="G25" s="60">
        <f t="shared" si="1"/>
        <v>2.8217124458409848E-2</v>
      </c>
      <c r="I25" s="494">
        <f t="shared" si="2"/>
        <v>545392.89999999898</v>
      </c>
      <c r="K25" s="18"/>
      <c r="M25" s="61"/>
      <c r="N25" s="259"/>
      <c r="P25" s="25">
        <f t="shared" si="9"/>
        <v>2004</v>
      </c>
      <c r="Q25" s="137">
        <v>19328436.559999995</v>
      </c>
      <c r="R25" s="84">
        <v>18783043.659999996</v>
      </c>
      <c r="S25" s="376">
        <f t="shared" si="3"/>
        <v>0.97178287554159015</v>
      </c>
      <c r="T25" s="61"/>
      <c r="U25" s="377">
        <f t="shared" si="4"/>
        <v>0.97178287554159015</v>
      </c>
      <c r="V25" s="137">
        <f>'Exhibit P,1'!K26+'Exhibit P,1'!G26</f>
        <v>22089823.009784196</v>
      </c>
      <c r="W25" s="137">
        <f t="shared" si="5"/>
        <v>623311.28513132629</v>
      </c>
      <c r="Y25" s="137">
        <f>'Exhibit K,1'!G26</f>
        <v>19328436.559999995</v>
      </c>
      <c r="Z25" s="137">
        <f t="shared" si="6"/>
        <v>545392.89999999898</v>
      </c>
      <c r="AB25" s="137">
        <v>545392.89999999898</v>
      </c>
      <c r="AC25" s="69">
        <f t="shared" si="7"/>
        <v>0</v>
      </c>
    </row>
    <row r="26" spans="1:29">
      <c r="A26" s="6">
        <f t="shared" si="8"/>
        <v>2005</v>
      </c>
      <c r="C26" s="494">
        <f>'Exhibit K,1'!G27</f>
        <v>20518160.280000001</v>
      </c>
      <c r="E26" s="60">
        <f t="shared" si="0"/>
        <v>0.93779862996566865</v>
      </c>
      <c r="F26" s="60"/>
      <c r="G26" s="60">
        <f t="shared" si="1"/>
        <v>6.2201370034331349E-2</v>
      </c>
      <c r="I26" s="494">
        <f t="shared" si="2"/>
        <v>1276257.6799999997</v>
      </c>
      <c r="K26" s="18"/>
      <c r="M26" s="61"/>
      <c r="N26" s="259"/>
      <c r="P26" s="25">
        <f t="shared" si="9"/>
        <v>2005</v>
      </c>
      <c r="Q26" s="137">
        <v>20518160.280000001</v>
      </c>
      <c r="R26" s="84">
        <v>19241902.600000001</v>
      </c>
      <c r="S26" s="376">
        <f t="shared" si="3"/>
        <v>0.93779862996566865</v>
      </c>
      <c r="T26" s="61"/>
      <c r="U26" s="377">
        <f t="shared" si="4"/>
        <v>0.93779862996566865</v>
      </c>
      <c r="V26" s="137">
        <f>'Exhibit P,1'!K27+'Exhibit P,1'!G27</f>
        <v>19412069.463772189</v>
      </c>
      <c r="W26" s="137">
        <f t="shared" si="5"/>
        <v>1207457.3158482381</v>
      </c>
      <c r="Y26" s="137">
        <f>'Exhibit K,1'!G27</f>
        <v>20518160.280000001</v>
      </c>
      <c r="Z26" s="137">
        <f t="shared" si="6"/>
        <v>1276257.6799999997</v>
      </c>
      <c r="AB26" s="137">
        <v>1276257.6799999997</v>
      </c>
      <c r="AC26" s="69">
        <f t="shared" si="7"/>
        <v>0</v>
      </c>
    </row>
    <row r="27" spans="1:29">
      <c r="A27" s="6">
        <f t="shared" si="8"/>
        <v>2006</v>
      </c>
      <c r="C27" s="494">
        <f>'Exhibit K,1'!G28</f>
        <v>20009669.5</v>
      </c>
      <c r="E27" s="60">
        <f t="shared" si="0"/>
        <v>1</v>
      </c>
      <c r="F27" s="60"/>
      <c r="G27" s="60">
        <f t="shared" si="1"/>
        <v>0</v>
      </c>
      <c r="I27" s="494">
        <f t="shared" si="2"/>
        <v>0</v>
      </c>
      <c r="K27" s="18"/>
      <c r="M27" s="61"/>
      <c r="N27" s="259"/>
      <c r="P27" s="25">
        <f t="shared" si="9"/>
        <v>2006</v>
      </c>
      <c r="Q27" s="137">
        <v>20215805.799999997</v>
      </c>
      <c r="R27" s="84">
        <v>20215805.799999997</v>
      </c>
      <c r="S27" s="376">
        <f t="shared" si="3"/>
        <v>1</v>
      </c>
      <c r="T27" s="61"/>
      <c r="U27" s="377">
        <f t="shared" si="4"/>
        <v>1</v>
      </c>
      <c r="V27" s="137">
        <f>'Exhibit P,1'!K28+'Exhibit P,1'!G28</f>
        <v>20720811.294200525</v>
      </c>
      <c r="W27" s="137">
        <f t="shared" si="5"/>
        <v>0</v>
      </c>
      <c r="Y27" s="137">
        <f>'Exhibit K,1'!G28</f>
        <v>20009669.5</v>
      </c>
      <c r="Z27" s="137">
        <f t="shared" si="6"/>
        <v>0</v>
      </c>
      <c r="AB27" s="137">
        <v>0</v>
      </c>
      <c r="AC27" s="69">
        <f t="shared" si="7"/>
        <v>0</v>
      </c>
    </row>
    <row r="28" spans="1:29">
      <c r="A28" s="6">
        <f t="shared" si="8"/>
        <v>2007</v>
      </c>
      <c r="C28" s="494">
        <f>'Exhibit K,1'!G29</f>
        <v>21064584.210000001</v>
      </c>
      <c r="E28" s="60">
        <f>T28</f>
        <v>0.96970123532288799</v>
      </c>
      <c r="F28" s="60"/>
      <c r="G28" s="60">
        <f t="shared" si="1"/>
        <v>3.0298764677112011E-2</v>
      </c>
      <c r="I28" s="494">
        <f t="shared" si="2"/>
        <v>638230.87999999942</v>
      </c>
      <c r="K28" s="18"/>
      <c r="M28" s="61"/>
      <c r="N28" s="259"/>
      <c r="P28" s="25">
        <f t="shared" si="9"/>
        <v>2007</v>
      </c>
      <c r="Q28" s="137">
        <v>21064584.210000001</v>
      </c>
      <c r="R28" s="84">
        <v>20426353.330000002</v>
      </c>
      <c r="S28" s="376">
        <f t="shared" si="3"/>
        <v>0.96970123532288799</v>
      </c>
      <c r="T28" s="259">
        <v>0.96970123532288799</v>
      </c>
      <c r="U28" s="377">
        <f t="shared" si="4"/>
        <v>0.96970123532288799</v>
      </c>
      <c r="V28" s="137">
        <f>'Exhibit P,1'!K29+'Exhibit P,1'!G29</f>
        <v>19121179.018616844</v>
      </c>
      <c r="W28" s="137">
        <f t="shared" si="5"/>
        <v>579348.10343400331</v>
      </c>
      <c r="Y28" s="137">
        <f>'Exhibit K,1'!G29</f>
        <v>21064584.210000001</v>
      </c>
      <c r="Z28" s="137">
        <f t="shared" si="6"/>
        <v>638230.87999999942</v>
      </c>
      <c r="AB28" s="137">
        <v>638185.4350890955</v>
      </c>
      <c r="AC28" s="69">
        <f t="shared" si="7"/>
        <v>45.444910903926939</v>
      </c>
    </row>
    <row r="29" spans="1:29">
      <c r="A29" s="6">
        <f t="shared" si="8"/>
        <v>2008</v>
      </c>
      <c r="C29" s="494">
        <f>'Exhibit K,1'!G30</f>
        <v>21023781.949999999</v>
      </c>
      <c r="E29" s="60">
        <f t="shared" ref="E29:E43" si="10">T29</f>
        <v>0.96081127972315183</v>
      </c>
      <c r="F29" s="60"/>
      <c r="G29" s="60">
        <f t="shared" si="1"/>
        <v>3.9188720276848166E-2</v>
      </c>
      <c r="I29" s="494">
        <f t="shared" si="2"/>
        <v>823895.1099999994</v>
      </c>
      <c r="K29" s="18"/>
      <c r="M29" s="61"/>
      <c r="N29" s="259"/>
      <c r="P29" s="25">
        <f t="shared" si="9"/>
        <v>2008</v>
      </c>
      <c r="Q29" s="137">
        <v>21023781.949999999</v>
      </c>
      <c r="R29" s="84">
        <v>20199886.84</v>
      </c>
      <c r="S29" s="376">
        <f t="shared" si="3"/>
        <v>0.96081127972315183</v>
      </c>
      <c r="T29" s="259">
        <v>0.96081127972315183</v>
      </c>
      <c r="U29" s="377">
        <f t="shared" si="4"/>
        <v>0.96081127972315183</v>
      </c>
      <c r="V29" s="137">
        <f>'Exhibit P,1'!K30+'Exhibit P,1'!G30</f>
        <v>19862240.378830895</v>
      </c>
      <c r="W29" s="137">
        <f t="shared" si="5"/>
        <v>778375.78227752273</v>
      </c>
      <c r="Y29" s="137">
        <f>'Exhibit K,1'!G30</f>
        <v>21023781.949999999</v>
      </c>
      <c r="Z29" s="137">
        <f t="shared" si="6"/>
        <v>823895.1099999994</v>
      </c>
      <c r="AB29" s="137">
        <v>823895.1099999994</v>
      </c>
      <c r="AC29" s="69">
        <f t="shared" si="7"/>
        <v>0</v>
      </c>
    </row>
    <row r="30" spans="1:29">
      <c r="A30" s="6">
        <f t="shared" si="8"/>
        <v>2009</v>
      </c>
      <c r="C30" s="494">
        <f>'Exhibit K,1'!G31</f>
        <v>18970738.100000001</v>
      </c>
      <c r="E30" s="60">
        <f t="shared" si="10"/>
        <v>0.9095086437359019</v>
      </c>
      <c r="F30" s="60"/>
      <c r="G30" s="60">
        <f t="shared" si="1"/>
        <v>9.04913562640981E-2</v>
      </c>
      <c r="I30" s="494">
        <f t="shared" si="2"/>
        <v>1716687.8199999996</v>
      </c>
      <c r="K30" s="18"/>
      <c r="M30" s="61"/>
      <c r="N30" s="259"/>
      <c r="P30" s="25">
        <f t="shared" si="9"/>
        <v>2009</v>
      </c>
      <c r="Q30" s="137">
        <v>18970738.100000001</v>
      </c>
      <c r="R30" s="84">
        <v>17254050.280000001</v>
      </c>
      <c r="S30" s="376">
        <f t="shared" si="3"/>
        <v>0.9095086437359019</v>
      </c>
      <c r="T30" s="259">
        <v>0.9095086437359019</v>
      </c>
      <c r="U30" s="377">
        <f t="shared" si="4"/>
        <v>0.9095086437359019</v>
      </c>
      <c r="V30" s="137">
        <f>'Exhibit P,1'!K31+'Exhibit P,1'!G31</f>
        <v>21014049.649221815</v>
      </c>
      <c r="W30" s="137">
        <f t="shared" si="5"/>
        <v>1901589.853359177</v>
      </c>
      <c r="Y30" s="137">
        <f>'Exhibit K,1'!G31</f>
        <v>18970738.100000001</v>
      </c>
      <c r="Z30" s="137">
        <f t="shared" si="6"/>
        <v>1716687.8199999996</v>
      </c>
      <c r="AB30" s="137">
        <v>1716687.8199999996</v>
      </c>
      <c r="AC30" s="69">
        <f t="shared" si="7"/>
        <v>0</v>
      </c>
    </row>
    <row r="31" spans="1:29">
      <c r="A31" s="6">
        <f t="shared" si="8"/>
        <v>2010</v>
      </c>
      <c r="C31" s="494">
        <f>'Exhibit K,1'!G32</f>
        <v>25135887.52</v>
      </c>
      <c r="E31" s="60">
        <f t="shared" si="10"/>
        <v>0.91538390326151486</v>
      </c>
      <c r="F31" s="60"/>
      <c r="G31" s="60">
        <f t="shared" si="1"/>
        <v>8.4616096738485136E-2</v>
      </c>
      <c r="I31" s="494">
        <f t="shared" si="2"/>
        <v>2126900.6900000013</v>
      </c>
      <c r="K31" s="18"/>
      <c r="M31" s="61"/>
      <c r="N31" s="259"/>
      <c r="P31" s="25">
        <f t="shared" si="9"/>
        <v>2010</v>
      </c>
      <c r="Q31" s="137">
        <v>25135887.52</v>
      </c>
      <c r="R31" s="84">
        <v>23008986.829999998</v>
      </c>
      <c r="S31" s="376">
        <f t="shared" si="3"/>
        <v>0.91538390326151486</v>
      </c>
      <c r="T31" s="259">
        <v>0.91538390326151486</v>
      </c>
      <c r="U31" s="377">
        <f t="shared" si="4"/>
        <v>0.91538390326151486</v>
      </c>
      <c r="V31" s="137">
        <f>'Exhibit P,1'!K32+'Exhibit P,1'!G32</f>
        <v>20923687.192544613</v>
      </c>
      <c r="W31" s="137">
        <f t="shared" si="5"/>
        <v>1770480.7396101574</v>
      </c>
      <c r="Y31" s="137">
        <f>'Exhibit K,1'!G32</f>
        <v>25135887.52</v>
      </c>
      <c r="Z31" s="137">
        <f t="shared" si="6"/>
        <v>2126900.6900000013</v>
      </c>
      <c r="AB31" s="137">
        <v>2126900.6900000013</v>
      </c>
      <c r="AC31" s="69">
        <f t="shared" si="7"/>
        <v>0</v>
      </c>
    </row>
    <row r="32" spans="1:29">
      <c r="A32" s="6">
        <f t="shared" si="8"/>
        <v>2011</v>
      </c>
      <c r="C32" s="494">
        <f>'Exhibit K,1'!G33</f>
        <v>16859176.939999998</v>
      </c>
      <c r="E32" s="60">
        <f t="shared" si="10"/>
        <v>0.86738093099342017</v>
      </c>
      <c r="F32" s="60"/>
      <c r="G32" s="60">
        <f t="shared" si="1"/>
        <v>0.13261906900657983</v>
      </c>
      <c r="I32" s="494">
        <f t="shared" si="2"/>
        <v>2235848.3499999992</v>
      </c>
      <c r="K32" s="18"/>
      <c r="M32" s="61"/>
      <c r="N32" s="259"/>
      <c r="P32" s="25">
        <f t="shared" si="9"/>
        <v>2011</v>
      </c>
      <c r="Q32" s="137">
        <v>16859176.939999998</v>
      </c>
      <c r="R32" s="84">
        <v>14623328.589999998</v>
      </c>
      <c r="S32" s="376">
        <f t="shared" si="3"/>
        <v>0.86738093099342017</v>
      </c>
      <c r="T32" s="259">
        <v>0.86738093099342017</v>
      </c>
      <c r="U32" s="377">
        <f t="shared" si="4"/>
        <v>0.86738093099342017</v>
      </c>
      <c r="V32" s="137">
        <f>'Exhibit P,1'!K33+'Exhibit P,1'!G33</f>
        <v>23464757.137125522</v>
      </c>
      <c r="W32" s="137">
        <f t="shared" si="5"/>
        <v>3111874.2459910861</v>
      </c>
      <c r="Y32" s="137">
        <f>'Exhibit K,1'!G33</f>
        <v>16859176.939999998</v>
      </c>
      <c r="Z32" s="137">
        <f t="shared" si="6"/>
        <v>2235848.3499999992</v>
      </c>
      <c r="AB32" s="137">
        <v>2195013.367801372</v>
      </c>
      <c r="AC32" s="69">
        <f t="shared" si="7"/>
        <v>40834.9821986272</v>
      </c>
    </row>
    <row r="33" spans="1:29">
      <c r="A33" s="6">
        <f t="shared" si="8"/>
        <v>2012</v>
      </c>
      <c r="C33" s="494">
        <f>'Exhibit K,1'!G34</f>
        <v>23495663.590000004</v>
      </c>
      <c r="E33" s="60">
        <f t="shared" si="10"/>
        <v>0.74468903469187842</v>
      </c>
      <c r="F33" s="60"/>
      <c r="G33" s="60">
        <f t="shared" si="1"/>
        <v>0.25531096530812158</v>
      </c>
      <c r="I33" s="494">
        <f t="shared" si="2"/>
        <v>5998700.5517177861</v>
      </c>
      <c r="K33" s="18"/>
      <c r="M33" s="61"/>
      <c r="N33" s="259"/>
      <c r="P33" s="25">
        <f t="shared" si="9"/>
        <v>2012</v>
      </c>
      <c r="Q33" s="137">
        <v>23472370.420000002</v>
      </c>
      <c r="R33" s="84">
        <v>17479616.870000001</v>
      </c>
      <c r="S33" s="376">
        <f t="shared" si="3"/>
        <v>0.74468903469187842</v>
      </c>
      <c r="T33" s="259">
        <v>0.74468903469187842</v>
      </c>
      <c r="U33" s="377">
        <f t="shared" si="4"/>
        <v>0.74468903469187842</v>
      </c>
      <c r="V33" s="137">
        <f>'Exhibit P,1'!K34+'Exhibit P,1'!G34</f>
        <v>22757753.40357307</v>
      </c>
      <c r="W33" s="137">
        <f t="shared" si="5"/>
        <v>5810303.9897104297</v>
      </c>
      <c r="Y33" s="137">
        <f>'Exhibit K,1'!G34</f>
        <v>23495663.590000004</v>
      </c>
      <c r="Z33" s="137">
        <f t="shared" si="6"/>
        <v>5998700.5517177861</v>
      </c>
      <c r="AB33" s="137">
        <v>6379065.1659762673</v>
      </c>
      <c r="AC33" s="69">
        <f t="shared" si="7"/>
        <v>-380364.61425848119</v>
      </c>
    </row>
    <row r="34" spans="1:29">
      <c r="A34" s="6">
        <f t="shared" si="8"/>
        <v>2013</v>
      </c>
      <c r="C34" s="494">
        <f>'Exhibit K,1'!G35</f>
        <v>20861638.420000002</v>
      </c>
      <c r="E34" s="60">
        <f t="shared" si="10"/>
        <v>0.70877675771738358</v>
      </c>
      <c r="F34" s="60"/>
      <c r="G34" s="60">
        <f t="shared" si="1"/>
        <v>0.29122324228261642</v>
      </c>
      <c r="I34" s="494">
        <f t="shared" si="2"/>
        <v>6075393.9799999995</v>
      </c>
      <c r="K34" s="18"/>
      <c r="M34" s="61"/>
      <c r="N34" s="259"/>
      <c r="P34" s="25">
        <f t="shared" si="9"/>
        <v>2013</v>
      </c>
      <c r="Q34" s="137">
        <v>20861638.420000002</v>
      </c>
      <c r="R34" s="84">
        <v>14786244.440000001</v>
      </c>
      <c r="S34" s="376">
        <f t="shared" si="3"/>
        <v>0.70877675771738358</v>
      </c>
      <c r="T34" s="259">
        <v>0.70877675771738358</v>
      </c>
      <c r="U34" s="377">
        <f t="shared" si="4"/>
        <v>0.70877675771738358</v>
      </c>
      <c r="V34" s="137">
        <f>'Exhibit P,1'!K35+'Exhibit P,1'!G35</f>
        <v>23941376.313121036</v>
      </c>
      <c r="W34" s="137">
        <f t="shared" si="5"/>
        <v>6972285.2346153418</v>
      </c>
      <c r="Y34" s="137">
        <f>'Exhibit K,1'!G35</f>
        <v>20861638.420000002</v>
      </c>
      <c r="Z34" s="137">
        <f t="shared" si="6"/>
        <v>6075393.9799999995</v>
      </c>
      <c r="AB34" s="137">
        <v>6067190.7321988661</v>
      </c>
      <c r="AC34" s="69">
        <f t="shared" si="7"/>
        <v>8203.2478011334315</v>
      </c>
    </row>
    <row r="35" spans="1:29">
      <c r="A35" s="6">
        <f t="shared" si="8"/>
        <v>2014</v>
      </c>
      <c r="C35" s="494">
        <f>'Exhibit K,1'!G36</f>
        <v>15413427.860000001</v>
      </c>
      <c r="E35" s="60">
        <f t="shared" si="10"/>
        <v>0.9138037925275948</v>
      </c>
      <c r="F35" s="60"/>
      <c r="G35" s="60">
        <f t="shared" si="1"/>
        <v>8.6196207472405195E-2</v>
      </c>
      <c r="I35" s="494">
        <f t="shared" si="2"/>
        <v>1328579.0256815106</v>
      </c>
      <c r="K35" s="18"/>
      <c r="M35" s="61"/>
      <c r="N35" s="259"/>
      <c r="P35" s="25">
        <f t="shared" si="9"/>
        <v>2014</v>
      </c>
      <c r="Q35" s="137">
        <v>15424983.406905109</v>
      </c>
      <c r="R35" s="84">
        <v>14095408.336905109</v>
      </c>
      <c r="S35" s="376">
        <f t="shared" si="3"/>
        <v>0.9138037925275948</v>
      </c>
      <c r="T35" s="259">
        <v>0.9138037925275948</v>
      </c>
      <c r="U35" s="377">
        <f t="shared" si="4"/>
        <v>0.9138037925275948</v>
      </c>
      <c r="V35" s="137">
        <f>'Exhibit P,1'!K36+'Exhibit P,1'!G36</f>
        <v>15574143.716586307</v>
      </c>
      <c r="W35" s="137">
        <f t="shared" si="5"/>
        <v>1342432.1229999291</v>
      </c>
      <c r="Y35" s="137">
        <f>'Exhibit K,1'!G36</f>
        <v>15413427.860000001</v>
      </c>
      <c r="Z35" s="137">
        <f t="shared" si="6"/>
        <v>1328579.0256815106</v>
      </c>
      <c r="AB35" s="137">
        <v>1324537.5917655737</v>
      </c>
      <c r="AC35" s="69">
        <f t="shared" si="7"/>
        <v>4041.4339159368537</v>
      </c>
    </row>
    <row r="36" spans="1:29">
      <c r="A36" s="6">
        <f t="shared" si="8"/>
        <v>2015</v>
      </c>
      <c r="C36" s="494">
        <f>'Exhibit K,1'!G37</f>
        <v>21091012.005524084</v>
      </c>
      <c r="E36" s="60">
        <f t="shared" si="10"/>
        <v>0.93747746516474839</v>
      </c>
      <c r="F36" s="60"/>
      <c r="G36" s="60">
        <f t="shared" si="1"/>
        <v>6.2522534835251609E-2</v>
      </c>
      <c r="I36" s="494">
        <f t="shared" si="2"/>
        <v>1318663.5328260895</v>
      </c>
      <c r="K36" s="18"/>
      <c r="M36" s="61"/>
      <c r="N36" s="259"/>
      <c r="P36" s="25">
        <f t="shared" si="9"/>
        <v>2015</v>
      </c>
      <c r="Q36" s="137">
        <v>21237645.968688041</v>
      </c>
      <c r="R36" s="84">
        <v>19910767.143487196</v>
      </c>
      <c r="S36" s="376">
        <f t="shared" si="3"/>
        <v>0.93752232111048739</v>
      </c>
      <c r="T36" s="259">
        <v>0.93747746516474839</v>
      </c>
      <c r="U36" s="259">
        <f>T36</f>
        <v>0.93747746516474839</v>
      </c>
      <c r="V36" s="137">
        <f>'Exhibit P,1'!K37+'Exhibit P,1'!G37</f>
        <v>17135027.810001068</v>
      </c>
      <c r="W36" s="137">
        <f t="shared" si="5"/>
        <v>1071325.3731537969</v>
      </c>
      <c r="Y36" s="137">
        <f>'Exhibit K,1'!G37</f>
        <v>21091012.005524084</v>
      </c>
      <c r="Z36" s="137">
        <f t="shared" si="6"/>
        <v>1318663.5328260895</v>
      </c>
      <c r="AB36" s="137">
        <v>1423719.7450827465</v>
      </c>
      <c r="AC36" s="69">
        <f t="shared" si="7"/>
        <v>-105056.21225665696</v>
      </c>
    </row>
    <row r="37" spans="1:29">
      <c r="A37" s="6">
        <f t="shared" si="8"/>
        <v>2016</v>
      </c>
      <c r="C37" s="494">
        <f>'Exhibit K,1'!G38</f>
        <v>12928167.364172783</v>
      </c>
      <c r="E37" s="60">
        <f t="shared" si="10"/>
        <v>0.82622029835240129</v>
      </c>
      <c r="F37" s="60"/>
      <c r="G37" s="60">
        <f t="shared" si="1"/>
        <v>0.17377970164759871</v>
      </c>
      <c r="I37" s="494">
        <f t="shared" si="2"/>
        <v>2246653.0673961686</v>
      </c>
      <c r="K37" s="18"/>
      <c r="M37" s="61"/>
      <c r="N37" s="259"/>
      <c r="P37" s="25">
        <f t="shared" si="9"/>
        <v>2016</v>
      </c>
      <c r="Q37" s="137">
        <v>14005464.763363007</v>
      </c>
      <c r="R37" s="84">
        <v>11517344.243005961</v>
      </c>
      <c r="S37" s="376">
        <f t="shared" si="3"/>
        <v>0.82234645101776715</v>
      </c>
      <c r="T37" s="259">
        <v>0.82622029835240129</v>
      </c>
      <c r="U37" s="259">
        <f t="shared" ref="U37:U43" si="11">T37</f>
        <v>0.82622029835240129</v>
      </c>
      <c r="V37" s="137">
        <f>'Exhibit P,1'!K38+'Exhibit P,1'!G38</f>
        <v>15820909.838166403</v>
      </c>
      <c r="W37" s="137">
        <f t="shared" si="5"/>
        <v>2749352.9914701167</v>
      </c>
      <c r="Y37" s="137">
        <f>'Exhibit K,1'!G38</f>
        <v>12928167.364172783</v>
      </c>
      <c r="Z37" s="137">
        <f t="shared" si="6"/>
        <v>2246653.0673961686</v>
      </c>
      <c r="AB37" s="137">
        <v>2524259.8567327829</v>
      </c>
      <c r="AC37" s="69">
        <f t="shared" si="7"/>
        <v>-277606.78933661431</v>
      </c>
    </row>
    <row r="38" spans="1:29">
      <c r="A38" s="6">
        <f t="shared" si="8"/>
        <v>2017</v>
      </c>
      <c r="C38" s="494">
        <f>'Exhibit K,1'!G39</f>
        <v>7702835.2463280298</v>
      </c>
      <c r="E38" s="60">
        <f t="shared" si="10"/>
        <v>0.87672401139707756</v>
      </c>
      <c r="F38" s="60"/>
      <c r="G38" s="60">
        <f t="shared" si="1"/>
        <v>0.12327598860292244</v>
      </c>
      <c r="I38" s="494">
        <f t="shared" si="2"/>
        <v>949574.63003652345</v>
      </c>
      <c r="K38" s="18"/>
      <c r="M38" s="61"/>
      <c r="N38" s="259"/>
      <c r="P38" s="25">
        <f t="shared" si="9"/>
        <v>2017</v>
      </c>
      <c r="Q38" s="137">
        <v>10200805.452990737</v>
      </c>
      <c r="R38" s="84">
        <v>8751333.2481744532</v>
      </c>
      <c r="S38" s="376">
        <f t="shared" si="3"/>
        <v>0.85790610246455412</v>
      </c>
      <c r="T38" s="259">
        <v>0.87672401139707756</v>
      </c>
      <c r="U38" s="259">
        <f t="shared" si="11"/>
        <v>0.87672401139707756</v>
      </c>
      <c r="V38" s="137">
        <f>'Exhibit P,1'!K39+'Exhibit P,1'!G39</f>
        <v>15817550.968525279</v>
      </c>
      <c r="W38" s="137">
        <f t="shared" si="5"/>
        <v>1949924.2329220672</v>
      </c>
      <c r="Y38" s="137">
        <f>'Exhibit K,1'!G39</f>
        <v>7702835.2463280298</v>
      </c>
      <c r="Z38" s="137">
        <f t="shared" si="6"/>
        <v>949574.63003652345</v>
      </c>
      <c r="AB38" s="137">
        <v>1075056.4659127761</v>
      </c>
      <c r="AC38" s="69">
        <f t="shared" si="7"/>
        <v>-125481.83587625262</v>
      </c>
    </row>
    <row r="39" spans="1:29">
      <c r="A39" s="6">
        <f t="shared" si="8"/>
        <v>2018</v>
      </c>
      <c r="C39" s="494">
        <f>'Exhibit K,1'!G40</f>
        <v>17116650.864487838</v>
      </c>
      <c r="E39" s="60">
        <f t="shared" si="10"/>
        <v>0.94054314981500253</v>
      </c>
      <c r="F39" s="60"/>
      <c r="G39" s="60">
        <f t="shared" si="1"/>
        <v>5.9456850184997467E-2</v>
      </c>
      <c r="I39" s="494">
        <f t="shared" si="2"/>
        <v>1017702.1461187608</v>
      </c>
      <c r="K39" s="18"/>
      <c r="M39" s="61"/>
      <c r="N39" s="259"/>
      <c r="P39" s="25">
        <f t="shared" si="9"/>
        <v>2018</v>
      </c>
      <c r="Q39" s="137">
        <v>15146171.705237675</v>
      </c>
      <c r="R39" s="84">
        <v>14620904.736959729</v>
      </c>
      <c r="S39" s="376">
        <f t="shared" si="3"/>
        <v>0.96532014963911283</v>
      </c>
      <c r="T39" s="259">
        <v>0.94054314981500253</v>
      </c>
      <c r="U39" s="259">
        <f t="shared" si="11"/>
        <v>0.94054314981500253</v>
      </c>
      <c r="V39" s="137">
        <f>'Exhibit P,1'!K40+'Exhibit P,1'!G40</f>
        <v>15743181.746592376</v>
      </c>
      <c r="W39" s="137">
        <f t="shared" si="5"/>
        <v>936039.99854232965</v>
      </c>
      <c r="Y39" s="137">
        <f>'Exhibit K,1'!G40</f>
        <v>17116650.864487838</v>
      </c>
      <c r="Z39" s="137">
        <f t="shared" si="6"/>
        <v>1017702.1461187608</v>
      </c>
      <c r="AB39" s="137">
        <v>1111319.5631584879</v>
      </c>
      <c r="AC39" s="69">
        <f t="shared" si="7"/>
        <v>-93617.417039727094</v>
      </c>
    </row>
    <row r="40" spans="1:29">
      <c r="A40" s="6">
        <f t="shared" si="8"/>
        <v>2019</v>
      </c>
      <c r="C40" s="494">
        <f>'Exhibit K,1'!G41</f>
        <v>14079435.040762978</v>
      </c>
      <c r="E40" s="60">
        <f t="shared" si="10"/>
        <v>0.92555099849822797</v>
      </c>
      <c r="F40" s="60"/>
      <c r="G40" s="60">
        <f t="shared" si="1"/>
        <v>7.4449001501772027E-2</v>
      </c>
      <c r="I40" s="494">
        <f t="shared" si="2"/>
        <v>1048199.8804938646</v>
      </c>
      <c r="K40" s="18"/>
      <c r="M40" s="61"/>
      <c r="N40" s="259"/>
      <c r="P40" s="25">
        <f t="shared" si="9"/>
        <v>2019</v>
      </c>
      <c r="Q40" s="137">
        <v>14304724.56500469</v>
      </c>
      <c r="R40" s="84">
        <v>13489767.239771977</v>
      </c>
      <c r="S40" s="376">
        <f t="shared" si="3"/>
        <v>0.94302879992345767</v>
      </c>
      <c r="T40" s="259">
        <v>0.92555099849822797</v>
      </c>
      <c r="U40" s="259">
        <f t="shared" si="11"/>
        <v>0.92555099849822797</v>
      </c>
      <c r="V40" s="137">
        <f>'Exhibit P,1'!K41+'Exhibit P,1'!G41</f>
        <v>13028180.718103526</v>
      </c>
      <c r="W40" s="137">
        <f t="shared" si="5"/>
        <v>969935.04584744677</v>
      </c>
      <c r="Y40" s="137">
        <f>'Exhibit K,1'!G41</f>
        <v>14079435.040762978</v>
      </c>
      <c r="Z40" s="137">
        <f t="shared" si="6"/>
        <v>1048199.8804938646</v>
      </c>
      <c r="AB40" s="137">
        <v>1199609.0842080449</v>
      </c>
      <c r="AC40" s="69">
        <f t="shared" si="7"/>
        <v>-151409.20371418027</v>
      </c>
    </row>
    <row r="41" spans="1:29">
      <c r="A41" s="6">
        <f t="shared" si="8"/>
        <v>2020</v>
      </c>
      <c r="C41" s="494">
        <f>'Exhibit K,1'!G42</f>
        <v>12770051.247786101</v>
      </c>
      <c r="E41" s="60">
        <f t="shared" si="10"/>
        <v>0.91568711610812414</v>
      </c>
      <c r="F41" s="60"/>
      <c r="G41" s="60">
        <f t="shared" si="1"/>
        <v>8.4312883891875856E-2</v>
      </c>
      <c r="I41" s="494">
        <f t="shared" si="2"/>
        <v>1076679.848147894</v>
      </c>
      <c r="K41" s="18"/>
      <c r="M41" s="61"/>
      <c r="N41" s="259"/>
      <c r="P41" s="25">
        <f t="shared" si="9"/>
        <v>2020</v>
      </c>
      <c r="Q41" s="137">
        <v>10768873.320447076</v>
      </c>
      <c r="R41" s="84">
        <v>9961124.0756457411</v>
      </c>
      <c r="S41" s="376">
        <f t="shared" si="3"/>
        <v>0.92499222334915521</v>
      </c>
      <c r="T41" s="259">
        <v>0.91568711610812414</v>
      </c>
      <c r="U41" s="259">
        <f t="shared" si="11"/>
        <v>0.91568711610812414</v>
      </c>
      <c r="V41" s="137">
        <f>'Exhibit P,1'!K42+'Exhibit P,1'!G42</f>
        <v>10638565.006329007</v>
      </c>
      <c r="W41" s="137">
        <f t="shared" si="5"/>
        <v>896968.09615479119</v>
      </c>
      <c r="Y41" s="137">
        <f>'Exhibit K,1'!G42</f>
        <v>12770051.247786101</v>
      </c>
      <c r="Z41" s="137">
        <f t="shared" si="6"/>
        <v>1076679.848147894</v>
      </c>
      <c r="AB41" s="137">
        <v>965143.03848793369</v>
      </c>
      <c r="AC41" s="69">
        <f t="shared" si="7"/>
        <v>111536.80965996033</v>
      </c>
    </row>
    <row r="42" spans="1:29">
      <c r="A42" s="6">
        <f t="shared" si="8"/>
        <v>2021</v>
      </c>
      <c r="C42" s="494">
        <f>'Exhibit K,1'!G43</f>
        <v>10662567.119791672</v>
      </c>
      <c r="E42" s="60">
        <f t="shared" si="10"/>
        <v>0.93568871443352342</v>
      </c>
      <c r="F42" s="60"/>
      <c r="G42" s="60">
        <f t="shared" si="1"/>
        <v>6.4311285566476584E-2</v>
      </c>
      <c r="I42" s="494">
        <f t="shared" si="2"/>
        <v>685723.39891264588</v>
      </c>
      <c r="K42" s="18"/>
      <c r="M42" s="61"/>
      <c r="N42" s="259"/>
      <c r="P42" s="25">
        <f t="shared" si="9"/>
        <v>2021</v>
      </c>
      <c r="Q42" s="137">
        <v>11551799.902224608</v>
      </c>
      <c r="R42" s="84">
        <v>10771733.940440245</v>
      </c>
      <c r="S42" s="376">
        <f t="shared" si="3"/>
        <v>0.9324723447093175</v>
      </c>
      <c r="T42" s="259">
        <v>0.93568871443352342</v>
      </c>
      <c r="U42" s="259">
        <f t="shared" si="11"/>
        <v>0.93568871443352342</v>
      </c>
      <c r="V42" s="137">
        <f>'Exhibit P,1'!K43+'Exhibit P,1'!G43</f>
        <v>12078968.335653476</v>
      </c>
      <c r="W42" s="137">
        <f t="shared" si="5"/>
        <v>776813.98198263906</v>
      </c>
      <c r="Y42" s="137">
        <f>'Exhibit K,1'!G43</f>
        <v>10662567.119791672</v>
      </c>
      <c r="Z42" s="137">
        <f t="shared" si="6"/>
        <v>685723.39891264588</v>
      </c>
      <c r="AB42" s="137">
        <v>791972.55496893777</v>
      </c>
      <c r="AC42" s="69">
        <f t="shared" si="7"/>
        <v>-106249.15605629189</v>
      </c>
    </row>
    <row r="43" spans="1:29">
      <c r="A43" s="6">
        <f t="shared" si="8"/>
        <v>2022</v>
      </c>
      <c r="C43" s="494">
        <f>'Exhibit K,1'!G44</f>
        <v>13146198.603999998</v>
      </c>
      <c r="E43" s="60">
        <f t="shared" si="10"/>
        <v>0.94721319920289393</v>
      </c>
      <c r="F43" s="60"/>
      <c r="G43" s="60">
        <f t="shared" si="1"/>
        <v>5.278680079710607E-2</v>
      </c>
      <c r="I43" s="494">
        <f t="shared" si="2"/>
        <v>693945.76694854186</v>
      </c>
      <c r="K43" s="18"/>
      <c r="M43" s="61"/>
      <c r="N43" s="259"/>
      <c r="P43" s="25">
        <f t="shared" si="9"/>
        <v>2022</v>
      </c>
      <c r="Q43" s="61"/>
      <c r="R43" s="61"/>
      <c r="S43" s="61"/>
      <c r="T43" s="259">
        <v>0.94721319920289393</v>
      </c>
      <c r="U43" s="259">
        <f t="shared" si="11"/>
        <v>0.94721319920289393</v>
      </c>
      <c r="V43" s="137">
        <f>'Exhibit P,1'!K44+'Exhibit P,1'!G44</f>
        <v>16401748.727910668</v>
      </c>
      <c r="W43" s="137">
        <f>(1-U43)*V43</f>
        <v>865795.84282440832</v>
      </c>
      <c r="Y43" s="137">
        <f>'Exhibit K,1'!G44</f>
        <v>13146198.603999998</v>
      </c>
      <c r="Z43" s="137">
        <f t="shared" si="6"/>
        <v>693945.76694854186</v>
      </c>
      <c r="AB43" s="137">
        <v>0</v>
      </c>
      <c r="AC43" s="69"/>
    </row>
    <row r="44" spans="1:29">
      <c r="A44" s="6"/>
      <c r="B44" s="6"/>
      <c r="C44" s="105"/>
      <c r="D44" s="6"/>
      <c r="I44" s="105"/>
      <c r="K44" s="18"/>
      <c r="M44" s="61"/>
      <c r="N44" s="61"/>
      <c r="Q44" s="280"/>
      <c r="R44" s="280"/>
      <c r="S44" s="61"/>
      <c r="T44" s="61"/>
      <c r="U44" s="61"/>
      <c r="V44" s="280"/>
      <c r="W44" s="280"/>
      <c r="Y44" s="280"/>
      <c r="Z44" s="280"/>
      <c r="AB44" s="280"/>
      <c r="AC44" s="280"/>
    </row>
    <row r="45" spans="1:29">
      <c r="A45" s="6" t="s">
        <v>0</v>
      </c>
      <c r="B45" s="6"/>
      <c r="C45" s="26">
        <f>SUM(C15:C44)</f>
        <v>764090172.63285339</v>
      </c>
      <c r="D45" s="6"/>
      <c r="I45" s="26">
        <f>SUM(I15:I44)</f>
        <v>193389811.68827987</v>
      </c>
      <c r="K45" s="26"/>
      <c r="M45" s="61"/>
      <c r="N45" s="61"/>
      <c r="P45" s="61" t="s">
        <v>0</v>
      </c>
      <c r="Q45" s="68">
        <f>SUM(Q15:Q43)</f>
        <v>752003139.49486077</v>
      </c>
      <c r="R45" s="68">
        <f>SUM(R15:R43)</f>
        <v>559462909.98439038</v>
      </c>
      <c r="S45" s="61"/>
      <c r="T45" s="61"/>
      <c r="U45" s="61"/>
      <c r="V45" s="68">
        <f>SUM(V15:V43)</f>
        <v>747174321.19443226</v>
      </c>
      <c r="W45" s="68">
        <f>SUM(W15:W43)</f>
        <v>184379331.5680598</v>
      </c>
      <c r="Y45" s="68">
        <f>SUM(Y15:Y43)</f>
        <v>764090172.63285339</v>
      </c>
      <c r="Z45" s="68">
        <f>SUM(Z15:Z43)</f>
        <v>193389811.68827987</v>
      </c>
      <c r="AB45" s="69">
        <f>SUM(AB15:AB43)</f>
        <v>193770989.23138288</v>
      </c>
      <c r="AC45" s="68">
        <f>SUM(AC15:AC43)</f>
        <v>-1075123.3100516428</v>
      </c>
    </row>
    <row r="46" spans="1:29">
      <c r="I46" s="22"/>
      <c r="L46" s="26"/>
      <c r="M46" s="61"/>
      <c r="N46" s="61"/>
      <c r="P46" s="61"/>
      <c r="V46" s="137"/>
      <c r="W46" s="137"/>
      <c r="Y46" s="137"/>
      <c r="Z46" s="137"/>
    </row>
    <row r="47" spans="1:29">
      <c r="I47" s="18"/>
      <c r="K47" s="18"/>
      <c r="P47" s="61"/>
      <c r="V47" s="84"/>
      <c r="W47" s="84"/>
      <c r="Y47" s="84"/>
      <c r="Z47" s="84"/>
    </row>
    <row r="48" spans="1:29">
      <c r="C48" s="26"/>
      <c r="I48" s="26"/>
      <c r="V48" s="61"/>
      <c r="W48" s="61"/>
    </row>
    <row r="49" spans="1:23">
      <c r="A49" s="64" t="s">
        <v>104</v>
      </c>
      <c r="C49" s="3" t="s">
        <v>1430</v>
      </c>
      <c r="I49" s="84"/>
      <c r="V49" s="26"/>
      <c r="W49" s="61"/>
    </row>
    <row r="50" spans="1:23">
      <c r="A50" s="64" t="s">
        <v>36</v>
      </c>
      <c r="C50" s="3" t="s">
        <v>913</v>
      </c>
      <c r="V50" s="84"/>
      <c r="W50" s="61"/>
    </row>
    <row r="51" spans="1:23">
      <c r="A51" s="64" t="s">
        <v>38</v>
      </c>
      <c r="B51" s="6"/>
      <c r="C51" s="3" t="s">
        <v>652</v>
      </c>
      <c r="V51" s="61"/>
      <c r="W51" s="61"/>
    </row>
    <row r="52" spans="1:23">
      <c r="A52" s="64" t="s">
        <v>40</v>
      </c>
      <c r="C52" s="3" t="s">
        <v>651</v>
      </c>
      <c r="V52" s="61"/>
      <c r="W52" s="61"/>
    </row>
    <row r="53" spans="1:23">
      <c r="D53" s="6"/>
      <c r="E53" s="6"/>
    </row>
    <row r="55" spans="1:23">
      <c r="A55" s="64"/>
    </row>
  </sheetData>
  <phoneticPr fontId="8" type="noConversion"/>
  <printOptions horizontalCentered="1"/>
  <pageMargins left="0.7" right="0.7" top="0.75" bottom="0.75" header="0.3" footer="0.3"/>
  <pageSetup scale="85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9">
    <pageSetUpPr fitToPage="1"/>
  </sheetPr>
  <dimension ref="A1:M55"/>
  <sheetViews>
    <sheetView showOutlineSymbols="0" topLeftCell="A16" zoomScaleNormal="100" workbookViewId="0">
      <selection activeCell="E49" sqref="E49"/>
    </sheetView>
  </sheetViews>
  <sheetFormatPr baseColWidth="10" defaultColWidth="9.7109375" defaultRowHeight="15"/>
  <cols>
    <col min="1" max="1" width="11.7109375" style="1" customWidth="1"/>
    <col min="2" max="2" width="1.7109375" style="1" customWidth="1"/>
    <col min="3" max="3" width="9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1.7109375" style="1" customWidth="1"/>
    <col min="12" max="16384" width="9.7109375" style="1"/>
  </cols>
  <sheetData>
    <row r="1" spans="1:12">
      <c r="K1" s="52" t="s">
        <v>81</v>
      </c>
    </row>
    <row r="2" spans="1:12">
      <c r="K2" s="52" t="s">
        <v>56</v>
      </c>
    </row>
    <row r="4" spans="1:12" ht="16">
      <c r="A4" s="4" t="s">
        <v>872</v>
      </c>
      <c r="B4" s="4"/>
      <c r="C4" s="4"/>
      <c r="D4" s="5"/>
      <c r="E4" s="5"/>
      <c r="F4" s="5"/>
      <c r="G4" s="5"/>
      <c r="H4" s="5"/>
      <c r="I4" s="5"/>
      <c r="J4" s="5"/>
      <c r="K4" s="5"/>
      <c r="L4" s="140"/>
    </row>
    <row r="5" spans="1:12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</row>
    <row r="6" spans="1:12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  <c r="L6" s="140"/>
    </row>
    <row r="7" spans="1:12">
      <c r="A7" s="5" t="s">
        <v>77</v>
      </c>
      <c r="B7" s="5"/>
      <c r="C7" s="5"/>
      <c r="D7" s="5"/>
      <c r="E7" s="5"/>
      <c r="F7" s="5"/>
      <c r="G7" s="5"/>
      <c r="H7" s="5"/>
      <c r="I7" s="5"/>
      <c r="J7" s="5"/>
      <c r="K7" s="5"/>
      <c r="L7" s="140"/>
    </row>
    <row r="8" spans="1:12">
      <c r="A8" s="5" t="s">
        <v>1</v>
      </c>
      <c r="B8" s="5"/>
      <c r="C8" s="5"/>
      <c r="D8" s="5"/>
      <c r="E8" s="5"/>
      <c r="F8" s="5"/>
      <c r="G8" s="5"/>
      <c r="H8" s="5"/>
      <c r="I8" s="5"/>
      <c r="J8" s="5"/>
      <c r="K8" s="5"/>
      <c r="L8" s="140"/>
    </row>
    <row r="9" spans="1:12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</row>
    <row r="10" spans="1:12">
      <c r="A10" s="5"/>
      <c r="B10" s="5"/>
      <c r="C10" s="5"/>
      <c r="D10" s="5"/>
      <c r="E10" s="5"/>
      <c r="G10" s="5"/>
      <c r="H10" s="5"/>
      <c r="I10" s="5"/>
      <c r="J10" s="5"/>
      <c r="K10" s="5"/>
    </row>
    <row r="12" spans="1:12">
      <c r="C12" s="6" t="s">
        <v>3</v>
      </c>
      <c r="D12" s="6"/>
      <c r="E12" s="6"/>
      <c r="F12" s="6"/>
      <c r="G12" s="6" t="s">
        <v>2</v>
      </c>
      <c r="I12" s="6"/>
      <c r="J12" s="6"/>
    </row>
    <row r="13" spans="1:12">
      <c r="C13" s="6" t="s">
        <v>4</v>
      </c>
      <c r="D13" s="6"/>
      <c r="E13" s="6" t="s">
        <v>73</v>
      </c>
      <c r="F13" s="6"/>
      <c r="G13" s="6" t="s">
        <v>1</v>
      </c>
      <c r="I13" s="6" t="s">
        <v>1</v>
      </c>
      <c r="J13" s="6"/>
      <c r="K13" s="6"/>
    </row>
    <row r="14" spans="1:12">
      <c r="C14" s="106" t="s">
        <v>27</v>
      </c>
      <c r="E14" s="106" t="s">
        <v>33</v>
      </c>
      <c r="G14" s="106" t="s">
        <v>36</v>
      </c>
      <c r="I14" s="106" t="s">
        <v>38</v>
      </c>
      <c r="J14" s="6"/>
    </row>
    <row r="16" spans="1:12">
      <c r="C16" s="6">
        <v>1994</v>
      </c>
      <c r="E16" s="147">
        <f>'Exhibit K,1'!O16</f>
        <v>34683046.140000001</v>
      </c>
      <c r="F16" s="19"/>
      <c r="G16" s="147">
        <v>34683046.140000001</v>
      </c>
      <c r="H16" s="19"/>
      <c r="I16" s="147">
        <f>E16</f>
        <v>34683046.140000001</v>
      </c>
      <c r="J16" s="286"/>
      <c r="K16" s="18"/>
    </row>
    <row r="17" spans="3:11">
      <c r="C17" s="6">
        <f>C16+1</f>
        <v>1995</v>
      </c>
      <c r="E17" s="494">
        <f>'Exhibit K,1'!O17</f>
        <v>53979371.119999997</v>
      </c>
      <c r="F17" s="187"/>
      <c r="G17" s="17">
        <v>53979371.119999997</v>
      </c>
      <c r="H17" s="187"/>
      <c r="I17" s="494">
        <f t="shared" ref="I17:I44" si="0">E17</f>
        <v>53979371.119999997</v>
      </c>
      <c r="J17" s="287"/>
      <c r="K17" s="18"/>
    </row>
    <row r="18" spans="3:11">
      <c r="C18" s="6">
        <f t="shared" ref="C18:C44" si="1">C17+1</f>
        <v>1996</v>
      </c>
      <c r="E18" s="494">
        <f>'Exhibit K,1'!O18</f>
        <v>47587557.219999999</v>
      </c>
      <c r="F18" s="187"/>
      <c r="G18" s="17">
        <v>47587557.219999999</v>
      </c>
      <c r="H18" s="187"/>
      <c r="I18" s="494">
        <f t="shared" si="0"/>
        <v>47587557.219999999</v>
      </c>
      <c r="J18" s="287"/>
      <c r="K18" s="18"/>
    </row>
    <row r="19" spans="3:11">
      <c r="C19" s="6">
        <f t="shared" si="1"/>
        <v>1997</v>
      </c>
      <c r="E19" s="494">
        <f>'Exhibit K,1'!O19</f>
        <v>38095972.339999996</v>
      </c>
      <c r="F19" s="187"/>
      <c r="G19" s="17">
        <v>38095972.339999996</v>
      </c>
      <c r="H19" s="187"/>
      <c r="I19" s="494">
        <f t="shared" si="0"/>
        <v>38095972.339999996</v>
      </c>
      <c r="J19" s="287"/>
      <c r="K19" s="18"/>
    </row>
    <row r="20" spans="3:11">
      <c r="C20" s="6">
        <f t="shared" si="1"/>
        <v>1998</v>
      </c>
      <c r="E20" s="494">
        <f>'Exhibit K,1'!O20</f>
        <v>54775172.740000002</v>
      </c>
      <c r="F20" s="187"/>
      <c r="G20" s="17">
        <v>54775172.740000002</v>
      </c>
      <c r="H20" s="187"/>
      <c r="I20" s="494">
        <f t="shared" si="0"/>
        <v>54775172.740000002</v>
      </c>
      <c r="J20" s="287"/>
      <c r="K20" s="18"/>
    </row>
    <row r="21" spans="3:11">
      <c r="C21" s="6">
        <f t="shared" si="1"/>
        <v>1999</v>
      </c>
      <c r="E21" s="494">
        <f>'Exhibit K,1'!O21</f>
        <v>54239618.760000005</v>
      </c>
      <c r="F21" s="187"/>
      <c r="G21" s="17">
        <v>54239618.760000005</v>
      </c>
      <c r="H21" s="187"/>
      <c r="I21" s="494">
        <f t="shared" si="0"/>
        <v>54239618.760000005</v>
      </c>
      <c r="J21" s="287"/>
      <c r="K21" s="18"/>
    </row>
    <row r="22" spans="3:11">
      <c r="C22" s="6">
        <f t="shared" si="1"/>
        <v>2000</v>
      </c>
      <c r="E22" s="494">
        <f>'Exhibit K,1'!O22</f>
        <v>45510428.719999999</v>
      </c>
      <c r="F22" s="187"/>
      <c r="G22" s="17">
        <v>45510428.719999999</v>
      </c>
      <c r="H22" s="187"/>
      <c r="I22" s="494">
        <f t="shared" si="0"/>
        <v>45510428.719999999</v>
      </c>
      <c r="J22" s="287"/>
      <c r="K22" s="18"/>
    </row>
    <row r="23" spans="3:11">
      <c r="C23" s="6">
        <f t="shared" si="1"/>
        <v>2001</v>
      </c>
      <c r="E23" s="494">
        <f>'Exhibit K,1'!O23</f>
        <v>37643921.560000002</v>
      </c>
      <c r="F23" s="187"/>
      <c r="G23" s="17">
        <v>37643921.560000002</v>
      </c>
      <c r="H23" s="187"/>
      <c r="I23" s="494">
        <f t="shared" si="0"/>
        <v>37643921.560000002</v>
      </c>
      <c r="J23" s="287"/>
      <c r="K23" s="18"/>
    </row>
    <row r="24" spans="3:11">
      <c r="C24" s="6">
        <f t="shared" si="1"/>
        <v>2002</v>
      </c>
      <c r="E24" s="494">
        <f>'Exhibit K,1'!O24</f>
        <v>39658038.149999991</v>
      </c>
      <c r="F24" s="187"/>
      <c r="G24" s="17">
        <v>39658038.149999991</v>
      </c>
      <c r="H24" s="187"/>
      <c r="I24" s="494">
        <f t="shared" si="0"/>
        <v>39658038.149999991</v>
      </c>
      <c r="J24" s="287"/>
      <c r="K24" s="18"/>
    </row>
    <row r="25" spans="3:11">
      <c r="C25" s="6">
        <f t="shared" si="1"/>
        <v>2003</v>
      </c>
      <c r="E25" s="494">
        <f>'Exhibit K,1'!O25</f>
        <v>39621657.030000001</v>
      </c>
      <c r="F25" s="187"/>
      <c r="G25" s="17">
        <v>39621657.030000001</v>
      </c>
      <c r="H25" s="187"/>
      <c r="I25" s="494">
        <f t="shared" si="0"/>
        <v>39621657.030000001</v>
      </c>
      <c r="J25" s="287"/>
      <c r="K25" s="18"/>
    </row>
    <row r="26" spans="3:11">
      <c r="C26" s="6">
        <f t="shared" si="1"/>
        <v>2004</v>
      </c>
      <c r="E26" s="494">
        <f>'Exhibit K,1'!O26</f>
        <v>22345826.459999993</v>
      </c>
      <c r="F26" s="187"/>
      <c r="G26" s="17">
        <v>22340826.459999993</v>
      </c>
      <c r="H26" s="187"/>
      <c r="I26" s="494">
        <f t="shared" si="0"/>
        <v>22345826.459999993</v>
      </c>
      <c r="J26" s="287"/>
      <c r="K26" s="18"/>
    </row>
    <row r="27" spans="3:11">
      <c r="C27" s="6">
        <f t="shared" si="1"/>
        <v>2005</v>
      </c>
      <c r="E27" s="494">
        <f>'Exhibit K,1'!O27</f>
        <v>23049293.75</v>
      </c>
      <c r="F27" s="187"/>
      <c r="G27" s="17">
        <v>23049293.75</v>
      </c>
      <c r="H27" s="187"/>
      <c r="I27" s="494">
        <f t="shared" si="0"/>
        <v>23049293.75</v>
      </c>
      <c r="J27" s="287"/>
      <c r="K27" s="18"/>
    </row>
    <row r="28" spans="3:11">
      <c r="C28" s="6">
        <f t="shared" si="1"/>
        <v>2006</v>
      </c>
      <c r="E28" s="494">
        <f>'Exhibit K,1'!O28</f>
        <v>20087669.5</v>
      </c>
      <c r="F28" s="187"/>
      <c r="G28" s="17">
        <v>20273805.799999997</v>
      </c>
      <c r="H28" s="187"/>
      <c r="I28" s="494">
        <f t="shared" si="0"/>
        <v>20087669.5</v>
      </c>
      <c r="J28" s="287"/>
      <c r="K28" s="18"/>
    </row>
    <row r="29" spans="3:11">
      <c r="C29" s="6">
        <f t="shared" si="1"/>
        <v>2007</v>
      </c>
      <c r="E29" s="494">
        <f>'Exhibit K,1'!O29</f>
        <v>22370711.530000001</v>
      </c>
      <c r="F29" s="187"/>
      <c r="G29" s="17">
        <v>22370711.530000001</v>
      </c>
      <c r="H29" s="187"/>
      <c r="I29" s="494">
        <f t="shared" si="0"/>
        <v>22370711.530000001</v>
      </c>
      <c r="J29" s="287"/>
      <c r="K29" s="18"/>
    </row>
    <row r="30" spans="3:11">
      <c r="C30" s="6">
        <f t="shared" si="1"/>
        <v>2008</v>
      </c>
      <c r="E30" s="494">
        <f>'Exhibit K,1'!O30</f>
        <v>22102527.079999998</v>
      </c>
      <c r="F30" s="187"/>
      <c r="G30" s="17">
        <v>22102527.079999998</v>
      </c>
      <c r="H30" s="187"/>
      <c r="I30" s="494">
        <f t="shared" si="0"/>
        <v>22102527.079999998</v>
      </c>
      <c r="J30" s="287"/>
      <c r="K30" s="18"/>
    </row>
    <row r="31" spans="3:11">
      <c r="C31" s="6">
        <f t="shared" si="1"/>
        <v>2009</v>
      </c>
      <c r="E31" s="494">
        <f>'Exhibit K,1'!O31</f>
        <v>18973589.100000001</v>
      </c>
      <c r="F31" s="187"/>
      <c r="G31" s="17">
        <v>18973589.1256935</v>
      </c>
      <c r="H31" s="187"/>
      <c r="I31" s="494">
        <f t="shared" si="0"/>
        <v>18973589.100000001</v>
      </c>
      <c r="J31" s="287"/>
      <c r="K31" s="18"/>
    </row>
    <row r="32" spans="3:11">
      <c r="C32" s="6">
        <f t="shared" si="1"/>
        <v>2010</v>
      </c>
      <c r="E32" s="494">
        <f>'Exhibit K,1'!O32</f>
        <v>25135887.52</v>
      </c>
      <c r="F32" s="187"/>
      <c r="G32" s="17">
        <v>25135887.52</v>
      </c>
      <c r="H32" s="187"/>
      <c r="I32" s="494">
        <f t="shared" si="0"/>
        <v>25135887.52</v>
      </c>
      <c r="J32" s="287"/>
      <c r="K32" s="18"/>
    </row>
    <row r="33" spans="3:10">
      <c r="C33" s="6">
        <f t="shared" si="1"/>
        <v>2011</v>
      </c>
      <c r="E33" s="494">
        <f>'Exhibit K,1'!O33</f>
        <v>17266538.520521469</v>
      </c>
      <c r="F33" s="187"/>
      <c r="G33" s="17">
        <v>17266751.013838962</v>
      </c>
      <c r="H33" s="187"/>
      <c r="I33" s="494">
        <f t="shared" si="0"/>
        <v>17266538.520521469</v>
      </c>
      <c r="J33" s="287"/>
    </row>
    <row r="34" spans="3:10">
      <c r="C34" s="6">
        <f t="shared" si="1"/>
        <v>2012</v>
      </c>
      <c r="E34" s="494">
        <f>'Exhibit K,1'!O34</f>
        <v>24597699.550252516</v>
      </c>
      <c r="F34" s="187"/>
      <c r="G34" s="17">
        <v>24576717.719611447</v>
      </c>
      <c r="H34" s="187"/>
      <c r="I34" s="494">
        <f t="shared" si="0"/>
        <v>24597699.550252516</v>
      </c>
      <c r="J34" s="287"/>
    </row>
    <row r="35" spans="3:10">
      <c r="C35" s="6">
        <f t="shared" si="1"/>
        <v>2013</v>
      </c>
      <c r="E35" s="494">
        <f>'Exhibit K,1'!O35</f>
        <v>22860285.819907136</v>
      </c>
      <c r="F35" s="187"/>
      <c r="G35" s="17">
        <v>22874904.261873882</v>
      </c>
      <c r="H35" s="187"/>
      <c r="I35" s="494">
        <f t="shared" si="0"/>
        <v>22860285.819907136</v>
      </c>
      <c r="J35" s="287"/>
    </row>
    <row r="36" spans="3:10">
      <c r="C36" s="6">
        <f t="shared" si="1"/>
        <v>2014</v>
      </c>
      <c r="E36" s="494">
        <f>'Exhibit K,1'!O36</f>
        <v>15962424.522682093</v>
      </c>
      <c r="F36" s="187"/>
      <c r="G36" s="17">
        <v>15983128.982608002</v>
      </c>
      <c r="H36" s="187"/>
      <c r="I36" s="494">
        <f t="shared" si="0"/>
        <v>15962424.522682093</v>
      </c>
      <c r="J36" s="287"/>
    </row>
    <row r="37" spans="3:10">
      <c r="C37" s="6">
        <f t="shared" si="1"/>
        <v>2015</v>
      </c>
      <c r="E37" s="494">
        <f>'Exhibit K,1'!O37</f>
        <v>21762732.912607614</v>
      </c>
      <c r="F37" s="187"/>
      <c r="G37" s="17">
        <v>21939624.010293741</v>
      </c>
      <c r="H37" s="187"/>
      <c r="I37" s="494">
        <f t="shared" si="0"/>
        <v>21762732.912607614</v>
      </c>
      <c r="J37" s="287"/>
    </row>
    <row r="38" spans="3:10">
      <c r="C38" s="6">
        <f t="shared" si="1"/>
        <v>2016</v>
      </c>
      <c r="E38" s="494">
        <f>'Exhibit K,1'!O38</f>
        <v>18111121.88687335</v>
      </c>
      <c r="F38" s="187"/>
      <c r="G38" s="17">
        <v>19571749.379962433</v>
      </c>
      <c r="H38" s="187"/>
      <c r="I38" s="494">
        <f t="shared" si="0"/>
        <v>18111121.88687335</v>
      </c>
      <c r="J38" s="287"/>
    </row>
    <row r="39" spans="3:10">
      <c r="C39" s="6">
        <f t="shared" si="1"/>
        <v>2017</v>
      </c>
      <c r="E39" s="494">
        <f>'Exhibit K,1'!O39</f>
        <v>8346208.1251716623</v>
      </c>
      <c r="F39" s="187"/>
      <c r="G39" s="17">
        <v>11425692.023544662</v>
      </c>
      <c r="H39" s="187"/>
      <c r="I39" s="494">
        <f t="shared" si="0"/>
        <v>8346208.1251716623</v>
      </c>
      <c r="J39" s="287"/>
    </row>
    <row r="40" spans="3:10">
      <c r="C40" s="6">
        <f t="shared" si="1"/>
        <v>2018</v>
      </c>
      <c r="E40" s="494">
        <f>'Exhibit K,1'!O40</f>
        <v>19272944.687309615</v>
      </c>
      <c r="F40" s="187"/>
      <c r="G40" s="17">
        <v>16639378.489149887</v>
      </c>
      <c r="H40" s="187"/>
      <c r="I40" s="494">
        <f t="shared" si="0"/>
        <v>19272944.687309615</v>
      </c>
    </row>
    <row r="41" spans="3:10">
      <c r="C41" s="6">
        <f t="shared" si="1"/>
        <v>2019</v>
      </c>
      <c r="E41" s="494">
        <f>'Exhibit K,1'!O41</f>
        <v>17141755.175084718</v>
      </c>
      <c r="F41" s="187"/>
      <c r="G41" s="17">
        <v>16705501.481345251</v>
      </c>
      <c r="H41" s="187"/>
      <c r="I41" s="494">
        <f t="shared" si="0"/>
        <v>17141755.175084718</v>
      </c>
    </row>
    <row r="42" spans="3:10">
      <c r="C42" s="6">
        <f t="shared" si="1"/>
        <v>2020</v>
      </c>
      <c r="E42" s="494">
        <f>'Exhibit K,1'!O42</f>
        <v>14035092.9374432</v>
      </c>
      <c r="F42" s="187"/>
      <c r="G42" s="17">
        <v>12074878.803252449</v>
      </c>
      <c r="H42" s="187"/>
      <c r="I42" s="494">
        <f t="shared" si="0"/>
        <v>14035092.9374432</v>
      </c>
    </row>
    <row r="43" spans="3:10">
      <c r="C43" s="6">
        <f t="shared" si="1"/>
        <v>2021</v>
      </c>
      <c r="E43" s="494">
        <f>'Exhibit K,1'!O43</f>
        <v>11514316.807748804</v>
      </c>
      <c r="F43" s="187"/>
      <c r="G43" s="17">
        <v>12762228.755540043</v>
      </c>
      <c r="H43" s="187"/>
      <c r="I43" s="494">
        <f t="shared" si="0"/>
        <v>11514316.807748804</v>
      </c>
    </row>
    <row r="44" spans="3:10">
      <c r="C44" s="6">
        <f t="shared" si="1"/>
        <v>2022</v>
      </c>
      <c r="E44" s="494">
        <f>'Exhibit K,1'!O44</f>
        <v>16248090.288987074</v>
      </c>
      <c r="F44" s="187"/>
      <c r="G44" s="187">
        <f>'Exhibit K,1'!R44</f>
        <v>0</v>
      </c>
      <c r="H44" s="187"/>
      <c r="I44" s="494">
        <f t="shared" si="0"/>
        <v>16248090.288987074</v>
      </c>
    </row>
    <row r="45" spans="3:10">
      <c r="E45" s="105"/>
      <c r="G45" s="105"/>
      <c r="I45" s="105"/>
    </row>
    <row r="46" spans="3:10">
      <c r="C46" s="6" t="s">
        <v>0</v>
      </c>
      <c r="E46" s="26">
        <f>SUM(E16:E45)</f>
        <v>806979499.95458949</v>
      </c>
      <c r="G46" s="288" t="s">
        <v>490</v>
      </c>
      <c r="I46" s="26">
        <f>SUM(I16:I45)</f>
        <v>806979499.95458949</v>
      </c>
      <c r="J46" s="26"/>
    </row>
    <row r="48" spans="3:10">
      <c r="C48" s="2" t="s">
        <v>1609</v>
      </c>
      <c r="E48" s="26">
        <f>SUM(E16:E43)</f>
        <v>790731409.66560245</v>
      </c>
      <c r="G48" s="26">
        <f>SUM(G16:G43)</f>
        <v>791861979.96671414</v>
      </c>
      <c r="I48" s="26">
        <f>SUM(I16:I43)</f>
        <v>790731409.66560245</v>
      </c>
      <c r="J48" s="26"/>
    </row>
    <row r="49" spans="1:13">
      <c r="C49" s="1" t="s">
        <v>685</v>
      </c>
      <c r="E49" s="26">
        <f>E48-'Exhibit B,S2'!C48</f>
        <v>0</v>
      </c>
      <c r="G49" s="26">
        <f>G48-'Exhibit B,S3'!C47</f>
        <v>0</v>
      </c>
      <c r="M49" s="26"/>
    </row>
    <row r="50" spans="1:13">
      <c r="E50" s="26"/>
      <c r="G50" s="26"/>
      <c r="M50" s="26"/>
    </row>
    <row r="51" spans="1:13">
      <c r="E51" s="26"/>
      <c r="G51" s="26"/>
      <c r="M51" s="26"/>
    </row>
    <row r="53" spans="1:13">
      <c r="A53" s="64" t="s">
        <v>104</v>
      </c>
      <c r="B53" s="64"/>
      <c r="C53" s="3" t="s">
        <v>241</v>
      </c>
    </row>
    <row r="54" spans="1:13">
      <c r="A54" s="64" t="s">
        <v>36</v>
      </c>
      <c r="C54" s="3" t="s">
        <v>1579</v>
      </c>
    </row>
    <row r="55" spans="1:13">
      <c r="A55" s="64" t="s">
        <v>38</v>
      </c>
      <c r="C55" s="3" t="s">
        <v>914</v>
      </c>
    </row>
  </sheetData>
  <phoneticPr fontId="8" type="noConversion"/>
  <printOptions horizontalCentered="1"/>
  <pageMargins left="0.7" right="0.7" top="0.75" bottom="0.75" header="0.3" footer="0.3"/>
  <pageSetup scale="7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5">
    <pageSetUpPr fitToPage="1"/>
  </sheetPr>
  <dimension ref="A1:AG89"/>
  <sheetViews>
    <sheetView topLeftCell="A49" zoomScaleNormal="100" workbookViewId="0">
      <selection activeCell="I14" sqref="I14"/>
    </sheetView>
  </sheetViews>
  <sheetFormatPr baseColWidth="10" defaultColWidth="8.7109375" defaultRowHeight="15"/>
  <cols>
    <col min="1" max="1" width="9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1.7109375" style="1" customWidth="1"/>
    <col min="14" max="14" width="1.7109375" style="1" customWidth="1"/>
    <col min="15" max="15" width="12.7109375" style="1" customWidth="1"/>
    <col min="16" max="16" width="12.42578125" style="1" customWidth="1"/>
    <col min="17" max="17" width="11.140625" style="1" bestFit="1" customWidth="1"/>
    <col min="18" max="19" width="12.7109375" style="1" customWidth="1"/>
    <col min="20" max="20" width="1.7109375" style="1" customWidth="1"/>
    <col min="21" max="21" width="12.7109375" style="1" customWidth="1"/>
    <col min="22" max="22" width="1.7109375" style="1" customWidth="1"/>
    <col min="23" max="23" width="12.7109375" style="1" customWidth="1"/>
    <col min="24" max="24" width="1.7109375" style="1" customWidth="1"/>
    <col min="25" max="29" width="12.7109375" style="1" customWidth="1"/>
    <col min="30" max="34" width="13.7109375" style="1" customWidth="1"/>
    <col min="35" max="16384" width="8.7109375" style="1"/>
  </cols>
  <sheetData>
    <row r="1" spans="1:33">
      <c r="O1" s="64" t="s">
        <v>80</v>
      </c>
    </row>
    <row r="2" spans="1:33">
      <c r="O2" s="52" t="s">
        <v>56</v>
      </c>
    </row>
    <row r="4" spans="1:33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6" spans="1:33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</row>
    <row r="7" spans="1:33">
      <c r="A7" s="5" t="s">
        <v>77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Z7" s="1" t="s">
        <v>1552</v>
      </c>
    </row>
    <row r="8" spans="1:33">
      <c r="A8" s="5" t="s">
        <v>1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V8" s="25" t="s">
        <v>1426</v>
      </c>
    </row>
    <row r="9" spans="1:33">
      <c r="A9" s="5"/>
      <c r="B9" s="5"/>
      <c r="C9" s="5"/>
      <c r="D9" s="5"/>
      <c r="E9" s="5"/>
      <c r="F9" s="5"/>
      <c r="G9" s="5"/>
      <c r="I9" s="5"/>
      <c r="J9" s="5"/>
      <c r="K9" s="5"/>
      <c r="U9" s="25" t="s">
        <v>2</v>
      </c>
      <c r="W9" s="25" t="s">
        <v>2</v>
      </c>
      <c r="AC9" s="25"/>
    </row>
    <row r="10" spans="1:33">
      <c r="R10" s="25" t="s">
        <v>2</v>
      </c>
      <c r="U10" s="25" t="s">
        <v>117</v>
      </c>
      <c r="W10" s="25" t="s">
        <v>117</v>
      </c>
      <c r="AB10" s="25"/>
    </row>
    <row r="11" spans="1:33">
      <c r="R11" s="25" t="s">
        <v>117</v>
      </c>
      <c r="U11" s="25" t="s">
        <v>1304</v>
      </c>
      <c r="W11" s="25" t="s">
        <v>1304</v>
      </c>
      <c r="Y11" s="25"/>
      <c r="AB11" s="25"/>
      <c r="AD11" s="25"/>
      <c r="AG11" s="25"/>
    </row>
    <row r="12" spans="1:33">
      <c r="A12" s="6" t="s">
        <v>3</v>
      </c>
      <c r="C12" s="8" t="s">
        <v>5</v>
      </c>
      <c r="D12" s="8"/>
      <c r="E12" s="8"/>
      <c r="F12" s="8"/>
      <c r="G12" s="8"/>
      <c r="I12" s="8" t="s">
        <v>350</v>
      </c>
      <c r="J12" s="8"/>
      <c r="K12" s="8"/>
      <c r="L12" s="8"/>
      <c r="M12" s="8"/>
      <c r="R12" s="25" t="s">
        <v>1304</v>
      </c>
      <c r="S12" s="25"/>
      <c r="T12" s="25"/>
      <c r="U12" s="25" t="s">
        <v>5</v>
      </c>
      <c r="W12" s="25" t="s">
        <v>1425</v>
      </c>
      <c r="Z12" s="25" t="s">
        <v>1605</v>
      </c>
      <c r="AB12" s="25"/>
      <c r="AC12" s="25"/>
      <c r="AD12" s="25"/>
      <c r="AE12" s="25"/>
      <c r="AG12" s="25"/>
    </row>
    <row r="13" spans="1:33">
      <c r="A13" s="6" t="s">
        <v>4</v>
      </c>
      <c r="C13" s="2" t="s">
        <v>20</v>
      </c>
      <c r="D13" s="6"/>
      <c r="E13" s="2" t="s">
        <v>15</v>
      </c>
      <c r="G13" s="2" t="s">
        <v>0</v>
      </c>
      <c r="I13" s="2" t="s">
        <v>20</v>
      </c>
      <c r="J13" s="6"/>
      <c r="K13" s="2" t="s">
        <v>15</v>
      </c>
      <c r="M13" s="2" t="s">
        <v>0</v>
      </c>
      <c r="O13" s="2" t="s">
        <v>0</v>
      </c>
      <c r="R13" s="45" t="s">
        <v>1</v>
      </c>
      <c r="S13" s="25" t="s">
        <v>18</v>
      </c>
      <c r="T13" s="25"/>
      <c r="U13" s="45" t="s">
        <v>1</v>
      </c>
      <c r="W13" s="45" t="s">
        <v>1</v>
      </c>
      <c r="Y13" s="25"/>
      <c r="Z13" s="25" t="s">
        <v>1376</v>
      </c>
      <c r="AA13" s="25" t="s">
        <v>1377</v>
      </c>
      <c r="AB13" s="25"/>
      <c r="AG13" s="25"/>
    </row>
    <row r="14" spans="1:33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  <c r="M14" s="118" t="s">
        <v>30</v>
      </c>
      <c r="O14" s="118" t="s">
        <v>31</v>
      </c>
      <c r="R14" s="203" t="s">
        <v>103</v>
      </c>
      <c r="S14" s="203" t="s">
        <v>106</v>
      </c>
      <c r="T14" s="97"/>
      <c r="U14" s="203" t="s">
        <v>108</v>
      </c>
      <c r="W14" s="203" t="s">
        <v>134</v>
      </c>
      <c r="Z14" s="203" t="s">
        <v>137</v>
      </c>
      <c r="AA14" s="203" t="s">
        <v>345</v>
      </c>
      <c r="AB14" s="45"/>
      <c r="AC14" s="25"/>
      <c r="AD14" s="25"/>
      <c r="AE14" s="25"/>
      <c r="AF14" s="25"/>
    </row>
    <row r="15" spans="1:33">
      <c r="R15" s="223"/>
      <c r="S15" s="61"/>
      <c r="T15" s="61"/>
      <c r="U15" s="61"/>
      <c r="V15" s="61"/>
      <c r="W15" s="61"/>
    </row>
    <row r="16" spans="1:33">
      <c r="A16" s="6">
        <v>1994</v>
      </c>
      <c r="C16" s="147">
        <f>'Exhibit O,1'!K16</f>
        <v>25659084.629999999</v>
      </c>
      <c r="D16" s="147"/>
      <c r="E16" s="147">
        <f>'Exhibit N,1'!K16</f>
        <v>9014361.5099999998</v>
      </c>
      <c r="F16" s="147"/>
      <c r="G16" s="147">
        <f>C16+E16</f>
        <v>34673446.140000001</v>
      </c>
      <c r="H16" s="147"/>
      <c r="I16" s="147">
        <f>'Exhibit M,1'!K16</f>
        <v>9600</v>
      </c>
      <c r="J16" s="147"/>
      <c r="K16" s="147">
        <f>'Exhibit L,1'!K16</f>
        <v>0</v>
      </c>
      <c r="L16" s="147"/>
      <c r="M16" s="147">
        <f>I16+K16</f>
        <v>9600</v>
      </c>
      <c r="N16" s="147"/>
      <c r="O16" s="495">
        <f t="shared" ref="O16:O44" si="0">G16+M16</f>
        <v>34683046.140000001</v>
      </c>
      <c r="Q16" s="21"/>
      <c r="R16" s="122">
        <f>'Exhibit L,1'!$O16+'Exhibit M,1'!$O16+'Exhibit N,1'!$O16+'Exhibit O,1'!$O16</f>
        <v>34683046.140000001</v>
      </c>
      <c r="S16" s="172">
        <f>O16-R16</f>
        <v>0</v>
      </c>
      <c r="T16" s="172"/>
      <c r="U16" s="122">
        <f>'Exhibit N,1'!$O16+'Exhibit O,1'!$O16</f>
        <v>34673446.140000001</v>
      </c>
      <c r="V16" s="354"/>
      <c r="W16" s="122">
        <f>'Exhibit L,1'!$O16+'Exhibit M,1'!$O16</f>
        <v>9600</v>
      </c>
      <c r="Y16" s="24">
        <v>44926</v>
      </c>
      <c r="Z16" s="136">
        <f>SUM('Exhibit L,3'!R22:R44)+SUM('Exhibit M,3'!R22:R44)+SUM('Exhibit N,3'!R22:R44)+SUM('Exhibit O,3'!R22:R44)</f>
        <v>458168378.42999995</v>
      </c>
      <c r="AA16" s="136">
        <f>SUM('Exhibit L,3'!S22:S44)+SUM('Exhibit M,3'!S22:S44)+SUM('Exhibit N,3'!S22:S44)+SUM('Exhibit O,3'!S22:S44)</f>
        <v>485820943.31</v>
      </c>
      <c r="AB16" s="136"/>
      <c r="AD16" s="25"/>
      <c r="AE16" s="25"/>
      <c r="AF16" s="25"/>
    </row>
    <row r="17" spans="1:30">
      <c r="A17" s="6">
        <f>A16+1</f>
        <v>1995</v>
      </c>
      <c r="C17" s="494">
        <f>'Exhibit O,1'!K17</f>
        <v>27896034.309999995</v>
      </c>
      <c r="D17" s="494"/>
      <c r="E17" s="494">
        <f>'Exhibit N,1'!K17</f>
        <v>25158701.43</v>
      </c>
      <c r="F17" s="494"/>
      <c r="G17" s="494">
        <f t="shared" ref="G17:G43" si="1">C17+E17</f>
        <v>53054735.739999995</v>
      </c>
      <c r="H17" s="494"/>
      <c r="I17" s="494">
        <f>'Exhibit M,1'!K17</f>
        <v>674635.38</v>
      </c>
      <c r="J17" s="494"/>
      <c r="K17" s="494">
        <f>'Exhibit L,1'!K17</f>
        <v>250000</v>
      </c>
      <c r="L17" s="494"/>
      <c r="M17" s="494">
        <f t="shared" ref="M17:M43" si="2">I17+K17</f>
        <v>924635.38</v>
      </c>
      <c r="N17" s="494"/>
      <c r="O17" s="494">
        <f t="shared" si="0"/>
        <v>53979371.119999997</v>
      </c>
      <c r="Q17" s="21"/>
      <c r="R17" s="137">
        <f>'Exhibit L,1'!O17+'Exhibit M,1'!O17+'Exhibit N,1'!O17+'Exhibit O,1'!O17</f>
        <v>53979371.11999999</v>
      </c>
      <c r="S17" s="172">
        <f t="shared" ref="S17:S43" si="3">O17-R17</f>
        <v>0</v>
      </c>
      <c r="T17" s="172"/>
      <c r="U17" s="137">
        <f>'Exhibit N,1'!$O17+'Exhibit O,1'!$O17</f>
        <v>53054735.739999995</v>
      </c>
      <c r="V17" s="137"/>
      <c r="W17" s="137">
        <f>'Exhibit L,1'!$O17+'Exhibit M,1'!$O17</f>
        <v>924635.38</v>
      </c>
      <c r="Y17" s="24">
        <v>44561</v>
      </c>
      <c r="Z17" s="136">
        <f>SUM('Exhibit L,3'!T22:T44)+SUM('Exhibit M,3'!T22:T44)+SUM('Exhibit N,3'!T22:T44)+SUM('Exhibit O,3'!T22:T44)</f>
        <v>446115898.18000007</v>
      </c>
      <c r="AA17" s="136">
        <f>SUM('Exhibit L,3'!U22:U44)+SUM('Exhibit M,3'!U22:U44)+SUM('Exhibit N,3'!U22:U44)+SUM('Exhibit O,3'!U22:U44)</f>
        <v>473132974.26999998</v>
      </c>
      <c r="AB17" s="354"/>
      <c r="AC17" s="25"/>
      <c r="AD17" s="354"/>
    </row>
    <row r="18" spans="1:30">
      <c r="A18" s="6">
        <f t="shared" ref="A18:A44" si="4">A17+1</f>
        <v>1996</v>
      </c>
      <c r="C18" s="494">
        <f>'Exhibit O,1'!K18</f>
        <v>30198928.089999996</v>
      </c>
      <c r="D18" s="494"/>
      <c r="E18" s="494">
        <f>'Exhibit N,1'!K18</f>
        <v>16457011</v>
      </c>
      <c r="F18" s="494"/>
      <c r="G18" s="494">
        <f t="shared" si="1"/>
        <v>46655939.089999996</v>
      </c>
      <c r="H18" s="494"/>
      <c r="I18" s="494">
        <f>'Exhibit M,1'!K18</f>
        <v>931618.13</v>
      </c>
      <c r="J18" s="494"/>
      <c r="K18" s="494">
        <f>'Exhibit L,1'!K18</f>
        <v>0</v>
      </c>
      <c r="L18" s="494"/>
      <c r="M18" s="494">
        <f t="shared" si="2"/>
        <v>931618.13</v>
      </c>
      <c r="N18" s="494"/>
      <c r="O18" s="494">
        <f t="shared" si="0"/>
        <v>47587557.219999999</v>
      </c>
      <c r="Q18" s="21"/>
      <c r="R18" s="137">
        <f>'Exhibit L,1'!O18+'Exhibit M,1'!O18+'Exhibit N,1'!O18+'Exhibit O,1'!O18</f>
        <v>47587557.219999999</v>
      </c>
      <c r="S18" s="172">
        <f t="shared" si="3"/>
        <v>0</v>
      </c>
      <c r="T18" s="172"/>
      <c r="U18" s="137">
        <f>'Exhibit N,1'!$O18+'Exhibit O,1'!$O18</f>
        <v>46655939.089999996</v>
      </c>
      <c r="V18" s="137"/>
      <c r="W18" s="137">
        <f>'Exhibit L,1'!$O18+'Exhibit M,1'!$O18</f>
        <v>931618.13</v>
      </c>
      <c r="Y18" s="25" t="s">
        <v>1595</v>
      </c>
      <c r="Z18" s="137">
        <f>Z16-Z17</f>
        <v>12052480.249999881</v>
      </c>
      <c r="AA18" s="137">
        <f>AA16-AA17</f>
        <v>12687969.040000021</v>
      </c>
      <c r="AB18" s="355"/>
      <c r="AC18" s="564"/>
      <c r="AD18" s="355"/>
    </row>
    <row r="19" spans="1:30">
      <c r="A19" s="6">
        <f t="shared" si="4"/>
        <v>1997</v>
      </c>
      <c r="C19" s="494">
        <f>'Exhibit O,1'!K19</f>
        <v>26713733.369999997</v>
      </c>
      <c r="D19" s="494"/>
      <c r="E19" s="494">
        <f>'Exhibit N,1'!K19</f>
        <v>9461637.870000001</v>
      </c>
      <c r="F19" s="494"/>
      <c r="G19" s="494">
        <f t="shared" si="1"/>
        <v>36175371.239999995</v>
      </c>
      <c r="H19" s="494"/>
      <c r="I19" s="494">
        <f>'Exhibit M,1'!K19</f>
        <v>520601.1</v>
      </c>
      <c r="J19" s="494"/>
      <c r="K19" s="494">
        <f>'Exhibit L,1'!K19</f>
        <v>1400000</v>
      </c>
      <c r="L19" s="494"/>
      <c r="M19" s="494">
        <f t="shared" si="2"/>
        <v>1920601.1</v>
      </c>
      <c r="N19" s="494"/>
      <c r="O19" s="494">
        <f t="shared" si="0"/>
        <v>38095972.339999996</v>
      </c>
      <c r="Q19" s="21"/>
      <c r="R19" s="137">
        <f>'Exhibit L,1'!O19+'Exhibit M,1'!O19+'Exhibit N,1'!O19+'Exhibit O,1'!O19</f>
        <v>38095972.339999996</v>
      </c>
      <c r="S19" s="172">
        <f t="shared" si="3"/>
        <v>0</v>
      </c>
      <c r="T19" s="172"/>
      <c r="U19" s="137">
        <f>'Exhibit N,1'!$O19+'Exhibit O,1'!$O19</f>
        <v>36175371.239999995</v>
      </c>
      <c r="V19" s="137"/>
      <c r="W19" s="137">
        <f>'Exhibit L,1'!$O19+'Exhibit M,1'!$O19</f>
        <v>1920601.1</v>
      </c>
      <c r="Y19" s="61"/>
      <c r="Z19" s="137"/>
      <c r="AB19" s="355"/>
      <c r="AC19" s="564"/>
      <c r="AD19" s="355"/>
    </row>
    <row r="20" spans="1:30">
      <c r="A20" s="6">
        <f t="shared" si="4"/>
        <v>1998</v>
      </c>
      <c r="C20" s="494">
        <f>'Exhibit O,1'!K20</f>
        <v>29164670.75</v>
      </c>
      <c r="D20" s="494"/>
      <c r="E20" s="494">
        <f>'Exhibit N,1'!K20</f>
        <v>24800000</v>
      </c>
      <c r="F20" s="494"/>
      <c r="G20" s="494">
        <f t="shared" si="1"/>
        <v>53964670.75</v>
      </c>
      <c r="H20" s="494"/>
      <c r="I20" s="494">
        <f>'Exhibit M,1'!K20</f>
        <v>606234.30000000005</v>
      </c>
      <c r="J20" s="494"/>
      <c r="K20" s="494">
        <f>'Exhibit L,1'!K20</f>
        <v>204267.68999999994</v>
      </c>
      <c r="L20" s="494"/>
      <c r="M20" s="494">
        <f t="shared" si="2"/>
        <v>810501.99</v>
      </c>
      <c r="N20" s="494"/>
      <c r="O20" s="494">
        <f t="shared" si="0"/>
        <v>54775172.740000002</v>
      </c>
      <c r="Q20" s="21"/>
      <c r="R20" s="137">
        <f>'Exhibit L,1'!O20+'Exhibit M,1'!O20+'Exhibit N,1'!O20+'Exhibit O,1'!O20</f>
        <v>54775172.739999995</v>
      </c>
      <c r="S20" s="172">
        <f t="shared" si="3"/>
        <v>0</v>
      </c>
      <c r="T20" s="172"/>
      <c r="U20" s="137">
        <f>'Exhibit N,1'!$O20+'Exhibit O,1'!$O20</f>
        <v>53964670.75</v>
      </c>
      <c r="V20" s="137"/>
      <c r="W20" s="137">
        <f>'Exhibit L,1'!$O20+'Exhibit M,1'!$O20</f>
        <v>810501.99</v>
      </c>
      <c r="Y20" s="61"/>
      <c r="Z20" s="137"/>
      <c r="AB20" s="355"/>
      <c r="AC20" s="564"/>
      <c r="AD20" s="355"/>
    </row>
    <row r="21" spans="1:30">
      <c r="A21" s="6">
        <f t="shared" si="4"/>
        <v>1999</v>
      </c>
      <c r="C21" s="494">
        <f>'Exhibit O,1'!K21</f>
        <v>35137110.340000004</v>
      </c>
      <c r="D21" s="494"/>
      <c r="E21" s="494">
        <f>'Exhibit N,1'!K21</f>
        <v>18284000</v>
      </c>
      <c r="F21" s="494"/>
      <c r="G21" s="494">
        <f t="shared" si="1"/>
        <v>53421110.340000004</v>
      </c>
      <c r="H21" s="494"/>
      <c r="I21" s="494">
        <f>'Exhibit M,1'!K21</f>
        <v>818508.42</v>
      </c>
      <c r="J21" s="494"/>
      <c r="K21" s="494">
        <f>'Exhibit L,1'!K21</f>
        <v>0</v>
      </c>
      <c r="L21" s="494"/>
      <c r="M21" s="494">
        <f t="shared" si="2"/>
        <v>818508.42</v>
      </c>
      <c r="N21" s="494"/>
      <c r="O21" s="494">
        <f t="shared" si="0"/>
        <v>54239618.760000005</v>
      </c>
      <c r="Q21" s="21"/>
      <c r="R21" s="137">
        <f>'Exhibit L,1'!O21+'Exhibit M,1'!O21+'Exhibit N,1'!O21+'Exhibit O,1'!O21</f>
        <v>54239618.760000005</v>
      </c>
      <c r="S21" s="172">
        <f t="shared" si="3"/>
        <v>0</v>
      </c>
      <c r="T21" s="172"/>
      <c r="U21" s="137">
        <f>'Exhibit N,1'!$O21+'Exhibit O,1'!$O21</f>
        <v>53421110.340000004</v>
      </c>
      <c r="V21" s="137"/>
      <c r="W21" s="137">
        <f>'Exhibit L,1'!$O21+'Exhibit M,1'!$O21</f>
        <v>818508.42</v>
      </c>
      <c r="Y21" s="61"/>
      <c r="Z21" s="137"/>
      <c r="AB21" s="355"/>
      <c r="AC21" s="564"/>
      <c r="AD21" s="355"/>
    </row>
    <row r="22" spans="1:30">
      <c r="A22" s="6">
        <f t="shared" si="4"/>
        <v>2000</v>
      </c>
      <c r="C22" s="494">
        <f>'Exhibit O,1'!K22</f>
        <v>27795495.93</v>
      </c>
      <c r="D22" s="494"/>
      <c r="E22" s="494">
        <f>'Exhibit N,1'!K22</f>
        <v>16115000</v>
      </c>
      <c r="F22" s="494"/>
      <c r="G22" s="494">
        <f t="shared" si="1"/>
        <v>43910495.93</v>
      </c>
      <c r="H22" s="494"/>
      <c r="I22" s="494">
        <f>'Exhibit M,1'!K22</f>
        <v>1349932.79</v>
      </c>
      <c r="J22" s="494"/>
      <c r="K22" s="494">
        <f>'Exhibit L,1'!K22</f>
        <v>250000</v>
      </c>
      <c r="L22" s="494"/>
      <c r="M22" s="494">
        <f t="shared" si="2"/>
        <v>1599932.79</v>
      </c>
      <c r="N22" s="494"/>
      <c r="O22" s="494">
        <f t="shared" si="0"/>
        <v>45510428.719999999</v>
      </c>
      <c r="P22" s="187"/>
      <c r="Q22" s="21"/>
      <c r="R22" s="137">
        <f>'Exhibit L,1'!O22+'Exhibit M,1'!O22+'Exhibit N,1'!O22+'Exhibit O,1'!O22</f>
        <v>45510428.719999999</v>
      </c>
      <c r="S22" s="172">
        <f t="shared" si="3"/>
        <v>0</v>
      </c>
      <c r="T22" s="172"/>
      <c r="U22" s="137">
        <f>'Exhibit N,1'!$O22+'Exhibit O,1'!$O22</f>
        <v>43910495.93</v>
      </c>
      <c r="V22" s="137"/>
      <c r="W22" s="137">
        <f>'Exhibit L,1'!$O22+'Exhibit M,1'!$O22</f>
        <v>1599932.79</v>
      </c>
      <c r="Y22" s="25"/>
      <c r="Z22" s="137"/>
      <c r="AA22" s="137"/>
      <c r="AB22" s="355"/>
      <c r="AC22" s="564"/>
      <c r="AD22" s="355"/>
    </row>
    <row r="23" spans="1:30">
      <c r="A23" s="6">
        <f t="shared" si="4"/>
        <v>2001</v>
      </c>
      <c r="C23" s="494">
        <f>'Exhibit O,1'!K23</f>
        <v>22560712.330000006</v>
      </c>
      <c r="D23" s="494"/>
      <c r="E23" s="494">
        <f>'Exhibit N,1'!K23</f>
        <v>12067167</v>
      </c>
      <c r="F23" s="494"/>
      <c r="G23" s="494">
        <f t="shared" si="1"/>
        <v>34627879.330000006</v>
      </c>
      <c r="H23" s="494"/>
      <c r="I23" s="494">
        <f>'Exhibit M,1'!K23</f>
        <v>1732780</v>
      </c>
      <c r="J23" s="494"/>
      <c r="K23" s="494">
        <f>'Exhibit L,1'!K23</f>
        <v>1283262.23</v>
      </c>
      <c r="L23" s="494"/>
      <c r="M23" s="494">
        <f t="shared" si="2"/>
        <v>3016042.23</v>
      </c>
      <c r="N23" s="494"/>
      <c r="O23" s="494">
        <f t="shared" si="0"/>
        <v>37643921.560000002</v>
      </c>
      <c r="P23" s="187"/>
      <c r="Q23" s="21"/>
      <c r="R23" s="137">
        <f>'Exhibit L,1'!O23+'Exhibit M,1'!O23+'Exhibit N,1'!O23+'Exhibit O,1'!O23</f>
        <v>37643921.560000002</v>
      </c>
      <c r="S23" s="172">
        <f t="shared" si="3"/>
        <v>0</v>
      </c>
      <c r="T23" s="172"/>
      <c r="U23" s="137">
        <f>'Exhibit N,1'!$O23+'Exhibit O,1'!$O23</f>
        <v>34627879.330000006</v>
      </c>
      <c r="V23" s="137"/>
      <c r="W23" s="137">
        <f>'Exhibit L,1'!$O23+'Exhibit M,1'!$O23</f>
        <v>3016042.23</v>
      </c>
      <c r="Z23" s="137"/>
      <c r="AA23" s="137"/>
      <c r="AB23" s="355"/>
      <c r="AC23" s="564"/>
      <c r="AD23" s="355"/>
    </row>
    <row r="24" spans="1:30">
      <c r="A24" s="6">
        <f t="shared" si="4"/>
        <v>2002</v>
      </c>
      <c r="C24" s="494">
        <f>'Exhibit O,1'!K24</f>
        <v>26310397.339999992</v>
      </c>
      <c r="D24" s="494"/>
      <c r="E24" s="494">
        <f>'Exhibit N,1'!K24</f>
        <v>12700000</v>
      </c>
      <c r="F24" s="494"/>
      <c r="G24" s="494">
        <f t="shared" si="1"/>
        <v>39010397.339999989</v>
      </c>
      <c r="H24" s="494"/>
      <c r="I24" s="494">
        <f>'Exhibit M,1'!K24</f>
        <v>647640.80999999994</v>
      </c>
      <c r="J24" s="494"/>
      <c r="K24" s="494">
        <f>'Exhibit L,1'!K24</f>
        <v>0</v>
      </c>
      <c r="L24" s="494"/>
      <c r="M24" s="494">
        <f t="shared" si="2"/>
        <v>647640.80999999994</v>
      </c>
      <c r="N24" s="494"/>
      <c r="O24" s="494">
        <f t="shared" si="0"/>
        <v>39658038.149999991</v>
      </c>
      <c r="P24" s="187"/>
      <c r="Q24" s="21"/>
      <c r="R24" s="137">
        <f>'Exhibit L,1'!O24+'Exhibit M,1'!O24+'Exhibit N,1'!O24+'Exhibit O,1'!O24</f>
        <v>39658038.149999991</v>
      </c>
      <c r="S24" s="172">
        <f t="shared" si="3"/>
        <v>0</v>
      </c>
      <c r="T24" s="172"/>
      <c r="U24" s="137">
        <f>'Exhibit N,1'!$O24+'Exhibit O,1'!$O24</f>
        <v>39010397.339999989</v>
      </c>
      <c r="V24" s="137"/>
      <c r="W24" s="137">
        <f>'Exhibit L,1'!$O24+'Exhibit M,1'!$O24</f>
        <v>647640.80999999994</v>
      </c>
      <c r="Z24" s="137"/>
      <c r="AA24" s="137"/>
      <c r="AB24" s="355"/>
      <c r="AC24" s="564"/>
      <c r="AD24" s="355"/>
    </row>
    <row r="25" spans="1:30">
      <c r="A25" s="6">
        <f t="shared" si="4"/>
        <v>2003</v>
      </c>
      <c r="C25" s="494">
        <f>'Exhibit O,1'!K25</f>
        <v>20878044.309999999</v>
      </c>
      <c r="D25" s="494"/>
      <c r="E25" s="494">
        <f>'Exhibit N,1'!K25</f>
        <v>15540000</v>
      </c>
      <c r="F25" s="494"/>
      <c r="G25" s="494">
        <f t="shared" si="1"/>
        <v>36418044.310000002</v>
      </c>
      <c r="H25" s="494"/>
      <c r="I25" s="494">
        <f>'Exhibit M,1'!K25</f>
        <v>2003612.72</v>
      </c>
      <c r="J25" s="494"/>
      <c r="K25" s="494">
        <f>'Exhibit L,1'!K25</f>
        <v>1200000</v>
      </c>
      <c r="L25" s="494"/>
      <c r="M25" s="494">
        <f t="shared" si="2"/>
        <v>3203612.7199999997</v>
      </c>
      <c r="N25" s="494"/>
      <c r="O25" s="494">
        <f t="shared" si="0"/>
        <v>39621657.030000001</v>
      </c>
      <c r="P25" s="187"/>
      <c r="Q25" s="21"/>
      <c r="R25" s="137">
        <f>'Exhibit L,1'!O25+'Exhibit M,1'!O25+'Exhibit N,1'!O25+'Exhibit O,1'!O25</f>
        <v>39621657.030000001</v>
      </c>
      <c r="S25" s="172">
        <f t="shared" si="3"/>
        <v>0</v>
      </c>
      <c r="T25" s="172"/>
      <c r="U25" s="137">
        <f>'Exhibit N,1'!$O25+'Exhibit O,1'!$O25</f>
        <v>36418044.310000002</v>
      </c>
      <c r="V25" s="137"/>
      <c r="W25" s="137">
        <f>'Exhibit L,1'!$O25+'Exhibit M,1'!$O25</f>
        <v>3203612.7199999997</v>
      </c>
      <c r="Y25" s="24"/>
      <c r="Z25" s="136"/>
      <c r="AA25" s="136"/>
      <c r="AB25" s="355"/>
      <c r="AC25" s="564"/>
      <c r="AD25" s="355"/>
    </row>
    <row r="26" spans="1:30">
      <c r="A26" s="6">
        <f t="shared" si="4"/>
        <v>2004</v>
      </c>
      <c r="C26" s="494">
        <f>'Exhibit O,1'!K26</f>
        <v>14303436.559999997</v>
      </c>
      <c r="D26" s="494"/>
      <c r="E26" s="494">
        <f>'Exhibit N,1'!K26</f>
        <v>5025000</v>
      </c>
      <c r="F26" s="494"/>
      <c r="G26" s="494">
        <f t="shared" si="1"/>
        <v>19328436.559999995</v>
      </c>
      <c r="H26" s="494"/>
      <c r="I26" s="494">
        <f>'Exhibit M,1'!K26</f>
        <v>2277389.9</v>
      </c>
      <c r="J26" s="494"/>
      <c r="K26" s="494">
        <f>'Exhibit L,1'!K26</f>
        <v>740000</v>
      </c>
      <c r="L26" s="494"/>
      <c r="M26" s="494">
        <f t="shared" si="2"/>
        <v>3017389.9</v>
      </c>
      <c r="N26" s="494"/>
      <c r="O26" s="494">
        <f t="shared" si="0"/>
        <v>22345826.459999993</v>
      </c>
      <c r="P26" s="187"/>
      <c r="Q26" s="21"/>
      <c r="R26" s="137">
        <f>'Exhibit L,1'!O26+'Exhibit M,1'!O26+'Exhibit N,1'!O26+'Exhibit O,1'!O26</f>
        <v>22340826.459999997</v>
      </c>
      <c r="S26" s="172">
        <f t="shared" si="3"/>
        <v>4999.9999999962747</v>
      </c>
      <c r="T26" s="172"/>
      <c r="U26" s="137">
        <f>'Exhibit N,1'!$O26+'Exhibit O,1'!$O26</f>
        <v>19328436.559999995</v>
      </c>
      <c r="V26" s="137"/>
      <c r="W26" s="137">
        <f>'Exhibit L,1'!$O26+'Exhibit M,1'!$O26</f>
        <v>3012389.9</v>
      </c>
      <c r="Y26" s="24"/>
      <c r="Z26" s="136"/>
      <c r="AA26" s="136"/>
      <c r="AC26" s="564"/>
      <c r="AD26" s="355"/>
    </row>
    <row r="27" spans="1:30">
      <c r="A27" s="6">
        <f t="shared" si="4"/>
        <v>2005</v>
      </c>
      <c r="C27" s="494">
        <f>'Exhibit O,1'!K27</f>
        <v>16243160.280000001</v>
      </c>
      <c r="D27" s="494"/>
      <c r="E27" s="494">
        <f>'Exhibit N,1'!K27</f>
        <v>4275000</v>
      </c>
      <c r="F27" s="494"/>
      <c r="G27" s="494">
        <f t="shared" si="1"/>
        <v>20518160.280000001</v>
      </c>
      <c r="H27" s="494"/>
      <c r="I27" s="494">
        <f>'Exhibit M,1'!K27</f>
        <v>1556133.47</v>
      </c>
      <c r="J27" s="494"/>
      <c r="K27" s="494">
        <f>'Exhibit L,1'!K27</f>
        <v>975000</v>
      </c>
      <c r="L27" s="494"/>
      <c r="M27" s="494">
        <f t="shared" si="2"/>
        <v>2531133.4699999997</v>
      </c>
      <c r="N27" s="494"/>
      <c r="O27" s="494">
        <f t="shared" si="0"/>
        <v>23049293.75</v>
      </c>
      <c r="P27" s="187"/>
      <c r="Q27" s="21"/>
      <c r="R27" s="137">
        <f>'Exhibit L,1'!O27+'Exhibit M,1'!O27+'Exhibit N,1'!O27+'Exhibit O,1'!O27</f>
        <v>23049293.75</v>
      </c>
      <c r="S27" s="172">
        <f t="shared" si="3"/>
        <v>0</v>
      </c>
      <c r="T27" s="172"/>
      <c r="U27" s="137">
        <f>'Exhibit N,1'!$O27+'Exhibit O,1'!$O27</f>
        <v>20518160.280000001</v>
      </c>
      <c r="V27" s="137"/>
      <c r="W27" s="137">
        <f>'Exhibit L,1'!$O27+'Exhibit M,1'!$O27</f>
        <v>2531133.4699999997</v>
      </c>
      <c r="Y27" s="25"/>
      <c r="Z27" s="137"/>
      <c r="AA27" s="137"/>
      <c r="AB27" s="355"/>
      <c r="AC27" s="564"/>
      <c r="AD27" s="355"/>
    </row>
    <row r="28" spans="1:30">
      <c r="A28" s="6">
        <f t="shared" si="4"/>
        <v>2006</v>
      </c>
      <c r="C28" s="494">
        <f>'Exhibit O,1'!K28</f>
        <v>14659669.499999998</v>
      </c>
      <c r="D28" s="494"/>
      <c r="E28" s="494">
        <f>'Exhibit N,1'!K28</f>
        <v>5350000</v>
      </c>
      <c r="F28" s="494"/>
      <c r="G28" s="494">
        <f t="shared" si="1"/>
        <v>20009669.5</v>
      </c>
      <c r="H28" s="494"/>
      <c r="I28" s="494">
        <f>'Exhibit M,1'!K28</f>
        <v>78000</v>
      </c>
      <c r="J28" s="494"/>
      <c r="K28" s="494">
        <f>'Exhibit L,1'!K28</f>
        <v>0</v>
      </c>
      <c r="L28" s="494"/>
      <c r="M28" s="494">
        <f t="shared" si="2"/>
        <v>78000</v>
      </c>
      <c r="N28" s="494"/>
      <c r="O28" s="494">
        <f t="shared" si="0"/>
        <v>20087669.5</v>
      </c>
      <c r="P28" s="187"/>
      <c r="Q28" s="21"/>
      <c r="R28" s="137">
        <f>'Exhibit L,1'!O28+'Exhibit M,1'!O28+'Exhibit N,1'!O28+'Exhibit O,1'!O28</f>
        <v>20273805.799999997</v>
      </c>
      <c r="S28" s="172">
        <f t="shared" si="3"/>
        <v>-186136.29999999702</v>
      </c>
      <c r="T28" s="172"/>
      <c r="U28" s="137">
        <f>'Exhibit N,1'!$O28+'Exhibit O,1'!$O28</f>
        <v>20215805.799999997</v>
      </c>
      <c r="V28" s="137"/>
      <c r="W28" s="137">
        <f>'Exhibit L,1'!$O28+'Exhibit M,1'!$O28</f>
        <v>58000</v>
      </c>
      <c r="Y28" s="61"/>
      <c r="Z28" s="137"/>
      <c r="AB28" s="355"/>
      <c r="AC28" s="564"/>
      <c r="AD28" s="355"/>
    </row>
    <row r="29" spans="1:30">
      <c r="A29" s="6">
        <f t="shared" si="4"/>
        <v>2007</v>
      </c>
      <c r="C29" s="494">
        <f>'Exhibit O,1'!K29</f>
        <v>16719584.209999999</v>
      </c>
      <c r="D29" s="494"/>
      <c r="E29" s="494">
        <f>'Exhibit N,1'!K29</f>
        <v>4345000</v>
      </c>
      <c r="F29" s="494"/>
      <c r="G29" s="494">
        <f t="shared" si="1"/>
        <v>21064584.210000001</v>
      </c>
      <c r="H29" s="494"/>
      <c r="I29" s="494">
        <f>'Exhibit M,1'!K29</f>
        <v>806127.32000000007</v>
      </c>
      <c r="J29" s="494"/>
      <c r="K29" s="494">
        <f>'Exhibit L,1'!K29</f>
        <v>500000</v>
      </c>
      <c r="L29" s="494"/>
      <c r="M29" s="494">
        <f t="shared" si="2"/>
        <v>1306127.32</v>
      </c>
      <c r="N29" s="494"/>
      <c r="O29" s="494">
        <f t="shared" si="0"/>
        <v>22370711.530000001</v>
      </c>
      <c r="P29" s="187"/>
      <c r="Q29" s="21"/>
      <c r="R29" s="137">
        <f>'Exhibit L,1'!O29+'Exhibit M,1'!O29+'Exhibit N,1'!O29+'Exhibit O,1'!O29</f>
        <v>22370711.530000001</v>
      </c>
      <c r="S29" s="172">
        <f t="shared" si="3"/>
        <v>0</v>
      </c>
      <c r="T29" s="172"/>
      <c r="U29" s="137">
        <f>'Exhibit N,1'!$O29+'Exhibit O,1'!$O29</f>
        <v>21064584.210000001</v>
      </c>
      <c r="V29" s="137"/>
      <c r="W29" s="137">
        <f>'Exhibit L,1'!$O29+'Exhibit M,1'!$O29</f>
        <v>1306127.32</v>
      </c>
      <c r="Y29" s="61"/>
      <c r="Z29" s="137"/>
      <c r="AA29" s="137"/>
      <c r="AB29" s="355"/>
      <c r="AC29" s="564"/>
      <c r="AD29" s="355"/>
    </row>
    <row r="30" spans="1:30">
      <c r="A30" s="6">
        <f t="shared" si="4"/>
        <v>2008</v>
      </c>
      <c r="C30" s="494">
        <f>'Exhibit O,1'!K30</f>
        <v>15508781.949999999</v>
      </c>
      <c r="D30" s="494"/>
      <c r="E30" s="494">
        <f>'Exhibit N,1'!K30</f>
        <v>5515000</v>
      </c>
      <c r="F30" s="494"/>
      <c r="G30" s="494">
        <f t="shared" si="1"/>
        <v>21023781.949999999</v>
      </c>
      <c r="H30" s="494"/>
      <c r="I30" s="494">
        <f>'Exhibit M,1'!K30</f>
        <v>728745.13</v>
      </c>
      <c r="J30" s="494"/>
      <c r="K30" s="494">
        <f>'Exhibit L,1'!K30</f>
        <v>350000</v>
      </c>
      <c r="L30" s="494"/>
      <c r="M30" s="494">
        <f t="shared" si="2"/>
        <v>1078745.1299999999</v>
      </c>
      <c r="N30" s="494"/>
      <c r="O30" s="494">
        <f t="shared" si="0"/>
        <v>22102527.079999998</v>
      </c>
      <c r="P30" s="187"/>
      <c r="Q30" s="21"/>
      <c r="R30" s="137">
        <f>'Exhibit L,1'!O30+'Exhibit M,1'!O30+'Exhibit N,1'!O30+'Exhibit O,1'!O30</f>
        <v>22102527.079999998</v>
      </c>
      <c r="S30" s="172">
        <f t="shared" si="3"/>
        <v>0</v>
      </c>
      <c r="T30" s="172"/>
      <c r="U30" s="137">
        <f>'Exhibit N,1'!$O30+'Exhibit O,1'!$O30</f>
        <v>21023781.949999999</v>
      </c>
      <c r="V30" s="137"/>
      <c r="W30" s="137">
        <f>'Exhibit L,1'!$O30+'Exhibit M,1'!$O30</f>
        <v>1078745.1299999999</v>
      </c>
      <c r="Y30" s="61"/>
      <c r="Z30" s="137"/>
      <c r="AB30" s="355"/>
      <c r="AC30" s="564"/>
      <c r="AD30" s="355"/>
    </row>
    <row r="31" spans="1:30">
      <c r="A31" s="6">
        <f t="shared" si="4"/>
        <v>2009</v>
      </c>
      <c r="C31" s="494">
        <f>'Exhibit O,1'!K31</f>
        <v>12635738.100000003</v>
      </c>
      <c r="D31" s="494"/>
      <c r="E31" s="494">
        <f>'Exhibit N,1'!K31</f>
        <v>6335000</v>
      </c>
      <c r="F31" s="494"/>
      <c r="G31" s="494">
        <f t="shared" si="1"/>
        <v>18970738.100000001</v>
      </c>
      <c r="H31" s="494"/>
      <c r="I31" s="494">
        <f>'Exhibit M,1'!K31</f>
        <v>2851</v>
      </c>
      <c r="J31" s="494"/>
      <c r="K31" s="494">
        <f>'Exhibit L,1'!K31</f>
        <v>0</v>
      </c>
      <c r="L31" s="494"/>
      <c r="M31" s="494">
        <f t="shared" si="2"/>
        <v>2851</v>
      </c>
      <c r="N31" s="494"/>
      <c r="O31" s="494">
        <f t="shared" si="0"/>
        <v>18973589.100000001</v>
      </c>
      <c r="P31" s="187"/>
      <c r="Q31" s="21"/>
      <c r="R31" s="137">
        <f>'Exhibit L,1'!O31+'Exhibit M,1'!O31+'Exhibit N,1'!O31+'Exhibit O,1'!O31</f>
        <v>18973589.1256935</v>
      </c>
      <c r="S31" s="172">
        <f t="shared" si="3"/>
        <v>-2.5693498551845551E-2</v>
      </c>
      <c r="T31" s="172"/>
      <c r="U31" s="137">
        <f>'Exhibit N,1'!$O31+'Exhibit O,1'!$O31</f>
        <v>18970738.100000001</v>
      </c>
      <c r="V31" s="137"/>
      <c r="W31" s="137">
        <f>'Exhibit L,1'!$O31+'Exhibit M,1'!$O31</f>
        <v>2851.0256934990098</v>
      </c>
      <c r="Y31" s="61"/>
      <c r="Z31" s="137"/>
      <c r="AB31" s="355"/>
      <c r="AC31" s="564"/>
      <c r="AD31" s="355"/>
    </row>
    <row r="32" spans="1:30">
      <c r="A32" s="6">
        <f t="shared" si="4"/>
        <v>2010</v>
      </c>
      <c r="C32" s="494">
        <f>'Exhibit O,1'!K32</f>
        <v>16673387.52</v>
      </c>
      <c r="D32" s="494"/>
      <c r="E32" s="494">
        <f>'Exhibit N,1'!K32</f>
        <v>8462500</v>
      </c>
      <c r="F32" s="494"/>
      <c r="G32" s="494">
        <f t="shared" si="1"/>
        <v>25135887.52</v>
      </c>
      <c r="H32" s="494"/>
      <c r="I32" s="494">
        <f>'Exhibit M,1'!K32</f>
        <v>0</v>
      </c>
      <c r="J32" s="494"/>
      <c r="K32" s="494">
        <f>'Exhibit L,1'!K32</f>
        <v>0</v>
      </c>
      <c r="L32" s="494"/>
      <c r="M32" s="494">
        <f t="shared" si="2"/>
        <v>0</v>
      </c>
      <c r="N32" s="494"/>
      <c r="O32" s="494">
        <f t="shared" si="0"/>
        <v>25135887.52</v>
      </c>
      <c r="P32" s="187"/>
      <c r="Q32" s="21"/>
      <c r="R32" s="137">
        <f>'Exhibit L,1'!O32+'Exhibit M,1'!O32+'Exhibit N,1'!O32+'Exhibit O,1'!O32</f>
        <v>25135887.52</v>
      </c>
      <c r="S32" s="172">
        <f t="shared" si="3"/>
        <v>0</v>
      </c>
      <c r="T32" s="172"/>
      <c r="U32" s="137">
        <f>'Exhibit N,1'!$O32+'Exhibit O,1'!$O32</f>
        <v>25135887.52</v>
      </c>
      <c r="V32" s="137"/>
      <c r="W32" s="137">
        <f>'Exhibit L,1'!$O32+'Exhibit M,1'!$O32</f>
        <v>0</v>
      </c>
      <c r="Y32" s="61"/>
      <c r="Z32" s="137"/>
      <c r="AB32" s="355"/>
      <c r="AC32" s="564"/>
      <c r="AD32" s="355"/>
    </row>
    <row r="33" spans="1:30">
      <c r="A33" s="6">
        <f t="shared" si="4"/>
        <v>2011</v>
      </c>
      <c r="C33" s="494">
        <f>'Exhibit O,1'!K33</f>
        <v>9644676.9399999995</v>
      </c>
      <c r="D33" s="494"/>
      <c r="E33" s="494">
        <f>'Exhibit N,1'!K33</f>
        <v>7214500</v>
      </c>
      <c r="F33" s="494"/>
      <c r="G33" s="494">
        <f t="shared" si="1"/>
        <v>16859176.939999998</v>
      </c>
      <c r="H33" s="494"/>
      <c r="I33" s="494">
        <f>'Exhibit M,1'!K33</f>
        <v>407361.58052147331</v>
      </c>
      <c r="J33" s="494"/>
      <c r="K33" s="494">
        <f>'Exhibit L,1'!K33</f>
        <v>0</v>
      </c>
      <c r="L33" s="494"/>
      <c r="M33" s="494">
        <f t="shared" si="2"/>
        <v>407361.58052147331</v>
      </c>
      <c r="N33" s="494"/>
      <c r="O33" s="494">
        <f t="shared" si="0"/>
        <v>17266538.520521469</v>
      </c>
      <c r="P33" s="187"/>
      <c r="Q33" s="21"/>
      <c r="R33" s="137">
        <f>'Exhibit L,1'!O33+'Exhibit M,1'!O33+'Exhibit N,1'!O33+'Exhibit O,1'!O33</f>
        <v>17266751.013838965</v>
      </c>
      <c r="S33" s="172">
        <f t="shared" si="3"/>
        <v>-212.49331749603152</v>
      </c>
      <c r="T33" s="172"/>
      <c r="U33" s="137">
        <f>'Exhibit N,1'!$O33+'Exhibit O,1'!$O33</f>
        <v>16859176.939999998</v>
      </c>
      <c r="V33" s="137"/>
      <c r="W33" s="137">
        <f>'Exhibit L,1'!$O33+'Exhibit M,1'!$O33</f>
        <v>407574.07383896492</v>
      </c>
      <c r="Y33" s="61"/>
      <c r="Z33" s="137"/>
      <c r="AB33" s="355"/>
      <c r="AC33" s="564"/>
      <c r="AD33" s="355"/>
    </row>
    <row r="34" spans="1:30">
      <c r="A34" s="6">
        <f t="shared" si="4"/>
        <v>2012</v>
      </c>
      <c r="C34" s="494">
        <f>'Exhibit O,1'!K34</f>
        <v>13600663.920000002</v>
      </c>
      <c r="D34" s="494"/>
      <c r="E34" s="494">
        <f>'Exhibit N,1'!K34</f>
        <v>9894999.6699999999</v>
      </c>
      <c r="F34" s="494"/>
      <c r="G34" s="494">
        <f t="shared" si="1"/>
        <v>23495663.590000004</v>
      </c>
      <c r="H34" s="494"/>
      <c r="I34" s="494">
        <f>'Exhibit M,1'!K34</f>
        <v>1102035.9602525134</v>
      </c>
      <c r="J34" s="494"/>
      <c r="K34" s="494">
        <f>'Exhibit L,1'!K34</f>
        <v>0</v>
      </c>
      <c r="L34" s="494"/>
      <c r="M34" s="494">
        <f t="shared" si="2"/>
        <v>1102035.9602525134</v>
      </c>
      <c r="N34" s="494"/>
      <c r="O34" s="494">
        <f t="shared" si="0"/>
        <v>24597699.550252516</v>
      </c>
      <c r="P34" s="187"/>
      <c r="Q34" s="21"/>
      <c r="R34" s="137">
        <f>'Exhibit L,1'!O34+'Exhibit M,1'!O34+'Exhibit N,1'!O34+'Exhibit O,1'!O34</f>
        <v>24576717.719611444</v>
      </c>
      <c r="S34" s="172">
        <f t="shared" si="3"/>
        <v>20981.830641072243</v>
      </c>
      <c r="T34" s="172"/>
      <c r="U34" s="137">
        <f>'Exhibit N,1'!$O34+'Exhibit O,1'!$O34</f>
        <v>23472370.420000002</v>
      </c>
      <c r="V34" s="137"/>
      <c r="W34" s="137">
        <f>'Exhibit L,1'!$O34+'Exhibit M,1'!$O34</f>
        <v>1104347.2996114462</v>
      </c>
      <c r="Y34" s="61"/>
      <c r="Z34" s="137"/>
      <c r="AB34" s="355"/>
      <c r="AC34" s="564"/>
      <c r="AD34" s="355"/>
    </row>
    <row r="35" spans="1:30">
      <c r="A35" s="6">
        <f t="shared" si="4"/>
        <v>2013</v>
      </c>
      <c r="C35" s="494">
        <f>'Exhibit O,1'!K35</f>
        <v>11521638.42</v>
      </c>
      <c r="D35" s="494"/>
      <c r="E35" s="494">
        <f>'Exhibit N,1'!K35</f>
        <v>9340000</v>
      </c>
      <c r="F35" s="494"/>
      <c r="G35" s="494">
        <f t="shared" si="1"/>
        <v>20861638.420000002</v>
      </c>
      <c r="H35" s="494"/>
      <c r="I35" s="494">
        <f>'Exhibit M,1'!K35</f>
        <v>1245292.4175367891</v>
      </c>
      <c r="J35" s="494"/>
      <c r="K35" s="494">
        <f>'Exhibit L,1'!K35</f>
        <v>753354.98237034341</v>
      </c>
      <c r="L35" s="494"/>
      <c r="M35" s="494">
        <f t="shared" si="2"/>
        <v>1998647.3999071326</v>
      </c>
      <c r="N35" s="494"/>
      <c r="O35" s="494">
        <f t="shared" si="0"/>
        <v>22860285.819907136</v>
      </c>
      <c r="P35" s="187"/>
      <c r="Q35" s="21"/>
      <c r="R35" s="137">
        <f>'Exhibit L,1'!O35+'Exhibit M,1'!O35+'Exhibit N,1'!O35+'Exhibit O,1'!O35</f>
        <v>22874904.261873882</v>
      </c>
      <c r="S35" s="172">
        <f t="shared" si="3"/>
        <v>-14618.441966746002</v>
      </c>
      <c r="T35" s="172"/>
      <c r="U35" s="137">
        <f>'Exhibit N,1'!$O35+'Exhibit O,1'!$O35</f>
        <v>20861638.420000002</v>
      </c>
      <c r="V35" s="137"/>
      <c r="W35" s="137">
        <f>'Exhibit L,1'!$O35+'Exhibit M,1'!$O35</f>
        <v>2013265.8418738819</v>
      </c>
      <c r="Y35" s="84"/>
      <c r="Z35" s="84"/>
      <c r="AA35" s="84"/>
      <c r="AC35" s="564"/>
      <c r="AD35" s="355"/>
    </row>
    <row r="36" spans="1:30">
      <c r="A36" s="6">
        <f t="shared" si="4"/>
        <v>2014</v>
      </c>
      <c r="C36" s="494">
        <f>'Exhibit O,1'!K36</f>
        <v>11478427.860000001</v>
      </c>
      <c r="D36" s="494"/>
      <c r="E36" s="494">
        <f>'Exhibit N,1'!K36</f>
        <v>3935000</v>
      </c>
      <c r="F36" s="494"/>
      <c r="G36" s="494">
        <f t="shared" si="1"/>
        <v>15413427.860000001</v>
      </c>
      <c r="H36" s="494"/>
      <c r="I36" s="494">
        <f>'Exhibit M,1'!K36</f>
        <v>548996.66268209089</v>
      </c>
      <c r="J36" s="494"/>
      <c r="K36" s="494">
        <f>'Exhibit L,1'!K36</f>
        <v>0</v>
      </c>
      <c r="L36" s="494"/>
      <c r="M36" s="494">
        <f t="shared" si="2"/>
        <v>548996.66268209089</v>
      </c>
      <c r="N36" s="494"/>
      <c r="O36" s="494">
        <f t="shared" si="0"/>
        <v>15962424.522682093</v>
      </c>
      <c r="P36" s="187"/>
      <c r="Q36" s="21"/>
      <c r="R36" s="137">
        <f>'Exhibit L,1'!O36+'Exhibit M,1'!O36+'Exhibit N,1'!O36+'Exhibit O,1'!O36</f>
        <v>15983128.982608002</v>
      </c>
      <c r="S36" s="172">
        <f t="shared" si="3"/>
        <v>-20704.459925908595</v>
      </c>
      <c r="T36" s="172"/>
      <c r="U36" s="137">
        <f>'Exhibit N,1'!$O36+'Exhibit O,1'!$O36</f>
        <v>15424983.406905109</v>
      </c>
      <c r="V36" s="137"/>
      <c r="W36" s="137">
        <f>'Exhibit L,1'!$O36+'Exhibit M,1'!$O36</f>
        <v>558145.57570289331</v>
      </c>
      <c r="Y36" s="84"/>
      <c r="Z36" s="84"/>
      <c r="AA36" s="84"/>
      <c r="AC36" s="564"/>
      <c r="AD36" s="355"/>
    </row>
    <row r="37" spans="1:30">
      <c r="A37" s="6">
        <f t="shared" si="4"/>
        <v>2015</v>
      </c>
      <c r="C37" s="494">
        <f>'Exhibit O,1'!K37</f>
        <v>13666012.005524082</v>
      </c>
      <c r="D37" s="494"/>
      <c r="E37" s="494">
        <f>'Exhibit N,1'!K37</f>
        <v>7425000</v>
      </c>
      <c r="F37" s="494"/>
      <c r="G37" s="494">
        <f t="shared" si="1"/>
        <v>21091012.005524084</v>
      </c>
      <c r="H37" s="494"/>
      <c r="I37" s="494">
        <f>'Exhibit M,1'!K37</f>
        <v>565861.22340523952</v>
      </c>
      <c r="J37" s="494"/>
      <c r="K37" s="494">
        <f>'Exhibit L,1'!K37</f>
        <v>105859.68367828966</v>
      </c>
      <c r="L37" s="494"/>
      <c r="M37" s="494">
        <f t="shared" si="2"/>
        <v>671720.90708352916</v>
      </c>
      <c r="N37" s="494"/>
      <c r="O37" s="494">
        <f t="shared" si="0"/>
        <v>21762732.912607614</v>
      </c>
      <c r="P37" s="187"/>
      <c r="Q37" s="21"/>
      <c r="R37" s="137">
        <f>'Exhibit L,1'!O37+'Exhibit M,1'!O37+'Exhibit N,1'!O37+'Exhibit O,1'!O37</f>
        <v>21939624.010293737</v>
      </c>
      <c r="S37" s="172">
        <f t="shared" si="3"/>
        <v>-176891.0976861231</v>
      </c>
      <c r="T37" s="172"/>
      <c r="U37" s="137">
        <f>'Exhibit N,1'!$O37+'Exhibit O,1'!$O37</f>
        <v>21237645.968688041</v>
      </c>
      <c r="V37" s="137"/>
      <c r="W37" s="137">
        <f>'Exhibit L,1'!$O37+'Exhibit M,1'!$O37</f>
        <v>701978.04160569899</v>
      </c>
      <c r="Y37" s="84"/>
      <c r="Z37" s="84"/>
      <c r="AA37" s="84"/>
      <c r="AC37" s="564"/>
      <c r="AD37" s="355"/>
    </row>
    <row r="38" spans="1:30">
      <c r="A38" s="6">
        <f t="shared" si="4"/>
        <v>2016</v>
      </c>
      <c r="C38" s="494">
        <f>'Exhibit O,1'!K38</f>
        <v>8995399.1284141727</v>
      </c>
      <c r="D38" s="494"/>
      <c r="E38" s="494">
        <f>'Exhibit N,1'!K38</f>
        <v>3932768.2357586091</v>
      </c>
      <c r="F38" s="494"/>
      <c r="G38" s="494">
        <f t="shared" si="1"/>
        <v>12928167.364172783</v>
      </c>
      <c r="H38" s="494"/>
      <c r="I38" s="494">
        <f>'Exhibit M,1'!K38</f>
        <v>2888549.9548365469</v>
      </c>
      <c r="J38" s="494"/>
      <c r="K38" s="494">
        <f>'Exhibit L,1'!K38</f>
        <v>2294404.5678640222</v>
      </c>
      <c r="L38" s="494"/>
      <c r="M38" s="494">
        <f t="shared" si="2"/>
        <v>5182954.5227005687</v>
      </c>
      <c r="N38" s="494"/>
      <c r="O38" s="494">
        <f t="shared" si="0"/>
        <v>18111121.88687335</v>
      </c>
      <c r="P38" s="187"/>
      <c r="Q38" s="21"/>
      <c r="R38" s="137">
        <f>'Exhibit L,1'!O38+'Exhibit M,1'!O38+'Exhibit N,1'!O38+'Exhibit O,1'!O38</f>
        <v>19571749.379962433</v>
      </c>
      <c r="S38" s="172">
        <f t="shared" si="3"/>
        <v>-1460627.4930890836</v>
      </c>
      <c r="T38" s="172"/>
      <c r="U38" s="137">
        <f>'Exhibit N,1'!$O38+'Exhibit O,1'!$O38</f>
        <v>14005464.763363007</v>
      </c>
      <c r="V38" s="137"/>
      <c r="W38" s="137">
        <f>'Exhibit L,1'!$O38+'Exhibit M,1'!$O38</f>
        <v>5566284.6165994257</v>
      </c>
      <c r="Y38" s="84"/>
      <c r="Z38" s="84"/>
      <c r="AA38" s="84"/>
      <c r="AC38" s="564"/>
      <c r="AD38" s="355"/>
    </row>
    <row r="39" spans="1:30">
      <c r="A39" s="6">
        <f t="shared" si="4"/>
        <v>2017</v>
      </c>
      <c r="C39" s="494">
        <f>'Exhibit O,1'!K39</f>
        <v>6332611.7235251321</v>
      </c>
      <c r="D39" s="494"/>
      <c r="E39" s="494">
        <f>'Exhibit N,1'!K39</f>
        <v>1370223.5228028973</v>
      </c>
      <c r="F39" s="494"/>
      <c r="G39" s="494">
        <f t="shared" si="1"/>
        <v>7702835.2463280298</v>
      </c>
      <c r="H39" s="494"/>
      <c r="I39" s="494">
        <f>'Exhibit M,1'!K39</f>
        <v>420952.5779733985</v>
      </c>
      <c r="J39" s="494"/>
      <c r="K39" s="494">
        <f>'Exhibit L,1'!K39</f>
        <v>222420.30087023426</v>
      </c>
      <c r="L39" s="494"/>
      <c r="M39" s="494">
        <f t="shared" si="2"/>
        <v>643372.87884363276</v>
      </c>
      <c r="N39" s="494"/>
      <c r="O39" s="494">
        <f t="shared" si="0"/>
        <v>8346208.1251716623</v>
      </c>
      <c r="P39" s="187"/>
      <c r="Q39" s="21"/>
      <c r="R39" s="137">
        <f>'Exhibit L,1'!O39+'Exhibit M,1'!O39+'Exhibit N,1'!O39+'Exhibit O,1'!O39</f>
        <v>11425692.023544662</v>
      </c>
      <c r="S39" s="172">
        <f t="shared" si="3"/>
        <v>-3079483.8983729994</v>
      </c>
      <c r="T39" s="172"/>
      <c r="U39" s="137">
        <f>'Exhibit N,1'!$O39+'Exhibit O,1'!$O39</f>
        <v>10200805.452990737</v>
      </c>
      <c r="V39" s="137"/>
      <c r="W39" s="137">
        <f>'Exhibit L,1'!$O39+'Exhibit M,1'!$O39</f>
        <v>1224886.5705539242</v>
      </c>
      <c r="Y39" s="84"/>
      <c r="Z39" s="84"/>
      <c r="AA39" s="84"/>
      <c r="AC39" s="564"/>
      <c r="AD39" s="355"/>
    </row>
    <row r="40" spans="1:30">
      <c r="A40" s="6">
        <f t="shared" si="4"/>
        <v>2018</v>
      </c>
      <c r="C40" s="494">
        <f>'Exhibit O,1'!K40</f>
        <v>10320121.958415514</v>
      </c>
      <c r="D40" s="494"/>
      <c r="E40" s="494">
        <f>'Exhibit N,1'!K40</f>
        <v>6796528.9060723232</v>
      </c>
      <c r="F40" s="494"/>
      <c r="G40" s="494">
        <f t="shared" si="1"/>
        <v>17116650.864487838</v>
      </c>
      <c r="H40" s="494"/>
      <c r="I40" s="494">
        <f>'Exhibit M,1'!K40</f>
        <v>1653916.9802836736</v>
      </c>
      <c r="J40" s="494"/>
      <c r="K40" s="494">
        <f>'Exhibit L,1'!K40</f>
        <v>502376.84253810183</v>
      </c>
      <c r="L40" s="494"/>
      <c r="M40" s="494">
        <f t="shared" si="2"/>
        <v>2156293.8228217755</v>
      </c>
      <c r="N40" s="494"/>
      <c r="O40" s="494">
        <f t="shared" si="0"/>
        <v>19272944.687309615</v>
      </c>
      <c r="P40" s="187"/>
      <c r="Q40" s="21"/>
      <c r="R40" s="137">
        <f>'Exhibit L,1'!O40+'Exhibit M,1'!O40+'Exhibit N,1'!O40+'Exhibit O,1'!O40</f>
        <v>16639378.489149887</v>
      </c>
      <c r="S40" s="172">
        <f t="shared" si="3"/>
        <v>2633566.1981597282</v>
      </c>
      <c r="T40" s="172"/>
      <c r="U40" s="137">
        <f>'Exhibit N,1'!$O40+'Exhibit O,1'!$O40</f>
        <v>15146171.705237675</v>
      </c>
      <c r="V40" s="137"/>
      <c r="W40" s="137">
        <f>'Exhibit L,1'!$O40+'Exhibit M,1'!$O40</f>
        <v>1493206.7839122107</v>
      </c>
      <c r="Y40" s="84"/>
      <c r="Z40" s="84"/>
      <c r="AA40" s="84"/>
      <c r="AC40" s="564"/>
      <c r="AD40" s="355"/>
    </row>
    <row r="41" spans="1:30">
      <c r="A41" s="6">
        <f t="shared" si="4"/>
        <v>2019</v>
      </c>
      <c r="C41" s="494">
        <f>'Exhibit O,1'!K41</f>
        <v>10787457.522765996</v>
      </c>
      <c r="D41" s="494"/>
      <c r="E41" s="494">
        <f>'Exhibit N,1'!K41</f>
        <v>3291977.5179969817</v>
      </c>
      <c r="F41" s="494"/>
      <c r="G41" s="494">
        <f t="shared" si="1"/>
        <v>14079435.040762978</v>
      </c>
      <c r="H41" s="494"/>
      <c r="I41" s="494">
        <f>'Exhibit M,1'!K41</f>
        <v>1757763.3845244916</v>
      </c>
      <c r="J41" s="494"/>
      <c r="K41" s="494">
        <f>'Exhibit L,1'!K41</f>
        <v>1304556.7497972483</v>
      </c>
      <c r="L41" s="494"/>
      <c r="M41" s="494">
        <f t="shared" si="2"/>
        <v>3062320.1343217399</v>
      </c>
      <c r="N41" s="494"/>
      <c r="O41" s="494">
        <f t="shared" si="0"/>
        <v>17141755.175084718</v>
      </c>
      <c r="P41" s="187"/>
      <c r="Q41" s="21"/>
      <c r="R41" s="137">
        <f>'Exhibit L,1'!O41+'Exhibit M,1'!O41+'Exhibit N,1'!O41+'Exhibit O,1'!O41</f>
        <v>16705501.481345253</v>
      </c>
      <c r="S41" s="172">
        <f t="shared" si="3"/>
        <v>436253.69373946451</v>
      </c>
      <c r="T41" s="172"/>
      <c r="U41" s="137">
        <f>'Exhibit N,1'!$O41+'Exhibit O,1'!$O41</f>
        <v>14304724.56500469</v>
      </c>
      <c r="V41" s="137"/>
      <c r="W41" s="137">
        <f>'Exhibit L,1'!$O41+'Exhibit M,1'!$O41</f>
        <v>2400776.9163405625</v>
      </c>
      <c r="Y41" s="84"/>
      <c r="Z41" s="84"/>
      <c r="AA41" s="84"/>
      <c r="AC41" s="564"/>
      <c r="AD41" s="355"/>
    </row>
    <row r="42" spans="1:30">
      <c r="A42" s="6">
        <f t="shared" si="4"/>
        <v>2020</v>
      </c>
      <c r="C42" s="494">
        <f>'Exhibit O,1'!K42</f>
        <v>8817771.529642731</v>
      </c>
      <c r="D42" s="494"/>
      <c r="E42" s="494">
        <f>'Exhibit N,1'!K42</f>
        <v>3952279.7181433691</v>
      </c>
      <c r="F42" s="494"/>
      <c r="G42" s="494">
        <f t="shared" si="1"/>
        <v>12770051.247786101</v>
      </c>
      <c r="H42" s="494"/>
      <c r="I42" s="494">
        <f>'Exhibit M,1'!K42</f>
        <v>980122.76243980473</v>
      </c>
      <c r="J42" s="494"/>
      <c r="K42" s="494">
        <f>'Exhibit L,1'!K42</f>
        <v>284918.92721729528</v>
      </c>
      <c r="L42" s="494"/>
      <c r="M42" s="494">
        <f t="shared" si="2"/>
        <v>1265041.6896571</v>
      </c>
      <c r="N42" s="494"/>
      <c r="O42" s="494">
        <f t="shared" si="0"/>
        <v>14035092.9374432</v>
      </c>
      <c r="P42" s="187"/>
      <c r="Q42" s="21"/>
      <c r="R42" s="137">
        <f>'Exhibit L,1'!O42+'Exhibit M,1'!O42+'Exhibit N,1'!O42+'Exhibit O,1'!O42</f>
        <v>12074878.803252451</v>
      </c>
      <c r="S42" s="172">
        <f t="shared" si="3"/>
        <v>1960214.1341907494</v>
      </c>
      <c r="T42" s="172"/>
      <c r="U42" s="137">
        <f>'Exhibit N,1'!$O42+'Exhibit O,1'!$O42</f>
        <v>10768873.320447076</v>
      </c>
      <c r="V42" s="137"/>
      <c r="W42" s="137">
        <f>'Exhibit L,1'!$O42+'Exhibit M,1'!$O42</f>
        <v>1306005.4828053738</v>
      </c>
      <c r="Y42" s="84"/>
      <c r="Z42" s="84"/>
      <c r="AA42" s="84"/>
      <c r="AC42" s="564"/>
      <c r="AD42" s="355"/>
    </row>
    <row r="43" spans="1:30">
      <c r="A43" s="6">
        <f t="shared" si="4"/>
        <v>2021</v>
      </c>
      <c r="C43" s="494">
        <f>'Exhibit O,1'!K43</f>
        <v>7183273.0727263503</v>
      </c>
      <c r="D43" s="494"/>
      <c r="E43" s="494">
        <f>'Exhibit N,1'!K43</f>
        <v>3479294.0470653204</v>
      </c>
      <c r="F43" s="494"/>
      <c r="G43" s="494">
        <f t="shared" si="1"/>
        <v>10662567.119791672</v>
      </c>
      <c r="H43" s="494"/>
      <c r="I43" s="494">
        <f>'Exhibit M,1'!K43</f>
        <v>541015.25915321137</v>
      </c>
      <c r="J43" s="494"/>
      <c r="K43" s="494">
        <f>'Exhibit L,1'!K43</f>
        <v>310734.42880392063</v>
      </c>
      <c r="L43" s="494"/>
      <c r="M43" s="494">
        <f t="shared" si="2"/>
        <v>851749.687957132</v>
      </c>
      <c r="N43" s="494"/>
      <c r="O43" s="494">
        <f t="shared" si="0"/>
        <v>11514316.807748804</v>
      </c>
      <c r="P43" s="187"/>
      <c r="Q43" s="21"/>
      <c r="R43" s="137">
        <f>'Exhibit L,1'!O43+'Exhibit M,1'!O43+'Exhibit N,1'!O43+'Exhibit O,1'!O43</f>
        <v>12762228.755540043</v>
      </c>
      <c r="S43" s="172">
        <f t="shared" si="3"/>
        <v>-1247911.9477912392</v>
      </c>
      <c r="T43" s="172"/>
      <c r="U43" s="137">
        <f>'Exhibit N,1'!$O43+'Exhibit O,1'!$O43</f>
        <v>11551799.902224608</v>
      </c>
      <c r="V43" s="137"/>
      <c r="W43" s="137">
        <f>'Exhibit L,1'!$O43+'Exhibit M,1'!$O43</f>
        <v>1210428.8533154356</v>
      </c>
      <c r="Y43" s="84"/>
      <c r="Z43" s="84"/>
      <c r="AA43" s="84"/>
      <c r="AC43" s="564"/>
      <c r="AD43" s="355"/>
    </row>
    <row r="44" spans="1:30">
      <c r="A44" s="6">
        <f t="shared" si="4"/>
        <v>2022</v>
      </c>
      <c r="C44" s="494">
        <f>'Exhibit O,1'!K44</f>
        <v>9168904.1120029725</v>
      </c>
      <c r="D44" s="494"/>
      <c r="E44" s="494">
        <f>'Exhibit N,1'!K44</f>
        <v>3977294.4919970254</v>
      </c>
      <c r="F44" s="494"/>
      <c r="G44" s="494">
        <f>C44+E44</f>
        <v>13146198.603999998</v>
      </c>
      <c r="H44" s="494"/>
      <c r="I44" s="494">
        <f>'Exhibit M,1'!K44</f>
        <v>2002137.6420433626</v>
      </c>
      <c r="J44" s="494"/>
      <c r="K44" s="494">
        <f>'Exhibit L,1'!K44</f>
        <v>1099754.042943714</v>
      </c>
      <c r="L44" s="494"/>
      <c r="M44" s="494">
        <f>I44+K44</f>
        <v>3101891.6849870766</v>
      </c>
      <c r="N44" s="494"/>
      <c r="O44" s="494">
        <f t="shared" si="0"/>
        <v>16248090.288987074</v>
      </c>
      <c r="R44" s="137">
        <f>'Exhibit L,1'!O44+'Exhibit M,1'!O44+'Exhibit N,1'!O44+'Exhibit O,1'!O44</f>
        <v>0</v>
      </c>
      <c r="S44" s="61"/>
      <c r="T44" s="61"/>
      <c r="U44" s="61"/>
      <c r="V44" s="61"/>
      <c r="W44" s="61"/>
      <c r="Y44" s="84"/>
      <c r="Z44" s="84"/>
      <c r="AA44" s="84"/>
      <c r="AB44" s="355"/>
      <c r="AC44" s="564"/>
      <c r="AD44" s="355"/>
    </row>
    <row r="45" spans="1:30">
      <c r="C45" s="105"/>
      <c r="E45" s="105"/>
      <c r="G45" s="105"/>
      <c r="I45" s="105"/>
      <c r="K45" s="105"/>
      <c r="M45" s="105"/>
      <c r="O45" s="105"/>
      <c r="R45" s="280"/>
      <c r="S45" s="280"/>
      <c r="T45" s="61"/>
      <c r="U45" s="280"/>
      <c r="V45" s="61"/>
      <c r="W45" s="280"/>
      <c r="Y45" s="84"/>
      <c r="Z45" s="84"/>
      <c r="AA45" s="84"/>
      <c r="AB45" s="61"/>
      <c r="AC45" s="61"/>
      <c r="AD45" s="61"/>
    </row>
    <row r="46" spans="1:30">
      <c r="A46" s="6" t="s">
        <v>0</v>
      </c>
      <c r="C46" s="26">
        <f>SUM(C16:C45)</f>
        <v>500574927.71301699</v>
      </c>
      <c r="E46" s="26">
        <f t="shared" ref="E46:O46" si="5">SUM(E16:E45)</f>
        <v>263515244.91983652</v>
      </c>
      <c r="F46" s="26"/>
      <c r="G46" s="26">
        <f t="shared" si="5"/>
        <v>764090172.63285339</v>
      </c>
      <c r="H46" s="26"/>
      <c r="I46" s="26">
        <f t="shared" si="5"/>
        <v>28858416.875652596</v>
      </c>
      <c r="J46" s="26"/>
      <c r="K46" s="26">
        <f t="shared" si="5"/>
        <v>14030910.446083169</v>
      </c>
      <c r="L46" s="26"/>
      <c r="M46" s="26">
        <f t="shared" si="5"/>
        <v>42889327.321735762</v>
      </c>
      <c r="N46" s="26"/>
      <c r="O46" s="26">
        <f t="shared" si="5"/>
        <v>806979499.95458949</v>
      </c>
      <c r="P46" s="187"/>
      <c r="Q46" s="68"/>
      <c r="R46" s="68">
        <f>SUM(R16:R45)</f>
        <v>791861979.96671414</v>
      </c>
      <c r="S46" s="68">
        <f>SUM(S16:S45)</f>
        <v>-1130570.3011120809</v>
      </c>
      <c r="T46" s="68"/>
      <c r="U46" s="68">
        <f>SUM(U16:U45)</f>
        <v>752003139.49486077</v>
      </c>
      <c r="V46" s="68"/>
      <c r="W46" s="68">
        <f>SUM(W16:W45)</f>
        <v>39858840.471853308</v>
      </c>
      <c r="Y46" s="68"/>
      <c r="Z46" s="68"/>
      <c r="AA46" s="68"/>
    </row>
    <row r="47" spans="1:30">
      <c r="C47" s="22"/>
      <c r="E47" s="22"/>
      <c r="G47" s="22"/>
      <c r="I47" s="22"/>
      <c r="K47" s="22"/>
      <c r="O47" s="22"/>
      <c r="P47" s="26">
        <f>O46-'Exhibit B,S2'!AB87-'Exhibit B,S2'!AC87-'Exhibit B,S2'!AD87-'Exhibit B,S2'!AE87</f>
        <v>37797818.324589491</v>
      </c>
      <c r="Q47" s="61"/>
      <c r="R47" s="172"/>
      <c r="S47" s="61"/>
      <c r="T47" s="61"/>
      <c r="U47" s="61"/>
      <c r="V47" s="61"/>
      <c r="W47" s="25"/>
      <c r="X47" s="25"/>
      <c r="Z47" s="68"/>
      <c r="AA47" s="25"/>
    </row>
    <row r="48" spans="1:30">
      <c r="A48" s="6" t="str">
        <f>_xlfn.CONCAT(A35,"-",A44)</f>
        <v>2013-2022</v>
      </c>
      <c r="C48" s="18">
        <f>SUM(C35:C44)</f>
        <v>98271617.333016947</v>
      </c>
      <c r="E48" s="18">
        <f>SUM(E35:E44)</f>
        <v>47500366.439836517</v>
      </c>
      <c r="G48" s="18">
        <f>SUM(G35:G44)</f>
        <v>145771983.77285349</v>
      </c>
      <c r="I48" s="18"/>
      <c r="K48" s="18"/>
      <c r="M48" s="18"/>
      <c r="O48" s="18"/>
      <c r="Q48" s="61"/>
      <c r="R48" s="61"/>
      <c r="S48" s="61"/>
      <c r="T48" s="61"/>
      <c r="U48" s="68">
        <f>'Exhibit N,1'!O46+'Exhibit O,1'!O46-U46</f>
        <v>0</v>
      </c>
      <c r="W48" s="68">
        <f>'Exhibit N,1'!Q46+'Exhibit O,1'!Q46-W46</f>
        <v>-39858840.471853308</v>
      </c>
    </row>
    <row r="49" spans="1:25">
      <c r="C49" s="22"/>
      <c r="E49" s="22"/>
      <c r="I49" s="22"/>
      <c r="K49" s="22"/>
      <c r="O49" s="22"/>
    </row>
    <row r="50" spans="1:25">
      <c r="A50" s="64" t="s">
        <v>104</v>
      </c>
      <c r="C50" s="3" t="s">
        <v>242</v>
      </c>
      <c r="I50" s="61" t="s">
        <v>5</v>
      </c>
      <c r="J50" s="61"/>
      <c r="K50" s="61"/>
      <c r="L50" s="61"/>
      <c r="M50" s="61" t="s">
        <v>1688</v>
      </c>
      <c r="N50" s="61"/>
      <c r="O50" s="61" t="s">
        <v>1685</v>
      </c>
      <c r="P50" s="61"/>
    </row>
    <row r="51" spans="1:25">
      <c r="A51" s="64" t="s">
        <v>36</v>
      </c>
      <c r="C51" s="3" t="s">
        <v>243</v>
      </c>
      <c r="I51" s="61" t="s">
        <v>1686</v>
      </c>
      <c r="J51" s="61"/>
      <c r="K51" s="61"/>
      <c r="L51" s="61"/>
      <c r="M51" s="598">
        <f>SUM('Exhibit F,1'!Q34:Q44)</f>
        <v>138447338.02000001</v>
      </c>
      <c r="N51" s="69"/>
      <c r="O51" s="69">
        <v>138429218.53000003</v>
      </c>
      <c r="P51" s="61" t="s">
        <v>1689</v>
      </c>
    </row>
    <row r="52" spans="1:25">
      <c r="A52" s="64" t="s">
        <v>38</v>
      </c>
      <c r="C52" s="3" t="s">
        <v>174</v>
      </c>
      <c r="I52" s="61" t="s">
        <v>1687</v>
      </c>
      <c r="J52" s="61"/>
      <c r="K52" s="61"/>
      <c r="L52" s="61"/>
      <c r="M52" s="598">
        <f>SUM('Exhibit F,1'!I34:I44)</f>
        <v>169267647.3628535</v>
      </c>
      <c r="N52" s="69"/>
      <c r="O52" s="69">
        <v>169121470.68234271</v>
      </c>
      <c r="P52" s="61"/>
    </row>
    <row r="53" spans="1:25">
      <c r="A53" s="64" t="s">
        <v>40</v>
      </c>
      <c r="C53" s="3" t="s">
        <v>244</v>
      </c>
    </row>
    <row r="54" spans="1:25">
      <c r="A54" s="64" t="s">
        <v>42</v>
      </c>
      <c r="C54" s="3" t="s">
        <v>245</v>
      </c>
      <c r="I54" s="61" t="s">
        <v>1635</v>
      </c>
    </row>
    <row r="55" spans="1:25">
      <c r="A55" s="64" t="s">
        <v>30</v>
      </c>
      <c r="C55" s="3" t="s">
        <v>156</v>
      </c>
      <c r="I55" s="61" t="s">
        <v>1686</v>
      </c>
      <c r="M55" s="598">
        <f>SUM('Exhibit F,1'!S34:S44)</f>
        <v>13607580.16</v>
      </c>
    </row>
    <row r="56" spans="1:25">
      <c r="A56" s="64" t="s">
        <v>31</v>
      </c>
      <c r="C56" s="3" t="s">
        <v>246</v>
      </c>
      <c r="I56" s="61" t="s">
        <v>1687</v>
      </c>
      <c r="M56" s="598">
        <f>SUM('Exhibit F,1'!K34:K44)</f>
        <v>20585025.35121429</v>
      </c>
    </row>
    <row r="58" spans="1:25">
      <c r="S58" s="1" t="s">
        <v>1715</v>
      </c>
      <c r="U58" s="1" t="s">
        <v>1715</v>
      </c>
    </row>
    <row r="59" spans="1:25">
      <c r="C59" s="1" t="s">
        <v>1717</v>
      </c>
      <c r="E59" s="1" t="s">
        <v>1717</v>
      </c>
      <c r="G59" s="1" t="s">
        <v>1718</v>
      </c>
      <c r="M59" s="1" t="s">
        <v>1360</v>
      </c>
      <c r="P59" s="1" t="s">
        <v>381</v>
      </c>
      <c r="Q59" s="1" t="s">
        <v>1714</v>
      </c>
      <c r="R59" s="1" t="s">
        <v>1714</v>
      </c>
      <c r="S59" s="1" t="s">
        <v>381</v>
      </c>
      <c r="U59" s="1" t="s">
        <v>381</v>
      </c>
      <c r="W59" s="1" t="s">
        <v>1716</v>
      </c>
      <c r="Y59" s="1" t="s">
        <v>1716</v>
      </c>
    </row>
    <row r="60" spans="1:25">
      <c r="C60" s="1" t="s">
        <v>1707</v>
      </c>
      <c r="E60" s="1" t="s">
        <v>1711</v>
      </c>
      <c r="G60" s="1" t="s">
        <v>5</v>
      </c>
      <c r="I60" s="1" t="s">
        <v>1685</v>
      </c>
      <c r="K60" s="1" t="s">
        <v>1</v>
      </c>
      <c r="M60" s="1" t="s">
        <v>16</v>
      </c>
      <c r="O60" s="1" t="s">
        <v>162</v>
      </c>
      <c r="P60" s="1" t="s">
        <v>1395</v>
      </c>
      <c r="Q60" s="1" t="s">
        <v>1707</v>
      </c>
      <c r="R60" s="1" t="s">
        <v>1711</v>
      </c>
      <c r="S60" s="1" t="s">
        <v>1707</v>
      </c>
      <c r="T60" s="1" t="s">
        <v>1711</v>
      </c>
      <c r="W60" s="1" t="s">
        <v>1707</v>
      </c>
      <c r="Y60" s="1" t="s">
        <v>1711</v>
      </c>
    </row>
    <row r="61" spans="1:25">
      <c r="A61" s="6">
        <v>2012</v>
      </c>
      <c r="C61" s="494">
        <f>'Exhibit O,1'!I34</f>
        <v>13600663.920000002</v>
      </c>
      <c r="E61" s="494">
        <f>'Exhibit N,1'!I34</f>
        <v>9894999.6699999999</v>
      </c>
      <c r="G61" s="114">
        <f>'Exhibit N,1'!K34+'Exhibit O,1'!K34</f>
        <v>23495663.590000004</v>
      </c>
      <c r="I61" s="17">
        <v>23495663.59</v>
      </c>
      <c r="K61" s="187">
        <f>G61</f>
        <v>23495663.590000004</v>
      </c>
      <c r="M61" s="17">
        <v>24139367.945248038</v>
      </c>
      <c r="O61" s="55">
        <f>K61/M61</f>
        <v>0.97333383555410158</v>
      </c>
    </row>
    <row r="62" spans="1:25">
      <c r="A62" s="6">
        <f t="shared" ref="A62:A71" si="6">A61+1</f>
        <v>2013</v>
      </c>
      <c r="C62" s="494">
        <f>'Exhibit O,1'!I35</f>
        <v>11521638.42</v>
      </c>
      <c r="E62" s="494">
        <f>'Exhibit N,1'!I35</f>
        <v>9340000</v>
      </c>
      <c r="G62" s="187">
        <f>'Exhibit N,1'!K35+'Exhibit O,1'!K35</f>
        <v>20861638.420000002</v>
      </c>
      <c r="I62" s="17">
        <v>20861638.420000009</v>
      </c>
      <c r="K62" s="187">
        <f t="shared" ref="K62:K70" si="7">G62</f>
        <v>20861638.420000002</v>
      </c>
      <c r="M62" s="17">
        <v>24397923.013114773</v>
      </c>
      <c r="O62" s="55">
        <f t="shared" ref="O62:O70" si="8">K62/M62</f>
        <v>0.8550579657451215</v>
      </c>
    </row>
    <row r="63" spans="1:25">
      <c r="A63" s="6">
        <f t="shared" si="6"/>
        <v>2014</v>
      </c>
      <c r="C63" s="494">
        <f>'Exhibit O,1'!I36</f>
        <v>11478427.860000001</v>
      </c>
      <c r="E63" s="494">
        <f>'Exhibit N,1'!I36</f>
        <v>3935000</v>
      </c>
      <c r="G63" s="187">
        <f>'Exhibit N,1'!K36+'Exhibit O,1'!K36</f>
        <v>15413427.860000001</v>
      </c>
      <c r="I63" s="17">
        <v>15413427.859999999</v>
      </c>
      <c r="K63" s="187">
        <f t="shared" si="7"/>
        <v>15413427.860000001</v>
      </c>
      <c r="M63" s="17">
        <v>20888076.253853798</v>
      </c>
      <c r="O63" s="55">
        <f t="shared" si="8"/>
        <v>0.73790557218768593</v>
      </c>
    </row>
    <row r="64" spans="1:25">
      <c r="A64" s="6">
        <f t="shared" si="6"/>
        <v>2015</v>
      </c>
      <c r="C64" s="494">
        <f>'Exhibit O,1'!I37</f>
        <v>13660277.383779863</v>
      </c>
      <c r="E64" s="494">
        <f>'Exhibit N,1'!I37</f>
        <v>7425000</v>
      </c>
      <c r="G64" s="187">
        <f>'Exhibit N,1'!K37+'Exhibit O,1'!K37</f>
        <v>21091012.005524084</v>
      </c>
      <c r="I64" s="17">
        <v>21095945.918811332</v>
      </c>
      <c r="K64" s="187">
        <f t="shared" si="7"/>
        <v>21091012.005524084</v>
      </c>
      <c r="M64" s="17">
        <v>20309444.064112987</v>
      </c>
      <c r="O64" s="55">
        <f t="shared" si="8"/>
        <v>1.0384829805751372</v>
      </c>
    </row>
    <row r="65" spans="1:25">
      <c r="A65" s="6">
        <f t="shared" si="6"/>
        <v>2016</v>
      </c>
      <c r="C65" s="494">
        <f>'Exhibit O,1'!I38</f>
        <v>9020453.8040621839</v>
      </c>
      <c r="E65" s="494">
        <f>'Exhibit N,1'!I38</f>
        <v>3932768.2357586091</v>
      </c>
      <c r="G65" s="187">
        <f>'Exhibit N,1'!K38+'Exhibit O,1'!K38</f>
        <v>12928167.364172783</v>
      </c>
      <c r="I65" s="17">
        <v>12888168.788583716</v>
      </c>
      <c r="K65" s="187">
        <f t="shared" si="7"/>
        <v>12928167.364172783</v>
      </c>
      <c r="M65" s="17">
        <v>18706685.747218989</v>
      </c>
      <c r="O65" s="55">
        <f t="shared" si="8"/>
        <v>0.69109876216821231</v>
      </c>
    </row>
    <row r="66" spans="1:25">
      <c r="A66" s="6">
        <f t="shared" si="6"/>
        <v>2017</v>
      </c>
      <c r="C66" s="494">
        <f>'Exhibit O,1'!I39</f>
        <v>6332611.7235251321</v>
      </c>
      <c r="E66" s="494">
        <f>'Exhibit N,1'!I39</f>
        <v>1370223.5228028973</v>
      </c>
      <c r="G66" s="187">
        <f>C66+E66</f>
        <v>7702835.2463280298</v>
      </c>
      <c r="I66" s="17">
        <v>7210949.6974746846</v>
      </c>
      <c r="K66" s="187">
        <f t="shared" si="7"/>
        <v>7702835.2463280298</v>
      </c>
      <c r="M66" s="17">
        <v>16930077.813267235</v>
      </c>
      <c r="O66" s="55">
        <f t="shared" si="8"/>
        <v>0.45497931735976505</v>
      </c>
      <c r="P66" s="22">
        <f>K66-G66</f>
        <v>0</v>
      </c>
      <c r="Q66" s="17">
        <f>'Exhibit O,2'!I39</f>
        <v>5987304.1399999987</v>
      </c>
      <c r="R66" s="1">
        <f>'Exhibit N,2'!I39</f>
        <v>925000</v>
      </c>
      <c r="S66" s="22">
        <f t="shared" ref="S66:S71" si="9">C66-Q66</f>
        <v>345307.58352513332</v>
      </c>
      <c r="U66" s="22">
        <f t="shared" ref="U66:U71" si="10">E66-R66</f>
        <v>445223.52280289726</v>
      </c>
      <c r="W66" s="22">
        <f t="shared" ref="W66:W71" si="11">S66/(S66+U66)*P66</f>
        <v>0</v>
      </c>
      <c r="Y66" s="130">
        <f t="shared" ref="Y66:Y71" si="12">P66-W66</f>
        <v>0</v>
      </c>
    </row>
    <row r="67" spans="1:25">
      <c r="A67" s="6">
        <f t="shared" si="6"/>
        <v>2018</v>
      </c>
      <c r="C67" s="494">
        <f>'Exhibit O,1'!I40</f>
        <v>10303199.71412544</v>
      </c>
      <c r="E67" s="494">
        <f>'Exhibit N,1'!I40</f>
        <v>6460517.4821851039</v>
      </c>
      <c r="G67" s="187">
        <f t="shared" ref="G67:G71" si="13">C67+E67</f>
        <v>16763717.196310543</v>
      </c>
      <c r="I67" s="17">
        <v>16803273.296169836</v>
      </c>
      <c r="K67" s="187">
        <f t="shared" si="7"/>
        <v>16763717.196310543</v>
      </c>
      <c r="M67" s="17">
        <v>16753194.982698688</v>
      </c>
      <c r="O67" s="55">
        <f t="shared" si="8"/>
        <v>1.0006280720556717</v>
      </c>
      <c r="P67" s="22">
        <f t="shared" ref="P67:P71" si="14">K67-G67</f>
        <v>0</v>
      </c>
      <c r="Q67" s="17">
        <f>'Exhibit O,2'!I40</f>
        <v>9540028.9600000009</v>
      </c>
      <c r="R67" s="1">
        <f>'Exhibit N,2'!I40</f>
        <v>4810000</v>
      </c>
      <c r="S67" s="22">
        <f t="shared" si="9"/>
        <v>763170.75412543863</v>
      </c>
      <c r="U67" s="22">
        <f t="shared" si="10"/>
        <v>1650517.4821851039</v>
      </c>
      <c r="W67" s="22">
        <f t="shared" si="11"/>
        <v>0</v>
      </c>
      <c r="Y67" s="130">
        <f t="shared" si="12"/>
        <v>0</v>
      </c>
    </row>
    <row r="68" spans="1:25">
      <c r="A68" s="6">
        <f t="shared" si="6"/>
        <v>2019</v>
      </c>
      <c r="C68" s="494">
        <f>'Exhibit O,1'!I41</f>
        <v>10787457.522765996</v>
      </c>
      <c r="E68" s="494">
        <f>'Exhibit N,1'!I41</f>
        <v>3291977.5179969817</v>
      </c>
      <c r="G68" s="187">
        <f t="shared" si="13"/>
        <v>14079435.040762978</v>
      </c>
      <c r="I68" s="17">
        <v>14633740.344871644</v>
      </c>
      <c r="K68" s="187">
        <f t="shared" si="7"/>
        <v>14079435.040762978</v>
      </c>
      <c r="M68" s="17">
        <v>15503041.963471785</v>
      </c>
      <c r="O68" s="55">
        <f t="shared" si="8"/>
        <v>0.90817241377123892</v>
      </c>
      <c r="P68" s="22">
        <f t="shared" si="14"/>
        <v>0</v>
      </c>
      <c r="Q68" s="17">
        <f>'Exhibit O,2'!I41</f>
        <v>9372609.4299999997</v>
      </c>
      <c r="R68" s="1">
        <f>'Exhibit N,2'!I41</f>
        <v>1405000</v>
      </c>
      <c r="S68" s="22">
        <f t="shared" si="9"/>
        <v>1414848.0927659962</v>
      </c>
      <c r="U68" s="22">
        <f t="shared" si="10"/>
        <v>1886977.5179969817</v>
      </c>
      <c r="W68" s="22">
        <f t="shared" si="11"/>
        <v>0</v>
      </c>
      <c r="Y68" s="130">
        <f t="shared" si="12"/>
        <v>0</v>
      </c>
    </row>
    <row r="69" spans="1:25">
      <c r="A69" s="6">
        <f t="shared" si="6"/>
        <v>2020</v>
      </c>
      <c r="C69" s="494">
        <f>'Exhibit O,1'!I42</f>
        <v>8817771.529642731</v>
      </c>
      <c r="E69" s="494">
        <f>'Exhibit N,1'!I42</f>
        <v>3952279.7181433691</v>
      </c>
      <c r="G69" s="187">
        <f t="shared" si="13"/>
        <v>12770051.247786101</v>
      </c>
      <c r="I69" s="17">
        <v>12691874.651769845</v>
      </c>
      <c r="K69" s="187">
        <f t="shared" si="7"/>
        <v>12770051.247786101</v>
      </c>
      <c r="M69" s="17">
        <v>16473187.55645182</v>
      </c>
      <c r="O69" s="55">
        <f t="shared" si="8"/>
        <v>0.77520220078989122</v>
      </c>
      <c r="P69" s="22">
        <f t="shared" si="14"/>
        <v>0</v>
      </c>
      <c r="Q69" s="17">
        <f>'Exhibit O,2'!I42</f>
        <v>6406174.7300000004</v>
      </c>
      <c r="R69" s="1">
        <f>'Exhibit N,2'!I42</f>
        <v>1825000</v>
      </c>
      <c r="S69" s="22">
        <f t="shared" si="9"/>
        <v>2411596.7996427305</v>
      </c>
      <c r="U69" s="22">
        <f t="shared" si="10"/>
        <v>2127279.7181433691</v>
      </c>
      <c r="W69" s="22">
        <f t="shared" si="11"/>
        <v>0</v>
      </c>
      <c r="Y69" s="130">
        <f t="shared" si="12"/>
        <v>0</v>
      </c>
    </row>
    <row r="70" spans="1:25">
      <c r="A70" s="6">
        <f t="shared" si="6"/>
        <v>2021</v>
      </c>
      <c r="C70" s="494">
        <f>'Exhibit O,1'!I43</f>
        <v>7183273.0727263503</v>
      </c>
      <c r="E70" s="494">
        <f>'Exhibit N,1'!I43</f>
        <v>3479294.0470653204</v>
      </c>
      <c r="G70" s="187">
        <f t="shared" si="13"/>
        <v>10662567.119791672</v>
      </c>
      <c r="I70" s="17">
        <v>10140149.40513978</v>
      </c>
      <c r="K70" s="187">
        <f t="shared" si="7"/>
        <v>10662567.119791672</v>
      </c>
      <c r="M70" s="17">
        <v>18469373.940812886</v>
      </c>
      <c r="O70" s="55">
        <f t="shared" si="8"/>
        <v>0.57731069574751293</v>
      </c>
      <c r="P70" s="22">
        <f t="shared" si="14"/>
        <v>0</v>
      </c>
      <c r="Q70" s="17">
        <f>'Exhibit O,2'!I43</f>
        <v>2146692.9499999997</v>
      </c>
      <c r="R70" s="1">
        <f>'Exhibit N,2'!I43</f>
        <v>0</v>
      </c>
      <c r="S70" s="22">
        <f t="shared" si="9"/>
        <v>5036580.122726351</v>
      </c>
      <c r="U70" s="22">
        <f t="shared" si="10"/>
        <v>3479294.0470653204</v>
      </c>
      <c r="W70" s="22">
        <f t="shared" si="11"/>
        <v>0</v>
      </c>
      <c r="Y70" s="130">
        <f t="shared" si="12"/>
        <v>0</v>
      </c>
    </row>
    <row r="71" spans="1:25">
      <c r="A71" s="6">
        <f t="shared" si="6"/>
        <v>2022</v>
      </c>
      <c r="C71" s="494">
        <f>'Exhibit O,1'!I44</f>
        <v>11784000.60913723</v>
      </c>
      <c r="E71" s="494">
        <f>'Exhibit N,1'!I44</f>
        <v>5518665.3911422743</v>
      </c>
      <c r="G71" s="187">
        <f t="shared" si="13"/>
        <v>17302666.000279505</v>
      </c>
      <c r="I71" s="17">
        <v>13886638.709521884</v>
      </c>
      <c r="K71" s="22">
        <f>M71*O71</f>
        <v>13146198.603999998</v>
      </c>
      <c r="M71" s="17">
        <v>18780283.719999999</v>
      </c>
      <c r="O71" s="123">
        <v>0.7</v>
      </c>
      <c r="P71" s="22">
        <f t="shared" si="14"/>
        <v>-4156467.3962795064</v>
      </c>
      <c r="Q71" s="17">
        <f>'Exhibit O,2'!I44</f>
        <v>2421009.17</v>
      </c>
      <c r="R71" s="1">
        <f>'Exhibit N,2'!I44</f>
        <v>0</v>
      </c>
      <c r="S71" s="22">
        <f t="shared" si="9"/>
        <v>9362991.4391372297</v>
      </c>
      <c r="U71" s="22">
        <f t="shared" si="10"/>
        <v>5518665.3911422743</v>
      </c>
      <c r="W71" s="22">
        <f t="shared" si="11"/>
        <v>-2615096.4971342576</v>
      </c>
      <c r="Y71" s="130">
        <f t="shared" si="12"/>
        <v>-1541370.8991452488</v>
      </c>
    </row>
    <row r="72" spans="1:25">
      <c r="O72" s="61" t="s">
        <v>1764</v>
      </c>
    </row>
    <row r="73" spans="1:25">
      <c r="A73" s="6" t="s">
        <v>0</v>
      </c>
      <c r="G73" s="187">
        <f>SUM(G61:G71)</f>
        <v>173071181.0909557</v>
      </c>
      <c r="I73" s="187">
        <f>SUM(I61:I71)</f>
        <v>169121470.68234271</v>
      </c>
      <c r="K73" s="187">
        <f>SUM(K61:K71)</f>
        <v>168914713.69467619</v>
      </c>
      <c r="O73" s="123">
        <f>'Exhibit B,S2'!Z57</f>
        <v>0.92443519850719857</v>
      </c>
    </row>
    <row r="74" spans="1:25">
      <c r="S74" s="1" t="s">
        <v>1715</v>
      </c>
      <c r="U74" s="1" t="s">
        <v>1715</v>
      </c>
    </row>
    <row r="75" spans="1:25">
      <c r="C75" s="1" t="s">
        <v>1717</v>
      </c>
      <c r="E75" s="1" t="s">
        <v>1717</v>
      </c>
      <c r="M75" s="1" t="s">
        <v>1708</v>
      </c>
      <c r="P75" s="1" t="s">
        <v>381</v>
      </c>
      <c r="Q75" s="1" t="s">
        <v>1714</v>
      </c>
      <c r="R75" s="1" t="s">
        <v>1714</v>
      </c>
      <c r="S75" s="1" t="s">
        <v>381</v>
      </c>
      <c r="U75" s="1" t="s">
        <v>381</v>
      </c>
      <c r="W75" s="1" t="s">
        <v>1716</v>
      </c>
      <c r="Y75" s="1" t="s">
        <v>1716</v>
      </c>
    </row>
    <row r="76" spans="1:25">
      <c r="C76" s="1" t="s">
        <v>1709</v>
      </c>
      <c r="E76" s="1" t="s">
        <v>1710</v>
      </c>
      <c r="G76" s="1" t="s">
        <v>1635</v>
      </c>
      <c r="I76" s="1" t="s">
        <v>1685</v>
      </c>
      <c r="K76" s="1" t="s">
        <v>1</v>
      </c>
      <c r="M76" s="1" t="s">
        <v>16</v>
      </c>
      <c r="O76" s="1" t="s">
        <v>162</v>
      </c>
      <c r="P76" s="1" t="s">
        <v>1395</v>
      </c>
      <c r="Q76" s="1" t="s">
        <v>1709</v>
      </c>
      <c r="R76" s="1" t="s">
        <v>1710</v>
      </c>
      <c r="S76" s="1" t="s">
        <v>1709</v>
      </c>
      <c r="U76" s="1" t="s">
        <v>1710</v>
      </c>
      <c r="W76" s="1" t="s">
        <v>1709</v>
      </c>
      <c r="Y76" s="1" t="s">
        <v>1710</v>
      </c>
    </row>
    <row r="77" spans="1:25">
      <c r="A77" s="6">
        <v>2012</v>
      </c>
      <c r="C77" s="494">
        <f>'Exhibit M,1'!I34</f>
        <v>1102017.1819367905</v>
      </c>
      <c r="E77" s="494">
        <f>'Exhibit L,1'!I34</f>
        <v>0</v>
      </c>
      <c r="F77" s="17"/>
      <c r="G77" s="114">
        <f>'Exhibit M,1'!K34+'Exhibit L,1'!K34</f>
        <v>1102035.9602525134</v>
      </c>
      <c r="I77" s="17">
        <v>1222.1703948427146</v>
      </c>
      <c r="K77" s="22">
        <f>G77</f>
        <v>1102035.9602525134</v>
      </c>
      <c r="M77" s="54">
        <v>534624.41394466942</v>
      </c>
      <c r="O77" s="55">
        <f>K77/M77</f>
        <v>2.0613274132418651</v>
      </c>
    </row>
    <row r="78" spans="1:25">
      <c r="A78" s="6">
        <f t="shared" ref="A78:A87" si="15">A77+1</f>
        <v>2013</v>
      </c>
      <c r="C78" s="494">
        <f>'Exhibit M,1'!I35</f>
        <v>1245772.3731843752</v>
      </c>
      <c r="E78" s="494">
        <f>'Exhibit L,1'!I35</f>
        <v>753837.74209557567</v>
      </c>
      <c r="F78" s="17"/>
      <c r="G78" s="114">
        <f>'Exhibit M,1'!K35+'Exhibit L,1'!K35</f>
        <v>1998647.3999071326</v>
      </c>
      <c r="I78" s="17">
        <v>2182526.6512713321</v>
      </c>
      <c r="K78" s="22">
        <f t="shared" ref="K78:K84" si="16">G78</f>
        <v>1998647.3999071326</v>
      </c>
      <c r="M78" s="54">
        <v>503254.23241509887</v>
      </c>
      <c r="O78" s="55">
        <f t="shared" ref="O78:O87" si="17">K78/M78</f>
        <v>3.9714467781337794</v>
      </c>
    </row>
    <row r="79" spans="1:25">
      <c r="A79" s="6">
        <f t="shared" si="15"/>
        <v>2014</v>
      </c>
      <c r="C79" s="494">
        <f>'Exhibit M,1'!I36</f>
        <v>552900.24443403038</v>
      </c>
      <c r="E79" s="494">
        <f>'Exhibit L,1'!I36</f>
        <v>0</v>
      </c>
      <c r="F79" s="17"/>
      <c r="G79" s="114">
        <f>'Exhibit M,1'!K36+'Exhibit L,1'!K36</f>
        <v>548996.66268209089</v>
      </c>
      <c r="I79" s="17">
        <v>1168559.7155323348</v>
      </c>
      <c r="K79" s="22">
        <f t="shared" si="16"/>
        <v>548996.66268209089</v>
      </c>
      <c r="M79" s="54">
        <v>444465.32007029158</v>
      </c>
      <c r="O79" s="55">
        <f t="shared" si="17"/>
        <v>1.2351844742245983</v>
      </c>
    </row>
    <row r="80" spans="1:25">
      <c r="A80" s="6">
        <f t="shared" si="15"/>
        <v>2015</v>
      </c>
      <c r="C80" s="494">
        <f>'Exhibit M,1'!I37</f>
        <v>618984.79160920763</v>
      </c>
      <c r="E80" s="494">
        <f>'Exhibit L,1'!I37</f>
        <v>129499.77173192154</v>
      </c>
      <c r="F80" s="17"/>
      <c r="G80" s="114">
        <f>'Exhibit M,1'!K37+'Exhibit L,1'!K37</f>
        <v>671720.90708352916</v>
      </c>
      <c r="I80" s="17">
        <v>2218906.1617414365</v>
      </c>
      <c r="K80" s="22">
        <f t="shared" si="16"/>
        <v>671720.90708352916</v>
      </c>
      <c r="M80" s="54">
        <v>855518.3248331513</v>
      </c>
      <c r="O80" s="55">
        <f t="shared" si="17"/>
        <v>0.785162500422808</v>
      </c>
    </row>
    <row r="81" spans="1:26">
      <c r="A81" s="6">
        <f t="shared" si="15"/>
        <v>2016</v>
      </c>
      <c r="C81" s="494">
        <f>'Exhibit M,1'!I38</f>
        <v>2816299.8962869616</v>
      </c>
      <c r="E81" s="494">
        <f>'Exhibit L,1'!I38</f>
        <v>2128068.5799788111</v>
      </c>
      <c r="F81" s="17"/>
      <c r="G81" s="114">
        <f>'Exhibit M,1'!K38+'Exhibit L,1'!K38</f>
        <v>5182954.5227005687</v>
      </c>
      <c r="I81" s="17">
        <v>2623623.8864752371</v>
      </c>
      <c r="K81" s="22">
        <f t="shared" si="16"/>
        <v>5182954.5227005687</v>
      </c>
      <c r="M81" s="54">
        <v>2193466.1136220507</v>
      </c>
      <c r="O81" s="55">
        <f t="shared" si="17"/>
        <v>2.3629061285756556</v>
      </c>
    </row>
    <row r="82" spans="1:26">
      <c r="A82" s="6">
        <f t="shared" si="15"/>
        <v>2017</v>
      </c>
      <c r="C82" s="494">
        <f>'Exhibit M,1'!I39</f>
        <v>420952.5779733985</v>
      </c>
      <c r="E82" s="494">
        <f>'Exhibit L,1'!I39</f>
        <v>222420.30087023426</v>
      </c>
      <c r="F82" s="17"/>
      <c r="G82" s="17">
        <f t="shared" ref="G82:G87" si="18">C82+E82</f>
        <v>643372.87884363276</v>
      </c>
      <c r="I82" s="17">
        <v>1714764.9463444264</v>
      </c>
      <c r="K82" s="22">
        <f t="shared" si="16"/>
        <v>643372.87884363276</v>
      </c>
      <c r="M82" s="54">
        <v>1696297.7869779933</v>
      </c>
      <c r="O82" s="55">
        <f t="shared" si="17"/>
        <v>0.37928062147025571</v>
      </c>
      <c r="P82" s="22">
        <f>K82-G82</f>
        <v>0</v>
      </c>
      <c r="Q82" s="17">
        <f>'Exhibit M,2'!I39</f>
        <v>202847.07</v>
      </c>
      <c r="R82" s="1">
        <f>'Exhibit L,2'!I39</f>
        <v>0</v>
      </c>
      <c r="S82" s="22">
        <f t="shared" ref="S82:S87" si="19">C82-Q82</f>
        <v>218105.50797339849</v>
      </c>
      <c r="U82" s="22">
        <f t="shared" ref="U82:U87" si="20">E82-R82</f>
        <v>222420.30087023426</v>
      </c>
      <c r="W82" s="22">
        <f t="shared" ref="W82:W87" si="21">S82/(S82+U82)*P82</f>
        <v>0</v>
      </c>
      <c r="Y82" s="130">
        <f t="shared" ref="Y82:Y87" si="22">P82-W82</f>
        <v>0</v>
      </c>
    </row>
    <row r="83" spans="1:26">
      <c r="A83" s="6">
        <f t="shared" si="15"/>
        <v>2018</v>
      </c>
      <c r="C83" s="494">
        <f>'Exhibit M,1'!I40</f>
        <v>1653916.9802836736</v>
      </c>
      <c r="E83" s="494">
        <f>'Exhibit L,1'!I40</f>
        <v>502376.84253810183</v>
      </c>
      <c r="F83" s="17"/>
      <c r="G83" s="17">
        <f t="shared" si="18"/>
        <v>2156293.8228217755</v>
      </c>
      <c r="I83" s="17">
        <v>3318263.7739534294</v>
      </c>
      <c r="K83" s="22">
        <f t="shared" si="16"/>
        <v>2156293.8228217755</v>
      </c>
      <c r="M83" s="54">
        <v>1345117.2683908232</v>
      </c>
      <c r="O83" s="55">
        <f t="shared" si="17"/>
        <v>1.6030526657362527</v>
      </c>
      <c r="P83" s="22">
        <f t="shared" ref="P83:P87" si="23">K83-G83</f>
        <v>0</v>
      </c>
      <c r="Q83" s="17">
        <f>'Exhibit M,2'!I40</f>
        <v>1315224.19</v>
      </c>
      <c r="R83" s="1">
        <f>'Exhibit L,2'!I40</f>
        <v>215000</v>
      </c>
      <c r="S83" s="22">
        <f t="shared" si="19"/>
        <v>338692.79028367368</v>
      </c>
      <c r="U83" s="22">
        <f t="shared" si="20"/>
        <v>287376.84253810183</v>
      </c>
      <c r="W83" s="22">
        <f t="shared" si="21"/>
        <v>0</v>
      </c>
      <c r="Y83" s="130">
        <f t="shared" si="22"/>
        <v>0</v>
      </c>
    </row>
    <row r="84" spans="1:26">
      <c r="A84" s="6">
        <f t="shared" si="15"/>
        <v>2019</v>
      </c>
      <c r="C84" s="494">
        <f>'Exhibit M,1'!I41</f>
        <v>1757763.3845244916</v>
      </c>
      <c r="E84" s="494">
        <f>'Exhibit L,1'!I41</f>
        <v>1304556.7497972483</v>
      </c>
      <c r="F84" s="17"/>
      <c r="G84" s="17">
        <f t="shared" si="18"/>
        <v>3062320.1343217399</v>
      </c>
      <c r="I84" s="17">
        <v>1741884.8652771409</v>
      </c>
      <c r="K84" s="22">
        <f t="shared" si="16"/>
        <v>3062320.1343217399</v>
      </c>
      <c r="M84" s="54">
        <v>343964.98456453334</v>
      </c>
      <c r="O84" s="55">
        <f t="shared" si="17"/>
        <v>8.9029996416603261</v>
      </c>
      <c r="P84" s="22">
        <f t="shared" si="23"/>
        <v>0</v>
      </c>
      <c r="Q84" s="17">
        <f>'Exhibit M,2'!I41</f>
        <v>1428737.8900000001</v>
      </c>
      <c r="R84" s="1">
        <f>'Exhibit L,2'!I41</f>
        <v>1000000</v>
      </c>
      <c r="S84" s="22">
        <f t="shared" si="19"/>
        <v>329025.49452449149</v>
      </c>
      <c r="U84" s="22">
        <f t="shared" si="20"/>
        <v>304556.74979724828</v>
      </c>
      <c r="W84" s="22">
        <f t="shared" si="21"/>
        <v>0</v>
      </c>
      <c r="Y84" s="130">
        <f t="shared" si="22"/>
        <v>0</v>
      </c>
    </row>
    <row r="85" spans="1:26">
      <c r="A85" s="6">
        <f t="shared" si="15"/>
        <v>2020</v>
      </c>
      <c r="C85" s="494">
        <f>'Exhibit M,1'!I42</f>
        <v>980122.76243980473</v>
      </c>
      <c r="E85" s="494">
        <f>'Exhibit L,1'!I42</f>
        <v>284918.92721729528</v>
      </c>
      <c r="F85" s="17"/>
      <c r="G85" s="17">
        <f t="shared" si="18"/>
        <v>1265041.6896571</v>
      </c>
      <c r="I85" s="17">
        <v>493548.12440295803</v>
      </c>
      <c r="K85" s="22">
        <f>(G85+I85)/2</f>
        <v>879294.90703002899</v>
      </c>
      <c r="M85" s="54">
        <v>365116.59233648743</v>
      </c>
      <c r="O85" s="55">
        <f t="shared" si="17"/>
        <v>2.4082578701865196</v>
      </c>
      <c r="P85" s="22">
        <f t="shared" si="23"/>
        <v>-385746.78262707102</v>
      </c>
      <c r="Q85" s="17">
        <f>'Exhibit M,2'!I42</f>
        <v>583411.92000000004</v>
      </c>
      <c r="R85" s="1">
        <f>'Exhibit L,2'!I42</f>
        <v>0</v>
      </c>
      <c r="S85" s="22">
        <f t="shared" si="19"/>
        <v>396710.84243980469</v>
      </c>
      <c r="U85" s="22">
        <f t="shared" si="20"/>
        <v>284918.92721729528</v>
      </c>
      <c r="W85" s="22">
        <f t="shared" si="21"/>
        <v>-224505.93843841745</v>
      </c>
      <c r="Y85" s="130">
        <f t="shared" si="22"/>
        <v>-161240.84418865357</v>
      </c>
    </row>
    <row r="86" spans="1:26">
      <c r="A86" s="6">
        <f t="shared" si="15"/>
        <v>2021</v>
      </c>
      <c r="C86" s="494">
        <f>'Exhibit M,1'!I43</f>
        <v>541015.25915321137</v>
      </c>
      <c r="E86" s="494">
        <f>'Exhibit L,1'!I43</f>
        <v>310734.42880392063</v>
      </c>
      <c r="F86" s="17"/>
      <c r="G86" s="17">
        <f t="shared" si="18"/>
        <v>851749.687957132</v>
      </c>
      <c r="I86" s="17">
        <v>507080.46254172258</v>
      </c>
      <c r="K86" s="22">
        <f>(G86+I86)/2</f>
        <v>679415.07524942723</v>
      </c>
      <c r="M86" s="54">
        <v>365147.32665375201</v>
      </c>
      <c r="O86" s="55">
        <f t="shared" si="17"/>
        <v>1.8606601381301555</v>
      </c>
      <c r="P86" s="22">
        <f t="shared" si="23"/>
        <v>-172334.61270770477</v>
      </c>
      <c r="Q86" s="17">
        <f>'Exhibit M,2'!I43</f>
        <v>18712.5</v>
      </c>
      <c r="R86" s="1">
        <f>'Exhibit L,2'!I43</f>
        <v>0</v>
      </c>
      <c r="S86" s="22">
        <f t="shared" si="19"/>
        <v>522302.75915321137</v>
      </c>
      <c r="U86" s="22">
        <f t="shared" si="20"/>
        <v>310734.42880392063</v>
      </c>
      <c r="W86" s="22">
        <f t="shared" si="21"/>
        <v>-108051.41116877273</v>
      </c>
      <c r="Y86" s="130">
        <f t="shared" si="22"/>
        <v>-64283.201538932044</v>
      </c>
      <c r="Z86" s="136"/>
    </row>
    <row r="87" spans="1:26">
      <c r="A87" s="6">
        <f t="shared" si="15"/>
        <v>2022</v>
      </c>
      <c r="C87" s="494">
        <f>'Exhibit M,1'!I44</f>
        <v>2002137.6420433626</v>
      </c>
      <c r="E87" s="494">
        <f>'Exhibit L,1'!I44</f>
        <v>1099754.042943714</v>
      </c>
      <c r="F87" s="17"/>
      <c r="G87" s="17">
        <f t="shared" si="18"/>
        <v>3101891.6849870766</v>
      </c>
      <c r="I87" s="17">
        <v>1850305.1098938296</v>
      </c>
      <c r="K87" s="22">
        <f>(G87+I87)/2</f>
        <v>2476098.3974404531</v>
      </c>
      <c r="M87" s="54">
        <v>1321248.05</v>
      </c>
      <c r="O87" s="55">
        <f t="shared" si="17"/>
        <v>1.874060209542374</v>
      </c>
      <c r="P87" s="22">
        <f t="shared" si="23"/>
        <v>-625793.2875466235</v>
      </c>
      <c r="Q87" s="17">
        <f>'Exhibit M,2'!I44</f>
        <v>15000</v>
      </c>
      <c r="R87" s="1">
        <f>'Exhibit L,2'!I44</f>
        <v>0</v>
      </c>
      <c r="S87" s="22">
        <f t="shared" si="19"/>
        <v>1987137.6420433626</v>
      </c>
      <c r="U87" s="22">
        <f t="shared" si="20"/>
        <v>1099754.042943714</v>
      </c>
      <c r="W87" s="22">
        <f t="shared" si="21"/>
        <v>-402844.51957606268</v>
      </c>
      <c r="Y87" s="130">
        <f t="shared" si="22"/>
        <v>-222948.76797056082</v>
      </c>
    </row>
    <row r="89" spans="1:26">
      <c r="G89" s="22">
        <f>SUM(G77:G87)</f>
        <v>20585025.35121429</v>
      </c>
      <c r="I89" s="22">
        <f>SUM(I77:I87)</f>
        <v>17820685.86782869</v>
      </c>
      <c r="K89" s="22">
        <f>SUM(K77:K87)</f>
        <v>19401150.66833289</v>
      </c>
    </row>
  </sheetData>
  <printOptions horizontalCentered="1"/>
  <pageMargins left="0.7" right="0.7" top="0.75" bottom="0.75" header="0.3" footer="0.3"/>
  <pageSetup scale="6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8">
    <pageSetUpPr fitToPage="1"/>
  </sheetPr>
  <dimension ref="A1:Q53"/>
  <sheetViews>
    <sheetView showOutlineSymbols="0" zoomScaleNormal="100" workbookViewId="0">
      <selection activeCell="K23" sqref="K23"/>
    </sheetView>
  </sheetViews>
  <sheetFormatPr baseColWidth="10" defaultColWidth="9.7109375" defaultRowHeight="15"/>
  <cols>
    <col min="1" max="1" width="9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3" width="9.7109375" style="1"/>
    <col min="14" max="14" width="9.7109375" style="1" bestFit="1" customWidth="1"/>
    <col min="15" max="15" width="11.7109375" style="1" bestFit="1" customWidth="1"/>
    <col min="16" max="16" width="10" style="1" bestFit="1" customWidth="1"/>
    <col min="17" max="16384" width="9.7109375" style="1"/>
  </cols>
  <sheetData>
    <row r="1" spans="1:16">
      <c r="K1" s="64" t="s">
        <v>78</v>
      </c>
    </row>
    <row r="2" spans="1:16">
      <c r="K2" s="52" t="s">
        <v>56</v>
      </c>
    </row>
    <row r="4" spans="1:16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140"/>
    </row>
    <row r="5" spans="1:16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</row>
    <row r="6" spans="1:16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  <c r="L6" s="140"/>
    </row>
    <row r="7" spans="1:16">
      <c r="A7" s="5" t="s">
        <v>353</v>
      </c>
      <c r="B7" s="5"/>
      <c r="C7" s="5"/>
      <c r="D7" s="5"/>
      <c r="E7" s="5"/>
      <c r="F7" s="5"/>
      <c r="G7" s="5"/>
      <c r="H7" s="5"/>
      <c r="I7" s="5"/>
      <c r="J7" s="5"/>
      <c r="K7" s="5"/>
      <c r="L7" s="140"/>
    </row>
    <row r="8" spans="1:16">
      <c r="A8" s="5" t="s">
        <v>1</v>
      </c>
      <c r="B8" s="5"/>
      <c r="C8" s="5"/>
      <c r="D8" s="5"/>
      <c r="E8" s="5"/>
      <c r="F8" s="5"/>
      <c r="G8" s="5"/>
      <c r="H8" s="5"/>
      <c r="I8" s="5"/>
      <c r="J8" s="5"/>
      <c r="K8" s="5"/>
      <c r="L8" s="140"/>
    </row>
    <row r="9" spans="1:16">
      <c r="A9" s="5"/>
      <c r="B9" s="5"/>
      <c r="C9" s="5"/>
      <c r="D9" s="5"/>
      <c r="E9" s="5"/>
      <c r="G9" s="5"/>
      <c r="H9" s="5"/>
      <c r="I9" s="5"/>
      <c r="J9" s="5"/>
      <c r="K9" s="5"/>
    </row>
    <row r="10" spans="1:16">
      <c r="N10" s="61"/>
      <c r="O10" s="25" t="s">
        <v>2</v>
      </c>
      <c r="P10" s="61"/>
    </row>
    <row r="11" spans="1:16">
      <c r="L11" s="25" t="s">
        <v>1666</v>
      </c>
      <c r="N11" s="61"/>
      <c r="O11" s="25" t="s">
        <v>117</v>
      </c>
      <c r="P11" s="61"/>
    </row>
    <row r="12" spans="1:16">
      <c r="A12" s="6" t="s">
        <v>3</v>
      </c>
      <c r="C12" s="5" t="s">
        <v>70</v>
      </c>
      <c r="D12" s="5"/>
      <c r="E12" s="5"/>
      <c r="G12" s="5" t="s">
        <v>72</v>
      </c>
      <c r="H12" s="5"/>
      <c r="I12" s="5"/>
      <c r="K12" s="6" t="s">
        <v>1</v>
      </c>
      <c r="L12" s="25" t="s">
        <v>1665</v>
      </c>
      <c r="M12" s="25" t="s">
        <v>321</v>
      </c>
      <c r="N12" s="25" t="s">
        <v>3</v>
      </c>
      <c r="O12" s="25" t="s">
        <v>1304</v>
      </c>
      <c r="P12" s="61"/>
    </row>
    <row r="13" spans="1:16">
      <c r="A13" s="6" t="s">
        <v>4</v>
      </c>
      <c r="C13" s="106" t="s">
        <v>14</v>
      </c>
      <c r="D13" s="106"/>
      <c r="E13" s="106" t="s">
        <v>12</v>
      </c>
      <c r="G13" s="106" t="s">
        <v>14</v>
      </c>
      <c r="H13" s="105"/>
      <c r="I13" s="106" t="s">
        <v>12</v>
      </c>
      <c r="K13" s="6" t="s">
        <v>73</v>
      </c>
      <c r="L13" s="25" t="s">
        <v>1667</v>
      </c>
      <c r="M13" s="25" t="s">
        <v>381</v>
      </c>
      <c r="N13" s="25" t="s">
        <v>4</v>
      </c>
      <c r="O13" s="45" t="s">
        <v>1</v>
      </c>
      <c r="P13" s="25" t="s">
        <v>18</v>
      </c>
    </row>
    <row r="14" spans="1:16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  <c r="L14" s="142" t="s">
        <v>1668</v>
      </c>
      <c r="M14" s="142" t="s">
        <v>1669</v>
      </c>
      <c r="N14" s="279" t="s">
        <v>30</v>
      </c>
      <c r="O14" s="279" t="s">
        <v>31</v>
      </c>
      <c r="P14" s="279" t="s">
        <v>103</v>
      </c>
    </row>
    <row r="15" spans="1:16">
      <c r="A15" s="6"/>
      <c r="N15" s="25"/>
      <c r="O15" s="223"/>
      <c r="P15" s="223"/>
    </row>
    <row r="16" spans="1:16">
      <c r="A16" s="6">
        <v>1994</v>
      </c>
      <c r="C16" s="147">
        <f>'Exhibit L,3'!I16/(1-'Exhibit L,3'!E16)</f>
        <v>0</v>
      </c>
      <c r="D16" s="147"/>
      <c r="E16" s="147">
        <f>'Exhibit L,2'!I16/(1-'Exhibit L,2'!E16)</f>
        <v>0</v>
      </c>
      <c r="F16" s="147"/>
      <c r="G16" s="147">
        <f>'Exhibit L,3'!K16</f>
        <v>0</v>
      </c>
      <c r="H16" s="147"/>
      <c r="I16" s="147">
        <f>'Exhibit L,2'!K16</f>
        <v>0</v>
      </c>
      <c r="J16" s="147"/>
      <c r="K16" s="497">
        <f>E16</f>
        <v>0</v>
      </c>
      <c r="N16" s="25">
        <v>1994</v>
      </c>
      <c r="O16" s="66">
        <f>'Exhibit L,3'!W16</f>
        <v>0</v>
      </c>
      <c r="P16" s="22">
        <f>K16-O16</f>
        <v>0</v>
      </c>
    </row>
    <row r="17" spans="1:16">
      <c r="A17" s="6">
        <f>A16+1</f>
        <v>1995</v>
      </c>
      <c r="C17" s="494">
        <f>'Exhibit L,3'!I17/(1-'Exhibit L,3'!E17)</f>
        <v>250000</v>
      </c>
      <c r="D17" s="187"/>
      <c r="E17" s="494">
        <f>'Exhibit L,2'!I17/(1-'Exhibit L,2'!E17)</f>
        <v>250000</v>
      </c>
      <c r="F17" s="187"/>
      <c r="G17" s="494">
        <f>'Exhibit L,3'!K17</f>
        <v>250000</v>
      </c>
      <c r="H17" s="187"/>
      <c r="I17" s="494">
        <f>'Exhibit L,2'!K17</f>
        <v>250000</v>
      </c>
      <c r="J17" s="187"/>
      <c r="K17" s="187">
        <f>E17</f>
        <v>250000</v>
      </c>
      <c r="N17" s="25">
        <f t="shared" ref="N17:N43" si="0">N16+1</f>
        <v>1995</v>
      </c>
      <c r="O17" s="20">
        <f>'Exhibit L,3'!W17</f>
        <v>250000</v>
      </c>
      <c r="P17" s="22">
        <f t="shared" ref="P17:P43" si="1">K17-O17</f>
        <v>0</v>
      </c>
    </row>
    <row r="18" spans="1:16">
      <c r="A18" s="6">
        <f t="shared" ref="A18:A44" si="2">A17+1</f>
        <v>1996</v>
      </c>
      <c r="C18" s="494">
        <f>'Exhibit L,3'!I18/(1-'Exhibit L,3'!E18)</f>
        <v>0</v>
      </c>
      <c r="D18" s="187"/>
      <c r="E18" s="494">
        <f>'Exhibit L,2'!I18/(1-'Exhibit L,2'!E18)</f>
        <v>0</v>
      </c>
      <c r="F18" s="187"/>
      <c r="G18" s="494">
        <f>'Exhibit L,3'!K18</f>
        <v>0</v>
      </c>
      <c r="H18" s="187"/>
      <c r="I18" s="494">
        <f>'Exhibit L,2'!K18</f>
        <v>0</v>
      </c>
      <c r="J18" s="187"/>
      <c r="K18" s="187">
        <f t="shared" ref="K18:K24" si="3">E18</f>
        <v>0</v>
      </c>
      <c r="N18" s="25">
        <f t="shared" si="0"/>
        <v>1996</v>
      </c>
      <c r="O18" s="20">
        <f>'Exhibit L,3'!W18</f>
        <v>0</v>
      </c>
      <c r="P18" s="22">
        <f t="shared" si="1"/>
        <v>0</v>
      </c>
    </row>
    <row r="19" spans="1:16">
      <c r="A19" s="6">
        <f t="shared" si="2"/>
        <v>1997</v>
      </c>
      <c r="C19" s="494">
        <f>'Exhibit L,3'!I19/(1-'Exhibit L,3'!E19)</f>
        <v>1400000</v>
      </c>
      <c r="D19" s="187"/>
      <c r="E19" s="494">
        <f>'Exhibit L,2'!I19/(1-'Exhibit L,2'!E19)</f>
        <v>1400000</v>
      </c>
      <c r="F19" s="187"/>
      <c r="G19" s="494">
        <f>'Exhibit L,3'!K19</f>
        <v>1400000</v>
      </c>
      <c r="H19" s="187"/>
      <c r="I19" s="494">
        <f>'Exhibit L,2'!K19</f>
        <v>1400000</v>
      </c>
      <c r="J19" s="187"/>
      <c r="K19" s="187">
        <f t="shared" si="3"/>
        <v>1400000</v>
      </c>
      <c r="N19" s="25">
        <f t="shared" si="0"/>
        <v>1997</v>
      </c>
      <c r="O19" s="20">
        <f>'Exhibit L,3'!W19</f>
        <v>1400000</v>
      </c>
      <c r="P19" s="22">
        <f t="shared" si="1"/>
        <v>0</v>
      </c>
    </row>
    <row r="20" spans="1:16">
      <c r="A20" s="6">
        <f t="shared" si="2"/>
        <v>1998</v>
      </c>
      <c r="C20" s="494">
        <f>'Exhibit L,3'!I20/(1-'Exhibit L,3'!E20)</f>
        <v>204267.68999999994</v>
      </c>
      <c r="D20" s="187"/>
      <c r="E20" s="494">
        <f>'Exhibit L,2'!I20/(1-'Exhibit L,2'!E20)</f>
        <v>204267.68999999994</v>
      </c>
      <c r="F20" s="187"/>
      <c r="G20" s="494">
        <f>'Exhibit L,3'!K20</f>
        <v>204267.68999999994</v>
      </c>
      <c r="H20" s="187"/>
      <c r="I20" s="494">
        <f>'Exhibit L,2'!K20</f>
        <v>204267.68999999994</v>
      </c>
      <c r="J20" s="187"/>
      <c r="K20" s="187">
        <f t="shared" si="3"/>
        <v>204267.68999999994</v>
      </c>
      <c r="N20" s="25">
        <f t="shared" si="0"/>
        <v>1998</v>
      </c>
      <c r="O20" s="20">
        <f>'Exhibit L,3'!W20</f>
        <v>204267.68999999994</v>
      </c>
      <c r="P20" s="22">
        <f t="shared" si="1"/>
        <v>0</v>
      </c>
    </row>
    <row r="21" spans="1:16">
      <c r="A21" s="6">
        <f t="shared" si="2"/>
        <v>1999</v>
      </c>
      <c r="C21" s="494">
        <f>'Exhibit L,3'!I21/(1-'Exhibit L,3'!E21)</f>
        <v>0</v>
      </c>
      <c r="D21" s="187"/>
      <c r="E21" s="494">
        <f>'Exhibit L,2'!I21/(1-'Exhibit L,2'!E21)</f>
        <v>0</v>
      </c>
      <c r="F21" s="187"/>
      <c r="G21" s="494">
        <f>'Exhibit L,3'!K21</f>
        <v>0</v>
      </c>
      <c r="H21" s="187"/>
      <c r="I21" s="494">
        <f>'Exhibit L,2'!K21</f>
        <v>0</v>
      </c>
      <c r="J21" s="187"/>
      <c r="K21" s="187">
        <f t="shared" si="3"/>
        <v>0</v>
      </c>
      <c r="N21" s="25">
        <f t="shared" si="0"/>
        <v>1999</v>
      </c>
      <c r="O21" s="20">
        <f>'Exhibit L,3'!W21</f>
        <v>0</v>
      </c>
      <c r="P21" s="22">
        <f t="shared" si="1"/>
        <v>0</v>
      </c>
    </row>
    <row r="22" spans="1:16">
      <c r="A22" s="6">
        <f t="shared" si="2"/>
        <v>2000</v>
      </c>
      <c r="C22" s="494">
        <f>'Exhibit L,3'!I22/(1-'Exhibit L,3'!E22)</f>
        <v>250000</v>
      </c>
      <c r="D22" s="187"/>
      <c r="E22" s="494">
        <f>'Exhibit L,2'!I22/(1-'Exhibit L,2'!E22)</f>
        <v>250000</v>
      </c>
      <c r="F22" s="187"/>
      <c r="G22" s="494">
        <f>'Exhibit L,3'!K22</f>
        <v>250000</v>
      </c>
      <c r="H22" s="187"/>
      <c r="I22" s="494">
        <f>'Exhibit L,2'!K22</f>
        <v>250000</v>
      </c>
      <c r="J22" s="187"/>
      <c r="K22" s="187">
        <f t="shared" si="3"/>
        <v>250000</v>
      </c>
      <c r="N22" s="25">
        <f t="shared" si="0"/>
        <v>2000</v>
      </c>
      <c r="O22" s="20">
        <f>'Exhibit L,3'!W22</f>
        <v>250000</v>
      </c>
      <c r="P22" s="22">
        <f t="shared" si="1"/>
        <v>0</v>
      </c>
    </row>
    <row r="23" spans="1:16">
      <c r="A23" s="6">
        <f t="shared" si="2"/>
        <v>2001</v>
      </c>
      <c r="C23" s="494">
        <f>'Exhibit L,3'!I23/(1-'Exhibit L,3'!E23)</f>
        <v>1283262.23</v>
      </c>
      <c r="D23" s="187"/>
      <c r="E23" s="494">
        <f>'Exhibit L,2'!I23/(1-'Exhibit L,2'!E23)</f>
        <v>1283262.23</v>
      </c>
      <c r="F23" s="187"/>
      <c r="G23" s="494">
        <f>'Exhibit L,3'!K23</f>
        <v>1283262.23</v>
      </c>
      <c r="H23" s="187"/>
      <c r="I23" s="494">
        <f>'Exhibit L,2'!K23</f>
        <v>1283262.23</v>
      </c>
      <c r="J23" s="187"/>
      <c r="K23" s="187">
        <f t="shared" si="3"/>
        <v>1283262.23</v>
      </c>
      <c r="N23" s="25">
        <f t="shared" si="0"/>
        <v>2001</v>
      </c>
      <c r="O23" s="20">
        <f>'Exhibit L,3'!W23</f>
        <v>1283262.23</v>
      </c>
      <c r="P23" s="22">
        <f t="shared" si="1"/>
        <v>0</v>
      </c>
    </row>
    <row r="24" spans="1:16">
      <c r="A24" s="6">
        <f t="shared" si="2"/>
        <v>2002</v>
      </c>
      <c r="C24" s="494">
        <f>'Exhibit L,3'!I24/(1-'Exhibit L,3'!E24)</f>
        <v>0</v>
      </c>
      <c r="D24" s="187"/>
      <c r="E24" s="494">
        <f>'Exhibit L,2'!I24/(1-'Exhibit L,2'!E24)</f>
        <v>0</v>
      </c>
      <c r="F24" s="187"/>
      <c r="G24" s="494">
        <f>'Exhibit L,3'!K24</f>
        <v>0</v>
      </c>
      <c r="H24" s="187"/>
      <c r="I24" s="494">
        <f>'Exhibit L,2'!K24</f>
        <v>0</v>
      </c>
      <c r="J24" s="187"/>
      <c r="K24" s="187">
        <f t="shared" si="3"/>
        <v>0</v>
      </c>
      <c r="N24" s="25">
        <f t="shared" si="0"/>
        <v>2002</v>
      </c>
      <c r="O24" s="20">
        <f>'Exhibit L,3'!W24</f>
        <v>0</v>
      </c>
      <c r="P24" s="22">
        <f t="shared" si="1"/>
        <v>0</v>
      </c>
    </row>
    <row r="25" spans="1:16">
      <c r="A25" s="6">
        <f t="shared" si="2"/>
        <v>2003</v>
      </c>
      <c r="C25" s="494">
        <f>'Exhibit L,3'!I25/(1-'Exhibit L,3'!E25)</f>
        <v>1200000</v>
      </c>
      <c r="D25" s="187"/>
      <c r="E25" s="494">
        <f>'Exhibit L,2'!I25/(1-'Exhibit L,2'!E25)</f>
        <v>1200000</v>
      </c>
      <c r="F25" s="187"/>
      <c r="G25" s="494">
        <f>'Exhibit L,3'!K25</f>
        <v>1200000</v>
      </c>
      <c r="H25" s="187"/>
      <c r="I25" s="494">
        <f>'Exhibit L,2'!K25</f>
        <v>1200000</v>
      </c>
      <c r="J25" s="187"/>
      <c r="K25" s="494">
        <f t="shared" ref="K25:K38" si="4">E25</f>
        <v>1200000</v>
      </c>
      <c r="N25" s="25">
        <f t="shared" si="0"/>
        <v>2003</v>
      </c>
      <c r="O25" s="20">
        <f>'Exhibit L,3'!W25</f>
        <v>1200000</v>
      </c>
      <c r="P25" s="22">
        <f t="shared" si="1"/>
        <v>0</v>
      </c>
    </row>
    <row r="26" spans="1:16">
      <c r="A26" s="6">
        <f t="shared" si="2"/>
        <v>2004</v>
      </c>
      <c r="C26" s="494">
        <f>'Exhibit L,3'!I26/(1-'Exhibit L,3'!E26)</f>
        <v>740000</v>
      </c>
      <c r="D26" s="187"/>
      <c r="E26" s="494">
        <f>'Exhibit L,2'!I26/(1-'Exhibit L,2'!E26)</f>
        <v>740000</v>
      </c>
      <c r="F26" s="187"/>
      <c r="G26" s="494">
        <f>'Exhibit L,3'!K26</f>
        <v>740000</v>
      </c>
      <c r="H26" s="187"/>
      <c r="I26" s="494">
        <f>'Exhibit L,2'!K26</f>
        <v>740000</v>
      </c>
      <c r="J26" s="187"/>
      <c r="K26" s="494">
        <f t="shared" si="4"/>
        <v>740000</v>
      </c>
      <c r="N26" s="25">
        <f t="shared" si="0"/>
        <v>2004</v>
      </c>
      <c r="O26" s="20">
        <f>'Exhibit L,3'!W26</f>
        <v>735000</v>
      </c>
      <c r="P26" s="22">
        <f t="shared" si="1"/>
        <v>5000</v>
      </c>
    </row>
    <row r="27" spans="1:16">
      <c r="A27" s="6">
        <f t="shared" si="2"/>
        <v>2005</v>
      </c>
      <c r="C27" s="494">
        <f>'Exhibit L,3'!I27/(1-'Exhibit L,3'!E27)</f>
        <v>975000</v>
      </c>
      <c r="D27" s="187"/>
      <c r="E27" s="494">
        <f>'Exhibit L,2'!I27/(1-'Exhibit L,2'!E27)</f>
        <v>975000</v>
      </c>
      <c r="F27" s="187"/>
      <c r="G27" s="494">
        <f>'Exhibit L,3'!K27</f>
        <v>975000</v>
      </c>
      <c r="H27" s="187"/>
      <c r="I27" s="494">
        <f>'Exhibit L,2'!K27</f>
        <v>975000</v>
      </c>
      <c r="J27" s="187"/>
      <c r="K27" s="494">
        <f t="shared" si="4"/>
        <v>975000</v>
      </c>
      <c r="N27" s="25">
        <f t="shared" si="0"/>
        <v>2005</v>
      </c>
      <c r="O27" s="20">
        <f>'Exhibit L,3'!W27</f>
        <v>975000</v>
      </c>
      <c r="P27" s="22">
        <f t="shared" si="1"/>
        <v>0</v>
      </c>
    </row>
    <row r="28" spans="1:16">
      <c r="A28" s="6">
        <f t="shared" si="2"/>
        <v>2006</v>
      </c>
      <c r="C28" s="494">
        <f>'Exhibit L,3'!I28/(1-'Exhibit L,3'!E28)</f>
        <v>0</v>
      </c>
      <c r="D28" s="187"/>
      <c r="E28" s="494">
        <f>'Exhibit L,2'!I28/(1-'Exhibit L,2'!E28)</f>
        <v>0</v>
      </c>
      <c r="F28" s="187"/>
      <c r="G28" s="494">
        <f>'Exhibit L,3'!K28</f>
        <v>0</v>
      </c>
      <c r="H28" s="187"/>
      <c r="I28" s="494">
        <f>'Exhibit L,2'!K28</f>
        <v>0</v>
      </c>
      <c r="J28" s="187"/>
      <c r="K28" s="494">
        <f t="shared" si="4"/>
        <v>0</v>
      </c>
      <c r="N28" s="25">
        <f t="shared" si="0"/>
        <v>2006</v>
      </c>
      <c r="O28" s="20">
        <f>'Exhibit L,3'!W28</f>
        <v>0</v>
      </c>
      <c r="P28" s="22">
        <f t="shared" si="1"/>
        <v>0</v>
      </c>
    </row>
    <row r="29" spans="1:16">
      <c r="A29" s="6">
        <f t="shared" si="2"/>
        <v>2007</v>
      </c>
      <c r="C29" s="494">
        <f>'Exhibit L,3'!I29/(1-'Exhibit L,3'!E29)</f>
        <v>500000</v>
      </c>
      <c r="D29" s="187"/>
      <c r="E29" s="494">
        <f>'Exhibit L,2'!I29/(1-'Exhibit L,2'!E29)</f>
        <v>500000</v>
      </c>
      <c r="F29" s="187"/>
      <c r="G29" s="494">
        <f>'Exhibit L,3'!K29</f>
        <v>500000</v>
      </c>
      <c r="H29" s="187"/>
      <c r="I29" s="494">
        <f>'Exhibit L,2'!K29</f>
        <v>500000</v>
      </c>
      <c r="J29" s="187"/>
      <c r="K29" s="494">
        <f t="shared" si="4"/>
        <v>500000</v>
      </c>
      <c r="N29" s="25">
        <f t="shared" si="0"/>
        <v>2007</v>
      </c>
      <c r="O29" s="20">
        <f>'Exhibit L,3'!W29</f>
        <v>500000</v>
      </c>
      <c r="P29" s="22">
        <f t="shared" si="1"/>
        <v>0</v>
      </c>
    </row>
    <row r="30" spans="1:16">
      <c r="A30" s="6">
        <f t="shared" si="2"/>
        <v>2008</v>
      </c>
      <c r="C30" s="494">
        <f>'Exhibit L,3'!I30/(1-'Exhibit L,3'!E30)</f>
        <v>350000</v>
      </c>
      <c r="D30" s="187"/>
      <c r="E30" s="494">
        <f>'Exhibit L,2'!I30/(1-'Exhibit L,2'!E30)</f>
        <v>350000</v>
      </c>
      <c r="F30" s="187"/>
      <c r="G30" s="494">
        <f>'Exhibit L,3'!K30</f>
        <v>350000</v>
      </c>
      <c r="H30" s="187"/>
      <c r="I30" s="494">
        <f>'Exhibit L,2'!K30</f>
        <v>350000</v>
      </c>
      <c r="J30" s="187"/>
      <c r="K30" s="494">
        <f t="shared" si="4"/>
        <v>350000</v>
      </c>
      <c r="N30" s="25">
        <f t="shared" si="0"/>
        <v>2008</v>
      </c>
      <c r="O30" s="20">
        <f>'Exhibit L,3'!W30</f>
        <v>350000</v>
      </c>
      <c r="P30" s="22">
        <f t="shared" si="1"/>
        <v>0</v>
      </c>
    </row>
    <row r="31" spans="1:16">
      <c r="A31" s="6">
        <f t="shared" si="2"/>
        <v>2009</v>
      </c>
      <c r="C31" s="494">
        <f>'Exhibit L,3'!I31/(1-'Exhibit L,3'!E31)</f>
        <v>0</v>
      </c>
      <c r="D31" s="187"/>
      <c r="E31" s="494">
        <f>'Exhibit L,2'!I31/(1-'Exhibit L,2'!E31)</f>
        <v>0</v>
      </c>
      <c r="F31" s="187"/>
      <c r="G31" s="494">
        <f>'Exhibit L,3'!K31</f>
        <v>0</v>
      </c>
      <c r="H31" s="187"/>
      <c r="I31" s="494">
        <f>'Exhibit L,2'!K31</f>
        <v>0</v>
      </c>
      <c r="J31" s="187"/>
      <c r="K31" s="494">
        <f t="shared" si="4"/>
        <v>0</v>
      </c>
      <c r="N31" s="25">
        <f t="shared" si="0"/>
        <v>2009</v>
      </c>
      <c r="O31" s="20">
        <f>'Exhibit L,3'!W31</f>
        <v>0</v>
      </c>
      <c r="P31" s="22">
        <f t="shared" si="1"/>
        <v>0</v>
      </c>
    </row>
    <row r="32" spans="1:16">
      <c r="A32" s="6">
        <f t="shared" si="2"/>
        <v>2010</v>
      </c>
      <c r="C32" s="494">
        <f>'Exhibit L,3'!I32/(1-'Exhibit L,3'!E32)</f>
        <v>0</v>
      </c>
      <c r="D32" s="187"/>
      <c r="E32" s="494">
        <f>'Exhibit L,2'!I32/(1-'Exhibit L,2'!E32)</f>
        <v>0</v>
      </c>
      <c r="F32" s="187"/>
      <c r="G32" s="494">
        <f>'Exhibit L,3'!K32</f>
        <v>0</v>
      </c>
      <c r="H32" s="187"/>
      <c r="I32" s="494">
        <f>'Exhibit L,2'!K32</f>
        <v>0</v>
      </c>
      <c r="J32" s="187"/>
      <c r="K32" s="494">
        <f t="shared" si="4"/>
        <v>0</v>
      </c>
      <c r="N32" s="25">
        <f t="shared" si="0"/>
        <v>2010</v>
      </c>
      <c r="O32" s="20">
        <f>'Exhibit L,3'!W32</f>
        <v>0</v>
      </c>
      <c r="P32" s="22">
        <f t="shared" si="1"/>
        <v>0</v>
      </c>
    </row>
    <row r="33" spans="1:17">
      <c r="A33" s="6">
        <f t="shared" si="2"/>
        <v>2011</v>
      </c>
      <c r="C33" s="494">
        <f>'Exhibit L,3'!I33/(1-'Exhibit L,3'!E33)</f>
        <v>0</v>
      </c>
      <c r="D33" s="187"/>
      <c r="E33" s="494">
        <f>'Exhibit L,2'!I33/(1-'Exhibit L,2'!E33)</f>
        <v>0</v>
      </c>
      <c r="F33" s="187"/>
      <c r="G33" s="494">
        <f>'Exhibit L,3'!K33</f>
        <v>0</v>
      </c>
      <c r="H33" s="187"/>
      <c r="I33" s="494">
        <f>'Exhibit L,2'!K33</f>
        <v>0</v>
      </c>
      <c r="J33" s="187"/>
      <c r="K33" s="494">
        <f t="shared" si="4"/>
        <v>0</v>
      </c>
      <c r="N33" s="25">
        <f t="shared" si="0"/>
        <v>2011</v>
      </c>
      <c r="O33" s="20">
        <f>'Exhibit L,3'!W33</f>
        <v>0</v>
      </c>
      <c r="P33" s="22">
        <f t="shared" si="1"/>
        <v>0</v>
      </c>
    </row>
    <row r="34" spans="1:17">
      <c r="A34" s="6">
        <f t="shared" si="2"/>
        <v>2012</v>
      </c>
      <c r="C34" s="494">
        <f>'Exhibit L,3'!I34/(1-'Exhibit L,3'!E34)</f>
        <v>0</v>
      </c>
      <c r="D34" s="187"/>
      <c r="E34" s="494">
        <f>'Exhibit L,2'!I34/(1-'Exhibit L,2'!E34)</f>
        <v>0</v>
      </c>
      <c r="F34" s="187"/>
      <c r="G34" s="494">
        <f>'Exhibit L,3'!K34</f>
        <v>0</v>
      </c>
      <c r="H34" s="187"/>
      <c r="I34" s="494">
        <f>'Exhibit L,2'!K34</f>
        <v>0</v>
      </c>
      <c r="J34" s="187"/>
      <c r="K34" s="494">
        <f t="shared" si="4"/>
        <v>0</v>
      </c>
      <c r="N34" s="25">
        <f t="shared" si="0"/>
        <v>2012</v>
      </c>
      <c r="O34" s="20">
        <f>'Exhibit L,3'!W34</f>
        <v>0</v>
      </c>
      <c r="P34" s="22">
        <f t="shared" si="1"/>
        <v>0</v>
      </c>
    </row>
    <row r="35" spans="1:17">
      <c r="A35" s="6">
        <f t="shared" si="2"/>
        <v>2013</v>
      </c>
      <c r="C35" s="494">
        <f>'Exhibit L,3'!I35/(1-'Exhibit L,3'!E35)</f>
        <v>761608.6586588315</v>
      </c>
      <c r="D35" s="187"/>
      <c r="E35" s="494">
        <f>'Exhibit L,2'!I35/(1-'Exhibit L,2'!E35)</f>
        <v>753354.98237034341</v>
      </c>
      <c r="F35" s="187"/>
      <c r="G35" s="494">
        <f>'Exhibit L,3'!K35</f>
        <v>763135.16028844716</v>
      </c>
      <c r="H35" s="187"/>
      <c r="I35" s="494">
        <f>'Exhibit L,2'!K35</f>
        <v>753837.74209557567</v>
      </c>
      <c r="J35" s="187"/>
      <c r="K35" s="494">
        <f t="shared" si="4"/>
        <v>753354.98237034341</v>
      </c>
      <c r="N35" s="25">
        <f t="shared" si="0"/>
        <v>2013</v>
      </c>
      <c r="O35" s="20">
        <f>'Exhibit L,3'!W35</f>
        <v>759856.40202853235</v>
      </c>
      <c r="P35" s="22">
        <f t="shared" si="1"/>
        <v>-6501.419658188941</v>
      </c>
    </row>
    <row r="36" spans="1:17">
      <c r="A36" s="6">
        <f t="shared" si="2"/>
        <v>2014</v>
      </c>
      <c r="C36" s="494">
        <f>'Exhibit L,3'!I36/(1-'Exhibit L,3'!E36)</f>
        <v>0</v>
      </c>
      <c r="D36" s="187"/>
      <c r="E36" s="494">
        <f>'Exhibit L,2'!I36/(1-'Exhibit L,2'!E36)</f>
        <v>0</v>
      </c>
      <c r="F36" s="187"/>
      <c r="G36" s="494">
        <f>'Exhibit L,3'!K36</f>
        <v>0</v>
      </c>
      <c r="H36" s="187"/>
      <c r="I36" s="494">
        <f>'Exhibit L,2'!K36</f>
        <v>0</v>
      </c>
      <c r="J36" s="187"/>
      <c r="K36" s="494">
        <f t="shared" si="4"/>
        <v>0</v>
      </c>
      <c r="N36" s="25">
        <f t="shared" si="0"/>
        <v>2014</v>
      </c>
      <c r="O36" s="20">
        <f>'Exhibit L,3'!W36</f>
        <v>0</v>
      </c>
      <c r="P36" s="22">
        <f t="shared" si="1"/>
        <v>0</v>
      </c>
    </row>
    <row r="37" spans="1:17">
      <c r="A37" s="6">
        <f t="shared" si="2"/>
        <v>2015</v>
      </c>
      <c r="C37" s="494">
        <f>'Exhibit L,3'!I37/(1-'Exhibit L,3'!E37)</f>
        <v>115529.56093062459</v>
      </c>
      <c r="D37" s="187"/>
      <c r="E37" s="494">
        <f>'Exhibit L,2'!I37/(1-'Exhibit L,2'!E37)</f>
        <v>105859.68367828966</v>
      </c>
      <c r="F37" s="187"/>
      <c r="G37" s="494">
        <f>'Exhibit L,3'!K37</f>
        <v>171637.61676546285</v>
      </c>
      <c r="H37" s="187"/>
      <c r="I37" s="494">
        <f>'Exhibit L,2'!K37</f>
        <v>129499.77173192154</v>
      </c>
      <c r="J37" s="187"/>
      <c r="K37" s="494">
        <f t="shared" si="4"/>
        <v>105859.68367828966</v>
      </c>
      <c r="N37" s="25">
        <f t="shared" si="0"/>
        <v>2015</v>
      </c>
      <c r="O37" s="20">
        <f>'Exhibit L,3'!W37</f>
        <v>116477.05047967032</v>
      </c>
      <c r="P37" s="22">
        <f t="shared" si="1"/>
        <v>-10617.36680138066</v>
      </c>
    </row>
    <row r="38" spans="1:17">
      <c r="A38" s="6">
        <f t="shared" si="2"/>
        <v>2016</v>
      </c>
      <c r="C38" s="494">
        <f>'Exhibit L,3'!I38/(1-'Exhibit L,3'!E38)</f>
        <v>2719825.8245124239</v>
      </c>
      <c r="D38" s="187"/>
      <c r="E38" s="494">
        <f>'Exhibit L,2'!I38/(1-'Exhibit L,2'!E38)</f>
        <v>2294404.5678640222</v>
      </c>
      <c r="F38" s="187"/>
      <c r="G38" s="494">
        <f>'Exhibit L,3'!K38</f>
        <v>2309128.8760894784</v>
      </c>
      <c r="H38" s="187"/>
      <c r="I38" s="494">
        <f>'Exhibit L,2'!K38</f>
        <v>2128068.5799788111</v>
      </c>
      <c r="J38" s="187"/>
      <c r="K38" s="494">
        <f t="shared" si="4"/>
        <v>2294404.5678640222</v>
      </c>
      <c r="N38" s="25">
        <f t="shared" si="0"/>
        <v>2016</v>
      </c>
      <c r="O38" s="20">
        <f>'Exhibit L,3'!W38</f>
        <v>2617879.0266995155</v>
      </c>
      <c r="P38" s="22">
        <f t="shared" si="1"/>
        <v>-323474.45883549331</v>
      </c>
    </row>
    <row r="39" spans="1:17">
      <c r="A39" s="6">
        <f t="shared" si="2"/>
        <v>2017</v>
      </c>
      <c r="C39" s="494">
        <f>'Exhibit L,3'!I39/(1-'Exhibit L,3'!E39)</f>
        <v>0</v>
      </c>
      <c r="D39" s="187"/>
      <c r="E39" s="494">
        <f>'Exhibit L,2'!I39/(1-'Exhibit L,2'!E39)</f>
        <v>0</v>
      </c>
      <c r="F39" s="187"/>
      <c r="G39" s="494">
        <f>'Exhibit L,3'!K39</f>
        <v>311771.15873751894</v>
      </c>
      <c r="H39" s="187"/>
      <c r="I39" s="494">
        <f>'Exhibit L,2'!K39</f>
        <v>222420.30087023426</v>
      </c>
      <c r="J39" s="187"/>
      <c r="K39" s="187">
        <f>I39+L39</f>
        <v>222420.30087023426</v>
      </c>
      <c r="M39" s="187">
        <f>K39-'Exhibit L,2'!I39</f>
        <v>222420.30087023426</v>
      </c>
      <c r="N39" s="25">
        <f t="shared" si="0"/>
        <v>2017</v>
      </c>
      <c r="O39" s="20">
        <f>'Exhibit L,3'!W39</f>
        <v>601269.30842813</v>
      </c>
      <c r="P39" s="22">
        <f t="shared" si="1"/>
        <v>-378849.00755789573</v>
      </c>
      <c r="Q39" s="1" t="s">
        <v>1670</v>
      </c>
    </row>
    <row r="40" spans="1:17">
      <c r="A40" s="6">
        <f t="shared" si="2"/>
        <v>2018</v>
      </c>
      <c r="C40" s="494">
        <f>'Exhibit L,3'!I40/(1-'Exhibit L,3'!E40)</f>
        <v>671367.16968292464</v>
      </c>
      <c r="D40" s="187"/>
      <c r="E40" s="494">
        <f>'Exhibit L,2'!I40/(1-'Exhibit L,2'!E40)</f>
        <v>455358.74933887651</v>
      </c>
      <c r="F40" s="187"/>
      <c r="G40" s="494">
        <f>'Exhibit L,3'!K40</f>
        <v>585083.57703636738</v>
      </c>
      <c r="H40" s="187"/>
      <c r="I40" s="494">
        <f>'Exhibit L,2'!K40</f>
        <v>502376.84253810183</v>
      </c>
      <c r="J40" s="187"/>
      <c r="K40" s="187">
        <f t="shared" ref="K40:K44" si="5">I40+L40</f>
        <v>502376.84253810183</v>
      </c>
      <c r="M40" s="187">
        <f>K40-'Exhibit L,2'!I40</f>
        <v>287376.84253810183</v>
      </c>
      <c r="N40" s="25">
        <f t="shared" si="0"/>
        <v>2018</v>
      </c>
      <c r="O40" s="20">
        <f>'Exhibit L,3'!W40</f>
        <v>401986.40177457297</v>
      </c>
      <c r="P40" s="22">
        <f t="shared" si="1"/>
        <v>100390.44076352887</v>
      </c>
    </row>
    <row r="41" spans="1:17">
      <c r="A41" s="6">
        <f t="shared" si="2"/>
        <v>2019</v>
      </c>
      <c r="C41" s="494">
        <f>'Exhibit L,3'!I41/(1-'Exhibit L,3'!E41)</f>
        <v>2775612.0711119305</v>
      </c>
      <c r="D41" s="187"/>
      <c r="E41" s="494">
        <f>'Exhibit L,2'!I41/(1-'Exhibit L,2'!E41)</f>
        <v>3110736.9653683174</v>
      </c>
      <c r="F41" s="187"/>
      <c r="G41" s="494">
        <f>'Exhibit L,3'!K41</f>
        <v>867990.717962494</v>
      </c>
      <c r="H41" s="187"/>
      <c r="I41" s="494">
        <f>'Exhibit L,2'!K41</f>
        <v>1304556.7497972483</v>
      </c>
      <c r="J41" s="187"/>
      <c r="K41" s="187">
        <f t="shared" si="5"/>
        <v>1304556.7497972483</v>
      </c>
      <c r="M41" s="187">
        <f>K41-'Exhibit L,2'!I41</f>
        <v>304556.74979724828</v>
      </c>
      <c r="N41" s="25">
        <f t="shared" si="0"/>
        <v>2019</v>
      </c>
      <c r="O41" s="20">
        <f>'Exhibit L,3'!W41</f>
        <v>914805.68558257306</v>
      </c>
      <c r="P41" s="22">
        <f t="shared" si="1"/>
        <v>389751.06421467522</v>
      </c>
    </row>
    <row r="42" spans="1:17">
      <c r="A42" s="6">
        <f t="shared" si="2"/>
        <v>2020</v>
      </c>
      <c r="C42" s="494">
        <f>'Exhibit L,3'!I42/(1-'Exhibit L,3'!E42)</f>
        <v>0</v>
      </c>
      <c r="D42" s="187"/>
      <c r="E42" s="494">
        <f>'Exhibit L,2'!I42/(1-'Exhibit L,2'!E42)</f>
        <v>0</v>
      </c>
      <c r="F42" s="187"/>
      <c r="G42" s="494">
        <f>'Exhibit L,3'!K42</f>
        <v>318164.2347032571</v>
      </c>
      <c r="H42" s="187"/>
      <c r="I42" s="494">
        <f>'Exhibit L,2'!K42</f>
        <v>284918.92721729528</v>
      </c>
      <c r="J42" s="187"/>
      <c r="K42" s="187">
        <f t="shared" si="5"/>
        <v>284918.92721729528</v>
      </c>
      <c r="M42" s="187">
        <f>K42-'Exhibit L,2'!I42</f>
        <v>284918.92721729528</v>
      </c>
      <c r="N42" s="25">
        <f t="shared" si="0"/>
        <v>2020</v>
      </c>
      <c r="O42" s="20">
        <f>'Exhibit L,3'!W42</f>
        <v>483851.22791845346</v>
      </c>
      <c r="P42" s="22">
        <f t="shared" si="1"/>
        <v>-198932.30070115818</v>
      </c>
    </row>
    <row r="43" spans="1:17">
      <c r="A43" s="6">
        <f t="shared" si="2"/>
        <v>2021</v>
      </c>
      <c r="C43" s="494">
        <f>'Exhibit L,3'!I43/(1-'Exhibit L,3'!E43)</f>
        <v>0</v>
      </c>
      <c r="D43" s="187"/>
      <c r="E43" s="494">
        <f>'Exhibit L,2'!I43/(1-'Exhibit L,2'!E43)</f>
        <v>0</v>
      </c>
      <c r="F43" s="187"/>
      <c r="G43" s="494">
        <f>'Exhibit L,3'!K43</f>
        <v>322530.99752887397</v>
      </c>
      <c r="H43" s="187"/>
      <c r="I43" s="494">
        <f>'Exhibit L,2'!K43</f>
        <v>310734.42880392063</v>
      </c>
      <c r="J43" s="187"/>
      <c r="K43" s="187">
        <f t="shared" si="5"/>
        <v>310734.42880392063</v>
      </c>
      <c r="M43" s="187">
        <f>K43-'Exhibit L,2'!I43</f>
        <v>310734.42880392063</v>
      </c>
      <c r="N43" s="25">
        <f t="shared" si="0"/>
        <v>2021</v>
      </c>
      <c r="O43" s="20">
        <f>'Exhibit L,3'!W43</f>
        <v>419882.17330072465</v>
      </c>
      <c r="P43" s="22">
        <f t="shared" si="1"/>
        <v>-109147.74449680402</v>
      </c>
    </row>
    <row r="44" spans="1:17">
      <c r="A44" s="6">
        <f t="shared" si="2"/>
        <v>2022</v>
      </c>
      <c r="C44" s="494">
        <f>'Exhibit L,3'!I44/(1-'Exhibit L,3'!E44)</f>
        <v>0</v>
      </c>
      <c r="D44" s="187"/>
      <c r="E44" s="494">
        <f>'Exhibit L,2'!I44/(1-'Exhibit L,2'!E44)</f>
        <v>0</v>
      </c>
      <c r="F44" s="187"/>
      <c r="G44" s="494">
        <f>'Exhibit L,3'!K44</f>
        <v>1103513.4779913942</v>
      </c>
      <c r="H44" s="187"/>
      <c r="I44" s="494">
        <f>'Exhibit L,2'!K44</f>
        <v>1099754.042943714</v>
      </c>
      <c r="J44" s="187"/>
      <c r="K44" s="187">
        <f t="shared" si="5"/>
        <v>1099754.042943714</v>
      </c>
      <c r="M44" s="187">
        <f>K44-'Exhibit L,2'!I44</f>
        <v>1099754.042943714</v>
      </c>
      <c r="N44" s="61"/>
      <c r="O44" s="20">
        <f>'Exhibit L,3'!W44</f>
        <v>0</v>
      </c>
    </row>
    <row r="45" spans="1:17">
      <c r="C45" s="105"/>
      <c r="E45" s="105"/>
      <c r="G45" s="105"/>
      <c r="I45" s="105"/>
      <c r="K45" s="105"/>
      <c r="N45" s="61"/>
      <c r="O45" s="105"/>
      <c r="P45" s="105"/>
    </row>
    <row r="46" spans="1:17">
      <c r="A46" s="6" t="s">
        <v>0</v>
      </c>
      <c r="C46" s="284">
        <f>SUM(C16:C45)</f>
        <v>14196473.204896735</v>
      </c>
      <c r="E46" s="284">
        <f t="shared" ref="E46:K46" si="6">SUM(E16:E45)</f>
        <v>13872244.86861985</v>
      </c>
      <c r="F46" s="284"/>
      <c r="G46" s="284">
        <f t="shared" si="6"/>
        <v>13905485.737103296</v>
      </c>
      <c r="H46" s="284"/>
      <c r="I46" s="284">
        <f t="shared" si="6"/>
        <v>13888697.305976823</v>
      </c>
      <c r="J46" s="284"/>
      <c r="K46" s="284">
        <f t="shared" si="6"/>
        <v>14030910.446083169</v>
      </c>
      <c r="N46" s="61"/>
      <c r="O46" s="284">
        <f>SUM(O16:O45)</f>
        <v>13463537.196212171</v>
      </c>
      <c r="P46" s="284">
        <f>SUM(P16:P45)</f>
        <v>-532380.79307271668</v>
      </c>
      <c r="Q46" s="61"/>
    </row>
    <row r="48" spans="1:17">
      <c r="A48" s="2"/>
      <c r="C48" s="284"/>
      <c r="E48" s="284"/>
      <c r="F48" s="284"/>
      <c r="G48" s="284"/>
      <c r="H48" s="284"/>
      <c r="I48" s="284"/>
      <c r="J48" s="284"/>
      <c r="K48" s="284"/>
    </row>
    <row r="50" spans="1:2">
      <c r="A50" s="6" t="s">
        <v>50</v>
      </c>
      <c r="B50" s="3" t="s">
        <v>247</v>
      </c>
    </row>
    <row r="51" spans="1:2">
      <c r="B51" s="3" t="s">
        <v>248</v>
      </c>
    </row>
    <row r="52" spans="1:2">
      <c r="B52" s="3" t="s">
        <v>249</v>
      </c>
    </row>
    <row r="53" spans="1:2">
      <c r="B53" s="3" t="s">
        <v>250</v>
      </c>
    </row>
  </sheetData>
  <phoneticPr fontId="8" type="noConversion"/>
  <printOptions horizontalCentered="1"/>
  <pageMargins left="0.7" right="0.7" top="0.75" bottom="0.75" header="0.3" footer="0.3"/>
  <pageSetup scale="82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6">
    <pageSetUpPr fitToPage="1"/>
  </sheetPr>
  <dimension ref="A1:AK55"/>
  <sheetViews>
    <sheetView topLeftCell="A16" zoomScaleNormal="100" workbookViewId="0">
      <selection activeCell="C44" sqref="C44"/>
    </sheetView>
  </sheetViews>
  <sheetFormatPr baseColWidth="10" defaultColWidth="8.7109375" defaultRowHeight="15"/>
  <cols>
    <col min="1" max="1" width="9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6" width="8.7109375" style="1"/>
    <col min="17" max="17" width="8.85546875" style="1" bestFit="1" customWidth="1"/>
    <col min="18" max="21" width="12.7109375" style="1" bestFit="1" customWidth="1"/>
    <col min="22" max="16384" width="8.7109375" style="1"/>
  </cols>
  <sheetData>
    <row r="1" spans="1:25">
      <c r="K1" s="64" t="s">
        <v>78</v>
      </c>
    </row>
    <row r="2" spans="1:25">
      <c r="K2" s="52" t="s">
        <v>45</v>
      </c>
    </row>
    <row r="3" spans="1:25">
      <c r="K3" s="6"/>
    </row>
    <row r="4" spans="1:25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</row>
    <row r="6" spans="1:25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25">
      <c r="A7" s="5" t="s">
        <v>68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25">
      <c r="A8" s="5" t="s">
        <v>353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25">
      <c r="A9" s="5"/>
      <c r="B9" s="5"/>
      <c r="C9" s="5"/>
      <c r="D9" s="5"/>
      <c r="E9" s="5"/>
      <c r="F9" s="5"/>
      <c r="G9" s="5"/>
      <c r="H9" s="5"/>
      <c r="I9" s="5"/>
      <c r="J9" s="5"/>
      <c r="K9" s="5"/>
    </row>
    <row r="11" spans="1:25">
      <c r="C11" s="6"/>
      <c r="D11" s="6"/>
      <c r="E11" s="6" t="s">
        <v>7</v>
      </c>
      <c r="F11" s="6"/>
      <c r="G11" s="6" t="s">
        <v>7</v>
      </c>
      <c r="H11" s="6"/>
      <c r="I11" s="6" t="s">
        <v>64</v>
      </c>
      <c r="J11" s="6"/>
      <c r="K11" s="6"/>
      <c r="P11" s="25"/>
      <c r="Q11" s="44"/>
      <c r="R11" s="44"/>
      <c r="S11" s="44"/>
      <c r="T11" s="44"/>
      <c r="U11" s="44"/>
    </row>
    <row r="12" spans="1:25">
      <c r="A12" s="6" t="s">
        <v>3</v>
      </c>
      <c r="C12" s="6" t="s">
        <v>7</v>
      </c>
      <c r="D12" s="6"/>
      <c r="E12" s="6" t="s">
        <v>62</v>
      </c>
      <c r="F12" s="6"/>
      <c r="G12" s="6" t="s">
        <v>69</v>
      </c>
      <c r="H12" s="6"/>
      <c r="I12" s="6" t="s">
        <v>12</v>
      </c>
      <c r="J12" s="6"/>
      <c r="K12" s="6" t="s">
        <v>67</v>
      </c>
      <c r="P12" s="25"/>
      <c r="Q12" s="44"/>
      <c r="R12" s="44"/>
      <c r="S12" s="44"/>
      <c r="T12" s="44"/>
      <c r="U12" s="44"/>
      <c r="W12" s="359" t="s">
        <v>205</v>
      </c>
      <c r="Y12" s="256"/>
    </row>
    <row r="13" spans="1:25">
      <c r="A13" s="6" t="s">
        <v>4</v>
      </c>
      <c r="C13" s="6" t="s">
        <v>55</v>
      </c>
      <c r="D13" s="6"/>
      <c r="E13" s="6" t="s">
        <v>69</v>
      </c>
      <c r="F13" s="6"/>
      <c r="G13" s="6" t="s">
        <v>55</v>
      </c>
      <c r="H13" s="6"/>
      <c r="I13" s="6" t="s">
        <v>55</v>
      </c>
      <c r="J13" s="6"/>
      <c r="K13" s="6" t="s">
        <v>55</v>
      </c>
      <c r="P13" s="25"/>
      <c r="Q13" s="45"/>
      <c r="R13" s="45"/>
      <c r="S13" s="45"/>
      <c r="T13" s="45"/>
      <c r="U13" s="45"/>
      <c r="W13" s="97" t="s">
        <v>351</v>
      </c>
      <c r="X13" s="97" t="s">
        <v>204</v>
      </c>
      <c r="Y13" s="97" t="s">
        <v>198</v>
      </c>
    </row>
    <row r="14" spans="1:25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  <c r="W14" s="143">
        <f>K14-1</f>
        <v>-7</v>
      </c>
      <c r="X14" s="143">
        <f>W14-1</f>
        <v>-8</v>
      </c>
      <c r="Y14" s="143">
        <f>X14-1</f>
        <v>-9</v>
      </c>
    </row>
    <row r="15" spans="1:25">
      <c r="A15" s="6"/>
      <c r="P15" s="277"/>
      <c r="Q15" s="277"/>
      <c r="R15" s="25"/>
      <c r="S15" s="25"/>
      <c r="T15" s="25"/>
      <c r="U15" s="25"/>
      <c r="W15" s="61"/>
      <c r="X15" s="61"/>
      <c r="Y15" s="61"/>
    </row>
    <row r="16" spans="1:25">
      <c r="A16" s="6">
        <v>1994</v>
      </c>
      <c r="C16" s="147">
        <f>'Exhibit P,2'!O18</f>
        <v>0</v>
      </c>
      <c r="E16" s="74">
        <v>0</v>
      </c>
      <c r="G16" s="497">
        <f t="shared" ref="G16:G43" si="0">C16*E16</f>
        <v>0</v>
      </c>
      <c r="H16" s="19"/>
      <c r="I16" s="147">
        <f>'Exhibit L,3'!S16</f>
        <v>0</v>
      </c>
      <c r="J16" s="19"/>
      <c r="K16" s="147">
        <f>G16+I16</f>
        <v>0</v>
      </c>
      <c r="P16" s="25"/>
      <c r="Q16" s="25"/>
      <c r="R16" s="25"/>
      <c r="S16" s="25"/>
      <c r="T16" s="25"/>
      <c r="U16" s="25"/>
      <c r="W16" s="72">
        <f>'Exhibit P,2'!I18</f>
        <v>1</v>
      </c>
      <c r="X16" s="61"/>
      <c r="Y16" s="61"/>
    </row>
    <row r="17" spans="1:37">
      <c r="A17" s="6">
        <f>A16+1</f>
        <v>1995</v>
      </c>
      <c r="C17" s="494">
        <f>'Exhibit P,2'!O19</f>
        <v>439577.99818999233</v>
      </c>
      <c r="E17" s="74">
        <v>0</v>
      </c>
      <c r="G17" s="187">
        <f t="shared" si="0"/>
        <v>0</v>
      </c>
      <c r="H17" s="187"/>
      <c r="I17" s="17">
        <f>'Exhibit L,3'!S17</f>
        <v>250000</v>
      </c>
      <c r="J17" s="187"/>
      <c r="K17" s="494">
        <f t="shared" ref="K17:K44" si="1">G17+I17</f>
        <v>250000</v>
      </c>
      <c r="P17" s="25"/>
      <c r="Q17" s="25"/>
      <c r="R17" s="25"/>
      <c r="S17" s="25"/>
      <c r="T17" s="25"/>
      <c r="U17" s="25"/>
      <c r="W17" s="72">
        <f>'Exhibit P,2'!I19</f>
        <v>1</v>
      </c>
      <c r="X17" s="61"/>
      <c r="Y17" s="61"/>
    </row>
    <row r="18" spans="1:37">
      <c r="A18" s="6">
        <f t="shared" ref="A18:A44" si="2">A17+1</f>
        <v>1996</v>
      </c>
      <c r="C18" s="494">
        <f>'Exhibit P,2'!O20</f>
        <v>0</v>
      </c>
      <c r="E18" s="74">
        <v>0</v>
      </c>
      <c r="G18" s="187">
        <f t="shared" si="0"/>
        <v>0</v>
      </c>
      <c r="H18" s="187"/>
      <c r="I18" s="17">
        <f>'Exhibit L,3'!S18</f>
        <v>0</v>
      </c>
      <c r="J18" s="187"/>
      <c r="K18" s="494">
        <f t="shared" si="1"/>
        <v>0</v>
      </c>
      <c r="P18" s="25"/>
      <c r="Q18" s="25"/>
      <c r="R18" s="25"/>
      <c r="S18" s="25"/>
      <c r="T18" s="25"/>
      <c r="U18" s="25"/>
      <c r="W18" s="72">
        <f>'Exhibit P,2'!I20</f>
        <v>1</v>
      </c>
      <c r="X18" s="61"/>
      <c r="Y18" s="61"/>
    </row>
    <row r="19" spans="1:37">
      <c r="A19" s="6">
        <f t="shared" si="2"/>
        <v>1997</v>
      </c>
      <c r="C19" s="494">
        <f>'Exhibit P,2'!O21</f>
        <v>2543202.6757044317</v>
      </c>
      <c r="E19" s="74">
        <v>0</v>
      </c>
      <c r="G19" s="187">
        <f t="shared" si="0"/>
        <v>0</v>
      </c>
      <c r="H19" s="187"/>
      <c r="I19" s="17">
        <f>'Exhibit L,3'!S19</f>
        <v>1400000</v>
      </c>
      <c r="J19" s="187"/>
      <c r="K19" s="494">
        <f t="shared" si="1"/>
        <v>1400000</v>
      </c>
      <c r="P19" s="25"/>
      <c r="Q19" s="25"/>
      <c r="R19" s="25"/>
      <c r="S19" s="25"/>
      <c r="T19" s="25"/>
      <c r="U19" s="25"/>
      <c r="W19" s="72">
        <f>'Exhibit P,2'!I21</f>
        <v>1</v>
      </c>
      <c r="X19" s="61"/>
      <c r="Y19" s="61"/>
    </row>
    <row r="20" spans="1:37">
      <c r="A20" s="6">
        <f t="shared" si="2"/>
        <v>1998</v>
      </c>
      <c r="C20" s="494">
        <f>'Exhibit P,2'!O22</f>
        <v>334023.39198393753</v>
      </c>
      <c r="E20" s="74">
        <v>0</v>
      </c>
      <c r="G20" s="187">
        <f t="shared" si="0"/>
        <v>0</v>
      </c>
      <c r="H20" s="187"/>
      <c r="I20" s="17">
        <f>'Exhibit L,3'!S20</f>
        <v>204267.68999999994</v>
      </c>
      <c r="J20" s="187"/>
      <c r="K20" s="494">
        <f t="shared" si="1"/>
        <v>204267.68999999994</v>
      </c>
      <c r="P20" s="25"/>
      <c r="Q20" s="25"/>
      <c r="R20" s="25"/>
      <c r="S20" s="25"/>
      <c r="T20" s="25"/>
      <c r="U20" s="25"/>
      <c r="W20" s="72">
        <f>'Exhibit P,2'!I22</f>
        <v>0.98873484308322401</v>
      </c>
      <c r="X20" s="61"/>
      <c r="Y20" s="61"/>
    </row>
    <row r="21" spans="1:37">
      <c r="A21" s="6">
        <f t="shared" si="2"/>
        <v>1999</v>
      </c>
      <c r="C21" s="494">
        <f>'Exhibit P,2'!O23</f>
        <v>0</v>
      </c>
      <c r="E21" s="74">
        <v>0</v>
      </c>
      <c r="G21" s="187">
        <f t="shared" si="0"/>
        <v>0</v>
      </c>
      <c r="H21" s="187"/>
      <c r="I21" s="17">
        <f>'Exhibit L,3'!S21</f>
        <v>0</v>
      </c>
      <c r="J21" s="187"/>
      <c r="K21" s="494">
        <f t="shared" si="1"/>
        <v>0</v>
      </c>
      <c r="P21" s="25"/>
      <c r="Q21" s="25"/>
      <c r="R21" s="25"/>
      <c r="S21" s="25"/>
      <c r="T21" s="25"/>
      <c r="U21" s="25"/>
      <c r="W21" s="72">
        <f>'Exhibit P,2'!I23</f>
        <v>0.9824898308823069</v>
      </c>
      <c r="X21" s="61"/>
      <c r="Y21" s="61"/>
      <c r="AF21" s="25"/>
      <c r="AG21" s="25" t="s">
        <v>1470</v>
      </c>
      <c r="AH21" s="25" t="s">
        <v>1471</v>
      </c>
      <c r="AI21" s="25" t="s">
        <v>1465</v>
      </c>
      <c r="AJ21" s="25"/>
      <c r="AK21" s="25"/>
    </row>
    <row r="22" spans="1:37">
      <c r="A22" s="6">
        <f t="shared" si="2"/>
        <v>2000</v>
      </c>
      <c r="C22" s="494">
        <f>'Exhibit P,2'!O24</f>
        <v>271234.48696017283</v>
      </c>
      <c r="E22" s="74">
        <v>0</v>
      </c>
      <c r="G22" s="187">
        <f t="shared" si="0"/>
        <v>0</v>
      </c>
      <c r="H22" s="187"/>
      <c r="I22" s="17">
        <f>'Exhibit L,3'!S22</f>
        <v>250000</v>
      </c>
      <c r="J22" s="187"/>
      <c r="K22" s="494">
        <f t="shared" si="1"/>
        <v>250000</v>
      </c>
      <c r="P22" s="25"/>
      <c r="Q22" s="25"/>
      <c r="R22" s="25"/>
      <c r="S22" s="25"/>
      <c r="T22" s="25"/>
      <c r="U22" s="25"/>
      <c r="W22" s="72">
        <f>'Exhibit P,2'!I24</f>
        <v>0.98525754506508056</v>
      </c>
      <c r="X22" s="61"/>
      <c r="Y22" s="61"/>
      <c r="AG22" s="25" t="s">
        <v>1463</v>
      </c>
      <c r="AH22" s="25" t="s">
        <v>1066</v>
      </c>
      <c r="AI22" s="25" t="s">
        <v>1466</v>
      </c>
      <c r="AJ22" s="25" t="s">
        <v>86</v>
      </c>
      <c r="AK22" s="25" t="s">
        <v>1</v>
      </c>
    </row>
    <row r="23" spans="1:37">
      <c r="A23" s="6">
        <f t="shared" si="2"/>
        <v>2001</v>
      </c>
      <c r="C23" s="494">
        <f>'Exhibit P,2'!O25</f>
        <v>1048996.214030084</v>
      </c>
      <c r="E23" s="74">
        <v>0</v>
      </c>
      <c r="G23" s="187">
        <f t="shared" si="0"/>
        <v>0</v>
      </c>
      <c r="H23" s="187"/>
      <c r="I23" s="17">
        <f>'Exhibit L,3'!S23</f>
        <v>1283262.23</v>
      </c>
      <c r="J23" s="187"/>
      <c r="K23" s="494">
        <f t="shared" si="1"/>
        <v>1283262.23</v>
      </c>
      <c r="P23" s="25"/>
      <c r="Q23" s="25"/>
      <c r="R23" s="25"/>
      <c r="S23" s="25"/>
      <c r="T23" s="25"/>
      <c r="U23" s="25"/>
      <c r="W23" s="72">
        <f>'Exhibit P,2'!I25</f>
        <v>0.98380120111463631</v>
      </c>
      <c r="X23" s="61"/>
      <c r="Y23" s="61"/>
      <c r="AG23" s="25" t="s">
        <v>1459</v>
      </c>
      <c r="AH23" s="25" t="s">
        <v>1459</v>
      </c>
      <c r="AI23" s="25" t="s">
        <v>1464</v>
      </c>
      <c r="AJ23" s="25" t="s">
        <v>198</v>
      </c>
      <c r="AK23" s="25" t="s">
        <v>198</v>
      </c>
    </row>
    <row r="24" spans="1:37">
      <c r="A24" s="6">
        <f t="shared" si="2"/>
        <v>2002</v>
      </c>
      <c r="C24" s="494">
        <f>'Exhibit P,2'!O26</f>
        <v>0</v>
      </c>
      <c r="E24" s="74">
        <v>0</v>
      </c>
      <c r="G24" s="187">
        <f t="shared" si="0"/>
        <v>0</v>
      </c>
      <c r="H24" s="187"/>
      <c r="I24" s="17">
        <f>'Exhibit L,3'!S24</f>
        <v>0</v>
      </c>
      <c r="J24" s="187"/>
      <c r="K24" s="494">
        <f t="shared" si="1"/>
        <v>0</v>
      </c>
      <c r="P24" s="25"/>
      <c r="Q24" s="25"/>
      <c r="R24" s="25"/>
      <c r="S24" s="25"/>
      <c r="T24" s="25"/>
      <c r="U24" s="25"/>
      <c r="W24" s="72">
        <f>'Exhibit P,2'!I26</f>
        <v>0.97750002325827856</v>
      </c>
      <c r="X24" s="61"/>
      <c r="Y24" s="61"/>
      <c r="AF24" s="421" t="s">
        <v>4</v>
      </c>
      <c r="AG24" s="230" t="s">
        <v>1469</v>
      </c>
      <c r="AH24" s="230" t="s">
        <v>1469</v>
      </c>
      <c r="AI24" s="25" t="s">
        <v>10</v>
      </c>
      <c r="AJ24" s="230" t="s">
        <v>1469</v>
      </c>
      <c r="AK24" s="230" t="s">
        <v>1469</v>
      </c>
    </row>
    <row r="25" spans="1:37">
      <c r="A25" s="6">
        <f t="shared" si="2"/>
        <v>2003</v>
      </c>
      <c r="C25" s="494">
        <f>'Exhibit P,2'!O27</f>
        <v>664784.81054851203</v>
      </c>
      <c r="E25" s="128">
        <f t="shared" ref="E25:E44" si="3">1-((1-W25)*X25+W25*Y25)</f>
        <v>0</v>
      </c>
      <c r="G25" s="187">
        <f t="shared" si="0"/>
        <v>0</v>
      </c>
      <c r="H25" s="187"/>
      <c r="I25" s="17">
        <f>'Exhibit L,3'!S25</f>
        <v>1200000</v>
      </c>
      <c r="J25" s="187"/>
      <c r="K25" s="494">
        <f t="shared" si="1"/>
        <v>1200000</v>
      </c>
      <c r="P25" s="25"/>
      <c r="Q25" s="25"/>
      <c r="R25" s="25"/>
      <c r="S25" s="25"/>
      <c r="T25" s="25"/>
      <c r="U25" s="25"/>
      <c r="W25" s="72">
        <f>'Exhibit P,2'!I27</f>
        <v>0.86702307867847472</v>
      </c>
      <c r="X25" s="72">
        <f>'Exhibit Q,5'!K16</f>
        <v>0.99999999999999989</v>
      </c>
      <c r="Y25" s="72">
        <f>'Exhibit Q,5'!M16</f>
        <v>0.99999999999999967</v>
      </c>
      <c r="AF25" s="48"/>
      <c r="AG25" s="153"/>
      <c r="AH25" s="153"/>
      <c r="AI25" s="422"/>
      <c r="AJ25" s="48"/>
      <c r="AK25" s="172"/>
    </row>
    <row r="26" spans="1:37">
      <c r="A26" s="6">
        <f t="shared" si="2"/>
        <v>2004</v>
      </c>
      <c r="C26" s="494">
        <f>'Exhibit P,2'!O28</f>
        <v>352802.35057257814</v>
      </c>
      <c r="E26" s="128">
        <f t="shared" si="3"/>
        <v>0</v>
      </c>
      <c r="G26" s="187">
        <f t="shared" si="0"/>
        <v>0</v>
      </c>
      <c r="H26" s="187"/>
      <c r="I26" s="17">
        <f>'Exhibit L,3'!S26</f>
        <v>740000</v>
      </c>
      <c r="J26" s="187"/>
      <c r="K26" s="494">
        <f t="shared" si="1"/>
        <v>740000</v>
      </c>
      <c r="P26" s="25"/>
      <c r="Q26" s="25"/>
      <c r="R26" s="25"/>
      <c r="S26" s="25"/>
      <c r="T26" s="25"/>
      <c r="U26" s="25"/>
      <c r="W26" s="72">
        <f>'Exhibit P,2'!I28</f>
        <v>0.86822909909160961</v>
      </c>
      <c r="X26" s="72">
        <f>'Exhibit Q,5'!K17</f>
        <v>0.99999999999999989</v>
      </c>
      <c r="Y26" s="72">
        <f>'Exhibit Q,5'!M17</f>
        <v>0.99999999999999967</v>
      </c>
      <c r="AF26" s="48"/>
      <c r="AG26" s="153"/>
      <c r="AH26" s="153"/>
      <c r="AI26" s="422"/>
      <c r="AJ26" s="48"/>
      <c r="AK26" s="172"/>
    </row>
    <row r="27" spans="1:37">
      <c r="A27" s="6">
        <f t="shared" si="2"/>
        <v>2005</v>
      </c>
      <c r="C27" s="494">
        <f>'Exhibit P,2'!O29</f>
        <v>466893.3660128981</v>
      </c>
      <c r="E27" s="128">
        <f t="shared" si="3"/>
        <v>0</v>
      </c>
      <c r="G27" s="187">
        <f t="shared" si="0"/>
        <v>0</v>
      </c>
      <c r="H27" s="187"/>
      <c r="I27" s="17">
        <f>'Exhibit L,3'!S27</f>
        <v>975000</v>
      </c>
      <c r="J27" s="187"/>
      <c r="K27" s="494">
        <f t="shared" si="1"/>
        <v>975000</v>
      </c>
      <c r="P27" s="25"/>
      <c r="Q27" s="25"/>
      <c r="R27" s="25"/>
      <c r="S27" s="25"/>
      <c r="T27" s="25"/>
      <c r="U27" s="25"/>
      <c r="W27" s="72">
        <f>'Exhibit P,2'!I29</f>
        <v>0.79691598892339655</v>
      </c>
      <c r="X27" s="72">
        <f>'Exhibit Q,5'!K18</f>
        <v>0.99999999999999989</v>
      </c>
      <c r="Y27" s="72">
        <f>'Exhibit Q,5'!M18</f>
        <v>0.99999999999999967</v>
      </c>
      <c r="AF27" s="48"/>
      <c r="AG27" s="153"/>
      <c r="AH27" s="153"/>
      <c r="AI27" s="422"/>
      <c r="AJ27" s="48"/>
      <c r="AK27" s="172"/>
    </row>
    <row r="28" spans="1:37">
      <c r="A28" s="6">
        <f t="shared" si="2"/>
        <v>2006</v>
      </c>
      <c r="C28" s="494">
        <f>'Exhibit P,2'!O30</f>
        <v>0</v>
      </c>
      <c r="E28" s="128">
        <f t="shared" si="3"/>
        <v>0</v>
      </c>
      <c r="G28" s="187">
        <f t="shared" si="0"/>
        <v>0</v>
      </c>
      <c r="H28" s="187"/>
      <c r="I28" s="17">
        <f>'Exhibit L,3'!S28</f>
        <v>0</v>
      </c>
      <c r="J28" s="187"/>
      <c r="K28" s="494">
        <f t="shared" si="1"/>
        <v>0</v>
      </c>
      <c r="P28" s="25"/>
      <c r="Q28" s="25"/>
      <c r="R28" s="25"/>
      <c r="S28" s="25"/>
      <c r="T28" s="25"/>
      <c r="U28" s="25"/>
      <c r="W28" s="72">
        <f>'Exhibit P,2'!I30</f>
        <v>0.82626652150912039</v>
      </c>
      <c r="X28" s="72">
        <f>'Exhibit Q,5'!K19</f>
        <v>0.99999999999999989</v>
      </c>
      <c r="Y28" s="72">
        <f>'Exhibit Q,5'!M19</f>
        <v>0.99999999999999967</v>
      </c>
      <c r="AF28" s="423">
        <f t="shared" ref="AF28:AF43" si="4">A28</f>
        <v>2006</v>
      </c>
      <c r="AG28" s="153">
        <f t="shared" ref="AG28:AG43" si="5">E28</f>
        <v>0</v>
      </c>
      <c r="AH28" s="153">
        <f>'Exhibit M,2'!E28</f>
        <v>0</v>
      </c>
      <c r="AI28" s="422">
        <v>0.5</v>
      </c>
      <c r="AJ28" s="424">
        <f>(AG28*AI28+AH28)/(1+AI28)</f>
        <v>0</v>
      </c>
      <c r="AK28" s="72">
        <f>AJ28</f>
        <v>0</v>
      </c>
    </row>
    <row r="29" spans="1:37">
      <c r="A29" s="6">
        <f t="shared" si="2"/>
        <v>2007</v>
      </c>
      <c r="C29" s="494">
        <f>'Exhibit P,2'!O31</f>
        <v>497103.73569277389</v>
      </c>
      <c r="E29" s="128">
        <f t="shared" si="3"/>
        <v>0</v>
      </c>
      <c r="G29" s="187">
        <f t="shared" si="0"/>
        <v>0</v>
      </c>
      <c r="H29" s="187"/>
      <c r="I29" s="17">
        <f>'Exhibit L,3'!S29</f>
        <v>500000</v>
      </c>
      <c r="J29" s="187"/>
      <c r="K29" s="494">
        <f t="shared" si="1"/>
        <v>500000</v>
      </c>
      <c r="P29" s="25"/>
      <c r="Q29" s="25"/>
      <c r="R29" s="25"/>
      <c r="S29" s="25"/>
      <c r="T29" s="25"/>
      <c r="U29" s="25"/>
      <c r="W29" s="72">
        <f>'Exhibit P,2'!I31</f>
        <v>0.76467596851040842</v>
      </c>
      <c r="X29" s="72">
        <f>'Exhibit Q,5'!K20</f>
        <v>0.99999999999999989</v>
      </c>
      <c r="Y29" s="72">
        <f>'Exhibit Q,5'!M20</f>
        <v>1</v>
      </c>
      <c r="AF29" s="423">
        <f t="shared" si="4"/>
        <v>2007</v>
      </c>
      <c r="AG29" s="153">
        <f t="shared" si="5"/>
        <v>0</v>
      </c>
      <c r="AH29" s="153">
        <f>'Exhibit M,2'!E29</f>
        <v>0</v>
      </c>
      <c r="AI29" s="422">
        <v>0.5</v>
      </c>
      <c r="AJ29" s="424">
        <f t="shared" ref="AJ29:AJ44" si="6">(AG29*AI29+AH29)/(1+AI29)</f>
        <v>0</v>
      </c>
      <c r="AK29" s="72">
        <f t="shared" ref="AK29:AK44" si="7">AJ29</f>
        <v>0</v>
      </c>
    </row>
    <row r="30" spans="1:37">
      <c r="A30" s="6">
        <f t="shared" si="2"/>
        <v>2008</v>
      </c>
      <c r="C30" s="494">
        <f>'Exhibit P,2'!O32</f>
        <v>276486.40360416437</v>
      </c>
      <c r="E30" s="128">
        <f t="shared" si="3"/>
        <v>0</v>
      </c>
      <c r="G30" s="187">
        <f t="shared" si="0"/>
        <v>0</v>
      </c>
      <c r="H30" s="187"/>
      <c r="I30" s="17">
        <f>'Exhibit L,3'!S30</f>
        <v>350000</v>
      </c>
      <c r="J30" s="187"/>
      <c r="K30" s="494">
        <f t="shared" si="1"/>
        <v>350000</v>
      </c>
      <c r="P30" s="25"/>
      <c r="Q30" s="25"/>
      <c r="R30" s="25"/>
      <c r="S30" s="25"/>
      <c r="T30" s="25"/>
      <c r="U30" s="25"/>
      <c r="W30" s="72">
        <f>'Exhibit P,2'!I32</f>
        <v>0.63023760479280855</v>
      </c>
      <c r="X30" s="72">
        <f>'Exhibit Q,5'!K21</f>
        <v>0.99999999999999989</v>
      </c>
      <c r="Y30" s="72">
        <f>'Exhibit Q,5'!M21</f>
        <v>0.99999999999999967</v>
      </c>
      <c r="AF30" s="423">
        <f t="shared" si="4"/>
        <v>2008</v>
      </c>
      <c r="AG30" s="153">
        <f t="shared" si="5"/>
        <v>0</v>
      </c>
      <c r="AH30" s="153">
        <f>'Exhibit M,2'!E30</f>
        <v>0</v>
      </c>
      <c r="AI30" s="422">
        <v>0.5</v>
      </c>
      <c r="AJ30" s="424">
        <f t="shared" si="6"/>
        <v>0</v>
      </c>
      <c r="AK30" s="72">
        <f t="shared" si="7"/>
        <v>0</v>
      </c>
    </row>
    <row r="31" spans="1:37">
      <c r="A31" s="6">
        <f t="shared" si="2"/>
        <v>2009</v>
      </c>
      <c r="C31" s="494">
        <f>'Exhibit P,2'!O33</f>
        <v>0</v>
      </c>
      <c r="E31" s="128">
        <f t="shared" si="3"/>
        <v>0</v>
      </c>
      <c r="G31" s="187">
        <f t="shared" si="0"/>
        <v>0</v>
      </c>
      <c r="H31" s="187"/>
      <c r="I31" s="17">
        <f>'Exhibit L,3'!S31</f>
        <v>0</v>
      </c>
      <c r="J31" s="187"/>
      <c r="K31" s="494">
        <f t="shared" si="1"/>
        <v>0</v>
      </c>
      <c r="P31" s="25"/>
      <c r="Q31" s="25"/>
      <c r="R31" s="25"/>
      <c r="S31" s="25"/>
      <c r="T31" s="25"/>
      <c r="U31" s="25"/>
      <c r="W31" s="72">
        <f>'Exhibit P,2'!I33</f>
        <v>0.61400840763844766</v>
      </c>
      <c r="X31" s="72">
        <f>'Exhibit Q,5'!K22</f>
        <v>0.99999999999999989</v>
      </c>
      <c r="Y31" s="72">
        <f>'Exhibit Q,5'!M22</f>
        <v>1</v>
      </c>
      <c r="AF31" s="423">
        <f t="shared" si="4"/>
        <v>2009</v>
      </c>
      <c r="AG31" s="153">
        <f t="shared" si="5"/>
        <v>0</v>
      </c>
      <c r="AH31" s="153">
        <f>'Exhibit M,2'!E31</f>
        <v>0</v>
      </c>
      <c r="AI31" s="422">
        <v>0.5</v>
      </c>
      <c r="AJ31" s="424">
        <f t="shared" si="6"/>
        <v>0</v>
      </c>
      <c r="AK31" s="72">
        <f t="shared" si="7"/>
        <v>0</v>
      </c>
    </row>
    <row r="32" spans="1:37">
      <c r="A32" s="6">
        <f t="shared" si="2"/>
        <v>2010</v>
      </c>
      <c r="C32" s="494">
        <f>'Exhibit P,2'!O34</f>
        <v>0</v>
      </c>
      <c r="E32" s="128">
        <f t="shared" si="3"/>
        <v>0</v>
      </c>
      <c r="G32" s="187">
        <f t="shared" si="0"/>
        <v>0</v>
      </c>
      <c r="H32" s="187"/>
      <c r="I32" s="17">
        <f>'Exhibit L,3'!S32</f>
        <v>0</v>
      </c>
      <c r="J32" s="187"/>
      <c r="K32" s="494">
        <f t="shared" si="1"/>
        <v>0</v>
      </c>
      <c r="P32" s="25"/>
      <c r="Q32" s="25"/>
      <c r="R32" s="25"/>
      <c r="S32" s="25"/>
      <c r="T32" s="25"/>
      <c r="U32" s="25"/>
      <c r="W32" s="72">
        <f>'Exhibit P,2'!I34</f>
        <v>0.83217512238503077</v>
      </c>
      <c r="X32" s="72">
        <f>'Exhibit Q,5'!K23</f>
        <v>0.99999999999999989</v>
      </c>
      <c r="Y32" s="72">
        <f>'Exhibit Q,5'!M23</f>
        <v>1</v>
      </c>
      <c r="AF32" s="423">
        <f t="shared" si="4"/>
        <v>2010</v>
      </c>
      <c r="AG32" s="153">
        <f t="shared" si="5"/>
        <v>0</v>
      </c>
      <c r="AH32" s="153">
        <f>'Exhibit M,2'!E32</f>
        <v>1.2262346684166481E-5</v>
      </c>
      <c r="AI32" s="422">
        <v>0.5</v>
      </c>
      <c r="AJ32" s="424">
        <f t="shared" si="6"/>
        <v>8.1748977894443211E-6</v>
      </c>
      <c r="AK32" s="72">
        <f t="shared" si="7"/>
        <v>8.1748977894443211E-6</v>
      </c>
    </row>
    <row r="33" spans="1:37">
      <c r="A33" s="6">
        <f t="shared" si="2"/>
        <v>2011</v>
      </c>
      <c r="C33" s="494">
        <f>'Exhibit P,2'!O35</f>
        <v>0</v>
      </c>
      <c r="E33" s="128">
        <f t="shared" si="3"/>
        <v>5.7670101048401534E-5</v>
      </c>
      <c r="G33" s="187">
        <f t="shared" si="0"/>
        <v>0</v>
      </c>
      <c r="H33" s="187"/>
      <c r="I33" s="17">
        <f>'Exhibit L,3'!S33</f>
        <v>0</v>
      </c>
      <c r="J33" s="187"/>
      <c r="K33" s="494">
        <f t="shared" si="1"/>
        <v>0</v>
      </c>
      <c r="P33" s="25"/>
      <c r="Q33" s="25"/>
      <c r="R33" s="25"/>
      <c r="S33" s="25"/>
      <c r="T33" s="25"/>
      <c r="U33" s="25"/>
      <c r="W33" s="72">
        <f>'Exhibit P,2'!I35</f>
        <v>0.83636960880639621</v>
      </c>
      <c r="X33" s="72">
        <f>'Exhibit Q,5'!K24</f>
        <v>0.99986912240624404</v>
      </c>
      <c r="Y33" s="72">
        <f>'Exhibit Q,5'!M24</f>
        <v>0.99995665247899745</v>
      </c>
      <c r="AF33" s="423">
        <f t="shared" si="4"/>
        <v>2011</v>
      </c>
      <c r="AG33" s="153">
        <f t="shared" si="5"/>
        <v>5.7670101048401534E-5</v>
      </c>
      <c r="AH33" s="153">
        <f>'Exhibit M,2'!E33</f>
        <v>1.5659434891146518E-4</v>
      </c>
      <c r="AI33" s="422">
        <v>0.5</v>
      </c>
      <c r="AJ33" s="424">
        <f t="shared" si="6"/>
        <v>1.236195996237773E-4</v>
      </c>
      <c r="AK33" s="72">
        <f t="shared" si="7"/>
        <v>1.236195996237773E-4</v>
      </c>
    </row>
    <row r="34" spans="1:37">
      <c r="A34" s="6">
        <f t="shared" si="2"/>
        <v>2012</v>
      </c>
      <c r="C34" s="494">
        <f>'Exhibit P,2'!O36</f>
        <v>0</v>
      </c>
      <c r="E34" s="128">
        <f t="shared" si="3"/>
        <v>8.8378805259425874E-4</v>
      </c>
      <c r="G34" s="187">
        <f t="shared" si="0"/>
        <v>0</v>
      </c>
      <c r="H34" s="187"/>
      <c r="I34" s="17">
        <f>'Exhibit L,3'!S34</f>
        <v>0</v>
      </c>
      <c r="J34" s="187"/>
      <c r="K34" s="494">
        <f t="shared" si="1"/>
        <v>0</v>
      </c>
      <c r="P34" s="25"/>
      <c r="Q34" s="205"/>
      <c r="R34" s="39"/>
      <c r="S34" s="39"/>
      <c r="T34" s="48"/>
      <c r="U34" s="48"/>
      <c r="W34" s="72">
        <f>'Exhibit P,2'!I36</f>
        <v>0.76276619860572548</v>
      </c>
      <c r="X34" s="72">
        <f>'Exhibit Q,5'!K25</f>
        <v>0.99832952957428045</v>
      </c>
      <c r="Y34" s="72">
        <f>'Exhibit Q,5'!M25</f>
        <v>0.999360884102789</v>
      </c>
      <c r="AF34" s="423">
        <f t="shared" si="4"/>
        <v>2012</v>
      </c>
      <c r="AG34" s="153">
        <f t="shared" si="5"/>
        <v>8.8378805259425874E-4</v>
      </c>
      <c r="AH34" s="153">
        <f>'Exhibit M,2'!E34</f>
        <v>7.187154331442791E-4</v>
      </c>
      <c r="AI34" s="422">
        <v>0.5</v>
      </c>
      <c r="AJ34" s="424">
        <f t="shared" si="6"/>
        <v>7.7373963962760561E-4</v>
      </c>
      <c r="AK34" s="72">
        <f t="shared" si="7"/>
        <v>7.7373963962760561E-4</v>
      </c>
    </row>
    <row r="35" spans="1:37">
      <c r="A35" s="6">
        <f t="shared" si="2"/>
        <v>2013</v>
      </c>
      <c r="C35" s="494">
        <f>'Exhibit P,2'!O37</f>
        <v>861757.7708637669</v>
      </c>
      <c r="E35" s="128">
        <f t="shared" si="3"/>
        <v>4.4533884408480828E-3</v>
      </c>
      <c r="G35" s="187">
        <f t="shared" si="0"/>
        <v>3837.7420955757102</v>
      </c>
      <c r="H35" s="187"/>
      <c r="I35" s="17">
        <f>'Exhibit L,3'!S35</f>
        <v>750000</v>
      </c>
      <c r="J35" s="187"/>
      <c r="K35" s="494">
        <f t="shared" si="1"/>
        <v>753837.74209557567</v>
      </c>
      <c r="P35" s="25"/>
      <c r="Q35" s="205"/>
      <c r="R35" s="39"/>
      <c r="S35" s="39"/>
      <c r="T35" s="48"/>
      <c r="U35" s="48"/>
      <c r="W35" s="72">
        <f>'Exhibit P,2'!I37</f>
        <v>0.83192402921066055</v>
      </c>
      <c r="X35" s="72">
        <f>'Exhibit Q,5'!K26</f>
        <v>0.99217375170163091</v>
      </c>
      <c r="Y35" s="72">
        <f>'Exhibit Q,5'!M26</f>
        <v>0.99622804000091369</v>
      </c>
      <c r="AF35" s="423">
        <f t="shared" si="4"/>
        <v>2013</v>
      </c>
      <c r="AG35" s="153">
        <f t="shared" si="5"/>
        <v>4.4533884408480828E-3</v>
      </c>
      <c r="AH35" s="153">
        <f>'Exhibit M,2'!E35</f>
        <v>2.6869251668676375E-3</v>
      </c>
      <c r="AI35" s="422">
        <v>0.5</v>
      </c>
      <c r="AJ35" s="424">
        <f t="shared" si="6"/>
        <v>3.2757462581944528E-3</v>
      </c>
      <c r="AK35" s="72">
        <f t="shared" si="7"/>
        <v>3.2757462581944528E-3</v>
      </c>
    </row>
    <row r="36" spans="1:37">
      <c r="A36" s="6">
        <f t="shared" si="2"/>
        <v>2014</v>
      </c>
      <c r="C36" s="494">
        <f>'Exhibit P,2'!O38</f>
        <v>0</v>
      </c>
      <c r="E36" s="128">
        <f t="shared" si="3"/>
        <v>1.6841768345708275E-2</v>
      </c>
      <c r="G36" s="187">
        <f t="shared" si="0"/>
        <v>0</v>
      </c>
      <c r="H36" s="187"/>
      <c r="I36" s="17">
        <f>'Exhibit L,3'!S36</f>
        <v>0</v>
      </c>
      <c r="J36" s="187"/>
      <c r="K36" s="494">
        <f t="shared" si="1"/>
        <v>0</v>
      </c>
      <c r="P36" s="25"/>
      <c r="Q36" s="205"/>
      <c r="R36" s="39"/>
      <c r="S36" s="39"/>
      <c r="T36" s="48"/>
      <c r="U36" s="48"/>
      <c r="W36" s="72">
        <f>'Exhibit P,2'!I38</f>
        <v>0.77917272854845554</v>
      </c>
      <c r="X36" s="72">
        <f>'Exhibit Q,5'!K27</f>
        <v>0.97506613186690971</v>
      </c>
      <c r="Y36" s="72">
        <f>'Exhibit Q,5'!M27</f>
        <v>0.98545163368299227</v>
      </c>
      <c r="AF36" s="423">
        <f t="shared" si="4"/>
        <v>2014</v>
      </c>
      <c r="AG36" s="153">
        <f t="shared" si="5"/>
        <v>1.6841768345708275E-2</v>
      </c>
      <c r="AH36" s="153">
        <f>'Exhibit M,2'!E36</f>
        <v>9.4544885878413698E-3</v>
      </c>
      <c r="AI36" s="422">
        <v>0.5</v>
      </c>
      <c r="AJ36" s="424">
        <f t="shared" si="6"/>
        <v>1.1916915173797005E-2</v>
      </c>
      <c r="AK36" s="72">
        <f t="shared" si="7"/>
        <v>1.1916915173797005E-2</v>
      </c>
    </row>
    <row r="37" spans="1:37">
      <c r="A37" s="6">
        <f t="shared" si="2"/>
        <v>2015</v>
      </c>
      <c r="C37" s="494">
        <f>'Exhibit P,2'!O39</f>
        <v>532936.0210506228</v>
      </c>
      <c r="E37" s="128">
        <f t="shared" si="3"/>
        <v>5.5353308027042525E-2</v>
      </c>
      <c r="G37" s="187">
        <f t="shared" si="0"/>
        <v>29499.771731921544</v>
      </c>
      <c r="H37" s="187"/>
      <c r="I37" s="17">
        <f>'Exhibit L,3'!S37</f>
        <v>100000</v>
      </c>
      <c r="J37" s="187"/>
      <c r="K37" s="494">
        <f t="shared" si="1"/>
        <v>129499.77173192154</v>
      </c>
      <c r="P37" s="25"/>
      <c r="Q37" s="205"/>
      <c r="R37" s="39"/>
      <c r="S37" s="39"/>
      <c r="T37" s="48"/>
      <c r="U37" s="48"/>
      <c r="W37" s="72">
        <f>'Exhibit P,2'!I39</f>
        <v>0.8333824427554114</v>
      </c>
      <c r="X37" s="72">
        <f>'Exhibit Q,5'!K28</f>
        <v>0.9173494163892667</v>
      </c>
      <c r="Y37" s="72">
        <f>'Exhibit Q,5'!M28</f>
        <v>0.95010421680651302</v>
      </c>
      <c r="AF37" s="423">
        <f t="shared" si="4"/>
        <v>2015</v>
      </c>
      <c r="AG37" s="153">
        <f t="shared" si="5"/>
        <v>5.5353308027042525E-2</v>
      </c>
      <c r="AH37" s="153">
        <f>'Exhibit M,2'!E37</f>
        <v>2.5140410434258742E-2</v>
      </c>
      <c r="AI37" s="422">
        <v>0.5</v>
      </c>
      <c r="AJ37" s="424">
        <f t="shared" si="6"/>
        <v>3.5211376298520003E-2</v>
      </c>
      <c r="AK37" s="72">
        <f t="shared" si="7"/>
        <v>3.5211376298520003E-2</v>
      </c>
    </row>
    <row r="38" spans="1:37">
      <c r="A38" s="6">
        <f t="shared" si="2"/>
        <v>2016</v>
      </c>
      <c r="C38" s="494">
        <f>'Exhibit P,2'!O40</f>
        <v>1435632.9034810024</v>
      </c>
      <c r="E38" s="128">
        <f t="shared" si="3"/>
        <v>0.19369058713029896</v>
      </c>
      <c r="G38" s="187">
        <f t="shared" si="0"/>
        <v>278068.57997881121</v>
      </c>
      <c r="H38" s="187"/>
      <c r="I38" s="17">
        <f>'Exhibit L,3'!S38</f>
        <v>1850000</v>
      </c>
      <c r="J38" s="187"/>
      <c r="K38" s="494">
        <f t="shared" si="1"/>
        <v>2128068.5799788111</v>
      </c>
      <c r="P38" s="25"/>
      <c r="Q38" s="205"/>
      <c r="R38" s="39"/>
      <c r="S38" s="39"/>
      <c r="T38" s="48"/>
      <c r="U38" s="48"/>
      <c r="W38" s="72">
        <f>'Exhibit P,2'!I40</f>
        <v>0.328365526942971</v>
      </c>
      <c r="X38" s="72">
        <f>'Exhibit Q,5'!K29</f>
        <v>0.78300192369224453</v>
      </c>
      <c r="Y38" s="72">
        <f>'Exhibit Q,5'!M29</f>
        <v>0.85398224064099826</v>
      </c>
      <c r="AF38" s="423">
        <f t="shared" si="4"/>
        <v>2016</v>
      </c>
      <c r="AG38" s="153">
        <f t="shared" si="5"/>
        <v>0.19369058713029896</v>
      </c>
      <c r="AH38" s="153">
        <f>'Exhibit M,2'!E38</f>
        <v>6.8731753973692911E-2</v>
      </c>
      <c r="AI38" s="422">
        <v>0.5</v>
      </c>
      <c r="AJ38" s="424">
        <f t="shared" si="6"/>
        <v>0.11038469835922826</v>
      </c>
      <c r="AK38" s="72">
        <f t="shared" si="7"/>
        <v>0.11038469835922826</v>
      </c>
    </row>
    <row r="39" spans="1:37">
      <c r="A39" s="6">
        <f t="shared" si="2"/>
        <v>2017</v>
      </c>
      <c r="C39" s="494">
        <f>'Exhibit P,2'!O41</f>
        <v>622563.81403432461</v>
      </c>
      <c r="E39" s="128">
        <f t="shared" si="3"/>
        <v>0.35726506400831592</v>
      </c>
      <c r="G39" s="187">
        <f t="shared" si="0"/>
        <v>222420.30087023426</v>
      </c>
      <c r="H39" s="187"/>
      <c r="I39" s="17">
        <f>'Exhibit L,3'!S39</f>
        <v>0</v>
      </c>
      <c r="J39" s="187"/>
      <c r="K39" s="494">
        <f t="shared" si="1"/>
        <v>222420.30087023426</v>
      </c>
      <c r="P39" s="25"/>
      <c r="Q39" s="205"/>
      <c r="R39" s="39"/>
      <c r="S39" s="39"/>
      <c r="T39" s="48"/>
      <c r="U39" s="48"/>
      <c r="W39" s="72">
        <f>'Exhibit P,2'!I41</f>
        <v>0.36490484630827669</v>
      </c>
      <c r="X39" s="72">
        <f>'Exhibit Q,5'!K30</f>
        <v>0.61795547145700325</v>
      </c>
      <c r="Y39" s="72">
        <f>'Exhibit Q,5'!M30</f>
        <v>0.68586211831404942</v>
      </c>
      <c r="AF39" s="423">
        <f t="shared" si="4"/>
        <v>2017</v>
      </c>
      <c r="AG39" s="153">
        <f t="shared" si="5"/>
        <v>0.35726506400831592</v>
      </c>
      <c r="AH39" s="153">
        <f>'Exhibit M,2'!E39</f>
        <v>0.13663620531813336</v>
      </c>
      <c r="AI39" s="433">
        <v>0.5</v>
      </c>
      <c r="AJ39" s="424">
        <f t="shared" si="6"/>
        <v>0.21017915821486088</v>
      </c>
      <c r="AK39" s="72">
        <f t="shared" si="7"/>
        <v>0.21017915821486088</v>
      </c>
    </row>
    <row r="40" spans="1:37">
      <c r="A40" s="6">
        <f t="shared" si="2"/>
        <v>2018</v>
      </c>
      <c r="C40" s="494">
        <f>'Exhibit P,2'!O42</f>
        <v>544434.35059902596</v>
      </c>
      <c r="E40" s="128">
        <f t="shared" si="3"/>
        <v>0.52784480299949676</v>
      </c>
      <c r="G40" s="187">
        <f t="shared" si="0"/>
        <v>287376.84253810183</v>
      </c>
      <c r="H40" s="187"/>
      <c r="I40" s="17">
        <f>'Exhibit L,3'!S40</f>
        <v>215000</v>
      </c>
      <c r="J40" s="187"/>
      <c r="K40" s="494">
        <f t="shared" si="1"/>
        <v>502376.84253810183</v>
      </c>
      <c r="P40" s="25"/>
      <c r="Q40" s="205"/>
      <c r="R40" s="39"/>
      <c r="S40" s="39"/>
      <c r="T40" s="48"/>
      <c r="U40" s="48"/>
      <c r="W40" s="72">
        <f>'Exhibit P,2'!I42</f>
        <v>0.39808721008396869</v>
      </c>
      <c r="X40" s="72">
        <f>'Exhibit Q,5'!K31</f>
        <v>0.45168831785681413</v>
      </c>
      <c r="Y40" s="72">
        <f>'Exhibit Q,5'!M31</f>
        <v>0.50310137164312396</v>
      </c>
      <c r="AF40" s="423">
        <f t="shared" si="4"/>
        <v>2018</v>
      </c>
      <c r="AG40" s="153">
        <f t="shared" si="5"/>
        <v>0.52784480299949676</v>
      </c>
      <c r="AH40" s="153">
        <f>'Exhibit M,2'!E40</f>
        <v>0.26223563536336369</v>
      </c>
      <c r="AI40" s="422">
        <v>0.5</v>
      </c>
      <c r="AJ40" s="424">
        <f t="shared" si="6"/>
        <v>0.35077202457540801</v>
      </c>
      <c r="AK40" s="72">
        <f t="shared" si="7"/>
        <v>0.35077202457540801</v>
      </c>
    </row>
    <row r="41" spans="1:37">
      <c r="A41" s="6">
        <f t="shared" si="2"/>
        <v>2019</v>
      </c>
      <c r="C41" s="494">
        <f>'Exhibit P,2'!O43</f>
        <v>448846.04533441353</v>
      </c>
      <c r="E41" s="128">
        <f t="shared" si="3"/>
        <v>0.67853276855839917</v>
      </c>
      <c r="G41" s="187">
        <f t="shared" si="0"/>
        <v>304556.74979724834</v>
      </c>
      <c r="H41" s="187"/>
      <c r="I41" s="17">
        <f>'Exhibit L,3'!S41</f>
        <v>1000000</v>
      </c>
      <c r="J41" s="187"/>
      <c r="K41" s="494">
        <f t="shared" si="1"/>
        <v>1304556.7497972483</v>
      </c>
      <c r="P41" s="25"/>
      <c r="Q41" s="205"/>
      <c r="R41" s="39"/>
      <c r="S41" s="39"/>
      <c r="T41" s="48"/>
      <c r="U41" s="48"/>
      <c r="W41" s="72">
        <f>'Exhibit P,2'!I43</f>
        <v>0.75166691860035484</v>
      </c>
      <c r="X41" s="72">
        <f>'Exhibit Q,5'!K32</f>
        <v>0.26835891206007806</v>
      </c>
      <c r="Y41" s="72">
        <f>'Exhibit Q,5'!M32</f>
        <v>0.33901297181358342</v>
      </c>
      <c r="AF41" s="423">
        <f t="shared" si="4"/>
        <v>2019</v>
      </c>
      <c r="AG41" s="153">
        <f t="shared" si="5"/>
        <v>0.67853276855839917</v>
      </c>
      <c r="AH41" s="153">
        <f>'Exhibit M,2'!E41</f>
        <v>0.42761649408955638</v>
      </c>
      <c r="AI41" s="422">
        <v>0.5</v>
      </c>
      <c r="AJ41" s="424">
        <f t="shared" si="6"/>
        <v>0.51125525224583734</v>
      </c>
      <c r="AK41" s="72">
        <f t="shared" si="7"/>
        <v>0.51125525224583734</v>
      </c>
    </row>
    <row r="42" spans="1:37">
      <c r="A42" s="6">
        <f t="shared" si="2"/>
        <v>2020</v>
      </c>
      <c r="C42" s="494">
        <f>'Exhibit P,2'!O44</f>
        <v>339866.54764566751</v>
      </c>
      <c r="E42" s="128">
        <f t="shared" si="3"/>
        <v>0.83832589347493358</v>
      </c>
      <c r="G42" s="187">
        <f t="shared" si="0"/>
        <v>284918.92721729528</v>
      </c>
      <c r="H42" s="187"/>
      <c r="I42" s="17">
        <f>'Exhibit L,3'!S42</f>
        <v>0</v>
      </c>
      <c r="J42" s="187"/>
      <c r="K42" s="494">
        <f t="shared" si="1"/>
        <v>284918.92721729528</v>
      </c>
      <c r="P42" s="25"/>
      <c r="Q42" s="205"/>
      <c r="R42" s="39"/>
      <c r="S42" s="39"/>
      <c r="T42" s="48"/>
      <c r="U42" s="48"/>
      <c r="W42" s="72">
        <f>'Exhibit P,2'!I44</f>
        <v>0.76707693639723784</v>
      </c>
      <c r="X42" s="72">
        <f>'Exhibit Q,5'!K33</f>
        <v>0.12643689841165218</v>
      </c>
      <c r="Y42" s="72">
        <f>'Exhibit Q,5'!M33</f>
        <v>0.17237389174496015</v>
      </c>
      <c r="AF42" s="423">
        <f t="shared" si="4"/>
        <v>2020</v>
      </c>
      <c r="AG42" s="153">
        <f t="shared" si="5"/>
        <v>0.83832589347493358</v>
      </c>
      <c r="AH42" s="153">
        <f>'Exhibit M,2'!E42</f>
        <v>0.65855580562849825</v>
      </c>
      <c r="AI42" s="422">
        <v>0.5</v>
      </c>
      <c r="AJ42" s="424">
        <f t="shared" si="6"/>
        <v>0.71847916824397673</v>
      </c>
      <c r="AK42" s="72">
        <f t="shared" si="7"/>
        <v>0.71847916824397673</v>
      </c>
    </row>
    <row r="43" spans="1:37">
      <c r="A43" s="6">
        <f t="shared" si="2"/>
        <v>2021</v>
      </c>
      <c r="C43" s="494">
        <f>'Exhibit P,2'!O45</f>
        <v>325293.77233674133</v>
      </c>
      <c r="E43" s="128">
        <f t="shared" si="3"/>
        <v>0.95524247689024611</v>
      </c>
      <c r="G43" s="187">
        <f t="shared" si="0"/>
        <v>310734.42880392063</v>
      </c>
      <c r="H43" s="187"/>
      <c r="I43" s="17">
        <f>'Exhibit L,3'!S43</f>
        <v>0</v>
      </c>
      <c r="J43" s="187"/>
      <c r="K43" s="494">
        <f t="shared" si="1"/>
        <v>310734.42880392063</v>
      </c>
      <c r="P43" s="25"/>
      <c r="Q43" s="205"/>
      <c r="R43" s="39"/>
      <c r="S43" s="39"/>
      <c r="T43" s="48"/>
      <c r="U43" s="48"/>
      <c r="W43" s="72">
        <f>'Exhibit P,2'!I45</f>
        <v>0.76707693639723784</v>
      </c>
      <c r="X43" s="72">
        <f>'Exhibit Q,5'!K34</f>
        <v>3.7933848967294542E-2</v>
      </c>
      <c r="Y43" s="72">
        <f>'Exhibit Q,5'!M34</f>
        <v>4.6829533114061316E-2</v>
      </c>
      <c r="AF43" s="423">
        <f t="shared" si="4"/>
        <v>2021</v>
      </c>
      <c r="AG43" s="153">
        <f t="shared" si="5"/>
        <v>0.95524247689024611</v>
      </c>
      <c r="AH43" s="153">
        <f>'Exhibit M,2'!E43</f>
        <v>0.85845880362083349</v>
      </c>
      <c r="AI43" s="422">
        <v>0.5</v>
      </c>
      <c r="AJ43" s="424">
        <f t="shared" si="6"/>
        <v>0.89072002804397099</v>
      </c>
      <c r="AK43" s="72">
        <f t="shared" si="7"/>
        <v>0.89072002804397099</v>
      </c>
    </row>
    <row r="44" spans="1:37">
      <c r="A44" s="6">
        <f t="shared" si="2"/>
        <v>2022</v>
      </c>
      <c r="C44" s="494">
        <f>'Exhibit P,2'!O46</f>
        <v>1103811.1775244733</v>
      </c>
      <c r="E44" s="128">
        <f t="shared" si="3"/>
        <v>0.99632443060609488</v>
      </c>
      <c r="G44" s="187">
        <f>C44*E44</f>
        <v>1099754.042943714</v>
      </c>
      <c r="H44" s="187"/>
      <c r="I44" s="17">
        <f>'Exhibit L,3'!S44</f>
        <v>0</v>
      </c>
      <c r="J44" s="187"/>
      <c r="K44" s="494">
        <f t="shared" si="1"/>
        <v>1099754.042943714</v>
      </c>
      <c r="P44" s="25"/>
      <c r="Q44" s="25"/>
      <c r="R44" s="25"/>
      <c r="S44" s="25"/>
      <c r="T44" s="25"/>
      <c r="U44" s="25"/>
      <c r="W44" s="72">
        <f>'Exhibit P,2'!I46</f>
        <v>0.90808645595545001</v>
      </c>
      <c r="X44" s="72">
        <f>'Exhibit Q,5'!K35</f>
        <v>3.2019192563249796E-3</v>
      </c>
      <c r="Y44" s="72">
        <f>'Exhibit Q,5'!M35</f>
        <v>3.7235107132548668E-3</v>
      </c>
      <c r="AF44" s="423">
        <f>A44</f>
        <v>2022</v>
      </c>
      <c r="AG44" s="153">
        <f>E44</f>
        <v>0.99632443060609488</v>
      </c>
      <c r="AH44" s="153">
        <f>'Exhibit M,2'!E44</f>
        <v>0.96661464490744686</v>
      </c>
      <c r="AI44" s="422">
        <v>0.5</v>
      </c>
      <c r="AJ44" s="424">
        <f t="shared" si="6"/>
        <v>0.97651790680699613</v>
      </c>
      <c r="AK44" s="72">
        <f t="shared" si="7"/>
        <v>0.97651790680699613</v>
      </c>
    </row>
    <row r="45" spans="1:37">
      <c r="A45" s="6"/>
      <c r="C45" s="105"/>
      <c r="G45" s="105"/>
      <c r="I45" s="105"/>
      <c r="K45" s="105"/>
      <c r="P45" s="25"/>
      <c r="Q45" s="25"/>
      <c r="R45" s="61"/>
      <c r="S45" s="25"/>
      <c r="T45" s="25"/>
      <c r="U45" s="25"/>
    </row>
    <row r="46" spans="1:37">
      <c r="A46" s="6" t="s">
        <v>0</v>
      </c>
      <c r="C46" s="26">
        <f>SUM(C16:C45)</f>
        <v>13110247.836169584</v>
      </c>
      <c r="G46" s="26">
        <f>SUM(G16:G45)</f>
        <v>2821167.385976823</v>
      </c>
      <c r="H46" s="26"/>
      <c r="I46" s="26">
        <f>SUM(I16:I44)</f>
        <v>11067529.92</v>
      </c>
      <c r="J46" s="26"/>
      <c r="K46" s="26">
        <f>SUM(K16:K45)</f>
        <v>13888697.305976823</v>
      </c>
    </row>
    <row r="48" spans="1:37">
      <c r="A48" s="2"/>
      <c r="C48" s="26"/>
      <c r="G48" s="26"/>
      <c r="H48" s="26"/>
      <c r="I48" s="26"/>
      <c r="J48" s="26"/>
      <c r="K48" s="26"/>
    </row>
    <row r="50" spans="1:2">
      <c r="A50" s="6" t="s">
        <v>50</v>
      </c>
      <c r="B50" s="3" t="s">
        <v>485</v>
      </c>
    </row>
    <row r="51" spans="1:2">
      <c r="B51" s="3" t="s">
        <v>919</v>
      </c>
    </row>
    <row r="52" spans="1:2">
      <c r="B52" s="3" t="s">
        <v>920</v>
      </c>
    </row>
    <row r="53" spans="1:2">
      <c r="B53" s="1" t="s">
        <v>51</v>
      </c>
    </row>
    <row r="54" spans="1:2">
      <c r="B54" s="3" t="s">
        <v>915</v>
      </c>
    </row>
    <row r="55" spans="1:2">
      <c r="B55" s="3" t="s">
        <v>916</v>
      </c>
    </row>
  </sheetData>
  <printOptions horizontalCentered="1"/>
  <pageMargins left="0.7" right="0.7" top="0.75" bottom="0.75" header="0.3" footer="0.3"/>
  <pageSetup scale="77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7">
    <pageSetUpPr fitToPage="1"/>
  </sheetPr>
  <dimension ref="A1:AQ110"/>
  <sheetViews>
    <sheetView topLeftCell="A16" zoomScaleNormal="100" workbookViewId="0">
      <selection activeCell="U32" sqref="U32"/>
    </sheetView>
  </sheetViews>
  <sheetFormatPr baseColWidth="10" defaultColWidth="8.7109375" defaultRowHeight="15"/>
  <cols>
    <col min="1" max="1" width="9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3" width="12.7109375" style="1" customWidth="1"/>
    <col min="14" max="16" width="8.7109375" style="1"/>
    <col min="17" max="17" width="12.7109375" style="1" customWidth="1"/>
    <col min="18" max="21" width="12.7109375" style="1" bestFit="1" customWidth="1"/>
    <col min="22" max="43" width="12.7109375" style="1" customWidth="1"/>
    <col min="44" max="16384" width="8.7109375" style="1"/>
  </cols>
  <sheetData>
    <row r="1" spans="1:43">
      <c r="K1" s="64" t="s">
        <v>78</v>
      </c>
    </row>
    <row r="2" spans="1:43">
      <c r="K2" s="52" t="s">
        <v>66</v>
      </c>
    </row>
    <row r="4" spans="1:43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43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</row>
    <row r="6" spans="1:43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43">
      <c r="A7" s="5" t="s">
        <v>58</v>
      </c>
      <c r="B7" s="5"/>
      <c r="C7" s="5"/>
      <c r="D7" s="5"/>
      <c r="E7" s="5"/>
      <c r="F7" s="5"/>
      <c r="G7" s="5"/>
      <c r="H7" s="5"/>
      <c r="I7" s="5"/>
      <c r="J7" s="5"/>
      <c r="K7" s="5"/>
      <c r="Q7" s="61" t="s">
        <v>1589</v>
      </c>
    </row>
    <row r="8" spans="1:43">
      <c r="A8" s="5" t="s">
        <v>353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43">
      <c r="A9" s="5"/>
      <c r="B9" s="5"/>
      <c r="C9" s="5"/>
      <c r="D9" s="5"/>
      <c r="E9" s="5"/>
      <c r="F9" s="5"/>
      <c r="G9" s="5"/>
      <c r="H9" s="5"/>
      <c r="I9" s="5"/>
      <c r="J9" s="5"/>
      <c r="K9" s="5"/>
      <c r="AP9" s="6"/>
    </row>
    <row r="10" spans="1:43">
      <c r="R10" s="25">
        <v>2022</v>
      </c>
      <c r="S10" s="25">
        <v>2022</v>
      </c>
      <c r="T10" s="25" t="s">
        <v>2</v>
      </c>
      <c r="U10" s="25" t="s">
        <v>2</v>
      </c>
      <c r="V10" s="25"/>
      <c r="W10" s="25" t="s">
        <v>2</v>
      </c>
    </row>
    <row r="11" spans="1:43">
      <c r="C11" s="6"/>
      <c r="D11" s="6"/>
      <c r="E11" s="6" t="s">
        <v>7</v>
      </c>
      <c r="F11" s="6"/>
      <c r="G11" s="6" t="s">
        <v>7</v>
      </c>
      <c r="H11" s="6"/>
      <c r="I11" s="6" t="s">
        <v>64</v>
      </c>
      <c r="J11" s="6"/>
      <c r="K11" s="6"/>
      <c r="P11" s="25"/>
      <c r="Q11" s="44" t="s">
        <v>665</v>
      </c>
      <c r="R11" s="44" t="s">
        <v>523</v>
      </c>
      <c r="S11" s="44" t="s">
        <v>523</v>
      </c>
      <c r="T11" s="44" t="s">
        <v>523</v>
      </c>
      <c r="U11" s="44" t="s">
        <v>523</v>
      </c>
      <c r="V11" s="25" t="s">
        <v>1379</v>
      </c>
      <c r="W11" s="25" t="s">
        <v>117</v>
      </c>
      <c r="X11" s="44"/>
      <c r="AP11" s="61"/>
      <c r="AQ11" s="44"/>
    </row>
    <row r="12" spans="1:43">
      <c r="A12" s="6" t="s">
        <v>3</v>
      </c>
      <c r="C12" s="6" t="s">
        <v>7</v>
      </c>
      <c r="D12" s="6"/>
      <c r="E12" s="6" t="s">
        <v>62</v>
      </c>
      <c r="F12" s="6"/>
      <c r="G12" s="6" t="s">
        <v>63</v>
      </c>
      <c r="H12" s="6"/>
      <c r="I12" s="6" t="s">
        <v>14</v>
      </c>
      <c r="J12" s="6"/>
      <c r="K12" s="6" t="s">
        <v>67</v>
      </c>
      <c r="P12" s="25" t="s">
        <v>3</v>
      </c>
      <c r="Q12" s="44" t="s">
        <v>524</v>
      </c>
      <c r="R12" s="44" t="s">
        <v>1604</v>
      </c>
      <c r="S12" s="44" t="s">
        <v>1604</v>
      </c>
      <c r="T12" s="44" t="s">
        <v>1604</v>
      </c>
      <c r="U12" s="44" t="s">
        <v>1604</v>
      </c>
      <c r="V12" s="25" t="s">
        <v>119</v>
      </c>
      <c r="W12" s="25" t="s">
        <v>1304</v>
      </c>
      <c r="AA12" s="61"/>
      <c r="AB12" s="255" t="s">
        <v>206</v>
      </c>
      <c r="AC12" s="256"/>
    </row>
    <row r="13" spans="1:43">
      <c r="A13" s="6" t="s">
        <v>4</v>
      </c>
      <c r="C13" s="6" t="s">
        <v>55</v>
      </c>
      <c r="D13" s="6"/>
      <c r="E13" s="6" t="s">
        <v>63</v>
      </c>
      <c r="F13" s="6"/>
      <c r="G13" s="6" t="s">
        <v>55</v>
      </c>
      <c r="H13" s="6"/>
      <c r="I13" s="6" t="s">
        <v>55</v>
      </c>
      <c r="J13" s="6"/>
      <c r="K13" s="6" t="s">
        <v>55</v>
      </c>
      <c r="P13" s="25" t="s">
        <v>4</v>
      </c>
      <c r="Q13" s="45" t="s">
        <v>672</v>
      </c>
      <c r="R13" s="45" t="s">
        <v>671</v>
      </c>
      <c r="S13" s="45" t="s">
        <v>525</v>
      </c>
      <c r="T13" s="45" t="s">
        <v>671</v>
      </c>
      <c r="U13" s="45" t="s">
        <v>525</v>
      </c>
      <c r="V13" s="97" t="s">
        <v>1590</v>
      </c>
      <c r="W13" s="45" t="s">
        <v>1</v>
      </c>
      <c r="X13" s="25" t="s">
        <v>18</v>
      </c>
      <c r="AA13" s="97" t="s">
        <v>351</v>
      </c>
      <c r="AB13" s="97" t="s">
        <v>204</v>
      </c>
      <c r="AC13" s="97" t="s">
        <v>198</v>
      </c>
      <c r="AQ13" s="25"/>
    </row>
    <row r="14" spans="1:43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  <c r="P14" s="143">
        <v>-1</v>
      </c>
      <c r="Q14" s="143">
        <f t="shared" ref="Q14:X14" si="0">P14-1</f>
        <v>-2</v>
      </c>
      <c r="R14" s="143">
        <f t="shared" si="0"/>
        <v>-3</v>
      </c>
      <c r="S14" s="143">
        <f t="shared" si="0"/>
        <v>-4</v>
      </c>
      <c r="T14" s="143">
        <f t="shared" si="0"/>
        <v>-5</v>
      </c>
      <c r="U14" s="143">
        <f t="shared" si="0"/>
        <v>-6</v>
      </c>
      <c r="V14" s="143">
        <f t="shared" si="0"/>
        <v>-7</v>
      </c>
      <c r="W14" s="143">
        <f t="shared" si="0"/>
        <v>-8</v>
      </c>
      <c r="X14" s="143">
        <f t="shared" si="0"/>
        <v>-9</v>
      </c>
      <c r="AA14" s="143">
        <f>X14-1</f>
        <v>-10</v>
      </c>
      <c r="AB14" s="143">
        <f>AA14-1</f>
        <v>-11</v>
      </c>
      <c r="AC14" s="143">
        <f>AB14-1</f>
        <v>-12</v>
      </c>
      <c r="AQ14" s="164"/>
    </row>
    <row r="15" spans="1:43">
      <c r="A15" s="6"/>
      <c r="P15" s="277"/>
      <c r="Q15" s="277"/>
      <c r="R15" s="25"/>
      <c r="S15" s="25"/>
      <c r="T15" s="25"/>
      <c r="U15" s="25"/>
      <c r="V15" s="25"/>
      <c r="AC15" s="61"/>
    </row>
    <row r="16" spans="1:43">
      <c r="A16" s="6">
        <v>1994</v>
      </c>
      <c r="C16" s="147">
        <f>'Exhibit P,2'!O18</f>
        <v>0</v>
      </c>
      <c r="E16" s="74">
        <v>0</v>
      </c>
      <c r="G16" s="147">
        <v>0</v>
      </c>
      <c r="H16" s="19"/>
      <c r="I16" s="147">
        <f>R16</f>
        <v>0</v>
      </c>
      <c r="J16" s="19"/>
      <c r="K16" s="147">
        <f>G16+I16</f>
        <v>0</v>
      </c>
      <c r="P16" s="25">
        <f>A16</f>
        <v>1994</v>
      </c>
      <c r="Q16" s="25"/>
      <c r="R16" s="31">
        <f>T16</f>
        <v>0</v>
      </c>
      <c r="S16" s="31">
        <f>U16</f>
        <v>0</v>
      </c>
      <c r="T16" s="31">
        <v>0</v>
      </c>
      <c r="U16" s="31">
        <v>0</v>
      </c>
      <c r="V16" s="268">
        <f>S16-U16</f>
        <v>0</v>
      </c>
      <c r="W16" s="20">
        <v>0</v>
      </c>
      <c r="X16" s="268">
        <f>U16-W16</f>
        <v>0</v>
      </c>
      <c r="AA16" s="358">
        <f>'Exhibit P,2'!I18</f>
        <v>1</v>
      </c>
      <c r="AB16" s="61"/>
      <c r="AC16" s="61"/>
    </row>
    <row r="17" spans="1:43">
      <c r="A17" s="6">
        <f>A16+1</f>
        <v>1995</v>
      </c>
      <c r="C17" s="494">
        <f>'Exhibit P,2'!O19</f>
        <v>439577.99818999233</v>
      </c>
      <c r="E17" s="74">
        <v>0</v>
      </c>
      <c r="G17" s="187">
        <v>0</v>
      </c>
      <c r="H17" s="187"/>
      <c r="I17" s="17">
        <f t="shared" ref="I17:I44" si="1">R17</f>
        <v>250000</v>
      </c>
      <c r="J17" s="187"/>
      <c r="K17" s="494">
        <f t="shared" ref="K17:K44" si="2">G17+I17</f>
        <v>250000</v>
      </c>
      <c r="P17" s="25">
        <f>P16+1</f>
        <v>1995</v>
      </c>
      <c r="Q17" s="25"/>
      <c r="R17" s="31">
        <f t="shared" ref="R17:R21" si="3">T17</f>
        <v>250000</v>
      </c>
      <c r="S17" s="31">
        <f t="shared" ref="S17:S21" si="4">U17</f>
        <v>250000</v>
      </c>
      <c r="T17" s="31">
        <v>250000</v>
      </c>
      <c r="U17" s="31">
        <v>250000</v>
      </c>
      <c r="V17" s="268">
        <f t="shared" ref="V17:X44" si="5">S17-U17</f>
        <v>0</v>
      </c>
      <c r="W17" s="20">
        <v>250000</v>
      </c>
      <c r="X17" s="268">
        <f t="shared" si="5"/>
        <v>0</v>
      </c>
      <c r="AA17" s="358">
        <f>'Exhibit P,2'!I19</f>
        <v>1</v>
      </c>
      <c r="AB17" s="61"/>
      <c r="AC17" s="61"/>
    </row>
    <row r="18" spans="1:43">
      <c r="A18" s="6">
        <f t="shared" ref="A18:A44" si="6">A17+1</f>
        <v>1996</v>
      </c>
      <c r="C18" s="494">
        <f>'Exhibit P,2'!O20</f>
        <v>0</v>
      </c>
      <c r="E18" s="74">
        <v>0</v>
      </c>
      <c r="G18" s="187">
        <v>0</v>
      </c>
      <c r="H18" s="187"/>
      <c r="I18" s="17">
        <f t="shared" si="1"/>
        <v>0</v>
      </c>
      <c r="J18" s="187"/>
      <c r="K18" s="494">
        <f t="shared" si="2"/>
        <v>0</v>
      </c>
      <c r="L18" s="1" t="s">
        <v>1597</v>
      </c>
      <c r="M18" s="1" t="s">
        <v>1598</v>
      </c>
      <c r="N18" s="1" t="s">
        <v>18</v>
      </c>
      <c r="P18" s="25">
        <f t="shared" ref="P18:P44" si="7">P17+1</f>
        <v>1996</v>
      </c>
      <c r="Q18" s="25"/>
      <c r="R18" s="31">
        <f t="shared" si="3"/>
        <v>0</v>
      </c>
      <c r="S18" s="31">
        <f t="shared" si="4"/>
        <v>0</v>
      </c>
      <c r="T18" s="31">
        <v>0</v>
      </c>
      <c r="U18" s="31">
        <v>0</v>
      </c>
      <c r="V18" s="268">
        <f t="shared" si="5"/>
        <v>0</v>
      </c>
      <c r="W18" s="20">
        <v>0</v>
      </c>
      <c r="X18" s="268">
        <f t="shared" si="5"/>
        <v>0</v>
      </c>
      <c r="AA18" s="358">
        <f>'Exhibit P,2'!I20</f>
        <v>1</v>
      </c>
      <c r="AB18" s="61"/>
      <c r="AC18" s="61"/>
    </row>
    <row r="19" spans="1:43">
      <c r="A19" s="6">
        <f t="shared" si="6"/>
        <v>1997</v>
      </c>
      <c r="C19" s="494">
        <f>'Exhibit P,2'!O21</f>
        <v>2543202.6757044317</v>
      </c>
      <c r="E19" s="74">
        <v>0</v>
      </c>
      <c r="G19" s="187">
        <v>0</v>
      </c>
      <c r="H19" s="187"/>
      <c r="I19" s="17">
        <f t="shared" si="1"/>
        <v>1400000</v>
      </c>
      <c r="J19" s="187"/>
      <c r="K19" s="494">
        <f t="shared" si="2"/>
        <v>1400000</v>
      </c>
      <c r="P19" s="25">
        <f t="shared" si="7"/>
        <v>1997</v>
      </c>
      <c r="Q19" s="25"/>
      <c r="R19" s="31">
        <f t="shared" si="3"/>
        <v>1400000</v>
      </c>
      <c r="S19" s="31">
        <f t="shared" si="4"/>
        <v>1400000</v>
      </c>
      <c r="T19" s="31">
        <v>1400000</v>
      </c>
      <c r="U19" s="31">
        <v>1400000</v>
      </c>
      <c r="V19" s="268">
        <f t="shared" si="5"/>
        <v>0</v>
      </c>
      <c r="W19" s="20">
        <v>1400000</v>
      </c>
      <c r="X19" s="268">
        <f t="shared" si="5"/>
        <v>0</v>
      </c>
      <c r="AA19" s="358">
        <f>'Exhibit P,2'!I21</f>
        <v>1</v>
      </c>
      <c r="AB19" s="61"/>
      <c r="AC19" s="61"/>
    </row>
    <row r="20" spans="1:43">
      <c r="A20" s="6">
        <f t="shared" si="6"/>
        <v>1998</v>
      </c>
      <c r="C20" s="494">
        <f>'Exhibit P,2'!O22</f>
        <v>334023.39198393753</v>
      </c>
      <c r="E20" s="74">
        <v>0</v>
      </c>
      <c r="G20" s="187">
        <v>0</v>
      </c>
      <c r="H20" s="187"/>
      <c r="I20" s="17">
        <f t="shared" si="1"/>
        <v>204267.68999999994</v>
      </c>
      <c r="J20" s="187"/>
      <c r="K20" s="494">
        <f t="shared" si="2"/>
        <v>204267.68999999994</v>
      </c>
      <c r="P20" s="25">
        <f t="shared" si="7"/>
        <v>1998</v>
      </c>
      <c r="Q20" s="25"/>
      <c r="R20" s="31">
        <f t="shared" si="3"/>
        <v>204267.68999999994</v>
      </c>
      <c r="S20" s="31">
        <f t="shared" si="4"/>
        <v>204267.68999999994</v>
      </c>
      <c r="T20" s="31">
        <v>204267.68999999994</v>
      </c>
      <c r="U20" s="31">
        <v>204267.68999999994</v>
      </c>
      <c r="V20" s="268">
        <f t="shared" si="5"/>
        <v>0</v>
      </c>
      <c r="W20" s="20">
        <v>204267.68999999994</v>
      </c>
      <c r="X20" s="268">
        <f t="shared" si="5"/>
        <v>0</v>
      </c>
      <c r="AA20" s="358">
        <f>'Exhibit P,2'!I22</f>
        <v>0.98873484308322401</v>
      </c>
      <c r="AB20" s="61"/>
      <c r="AC20" s="61"/>
    </row>
    <row r="21" spans="1:43">
      <c r="A21" s="6">
        <f t="shared" si="6"/>
        <v>1999</v>
      </c>
      <c r="C21" s="494">
        <f>'Exhibit P,2'!O23</f>
        <v>0</v>
      </c>
      <c r="E21" s="74">
        <v>0</v>
      </c>
      <c r="G21" s="187">
        <v>0</v>
      </c>
      <c r="H21" s="187"/>
      <c r="I21" s="17">
        <f t="shared" si="1"/>
        <v>0</v>
      </c>
      <c r="J21" s="187"/>
      <c r="K21" s="494">
        <f t="shared" si="2"/>
        <v>0</v>
      </c>
      <c r="P21" s="25">
        <f t="shared" si="7"/>
        <v>1999</v>
      </c>
      <c r="Q21" s="25"/>
      <c r="R21" s="31">
        <f t="shared" si="3"/>
        <v>0</v>
      </c>
      <c r="S21" s="31">
        <f t="shared" si="4"/>
        <v>0</v>
      </c>
      <c r="T21" s="31">
        <v>0</v>
      </c>
      <c r="U21" s="31">
        <v>0</v>
      </c>
      <c r="V21" s="268">
        <f t="shared" si="5"/>
        <v>0</v>
      </c>
      <c r="W21" s="20">
        <v>0</v>
      </c>
      <c r="X21" s="268">
        <f t="shared" si="5"/>
        <v>0</v>
      </c>
      <c r="AA21" s="358">
        <f>'Exhibit P,2'!I23</f>
        <v>0.9824898308823069</v>
      </c>
      <c r="AB21" s="61"/>
      <c r="AC21" s="61"/>
      <c r="AF21" s="25"/>
      <c r="AG21" s="25" t="s">
        <v>1461</v>
      </c>
      <c r="AH21" s="25" t="s">
        <v>1462</v>
      </c>
      <c r="AI21" s="25" t="s">
        <v>1465</v>
      </c>
      <c r="AJ21" s="25"/>
      <c r="AK21" s="25"/>
    </row>
    <row r="22" spans="1:43">
      <c r="A22" s="6">
        <f t="shared" si="6"/>
        <v>2000</v>
      </c>
      <c r="C22" s="494">
        <f>'Exhibit P,2'!O24</f>
        <v>271234.48696017283</v>
      </c>
      <c r="E22" s="74">
        <v>0</v>
      </c>
      <c r="G22" s="187">
        <v>0</v>
      </c>
      <c r="H22" s="187"/>
      <c r="I22" s="17">
        <f t="shared" si="1"/>
        <v>250000</v>
      </c>
      <c r="J22" s="187"/>
      <c r="K22" s="494">
        <f t="shared" si="2"/>
        <v>250000</v>
      </c>
      <c r="L22" s="18">
        <v>45510428.719999999</v>
      </c>
      <c r="M22" s="18">
        <f>R22+'Exhibit M,3'!R22+'Exhibit N,3'!R22+'Exhibit O,3'!R22</f>
        <v>45510428.719999999</v>
      </c>
      <c r="N22" s="18">
        <f>L22-M22</f>
        <v>0</v>
      </c>
      <c r="O22" s="18">
        <f>T22+'Exhibit M,3'!T22+'Exhibit N,3'!T22+'Exhibit O,3'!T22</f>
        <v>45510428.719999999</v>
      </c>
      <c r="P22" s="25">
        <f t="shared" si="7"/>
        <v>2000</v>
      </c>
      <c r="Q22" s="230">
        <v>44861485.079999998</v>
      </c>
      <c r="R22" s="31">
        <v>250000</v>
      </c>
      <c r="S22" s="31">
        <v>250000</v>
      </c>
      <c r="T22" s="31">
        <v>250000</v>
      </c>
      <c r="U22" s="31">
        <v>250000</v>
      </c>
      <c r="V22" s="268">
        <f t="shared" si="5"/>
        <v>0</v>
      </c>
      <c r="W22" s="20">
        <v>250000</v>
      </c>
      <c r="X22" s="268">
        <f t="shared" si="5"/>
        <v>0</v>
      </c>
      <c r="AA22" s="358">
        <f>'Exhibit P,2'!I24</f>
        <v>0.98525754506508056</v>
      </c>
      <c r="AB22" s="61"/>
      <c r="AC22" s="61"/>
      <c r="AG22" s="25" t="s">
        <v>1463</v>
      </c>
      <c r="AH22" s="25" t="s">
        <v>1066</v>
      </c>
      <c r="AI22" s="25" t="s">
        <v>1466</v>
      </c>
      <c r="AJ22" s="25" t="s">
        <v>86</v>
      </c>
      <c r="AK22" s="25" t="s">
        <v>1</v>
      </c>
    </row>
    <row r="23" spans="1:43">
      <c r="A23" s="6">
        <f t="shared" si="6"/>
        <v>2001</v>
      </c>
      <c r="C23" s="494">
        <f>'Exhibit P,2'!O25</f>
        <v>1048996.214030084</v>
      </c>
      <c r="E23" s="74">
        <v>0</v>
      </c>
      <c r="G23" s="187">
        <v>0</v>
      </c>
      <c r="H23" s="187"/>
      <c r="I23" s="17">
        <f t="shared" si="1"/>
        <v>1283262.23</v>
      </c>
      <c r="J23" s="187"/>
      <c r="K23" s="494">
        <f t="shared" si="2"/>
        <v>1283262.23</v>
      </c>
      <c r="L23" s="18">
        <v>37643921.560000017</v>
      </c>
      <c r="M23" s="18">
        <f>R23+'Exhibit M,3'!R23+'Exhibit N,3'!R23+'Exhibit O,3'!R23</f>
        <v>37643921.560000002</v>
      </c>
      <c r="N23" s="18">
        <f t="shared" ref="N23:N44" si="8">L23-M23</f>
        <v>0</v>
      </c>
      <c r="O23" s="18">
        <f>T23+'Exhibit M,3'!T23+'Exhibit N,3'!T23+'Exhibit O,3'!T23</f>
        <v>37643921.560000002</v>
      </c>
      <c r="P23" s="25">
        <f t="shared" si="7"/>
        <v>2001</v>
      </c>
      <c r="Q23" s="230">
        <v>37443343.790000014</v>
      </c>
      <c r="R23" s="31">
        <v>1283262.23</v>
      </c>
      <c r="S23" s="31">
        <v>1283262.23</v>
      </c>
      <c r="T23" s="31">
        <v>1283262.23</v>
      </c>
      <c r="U23" s="31">
        <v>1283262.23</v>
      </c>
      <c r="V23" s="268">
        <f t="shared" si="5"/>
        <v>0</v>
      </c>
      <c r="W23" s="20">
        <v>1283262.23</v>
      </c>
      <c r="X23" s="268">
        <f t="shared" si="5"/>
        <v>0</v>
      </c>
      <c r="AA23" s="358">
        <f>'Exhibit P,2'!I25</f>
        <v>0.98380120111463631</v>
      </c>
      <c r="AB23" s="61"/>
      <c r="AC23" s="61"/>
      <c r="AG23" s="25" t="s">
        <v>1459</v>
      </c>
      <c r="AH23" s="25" t="s">
        <v>1459</v>
      </c>
      <c r="AI23" s="25" t="s">
        <v>1464</v>
      </c>
      <c r="AJ23" s="25" t="s">
        <v>198</v>
      </c>
      <c r="AK23" s="25" t="s">
        <v>198</v>
      </c>
    </row>
    <row r="24" spans="1:43">
      <c r="A24" s="6">
        <f t="shared" si="6"/>
        <v>2002</v>
      </c>
      <c r="C24" s="494">
        <f>'Exhibit P,2'!O26</f>
        <v>0</v>
      </c>
      <c r="E24" s="74">
        <v>0</v>
      </c>
      <c r="G24" s="187">
        <v>0</v>
      </c>
      <c r="H24" s="187"/>
      <c r="I24" s="17">
        <f t="shared" si="1"/>
        <v>0</v>
      </c>
      <c r="J24" s="187"/>
      <c r="K24" s="494">
        <f t="shared" si="2"/>
        <v>0</v>
      </c>
      <c r="L24" s="18">
        <v>39658038.149999999</v>
      </c>
      <c r="M24" s="18">
        <f>R24+'Exhibit M,3'!R24+'Exhibit N,3'!R24+'Exhibit O,3'!R24</f>
        <v>39658038.149999991</v>
      </c>
      <c r="N24" s="18">
        <f t="shared" si="8"/>
        <v>0</v>
      </c>
      <c r="O24" s="18">
        <f>T24+'Exhibit M,3'!T24+'Exhibit N,3'!T24+'Exhibit O,3'!T24</f>
        <v>39658038.149999991</v>
      </c>
      <c r="P24" s="25">
        <f t="shared" si="7"/>
        <v>2002</v>
      </c>
      <c r="Q24" s="230">
        <v>39552267.629999995</v>
      </c>
      <c r="R24" s="31">
        <v>0</v>
      </c>
      <c r="S24" s="31">
        <v>0</v>
      </c>
      <c r="T24" s="31">
        <v>0</v>
      </c>
      <c r="U24" s="31">
        <v>0</v>
      </c>
      <c r="V24" s="268">
        <f t="shared" si="5"/>
        <v>0</v>
      </c>
      <c r="W24" s="20">
        <v>0</v>
      </c>
      <c r="X24" s="268">
        <f t="shared" si="5"/>
        <v>0</v>
      </c>
      <c r="Y24" s="137"/>
      <c r="Z24" s="46"/>
      <c r="AA24" s="358">
        <f>'Exhibit P,2'!I26</f>
        <v>0.97750002325827856</v>
      </c>
      <c r="AB24" s="61"/>
      <c r="AC24" s="61"/>
      <c r="AD24" s="18"/>
      <c r="AE24" s="31"/>
      <c r="AF24" s="421" t="s">
        <v>4</v>
      </c>
      <c r="AG24" s="230" t="s">
        <v>1460</v>
      </c>
      <c r="AH24" s="230" t="s">
        <v>1460</v>
      </c>
      <c r="AI24" s="25" t="s">
        <v>10</v>
      </c>
      <c r="AJ24" s="230" t="s">
        <v>1460</v>
      </c>
      <c r="AK24" s="230" t="s">
        <v>1460</v>
      </c>
      <c r="AM24" s="18"/>
      <c r="AQ24" s="18"/>
    </row>
    <row r="25" spans="1:43">
      <c r="A25" s="6">
        <f t="shared" si="6"/>
        <v>2003</v>
      </c>
      <c r="C25" s="494">
        <f>'Exhibit P,2'!O27</f>
        <v>664784.81054851203</v>
      </c>
      <c r="E25" s="357">
        <f t="shared" ref="E25:E44" si="9">1-((1-AA25)*AB25+AA25*AC25)</f>
        <v>0</v>
      </c>
      <c r="G25" s="187">
        <v>0</v>
      </c>
      <c r="H25" s="187"/>
      <c r="I25" s="17">
        <f t="shared" si="1"/>
        <v>1200000</v>
      </c>
      <c r="J25" s="187"/>
      <c r="K25" s="494">
        <f t="shared" si="2"/>
        <v>1200000</v>
      </c>
      <c r="L25" s="18">
        <v>39621657.030000001</v>
      </c>
      <c r="M25" s="18">
        <f>R25+'Exhibit M,3'!R25+'Exhibit N,3'!R25+'Exhibit O,3'!R25</f>
        <v>39621657.030000001</v>
      </c>
      <c r="N25" s="18">
        <f t="shared" si="8"/>
        <v>0</v>
      </c>
      <c r="O25" s="18">
        <f>T25+'Exhibit M,3'!T25+'Exhibit N,3'!T25+'Exhibit O,3'!T25</f>
        <v>39621657.030000001</v>
      </c>
      <c r="P25" s="25">
        <f t="shared" si="7"/>
        <v>2003</v>
      </c>
      <c r="Q25" s="230">
        <v>39422571.869999997</v>
      </c>
      <c r="R25" s="31">
        <v>1200000</v>
      </c>
      <c r="S25" s="31">
        <v>1200000</v>
      </c>
      <c r="T25" s="31">
        <v>1200000</v>
      </c>
      <c r="U25" s="31">
        <v>1200000</v>
      </c>
      <c r="V25" s="268">
        <f t="shared" si="5"/>
        <v>0</v>
      </c>
      <c r="W25" s="20">
        <v>1200000</v>
      </c>
      <c r="X25" s="268">
        <f t="shared" si="5"/>
        <v>0</v>
      </c>
      <c r="Y25" s="137"/>
      <c r="Z25" s="46"/>
      <c r="AA25" s="358">
        <f>'Exhibit P,2'!I27</f>
        <v>0.86702307867847472</v>
      </c>
      <c r="AB25" s="358">
        <f>'Exhibit Q,7'!K16</f>
        <v>0.99999999999999989</v>
      </c>
      <c r="AC25" s="358">
        <f>'Exhibit Q,7'!M16</f>
        <v>0.99999999999999967</v>
      </c>
      <c r="AD25" s="18"/>
      <c r="AE25" s="31"/>
      <c r="AF25" s="48"/>
      <c r="AG25" s="153"/>
      <c r="AH25" s="153"/>
      <c r="AI25" s="422"/>
      <c r="AJ25" s="48"/>
      <c r="AK25" s="172"/>
      <c r="AM25" s="18"/>
      <c r="AQ25" s="18"/>
    </row>
    <row r="26" spans="1:43">
      <c r="A26" s="6">
        <f t="shared" si="6"/>
        <v>2004</v>
      </c>
      <c r="C26" s="494">
        <f>'Exhibit P,2'!O28</f>
        <v>352802.35057257814</v>
      </c>
      <c r="E26" s="357">
        <f t="shared" si="9"/>
        <v>0</v>
      </c>
      <c r="G26" s="187">
        <v>0</v>
      </c>
      <c r="H26" s="187"/>
      <c r="I26" s="17">
        <f t="shared" si="1"/>
        <v>740000</v>
      </c>
      <c r="J26" s="187"/>
      <c r="K26" s="494">
        <f t="shared" si="2"/>
        <v>740000</v>
      </c>
      <c r="L26" s="18">
        <v>22345826.460000001</v>
      </c>
      <c r="M26" s="18">
        <f>R26+'Exhibit M,3'!R26+'Exhibit N,3'!R26+'Exhibit O,3'!R26</f>
        <v>22345826.459999997</v>
      </c>
      <c r="N26" s="18">
        <f t="shared" si="8"/>
        <v>0</v>
      </c>
      <c r="O26" s="18">
        <f>T26+'Exhibit M,3'!T26+'Exhibit N,3'!T26+'Exhibit O,3'!T26</f>
        <v>22340826.459999997</v>
      </c>
      <c r="P26" s="25">
        <f t="shared" si="7"/>
        <v>2004</v>
      </c>
      <c r="Q26" s="230">
        <v>22310323.52</v>
      </c>
      <c r="R26" s="31">
        <v>740000</v>
      </c>
      <c r="S26" s="31">
        <v>740000</v>
      </c>
      <c r="T26" s="31">
        <v>735000</v>
      </c>
      <c r="U26" s="31">
        <v>735000</v>
      </c>
      <c r="V26" s="268">
        <f t="shared" si="5"/>
        <v>5000</v>
      </c>
      <c r="W26" s="20">
        <v>735000</v>
      </c>
      <c r="X26" s="268">
        <f t="shared" si="5"/>
        <v>0</v>
      </c>
      <c r="Y26" s="137"/>
      <c r="Z26" s="46"/>
      <c r="AA26" s="358">
        <f>'Exhibit P,2'!I28</f>
        <v>0.86822909909160961</v>
      </c>
      <c r="AB26" s="358">
        <f>'Exhibit Q,7'!K17</f>
        <v>0.99999999999999989</v>
      </c>
      <c r="AC26" s="358">
        <f>'Exhibit Q,7'!M17</f>
        <v>0.99999999999999967</v>
      </c>
      <c r="AD26" s="18"/>
      <c r="AE26" s="31"/>
      <c r="AF26" s="48"/>
      <c r="AG26" s="153"/>
      <c r="AH26" s="153"/>
      <c r="AI26" s="422"/>
      <c r="AJ26" s="48"/>
      <c r="AK26" s="172"/>
      <c r="AM26" s="18"/>
      <c r="AQ26" s="18"/>
    </row>
    <row r="27" spans="1:43">
      <c r="A27" s="6">
        <f t="shared" si="6"/>
        <v>2005</v>
      </c>
      <c r="C27" s="494">
        <f>'Exhibit P,2'!O29</f>
        <v>466893.3660128981</v>
      </c>
      <c r="E27" s="357">
        <f t="shared" si="9"/>
        <v>0</v>
      </c>
      <c r="G27" s="187">
        <f t="shared" ref="G27:G44" si="10">C27*E27</f>
        <v>0</v>
      </c>
      <c r="H27" s="187"/>
      <c r="I27" s="17">
        <f t="shared" si="1"/>
        <v>975000</v>
      </c>
      <c r="J27" s="187"/>
      <c r="K27" s="494">
        <f t="shared" si="2"/>
        <v>975000</v>
      </c>
      <c r="L27" s="18">
        <v>23049293.749999996</v>
      </c>
      <c r="M27" s="18">
        <f>R27+'Exhibit M,3'!R27+'Exhibit N,3'!R27+'Exhibit O,3'!R27</f>
        <v>23049293.75</v>
      </c>
      <c r="N27" s="18">
        <f t="shared" si="8"/>
        <v>0</v>
      </c>
      <c r="O27" s="18">
        <f>T27+'Exhibit M,3'!T27+'Exhibit N,3'!T27+'Exhibit O,3'!T27</f>
        <v>23049293.75</v>
      </c>
      <c r="P27" s="25">
        <f t="shared" si="7"/>
        <v>2005</v>
      </c>
      <c r="Q27" s="230">
        <v>22639690.779999997</v>
      </c>
      <c r="R27" s="31">
        <v>975000</v>
      </c>
      <c r="S27" s="31">
        <v>975000</v>
      </c>
      <c r="T27" s="31">
        <v>975000</v>
      </c>
      <c r="U27" s="31">
        <v>975000</v>
      </c>
      <c r="V27" s="268">
        <f t="shared" si="5"/>
        <v>0</v>
      </c>
      <c r="W27" s="20">
        <v>975000</v>
      </c>
      <c r="X27" s="268">
        <f t="shared" si="5"/>
        <v>0</v>
      </c>
      <c r="Y27" s="137"/>
      <c r="Z27" s="46"/>
      <c r="AA27" s="358">
        <f>'Exhibit P,2'!I29</f>
        <v>0.79691598892339655</v>
      </c>
      <c r="AB27" s="358">
        <f>'Exhibit Q,7'!K18</f>
        <v>0.99999999999999989</v>
      </c>
      <c r="AC27" s="358">
        <f>'Exhibit Q,7'!M18</f>
        <v>0.99999999999999967</v>
      </c>
      <c r="AD27" s="18"/>
      <c r="AE27" s="31"/>
      <c r="AF27" s="48"/>
      <c r="AG27" s="153"/>
      <c r="AH27" s="153"/>
      <c r="AI27" s="422"/>
      <c r="AJ27" s="48"/>
      <c r="AK27" s="172"/>
      <c r="AM27" s="18"/>
      <c r="AQ27" s="18"/>
    </row>
    <row r="28" spans="1:43">
      <c r="A28" s="6">
        <f t="shared" si="6"/>
        <v>2006</v>
      </c>
      <c r="C28" s="494">
        <f>'Exhibit P,2'!O30</f>
        <v>0</v>
      </c>
      <c r="E28" s="357">
        <f t="shared" si="9"/>
        <v>0</v>
      </c>
      <c r="G28" s="187">
        <f t="shared" si="10"/>
        <v>0</v>
      </c>
      <c r="H28" s="187"/>
      <c r="I28" s="17">
        <f t="shared" si="1"/>
        <v>0</v>
      </c>
      <c r="J28" s="187"/>
      <c r="K28" s="494">
        <f t="shared" si="2"/>
        <v>0</v>
      </c>
      <c r="L28" s="18">
        <v>20049049.77</v>
      </c>
      <c r="M28" s="18">
        <f>R28+'Exhibit M,3'!R28+'Exhibit N,3'!R28+'Exhibit O,3'!R28</f>
        <v>20049049.769999996</v>
      </c>
      <c r="N28" s="18">
        <f t="shared" si="8"/>
        <v>0</v>
      </c>
      <c r="O28" s="18">
        <f>T28+'Exhibit M,3'!T28+'Exhibit N,3'!T28+'Exhibit O,3'!T28</f>
        <v>20015883</v>
      </c>
      <c r="P28" s="25">
        <f t="shared" si="7"/>
        <v>2006</v>
      </c>
      <c r="Q28" s="230">
        <v>19806564.920000002</v>
      </c>
      <c r="R28" s="31">
        <v>0</v>
      </c>
      <c r="S28" s="31">
        <v>0</v>
      </c>
      <c r="T28" s="31">
        <v>0</v>
      </c>
      <c r="U28" s="31">
        <v>0</v>
      </c>
      <c r="V28" s="268">
        <f t="shared" si="5"/>
        <v>0</v>
      </c>
      <c r="W28" s="20">
        <v>0</v>
      </c>
      <c r="X28" s="268">
        <f t="shared" si="5"/>
        <v>0</v>
      </c>
      <c r="Y28" s="137"/>
      <c r="Z28" s="46"/>
      <c r="AA28" s="358">
        <f>'Exhibit P,2'!I30</f>
        <v>0.82626652150912039</v>
      </c>
      <c r="AB28" s="358">
        <f>'Exhibit Q,7'!K19</f>
        <v>0.99999999999999989</v>
      </c>
      <c r="AC28" s="358">
        <f>'Exhibit Q,7'!M19</f>
        <v>0.99999999999999967</v>
      </c>
      <c r="AD28" s="18"/>
      <c r="AE28" s="31"/>
      <c r="AF28" s="423">
        <f t="shared" ref="AF28:AF33" si="11">P28</f>
        <v>2006</v>
      </c>
      <c r="AG28" s="153">
        <f>E28</f>
        <v>0</v>
      </c>
      <c r="AH28" s="153">
        <f>'Exhibit M,3'!E28</f>
        <v>0</v>
      </c>
      <c r="AI28" s="422">
        <v>0.5</v>
      </c>
      <c r="AJ28" s="424">
        <f>(AG28*AI28+AH28)/(1+AI28)</f>
        <v>0</v>
      </c>
      <c r="AK28" s="72">
        <f>AJ28</f>
        <v>0</v>
      </c>
      <c r="AM28" s="18"/>
      <c r="AQ28" s="18"/>
    </row>
    <row r="29" spans="1:43">
      <c r="A29" s="6">
        <f t="shared" si="6"/>
        <v>2007</v>
      </c>
      <c r="C29" s="494">
        <f>'Exhibit P,2'!O31</f>
        <v>497103.73569277389</v>
      </c>
      <c r="E29" s="357">
        <f t="shared" si="9"/>
        <v>0</v>
      </c>
      <c r="G29" s="187">
        <f t="shared" si="10"/>
        <v>0</v>
      </c>
      <c r="H29" s="187"/>
      <c r="I29" s="17">
        <f t="shared" si="1"/>
        <v>500000</v>
      </c>
      <c r="J29" s="187"/>
      <c r="K29" s="494">
        <f t="shared" si="2"/>
        <v>500000</v>
      </c>
      <c r="L29" s="18">
        <v>22370711.529999997</v>
      </c>
      <c r="M29" s="18">
        <f>R29+'Exhibit M,3'!R29+'Exhibit N,3'!R29+'Exhibit O,3'!R29</f>
        <v>22370711.530000001</v>
      </c>
      <c r="N29" s="18">
        <f t="shared" si="8"/>
        <v>0</v>
      </c>
      <c r="O29" s="18">
        <f>T29+'Exhibit M,3'!T29+'Exhibit N,3'!T29+'Exhibit O,3'!T29</f>
        <v>22370711.530000001</v>
      </c>
      <c r="P29" s="25">
        <f t="shared" si="7"/>
        <v>2007</v>
      </c>
      <c r="Q29" s="230">
        <v>21825714.289999999</v>
      </c>
      <c r="R29" s="31">
        <v>500000</v>
      </c>
      <c r="S29" s="31">
        <v>500000</v>
      </c>
      <c r="T29" s="31">
        <v>500000</v>
      </c>
      <c r="U29" s="31">
        <v>500000</v>
      </c>
      <c r="V29" s="268">
        <f t="shared" si="5"/>
        <v>0</v>
      </c>
      <c r="W29" s="20">
        <v>500000</v>
      </c>
      <c r="X29" s="268">
        <f t="shared" si="5"/>
        <v>0</v>
      </c>
      <c r="Y29" s="137"/>
      <c r="Z29" s="46"/>
      <c r="AA29" s="358">
        <f>'Exhibit P,2'!I31</f>
        <v>0.76467596851040842</v>
      </c>
      <c r="AB29" s="358">
        <f>'Exhibit Q,7'!K20</f>
        <v>1</v>
      </c>
      <c r="AC29" s="358">
        <f>'Exhibit Q,7'!M20</f>
        <v>1</v>
      </c>
      <c r="AD29" s="18"/>
      <c r="AE29" s="31"/>
      <c r="AF29" s="423">
        <f t="shared" si="11"/>
        <v>2007</v>
      </c>
      <c r="AG29" s="153">
        <f>E29</f>
        <v>0</v>
      </c>
      <c r="AH29" s="153">
        <f>'Exhibit M,3'!E29</f>
        <v>2.8585177060713729E-4</v>
      </c>
      <c r="AI29" s="422">
        <v>0.5</v>
      </c>
      <c r="AJ29" s="424">
        <f t="shared" ref="AJ29:AJ44" si="12">(AG29*AI29+AH29)/(1+AI29)</f>
        <v>1.9056784707142485E-4</v>
      </c>
      <c r="AK29" s="72">
        <f t="shared" ref="AK29:AK44" si="13">AJ29</f>
        <v>1.9056784707142485E-4</v>
      </c>
      <c r="AM29" s="18"/>
      <c r="AQ29" s="18"/>
    </row>
    <row r="30" spans="1:43">
      <c r="A30" s="6">
        <f t="shared" si="6"/>
        <v>2008</v>
      </c>
      <c r="C30" s="494">
        <f>'Exhibit P,2'!O32</f>
        <v>276486.40360416437</v>
      </c>
      <c r="E30" s="357">
        <f t="shared" si="9"/>
        <v>0</v>
      </c>
      <c r="G30" s="187">
        <f t="shared" si="10"/>
        <v>0</v>
      </c>
      <c r="H30" s="187"/>
      <c r="I30" s="17">
        <f t="shared" si="1"/>
        <v>350000</v>
      </c>
      <c r="J30" s="187"/>
      <c r="K30" s="494">
        <f t="shared" si="2"/>
        <v>350000</v>
      </c>
      <c r="L30" s="18">
        <v>22102527.079999998</v>
      </c>
      <c r="M30" s="18">
        <f>R30+'Exhibit M,3'!R30+'Exhibit N,3'!R30+'Exhibit O,3'!R30</f>
        <v>22102527.079999998</v>
      </c>
      <c r="N30" s="18">
        <f t="shared" si="8"/>
        <v>0</v>
      </c>
      <c r="O30" s="18">
        <f>T30+'Exhibit M,3'!T30+'Exhibit N,3'!T30+'Exhibit O,3'!T30</f>
        <v>22102527.079999998</v>
      </c>
      <c r="P30" s="25">
        <f t="shared" si="7"/>
        <v>2008</v>
      </c>
      <c r="Q30" s="230">
        <v>22032491.739999998</v>
      </c>
      <c r="R30" s="31">
        <v>350000</v>
      </c>
      <c r="S30" s="31">
        <v>350000</v>
      </c>
      <c r="T30" s="31">
        <v>350000</v>
      </c>
      <c r="U30" s="31">
        <v>350000</v>
      </c>
      <c r="V30" s="268">
        <f t="shared" si="5"/>
        <v>0</v>
      </c>
      <c r="W30" s="20">
        <v>350000</v>
      </c>
      <c r="X30" s="268">
        <f t="shared" si="5"/>
        <v>0</v>
      </c>
      <c r="Y30" s="137"/>
      <c r="Z30" s="46"/>
      <c r="AA30" s="358">
        <f>'Exhibit P,2'!I32</f>
        <v>0.63023760479280855</v>
      </c>
      <c r="AB30" s="358">
        <f>'Exhibit Q,7'!K21</f>
        <v>1</v>
      </c>
      <c r="AC30" s="358">
        <f>'Exhibit Q,7'!M21</f>
        <v>0.99999999999999967</v>
      </c>
      <c r="AD30" s="18"/>
      <c r="AE30" s="31"/>
      <c r="AF30" s="423">
        <f t="shared" si="11"/>
        <v>2008</v>
      </c>
      <c r="AG30" s="153">
        <f t="shared" ref="AG30:AG43" si="14">E30</f>
        <v>0</v>
      </c>
      <c r="AH30" s="153">
        <f>'Exhibit M,3'!E30</f>
        <v>2.6179840705009561E-3</v>
      </c>
      <c r="AI30" s="422">
        <v>0.5</v>
      </c>
      <c r="AJ30" s="424">
        <f t="shared" si="12"/>
        <v>1.745322713667304E-3</v>
      </c>
      <c r="AK30" s="72">
        <f t="shared" si="13"/>
        <v>1.745322713667304E-3</v>
      </c>
      <c r="AM30" s="18"/>
      <c r="AQ30" s="18"/>
    </row>
    <row r="31" spans="1:43">
      <c r="A31" s="6">
        <f t="shared" si="6"/>
        <v>2009</v>
      </c>
      <c r="C31" s="494">
        <f>'Exhibit P,2'!O33</f>
        <v>0</v>
      </c>
      <c r="E31" s="357">
        <f t="shared" si="9"/>
        <v>0</v>
      </c>
      <c r="G31" s="187">
        <f t="shared" si="10"/>
        <v>0</v>
      </c>
      <c r="H31" s="187"/>
      <c r="I31" s="17">
        <f t="shared" si="1"/>
        <v>0</v>
      </c>
      <c r="J31" s="187"/>
      <c r="K31" s="494">
        <f t="shared" si="2"/>
        <v>0</v>
      </c>
      <c r="L31" s="18">
        <v>18973589.100000001</v>
      </c>
      <c r="M31" s="18">
        <f>R31+'Exhibit M,3'!R31+'Exhibit N,3'!R31+'Exhibit O,3'!R31</f>
        <v>18973589.100000001</v>
      </c>
      <c r="N31" s="18">
        <f t="shared" si="8"/>
        <v>0</v>
      </c>
      <c r="O31" s="18">
        <f>T31+'Exhibit M,3'!T31+'Exhibit N,3'!T31+'Exhibit O,3'!T31</f>
        <v>18973589.100000001</v>
      </c>
      <c r="P31" s="25">
        <f t="shared" si="7"/>
        <v>2009</v>
      </c>
      <c r="Q31" s="230">
        <v>18916151.940000001</v>
      </c>
      <c r="R31" s="31">
        <v>0</v>
      </c>
      <c r="S31" s="31">
        <v>0</v>
      </c>
      <c r="T31" s="31">
        <v>0</v>
      </c>
      <c r="U31" s="31">
        <v>0</v>
      </c>
      <c r="V31" s="268">
        <f t="shared" si="5"/>
        <v>0</v>
      </c>
      <c r="W31" s="20">
        <v>0</v>
      </c>
      <c r="X31" s="268">
        <f t="shared" si="5"/>
        <v>0</v>
      </c>
      <c r="Y31" s="137"/>
      <c r="Z31" s="46"/>
      <c r="AA31" s="358">
        <f>'Exhibit P,2'!I33</f>
        <v>0.61400840763844766</v>
      </c>
      <c r="AB31" s="358">
        <f>'Exhibit Q,7'!K22</f>
        <v>1</v>
      </c>
      <c r="AC31" s="358">
        <f>'Exhibit Q,7'!M22</f>
        <v>1</v>
      </c>
      <c r="AD31" s="18"/>
      <c r="AE31" s="31"/>
      <c r="AF31" s="423">
        <f t="shared" si="11"/>
        <v>2009</v>
      </c>
      <c r="AG31" s="153">
        <f>E31</f>
        <v>0</v>
      </c>
      <c r="AH31" s="153">
        <f>'Exhibit M,3'!E31</f>
        <v>4.9679818449881452E-3</v>
      </c>
      <c r="AI31" s="422">
        <v>0.5</v>
      </c>
      <c r="AJ31" s="424">
        <f t="shared" si="12"/>
        <v>3.3119878966587635E-3</v>
      </c>
      <c r="AK31" s="72">
        <f t="shared" si="13"/>
        <v>3.3119878966587635E-3</v>
      </c>
      <c r="AM31" s="18"/>
      <c r="AQ31" s="18"/>
    </row>
    <row r="32" spans="1:43">
      <c r="A32" s="6">
        <f t="shared" si="6"/>
        <v>2010</v>
      </c>
      <c r="C32" s="494">
        <f>'Exhibit P,2'!O34</f>
        <v>0</v>
      </c>
      <c r="E32" s="357">
        <f t="shared" si="9"/>
        <v>9.4886289035756022E-5</v>
      </c>
      <c r="G32" s="187">
        <f t="shared" si="10"/>
        <v>0</v>
      </c>
      <c r="H32" s="187"/>
      <c r="I32" s="17">
        <f t="shared" si="1"/>
        <v>0</v>
      </c>
      <c r="J32" s="187"/>
      <c r="K32" s="494">
        <f t="shared" si="2"/>
        <v>0</v>
      </c>
      <c r="L32" s="18">
        <v>25135887.52</v>
      </c>
      <c r="M32" s="18">
        <f>R32+'Exhibit M,3'!R32+'Exhibit N,3'!R32+'Exhibit O,3'!R32</f>
        <v>25135887.52</v>
      </c>
      <c r="N32" s="18">
        <f t="shared" si="8"/>
        <v>0</v>
      </c>
      <c r="O32" s="18">
        <f>T32+'Exhibit M,3'!T32+'Exhibit N,3'!T32+'Exhibit O,3'!T32</f>
        <v>25135887.52</v>
      </c>
      <c r="P32" s="25">
        <f t="shared" si="7"/>
        <v>2010</v>
      </c>
      <c r="Q32" s="230">
        <v>24630135.52</v>
      </c>
      <c r="R32" s="31">
        <v>0</v>
      </c>
      <c r="S32" s="31">
        <v>0</v>
      </c>
      <c r="T32" s="31">
        <v>0</v>
      </c>
      <c r="U32" s="31">
        <v>0</v>
      </c>
      <c r="V32" s="268">
        <f t="shared" si="5"/>
        <v>0</v>
      </c>
      <c r="W32" s="20">
        <v>0</v>
      </c>
      <c r="X32" s="268">
        <f t="shared" si="5"/>
        <v>0</v>
      </c>
      <c r="Y32" s="137"/>
      <c r="Z32" s="46"/>
      <c r="AA32" s="358">
        <f>'Exhibit P,2'!I34</f>
        <v>0.83217512238503077</v>
      </c>
      <c r="AB32" s="358">
        <f>'Exhibit Q,7'!K23</f>
        <v>0.99978602552131968</v>
      </c>
      <c r="AC32" s="358">
        <f>'Exhibit Q,7'!M23</f>
        <v>0.99992913024344032</v>
      </c>
      <c r="AD32" s="18"/>
      <c r="AE32" s="31"/>
      <c r="AF32" s="423">
        <f t="shared" si="11"/>
        <v>2010</v>
      </c>
      <c r="AG32" s="153">
        <f t="shared" si="14"/>
        <v>9.4886289035756022E-5</v>
      </c>
      <c r="AH32" s="153">
        <f>'Exhibit M,3'!E32</f>
        <v>7.379443269654451E-3</v>
      </c>
      <c r="AI32" s="422">
        <v>0.5</v>
      </c>
      <c r="AJ32" s="424">
        <f t="shared" si="12"/>
        <v>4.951257609448219E-3</v>
      </c>
      <c r="AK32" s="72">
        <f t="shared" si="13"/>
        <v>4.951257609448219E-3</v>
      </c>
      <c r="AM32" s="18"/>
      <c r="AQ32" s="18"/>
    </row>
    <row r="33" spans="1:43">
      <c r="A33" s="6">
        <f t="shared" si="6"/>
        <v>2011</v>
      </c>
      <c r="C33" s="494">
        <f>'Exhibit P,2'!O35</f>
        <v>0</v>
      </c>
      <c r="E33" s="357">
        <f t="shared" si="9"/>
        <v>8.4150088061685224E-4</v>
      </c>
      <c r="G33" s="187">
        <f t="shared" si="10"/>
        <v>0</v>
      </c>
      <c r="H33" s="187"/>
      <c r="I33" s="17">
        <f t="shared" si="1"/>
        <v>0</v>
      </c>
      <c r="J33" s="187"/>
      <c r="K33" s="494">
        <f t="shared" si="2"/>
        <v>0</v>
      </c>
      <c r="L33" s="18">
        <v>17266474.729999997</v>
      </c>
      <c r="M33" s="18">
        <f>R33+'Exhibit M,3'!R33+'Exhibit N,3'!R33+'Exhibit O,3'!R33</f>
        <v>17266474.73</v>
      </c>
      <c r="N33" s="18">
        <f t="shared" si="8"/>
        <v>0</v>
      </c>
      <c r="O33" s="18">
        <f>T33+'Exhibit M,3'!T33+'Exhibit N,3'!T33+'Exhibit O,3'!T33</f>
        <v>17266474.73</v>
      </c>
      <c r="P33" s="25">
        <f t="shared" si="7"/>
        <v>2011</v>
      </c>
      <c r="Q33" s="230">
        <v>17166203.469999999</v>
      </c>
      <c r="R33" s="31">
        <v>0</v>
      </c>
      <c r="S33" s="31">
        <v>0</v>
      </c>
      <c r="T33" s="31">
        <v>0</v>
      </c>
      <c r="U33" s="31">
        <v>0</v>
      </c>
      <c r="V33" s="268">
        <f t="shared" si="5"/>
        <v>0</v>
      </c>
      <c r="W33" s="20">
        <v>0</v>
      </c>
      <c r="X33" s="268">
        <f t="shared" si="5"/>
        <v>0</v>
      </c>
      <c r="Y33" s="137"/>
      <c r="Z33" s="46"/>
      <c r="AA33" s="358">
        <f>'Exhibit P,2'!I35</f>
        <v>0.83636960880639621</v>
      </c>
      <c r="AB33" s="358">
        <f>'Exhibit Q,7'!K24</f>
        <v>0.9983566766670674</v>
      </c>
      <c r="AC33" s="358">
        <f>'Exhibit Q,7'!M24</f>
        <v>0.99931537057927211</v>
      </c>
      <c r="AD33" s="18"/>
      <c r="AE33" s="31"/>
      <c r="AF33" s="423">
        <f t="shared" si="11"/>
        <v>2011</v>
      </c>
      <c r="AG33" s="153">
        <f>E33</f>
        <v>8.4150088061685224E-4</v>
      </c>
      <c r="AH33" s="153">
        <f>'Exhibit M,3'!E33</f>
        <v>1.0774023414665046E-2</v>
      </c>
      <c r="AI33" s="422">
        <v>0.5</v>
      </c>
      <c r="AJ33" s="424">
        <f t="shared" si="12"/>
        <v>7.4631825699823144E-3</v>
      </c>
      <c r="AK33" s="72">
        <f t="shared" si="13"/>
        <v>7.4631825699823144E-3</v>
      </c>
      <c r="AM33" s="18"/>
      <c r="AQ33" s="18"/>
    </row>
    <row r="34" spans="1:43">
      <c r="A34" s="6">
        <f t="shared" si="6"/>
        <v>2012</v>
      </c>
      <c r="C34" s="494">
        <f>'Exhibit P,2'!O36</f>
        <v>0</v>
      </c>
      <c r="E34" s="357">
        <f t="shared" si="9"/>
        <v>4.1795694643930181E-3</v>
      </c>
      <c r="G34" s="187">
        <f t="shared" si="10"/>
        <v>0</v>
      </c>
      <c r="H34" s="187"/>
      <c r="I34" s="17">
        <f t="shared" si="1"/>
        <v>0</v>
      </c>
      <c r="J34" s="187"/>
      <c r="K34" s="494">
        <f t="shared" si="2"/>
        <v>0</v>
      </c>
      <c r="L34" s="18">
        <v>24497907.5</v>
      </c>
      <c r="M34" s="18">
        <f>R34+'Exhibit M,3'!R34+'Exhibit N,3'!R34+'Exhibit O,3'!R34</f>
        <v>24497907.5</v>
      </c>
      <c r="N34" s="18">
        <f t="shared" si="8"/>
        <v>0</v>
      </c>
      <c r="O34" s="18">
        <f>T34+'Exhibit M,3'!T34+'Exhibit N,3'!T34+'Exhibit O,3'!T34</f>
        <v>24453044.07</v>
      </c>
      <c r="P34" s="25">
        <f t="shared" si="7"/>
        <v>2012</v>
      </c>
      <c r="Q34" s="230">
        <v>24449964.07</v>
      </c>
      <c r="R34" s="31">
        <v>0</v>
      </c>
      <c r="S34" s="31">
        <v>0</v>
      </c>
      <c r="T34" s="31">
        <v>0</v>
      </c>
      <c r="U34" s="31">
        <v>0</v>
      </c>
      <c r="V34" s="268">
        <f t="shared" si="5"/>
        <v>0</v>
      </c>
      <c r="W34" s="20">
        <v>0</v>
      </c>
      <c r="X34" s="268">
        <f t="shared" si="5"/>
        <v>0</v>
      </c>
      <c r="Y34" s="137"/>
      <c r="Z34" s="46"/>
      <c r="AA34" s="358">
        <f>'Exhibit P,2'!I36</f>
        <v>0.76276619860572548</v>
      </c>
      <c r="AB34" s="358">
        <f>'Exhibit Q,7'!K25</f>
        <v>0.99336056768070491</v>
      </c>
      <c r="AC34" s="358">
        <f>'Exhibit Q,7'!M25</f>
        <v>0.99658549146390163</v>
      </c>
      <c r="AD34" s="18"/>
      <c r="AE34" s="31"/>
      <c r="AF34" s="423">
        <f>P34</f>
        <v>2012</v>
      </c>
      <c r="AG34" s="153">
        <f t="shared" si="14"/>
        <v>4.1795694643930181E-3</v>
      </c>
      <c r="AH34" s="153">
        <f>'Exhibit M,3'!E34</f>
        <v>1.7989257050825769E-2</v>
      </c>
      <c r="AI34" s="422">
        <v>0.5</v>
      </c>
      <c r="AJ34" s="424">
        <f t="shared" si="12"/>
        <v>1.3386027855348185E-2</v>
      </c>
      <c r="AK34" s="72">
        <f t="shared" si="13"/>
        <v>1.3386027855348185E-2</v>
      </c>
      <c r="AM34" s="18"/>
      <c r="AQ34" s="18"/>
    </row>
    <row r="35" spans="1:43">
      <c r="A35" s="6">
        <f t="shared" si="6"/>
        <v>2013</v>
      </c>
      <c r="C35" s="494">
        <f>'Exhibit P,2'!O37</f>
        <v>861757.7708637669</v>
      </c>
      <c r="E35" s="357">
        <f t="shared" si="9"/>
        <v>1.5242288184162733E-2</v>
      </c>
      <c r="G35" s="187">
        <f t="shared" si="10"/>
        <v>13135.16028844721</v>
      </c>
      <c r="H35" s="187"/>
      <c r="I35" s="17">
        <f t="shared" si="1"/>
        <v>750000</v>
      </c>
      <c r="J35" s="187"/>
      <c r="K35" s="494">
        <f t="shared" si="2"/>
        <v>763135.16028844716</v>
      </c>
      <c r="L35" s="18">
        <v>22853584.829999998</v>
      </c>
      <c r="M35" s="18">
        <f>R35+'Exhibit M,3'!R35+'Exhibit N,3'!R35+'Exhibit O,3'!R35</f>
        <v>22853584.829999998</v>
      </c>
      <c r="N35" s="18">
        <f t="shared" si="8"/>
        <v>0</v>
      </c>
      <c r="O35" s="18">
        <f>T35+'Exhibit M,3'!T35+'Exhibit N,3'!T35+'Exhibit O,3'!T35</f>
        <v>22853584.829999998</v>
      </c>
      <c r="P35" s="25">
        <f t="shared" si="7"/>
        <v>2013</v>
      </c>
      <c r="Q35" s="230">
        <v>22553584.829999998</v>
      </c>
      <c r="R35" s="31">
        <v>750000</v>
      </c>
      <c r="S35" s="31">
        <v>750000</v>
      </c>
      <c r="T35" s="31">
        <v>750000</v>
      </c>
      <c r="U35" s="31">
        <v>750000</v>
      </c>
      <c r="V35" s="268">
        <f t="shared" si="5"/>
        <v>0</v>
      </c>
      <c r="W35" s="20">
        <v>759856.40202853235</v>
      </c>
      <c r="X35" s="268">
        <f t="shared" si="5"/>
        <v>-9856.4020285323495</v>
      </c>
      <c r="Y35" s="137"/>
      <c r="Z35" s="46"/>
      <c r="AA35" s="358">
        <f>'Exhibit P,2'!I37</f>
        <v>0.83192402921066055</v>
      </c>
      <c r="AB35" s="358">
        <f>'Exhibit Q,7'!K26</f>
        <v>0.97604237558173101</v>
      </c>
      <c r="AC35" s="358">
        <f>'Exhibit Q,7'!M26</f>
        <v>0.98651849591014062</v>
      </c>
      <c r="AD35" s="18"/>
      <c r="AE35" s="31"/>
      <c r="AF35" s="423">
        <f t="shared" ref="AF35:AF44" si="15">P35</f>
        <v>2013</v>
      </c>
      <c r="AG35" s="153">
        <f t="shared" si="14"/>
        <v>1.5242288184162733E-2</v>
      </c>
      <c r="AH35" s="153">
        <f>'Exhibit M,3'!E35</f>
        <v>3.3556764638030812E-2</v>
      </c>
      <c r="AI35" s="422">
        <v>0.5</v>
      </c>
      <c r="AJ35" s="424">
        <f t="shared" si="12"/>
        <v>2.7451939153408118E-2</v>
      </c>
      <c r="AK35" s="72">
        <f t="shared" si="13"/>
        <v>2.7451939153408118E-2</v>
      </c>
      <c r="AM35" s="18"/>
      <c r="AQ35" s="18"/>
    </row>
    <row r="36" spans="1:43">
      <c r="A36" s="6">
        <f t="shared" si="6"/>
        <v>2014</v>
      </c>
      <c r="C36" s="494">
        <f>'Exhibit P,2'!O38</f>
        <v>0</v>
      </c>
      <c r="E36" s="357">
        <f t="shared" si="9"/>
        <v>5.1984045592144423E-2</v>
      </c>
      <c r="G36" s="187">
        <f t="shared" si="10"/>
        <v>0</v>
      </c>
      <c r="H36" s="187"/>
      <c r="I36" s="17">
        <f t="shared" si="1"/>
        <v>0</v>
      </c>
      <c r="J36" s="187"/>
      <c r="K36" s="494">
        <f t="shared" si="2"/>
        <v>0</v>
      </c>
      <c r="L36" s="18">
        <v>13940742.370000001</v>
      </c>
      <c r="M36" s="18">
        <f>R36+'Exhibit M,3'!R36+'Exhibit N,3'!R36+'Exhibit O,3'!R36</f>
        <v>13940742.370000001</v>
      </c>
      <c r="N36" s="18">
        <f t="shared" si="8"/>
        <v>0</v>
      </c>
      <c r="O36" s="18">
        <f>T36+'Exhibit M,3'!T36+'Exhibit N,3'!T36+'Exhibit O,3'!T36</f>
        <v>13891639.790000001</v>
      </c>
      <c r="P36" s="25">
        <f t="shared" si="7"/>
        <v>2014</v>
      </c>
      <c r="Q36" s="230">
        <v>13891639.790000001</v>
      </c>
      <c r="R36" s="31">
        <v>0</v>
      </c>
      <c r="S36" s="31">
        <v>0</v>
      </c>
      <c r="T36" s="31">
        <v>0</v>
      </c>
      <c r="U36" s="31">
        <v>0</v>
      </c>
      <c r="V36" s="268">
        <f t="shared" si="5"/>
        <v>0</v>
      </c>
      <c r="W36" s="20">
        <v>0</v>
      </c>
      <c r="X36" s="268">
        <f t="shared" si="5"/>
        <v>0</v>
      </c>
      <c r="Y36" s="137"/>
      <c r="Z36" s="46"/>
      <c r="AA36" s="358">
        <f>'Exhibit P,2'!I38</f>
        <v>0.77917272854845554</v>
      </c>
      <c r="AB36" s="358">
        <f>'Exhibit Q,7'!K27</f>
        <v>0.92586482970108719</v>
      </c>
      <c r="AC36" s="358">
        <f>'Exhibit Q,7'!M27</f>
        <v>0.9542938594850664</v>
      </c>
      <c r="AD36" s="18"/>
      <c r="AE36" s="31"/>
      <c r="AF36" s="423">
        <f t="shared" si="15"/>
        <v>2014</v>
      </c>
      <c r="AG36" s="153">
        <f t="shared" si="14"/>
        <v>5.1984045592144423E-2</v>
      </c>
      <c r="AH36" s="153">
        <f>'Exhibit M,3'!E36</f>
        <v>7.3153125938072661E-2</v>
      </c>
      <c r="AI36" s="422">
        <v>0.5</v>
      </c>
      <c r="AJ36" s="424">
        <f t="shared" si="12"/>
        <v>6.6096765822763248E-2</v>
      </c>
      <c r="AK36" s="72">
        <f t="shared" si="13"/>
        <v>6.6096765822763248E-2</v>
      </c>
      <c r="AM36" s="18"/>
      <c r="AQ36" s="18"/>
    </row>
    <row r="37" spans="1:43">
      <c r="A37" s="6">
        <f t="shared" si="6"/>
        <v>2015</v>
      </c>
      <c r="C37" s="494">
        <f>'Exhibit P,2'!O39</f>
        <v>532936.0210506228</v>
      </c>
      <c r="E37" s="357">
        <f t="shared" si="9"/>
        <v>0.13442066952846876</v>
      </c>
      <c r="G37" s="187">
        <f t="shared" si="10"/>
        <v>71637.616765462837</v>
      </c>
      <c r="H37" s="187"/>
      <c r="I37" s="17">
        <f t="shared" si="1"/>
        <v>100000</v>
      </c>
      <c r="J37" s="187"/>
      <c r="K37" s="494">
        <f t="shared" si="2"/>
        <v>171637.61676546285</v>
      </c>
      <c r="L37" s="18">
        <v>19423293.039999999</v>
      </c>
      <c r="M37" s="18">
        <f>R37+'Exhibit M,3'!R37+'Exhibit N,3'!R37+'Exhibit O,3'!R37</f>
        <v>19423293.039999999</v>
      </c>
      <c r="N37" s="18">
        <f t="shared" si="8"/>
        <v>0</v>
      </c>
      <c r="O37" s="18">
        <f>T37+'Exhibit M,3'!T37+'Exhibit N,3'!T37+'Exhibit O,3'!T37</f>
        <v>19385212.089999996</v>
      </c>
      <c r="P37" s="25">
        <f t="shared" si="7"/>
        <v>2015</v>
      </c>
      <c r="Q37" s="230">
        <v>19385212.09</v>
      </c>
      <c r="R37" s="31">
        <v>100000</v>
      </c>
      <c r="S37" s="31">
        <v>100000</v>
      </c>
      <c r="T37" s="31">
        <v>100000</v>
      </c>
      <c r="U37" s="31">
        <v>100000</v>
      </c>
      <c r="V37" s="268">
        <f t="shared" si="5"/>
        <v>0</v>
      </c>
      <c r="W37" s="20">
        <v>116477.05047967032</v>
      </c>
      <c r="X37" s="268">
        <f t="shared" si="5"/>
        <v>-16477.050479670317</v>
      </c>
      <c r="Y37" s="137"/>
      <c r="Z37" s="46"/>
      <c r="AA37" s="358">
        <f>'Exhibit P,2'!I39</f>
        <v>0.8333824427554114</v>
      </c>
      <c r="AB37" s="358">
        <f>'Exhibit Q,7'!K28</f>
        <v>0.8203121366118874</v>
      </c>
      <c r="AC37" s="358">
        <f>'Exhibit Q,7'!M28</f>
        <v>0.87462956824624838</v>
      </c>
      <c r="AD37" s="18"/>
      <c r="AE37" s="31"/>
      <c r="AF37" s="423">
        <f t="shared" si="15"/>
        <v>2015</v>
      </c>
      <c r="AG37" s="153">
        <f t="shared" si="14"/>
        <v>0.13442066952846876</v>
      </c>
      <c r="AH37" s="153">
        <f>'Exhibit M,3'!E37</f>
        <v>0.14789004010264484</v>
      </c>
      <c r="AI37" s="422">
        <v>0.5</v>
      </c>
      <c r="AJ37" s="424">
        <f t="shared" si="12"/>
        <v>0.1434002499112528</v>
      </c>
      <c r="AK37" s="72">
        <f t="shared" si="13"/>
        <v>0.1434002499112528</v>
      </c>
      <c r="AM37" s="18"/>
      <c r="AQ37" s="18"/>
    </row>
    <row r="38" spans="1:43">
      <c r="A38" s="6">
        <f t="shared" si="6"/>
        <v>2016</v>
      </c>
      <c r="C38" s="494">
        <f>'Exhibit P,2'!O40</f>
        <v>1435632.9034810024</v>
      </c>
      <c r="E38" s="357">
        <f t="shared" si="9"/>
        <v>0.31980938509853118</v>
      </c>
      <c r="G38" s="187">
        <f t="shared" si="10"/>
        <v>459128.87608947838</v>
      </c>
      <c r="H38" s="187"/>
      <c r="I38" s="17">
        <f t="shared" si="1"/>
        <v>1850000</v>
      </c>
      <c r="J38" s="187"/>
      <c r="K38" s="494">
        <f t="shared" si="2"/>
        <v>2309128.8760894784</v>
      </c>
      <c r="L38" s="18">
        <v>15268627.01</v>
      </c>
      <c r="M38" s="18">
        <f>R38+'Exhibit M,3'!R38+'Exhibit N,3'!R38+'Exhibit O,3'!R38</f>
        <v>15268627.01</v>
      </c>
      <c r="N38" s="18">
        <f t="shared" si="8"/>
        <v>0</v>
      </c>
      <c r="O38" s="18">
        <f>T38+'Exhibit M,3'!T38+'Exhibit N,3'!T38+'Exhibit O,3'!T38</f>
        <v>14459034.209999999</v>
      </c>
      <c r="P38" s="25">
        <f t="shared" si="7"/>
        <v>2016</v>
      </c>
      <c r="Q38" s="230">
        <v>14459034.210000001</v>
      </c>
      <c r="R38" s="31">
        <v>1850000</v>
      </c>
      <c r="S38" s="31">
        <v>1850000</v>
      </c>
      <c r="T38" s="31">
        <v>1600000</v>
      </c>
      <c r="U38" s="31">
        <v>2100000</v>
      </c>
      <c r="V38" s="268">
        <f t="shared" si="5"/>
        <v>-250000</v>
      </c>
      <c r="W38" s="20">
        <v>2617879.0266995155</v>
      </c>
      <c r="X38" s="268">
        <f t="shared" si="5"/>
        <v>-517879.02669951553</v>
      </c>
      <c r="Y38" s="137"/>
      <c r="Z38" s="46"/>
      <c r="AA38" s="358">
        <f>'Exhibit P,2'!I40</f>
        <v>0.328365526942971</v>
      </c>
      <c r="AB38" s="358">
        <f>'Exhibit Q,7'!K29</f>
        <v>0.65558994591853825</v>
      </c>
      <c r="AC38" s="358">
        <f>'Exhibit Q,7'!M29</f>
        <v>0.73050849541415308</v>
      </c>
      <c r="AD38" s="18"/>
      <c r="AE38" s="31"/>
      <c r="AF38" s="423">
        <f t="shared" si="15"/>
        <v>2016</v>
      </c>
      <c r="AG38" s="153">
        <f t="shared" si="14"/>
        <v>0.31980938509853118</v>
      </c>
      <c r="AH38" s="153">
        <f>'Exhibit M,3'!E38</f>
        <v>0.29911927481352962</v>
      </c>
      <c r="AI38" s="422">
        <v>0.5</v>
      </c>
      <c r="AJ38" s="424">
        <f t="shared" si="12"/>
        <v>0.3060159782418635</v>
      </c>
      <c r="AK38" s="72">
        <f t="shared" si="13"/>
        <v>0.3060159782418635</v>
      </c>
      <c r="AM38" s="18"/>
      <c r="AQ38" s="18"/>
    </row>
    <row r="39" spans="1:43">
      <c r="A39" s="6">
        <f t="shared" si="6"/>
        <v>2017</v>
      </c>
      <c r="C39" s="494">
        <f>'Exhibit P,2'!O41</f>
        <v>622563.81403432461</v>
      </c>
      <c r="E39" s="357">
        <f t="shared" si="9"/>
        <v>0.50078586597763564</v>
      </c>
      <c r="G39" s="187">
        <f t="shared" si="10"/>
        <v>311771.15873751894</v>
      </c>
      <c r="H39" s="187"/>
      <c r="I39" s="17">
        <f t="shared" si="1"/>
        <v>0</v>
      </c>
      <c r="J39" s="187"/>
      <c r="K39" s="494">
        <f t="shared" si="2"/>
        <v>311771.15873751894</v>
      </c>
      <c r="L39" s="18">
        <v>5263775.8999999994</v>
      </c>
      <c r="M39" s="18">
        <f>R39+'Exhibit M,3'!R39+'Exhibit N,3'!R39+'Exhibit O,3'!R39</f>
        <v>5263775.8999999994</v>
      </c>
      <c r="N39" s="18">
        <f t="shared" si="8"/>
        <v>0</v>
      </c>
      <c r="O39" s="18">
        <f>T39+'Exhibit M,3'!T39+'Exhibit N,3'!T39+'Exhibit O,3'!T39</f>
        <v>3801889.6199999996</v>
      </c>
      <c r="P39" s="25">
        <f t="shared" si="7"/>
        <v>2017</v>
      </c>
      <c r="Q39" s="230">
        <v>3801889.6199999996</v>
      </c>
      <c r="R39" s="31">
        <v>0</v>
      </c>
      <c r="S39" s="31">
        <v>0</v>
      </c>
      <c r="T39" s="31">
        <v>0</v>
      </c>
      <c r="U39" s="31">
        <v>0</v>
      </c>
      <c r="V39" s="268">
        <f t="shared" si="5"/>
        <v>0</v>
      </c>
      <c r="W39" s="20">
        <v>601269.30842813</v>
      </c>
      <c r="X39" s="268">
        <f t="shared" si="5"/>
        <v>-601269.30842813</v>
      </c>
      <c r="Y39" s="137"/>
      <c r="Z39" s="46"/>
      <c r="AA39" s="358">
        <f>'Exhibit P,2'!I41</f>
        <v>0.36490484630827669</v>
      </c>
      <c r="AB39" s="358">
        <f>'Exhibit Q,7'!K30</f>
        <v>0.47493137827282289</v>
      </c>
      <c r="AC39" s="358">
        <f>'Exhibit Q,7'!M30</f>
        <v>0.5414768242848691</v>
      </c>
      <c r="AD39" s="18"/>
      <c r="AE39" s="31"/>
      <c r="AF39" s="425">
        <f t="shared" si="15"/>
        <v>2017</v>
      </c>
      <c r="AG39" s="426">
        <f t="shared" si="14"/>
        <v>0.50078586597763564</v>
      </c>
      <c r="AH39" s="426">
        <f>'Exhibit M,3'!E39</f>
        <v>0.46050622554744169</v>
      </c>
      <c r="AI39" s="427">
        <v>0.5</v>
      </c>
      <c r="AJ39" s="428">
        <f t="shared" si="12"/>
        <v>0.47393277235750636</v>
      </c>
      <c r="AK39" s="429">
        <f t="shared" si="13"/>
        <v>0.47393277235750636</v>
      </c>
      <c r="AM39" s="18"/>
      <c r="AQ39" s="18"/>
    </row>
    <row r="40" spans="1:43">
      <c r="A40" s="6">
        <f t="shared" si="6"/>
        <v>2018</v>
      </c>
      <c r="C40" s="494">
        <f>'Exhibit P,2'!O42</f>
        <v>544434.35059902596</v>
      </c>
      <c r="E40" s="357">
        <f t="shared" si="9"/>
        <v>0.67975794809635859</v>
      </c>
      <c r="G40" s="187">
        <f t="shared" si="10"/>
        <v>370083.57703636738</v>
      </c>
      <c r="H40" s="187"/>
      <c r="I40" s="17">
        <f t="shared" si="1"/>
        <v>215000</v>
      </c>
      <c r="J40" s="187"/>
      <c r="K40" s="494">
        <f t="shared" si="2"/>
        <v>585083.57703636738</v>
      </c>
      <c r="L40" s="18">
        <v>8408619.2799999993</v>
      </c>
      <c r="M40" s="18">
        <f>R40+'Exhibit M,3'!R40+'Exhibit N,3'!R40+'Exhibit O,3'!R40</f>
        <v>8408619.2799999993</v>
      </c>
      <c r="N40" s="18">
        <f t="shared" si="8"/>
        <v>0</v>
      </c>
      <c r="O40" s="18">
        <f>T40+'Exhibit M,3'!T40+'Exhibit N,3'!T40+'Exhibit O,3'!T40</f>
        <v>6549740.0800000001</v>
      </c>
      <c r="P40" s="25">
        <f t="shared" si="7"/>
        <v>2018</v>
      </c>
      <c r="Q40" s="230">
        <v>6549740.0799999991</v>
      </c>
      <c r="R40" s="31">
        <v>215000</v>
      </c>
      <c r="S40" s="31">
        <v>215000</v>
      </c>
      <c r="T40" s="31">
        <v>0</v>
      </c>
      <c r="U40" s="31">
        <v>0</v>
      </c>
      <c r="V40" s="268">
        <f t="shared" si="5"/>
        <v>215000</v>
      </c>
      <c r="W40" s="20">
        <v>401986.40177457297</v>
      </c>
      <c r="X40" s="268">
        <f t="shared" si="5"/>
        <v>-401986.40177457297</v>
      </c>
      <c r="Y40" s="137"/>
      <c r="Z40" s="46"/>
      <c r="AA40" s="358">
        <f>'Exhibit P,2'!I42</f>
        <v>0.39808721008396869</v>
      </c>
      <c r="AB40" s="358">
        <f>'Exhibit Q,7'!K31</f>
        <v>0.29724304673699037</v>
      </c>
      <c r="AC40" s="358">
        <f>'Exhibit Q,7'!M31</f>
        <v>0.35501683244037896</v>
      </c>
      <c r="AD40" s="18"/>
      <c r="AE40" s="31"/>
      <c r="AF40" s="423">
        <f t="shared" si="15"/>
        <v>2018</v>
      </c>
      <c r="AG40" s="153">
        <f t="shared" si="14"/>
        <v>0.67975794809635859</v>
      </c>
      <c r="AH40" s="153">
        <f>'Exhibit M,3'!E40</f>
        <v>0.63072973080291106</v>
      </c>
      <c r="AI40" s="422">
        <v>0.5</v>
      </c>
      <c r="AJ40" s="424">
        <f t="shared" si="12"/>
        <v>0.64707246990072687</v>
      </c>
      <c r="AK40" s="72">
        <f t="shared" si="13"/>
        <v>0.64707246990072687</v>
      </c>
      <c r="AM40" s="18"/>
      <c r="AQ40" s="18"/>
    </row>
    <row r="41" spans="1:43">
      <c r="A41" s="6">
        <f t="shared" si="6"/>
        <v>2019</v>
      </c>
      <c r="C41" s="494">
        <f>'Exhibit P,2'!O43</f>
        <v>448846.04533441353</v>
      </c>
      <c r="E41" s="357">
        <f t="shared" si="9"/>
        <v>0.81985955270770372</v>
      </c>
      <c r="G41" s="187">
        <f t="shared" si="10"/>
        <v>367990.717962494</v>
      </c>
      <c r="H41" s="187"/>
      <c r="I41" s="17">
        <f t="shared" si="1"/>
        <v>500000</v>
      </c>
      <c r="J41" s="187"/>
      <c r="K41" s="494">
        <f t="shared" si="2"/>
        <v>867990.717962494</v>
      </c>
      <c r="L41" s="18">
        <v>7568111.0500000007</v>
      </c>
      <c r="M41" s="18">
        <f>R41+'Exhibit M,3'!R41+'Exhibit N,3'!R41+'Exhibit O,3'!R41</f>
        <v>7568111.0500000007</v>
      </c>
      <c r="N41" s="18">
        <f t="shared" si="8"/>
        <v>0</v>
      </c>
      <c r="O41" s="18">
        <f>T41+'Exhibit M,3'!T41+'Exhibit N,3'!T41+'Exhibit O,3'!T41</f>
        <v>5915662.8599999994</v>
      </c>
      <c r="P41" s="25">
        <f t="shared" si="7"/>
        <v>2019</v>
      </c>
      <c r="Q41" s="230">
        <v>5915662.8599999994</v>
      </c>
      <c r="R41" s="31">
        <v>500000</v>
      </c>
      <c r="S41" s="31">
        <v>1000000</v>
      </c>
      <c r="T41" s="31">
        <v>500000</v>
      </c>
      <c r="U41" s="31">
        <v>500000</v>
      </c>
      <c r="V41" s="268">
        <f t="shared" si="5"/>
        <v>500000</v>
      </c>
      <c r="W41" s="20">
        <v>914805.68558257306</v>
      </c>
      <c r="X41" s="268">
        <f t="shared" si="5"/>
        <v>-414805.68558257306</v>
      </c>
      <c r="Y41" s="137"/>
      <c r="Z41" s="46"/>
      <c r="AA41" s="358">
        <f>'Exhibit P,2'!I43</f>
        <v>0.75166691860035484</v>
      </c>
      <c r="AB41" s="358">
        <f>'Exhibit Q,7'!K32</f>
        <v>0.14105512444570095</v>
      </c>
      <c r="AC41" s="358">
        <f>'Exhibit Q,7'!M32</f>
        <v>0.19305331923039931</v>
      </c>
      <c r="AD41" s="18"/>
      <c r="AE41" s="31"/>
      <c r="AF41" s="423">
        <f t="shared" si="15"/>
        <v>2019</v>
      </c>
      <c r="AG41" s="153">
        <f t="shared" si="14"/>
        <v>0.81985955270770372</v>
      </c>
      <c r="AH41" s="153">
        <f>'Exhibit M,3'!E41</f>
        <v>0.77167425619765684</v>
      </c>
      <c r="AI41" s="422">
        <v>0.5</v>
      </c>
      <c r="AJ41" s="424">
        <f t="shared" si="12"/>
        <v>0.78773602170100576</v>
      </c>
      <c r="AK41" s="72">
        <f t="shared" si="13"/>
        <v>0.78773602170100576</v>
      </c>
      <c r="AM41" s="18"/>
      <c r="AQ41" s="18"/>
    </row>
    <row r="42" spans="1:43">
      <c r="A42" s="6">
        <f t="shared" si="6"/>
        <v>2020</v>
      </c>
      <c r="C42" s="494">
        <f>'Exhibit P,2'!O44</f>
        <v>339866.54764566751</v>
      </c>
      <c r="E42" s="357">
        <f t="shared" si="9"/>
        <v>0.93614460413139433</v>
      </c>
      <c r="G42" s="187">
        <f t="shared" si="10"/>
        <v>318164.2347032571</v>
      </c>
      <c r="H42" s="187"/>
      <c r="I42" s="17">
        <f t="shared" si="1"/>
        <v>0</v>
      </c>
      <c r="J42" s="187"/>
      <c r="K42" s="494">
        <f t="shared" si="2"/>
        <v>318164.2347032571</v>
      </c>
      <c r="L42" s="18">
        <v>6308592.6199999992</v>
      </c>
      <c r="M42" s="18">
        <f>R42+'Exhibit M,3'!R42+'Exhibit N,3'!R42+'Exhibit O,3'!R42</f>
        <v>6308592.6200000001</v>
      </c>
      <c r="N42" s="18">
        <f t="shared" si="8"/>
        <v>0</v>
      </c>
      <c r="O42" s="18">
        <f>T42+'Exhibit M,3'!T42+'Exhibit N,3'!T42+'Exhibit O,3'!T42</f>
        <v>915537.91999999993</v>
      </c>
      <c r="P42" s="25">
        <f t="shared" si="7"/>
        <v>2020</v>
      </c>
      <c r="Q42" s="230">
        <v>915537.91999999993</v>
      </c>
      <c r="R42" s="31">
        <v>0</v>
      </c>
      <c r="S42" s="31">
        <v>0</v>
      </c>
      <c r="T42" s="31">
        <v>0</v>
      </c>
      <c r="U42" s="31">
        <v>0</v>
      </c>
      <c r="V42" s="268">
        <f t="shared" si="5"/>
        <v>0</v>
      </c>
      <c r="W42" s="20">
        <v>483851.22791845346</v>
      </c>
      <c r="X42" s="268">
        <f t="shared" si="5"/>
        <v>-483851.22791845346</v>
      </c>
      <c r="Y42" s="137"/>
      <c r="Z42" s="46"/>
      <c r="AA42" s="358">
        <f>'Exhibit P,2'!I44</f>
        <v>0.76707693639723784</v>
      </c>
      <c r="AB42" s="358">
        <f>'Exhibit Q,7'!K33</f>
        <v>5.2816207243050702E-2</v>
      </c>
      <c r="AC42" s="358">
        <f>'Exhibit Q,7'!M33</f>
        <v>6.7207447680291757E-2</v>
      </c>
      <c r="AD42" s="18"/>
      <c r="AE42" s="31"/>
      <c r="AF42" s="423">
        <f t="shared" si="15"/>
        <v>2020</v>
      </c>
      <c r="AG42" s="153">
        <f t="shared" si="14"/>
        <v>0.93614460413139433</v>
      </c>
      <c r="AH42" s="153">
        <f>'Exhibit M,3'!E42</f>
        <v>0.89539980936719787</v>
      </c>
      <c r="AI42" s="422">
        <v>0.5</v>
      </c>
      <c r="AJ42" s="424">
        <f t="shared" si="12"/>
        <v>0.90898140762193014</v>
      </c>
      <c r="AK42" s="72">
        <f t="shared" si="13"/>
        <v>0.90898140762193014</v>
      </c>
      <c r="AM42" s="18"/>
      <c r="AQ42" s="18"/>
    </row>
    <row r="43" spans="1:43">
      <c r="A43" s="6">
        <f t="shared" si="6"/>
        <v>2021</v>
      </c>
      <c r="C43" s="494">
        <f>'Exhibit P,2'!O45</f>
        <v>325293.77233674133</v>
      </c>
      <c r="E43" s="357">
        <f t="shared" si="9"/>
        <v>0.99150683153870101</v>
      </c>
      <c r="G43" s="187">
        <f t="shared" si="10"/>
        <v>322530.99752887397</v>
      </c>
      <c r="H43" s="187"/>
      <c r="I43" s="17">
        <f t="shared" si="1"/>
        <v>0</v>
      </c>
      <c r="J43" s="187"/>
      <c r="K43" s="494">
        <f t="shared" si="2"/>
        <v>322530.99752887397</v>
      </c>
      <c r="L43" s="18">
        <v>508906.53</v>
      </c>
      <c r="M43" s="18">
        <f>R43+'Exhibit M,3'!R43+'Exhibit N,3'!R43+'Exhibit O,3'!R43</f>
        <v>508906.53</v>
      </c>
      <c r="N43" s="18">
        <f t="shared" si="8"/>
        <v>0</v>
      </c>
      <c r="O43" s="18">
        <f>T43+'Exhibit M,3'!T43+'Exhibit N,3'!T43+'Exhibit O,3'!T43</f>
        <v>201314.08000000002</v>
      </c>
      <c r="P43" s="25">
        <f t="shared" si="7"/>
        <v>2021</v>
      </c>
      <c r="Q43" s="230">
        <v>201314.08000000002</v>
      </c>
      <c r="R43" s="31">
        <v>0</v>
      </c>
      <c r="S43" s="31">
        <v>0</v>
      </c>
      <c r="T43" s="31">
        <v>0</v>
      </c>
      <c r="U43" s="31">
        <v>0</v>
      </c>
      <c r="V43" s="268">
        <f t="shared" si="5"/>
        <v>0</v>
      </c>
      <c r="W43" s="20">
        <v>419882.17330072465</v>
      </c>
      <c r="X43" s="268">
        <f t="shared" si="5"/>
        <v>-419882.17330072465</v>
      </c>
      <c r="Y43" s="137"/>
      <c r="Z43" s="46"/>
      <c r="AA43" s="358">
        <f>'Exhibit P,2'!I45</f>
        <v>0.76707693639723784</v>
      </c>
      <c r="AB43" s="358">
        <f>'Exhibit Q,7'!K34</f>
        <v>7.4138696494559699E-3</v>
      </c>
      <c r="AC43" s="358">
        <f>'Exhibit Q,7'!M34</f>
        <v>8.8208977591945244E-3</v>
      </c>
      <c r="AD43" s="18"/>
      <c r="AE43" s="31"/>
      <c r="AF43" s="423">
        <f t="shared" si="15"/>
        <v>2021</v>
      </c>
      <c r="AG43" s="153">
        <f t="shared" si="14"/>
        <v>0.99150683153870101</v>
      </c>
      <c r="AH43" s="153">
        <f>'Exhibit M,3'!E43</f>
        <v>0.96907878114938806</v>
      </c>
      <c r="AI43" s="422">
        <v>0.5</v>
      </c>
      <c r="AJ43" s="424">
        <f t="shared" si="12"/>
        <v>0.97655479794582567</v>
      </c>
      <c r="AK43" s="72">
        <f t="shared" si="13"/>
        <v>0.97655479794582567</v>
      </c>
      <c r="AM43" s="18"/>
      <c r="AQ43" s="18"/>
    </row>
    <row r="44" spans="1:43">
      <c r="A44" s="6">
        <f t="shared" si="6"/>
        <v>2022</v>
      </c>
      <c r="C44" s="494">
        <f>'Exhibit P,2'!O46</f>
        <v>1103811.1775244733</v>
      </c>
      <c r="E44" s="357">
        <f t="shared" si="9"/>
        <v>0.99973029849747785</v>
      </c>
      <c r="G44" s="187">
        <f t="shared" si="10"/>
        <v>1103513.4779913942</v>
      </c>
      <c r="H44" s="187"/>
      <c r="I44" s="17">
        <f t="shared" si="1"/>
        <v>0</v>
      </c>
      <c r="J44" s="187"/>
      <c r="K44" s="494">
        <f t="shared" si="2"/>
        <v>1103513.4779913942</v>
      </c>
      <c r="L44" s="18">
        <v>398812.9</v>
      </c>
      <c r="M44" s="18">
        <f>R44+'Exhibit M,3'!R44+'Exhibit N,3'!R44+'Exhibit O,3'!R44</f>
        <v>398812.9</v>
      </c>
      <c r="N44" s="18">
        <f t="shared" si="8"/>
        <v>0</v>
      </c>
      <c r="O44" s="18">
        <f>T44+'Exhibit M,3'!T44+'Exhibit N,3'!T44+'Exhibit O,3'!T44</f>
        <v>0</v>
      </c>
      <c r="P44" s="25">
        <f t="shared" si="7"/>
        <v>2022</v>
      </c>
      <c r="Q44" s="230">
        <v>0</v>
      </c>
      <c r="R44" s="31">
        <v>0</v>
      </c>
      <c r="S44" s="31">
        <v>0</v>
      </c>
      <c r="T44" s="25"/>
      <c r="U44" s="25"/>
      <c r="V44" s="268">
        <f t="shared" si="5"/>
        <v>0</v>
      </c>
      <c r="W44" s="20">
        <v>0</v>
      </c>
      <c r="X44" s="268">
        <f t="shared" si="5"/>
        <v>0</v>
      </c>
      <c r="Y44" s="137"/>
      <c r="Z44" s="46"/>
      <c r="AA44" s="358">
        <f>'Exhibit P,2'!I46</f>
        <v>0.90808645595545001</v>
      </c>
      <c r="AB44" s="358">
        <f>'Exhibit Q,7'!K35</f>
        <v>2.3494657339825261E-4</v>
      </c>
      <c r="AC44" s="358">
        <f>'Exhibit Q,7'!M35</f>
        <v>2.7321928289191177E-4</v>
      </c>
      <c r="AD44" s="18"/>
      <c r="AE44" s="31"/>
      <c r="AF44" s="423">
        <f t="shared" si="15"/>
        <v>2022</v>
      </c>
      <c r="AG44" s="153">
        <f>E44</f>
        <v>0.99973029849747785</v>
      </c>
      <c r="AH44" s="153">
        <f>'Exhibit M,3'!E44</f>
        <v>0.99606476515461351</v>
      </c>
      <c r="AI44" s="422">
        <v>0.5</v>
      </c>
      <c r="AJ44" s="424">
        <f t="shared" si="12"/>
        <v>0.99728660960223492</v>
      </c>
      <c r="AK44" s="72">
        <f t="shared" si="13"/>
        <v>0.99728660960223492</v>
      </c>
      <c r="AM44" s="18"/>
      <c r="AQ44" s="18"/>
    </row>
    <row r="45" spans="1:43">
      <c r="A45" s="6"/>
      <c r="C45" s="105"/>
      <c r="G45" s="105"/>
      <c r="I45" s="105"/>
      <c r="K45" s="105"/>
      <c r="L45" s="18">
        <v>0</v>
      </c>
      <c r="N45" s="61"/>
      <c r="O45" s="61"/>
      <c r="P45" s="25"/>
      <c r="Q45" s="25"/>
      <c r="R45" s="61"/>
      <c r="S45" s="25"/>
      <c r="T45" s="25"/>
      <c r="U45" s="25"/>
      <c r="V45" s="25"/>
      <c r="W45" s="20"/>
      <c r="X45" s="25"/>
      <c r="Y45" s="137"/>
      <c r="Z45" s="137"/>
      <c r="AA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</row>
    <row r="46" spans="1:43">
      <c r="A46" s="6" t="s">
        <v>0</v>
      </c>
      <c r="C46" s="26">
        <f>SUM(C16:C45)</f>
        <v>13110247.836169584</v>
      </c>
      <c r="G46" s="26">
        <f>SUM(G16:G45)</f>
        <v>3337955.8171032942</v>
      </c>
      <c r="H46" s="26"/>
      <c r="I46" s="26">
        <f>SUM(I16:I45)</f>
        <v>10567529.92</v>
      </c>
      <c r="J46" s="26"/>
      <c r="K46" s="26">
        <f>SUM(K16:K45)</f>
        <v>13905485.737103296</v>
      </c>
      <c r="L46" s="278">
        <f>SUM(L16:L44)-N46</f>
        <v>458168378.42999995</v>
      </c>
      <c r="M46" s="278">
        <f>SUM(M16:M44)-O46</f>
        <v>454783004.3499999</v>
      </c>
      <c r="N46" s="61"/>
      <c r="O46" s="278">
        <f>SUM(O16:O44)-Q46</f>
        <v>3385374.0800000429</v>
      </c>
      <c r="P46" s="25" t="s">
        <v>0</v>
      </c>
      <c r="Q46" s="278">
        <f t="shared" ref="Q46:X46" si="16">SUM(Q16:Q44)</f>
        <v>442730524.0999999</v>
      </c>
      <c r="R46" s="278">
        <f t="shared" si="16"/>
        <v>10567529.92</v>
      </c>
      <c r="S46" s="278">
        <f t="shared" si="16"/>
        <v>11067529.92</v>
      </c>
      <c r="T46" s="278">
        <f t="shared" si="16"/>
        <v>10097529.92</v>
      </c>
      <c r="U46" s="278">
        <f t="shared" si="16"/>
        <v>10597529.92</v>
      </c>
      <c r="V46" s="278">
        <f t="shared" si="16"/>
        <v>470000</v>
      </c>
      <c r="W46" s="278">
        <f t="shared" si="16"/>
        <v>13463537.196212171</v>
      </c>
      <c r="X46" s="278">
        <f t="shared" si="16"/>
        <v>-2866007.2762121721</v>
      </c>
      <c r="Y46" s="137"/>
      <c r="Z46" s="137"/>
      <c r="AA46" s="137"/>
      <c r="AB46" s="283"/>
      <c r="AC46" s="283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Q46" s="283"/>
    </row>
    <row r="47" spans="1:43">
      <c r="N47" s="61"/>
      <c r="O47" s="61"/>
      <c r="P47" s="61"/>
      <c r="Y47" s="137"/>
      <c r="Z47" s="137"/>
      <c r="AA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</row>
    <row r="48" spans="1:43">
      <c r="A48" s="2"/>
      <c r="C48" s="26"/>
      <c r="G48" s="26"/>
      <c r="H48" s="26"/>
      <c r="I48" s="26"/>
      <c r="J48" s="26"/>
      <c r="K48" s="26"/>
      <c r="M48" s="22">
        <f>L46-M46</f>
        <v>3385374.0800000429</v>
      </c>
      <c r="N48" s="61"/>
      <c r="O48" s="61" t="s">
        <v>1599</v>
      </c>
      <c r="P48" s="61"/>
      <c r="Y48" s="137"/>
      <c r="Z48" s="137"/>
      <c r="AA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</row>
    <row r="49" spans="1:38">
      <c r="AE49" s="25"/>
      <c r="AJ49" s="25"/>
    </row>
    <row r="50" spans="1:38">
      <c r="A50" s="6" t="s">
        <v>50</v>
      </c>
      <c r="B50" s="3" t="s">
        <v>485</v>
      </c>
      <c r="M50" s="1" t="s">
        <v>1600</v>
      </c>
      <c r="P50" s="25"/>
      <c r="Q50" s="25"/>
      <c r="R50" s="3"/>
      <c r="S50" s="25"/>
      <c r="T50" s="25"/>
      <c r="U50" s="25"/>
    </row>
    <row r="51" spans="1:38">
      <c r="B51" s="3" t="s">
        <v>917</v>
      </c>
      <c r="C51" s="120"/>
      <c r="P51" s="25"/>
      <c r="Q51" s="25"/>
      <c r="R51" s="3"/>
      <c r="S51" s="25"/>
      <c r="T51" s="25"/>
      <c r="U51" s="25"/>
    </row>
    <row r="52" spans="1:38">
      <c r="B52" s="3" t="s">
        <v>401</v>
      </c>
      <c r="M52" s="61"/>
      <c r="P52" s="25"/>
      <c r="Q52" s="25"/>
      <c r="R52" s="3"/>
      <c r="S52" s="25"/>
      <c r="T52" s="25"/>
      <c r="U52" s="25"/>
    </row>
    <row r="53" spans="1:38">
      <c r="B53" s="3" t="s">
        <v>918</v>
      </c>
      <c r="P53" s="25"/>
      <c r="Q53" s="25"/>
      <c r="R53" s="3"/>
      <c r="S53" s="25"/>
      <c r="T53" s="25"/>
      <c r="U53" s="25"/>
    </row>
    <row r="54" spans="1:38">
      <c r="B54" s="3" t="s">
        <v>915</v>
      </c>
      <c r="P54" s="25"/>
      <c r="Q54" s="25"/>
      <c r="R54" s="3"/>
      <c r="S54" s="25"/>
      <c r="T54" s="25"/>
      <c r="U54" s="25"/>
    </row>
    <row r="55" spans="1:38">
      <c r="B55" s="1" t="s">
        <v>61</v>
      </c>
      <c r="P55" s="25"/>
      <c r="Q55" s="25"/>
      <c r="R55" s="25"/>
      <c r="S55" s="25"/>
      <c r="T55" s="25"/>
      <c r="U55" s="25"/>
    </row>
    <row r="56" spans="1:38">
      <c r="P56" s="25"/>
      <c r="Q56" s="25"/>
      <c r="R56" s="25"/>
      <c r="S56" s="25"/>
      <c r="T56" s="25"/>
      <c r="U56" s="25"/>
    </row>
    <row r="57" spans="1:38">
      <c r="P57" s="25"/>
      <c r="Q57" s="25"/>
      <c r="R57" s="25"/>
      <c r="S57" s="25"/>
      <c r="T57" s="25"/>
      <c r="U57" s="25"/>
    </row>
    <row r="58" spans="1:38">
      <c r="P58" s="25"/>
      <c r="Q58" s="25"/>
      <c r="R58" s="25"/>
      <c r="S58" s="25"/>
      <c r="T58" s="25"/>
      <c r="U58" s="25"/>
    </row>
    <row r="59" spans="1:38">
      <c r="P59" s="25"/>
      <c r="Q59" s="25"/>
      <c r="R59" s="25"/>
      <c r="S59" s="25"/>
      <c r="T59" s="25"/>
      <c r="U59" s="25"/>
    </row>
    <row r="60" spans="1:38">
      <c r="P60" s="25"/>
      <c r="Q60" s="25"/>
      <c r="R60" s="25"/>
      <c r="S60" s="25"/>
      <c r="T60" s="25"/>
      <c r="U60" s="25"/>
      <c r="W60" s="61"/>
      <c r="X60" s="61"/>
      <c r="AD60" s="61"/>
      <c r="AE60" s="61"/>
    </row>
    <row r="61" spans="1:38">
      <c r="P61" s="25"/>
      <c r="Q61" s="25"/>
      <c r="R61" s="25"/>
      <c r="S61" s="25"/>
      <c r="T61" s="25"/>
      <c r="U61" s="25"/>
    </row>
    <row r="62" spans="1:38">
      <c r="P62" s="25"/>
      <c r="Q62" s="25"/>
      <c r="R62" s="31"/>
      <c r="S62" s="31"/>
      <c r="T62" s="32"/>
      <c r="U62" s="32"/>
      <c r="W62" s="146"/>
      <c r="X62" s="146"/>
      <c r="Y62" s="46"/>
      <c r="AA62" s="46"/>
      <c r="AB62" s="46"/>
      <c r="AC62" s="46"/>
      <c r="AD62" s="146"/>
      <c r="AE62" s="146"/>
      <c r="AF62" s="46"/>
      <c r="AG62" s="46"/>
      <c r="AH62" s="46"/>
      <c r="AI62" s="46"/>
      <c r="AJ62" s="18"/>
      <c r="AK62" s="95"/>
      <c r="AL62" s="18"/>
    </row>
    <row r="63" spans="1:38">
      <c r="P63" s="25"/>
      <c r="Q63" s="25"/>
      <c r="R63" s="31"/>
      <c r="S63" s="31"/>
      <c r="T63" s="32"/>
      <c r="U63" s="32"/>
      <c r="W63" s="146"/>
      <c r="X63" s="146"/>
      <c r="Y63" s="46"/>
      <c r="AA63" s="46"/>
      <c r="AB63" s="46"/>
      <c r="AC63" s="46"/>
      <c r="AD63" s="146"/>
      <c r="AE63" s="146"/>
      <c r="AF63" s="46"/>
      <c r="AG63" s="46"/>
      <c r="AH63" s="46"/>
      <c r="AI63" s="46"/>
      <c r="AJ63" s="18"/>
      <c r="AK63" s="95"/>
      <c r="AL63" s="18"/>
    </row>
    <row r="64" spans="1:38">
      <c r="P64" s="25"/>
      <c r="Q64" s="25"/>
      <c r="R64" s="31"/>
      <c r="S64" s="31"/>
      <c r="T64" s="32"/>
      <c r="U64" s="32"/>
      <c r="W64" s="146"/>
      <c r="X64" s="146"/>
      <c r="Y64" s="46"/>
      <c r="AA64" s="46"/>
      <c r="AB64" s="46"/>
      <c r="AC64" s="46"/>
      <c r="AD64" s="146"/>
      <c r="AE64" s="146"/>
      <c r="AF64" s="46"/>
      <c r="AG64" s="46"/>
      <c r="AH64" s="46"/>
      <c r="AI64" s="46"/>
      <c r="AJ64" s="18"/>
      <c r="AK64" s="95"/>
      <c r="AL64" s="18"/>
    </row>
    <row r="65" spans="16:38">
      <c r="P65" s="25"/>
      <c r="Q65" s="25"/>
      <c r="R65" s="31"/>
      <c r="S65" s="31"/>
      <c r="T65" s="32"/>
      <c r="U65" s="32"/>
      <c r="W65" s="146"/>
      <c r="X65" s="146"/>
      <c r="Y65" s="46"/>
      <c r="AA65" s="46"/>
      <c r="AB65" s="46"/>
      <c r="AC65" s="46"/>
      <c r="AD65" s="146"/>
      <c r="AE65" s="146"/>
      <c r="AF65" s="46"/>
      <c r="AG65" s="46"/>
      <c r="AH65" s="46"/>
      <c r="AI65" s="46"/>
      <c r="AJ65" s="18"/>
      <c r="AK65" s="95"/>
      <c r="AL65" s="18"/>
    </row>
    <row r="66" spans="16:38">
      <c r="P66" s="25"/>
      <c r="Q66" s="25"/>
      <c r="R66" s="31"/>
      <c r="S66" s="31"/>
      <c r="T66" s="32"/>
      <c r="U66" s="32"/>
      <c r="W66" s="146"/>
      <c r="X66" s="146"/>
      <c r="Y66" s="46"/>
      <c r="AA66" s="46"/>
      <c r="AB66" s="46"/>
      <c r="AC66" s="46"/>
      <c r="AD66" s="146"/>
      <c r="AE66" s="146"/>
      <c r="AF66" s="46"/>
      <c r="AG66" s="46"/>
      <c r="AH66" s="46"/>
      <c r="AI66" s="46"/>
      <c r="AJ66" s="18"/>
      <c r="AK66" s="95"/>
      <c r="AL66" s="18"/>
    </row>
    <row r="67" spans="16:38">
      <c r="P67" s="25"/>
      <c r="Q67" s="25"/>
      <c r="R67" s="31"/>
      <c r="S67" s="31"/>
      <c r="T67" s="32"/>
      <c r="U67" s="32"/>
      <c r="W67" s="146"/>
      <c r="X67" s="146"/>
      <c r="Y67" s="46"/>
      <c r="AA67" s="46"/>
      <c r="AB67" s="46"/>
      <c r="AC67" s="46"/>
      <c r="AD67" s="146"/>
      <c r="AE67" s="146"/>
      <c r="AF67" s="46"/>
      <c r="AG67" s="46"/>
      <c r="AH67" s="46"/>
      <c r="AI67" s="46"/>
      <c r="AJ67" s="18"/>
      <c r="AK67" s="95"/>
      <c r="AL67" s="18"/>
    </row>
    <row r="68" spans="16:38">
      <c r="P68" s="25"/>
      <c r="Q68" s="25"/>
      <c r="R68" s="31"/>
      <c r="S68" s="31"/>
      <c r="T68" s="32"/>
      <c r="U68" s="32"/>
      <c r="W68" s="146"/>
      <c r="X68" s="146"/>
      <c r="Y68" s="46"/>
      <c r="AA68" s="46"/>
      <c r="AB68" s="46"/>
      <c r="AC68" s="46"/>
      <c r="AD68" s="146"/>
      <c r="AE68" s="146"/>
      <c r="AF68" s="46"/>
      <c r="AG68" s="46"/>
      <c r="AH68" s="46"/>
      <c r="AI68" s="46"/>
      <c r="AJ68" s="18"/>
      <c r="AK68" s="95"/>
      <c r="AL68" s="18"/>
    </row>
    <row r="69" spans="16:38">
      <c r="P69" s="25"/>
      <c r="Q69" s="25"/>
      <c r="R69" s="31"/>
      <c r="S69" s="31"/>
      <c r="T69" s="32"/>
      <c r="U69" s="32"/>
      <c r="W69" s="146"/>
      <c r="X69" s="146"/>
      <c r="Y69" s="46"/>
      <c r="AA69" s="46"/>
      <c r="AB69" s="46"/>
      <c r="AC69" s="46"/>
      <c r="AD69" s="146"/>
      <c r="AE69" s="146"/>
      <c r="AF69" s="46"/>
      <c r="AG69" s="46"/>
      <c r="AH69" s="46"/>
      <c r="AI69" s="46"/>
      <c r="AJ69" s="18"/>
      <c r="AK69" s="95"/>
      <c r="AL69" s="18"/>
    </row>
    <row r="70" spans="16:38">
      <c r="P70" s="25"/>
      <c r="Q70" s="25"/>
      <c r="R70" s="31"/>
      <c r="S70" s="31"/>
      <c r="T70" s="32"/>
      <c r="U70" s="32"/>
      <c r="W70" s="146"/>
      <c r="X70" s="146"/>
      <c r="Y70" s="46"/>
      <c r="AA70" s="46"/>
      <c r="AB70" s="46"/>
      <c r="AC70" s="46"/>
      <c r="AD70" s="146"/>
      <c r="AE70" s="146"/>
      <c r="AF70" s="46"/>
      <c r="AG70" s="46"/>
      <c r="AH70" s="46"/>
      <c r="AI70" s="46"/>
      <c r="AJ70" s="18"/>
      <c r="AK70" s="95"/>
      <c r="AL70" s="18"/>
    </row>
    <row r="71" spans="16:38">
      <c r="P71" s="25"/>
      <c r="Q71" s="25"/>
      <c r="R71" s="31"/>
      <c r="S71" s="31"/>
      <c r="T71" s="32"/>
      <c r="U71" s="32"/>
      <c r="W71" s="146"/>
      <c r="X71" s="146"/>
      <c r="Y71" s="46"/>
      <c r="AA71" s="46"/>
      <c r="AB71" s="46"/>
      <c r="AC71" s="46"/>
      <c r="AD71" s="146"/>
      <c r="AE71" s="146"/>
      <c r="AF71" s="46"/>
      <c r="AG71" s="46"/>
      <c r="AH71" s="46"/>
      <c r="AI71" s="46"/>
      <c r="AJ71" s="18"/>
      <c r="AK71" s="95"/>
      <c r="AL71" s="18"/>
    </row>
    <row r="72" spans="16:38">
      <c r="P72" s="25"/>
      <c r="Q72" s="205"/>
      <c r="R72" s="31"/>
      <c r="S72" s="31"/>
      <c r="T72" s="32"/>
      <c r="U72" s="32"/>
      <c r="W72" s="146"/>
      <c r="X72" s="146"/>
      <c r="Y72" s="46"/>
      <c r="AA72" s="46"/>
      <c r="AB72" s="46"/>
      <c r="AC72" s="46"/>
      <c r="AD72" s="146"/>
      <c r="AE72" s="146"/>
      <c r="AF72" s="46"/>
      <c r="AG72" s="46"/>
      <c r="AH72" s="46"/>
      <c r="AI72" s="46"/>
      <c r="AJ72" s="18"/>
      <c r="AK72" s="95"/>
      <c r="AL72" s="18"/>
    </row>
    <row r="73" spans="16:38">
      <c r="P73" s="25"/>
      <c r="Q73" s="205"/>
      <c r="R73" s="31"/>
      <c r="S73" s="31"/>
      <c r="T73" s="32"/>
      <c r="U73" s="32"/>
      <c r="W73" s="146"/>
      <c r="X73" s="146"/>
      <c r="Y73" s="46"/>
      <c r="AA73" s="46"/>
      <c r="AB73" s="46"/>
      <c r="AC73" s="46"/>
      <c r="AD73" s="146"/>
      <c r="AE73" s="146"/>
      <c r="AF73" s="46"/>
      <c r="AG73" s="46"/>
      <c r="AH73" s="46"/>
      <c r="AI73" s="46"/>
      <c r="AJ73" s="18"/>
      <c r="AK73" s="95"/>
      <c r="AL73" s="18"/>
    </row>
    <row r="74" spans="16:38">
      <c r="P74" s="25"/>
      <c r="Q74" s="205"/>
      <c r="R74" s="31"/>
      <c r="S74" s="31"/>
      <c r="T74" s="32"/>
      <c r="U74" s="32"/>
      <c r="W74" s="146"/>
      <c r="X74" s="146"/>
      <c r="Y74" s="46"/>
      <c r="AA74" s="46"/>
      <c r="AB74" s="46"/>
      <c r="AC74" s="46"/>
      <c r="AD74" s="146"/>
      <c r="AE74" s="146"/>
      <c r="AF74" s="46"/>
      <c r="AG74" s="46"/>
      <c r="AH74" s="46"/>
      <c r="AI74" s="46"/>
      <c r="AJ74" s="18"/>
      <c r="AK74" s="95"/>
      <c r="AL74" s="18"/>
    </row>
    <row r="75" spans="16:38">
      <c r="P75" s="25"/>
      <c r="Q75" s="205"/>
      <c r="R75" s="31"/>
      <c r="S75" s="31"/>
      <c r="T75" s="32"/>
      <c r="U75" s="32"/>
      <c r="W75" s="146"/>
      <c r="X75" s="146"/>
      <c r="Y75" s="46"/>
      <c r="AA75" s="46"/>
      <c r="AB75" s="46"/>
      <c r="AC75" s="46"/>
      <c r="AD75" s="146"/>
      <c r="AE75" s="146"/>
      <c r="AF75" s="46"/>
      <c r="AG75" s="46"/>
      <c r="AH75" s="46"/>
      <c r="AI75" s="46"/>
      <c r="AJ75" s="18"/>
      <c r="AK75" s="95"/>
      <c r="AL75" s="18"/>
    </row>
    <row r="76" spans="16:38">
      <c r="P76" s="25"/>
      <c r="Q76" s="205"/>
      <c r="R76" s="31"/>
      <c r="S76" s="31"/>
      <c r="T76" s="32"/>
      <c r="U76" s="32"/>
      <c r="W76" s="146"/>
      <c r="X76" s="146"/>
      <c r="Y76" s="46"/>
      <c r="AA76" s="46"/>
      <c r="AB76" s="46"/>
      <c r="AC76" s="46"/>
      <c r="AD76" s="146"/>
      <c r="AE76" s="146"/>
      <c r="AF76" s="46"/>
      <c r="AG76" s="46"/>
      <c r="AH76" s="46"/>
      <c r="AI76" s="46"/>
      <c r="AJ76" s="18"/>
      <c r="AK76" s="95"/>
      <c r="AL76" s="18"/>
    </row>
    <row r="77" spans="16:38">
      <c r="P77" s="25"/>
      <c r="Q77" s="205"/>
      <c r="R77" s="31"/>
      <c r="S77" s="31"/>
      <c r="T77" s="32"/>
      <c r="U77" s="32"/>
      <c r="W77" s="146"/>
      <c r="X77" s="146"/>
      <c r="Y77" s="46"/>
      <c r="AA77" s="46"/>
      <c r="AB77" s="46"/>
      <c r="AC77" s="46"/>
      <c r="AD77" s="146"/>
      <c r="AE77" s="146"/>
      <c r="AF77" s="46"/>
      <c r="AG77" s="46"/>
      <c r="AH77" s="46"/>
      <c r="AI77" s="46"/>
      <c r="AJ77" s="18"/>
      <c r="AK77" s="95"/>
      <c r="AL77" s="18"/>
    </row>
    <row r="78" spans="16:38">
      <c r="P78" s="25"/>
      <c r="Q78" s="205"/>
      <c r="R78" s="31"/>
      <c r="S78" s="31"/>
      <c r="T78" s="32"/>
      <c r="U78" s="32"/>
      <c r="W78" s="146"/>
      <c r="X78" s="146"/>
      <c r="Y78" s="46"/>
      <c r="AA78" s="46"/>
      <c r="AB78" s="46"/>
      <c r="AC78" s="46"/>
      <c r="AD78" s="146"/>
      <c r="AE78" s="146"/>
      <c r="AF78" s="46"/>
      <c r="AG78" s="46"/>
      <c r="AH78" s="46"/>
      <c r="AI78" s="46"/>
      <c r="AJ78" s="18"/>
      <c r="AK78" s="95"/>
      <c r="AL78" s="18"/>
    </row>
    <row r="79" spans="16:38">
      <c r="P79" s="25"/>
      <c r="Q79" s="205"/>
      <c r="R79" s="31"/>
      <c r="S79" s="31"/>
      <c r="T79" s="32"/>
      <c r="U79" s="32"/>
      <c r="W79" s="146"/>
      <c r="X79" s="146"/>
      <c r="Y79" s="46"/>
      <c r="AA79" s="46"/>
      <c r="AB79" s="46"/>
      <c r="AC79" s="46"/>
      <c r="AD79" s="146"/>
      <c r="AE79" s="146"/>
      <c r="AF79" s="46"/>
      <c r="AG79" s="46"/>
      <c r="AH79" s="46"/>
      <c r="AI79" s="46"/>
      <c r="AJ79" s="18"/>
      <c r="AK79" s="95"/>
      <c r="AL79" s="18"/>
    </row>
    <row r="80" spans="16:38">
      <c r="P80" s="25"/>
      <c r="Q80" s="205"/>
      <c r="R80" s="31"/>
      <c r="S80" s="31"/>
      <c r="T80" s="32"/>
      <c r="U80" s="32"/>
      <c r="W80" s="146"/>
      <c r="X80" s="146"/>
      <c r="Y80" s="46"/>
      <c r="AA80" s="46"/>
      <c r="AB80" s="46"/>
      <c r="AC80" s="46"/>
      <c r="AD80" s="146"/>
      <c r="AE80" s="146"/>
      <c r="AF80" s="46"/>
      <c r="AG80" s="46"/>
      <c r="AH80" s="46"/>
      <c r="AI80" s="46"/>
      <c r="AJ80" s="18"/>
      <c r="AK80" s="95"/>
      <c r="AL80" s="18"/>
    </row>
    <row r="81" spans="16:38">
      <c r="P81" s="25"/>
      <c r="Q81" s="205"/>
      <c r="R81" s="31"/>
      <c r="S81" s="31"/>
      <c r="T81" s="32"/>
      <c r="U81" s="32"/>
      <c r="W81" s="146"/>
      <c r="X81" s="146"/>
      <c r="Y81" s="46"/>
      <c r="AA81" s="46"/>
      <c r="AB81" s="46"/>
      <c r="AC81" s="46"/>
      <c r="AD81" s="146"/>
      <c r="AE81" s="146"/>
      <c r="AF81" s="46"/>
      <c r="AG81" s="46"/>
      <c r="AH81" s="46"/>
      <c r="AI81" s="46"/>
      <c r="AJ81" s="18"/>
      <c r="AK81" s="95"/>
      <c r="AL81" s="18"/>
    </row>
    <row r="82" spans="16:38">
      <c r="P82" s="25"/>
      <c r="Q82" s="25"/>
      <c r="R82" s="31"/>
      <c r="S82" s="31"/>
      <c r="T82" s="32"/>
      <c r="U82" s="32"/>
      <c r="W82" s="146"/>
      <c r="X82" s="146"/>
      <c r="Y82" s="46"/>
      <c r="AA82" s="46"/>
      <c r="AB82" s="46"/>
      <c r="AC82" s="46"/>
      <c r="AD82" s="146"/>
      <c r="AE82" s="146"/>
      <c r="AF82" s="46"/>
      <c r="AG82" s="46"/>
      <c r="AH82" s="46"/>
      <c r="AI82" s="46"/>
      <c r="AJ82" s="18"/>
      <c r="AK82" s="95"/>
      <c r="AL82" s="18"/>
    </row>
    <row r="83" spans="16:38">
      <c r="P83" s="25"/>
      <c r="Q83" s="25"/>
      <c r="R83" s="61"/>
      <c r="S83" s="25"/>
      <c r="T83" s="25"/>
      <c r="U83" s="25"/>
      <c r="AB83" s="46"/>
    </row>
    <row r="84" spans="16:38">
      <c r="P84" s="25"/>
      <c r="Q84" s="278"/>
      <c r="R84" s="278"/>
      <c r="S84" s="278"/>
      <c r="T84" s="278"/>
      <c r="U84" s="278"/>
      <c r="V84" s="283"/>
      <c r="W84" s="278"/>
      <c r="X84" s="278"/>
      <c r="Y84" s="278"/>
      <c r="Z84" s="278"/>
      <c r="AA84" s="278"/>
      <c r="AB84" s="278"/>
      <c r="AC84" s="278"/>
      <c r="AD84" s="278"/>
      <c r="AE84" s="278"/>
      <c r="AF84" s="278"/>
      <c r="AG84" s="278"/>
      <c r="AH84" s="278"/>
      <c r="AI84" s="278"/>
      <c r="AJ84" s="278"/>
      <c r="AK84" s="278"/>
      <c r="AL84" s="278"/>
    </row>
    <row r="86" spans="16:38">
      <c r="Y86" s="46"/>
      <c r="Z86" s="46"/>
      <c r="AA86" s="20"/>
      <c r="AC86" s="46"/>
      <c r="AD86" s="46"/>
      <c r="AE86" s="46"/>
    </row>
    <row r="87" spans="16:38">
      <c r="Y87" s="46"/>
      <c r="Z87" s="46"/>
      <c r="AA87" s="20"/>
      <c r="AC87" s="46"/>
      <c r="AD87" s="46"/>
      <c r="AE87" s="46"/>
    </row>
    <row r="88" spans="16:38">
      <c r="Y88" s="46"/>
      <c r="Z88" s="46"/>
      <c r="AA88" s="20"/>
      <c r="AC88" s="46"/>
      <c r="AD88" s="46"/>
      <c r="AE88" s="46"/>
    </row>
    <row r="89" spans="16:38">
      <c r="Y89" s="46"/>
      <c r="Z89" s="46"/>
      <c r="AA89" s="20"/>
      <c r="AC89" s="46"/>
      <c r="AD89" s="46"/>
      <c r="AE89" s="46"/>
    </row>
    <row r="90" spans="16:38">
      <c r="Y90" s="46"/>
      <c r="Z90" s="46"/>
      <c r="AA90" s="20"/>
      <c r="AC90" s="46"/>
      <c r="AD90" s="46"/>
      <c r="AE90" s="46"/>
    </row>
    <row r="91" spans="16:38">
      <c r="Y91" s="46"/>
      <c r="Z91" s="46"/>
      <c r="AA91" s="20"/>
      <c r="AC91" s="46"/>
      <c r="AD91" s="46"/>
      <c r="AE91" s="46"/>
    </row>
    <row r="92" spans="16:38">
      <c r="Y92" s="46"/>
      <c r="Z92" s="46"/>
      <c r="AA92" s="20"/>
      <c r="AC92" s="46"/>
      <c r="AD92" s="46"/>
      <c r="AE92" s="46"/>
    </row>
    <row r="93" spans="16:38">
      <c r="Y93" s="46"/>
      <c r="Z93" s="46"/>
      <c r="AA93" s="20"/>
      <c r="AC93" s="46"/>
      <c r="AD93" s="46"/>
      <c r="AE93" s="46"/>
    </row>
    <row r="94" spans="16:38">
      <c r="Y94" s="46"/>
      <c r="Z94" s="46"/>
      <c r="AA94" s="20"/>
      <c r="AC94" s="46"/>
      <c r="AD94" s="46"/>
      <c r="AE94" s="46"/>
    </row>
    <row r="95" spans="16:38">
      <c r="Y95" s="46"/>
      <c r="Z95" s="46"/>
      <c r="AA95" s="20"/>
      <c r="AC95" s="46"/>
      <c r="AD95" s="46"/>
      <c r="AE95" s="46"/>
    </row>
    <row r="96" spans="16:38">
      <c r="Y96" s="46"/>
      <c r="Z96" s="46"/>
      <c r="AA96" s="20"/>
      <c r="AC96" s="46"/>
      <c r="AD96" s="46"/>
      <c r="AE96" s="46"/>
    </row>
    <row r="97" spans="25:31">
      <c r="Y97" s="46"/>
      <c r="Z97" s="46"/>
      <c r="AA97" s="20"/>
      <c r="AC97" s="46"/>
      <c r="AD97" s="46"/>
      <c r="AE97" s="46"/>
    </row>
    <row r="98" spans="25:31">
      <c r="Y98" s="46"/>
      <c r="Z98" s="46"/>
      <c r="AA98" s="20"/>
      <c r="AC98" s="46"/>
      <c r="AD98" s="46"/>
      <c r="AE98" s="46"/>
    </row>
    <row r="99" spans="25:31">
      <c r="Y99" s="46"/>
      <c r="Z99" s="46"/>
      <c r="AA99" s="20"/>
      <c r="AC99" s="46"/>
      <c r="AD99" s="46"/>
      <c r="AE99" s="46"/>
    </row>
    <row r="100" spans="25:31">
      <c r="Y100" s="46"/>
      <c r="Z100" s="46"/>
      <c r="AA100" s="20"/>
      <c r="AC100" s="46"/>
      <c r="AD100" s="46"/>
      <c r="AE100" s="46"/>
    </row>
    <row r="101" spans="25:31">
      <c r="Y101" s="46"/>
      <c r="Z101" s="46"/>
      <c r="AA101" s="20"/>
      <c r="AC101" s="46"/>
      <c r="AD101" s="46"/>
      <c r="AE101" s="46"/>
    </row>
    <row r="102" spans="25:31">
      <c r="Y102" s="46"/>
      <c r="Z102" s="46"/>
      <c r="AA102" s="20"/>
      <c r="AC102" s="46"/>
      <c r="AD102" s="46"/>
      <c r="AE102" s="46"/>
    </row>
    <row r="103" spans="25:31">
      <c r="Y103" s="46"/>
      <c r="Z103" s="46"/>
      <c r="AA103" s="20"/>
      <c r="AC103" s="46"/>
      <c r="AD103" s="46"/>
      <c r="AE103" s="46"/>
    </row>
    <row r="104" spans="25:31">
      <c r="Y104" s="46"/>
      <c r="Z104" s="46"/>
      <c r="AA104" s="20"/>
      <c r="AC104" s="46"/>
      <c r="AD104" s="46"/>
      <c r="AE104" s="46"/>
    </row>
    <row r="105" spans="25:31">
      <c r="Y105" s="46"/>
      <c r="Z105" s="46"/>
      <c r="AA105" s="20"/>
      <c r="AC105" s="46"/>
      <c r="AD105" s="46"/>
      <c r="AE105" s="46"/>
    </row>
    <row r="106" spans="25:31">
      <c r="Y106" s="46"/>
      <c r="Z106" s="46"/>
      <c r="AC106" s="46"/>
      <c r="AD106" s="46"/>
      <c r="AE106" s="46"/>
    </row>
    <row r="107" spans="25:31">
      <c r="Y107" s="46"/>
    </row>
    <row r="108" spans="25:31">
      <c r="Y108" s="46"/>
    </row>
    <row r="109" spans="25:31">
      <c r="Y109" s="46"/>
    </row>
    <row r="110" spans="25:31">
      <c r="Y110" s="46"/>
    </row>
  </sheetData>
  <printOptions horizontalCentered="1"/>
  <pageMargins left="0.7" right="0.7" top="0.75" bottom="0.75" header="0.3" footer="0.3"/>
  <pageSetup scale="77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7">
    <pageSetUpPr fitToPage="1"/>
  </sheetPr>
  <dimension ref="A1:Q55"/>
  <sheetViews>
    <sheetView showOutlineSymbols="0" zoomScaleNormal="100" workbookViewId="0"/>
  </sheetViews>
  <sheetFormatPr baseColWidth="10" defaultColWidth="9.7109375" defaultRowHeight="15"/>
  <cols>
    <col min="1" max="1" width="9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4" width="9.7109375" style="1"/>
    <col min="15" max="15" width="13.7109375" style="1" bestFit="1" customWidth="1"/>
    <col min="16" max="16" width="13.42578125" style="1" bestFit="1" customWidth="1"/>
    <col min="17" max="16384" width="9.7109375" style="1"/>
  </cols>
  <sheetData>
    <row r="1" spans="1:16">
      <c r="K1" s="64" t="s">
        <v>76</v>
      </c>
    </row>
    <row r="2" spans="1:16">
      <c r="K2" s="52" t="s">
        <v>56</v>
      </c>
    </row>
    <row r="4" spans="1:16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16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</row>
    <row r="6" spans="1:16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6">
      <c r="A7" s="5" t="s">
        <v>352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16">
      <c r="A8" s="5" t="s">
        <v>1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16">
      <c r="A9" s="5"/>
      <c r="B9" s="5"/>
      <c r="C9" s="5"/>
      <c r="D9" s="5"/>
      <c r="E9" s="5"/>
      <c r="G9" s="5"/>
      <c r="H9" s="5"/>
      <c r="I9" s="5"/>
      <c r="J9" s="5"/>
      <c r="K9" s="5"/>
    </row>
    <row r="10" spans="1:16">
      <c r="N10" s="61"/>
      <c r="O10" s="25" t="s">
        <v>2</v>
      </c>
      <c r="P10" s="61"/>
    </row>
    <row r="11" spans="1:16">
      <c r="L11" s="25" t="s">
        <v>1666</v>
      </c>
      <c r="N11" s="61"/>
      <c r="O11" s="25" t="s">
        <v>117</v>
      </c>
      <c r="P11" s="61"/>
    </row>
    <row r="12" spans="1:16">
      <c r="A12" s="6" t="s">
        <v>3</v>
      </c>
      <c r="C12" s="5" t="s">
        <v>70</v>
      </c>
      <c r="D12" s="5"/>
      <c r="E12" s="5"/>
      <c r="G12" s="5" t="s">
        <v>72</v>
      </c>
      <c r="H12" s="5"/>
      <c r="I12" s="5"/>
      <c r="K12" s="6" t="s">
        <v>1</v>
      </c>
      <c r="L12" s="25" t="s">
        <v>1665</v>
      </c>
      <c r="M12" s="25" t="s">
        <v>321</v>
      </c>
      <c r="N12" s="25" t="s">
        <v>3</v>
      </c>
      <c r="O12" s="25" t="s">
        <v>1304</v>
      </c>
      <c r="P12" s="61"/>
    </row>
    <row r="13" spans="1:16">
      <c r="A13" s="6" t="s">
        <v>4</v>
      </c>
      <c r="C13" s="106" t="s">
        <v>14</v>
      </c>
      <c r="D13" s="106"/>
      <c r="E13" s="106" t="s">
        <v>12</v>
      </c>
      <c r="G13" s="106" t="s">
        <v>14</v>
      </c>
      <c r="H13" s="105"/>
      <c r="I13" s="106" t="s">
        <v>12</v>
      </c>
      <c r="K13" s="6" t="s">
        <v>73</v>
      </c>
      <c r="L13" s="25" t="s">
        <v>1667</v>
      </c>
      <c r="M13" s="25" t="s">
        <v>381</v>
      </c>
      <c r="N13" s="25" t="s">
        <v>4</v>
      </c>
      <c r="O13" s="45" t="s">
        <v>1</v>
      </c>
      <c r="P13" s="25" t="s">
        <v>18</v>
      </c>
    </row>
    <row r="14" spans="1:16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  <c r="L14" s="142" t="s">
        <v>1668</v>
      </c>
      <c r="M14" s="142" t="s">
        <v>1669</v>
      </c>
      <c r="N14" s="279" t="s">
        <v>30</v>
      </c>
      <c r="O14" s="279" t="s">
        <v>31</v>
      </c>
      <c r="P14" s="279" t="s">
        <v>103</v>
      </c>
    </row>
    <row r="15" spans="1:16">
      <c r="A15" s="6"/>
      <c r="C15" s="6"/>
      <c r="E15" s="6"/>
      <c r="G15" s="6"/>
      <c r="I15" s="6"/>
      <c r="K15" s="6"/>
      <c r="N15" s="25"/>
      <c r="O15" s="223"/>
      <c r="P15" s="61"/>
    </row>
    <row r="16" spans="1:16">
      <c r="A16" s="6">
        <v>1994</v>
      </c>
      <c r="C16" s="147">
        <f>'Exhibit M,3'!I16/(1-'Exhibit M,3'!E16)</f>
        <v>9600</v>
      </c>
      <c r="D16" s="147"/>
      <c r="E16" s="147">
        <f>'Exhibit M,2'!I16/(1-'Exhibit M,2'!E16)</f>
        <v>9600</v>
      </c>
      <c r="F16" s="147"/>
      <c r="G16" s="147">
        <f>'Exhibit M,3'!K16</f>
        <v>9600</v>
      </c>
      <c r="H16" s="147"/>
      <c r="I16" s="147">
        <f>'Exhibit M,2'!K16</f>
        <v>9600</v>
      </c>
      <c r="J16" s="147"/>
      <c r="K16" s="512">
        <f t="shared" ref="K16:K38" si="0">E16</f>
        <v>9600</v>
      </c>
      <c r="N16" s="25">
        <v>1994</v>
      </c>
      <c r="O16" s="356">
        <f>'Exhibit M,3'!W16</f>
        <v>9600</v>
      </c>
      <c r="P16" s="22">
        <f>K16-O16</f>
        <v>0</v>
      </c>
    </row>
    <row r="17" spans="1:16">
      <c r="A17" s="6">
        <f>A16+1</f>
        <v>1995</v>
      </c>
      <c r="C17" s="494">
        <f>'Exhibit M,3'!I17/(1-'Exhibit M,3'!E17)</f>
        <v>674635.38</v>
      </c>
      <c r="D17" s="187"/>
      <c r="E17" s="494">
        <f>'Exhibit M,2'!I17/(1-'Exhibit M,2'!E17)</f>
        <v>674635.38</v>
      </c>
      <c r="F17" s="187"/>
      <c r="G17" s="494">
        <f>'Exhibit M,3'!K17</f>
        <v>674635.38</v>
      </c>
      <c r="H17" s="494"/>
      <c r="I17" s="494">
        <f>'Exhibit M,2'!K17</f>
        <v>674635.38</v>
      </c>
      <c r="J17" s="187"/>
      <c r="K17" s="494">
        <f t="shared" si="0"/>
        <v>674635.38</v>
      </c>
      <c r="N17" s="25">
        <f t="shared" ref="N17:N42" si="1">N16+1</f>
        <v>1995</v>
      </c>
      <c r="O17" s="20">
        <f>'Exhibit M,3'!W17</f>
        <v>674635.38</v>
      </c>
      <c r="P17" s="22">
        <f t="shared" ref="P17:P43" si="2">K17-O17</f>
        <v>0</v>
      </c>
    </row>
    <row r="18" spans="1:16">
      <c r="A18" s="6">
        <f t="shared" ref="A18:A44" si="3">A17+1</f>
        <v>1996</v>
      </c>
      <c r="C18" s="494">
        <f>'Exhibit M,3'!I18/(1-'Exhibit M,3'!E18)</f>
        <v>931618.13</v>
      </c>
      <c r="D18" s="187"/>
      <c r="E18" s="494">
        <f>'Exhibit M,2'!I18/(1-'Exhibit M,2'!E18)</f>
        <v>931618.13</v>
      </c>
      <c r="F18" s="187"/>
      <c r="G18" s="494">
        <f>'Exhibit M,3'!K18</f>
        <v>931618.13</v>
      </c>
      <c r="H18" s="494"/>
      <c r="I18" s="494">
        <f>'Exhibit M,2'!K18</f>
        <v>931618.13</v>
      </c>
      <c r="J18" s="187"/>
      <c r="K18" s="494">
        <f t="shared" si="0"/>
        <v>931618.13</v>
      </c>
      <c r="N18" s="25">
        <f t="shared" si="1"/>
        <v>1996</v>
      </c>
      <c r="O18" s="20">
        <f>'Exhibit M,3'!W18</f>
        <v>931618.13</v>
      </c>
      <c r="P18" s="22">
        <f t="shared" si="2"/>
        <v>0</v>
      </c>
    </row>
    <row r="19" spans="1:16">
      <c r="A19" s="6">
        <f t="shared" si="3"/>
        <v>1997</v>
      </c>
      <c r="C19" s="494">
        <f>'Exhibit M,3'!I19/(1-'Exhibit M,3'!E19)</f>
        <v>520601.1</v>
      </c>
      <c r="D19" s="187"/>
      <c r="E19" s="494">
        <f>'Exhibit M,2'!I19/(1-'Exhibit M,2'!E19)</f>
        <v>520601.1</v>
      </c>
      <c r="F19" s="187"/>
      <c r="G19" s="494">
        <f>'Exhibit M,3'!K19</f>
        <v>520601.1</v>
      </c>
      <c r="H19" s="494"/>
      <c r="I19" s="494">
        <f>'Exhibit M,2'!K19</f>
        <v>520601.1</v>
      </c>
      <c r="J19" s="187"/>
      <c r="K19" s="494">
        <f t="shared" si="0"/>
        <v>520601.1</v>
      </c>
      <c r="N19" s="25">
        <f t="shared" si="1"/>
        <v>1997</v>
      </c>
      <c r="O19" s="20">
        <f>'Exhibit M,3'!W19</f>
        <v>520601.1</v>
      </c>
      <c r="P19" s="22">
        <f t="shared" si="2"/>
        <v>0</v>
      </c>
    </row>
    <row r="20" spans="1:16">
      <c r="A20" s="6">
        <f t="shared" si="3"/>
        <v>1998</v>
      </c>
      <c r="C20" s="494">
        <f>'Exhibit M,3'!I20/(1-'Exhibit M,3'!E20)</f>
        <v>606234.30000000005</v>
      </c>
      <c r="D20" s="187"/>
      <c r="E20" s="494">
        <f>'Exhibit M,2'!I20/(1-'Exhibit M,2'!E20)</f>
        <v>606234.30000000005</v>
      </c>
      <c r="F20" s="187"/>
      <c r="G20" s="494">
        <f>'Exhibit M,3'!K20</f>
        <v>606234.30000000005</v>
      </c>
      <c r="H20" s="494"/>
      <c r="I20" s="494">
        <f>'Exhibit M,2'!K20</f>
        <v>606234.30000000005</v>
      </c>
      <c r="J20" s="187"/>
      <c r="K20" s="494">
        <f t="shared" si="0"/>
        <v>606234.30000000005</v>
      </c>
      <c r="N20" s="25">
        <f t="shared" si="1"/>
        <v>1998</v>
      </c>
      <c r="O20" s="20">
        <f>'Exhibit M,3'!W20</f>
        <v>606234.30000000005</v>
      </c>
      <c r="P20" s="22">
        <f t="shared" si="2"/>
        <v>0</v>
      </c>
    </row>
    <row r="21" spans="1:16">
      <c r="A21" s="6">
        <f t="shared" si="3"/>
        <v>1999</v>
      </c>
      <c r="C21" s="494">
        <f>'Exhibit M,3'!I21/(1-'Exhibit M,3'!E21)</f>
        <v>818508.42</v>
      </c>
      <c r="D21" s="187"/>
      <c r="E21" s="494">
        <f>'Exhibit M,2'!I21/(1-'Exhibit M,2'!E21)</f>
        <v>818508.42</v>
      </c>
      <c r="F21" s="187"/>
      <c r="G21" s="494">
        <f>'Exhibit M,3'!K21</f>
        <v>818508.42</v>
      </c>
      <c r="H21" s="494"/>
      <c r="I21" s="494">
        <f>'Exhibit M,2'!K21</f>
        <v>818508.42</v>
      </c>
      <c r="J21" s="187"/>
      <c r="K21" s="494">
        <f t="shared" si="0"/>
        <v>818508.42</v>
      </c>
      <c r="N21" s="25">
        <f t="shared" si="1"/>
        <v>1999</v>
      </c>
      <c r="O21" s="20">
        <f>'Exhibit M,3'!W21</f>
        <v>818508.42</v>
      </c>
      <c r="P21" s="22">
        <f t="shared" si="2"/>
        <v>0</v>
      </c>
    </row>
    <row r="22" spans="1:16">
      <c r="A22" s="6">
        <f t="shared" si="3"/>
        <v>2000</v>
      </c>
      <c r="C22" s="494">
        <f>'Exhibit M,3'!I22/(1-'Exhibit M,3'!E22)</f>
        <v>1349932.79</v>
      </c>
      <c r="D22" s="187"/>
      <c r="E22" s="494">
        <f>'Exhibit M,2'!I22/(1-'Exhibit M,2'!E22)</f>
        <v>1349932.79</v>
      </c>
      <c r="F22" s="187"/>
      <c r="G22" s="494">
        <f>'Exhibit M,3'!K22</f>
        <v>1349932.79</v>
      </c>
      <c r="H22" s="494"/>
      <c r="I22" s="494">
        <f>'Exhibit M,2'!K22</f>
        <v>1349932.79</v>
      </c>
      <c r="J22" s="187"/>
      <c r="K22" s="494">
        <f t="shared" si="0"/>
        <v>1349932.79</v>
      </c>
      <c r="N22" s="25">
        <f t="shared" si="1"/>
        <v>2000</v>
      </c>
      <c r="O22" s="20">
        <f>'Exhibit M,3'!W22</f>
        <v>1349932.79</v>
      </c>
      <c r="P22" s="22">
        <f t="shared" si="2"/>
        <v>0</v>
      </c>
    </row>
    <row r="23" spans="1:16">
      <c r="A23" s="6">
        <f t="shared" si="3"/>
        <v>2001</v>
      </c>
      <c r="C23" s="494">
        <f>'Exhibit M,3'!I23/(1-'Exhibit M,3'!E23)</f>
        <v>1732780</v>
      </c>
      <c r="D23" s="187"/>
      <c r="E23" s="494">
        <f>'Exhibit M,2'!I23/(1-'Exhibit M,2'!E23)</f>
        <v>1732780</v>
      </c>
      <c r="F23" s="187"/>
      <c r="G23" s="494">
        <f>'Exhibit M,3'!K23</f>
        <v>1732780</v>
      </c>
      <c r="H23" s="494"/>
      <c r="I23" s="494">
        <f>'Exhibit M,2'!K23</f>
        <v>1732780</v>
      </c>
      <c r="J23" s="187"/>
      <c r="K23" s="494">
        <f t="shared" si="0"/>
        <v>1732780</v>
      </c>
      <c r="N23" s="25">
        <f t="shared" si="1"/>
        <v>2001</v>
      </c>
      <c r="O23" s="20">
        <f>'Exhibit M,3'!W23</f>
        <v>1732780</v>
      </c>
      <c r="P23" s="22">
        <f t="shared" si="2"/>
        <v>0</v>
      </c>
    </row>
    <row r="24" spans="1:16">
      <c r="A24" s="6">
        <f t="shared" si="3"/>
        <v>2002</v>
      </c>
      <c r="C24" s="494">
        <f>'Exhibit M,3'!I24/(1-'Exhibit M,3'!E24)</f>
        <v>647640.80999999994</v>
      </c>
      <c r="D24" s="187"/>
      <c r="E24" s="494">
        <f>'Exhibit M,2'!I24/(1-'Exhibit M,2'!E24)</f>
        <v>647640.80999999994</v>
      </c>
      <c r="F24" s="187"/>
      <c r="G24" s="494">
        <f>'Exhibit M,3'!K24</f>
        <v>647640.80999999994</v>
      </c>
      <c r="H24" s="494"/>
      <c r="I24" s="494">
        <f>'Exhibit M,2'!K24</f>
        <v>647640.80999999994</v>
      </c>
      <c r="J24" s="187"/>
      <c r="K24" s="494">
        <f t="shared" si="0"/>
        <v>647640.80999999994</v>
      </c>
      <c r="N24" s="25">
        <f t="shared" si="1"/>
        <v>2002</v>
      </c>
      <c r="O24" s="20">
        <f>'Exhibit M,3'!W24</f>
        <v>647640.80999999994</v>
      </c>
      <c r="P24" s="22">
        <f t="shared" si="2"/>
        <v>0</v>
      </c>
    </row>
    <row r="25" spans="1:16">
      <c r="A25" s="6">
        <f t="shared" si="3"/>
        <v>2003</v>
      </c>
      <c r="C25" s="494">
        <f>'Exhibit M,3'!I25/(1-'Exhibit M,3'!E25)</f>
        <v>2003612.72</v>
      </c>
      <c r="D25" s="187"/>
      <c r="E25" s="494">
        <f>'Exhibit M,2'!I25/(1-'Exhibit M,2'!E25)</f>
        <v>2003612.72</v>
      </c>
      <c r="F25" s="187"/>
      <c r="G25" s="494">
        <f>'Exhibit M,3'!K25</f>
        <v>2003612.72</v>
      </c>
      <c r="H25" s="494"/>
      <c r="I25" s="494">
        <f>'Exhibit M,2'!K25</f>
        <v>2003612.72</v>
      </c>
      <c r="J25" s="187"/>
      <c r="K25" s="494">
        <f t="shared" si="0"/>
        <v>2003612.72</v>
      </c>
      <c r="N25" s="25">
        <f t="shared" si="1"/>
        <v>2003</v>
      </c>
      <c r="O25" s="20">
        <f>'Exhibit M,3'!W25</f>
        <v>2003612.72</v>
      </c>
      <c r="P25" s="22">
        <f t="shared" si="2"/>
        <v>0</v>
      </c>
    </row>
    <row r="26" spans="1:16">
      <c r="A26" s="6">
        <f t="shared" si="3"/>
        <v>2004</v>
      </c>
      <c r="C26" s="494">
        <f>'Exhibit M,3'!I26/(1-'Exhibit M,3'!E26)</f>
        <v>2277389.9</v>
      </c>
      <c r="D26" s="187"/>
      <c r="E26" s="494">
        <f>'Exhibit M,2'!I26/(1-'Exhibit M,2'!E26)</f>
        <v>2277389.9</v>
      </c>
      <c r="F26" s="187"/>
      <c r="G26" s="494">
        <f>'Exhibit M,3'!K26</f>
        <v>2277389.9</v>
      </c>
      <c r="H26" s="494"/>
      <c r="I26" s="494">
        <f>'Exhibit M,2'!K26</f>
        <v>2277389.9</v>
      </c>
      <c r="J26" s="187"/>
      <c r="K26" s="494">
        <f t="shared" si="0"/>
        <v>2277389.9</v>
      </c>
      <c r="N26" s="25">
        <f t="shared" si="1"/>
        <v>2004</v>
      </c>
      <c r="O26" s="20">
        <f>'Exhibit M,3'!W26</f>
        <v>2277389.9</v>
      </c>
      <c r="P26" s="22">
        <f t="shared" si="2"/>
        <v>0</v>
      </c>
    </row>
    <row r="27" spans="1:16">
      <c r="A27" s="6">
        <f t="shared" si="3"/>
        <v>2005</v>
      </c>
      <c r="C27" s="494">
        <f>'Exhibit M,3'!I27/(1-'Exhibit M,3'!E27)</f>
        <v>1556133.47</v>
      </c>
      <c r="D27" s="187"/>
      <c r="E27" s="494">
        <f>'Exhibit M,2'!I27/(1-'Exhibit M,2'!E27)</f>
        <v>1556133.47</v>
      </c>
      <c r="F27" s="187"/>
      <c r="G27" s="494">
        <f>'Exhibit M,3'!K27</f>
        <v>1556133.47</v>
      </c>
      <c r="H27" s="494"/>
      <c r="I27" s="494">
        <f>'Exhibit M,2'!K27</f>
        <v>1556133.47</v>
      </c>
      <c r="J27" s="187"/>
      <c r="K27" s="494">
        <f t="shared" si="0"/>
        <v>1556133.47</v>
      </c>
      <c r="N27" s="25">
        <f t="shared" si="1"/>
        <v>2005</v>
      </c>
      <c r="O27" s="20">
        <f>'Exhibit M,3'!W27</f>
        <v>1556133.47</v>
      </c>
      <c r="P27" s="22">
        <f t="shared" si="2"/>
        <v>0</v>
      </c>
    </row>
    <row r="28" spans="1:16">
      <c r="A28" s="6">
        <f t="shared" si="3"/>
        <v>2006</v>
      </c>
      <c r="C28" s="494">
        <f>'Exhibit M,3'!I28/(1-'Exhibit M,3'!E28)</f>
        <v>39380.269999999997</v>
      </c>
      <c r="D28" s="187"/>
      <c r="E28" s="494">
        <f>'Exhibit M,2'!I28/(1-'Exhibit M,2'!E28)</f>
        <v>78000</v>
      </c>
      <c r="F28" s="187"/>
      <c r="G28" s="494">
        <f>'Exhibit M,3'!K28</f>
        <v>39380.269999999997</v>
      </c>
      <c r="H28" s="494"/>
      <c r="I28" s="494">
        <f>'Exhibit M,2'!K28</f>
        <v>78000</v>
      </c>
      <c r="J28" s="187"/>
      <c r="K28" s="494">
        <f t="shared" si="0"/>
        <v>78000</v>
      </c>
      <c r="N28" s="25">
        <f t="shared" si="1"/>
        <v>2006</v>
      </c>
      <c r="O28" s="20">
        <f>'Exhibit M,3'!W28</f>
        <v>58000</v>
      </c>
      <c r="P28" s="22">
        <f t="shared" si="2"/>
        <v>20000</v>
      </c>
    </row>
    <row r="29" spans="1:16">
      <c r="A29" s="6">
        <f t="shared" si="3"/>
        <v>2007</v>
      </c>
      <c r="C29" s="494">
        <f>'Exhibit M,3'!I29/(1-'Exhibit M,3'!E29)</f>
        <v>806357.81881024991</v>
      </c>
      <c r="D29" s="187"/>
      <c r="E29" s="494">
        <f>'Exhibit M,2'!I29/(1-'Exhibit M,2'!E29)</f>
        <v>806127.32000000007</v>
      </c>
      <c r="F29" s="187"/>
      <c r="G29" s="494">
        <f>'Exhibit M,3'!K29</f>
        <v>806356.41813246382</v>
      </c>
      <c r="H29" s="494"/>
      <c r="I29" s="494">
        <f>'Exhibit M,2'!K29</f>
        <v>806127.32000000007</v>
      </c>
      <c r="J29" s="187"/>
      <c r="K29" s="494">
        <f t="shared" si="0"/>
        <v>806127.32000000007</v>
      </c>
      <c r="N29" s="25">
        <f t="shared" si="1"/>
        <v>2007</v>
      </c>
      <c r="O29" s="20">
        <f>'Exhibit M,3'!W29</f>
        <v>806127.32000000007</v>
      </c>
      <c r="P29" s="22">
        <f t="shared" si="2"/>
        <v>0</v>
      </c>
    </row>
    <row r="30" spans="1:16">
      <c r="A30" s="6">
        <f t="shared" si="3"/>
        <v>2008</v>
      </c>
      <c r="C30" s="494">
        <f>'Exhibit M,3'!I30/(1-'Exhibit M,3'!E30)</f>
        <v>730657.98095512495</v>
      </c>
      <c r="D30" s="187"/>
      <c r="E30" s="494">
        <f>'Exhibit M,2'!I30/(1-'Exhibit M,2'!E30)</f>
        <v>728745.13</v>
      </c>
      <c r="F30" s="187"/>
      <c r="G30" s="494">
        <f>'Exhibit M,3'!K30</f>
        <v>730252.25196833094</v>
      </c>
      <c r="H30" s="494"/>
      <c r="I30" s="494">
        <f>'Exhibit M,2'!K30</f>
        <v>728745.13</v>
      </c>
      <c r="J30" s="187"/>
      <c r="K30" s="494">
        <f t="shared" si="0"/>
        <v>728745.13</v>
      </c>
      <c r="N30" s="25">
        <f t="shared" si="1"/>
        <v>2008</v>
      </c>
      <c r="O30" s="20">
        <f>'Exhibit M,3'!W30</f>
        <v>728745.13</v>
      </c>
      <c r="P30" s="22">
        <f t="shared" si="2"/>
        <v>0</v>
      </c>
    </row>
    <row r="31" spans="1:16">
      <c r="A31" s="6">
        <f t="shared" si="3"/>
        <v>2009</v>
      </c>
      <c r="C31" s="494">
        <f>'Exhibit M,3'!I31/(1-'Exhibit M,3'!E31)</f>
        <v>2865.2344326430052</v>
      </c>
      <c r="D31" s="187"/>
      <c r="E31" s="494">
        <f>'Exhibit M,2'!I31/(1-'Exhibit M,2'!E31)</f>
        <v>2851</v>
      </c>
      <c r="F31" s="187"/>
      <c r="G31" s="494">
        <f>'Exhibit M,3'!K31</f>
        <v>5419.5343460914173</v>
      </c>
      <c r="H31" s="494"/>
      <c r="I31" s="494">
        <f>'Exhibit M,2'!K31</f>
        <v>2851</v>
      </c>
      <c r="J31" s="187"/>
      <c r="K31" s="494">
        <f t="shared" si="0"/>
        <v>2851</v>
      </c>
      <c r="N31" s="25">
        <f t="shared" si="1"/>
        <v>2009</v>
      </c>
      <c r="O31" s="20">
        <f>'Exhibit M,3'!W31</f>
        <v>2851.0256934990098</v>
      </c>
      <c r="P31" s="22">
        <f t="shared" si="2"/>
        <v>-2.5693499009776133E-2</v>
      </c>
    </row>
    <row r="32" spans="1:16">
      <c r="A32" s="6">
        <f t="shared" si="3"/>
        <v>2010</v>
      </c>
      <c r="C32" s="494">
        <f>'Exhibit M,3'!I32/(1-'Exhibit M,3'!E32)</f>
        <v>0</v>
      </c>
      <c r="D32" s="187"/>
      <c r="E32" s="494">
        <f>'Exhibit M,2'!I32/(1-'Exhibit M,2'!E32)</f>
        <v>0</v>
      </c>
      <c r="F32" s="187"/>
      <c r="G32" s="494">
        <f>'Exhibit M,3'!K32</f>
        <v>8103.6079101330761</v>
      </c>
      <c r="H32" s="494"/>
      <c r="I32" s="494">
        <f>'Exhibit M,2'!K32</f>
        <v>13.465683786096596</v>
      </c>
      <c r="J32" s="187"/>
      <c r="K32" s="494">
        <f t="shared" si="0"/>
        <v>0</v>
      </c>
      <c r="N32" s="25">
        <f t="shared" si="1"/>
        <v>2010</v>
      </c>
      <c r="O32" s="20">
        <f>'Exhibit M,3'!W32</f>
        <v>0</v>
      </c>
      <c r="P32" s="22">
        <f t="shared" si="2"/>
        <v>0</v>
      </c>
    </row>
    <row r="33" spans="1:17">
      <c r="A33" s="6">
        <f t="shared" si="3"/>
        <v>2011</v>
      </c>
      <c r="C33" s="494">
        <f>'Exhibit M,3'!I33/(1-'Exhibit M,3'!E33)</f>
        <v>411733.81981529947</v>
      </c>
      <c r="D33" s="187"/>
      <c r="E33" s="494">
        <f>'Exhibit M,2'!I33/(1-'Exhibit M,2'!E33)</f>
        <v>407361.58052147331</v>
      </c>
      <c r="F33" s="187"/>
      <c r="G33" s="494">
        <f>'Exhibit M,3'!K33</f>
        <v>420400.30502878415</v>
      </c>
      <c r="H33" s="494"/>
      <c r="I33" s="494">
        <f>'Exhibit M,2'!K33</f>
        <v>407488.22766020056</v>
      </c>
      <c r="J33" s="187"/>
      <c r="K33" s="494">
        <f t="shared" si="0"/>
        <v>407361.58052147331</v>
      </c>
      <c r="L33" s="22"/>
      <c r="N33" s="25">
        <f t="shared" si="1"/>
        <v>2011</v>
      </c>
      <c r="O33" s="20">
        <f>'Exhibit M,3'!W33</f>
        <v>407574.07383896492</v>
      </c>
      <c r="P33" s="22">
        <f t="shared" si="2"/>
        <v>-212.49331749160774</v>
      </c>
    </row>
    <row r="34" spans="1:17">
      <c r="A34" s="6">
        <f t="shared" si="3"/>
        <v>2012</v>
      </c>
      <c r="C34" s="494">
        <f>'Exhibit M,3'!I34/(1-'Exhibit M,3'!E34)</f>
        <v>1121417.3754278335</v>
      </c>
      <c r="D34" s="187"/>
      <c r="E34" s="494">
        <f>'Exhibit M,2'!I34/(1-'Exhibit M,2'!E34)</f>
        <v>1102035.9602525134</v>
      </c>
      <c r="F34" s="187"/>
      <c r="G34" s="494">
        <f>'Exhibit M,3'!K34</f>
        <v>1120598.7018962288</v>
      </c>
      <c r="H34" s="494"/>
      <c r="I34" s="494">
        <f>'Exhibit M,2'!K34</f>
        <v>1102017.1819367905</v>
      </c>
      <c r="J34" s="187"/>
      <c r="K34" s="494">
        <f t="shared" si="0"/>
        <v>1102035.9602525134</v>
      </c>
      <c r="L34" s="22"/>
      <c r="N34" s="25">
        <f t="shared" si="1"/>
        <v>2012</v>
      </c>
      <c r="O34" s="20">
        <f>'Exhibit M,3'!W34</f>
        <v>1104347.2996114462</v>
      </c>
      <c r="P34" s="22">
        <f t="shared" si="2"/>
        <v>-2311.3393589328043</v>
      </c>
    </row>
    <row r="35" spans="1:17">
      <c r="A35" s="6">
        <f t="shared" si="3"/>
        <v>2013</v>
      </c>
      <c r="C35" s="494">
        <f>'Exhibit M,3'!I35/(1-'Exhibit M,3'!E35)</f>
        <v>1285069.1738091009</v>
      </c>
      <c r="D35" s="187"/>
      <c r="E35" s="494">
        <f>'Exhibit M,2'!I35/(1-'Exhibit M,2'!E35)</f>
        <v>1245292.4175367891</v>
      </c>
      <c r="F35" s="187"/>
      <c r="G35" s="494">
        <f>'Exhibit M,3'!K35</f>
        <v>1289728.5170995872</v>
      </c>
      <c r="H35" s="494"/>
      <c r="I35" s="494">
        <f>'Exhibit M,2'!K35</f>
        <v>1245772.3731843752</v>
      </c>
      <c r="J35" s="187"/>
      <c r="K35" s="494">
        <f t="shared" si="0"/>
        <v>1245292.4175367891</v>
      </c>
      <c r="L35" s="22"/>
      <c r="N35" s="25">
        <f t="shared" si="1"/>
        <v>2013</v>
      </c>
      <c r="O35" s="20">
        <f>'Exhibit M,3'!W35</f>
        <v>1253409.4398453494</v>
      </c>
      <c r="P35" s="22">
        <f t="shared" si="2"/>
        <v>-8117.0223085603211</v>
      </c>
    </row>
    <row r="36" spans="1:17">
      <c r="A36" s="6">
        <f t="shared" si="3"/>
        <v>2014</v>
      </c>
      <c r="C36" s="494">
        <f>'Exhibit M,3'!I36/(1-'Exhibit M,3'!E36)</f>
        <v>586727.10155104392</v>
      </c>
      <c r="D36" s="187"/>
      <c r="E36" s="494">
        <f>'Exhibit M,2'!I36/(1-'Exhibit M,2'!E36)</f>
        <v>548996.66268209089</v>
      </c>
      <c r="F36" s="187"/>
      <c r="G36" s="494">
        <f>'Exhibit M,3'!K36</f>
        <v>614170.56138886802</v>
      </c>
      <c r="H36" s="494"/>
      <c r="I36" s="494">
        <f>'Exhibit M,2'!K36</f>
        <v>552900.24443403038</v>
      </c>
      <c r="J36" s="187"/>
      <c r="K36" s="494">
        <f t="shared" si="0"/>
        <v>548996.66268209089</v>
      </c>
      <c r="L36" s="22"/>
      <c r="N36" s="25">
        <f t="shared" si="1"/>
        <v>2014</v>
      </c>
      <c r="O36" s="20">
        <f>'Exhibit M,3'!W36</f>
        <v>558145.57570289331</v>
      </c>
      <c r="P36" s="22">
        <f t="shared" si="2"/>
        <v>-9148.9130208024289</v>
      </c>
    </row>
    <row r="37" spans="1:17">
      <c r="A37" s="6">
        <f t="shared" si="3"/>
        <v>2015</v>
      </c>
      <c r="C37" s="494">
        <f>'Exhibit M,3'!I37/(1-'Exhibit M,3'!E37)</f>
        <v>647375.6509857598</v>
      </c>
      <c r="D37" s="187"/>
      <c r="E37" s="494">
        <f>'Exhibit M,2'!I37/(1-'Exhibit M,2'!E37)</f>
        <v>565861.22340523952</v>
      </c>
      <c r="F37" s="187"/>
      <c r="G37" s="494">
        <f>'Exhibit M,3'!K37</f>
        <v>947823.19860261586</v>
      </c>
      <c r="H37" s="494"/>
      <c r="I37" s="494">
        <f>'Exhibit M,2'!K37</f>
        <v>618984.79160920763</v>
      </c>
      <c r="J37" s="187"/>
      <c r="K37" s="494">
        <f t="shared" si="0"/>
        <v>565861.22340523952</v>
      </c>
      <c r="L37" s="22"/>
      <c r="N37" s="25">
        <f t="shared" si="1"/>
        <v>2015</v>
      </c>
      <c r="O37" s="20">
        <f>'Exhibit M,3'!W37</f>
        <v>585500.9911260287</v>
      </c>
      <c r="P37" s="22">
        <f t="shared" si="2"/>
        <v>-19639.767720789183</v>
      </c>
    </row>
    <row r="38" spans="1:17">
      <c r="A38" s="6">
        <f t="shared" si="3"/>
        <v>2016</v>
      </c>
      <c r="C38" s="494">
        <f>'Exhibit M,3'!I38/(1-'Exhibit M,3'!E38)</f>
        <v>3838049.4046034967</v>
      </c>
      <c r="D38" s="187"/>
      <c r="E38" s="494">
        <f>'Exhibit M,2'!I38/(1-'Exhibit M,2'!E38)</f>
        <v>2888549.9548365469</v>
      </c>
      <c r="F38" s="187"/>
      <c r="G38" s="494">
        <f>'Exhibit M,3'!K38</f>
        <v>3239604.9489171207</v>
      </c>
      <c r="H38" s="494"/>
      <c r="I38" s="494">
        <f>'Exhibit M,2'!K38</f>
        <v>2816299.8962869616</v>
      </c>
      <c r="J38" s="187"/>
      <c r="K38" s="494">
        <f t="shared" si="0"/>
        <v>2888549.9548365469</v>
      </c>
      <c r="L38" s="22"/>
      <c r="M38" s="61"/>
      <c r="N38" s="25">
        <f t="shared" si="1"/>
        <v>2016</v>
      </c>
      <c r="O38" s="20">
        <f>'Exhibit M,3'!W38</f>
        <v>2948405.5898999106</v>
      </c>
      <c r="P38" s="22">
        <f t="shared" si="2"/>
        <v>-59855.635063363705</v>
      </c>
    </row>
    <row r="39" spans="1:17">
      <c r="A39" s="6">
        <f t="shared" si="3"/>
        <v>2017</v>
      </c>
      <c r="C39" s="494">
        <f>'Exhibit M,3'!I39/(1-'Exhibit M,3'!E39)</f>
        <v>180020.52034530102</v>
      </c>
      <c r="D39" s="187"/>
      <c r="E39" s="494">
        <f>'Exhibit M,2'!I39/(1-'Exhibit M,2'!E39)</f>
        <v>234949.70631093622</v>
      </c>
      <c r="F39" s="187"/>
      <c r="G39" s="494">
        <f>'Exhibit M,3'!K39</f>
        <v>832202.89535904862</v>
      </c>
      <c r="H39" s="494"/>
      <c r="I39" s="494">
        <f>'Exhibit M,2'!K39</f>
        <v>420952.5779733985</v>
      </c>
      <c r="J39" s="187"/>
      <c r="K39" s="494">
        <f>I39+L39</f>
        <v>420952.5779733985</v>
      </c>
      <c r="M39" s="502">
        <f>K39-'Exhibit M,2'!I39</f>
        <v>218105.50797339849</v>
      </c>
      <c r="N39" s="25">
        <f t="shared" si="1"/>
        <v>2017</v>
      </c>
      <c r="O39" s="20">
        <f>'Exhibit M,3'!W39</f>
        <v>623617.26212579419</v>
      </c>
      <c r="P39" s="22">
        <f t="shared" si="2"/>
        <v>-202664.6841523957</v>
      </c>
    </row>
    <row r="40" spans="1:17">
      <c r="A40" s="6">
        <f t="shared" si="3"/>
        <v>2018</v>
      </c>
      <c r="C40" s="494">
        <f>'Exhibit M,3'!I40/(1-'Exhibit M,3'!E40)</f>
        <v>2157584.9627221515</v>
      </c>
      <c r="D40" s="187"/>
      <c r="E40" s="494">
        <f>'Exhibit M,2'!I40/(1-'Exhibit M,2'!E40)</f>
        <v>1782715.8006578078</v>
      </c>
      <c r="F40" s="187"/>
      <c r="G40" s="494">
        <f>'Exhibit M,3'!K40</f>
        <v>1611356.6291042427</v>
      </c>
      <c r="H40" s="494"/>
      <c r="I40" s="494">
        <f>'Exhibit M,2'!K40</f>
        <v>1653916.9802836736</v>
      </c>
      <c r="J40" s="187"/>
      <c r="K40" s="494">
        <f t="shared" ref="K40:K44" si="4">I40</f>
        <v>1653916.9802836736</v>
      </c>
      <c r="M40" s="502">
        <f>K40-'Exhibit M,2'!I40</f>
        <v>338692.79028367368</v>
      </c>
      <c r="N40" s="25">
        <f t="shared" si="1"/>
        <v>2018</v>
      </c>
      <c r="O40" s="20">
        <f>'Exhibit M,3'!W40</f>
        <v>1091220.3821376378</v>
      </c>
      <c r="P40" s="22">
        <f t="shared" si="2"/>
        <v>562696.5981460358</v>
      </c>
      <c r="Q40" s="61"/>
    </row>
    <row r="41" spans="1:17">
      <c r="A41" s="6">
        <f t="shared" si="3"/>
        <v>2019</v>
      </c>
      <c r="C41" s="494">
        <f>'Exhibit M,3'!I41/(1-'Exhibit M,3'!E41)</f>
        <v>2725175.004964177</v>
      </c>
      <c r="D41" s="187"/>
      <c r="E41" s="494">
        <f>'Exhibit M,2'!I41/(1-'Exhibit M,2'!E41)</f>
        <v>2496119.9532251083</v>
      </c>
      <c r="F41" s="187"/>
      <c r="G41" s="494">
        <f>'Exhibit M,3'!K41</f>
        <v>1215985.1176420655</v>
      </c>
      <c r="H41" s="494"/>
      <c r="I41" s="494">
        <f>'Exhibit M,2'!K41</f>
        <v>1757763.3845244916</v>
      </c>
      <c r="J41" s="187"/>
      <c r="K41" s="494">
        <f t="shared" si="4"/>
        <v>1757763.3845244916</v>
      </c>
      <c r="M41" s="502">
        <f>K41-'Exhibit M,2'!I41</f>
        <v>329025.49452449149</v>
      </c>
      <c r="N41" s="25">
        <f t="shared" si="1"/>
        <v>2019</v>
      </c>
      <c r="O41" s="20">
        <f>'Exhibit M,3'!W41</f>
        <v>1485971.2307579895</v>
      </c>
      <c r="P41" s="22">
        <f t="shared" si="2"/>
        <v>271792.15376650216</v>
      </c>
    </row>
    <row r="42" spans="1:17">
      <c r="A42" s="6">
        <f t="shared" si="3"/>
        <v>2020</v>
      </c>
      <c r="C42" s="494">
        <f>'Exhibit M,3'!I42/(1-'Exhibit M,3'!E42)</f>
        <v>5431485.5122437589</v>
      </c>
      <c r="D42" s="187"/>
      <c r="E42" s="494">
        <f>'Exhibit M,2'!I42/(1-'Exhibit M,2'!E42)</f>
        <v>1708659.656884457</v>
      </c>
      <c r="F42" s="187"/>
      <c r="G42" s="494">
        <f>'Exhibit M,3'!K42</f>
        <v>1107518.9484766708</v>
      </c>
      <c r="H42" s="494"/>
      <c r="I42" s="494">
        <f>'Exhibit M,2'!K42</f>
        <v>980122.76243980473</v>
      </c>
      <c r="J42" s="187"/>
      <c r="K42" s="494">
        <f t="shared" si="4"/>
        <v>980122.76243980473</v>
      </c>
      <c r="M42" s="502">
        <f>K42-'Exhibit M,2'!I42</f>
        <v>396710.84243980469</v>
      </c>
      <c r="N42" s="25">
        <f t="shared" si="1"/>
        <v>2020</v>
      </c>
      <c r="O42" s="20">
        <f>'Exhibit M,3'!W42</f>
        <v>822154.25488692033</v>
      </c>
      <c r="P42" s="22">
        <f t="shared" si="2"/>
        <v>157968.5075528844</v>
      </c>
    </row>
    <row r="43" spans="1:17">
      <c r="A43" s="6">
        <f t="shared" si="3"/>
        <v>2021</v>
      </c>
      <c r="C43" s="494">
        <f>'Exhibit M,3'!I43/(1-'Exhibit M,3'!E43)</f>
        <v>369535.88586543914</v>
      </c>
      <c r="D43" s="187"/>
      <c r="E43" s="494">
        <f>'Exhibit M,2'!I43/(1-'Exhibit M,2'!E43)</f>
        <v>132205.32593120215</v>
      </c>
      <c r="F43" s="187"/>
      <c r="G43" s="494">
        <f>'Exhibit M,3'!K43</f>
        <v>601032.56973367976</v>
      </c>
      <c r="H43" s="494"/>
      <c r="I43" s="494">
        <f>'Exhibit M,2'!K43</f>
        <v>541015.25915321137</v>
      </c>
      <c r="J43" s="187"/>
      <c r="K43" s="494">
        <f t="shared" si="4"/>
        <v>541015.25915321137</v>
      </c>
      <c r="M43" s="502">
        <f>K43-'Exhibit M,2'!I43</f>
        <v>522302.75915321137</v>
      </c>
      <c r="N43" s="25">
        <f>N42+1</f>
        <v>2021</v>
      </c>
      <c r="O43" s="20">
        <f>'Exhibit M,3'!W43</f>
        <v>790546.68001471099</v>
      </c>
      <c r="P43" s="22">
        <f t="shared" si="2"/>
        <v>-249531.42086149962</v>
      </c>
    </row>
    <row r="44" spans="1:17">
      <c r="A44" s="6">
        <f t="shared" si="3"/>
        <v>2022</v>
      </c>
      <c r="C44" s="494">
        <f>'Exhibit M,3'!I44/(1-'Exhibit M,3'!E44)</f>
        <v>749637.59874673258</v>
      </c>
      <c r="D44" s="187"/>
      <c r="E44" s="494">
        <f>'Exhibit M,2'!I44/(1-'Exhibit M,2'!E44)</f>
        <v>449298.80057935545</v>
      </c>
      <c r="F44" s="187"/>
      <c r="G44" s="494">
        <f>'Exhibit M,3'!K44</f>
        <v>2050630.3234667873</v>
      </c>
      <c r="H44" s="494"/>
      <c r="I44" s="494">
        <f>'Exhibit M,2'!K44</f>
        <v>2002137.6420433626</v>
      </c>
      <c r="J44" s="187"/>
      <c r="K44" s="494">
        <f t="shared" si="4"/>
        <v>2002137.6420433626</v>
      </c>
      <c r="M44" s="502">
        <f>K44-'Exhibit M,2'!I44</f>
        <v>1987137.6420433626</v>
      </c>
      <c r="N44" s="25">
        <f>N43+1</f>
        <v>2022</v>
      </c>
      <c r="O44" s="20">
        <f>'Exhibit M,3'!W44</f>
        <v>0</v>
      </c>
      <c r="P44" s="61"/>
    </row>
    <row r="45" spans="1:17">
      <c r="C45" s="105"/>
      <c r="E45" s="105"/>
      <c r="G45" s="105"/>
      <c r="I45" s="105"/>
      <c r="K45" s="105"/>
      <c r="N45" s="61"/>
    </row>
    <row r="46" spans="1:17">
      <c r="A46" s="6" t="s">
        <v>0</v>
      </c>
      <c r="C46" s="284">
        <f>SUM(C16:C45)</f>
        <v>34211760.335278116</v>
      </c>
      <c r="E46" s="284">
        <f t="shared" ref="E46:K46" si="5">SUM(E16:E45)</f>
        <v>28306457.512823522</v>
      </c>
      <c r="F46" s="284"/>
      <c r="G46" s="284">
        <f t="shared" si="5"/>
        <v>29769251.819072727</v>
      </c>
      <c r="H46" s="284"/>
      <c r="I46" s="284">
        <f t="shared" si="5"/>
        <v>28843795.257213295</v>
      </c>
      <c r="J46" s="284"/>
      <c r="K46" s="284">
        <f t="shared" si="5"/>
        <v>28858416.875652596</v>
      </c>
      <c r="N46" s="61"/>
      <c r="O46" s="338">
        <f>SUM(O16:O45)</f>
        <v>26395303.275641143</v>
      </c>
      <c r="P46" s="338">
        <f>SUM(P16:P45)</f>
        <v>460975.95796808798</v>
      </c>
    </row>
    <row r="47" spans="1:17">
      <c r="N47" s="61"/>
      <c r="O47" s="61"/>
      <c r="P47" s="61"/>
    </row>
    <row r="48" spans="1:17">
      <c r="A48" s="2" t="str">
        <f>_xlfn.CONCAT(A16,"-",A42)</f>
        <v>1994-2020</v>
      </c>
      <c r="C48" s="284">
        <f>SUM(C16:C42)</f>
        <v>33092586.850665942</v>
      </c>
      <c r="E48" s="284">
        <f>SUM(E16:E42)</f>
        <v>27724953.386312965</v>
      </c>
      <c r="F48" s="284"/>
      <c r="G48" s="284">
        <f>SUM(G16:G42)</f>
        <v>27117588.925872259</v>
      </c>
      <c r="H48" s="284"/>
      <c r="I48" s="284">
        <f>SUM(I16:I42)</f>
        <v>26300642.356016722</v>
      </c>
      <c r="J48" s="284"/>
      <c r="K48" s="284">
        <f>SUM(K16:K42)</f>
        <v>26315263.974456023</v>
      </c>
    </row>
    <row r="50" spans="1:16">
      <c r="K50" s="22"/>
      <c r="O50" s="22"/>
      <c r="P50" s="22"/>
    </row>
    <row r="52" spans="1:16">
      <c r="A52" s="6" t="s">
        <v>50</v>
      </c>
      <c r="B52" s="3" t="s">
        <v>252</v>
      </c>
    </row>
    <row r="53" spans="1:16">
      <c r="B53" s="3" t="s">
        <v>253</v>
      </c>
    </row>
    <row r="54" spans="1:16">
      <c r="B54" s="3" t="s">
        <v>254</v>
      </c>
    </row>
    <row r="55" spans="1:16">
      <c r="B55" s="3" t="s">
        <v>255</v>
      </c>
    </row>
  </sheetData>
  <phoneticPr fontId="8" type="noConversion"/>
  <printOptions horizontalCentered="1"/>
  <pageMargins left="0.7" right="0.7" top="0.75" bottom="0.75" header="0.3" footer="0.3"/>
  <pageSetup scale="7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8">
    <pageSetUpPr fitToPage="1"/>
  </sheetPr>
  <dimension ref="A1:Y57"/>
  <sheetViews>
    <sheetView topLeftCell="A20" zoomScaleNormal="100" workbookViewId="0">
      <selection activeCell="I17" sqref="I17"/>
    </sheetView>
  </sheetViews>
  <sheetFormatPr baseColWidth="10" defaultColWidth="8.7109375" defaultRowHeight="15"/>
  <cols>
    <col min="1" max="1" width="9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6" width="8.7109375" style="1"/>
    <col min="17" max="17" width="10.7109375" style="1" customWidth="1"/>
    <col min="18" max="21" width="12.7109375" style="1" bestFit="1" customWidth="1"/>
    <col min="22" max="16384" width="8.7109375" style="1"/>
  </cols>
  <sheetData>
    <row r="1" spans="1:25">
      <c r="K1" s="64" t="s">
        <v>76</v>
      </c>
    </row>
    <row r="2" spans="1:25">
      <c r="K2" s="52" t="s">
        <v>45</v>
      </c>
    </row>
    <row r="4" spans="1:25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</row>
    <row r="6" spans="1:25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25">
      <c r="A7" s="5" t="s">
        <v>68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25">
      <c r="A8" s="5" t="s">
        <v>352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25">
      <c r="B9" s="5"/>
      <c r="C9" s="5"/>
      <c r="D9" s="5"/>
      <c r="E9" s="5"/>
      <c r="F9" s="6"/>
      <c r="G9" s="5"/>
      <c r="H9" s="5"/>
      <c r="I9" s="5"/>
      <c r="J9" s="5"/>
      <c r="K9" s="5"/>
    </row>
    <row r="11" spans="1:25">
      <c r="C11" s="6"/>
      <c r="D11" s="6"/>
      <c r="E11" s="6" t="s">
        <v>7</v>
      </c>
      <c r="F11" s="6"/>
      <c r="G11" s="6" t="s">
        <v>7</v>
      </c>
      <c r="H11" s="6"/>
      <c r="I11" s="6" t="s">
        <v>64</v>
      </c>
      <c r="J11" s="6"/>
      <c r="K11" s="6"/>
      <c r="P11" s="25"/>
      <c r="Q11" s="44"/>
      <c r="R11" s="44"/>
      <c r="S11" s="44"/>
      <c r="T11" s="44"/>
      <c r="U11" s="44"/>
    </row>
    <row r="12" spans="1:25">
      <c r="A12" s="6" t="s">
        <v>3</v>
      </c>
      <c r="C12" s="6" t="s">
        <v>7</v>
      </c>
      <c r="D12" s="6"/>
      <c r="E12" s="6" t="s">
        <v>62</v>
      </c>
      <c r="F12" s="6"/>
      <c r="G12" s="6" t="s">
        <v>69</v>
      </c>
      <c r="H12" s="6"/>
      <c r="I12" s="6" t="s">
        <v>12</v>
      </c>
      <c r="J12" s="6"/>
      <c r="K12" s="6" t="s">
        <v>67</v>
      </c>
      <c r="P12" s="25"/>
      <c r="Q12" s="44"/>
      <c r="R12" s="44"/>
      <c r="S12" s="44"/>
      <c r="T12" s="44"/>
      <c r="U12" s="44"/>
      <c r="W12" s="359" t="s">
        <v>205</v>
      </c>
      <c r="Y12" s="256"/>
    </row>
    <row r="13" spans="1:25">
      <c r="A13" s="6" t="s">
        <v>4</v>
      </c>
      <c r="C13" s="6" t="s">
        <v>55</v>
      </c>
      <c r="D13" s="6"/>
      <c r="E13" s="6" t="s">
        <v>69</v>
      </c>
      <c r="F13" s="6"/>
      <c r="G13" s="6" t="s">
        <v>55</v>
      </c>
      <c r="H13" s="6"/>
      <c r="I13" s="6" t="s">
        <v>55</v>
      </c>
      <c r="J13" s="6"/>
      <c r="K13" s="6" t="s">
        <v>55</v>
      </c>
      <c r="P13" s="25"/>
      <c r="Q13" s="45"/>
      <c r="R13" s="45"/>
      <c r="S13" s="45"/>
      <c r="T13" s="45"/>
      <c r="U13" s="45"/>
      <c r="W13" s="97" t="s">
        <v>351</v>
      </c>
      <c r="X13" s="97" t="s">
        <v>204</v>
      </c>
      <c r="Y13" s="97" t="s">
        <v>198</v>
      </c>
    </row>
    <row r="14" spans="1:25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  <c r="W14" s="143">
        <f>K14-1</f>
        <v>-7</v>
      </c>
      <c r="X14" s="143">
        <f>W14-1</f>
        <v>-8</v>
      </c>
      <c r="Y14" s="143">
        <f>X14-1</f>
        <v>-9</v>
      </c>
    </row>
    <row r="15" spans="1:25">
      <c r="A15" s="6"/>
      <c r="C15" s="6"/>
      <c r="E15" s="6"/>
      <c r="G15" s="6"/>
      <c r="I15" s="6"/>
      <c r="K15" s="6"/>
      <c r="P15" s="277"/>
      <c r="Q15" s="277"/>
      <c r="R15" s="25"/>
      <c r="S15" s="25"/>
      <c r="T15" s="25"/>
      <c r="U15" s="25"/>
      <c r="W15" s="61"/>
      <c r="X15" s="61"/>
      <c r="Y15" s="61"/>
    </row>
    <row r="16" spans="1:25">
      <c r="A16" s="6">
        <v>1994</v>
      </c>
      <c r="C16" s="147">
        <f>'Exhibit P,2'!K18</f>
        <v>960283.09355111816</v>
      </c>
      <c r="E16" s="74">
        <v>0</v>
      </c>
      <c r="G16" s="19">
        <v>0</v>
      </c>
      <c r="H16" s="19"/>
      <c r="I16" s="147">
        <f>'Exhibit M,3'!S16</f>
        <v>9600</v>
      </c>
      <c r="J16" s="19"/>
      <c r="K16" s="147">
        <f>G16+I16</f>
        <v>9600</v>
      </c>
      <c r="P16" s="25"/>
      <c r="Q16" s="25"/>
      <c r="R16" s="25"/>
      <c r="S16" s="25"/>
      <c r="T16" s="25"/>
      <c r="U16" s="25"/>
      <c r="W16" s="72">
        <f>'Exhibit P,2'!I18</f>
        <v>1</v>
      </c>
      <c r="X16" s="61"/>
      <c r="Y16" s="61"/>
    </row>
    <row r="17" spans="1:25">
      <c r="A17" s="6">
        <f>A16+1</f>
        <v>1995</v>
      </c>
      <c r="C17" s="20">
        <f>'Exhibit P,2'!K19</f>
        <v>1186219.4793941791</v>
      </c>
      <c r="E17" s="74">
        <v>0</v>
      </c>
      <c r="G17" s="18">
        <f t="shared" ref="G17:G43" si="0">C17*E17</f>
        <v>0</v>
      </c>
      <c r="I17" s="17">
        <f>'Exhibit M,3'!S17</f>
        <v>674635.38</v>
      </c>
      <c r="K17" s="20">
        <f t="shared" ref="K17:K43" si="1">G17+I17</f>
        <v>674635.38</v>
      </c>
      <c r="P17" s="25"/>
      <c r="Q17" s="25"/>
      <c r="R17" s="25"/>
      <c r="S17" s="25"/>
      <c r="T17" s="25"/>
      <c r="U17" s="25"/>
      <c r="W17" s="72">
        <f>'Exhibit P,2'!I19</f>
        <v>1</v>
      </c>
      <c r="X17" s="61"/>
      <c r="Y17" s="61"/>
    </row>
    <row r="18" spans="1:25">
      <c r="A18" s="6">
        <f t="shared" ref="A18:A44" si="2">A17+1</f>
        <v>1996</v>
      </c>
      <c r="C18" s="20">
        <f>'Exhibit P,2'!K20</f>
        <v>972762.76120623539</v>
      </c>
      <c r="E18" s="74">
        <v>0</v>
      </c>
      <c r="G18" s="18">
        <f t="shared" si="0"/>
        <v>0</v>
      </c>
      <c r="I18" s="17">
        <f>'Exhibit M,3'!S18</f>
        <v>931618.13</v>
      </c>
      <c r="K18" s="20">
        <f t="shared" si="1"/>
        <v>931618.13</v>
      </c>
      <c r="P18" s="25"/>
      <c r="Q18" s="25"/>
      <c r="R18" s="25"/>
      <c r="S18" s="25"/>
      <c r="T18" s="25"/>
      <c r="U18" s="25"/>
      <c r="W18" s="72">
        <f>'Exhibit P,2'!I20</f>
        <v>1</v>
      </c>
      <c r="X18" s="61"/>
      <c r="Y18" s="61"/>
    </row>
    <row r="19" spans="1:25">
      <c r="A19" s="6">
        <f t="shared" si="2"/>
        <v>1997</v>
      </c>
      <c r="C19" s="20">
        <f>'Exhibit P,2'!K21</f>
        <v>945710.07892476453</v>
      </c>
      <c r="E19" s="74">
        <v>0</v>
      </c>
      <c r="G19" s="18">
        <f t="shared" si="0"/>
        <v>0</v>
      </c>
      <c r="I19" s="17">
        <f>'Exhibit M,3'!S19</f>
        <v>520601.1</v>
      </c>
      <c r="K19" s="20">
        <f t="shared" si="1"/>
        <v>520601.1</v>
      </c>
      <c r="P19" s="25"/>
      <c r="Q19" s="25"/>
      <c r="R19" s="25"/>
      <c r="S19" s="25"/>
      <c r="T19" s="25"/>
      <c r="U19" s="25"/>
      <c r="W19" s="72">
        <f>'Exhibit P,2'!I21</f>
        <v>1</v>
      </c>
      <c r="X19" s="61"/>
      <c r="Y19" s="61"/>
    </row>
    <row r="20" spans="1:25">
      <c r="A20" s="6">
        <f t="shared" si="2"/>
        <v>1998</v>
      </c>
      <c r="C20" s="20">
        <f>'Exhibit P,2'!K22</f>
        <v>991328.76679130248</v>
      </c>
      <c r="E20" s="74">
        <v>0</v>
      </c>
      <c r="G20" s="18">
        <f t="shared" si="0"/>
        <v>0</v>
      </c>
      <c r="I20" s="17">
        <f>'Exhibit M,3'!S20</f>
        <v>606234.30000000005</v>
      </c>
      <c r="K20" s="20">
        <f t="shared" si="1"/>
        <v>606234.30000000005</v>
      </c>
      <c r="P20" s="25"/>
      <c r="Q20" s="25"/>
      <c r="R20" s="25"/>
      <c r="S20" s="25"/>
      <c r="T20" s="25"/>
      <c r="U20" s="25"/>
      <c r="W20" s="72">
        <f>'Exhibit P,2'!I22</f>
        <v>0.98873484308322401</v>
      </c>
      <c r="X20" s="61"/>
      <c r="Y20" s="61"/>
    </row>
    <row r="21" spans="1:25">
      <c r="A21" s="6">
        <f t="shared" si="2"/>
        <v>1999</v>
      </c>
      <c r="C21" s="20">
        <f>'Exhibit P,2'!K23</f>
        <v>1116024.6954030863</v>
      </c>
      <c r="E21" s="74">
        <v>0</v>
      </c>
      <c r="G21" s="18">
        <f t="shared" si="0"/>
        <v>0</v>
      </c>
      <c r="I21" s="17">
        <f>'Exhibit M,3'!S21</f>
        <v>818508.42</v>
      </c>
      <c r="K21" s="20">
        <f t="shared" si="1"/>
        <v>818508.42</v>
      </c>
      <c r="P21" s="25"/>
      <c r="Q21" s="25"/>
      <c r="R21" s="25"/>
      <c r="S21" s="25"/>
      <c r="T21" s="25"/>
      <c r="U21" s="25"/>
      <c r="W21" s="72">
        <f>'Exhibit P,2'!I23</f>
        <v>0.9824898308823069</v>
      </c>
      <c r="X21" s="61"/>
      <c r="Y21" s="61"/>
    </row>
    <row r="22" spans="1:25">
      <c r="A22" s="6">
        <f t="shared" si="2"/>
        <v>2000</v>
      </c>
      <c r="C22" s="20">
        <f>'Exhibit P,2'!K24</f>
        <v>1464593.3109054589</v>
      </c>
      <c r="E22" s="74">
        <v>0</v>
      </c>
      <c r="G22" s="18">
        <f t="shared" si="0"/>
        <v>0</v>
      </c>
      <c r="I22" s="17">
        <f>'Exhibit M,3'!S22</f>
        <v>1349932.79</v>
      </c>
      <c r="K22" s="20">
        <f t="shared" si="1"/>
        <v>1349932.79</v>
      </c>
      <c r="P22" s="25"/>
      <c r="Q22" s="25"/>
      <c r="R22" s="25"/>
      <c r="S22" s="25"/>
      <c r="T22" s="25"/>
      <c r="U22" s="25"/>
      <c r="W22" s="72">
        <f>'Exhibit P,2'!I24</f>
        <v>0.98525754506508056</v>
      </c>
      <c r="X22" s="61"/>
      <c r="Y22" s="61"/>
    </row>
    <row r="23" spans="1:25">
      <c r="A23" s="6">
        <f t="shared" si="2"/>
        <v>2001</v>
      </c>
      <c r="C23" s="20">
        <f>'Exhibit P,2'!K25</f>
        <v>1416452.2396541266</v>
      </c>
      <c r="E23" s="74">
        <v>0</v>
      </c>
      <c r="G23" s="18">
        <f t="shared" si="0"/>
        <v>0</v>
      </c>
      <c r="I23" s="17">
        <f>'Exhibit M,3'!S23</f>
        <v>1732780</v>
      </c>
      <c r="K23" s="20">
        <f t="shared" si="1"/>
        <v>1732780</v>
      </c>
      <c r="P23" s="25"/>
      <c r="Q23" s="25"/>
      <c r="R23" s="25"/>
      <c r="S23" s="25"/>
      <c r="T23" s="25"/>
      <c r="U23" s="25"/>
      <c r="W23" s="72">
        <f>'Exhibit P,2'!I25</f>
        <v>0.98380120111463631</v>
      </c>
      <c r="X23" s="61"/>
      <c r="Y23" s="61"/>
    </row>
    <row r="24" spans="1:25">
      <c r="A24" s="6">
        <f t="shared" si="2"/>
        <v>2002</v>
      </c>
      <c r="C24" s="20">
        <f>'Exhibit P,2'!K26</f>
        <v>1570477.1516304312</v>
      </c>
      <c r="E24" s="74">
        <v>0</v>
      </c>
      <c r="G24" s="18">
        <f t="shared" si="0"/>
        <v>0</v>
      </c>
      <c r="I24" s="17">
        <f>'Exhibit M,3'!S24</f>
        <v>647640.80999999994</v>
      </c>
      <c r="K24" s="20">
        <f t="shared" si="1"/>
        <v>647640.80999999994</v>
      </c>
      <c r="P24" s="25"/>
      <c r="Q24" s="25"/>
      <c r="R24" s="25"/>
      <c r="S24" s="25"/>
      <c r="T24" s="25"/>
      <c r="U24" s="25"/>
      <c r="W24" s="72">
        <f>'Exhibit P,2'!I26</f>
        <v>0.97750002325827856</v>
      </c>
      <c r="X24" s="61"/>
      <c r="Y24" s="61"/>
    </row>
    <row r="25" spans="1:25">
      <c r="A25" s="6">
        <f t="shared" si="2"/>
        <v>2003</v>
      </c>
      <c r="C25" s="20">
        <f>'Exhibit P,2'!K27</f>
        <v>1109976.0853981574</v>
      </c>
      <c r="E25" s="128">
        <f t="shared" ref="E25:E44" si="3">1-((1-W25)*X25+W25*Y25)</f>
        <v>0</v>
      </c>
      <c r="G25" s="18">
        <f t="shared" si="0"/>
        <v>0</v>
      </c>
      <c r="I25" s="17">
        <f>'Exhibit M,3'!S25</f>
        <v>2003612.72</v>
      </c>
      <c r="K25" s="20">
        <f t="shared" si="1"/>
        <v>2003612.72</v>
      </c>
      <c r="P25" s="25"/>
      <c r="Q25" s="25"/>
      <c r="R25" s="25"/>
      <c r="S25" s="25"/>
      <c r="T25" s="25"/>
      <c r="U25" s="25"/>
      <c r="W25" s="72">
        <f>'Exhibit P,2'!I27</f>
        <v>0.86702307867847472</v>
      </c>
      <c r="X25" s="72">
        <f>'Exhibit Q,1'!K16</f>
        <v>0.99999999999999989</v>
      </c>
      <c r="Y25" s="72">
        <f>'Exhibit Q,1'!M16</f>
        <v>0.99999999999999967</v>
      </c>
    </row>
    <row r="26" spans="1:25">
      <c r="A26" s="6">
        <f t="shared" si="2"/>
        <v>2004</v>
      </c>
      <c r="C26" s="20">
        <f>'Exhibit P,2'!K28</f>
        <v>1093154.4352248281</v>
      </c>
      <c r="E26" s="128">
        <f t="shared" si="3"/>
        <v>0</v>
      </c>
      <c r="G26" s="18">
        <f t="shared" si="0"/>
        <v>0</v>
      </c>
      <c r="I26" s="17">
        <f>'Exhibit M,3'!S26</f>
        <v>2277389.9</v>
      </c>
      <c r="K26" s="20">
        <f t="shared" si="1"/>
        <v>2277389.9</v>
      </c>
      <c r="P26" s="25"/>
      <c r="Q26" s="25"/>
      <c r="R26" s="25"/>
      <c r="S26" s="25"/>
      <c r="T26" s="25"/>
      <c r="U26" s="25"/>
      <c r="W26" s="72">
        <f>'Exhibit P,2'!I28</f>
        <v>0.86822909909160961</v>
      </c>
      <c r="X26" s="72">
        <f>'Exhibit Q,1'!K17</f>
        <v>0.99999999999999989</v>
      </c>
      <c r="Y26" s="72">
        <f>'Exhibit Q,1'!M17</f>
        <v>0.99999999999999967</v>
      </c>
    </row>
    <row r="27" spans="1:25">
      <c r="A27" s="6">
        <f t="shared" si="2"/>
        <v>2005</v>
      </c>
      <c r="C27" s="20">
        <f>'Exhibit P,2'!K29</f>
        <v>745177.83976782684</v>
      </c>
      <c r="E27" s="128">
        <f t="shared" si="3"/>
        <v>0</v>
      </c>
      <c r="G27" s="18">
        <f t="shared" si="0"/>
        <v>0</v>
      </c>
      <c r="I27" s="17">
        <f>'Exhibit M,3'!S27</f>
        <v>1556133.47</v>
      </c>
      <c r="K27" s="20">
        <f t="shared" si="1"/>
        <v>1556133.47</v>
      </c>
      <c r="P27" s="25"/>
      <c r="Q27" s="25"/>
      <c r="R27" s="25"/>
      <c r="S27" s="25"/>
      <c r="T27" s="25"/>
      <c r="U27" s="25"/>
      <c r="W27" s="72">
        <f>'Exhibit P,2'!I29</f>
        <v>0.79691598892339655</v>
      </c>
      <c r="X27" s="72">
        <f>'Exhibit Q,1'!K18</f>
        <v>0.99999999999999989</v>
      </c>
      <c r="Y27" s="72">
        <f>'Exhibit Q,1'!M18</f>
        <v>0.99999999999999967</v>
      </c>
    </row>
    <row r="28" spans="1:25">
      <c r="A28" s="6">
        <f t="shared" si="2"/>
        <v>2006</v>
      </c>
      <c r="C28" s="20">
        <f>'Exhibit P,2'!K30</f>
        <v>912153.42743270856</v>
      </c>
      <c r="E28" s="128">
        <f t="shared" si="3"/>
        <v>0</v>
      </c>
      <c r="G28" s="18">
        <f t="shared" si="0"/>
        <v>0</v>
      </c>
      <c r="I28" s="17">
        <f>'Exhibit M,3'!S28</f>
        <v>78000</v>
      </c>
      <c r="K28" s="20">
        <f t="shared" si="1"/>
        <v>78000</v>
      </c>
      <c r="P28" s="25"/>
      <c r="Q28" s="25"/>
      <c r="R28" s="25"/>
      <c r="S28" s="25"/>
      <c r="T28" s="25"/>
      <c r="U28" s="25"/>
      <c r="W28" s="72">
        <f>'Exhibit P,2'!I30</f>
        <v>0.82626652150912039</v>
      </c>
      <c r="X28" s="72">
        <f>'Exhibit Q,1'!K19</f>
        <v>0.99999999999999989</v>
      </c>
      <c r="Y28" s="72">
        <f>'Exhibit Q,1'!M19</f>
        <v>0.99999999999999967</v>
      </c>
    </row>
    <row r="29" spans="1:25">
      <c r="A29" s="6">
        <f t="shared" si="2"/>
        <v>2007</v>
      </c>
      <c r="C29" s="20">
        <f>'Exhibit P,2'!K31</f>
        <v>801457.8044320083</v>
      </c>
      <c r="E29" s="128">
        <f t="shared" si="3"/>
        <v>0</v>
      </c>
      <c r="G29" s="18">
        <f t="shared" si="0"/>
        <v>0</v>
      </c>
      <c r="I29" s="17">
        <f>'Exhibit M,3'!S29</f>
        <v>806127.32000000007</v>
      </c>
      <c r="K29" s="20">
        <f t="shared" si="1"/>
        <v>806127.32000000007</v>
      </c>
      <c r="P29" s="25"/>
      <c r="Q29" s="25"/>
      <c r="R29" s="25"/>
      <c r="S29" s="25"/>
      <c r="T29" s="25"/>
      <c r="U29" s="25"/>
      <c r="W29" s="72">
        <f>'Exhibit P,2'!I31</f>
        <v>0.76467596851040842</v>
      </c>
      <c r="X29" s="72">
        <f>'Exhibit Q,1'!K20</f>
        <v>0.99999999999999989</v>
      </c>
      <c r="Y29" s="72">
        <f>'Exhibit Q,1'!M20</f>
        <v>0.99999999999999967</v>
      </c>
    </row>
    <row r="30" spans="1:25">
      <c r="A30" s="6">
        <f t="shared" si="2"/>
        <v>2008</v>
      </c>
      <c r="C30" s="20">
        <f>'Exhibit P,2'!K32</f>
        <v>575680.34325071215</v>
      </c>
      <c r="E30" s="128">
        <f t="shared" si="3"/>
        <v>0</v>
      </c>
      <c r="G30" s="18">
        <f t="shared" si="0"/>
        <v>0</v>
      </c>
      <c r="I30" s="17">
        <f>'Exhibit M,3'!S30</f>
        <v>728745.13</v>
      </c>
      <c r="K30" s="20">
        <f t="shared" si="1"/>
        <v>728745.13</v>
      </c>
      <c r="P30" s="25"/>
      <c r="Q30" s="25"/>
      <c r="R30" s="25"/>
      <c r="S30" s="25"/>
      <c r="T30" s="25"/>
      <c r="U30" s="25"/>
      <c r="W30" s="72">
        <f>'Exhibit P,2'!I32</f>
        <v>0.63023760479280855</v>
      </c>
      <c r="X30" s="72">
        <f>'Exhibit Q,1'!K21</f>
        <v>0.99999999999999989</v>
      </c>
      <c r="Y30" s="72">
        <f>'Exhibit Q,1'!M21</f>
        <v>0.99999999999999967</v>
      </c>
    </row>
    <row r="31" spans="1:25">
      <c r="A31" s="6">
        <f t="shared" si="2"/>
        <v>2009</v>
      </c>
      <c r="C31" s="20">
        <f>'Exhibit P,2'!K33</f>
        <v>517017.65953163343</v>
      </c>
      <c r="E31" s="128">
        <f t="shared" si="3"/>
        <v>0</v>
      </c>
      <c r="G31" s="18">
        <f t="shared" si="0"/>
        <v>0</v>
      </c>
      <c r="I31" s="17">
        <f>'Exhibit M,3'!S31</f>
        <v>2851</v>
      </c>
      <c r="K31" s="20">
        <f t="shared" si="1"/>
        <v>2851</v>
      </c>
      <c r="P31" s="25"/>
      <c r="Q31" s="25"/>
      <c r="R31" s="25"/>
      <c r="S31" s="25"/>
      <c r="T31" s="25"/>
      <c r="U31" s="25"/>
      <c r="W31" s="72">
        <f>'Exhibit P,2'!I33</f>
        <v>0.61400840763844766</v>
      </c>
      <c r="X31" s="72">
        <f>'Exhibit Q,1'!K22</f>
        <v>0.99999999999999989</v>
      </c>
      <c r="Y31" s="72">
        <f>'Exhibit Q,1'!M22</f>
        <v>1</v>
      </c>
    </row>
    <row r="32" spans="1:25">
      <c r="A32" s="6">
        <f t="shared" si="2"/>
        <v>2010</v>
      </c>
      <c r="C32" s="20">
        <f>'Exhibit P,2'!K34</f>
        <v>1098132.6929439942</v>
      </c>
      <c r="E32" s="128">
        <f t="shared" si="3"/>
        <v>1.2262346684166481E-5</v>
      </c>
      <c r="G32" s="18">
        <f t="shared" si="0"/>
        <v>13.465683786096596</v>
      </c>
      <c r="I32" s="17">
        <f>'Exhibit M,3'!S32</f>
        <v>0</v>
      </c>
      <c r="K32" s="20">
        <f t="shared" si="1"/>
        <v>13.465683786096596</v>
      </c>
      <c r="P32" s="25"/>
      <c r="Q32" s="25"/>
      <c r="R32" s="25"/>
      <c r="S32" s="25"/>
      <c r="T32" s="25"/>
      <c r="U32" s="25"/>
      <c r="W32" s="72">
        <f>'Exhibit P,2'!I34</f>
        <v>0.83217512238503077</v>
      </c>
      <c r="X32" s="72">
        <f>'Exhibit Q,1'!K23</f>
        <v>0.99999999999999989</v>
      </c>
      <c r="Y32" s="72">
        <f>'Exhibit Q,1'!M23</f>
        <v>0.99998526470408167</v>
      </c>
    </row>
    <row r="33" spans="1:25">
      <c r="A33" s="6">
        <f t="shared" si="2"/>
        <v>2011</v>
      </c>
      <c r="C33" s="20">
        <f>'Exhibit P,2'!K35</f>
        <v>1216120.897876435</v>
      </c>
      <c r="E33" s="128">
        <f t="shared" si="3"/>
        <v>1.5659434891146518E-4</v>
      </c>
      <c r="G33" s="18">
        <f t="shared" si="0"/>
        <v>190.43766020058678</v>
      </c>
      <c r="I33" s="17">
        <f>'Exhibit M,3'!S33</f>
        <v>407297.79</v>
      </c>
      <c r="K33" s="20">
        <f t="shared" si="1"/>
        <v>407488.22766020056</v>
      </c>
      <c r="P33" s="25"/>
      <c r="Q33" s="25"/>
      <c r="R33" s="25"/>
      <c r="S33" s="25"/>
      <c r="T33" s="25"/>
      <c r="U33" s="25"/>
      <c r="W33" s="72">
        <f>'Exhibit P,2'!I35</f>
        <v>0.83636960880639621</v>
      </c>
      <c r="X33" s="72">
        <f>'Exhibit Q,1'!K24</f>
        <v>0.99970001080822446</v>
      </c>
      <c r="Y33" s="72">
        <f>'Exhibit Q,1'!M24</f>
        <v>0.99987145993951065</v>
      </c>
    </row>
    <row r="34" spans="1:25">
      <c r="A34" s="6">
        <f t="shared" si="2"/>
        <v>2012</v>
      </c>
      <c r="C34" s="20">
        <f>'Exhibit P,2'!K36</f>
        <v>1075908.3513868831</v>
      </c>
      <c r="E34" s="128">
        <f t="shared" si="3"/>
        <v>7.187154331442791E-4</v>
      </c>
      <c r="G34" s="18">
        <f t="shared" si="0"/>
        <v>773.27193679057086</v>
      </c>
      <c r="I34" s="17">
        <f>'Exhibit M,3'!S34</f>
        <v>1101243.9099999999</v>
      </c>
      <c r="K34" s="20">
        <f t="shared" si="1"/>
        <v>1102017.1819367905</v>
      </c>
      <c r="M34" s="73"/>
      <c r="P34" s="25"/>
      <c r="Q34" s="205"/>
      <c r="R34" s="39"/>
      <c r="S34" s="39"/>
      <c r="T34" s="48"/>
      <c r="U34" s="48"/>
      <c r="W34" s="72">
        <f>'Exhibit P,2'!I36</f>
        <v>0.76276619860572548</v>
      </c>
      <c r="X34" s="72">
        <f>'Exhibit Q,1'!K25</f>
        <v>0.99888376911298637</v>
      </c>
      <c r="Y34" s="72">
        <f>'Exhibit Q,1'!M25</f>
        <v>0.99940491891563354</v>
      </c>
    </row>
    <row r="35" spans="1:25">
      <c r="A35" s="6">
        <f t="shared" si="2"/>
        <v>2013</v>
      </c>
      <c r="C35" s="20">
        <f>'Exhibit P,2'!K37</f>
        <v>1423918.7721164981</v>
      </c>
      <c r="E35" s="128">
        <f t="shared" si="3"/>
        <v>2.6869251668676375E-3</v>
      </c>
      <c r="G35" s="18">
        <f t="shared" si="0"/>
        <v>3825.9631843750831</v>
      </c>
      <c r="I35" s="17">
        <f>'Exhibit M,3'!S35</f>
        <v>1241946.4100000001</v>
      </c>
      <c r="K35" s="20">
        <f t="shared" si="1"/>
        <v>1245772.3731843752</v>
      </c>
      <c r="M35" s="73"/>
      <c r="P35" s="25"/>
      <c r="Q35" s="205"/>
      <c r="R35" s="39"/>
      <c r="S35" s="39"/>
      <c r="T35" s="48"/>
      <c r="U35" s="48"/>
      <c r="W35" s="72">
        <f>'Exhibit P,2'!I37</f>
        <v>0.83192402921066055</v>
      </c>
      <c r="X35" s="72">
        <f>'Exhibit Q,1'!K26</f>
        <v>0.99573051740711982</v>
      </c>
      <c r="Y35" s="72">
        <f>'Exhibit Q,1'!M26</f>
        <v>0.99763280339772176</v>
      </c>
    </row>
    <row r="36" spans="1:25">
      <c r="A36" s="6">
        <f t="shared" si="2"/>
        <v>2014</v>
      </c>
      <c r="C36" s="20">
        <f>'Exhibit P,2'!K38</f>
        <v>961877.98520646268</v>
      </c>
      <c r="E36" s="128">
        <f t="shared" si="3"/>
        <v>9.4544885878413698E-3</v>
      </c>
      <c r="G36" s="18">
        <f t="shared" si="0"/>
        <v>9094.0644340303515</v>
      </c>
      <c r="I36" s="17">
        <f>'Exhibit M,3'!S36</f>
        <v>543806.18000000005</v>
      </c>
      <c r="K36" s="20">
        <f t="shared" si="1"/>
        <v>552900.24443403038</v>
      </c>
      <c r="M36" s="73"/>
      <c r="P36" s="25"/>
      <c r="Q36" s="205"/>
      <c r="R36" s="39"/>
      <c r="S36" s="39"/>
      <c r="T36" s="48"/>
      <c r="U36" s="48"/>
      <c r="W36" s="72">
        <f>'Exhibit P,2'!I38</f>
        <v>0.77917272854845554</v>
      </c>
      <c r="X36" s="72">
        <f>'Exhibit Q,1'!K27</f>
        <v>0.98633438596944767</v>
      </c>
      <c r="Y36" s="72">
        <f>'Exhibit Q,1'!M27</f>
        <v>0.99173899689641876</v>
      </c>
    </row>
    <row r="37" spans="1:25">
      <c r="A37" s="6">
        <f t="shared" si="2"/>
        <v>2015</v>
      </c>
      <c r="C37" s="20">
        <f>'Exhibit P,2'!K39</f>
        <v>2678936.0414510467</v>
      </c>
      <c r="E37" s="128">
        <f t="shared" si="3"/>
        <v>2.5140410434258742E-2</v>
      </c>
      <c r="G37" s="18">
        <f t="shared" si="0"/>
        <v>67349.551609207701</v>
      </c>
      <c r="I37" s="17">
        <f>'Exhibit M,3'!S37</f>
        <v>551635.24</v>
      </c>
      <c r="K37" s="20">
        <f t="shared" si="1"/>
        <v>618984.79160920763</v>
      </c>
      <c r="M37" s="73"/>
      <c r="P37" s="25"/>
      <c r="Q37" s="205"/>
      <c r="R37" s="39"/>
      <c r="S37" s="39"/>
      <c r="T37" s="48"/>
      <c r="U37" s="48"/>
      <c r="W37" s="72">
        <f>'Exhibit P,2'!I39</f>
        <v>0.8333824427554114</v>
      </c>
      <c r="X37" s="72">
        <f>'Exhibit Q,1'!K28</f>
        <v>0.96560050468394742</v>
      </c>
      <c r="Y37" s="72">
        <f>'Exhibit Q,1'!M28</f>
        <v>0.97671075180072187</v>
      </c>
    </row>
    <row r="38" spans="1:25">
      <c r="A38" s="6">
        <f t="shared" si="2"/>
        <v>2016</v>
      </c>
      <c r="C38" s="20">
        <f>'Exhibit P,2'!K40</f>
        <v>1837361.0301767902</v>
      </c>
      <c r="E38" s="128">
        <f t="shared" si="3"/>
        <v>6.8731753973692911E-2</v>
      </c>
      <c r="G38" s="18">
        <f t="shared" si="0"/>
        <v>126285.0462869621</v>
      </c>
      <c r="I38" s="17">
        <f>'Exhibit M,3'!S38</f>
        <v>2690014.8499999996</v>
      </c>
      <c r="K38" s="20">
        <f t="shared" si="1"/>
        <v>2816299.8962869616</v>
      </c>
      <c r="M38" s="73"/>
      <c r="P38" s="25"/>
      <c r="Q38" s="205"/>
      <c r="R38" s="39"/>
      <c r="S38" s="39"/>
      <c r="T38" s="48"/>
      <c r="U38" s="48"/>
      <c r="W38" s="72">
        <f>'Exhibit P,2'!I40</f>
        <v>0.328365526942971</v>
      </c>
      <c r="X38" s="72">
        <f>'Exhibit Q,1'!K29</f>
        <v>0.92425274542575031</v>
      </c>
      <c r="Y38" s="72">
        <f>'Exhibit Q,1'!M29</f>
        <v>0.945617657467127</v>
      </c>
    </row>
    <row r="39" spans="1:25">
      <c r="A39" s="6">
        <f t="shared" si="2"/>
        <v>2017</v>
      </c>
      <c r="C39" s="20">
        <f>'Exhibit P,2'!K41</f>
        <v>1596249.7455603231</v>
      </c>
      <c r="E39" s="128">
        <f t="shared" si="3"/>
        <v>0.13663620531813336</v>
      </c>
      <c r="G39" s="18">
        <f t="shared" si="0"/>
        <v>218105.50797339846</v>
      </c>
      <c r="I39" s="17">
        <f>'Exhibit M,3'!S39</f>
        <v>202847.07</v>
      </c>
      <c r="K39" s="20">
        <f t="shared" si="1"/>
        <v>420952.5779733985</v>
      </c>
      <c r="M39" s="73"/>
      <c r="P39" s="25"/>
      <c r="Q39" s="205"/>
      <c r="R39" s="39"/>
      <c r="S39" s="39"/>
      <c r="T39" s="48"/>
      <c r="U39" s="48"/>
      <c r="W39" s="72">
        <f>'Exhibit P,2'!I41</f>
        <v>0.36490484630827669</v>
      </c>
      <c r="X39" s="72">
        <f>'Exhibit Q,1'!K30</f>
        <v>0.84979646448736712</v>
      </c>
      <c r="Y39" s="72">
        <f>'Exhibit Q,1'!M30</f>
        <v>0.88697692490536217</v>
      </c>
    </row>
    <row r="40" spans="1:25">
      <c r="A40" s="6">
        <f t="shared" si="2"/>
        <v>2018</v>
      </c>
      <c r="C40" s="20">
        <f>'Exhibit P,2'!K42</f>
        <v>1291558.9821130449</v>
      </c>
      <c r="E40" s="128">
        <f t="shared" si="3"/>
        <v>0.26223563536336369</v>
      </c>
      <c r="G40" s="18">
        <f t="shared" si="0"/>
        <v>338692.79028367362</v>
      </c>
      <c r="I40" s="17">
        <f>'Exhibit M,3'!S40</f>
        <v>1315224.19</v>
      </c>
      <c r="K40" s="20">
        <f t="shared" si="1"/>
        <v>1653916.9802836736</v>
      </c>
      <c r="M40" s="73"/>
      <c r="P40" s="25"/>
      <c r="Q40" s="205"/>
      <c r="R40" s="39"/>
      <c r="S40" s="39"/>
      <c r="T40" s="48"/>
      <c r="U40" s="48"/>
      <c r="W40" s="72">
        <f>'Exhibit P,2'!I42</f>
        <v>0.39808721008396869</v>
      </c>
      <c r="X40" s="72">
        <f>'Exhibit Q,1'!K31</f>
        <v>0.71061196953439254</v>
      </c>
      <c r="Y40" s="72">
        <f>'Exhibit Q,1'!M31</f>
        <v>0.77881912217442961</v>
      </c>
    </row>
    <row r="41" spans="1:25">
      <c r="A41" s="6">
        <f t="shared" si="2"/>
        <v>2019</v>
      </c>
      <c r="C41" s="20">
        <f>'Exhibit P,2'!K43</f>
        <v>769440.6064130516</v>
      </c>
      <c r="E41" s="128">
        <f t="shared" si="3"/>
        <v>0.42761649408955638</v>
      </c>
      <c r="G41" s="18">
        <f t="shared" si="0"/>
        <v>329025.49452449137</v>
      </c>
      <c r="I41" s="17">
        <f>'Exhibit M,3'!S41</f>
        <v>1428737.8900000001</v>
      </c>
      <c r="K41" s="20">
        <f t="shared" si="1"/>
        <v>1757763.3845244916</v>
      </c>
      <c r="M41" s="73"/>
      <c r="P41" s="25"/>
      <c r="Q41" s="205"/>
      <c r="R41" s="39"/>
      <c r="S41" s="39"/>
      <c r="T41" s="48"/>
      <c r="U41" s="48"/>
      <c r="W41" s="72">
        <f>'Exhibit P,2'!I43</f>
        <v>0.75166691860035484</v>
      </c>
      <c r="X41" s="72">
        <f>'Exhibit Q,1'!K32</f>
        <v>0.50085952168583414</v>
      </c>
      <c r="Y41" s="72">
        <f>'Exhibit Q,1'!M32</f>
        <v>0.59601334907229286</v>
      </c>
    </row>
    <row r="42" spans="1:25">
      <c r="A42" s="6">
        <f t="shared" si="2"/>
        <v>2020</v>
      </c>
      <c r="C42" s="20">
        <f>'Exhibit P,2'!K44</f>
        <v>602395.17904059833</v>
      </c>
      <c r="E42" s="128">
        <f t="shared" si="3"/>
        <v>0.65855580562849825</v>
      </c>
      <c r="G42" s="18">
        <f t="shared" si="0"/>
        <v>396710.84243980469</v>
      </c>
      <c r="I42" s="17">
        <f>'Exhibit M,3'!S42</f>
        <v>583411.92000000004</v>
      </c>
      <c r="K42" s="20">
        <f t="shared" si="1"/>
        <v>980122.76243980473</v>
      </c>
      <c r="M42" s="73"/>
      <c r="P42" s="25"/>
      <c r="Q42" s="205"/>
      <c r="R42" s="39"/>
      <c r="S42" s="39"/>
      <c r="T42" s="48"/>
      <c r="U42" s="48"/>
      <c r="W42" s="72">
        <f>'Exhibit P,2'!I44</f>
        <v>0.76707693639723784</v>
      </c>
      <c r="X42" s="72">
        <f>'Exhibit Q,1'!K33</f>
        <v>0.28283117215824882</v>
      </c>
      <c r="Y42" s="72">
        <f>'Exhibit Q,1'!M33</f>
        <v>0.35924205017075062</v>
      </c>
    </row>
    <row r="43" spans="1:25">
      <c r="A43" s="6">
        <f t="shared" si="2"/>
        <v>2021</v>
      </c>
      <c r="C43" s="20">
        <f>'Exhibit P,2'!K45</f>
        <v>608419.13083100435</v>
      </c>
      <c r="E43" s="128">
        <f t="shared" si="3"/>
        <v>0.85845880362083349</v>
      </c>
      <c r="G43" s="18">
        <f t="shared" si="0"/>
        <v>522302.75915321137</v>
      </c>
      <c r="I43" s="17">
        <f>'Exhibit M,3'!S43</f>
        <v>18712.5</v>
      </c>
      <c r="K43" s="20">
        <f t="shared" si="1"/>
        <v>541015.25915321137</v>
      </c>
      <c r="M43" s="73"/>
      <c r="P43" s="25"/>
      <c r="Q43" s="205"/>
      <c r="R43" s="39"/>
      <c r="S43" s="39"/>
      <c r="T43" s="48"/>
      <c r="U43" s="48"/>
      <c r="W43" s="72">
        <f>'Exhibit P,2'!I45</f>
        <v>0.76707693639723784</v>
      </c>
      <c r="X43" s="72">
        <f>'Exhibit Q,1'!K34</f>
        <v>0.10899607353648681</v>
      </c>
      <c r="Y43" s="72">
        <f>'Exhibit Q,1'!M34</f>
        <v>0.15142352937362319</v>
      </c>
    </row>
    <row r="44" spans="1:25">
      <c r="A44" s="6">
        <f t="shared" si="2"/>
        <v>2022</v>
      </c>
      <c r="C44" s="20">
        <f>'Exhibit P,2'!K46</f>
        <v>2055770.262236851</v>
      </c>
      <c r="E44" s="128">
        <f t="shared" si="3"/>
        <v>0.96661464490744686</v>
      </c>
      <c r="G44" s="18">
        <f>C44*E44</f>
        <v>1987137.6420433626</v>
      </c>
      <c r="I44" s="17">
        <f>'Exhibit M,3'!S44</f>
        <v>15000</v>
      </c>
      <c r="K44" s="20">
        <f>G44+I44</f>
        <v>2002137.6420433626</v>
      </c>
      <c r="P44" s="25"/>
      <c r="Q44" s="25"/>
      <c r="R44" s="25"/>
      <c r="S44" s="25"/>
      <c r="T44" s="25"/>
      <c r="U44" s="25"/>
      <c r="W44" s="72">
        <f>'Exhibit P,2'!I46</f>
        <v>0.90808645595545001</v>
      </c>
      <c r="X44" s="72">
        <f>'Exhibit Q,1'!K35</f>
        <v>2.9083170495257857E-2</v>
      </c>
      <c r="Y44" s="72">
        <f>'Exhibit Q,1'!M35</f>
        <v>3.3820808160791235E-2</v>
      </c>
    </row>
    <row r="45" spans="1:25">
      <c r="A45" s="6"/>
      <c r="C45" s="105"/>
      <c r="G45" s="105"/>
      <c r="I45" s="105"/>
      <c r="K45" s="105"/>
      <c r="N45" s="61"/>
      <c r="O45" s="61"/>
      <c r="P45" s="25"/>
      <c r="Q45" s="25"/>
      <c r="R45" s="61"/>
      <c r="S45" s="25"/>
      <c r="T45" s="25"/>
      <c r="U45" s="25"/>
    </row>
    <row r="46" spans="1:25">
      <c r="A46" s="6" t="s">
        <v>0</v>
      </c>
      <c r="C46" s="26">
        <f>SUM(C16:C45)</f>
        <v>33594558.849851556</v>
      </c>
      <c r="G46" s="26">
        <f>SUM(G16:G45)</f>
        <v>3999506.8372132946</v>
      </c>
      <c r="H46" s="26"/>
      <c r="I46" s="26">
        <f>SUM(I16:I45)</f>
        <v>24844288.420000006</v>
      </c>
      <c r="J46" s="26"/>
      <c r="K46" s="26">
        <f>SUM(K16:K45)</f>
        <v>28843795.257213295</v>
      </c>
      <c r="N46" s="61"/>
      <c r="O46" s="61"/>
      <c r="P46" s="25"/>
    </row>
    <row r="47" spans="1:25">
      <c r="N47" s="61"/>
      <c r="O47" s="61"/>
      <c r="P47" s="61"/>
    </row>
    <row r="48" spans="1:25">
      <c r="A48" s="2" t="str">
        <f>_xlfn.CONCAT(A32,"-",A44)</f>
        <v>2010-2022</v>
      </c>
      <c r="C48" s="26">
        <f>SUM(C32:C44)</f>
        <v>17216089.677352984</v>
      </c>
      <c r="G48" s="26">
        <f>SUM(G32:G44)</f>
        <v>3999506.8372132946</v>
      </c>
      <c r="H48" s="26"/>
      <c r="I48" s="26">
        <f>SUM(I32:I44)</f>
        <v>10099877.950000001</v>
      </c>
      <c r="J48" s="26"/>
      <c r="K48" s="26">
        <f>SUM(K35:K44)</f>
        <v>12589865.911932517</v>
      </c>
      <c r="N48" s="61"/>
      <c r="O48" s="61"/>
      <c r="P48" s="61"/>
    </row>
    <row r="52" spans="1:3">
      <c r="A52" s="6" t="s">
        <v>50</v>
      </c>
      <c r="B52" s="3" t="s">
        <v>485</v>
      </c>
    </row>
    <row r="53" spans="1:3">
      <c r="B53" s="3" t="s">
        <v>919</v>
      </c>
      <c r="C53" s="120"/>
    </row>
    <row r="54" spans="1:3">
      <c r="B54" s="3" t="s">
        <v>400</v>
      </c>
      <c r="C54" s="120"/>
    </row>
    <row r="55" spans="1:3">
      <c r="B55" s="1" t="s">
        <v>51</v>
      </c>
    </row>
    <row r="56" spans="1:3">
      <c r="B56" s="3" t="s">
        <v>915</v>
      </c>
    </row>
    <row r="57" spans="1:3">
      <c r="B57" s="3" t="s">
        <v>916</v>
      </c>
    </row>
  </sheetData>
  <printOptions horizontalCentered="1"/>
  <pageMargins left="0.7" right="0.7" top="0.75" bottom="0.75" header="0.3" footer="0.3"/>
  <pageSetup scale="76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9">
    <pageSetUpPr fitToPage="1"/>
  </sheetPr>
  <dimension ref="A1:AI68"/>
  <sheetViews>
    <sheetView zoomScaleNormal="100" workbookViewId="0">
      <selection activeCell="R22" sqref="R22"/>
    </sheetView>
  </sheetViews>
  <sheetFormatPr baseColWidth="10" defaultColWidth="8.7109375" defaultRowHeight="15"/>
  <cols>
    <col min="1" max="1" width="9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3" width="8.7109375" style="1"/>
    <col min="14" max="14" width="11.5703125" style="1" bestFit="1" customWidth="1"/>
    <col min="15" max="17" width="12.7109375" style="1" customWidth="1"/>
    <col min="18" max="21" width="12.7109375" style="1" bestFit="1" customWidth="1"/>
    <col min="22" max="31" width="12.7109375" style="1" customWidth="1"/>
    <col min="32" max="16384" width="8.7109375" style="1"/>
  </cols>
  <sheetData>
    <row r="1" spans="1:35">
      <c r="K1" s="64" t="s">
        <v>76</v>
      </c>
    </row>
    <row r="2" spans="1:35">
      <c r="K2" s="52" t="s">
        <v>66</v>
      </c>
    </row>
    <row r="4" spans="1:35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140"/>
    </row>
    <row r="5" spans="1:3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</row>
    <row r="6" spans="1:35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  <c r="L6" s="140"/>
    </row>
    <row r="7" spans="1:35">
      <c r="A7" s="5" t="s">
        <v>58</v>
      </c>
      <c r="B7" s="5"/>
      <c r="C7" s="5"/>
      <c r="D7" s="5"/>
      <c r="E7" s="5"/>
      <c r="F7" s="5"/>
      <c r="G7" s="5"/>
      <c r="H7" s="5"/>
      <c r="I7" s="5"/>
      <c r="J7" s="5"/>
      <c r="K7" s="5"/>
      <c r="L7" s="140"/>
    </row>
    <row r="8" spans="1:35">
      <c r="A8" s="5" t="s">
        <v>352</v>
      </c>
      <c r="B8" s="5"/>
      <c r="C8" s="5"/>
      <c r="D8" s="5"/>
      <c r="E8" s="5"/>
      <c r="F8" s="5"/>
      <c r="G8" s="5"/>
      <c r="H8" s="5"/>
      <c r="I8" s="5"/>
      <c r="J8" s="5"/>
      <c r="K8" s="5"/>
      <c r="L8" s="140"/>
      <c r="Q8" s="61" t="s">
        <v>1354</v>
      </c>
    </row>
    <row r="9" spans="1:35">
      <c r="A9" s="5"/>
      <c r="B9" s="5"/>
      <c r="C9" s="5"/>
      <c r="D9" s="5"/>
      <c r="E9" s="5"/>
      <c r="F9" s="5"/>
      <c r="G9" s="5"/>
      <c r="H9" s="5"/>
      <c r="I9" s="5"/>
      <c r="J9" s="5"/>
      <c r="K9" s="5"/>
    </row>
    <row r="10" spans="1:35">
      <c r="P10" s="25" t="s">
        <v>9</v>
      </c>
      <c r="Q10" s="25" t="s">
        <v>17</v>
      </c>
      <c r="R10" s="25">
        <v>2022</v>
      </c>
      <c r="S10" s="25">
        <v>2022</v>
      </c>
      <c r="T10" s="25" t="s">
        <v>2</v>
      </c>
      <c r="U10" s="25" t="s">
        <v>2</v>
      </c>
      <c r="V10" s="25"/>
      <c r="W10" s="25" t="s">
        <v>2</v>
      </c>
    </row>
    <row r="11" spans="1:35">
      <c r="C11" s="6"/>
      <c r="D11" s="6"/>
      <c r="E11" s="6" t="s">
        <v>7</v>
      </c>
      <c r="F11" s="6"/>
      <c r="G11" s="6" t="s">
        <v>7</v>
      </c>
      <c r="H11" s="6"/>
      <c r="I11" s="6" t="s">
        <v>64</v>
      </c>
      <c r="J11" s="6"/>
      <c r="K11" s="6"/>
      <c r="P11" s="25" t="s">
        <v>1358</v>
      </c>
      <c r="Q11" s="25" t="s">
        <v>1358</v>
      </c>
      <c r="R11" s="44" t="s">
        <v>523</v>
      </c>
      <c r="S11" s="44" t="s">
        <v>523</v>
      </c>
      <c r="T11" s="44" t="s">
        <v>523</v>
      </c>
      <c r="U11" s="44" t="s">
        <v>523</v>
      </c>
      <c r="V11" s="25" t="s">
        <v>1379</v>
      </c>
      <c r="W11" s="25" t="s">
        <v>117</v>
      </c>
      <c r="X11" s="44"/>
      <c r="Y11" s="44"/>
      <c r="Z11" s="44"/>
      <c r="AA11" s="44"/>
      <c r="AB11" s="44"/>
      <c r="AC11" s="44"/>
      <c r="AD11" s="44"/>
      <c r="AE11" s="44"/>
      <c r="AG11" s="61"/>
      <c r="AH11" s="61"/>
      <c r="AI11" s="61"/>
    </row>
    <row r="12" spans="1:35">
      <c r="A12" s="6" t="s">
        <v>3</v>
      </c>
      <c r="C12" s="6" t="s">
        <v>7</v>
      </c>
      <c r="D12" s="6"/>
      <c r="E12" s="6" t="s">
        <v>62</v>
      </c>
      <c r="F12" s="6"/>
      <c r="G12" s="6" t="s">
        <v>63</v>
      </c>
      <c r="H12" s="6"/>
      <c r="I12" s="6" t="s">
        <v>14</v>
      </c>
      <c r="J12" s="6"/>
      <c r="K12" s="6" t="s">
        <v>67</v>
      </c>
      <c r="O12" s="25" t="s">
        <v>3</v>
      </c>
      <c r="P12" s="25" t="s">
        <v>177</v>
      </c>
      <c r="Q12" s="25" t="s">
        <v>177</v>
      </c>
      <c r="R12" s="44" t="s">
        <v>662</v>
      </c>
      <c r="S12" s="44" t="s">
        <v>662</v>
      </c>
      <c r="T12" s="44" t="s">
        <v>662</v>
      </c>
      <c r="U12" s="44" t="s">
        <v>662</v>
      </c>
      <c r="V12" s="25" t="s">
        <v>119</v>
      </c>
      <c r="W12" s="25" t="s">
        <v>1304</v>
      </c>
      <c r="AA12" s="61"/>
      <c r="AB12" s="255" t="s">
        <v>206</v>
      </c>
      <c r="AC12" s="256"/>
      <c r="AE12" s="44"/>
      <c r="AG12" s="61"/>
      <c r="AH12" s="61"/>
      <c r="AI12" s="61"/>
    </row>
    <row r="13" spans="1:35">
      <c r="A13" s="6" t="s">
        <v>4</v>
      </c>
      <c r="C13" s="6" t="s">
        <v>55</v>
      </c>
      <c r="D13" s="6"/>
      <c r="E13" s="6" t="s">
        <v>63</v>
      </c>
      <c r="F13" s="6"/>
      <c r="G13" s="6" t="s">
        <v>55</v>
      </c>
      <c r="H13" s="6"/>
      <c r="I13" s="6" t="s">
        <v>55</v>
      </c>
      <c r="J13" s="6"/>
      <c r="K13" s="6" t="s">
        <v>55</v>
      </c>
      <c r="O13" s="25" t="s">
        <v>4</v>
      </c>
      <c r="P13" s="25" t="s">
        <v>16</v>
      </c>
      <c r="Q13" s="25" t="s">
        <v>16</v>
      </c>
      <c r="R13" s="45" t="s">
        <v>671</v>
      </c>
      <c r="S13" s="45" t="s">
        <v>525</v>
      </c>
      <c r="T13" s="45" t="s">
        <v>671</v>
      </c>
      <c r="U13" s="45" t="s">
        <v>525</v>
      </c>
      <c r="V13" s="97" t="s">
        <v>186</v>
      </c>
      <c r="W13" s="45" t="s">
        <v>1</v>
      </c>
      <c r="X13" s="25" t="s">
        <v>18</v>
      </c>
      <c r="AA13" s="97" t="s">
        <v>351</v>
      </c>
      <c r="AB13" s="97" t="s">
        <v>204</v>
      </c>
      <c r="AC13" s="97" t="s">
        <v>198</v>
      </c>
      <c r="AE13" s="45"/>
      <c r="AG13" s="61"/>
      <c r="AH13" s="61"/>
      <c r="AI13" s="61"/>
    </row>
    <row r="14" spans="1:35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  <c r="O14" s="143">
        <v>-1</v>
      </c>
      <c r="P14" s="143">
        <f>O14-1</f>
        <v>-2</v>
      </c>
      <c r="Q14" s="143">
        <f>P14-1</f>
        <v>-3</v>
      </c>
      <c r="R14" s="143">
        <f t="shared" ref="R14:X14" si="0">Q14-1</f>
        <v>-4</v>
      </c>
      <c r="S14" s="143">
        <f t="shared" si="0"/>
        <v>-5</v>
      </c>
      <c r="T14" s="143">
        <f t="shared" si="0"/>
        <v>-6</v>
      </c>
      <c r="U14" s="143">
        <f t="shared" si="0"/>
        <v>-7</v>
      </c>
      <c r="V14" s="143">
        <f t="shared" si="0"/>
        <v>-8</v>
      </c>
      <c r="W14" s="143">
        <f t="shared" si="0"/>
        <v>-9</v>
      </c>
      <c r="X14" s="143">
        <f t="shared" si="0"/>
        <v>-10</v>
      </c>
      <c r="AA14" s="143">
        <f>X14-1</f>
        <v>-11</v>
      </c>
      <c r="AB14" s="143">
        <f>AA14-1</f>
        <v>-12</v>
      </c>
      <c r="AC14" s="143">
        <f>AB14-1</f>
        <v>-13</v>
      </c>
      <c r="AE14" s="164"/>
      <c r="AG14" s="61"/>
      <c r="AH14" s="61"/>
      <c r="AI14" s="61"/>
    </row>
    <row r="15" spans="1:35">
      <c r="A15" s="6"/>
      <c r="C15" s="6"/>
      <c r="E15" s="6"/>
      <c r="G15" s="6"/>
      <c r="I15" s="6"/>
      <c r="K15" s="6"/>
      <c r="O15" s="277"/>
      <c r="Q15" s="277"/>
      <c r="R15" s="25"/>
      <c r="S15" s="25"/>
      <c r="T15" s="25"/>
      <c r="U15" s="25"/>
      <c r="V15" s="25"/>
      <c r="AB15" s="25"/>
      <c r="AE15" s="25"/>
      <c r="AG15" s="61"/>
      <c r="AH15" s="61"/>
      <c r="AI15" s="61"/>
    </row>
    <row r="16" spans="1:35">
      <c r="A16" s="6">
        <v>1994</v>
      </c>
      <c r="C16" s="147">
        <f>'Exhibit P,2'!K18</f>
        <v>960283.09355111816</v>
      </c>
      <c r="E16" s="74">
        <v>0</v>
      </c>
      <c r="G16" s="147">
        <v>0</v>
      </c>
      <c r="H16" s="19"/>
      <c r="I16" s="147">
        <f>R16</f>
        <v>9600</v>
      </c>
      <c r="J16" s="19"/>
      <c r="K16" s="147">
        <f>G16+I16</f>
        <v>9600</v>
      </c>
      <c r="O16" s="25">
        <v>1994</v>
      </c>
      <c r="P16" s="20"/>
      <c r="Q16" s="25"/>
      <c r="R16" s="31">
        <f>T16</f>
        <v>9600</v>
      </c>
      <c r="S16" s="31">
        <f>U16</f>
        <v>9600</v>
      </c>
      <c r="T16" s="31">
        <v>9600</v>
      </c>
      <c r="U16" s="31">
        <v>9600</v>
      </c>
      <c r="V16" s="562">
        <f>S16-U16</f>
        <v>0</v>
      </c>
      <c r="W16" s="18">
        <v>9600</v>
      </c>
      <c r="X16" s="147">
        <f>K16-W16</f>
        <v>0</v>
      </c>
      <c r="AA16" s="72">
        <f>'Exhibit P,2'!I18</f>
        <v>1</v>
      </c>
      <c r="AB16" s="61"/>
      <c r="AC16" s="61"/>
      <c r="AE16" s="25"/>
    </row>
    <row r="17" spans="1:31">
      <c r="A17" s="6">
        <f>A16+1</f>
        <v>1995</v>
      </c>
      <c r="C17" s="20">
        <f>'Exhibit P,2'!K19</f>
        <v>1186219.4793941791</v>
      </c>
      <c r="E17" s="74">
        <v>0</v>
      </c>
      <c r="G17" s="18">
        <f>C17*E17</f>
        <v>0</v>
      </c>
      <c r="I17" s="17">
        <f t="shared" ref="I17:I44" si="1">R17</f>
        <v>674635.38</v>
      </c>
      <c r="K17" s="20">
        <f t="shared" ref="K17:K44" si="2">G17+I17</f>
        <v>674635.38</v>
      </c>
      <c r="O17" s="25">
        <f>O16+1</f>
        <v>1995</v>
      </c>
      <c r="P17" s="20"/>
      <c r="Q17" s="25"/>
      <c r="R17" s="31">
        <f t="shared" ref="R17:S21" si="3">T17</f>
        <v>674635.38</v>
      </c>
      <c r="S17" s="31">
        <f t="shared" si="3"/>
        <v>674635.38</v>
      </c>
      <c r="T17" s="31">
        <v>674635.38</v>
      </c>
      <c r="U17" s="31">
        <v>674635.38</v>
      </c>
      <c r="V17" s="562">
        <f t="shared" ref="V17:V44" si="4">S17-U17</f>
        <v>0</v>
      </c>
      <c r="W17" s="18">
        <v>674635.38</v>
      </c>
      <c r="X17" s="17">
        <f t="shared" ref="X17:X43" si="5">K17-W17</f>
        <v>0</v>
      </c>
      <c r="AA17" s="72">
        <f>'Exhibit P,2'!I19</f>
        <v>1</v>
      </c>
      <c r="AB17" s="61"/>
      <c r="AC17" s="61"/>
      <c r="AE17" s="25"/>
    </row>
    <row r="18" spans="1:31">
      <c r="A18" s="6">
        <f t="shared" ref="A18:A44" si="6">A17+1</f>
        <v>1996</v>
      </c>
      <c r="C18" s="20">
        <f>'Exhibit P,2'!K20</f>
        <v>972762.76120623539</v>
      </c>
      <c r="E18" s="74">
        <v>0</v>
      </c>
      <c r="G18" s="18">
        <f t="shared" ref="G18:G44" si="7">C18*E18</f>
        <v>0</v>
      </c>
      <c r="I18" s="17">
        <f t="shared" si="1"/>
        <v>931618.13</v>
      </c>
      <c r="K18" s="20">
        <f t="shared" si="2"/>
        <v>931618.13</v>
      </c>
      <c r="O18" s="25">
        <f t="shared" ref="O18:O44" si="8">O17+1</f>
        <v>1996</v>
      </c>
      <c r="P18" s="20"/>
      <c r="Q18" s="25"/>
      <c r="R18" s="31">
        <f t="shared" si="3"/>
        <v>931618.13</v>
      </c>
      <c r="S18" s="31">
        <f t="shared" si="3"/>
        <v>931618.13</v>
      </c>
      <c r="T18" s="31">
        <v>931618.13</v>
      </c>
      <c r="U18" s="31">
        <v>931618.13</v>
      </c>
      <c r="V18" s="562">
        <f t="shared" si="4"/>
        <v>0</v>
      </c>
      <c r="W18" s="18">
        <v>931618.13</v>
      </c>
      <c r="X18" s="17">
        <f t="shared" si="5"/>
        <v>0</v>
      </c>
      <c r="AA18" s="72">
        <f>'Exhibit P,2'!I20</f>
        <v>1</v>
      </c>
      <c r="AB18" s="61"/>
      <c r="AC18" s="61"/>
      <c r="AE18" s="25"/>
    </row>
    <row r="19" spans="1:31">
      <c r="A19" s="6">
        <f t="shared" si="6"/>
        <v>1997</v>
      </c>
      <c r="C19" s="20">
        <f>'Exhibit P,2'!K21</f>
        <v>945710.07892476453</v>
      </c>
      <c r="E19" s="74">
        <v>0</v>
      </c>
      <c r="G19" s="18">
        <f t="shared" si="7"/>
        <v>0</v>
      </c>
      <c r="I19" s="17">
        <f t="shared" si="1"/>
        <v>520601.1</v>
      </c>
      <c r="K19" s="20">
        <f t="shared" si="2"/>
        <v>520601.1</v>
      </c>
      <c r="O19" s="25">
        <f t="shared" si="8"/>
        <v>1997</v>
      </c>
      <c r="P19" s="20"/>
      <c r="Q19" s="25"/>
      <c r="R19" s="31">
        <f t="shared" si="3"/>
        <v>520601.1</v>
      </c>
      <c r="S19" s="31">
        <f t="shared" si="3"/>
        <v>520601.1</v>
      </c>
      <c r="T19" s="31">
        <v>520601.1</v>
      </c>
      <c r="U19" s="31">
        <v>520601.1</v>
      </c>
      <c r="V19" s="562">
        <f t="shared" si="4"/>
        <v>0</v>
      </c>
      <c r="W19" s="18">
        <v>520601.1</v>
      </c>
      <c r="X19" s="17">
        <f t="shared" si="5"/>
        <v>0</v>
      </c>
      <c r="AA19" s="72">
        <f>'Exhibit P,2'!I21</f>
        <v>1</v>
      </c>
      <c r="AB19" s="61"/>
      <c r="AC19" s="61"/>
      <c r="AE19" s="25"/>
    </row>
    <row r="20" spans="1:31">
      <c r="A20" s="6">
        <f t="shared" si="6"/>
        <v>1998</v>
      </c>
      <c r="C20" s="20">
        <f>'Exhibit P,2'!K22</f>
        <v>991328.76679130248</v>
      </c>
      <c r="E20" s="74">
        <v>0</v>
      </c>
      <c r="G20" s="18">
        <f t="shared" si="7"/>
        <v>0</v>
      </c>
      <c r="I20" s="17">
        <f t="shared" si="1"/>
        <v>606234.30000000005</v>
      </c>
      <c r="K20" s="20">
        <f t="shared" si="2"/>
        <v>606234.30000000005</v>
      </c>
      <c r="O20" s="25">
        <f t="shared" si="8"/>
        <v>1998</v>
      </c>
      <c r="P20" s="20"/>
      <c r="Q20" s="25"/>
      <c r="R20" s="31">
        <f t="shared" si="3"/>
        <v>606234.30000000005</v>
      </c>
      <c r="S20" s="31">
        <f t="shared" si="3"/>
        <v>606234.30000000005</v>
      </c>
      <c r="T20" s="31">
        <v>606234.30000000005</v>
      </c>
      <c r="U20" s="31">
        <v>606234.30000000005</v>
      </c>
      <c r="V20" s="562">
        <f t="shared" si="4"/>
        <v>0</v>
      </c>
      <c r="W20" s="18">
        <v>606234.30000000005</v>
      </c>
      <c r="X20" s="17">
        <f t="shared" si="5"/>
        <v>0</v>
      </c>
      <c r="AA20" s="72">
        <f>'Exhibit P,2'!I22</f>
        <v>0.98873484308322401</v>
      </c>
      <c r="AB20" s="61"/>
      <c r="AC20" s="61"/>
      <c r="AE20" s="25"/>
    </row>
    <row r="21" spans="1:31">
      <c r="A21" s="6">
        <f t="shared" si="6"/>
        <v>1999</v>
      </c>
      <c r="C21" s="20">
        <f>'Exhibit P,2'!K23</f>
        <v>1116024.6954030863</v>
      </c>
      <c r="E21" s="74">
        <v>0</v>
      </c>
      <c r="G21" s="18">
        <f t="shared" si="7"/>
        <v>0</v>
      </c>
      <c r="I21" s="17">
        <f t="shared" si="1"/>
        <v>818508.42</v>
      </c>
      <c r="K21" s="20">
        <f t="shared" si="2"/>
        <v>818508.42</v>
      </c>
      <c r="O21" s="25">
        <f t="shared" si="8"/>
        <v>1999</v>
      </c>
      <c r="P21" s="20"/>
      <c r="Q21" s="25"/>
      <c r="R21" s="31">
        <f t="shared" si="3"/>
        <v>818508.42</v>
      </c>
      <c r="S21" s="31">
        <f t="shared" si="3"/>
        <v>818508.42</v>
      </c>
      <c r="T21" s="31">
        <v>818508.42</v>
      </c>
      <c r="U21" s="31">
        <v>818508.42</v>
      </c>
      <c r="V21" s="562">
        <f t="shared" si="4"/>
        <v>0</v>
      </c>
      <c r="W21" s="18">
        <v>818508.42</v>
      </c>
      <c r="X21" s="17">
        <f t="shared" si="5"/>
        <v>0</v>
      </c>
      <c r="AA21" s="72">
        <f>'Exhibit P,2'!I23</f>
        <v>0.9824898308823069</v>
      </c>
      <c r="AB21" s="61"/>
      <c r="AC21" s="61"/>
      <c r="AE21" s="25"/>
    </row>
    <row r="22" spans="1:31">
      <c r="A22" s="6">
        <f t="shared" si="6"/>
        <v>2000</v>
      </c>
      <c r="C22" s="20">
        <f>'Exhibit P,2'!K24</f>
        <v>1464593.3109054589</v>
      </c>
      <c r="E22" s="74">
        <v>0</v>
      </c>
      <c r="G22" s="18">
        <f t="shared" si="7"/>
        <v>0</v>
      </c>
      <c r="I22" s="17">
        <f t="shared" si="1"/>
        <v>1349932.79</v>
      </c>
      <c r="K22" s="20">
        <f t="shared" si="2"/>
        <v>1349932.79</v>
      </c>
      <c r="O22" s="25">
        <f t="shared" si="8"/>
        <v>2000</v>
      </c>
      <c r="P22" s="20"/>
      <c r="Q22" s="25"/>
      <c r="R22" s="31">
        <v>1349932.79</v>
      </c>
      <c r="S22" s="31">
        <v>1349932.79</v>
      </c>
      <c r="T22" s="31">
        <v>1349932.79</v>
      </c>
      <c r="U22" s="31">
        <v>1349932.79</v>
      </c>
      <c r="V22" s="562">
        <f t="shared" si="4"/>
        <v>0</v>
      </c>
      <c r="W22" s="18">
        <v>1349932.79</v>
      </c>
      <c r="X22" s="17">
        <f t="shared" si="5"/>
        <v>0</v>
      </c>
      <c r="AA22" s="72">
        <f>'Exhibit P,2'!I24</f>
        <v>0.98525754506508056</v>
      </c>
      <c r="AB22" s="61"/>
      <c r="AC22" s="61"/>
      <c r="AE22" s="25"/>
    </row>
    <row r="23" spans="1:31">
      <c r="A23" s="6">
        <f t="shared" si="6"/>
        <v>2001</v>
      </c>
      <c r="C23" s="20">
        <f>'Exhibit P,2'!K25</f>
        <v>1416452.2396541266</v>
      </c>
      <c r="E23" s="74">
        <v>0</v>
      </c>
      <c r="G23" s="18">
        <f t="shared" si="7"/>
        <v>0</v>
      </c>
      <c r="I23" s="17">
        <f t="shared" si="1"/>
        <v>1732780</v>
      </c>
      <c r="K23" s="20">
        <f t="shared" si="2"/>
        <v>1732780</v>
      </c>
      <c r="O23" s="25">
        <f t="shared" si="8"/>
        <v>2001</v>
      </c>
      <c r="P23" s="20"/>
      <c r="Q23" s="25"/>
      <c r="R23" s="31">
        <v>1732780</v>
      </c>
      <c r="S23" s="31">
        <v>1732780</v>
      </c>
      <c r="T23" s="31">
        <v>1732780</v>
      </c>
      <c r="U23" s="31">
        <v>1732780</v>
      </c>
      <c r="V23" s="562">
        <f t="shared" si="4"/>
        <v>0</v>
      </c>
      <c r="W23" s="18">
        <v>1732780</v>
      </c>
      <c r="X23" s="17">
        <f t="shared" si="5"/>
        <v>0</v>
      </c>
      <c r="AA23" s="72">
        <f>'Exhibit P,2'!I25</f>
        <v>0.98380120111463631</v>
      </c>
      <c r="AB23" s="61"/>
      <c r="AC23" s="61"/>
      <c r="AE23" s="25"/>
    </row>
    <row r="24" spans="1:31">
      <c r="A24" s="6">
        <f t="shared" si="6"/>
        <v>2002</v>
      </c>
      <c r="C24" s="20">
        <f>'Exhibit P,2'!K26</f>
        <v>1570477.1516304312</v>
      </c>
      <c r="E24" s="74">
        <v>0</v>
      </c>
      <c r="G24" s="18">
        <f t="shared" si="7"/>
        <v>0</v>
      </c>
      <c r="I24" s="17">
        <f t="shared" si="1"/>
        <v>647640.80999999994</v>
      </c>
      <c r="K24" s="20">
        <f t="shared" si="2"/>
        <v>647640.80999999994</v>
      </c>
      <c r="O24" s="25">
        <f t="shared" si="8"/>
        <v>2002</v>
      </c>
      <c r="P24" s="20"/>
      <c r="Q24" s="25"/>
      <c r="R24" s="31">
        <v>647640.80999999994</v>
      </c>
      <c r="S24" s="31">
        <v>647640.80999999994</v>
      </c>
      <c r="T24" s="31">
        <v>647640.80999999994</v>
      </c>
      <c r="U24" s="31">
        <v>647640.80999999994</v>
      </c>
      <c r="V24" s="562">
        <f t="shared" si="4"/>
        <v>0</v>
      </c>
      <c r="W24" s="18">
        <v>647640.80999999994</v>
      </c>
      <c r="X24" s="17">
        <f t="shared" si="5"/>
        <v>0</v>
      </c>
      <c r="Z24" s="46"/>
      <c r="AA24" s="72">
        <f>'Exhibit P,2'!I26</f>
        <v>0.97750002325827856</v>
      </c>
      <c r="AB24" s="61"/>
      <c r="AC24" s="61"/>
      <c r="AD24" s="22"/>
      <c r="AE24" s="32"/>
    </row>
    <row r="25" spans="1:31">
      <c r="A25" s="6">
        <f t="shared" si="6"/>
        <v>2003</v>
      </c>
      <c r="C25" s="20">
        <f>'Exhibit P,2'!K27</f>
        <v>1109976.0853981574</v>
      </c>
      <c r="E25" s="128">
        <f t="shared" ref="E25:E44" si="9">1-((1-AA25)*AB25+AA25*AC25)</f>
        <v>0</v>
      </c>
      <c r="G25" s="18">
        <f t="shared" si="7"/>
        <v>0</v>
      </c>
      <c r="I25" s="17">
        <f t="shared" si="1"/>
        <v>2003612.72</v>
      </c>
      <c r="K25" s="20">
        <f t="shared" si="2"/>
        <v>2003612.72</v>
      </c>
      <c r="O25" s="25">
        <f t="shared" si="8"/>
        <v>2003</v>
      </c>
      <c r="P25" s="20"/>
      <c r="Q25" s="25"/>
      <c r="R25" s="31">
        <v>2003612.72</v>
      </c>
      <c r="S25" s="31">
        <v>2003612.72</v>
      </c>
      <c r="T25" s="31">
        <v>2003612.72</v>
      </c>
      <c r="U25" s="31">
        <v>2003612.72</v>
      </c>
      <c r="V25" s="562">
        <f t="shared" si="4"/>
        <v>0</v>
      </c>
      <c r="W25" s="18">
        <v>2003612.72</v>
      </c>
      <c r="X25" s="17">
        <f t="shared" si="5"/>
        <v>0</v>
      </c>
      <c r="Z25" s="46"/>
      <c r="AA25" s="72">
        <f>'Exhibit P,2'!I27</f>
        <v>0.86702307867847472</v>
      </c>
      <c r="AB25" s="72">
        <f>'Exhibit Q,3'!K16</f>
        <v>0.99999999999999989</v>
      </c>
      <c r="AC25" s="72">
        <f>'Exhibit Q,3'!M16</f>
        <v>0.99999999999999967</v>
      </c>
      <c r="AD25" s="22"/>
      <c r="AE25" s="32"/>
    </row>
    <row r="26" spans="1:31">
      <c r="A26" s="6">
        <f t="shared" si="6"/>
        <v>2004</v>
      </c>
      <c r="C26" s="20">
        <f>'Exhibit P,2'!K28</f>
        <v>1093154.4352248281</v>
      </c>
      <c r="E26" s="128">
        <f t="shared" si="9"/>
        <v>0</v>
      </c>
      <c r="G26" s="18">
        <f t="shared" si="7"/>
        <v>0</v>
      </c>
      <c r="I26" s="17">
        <f t="shared" si="1"/>
        <v>2277389.9</v>
      </c>
      <c r="K26" s="20">
        <f t="shared" si="2"/>
        <v>2277389.9</v>
      </c>
      <c r="O26" s="25">
        <f t="shared" si="8"/>
        <v>2004</v>
      </c>
      <c r="P26" s="20"/>
      <c r="Q26" s="25"/>
      <c r="R26" s="31">
        <v>2277389.9</v>
      </c>
      <c r="S26" s="31">
        <v>2277389.9</v>
      </c>
      <c r="T26" s="31">
        <v>2277389.9</v>
      </c>
      <c r="U26" s="31">
        <v>2277389.9</v>
      </c>
      <c r="V26" s="562">
        <f t="shared" si="4"/>
        <v>0</v>
      </c>
      <c r="W26" s="18">
        <v>2277389.9</v>
      </c>
      <c r="X26" s="17">
        <f t="shared" si="5"/>
        <v>0</v>
      </c>
      <c r="Z26" s="46"/>
      <c r="AA26" s="72">
        <f>'Exhibit P,2'!I28</f>
        <v>0.86822909909160961</v>
      </c>
      <c r="AB26" s="72">
        <f>'Exhibit Q,3'!K17</f>
        <v>0.99999999999999989</v>
      </c>
      <c r="AC26" s="72">
        <f>'Exhibit Q,3'!M17</f>
        <v>0.99999999999999967</v>
      </c>
      <c r="AD26" s="22"/>
      <c r="AE26" s="32"/>
    </row>
    <row r="27" spans="1:31">
      <c r="A27" s="6">
        <f t="shared" si="6"/>
        <v>2005</v>
      </c>
      <c r="C27" s="20">
        <f>'Exhibit P,2'!K29</f>
        <v>745177.83976782684</v>
      </c>
      <c r="E27" s="128">
        <f t="shared" si="9"/>
        <v>0</v>
      </c>
      <c r="G27" s="18">
        <f t="shared" si="7"/>
        <v>0</v>
      </c>
      <c r="I27" s="17">
        <f t="shared" si="1"/>
        <v>1556133.47</v>
      </c>
      <c r="K27" s="20">
        <f t="shared" si="2"/>
        <v>1556133.47</v>
      </c>
      <c r="O27" s="25">
        <f t="shared" si="8"/>
        <v>2005</v>
      </c>
      <c r="P27" s="20"/>
      <c r="Q27" s="25"/>
      <c r="R27" s="31">
        <v>1556133.47</v>
      </c>
      <c r="S27" s="31">
        <v>1556133.47</v>
      </c>
      <c r="T27" s="31">
        <v>1556133.47</v>
      </c>
      <c r="U27" s="31">
        <v>1556133.47</v>
      </c>
      <c r="V27" s="562">
        <f t="shared" si="4"/>
        <v>0</v>
      </c>
      <c r="W27" s="18">
        <v>1556133.47</v>
      </c>
      <c r="X27" s="17">
        <f t="shared" si="5"/>
        <v>0</v>
      </c>
      <c r="Z27" s="46"/>
      <c r="AA27" s="72">
        <f>'Exhibit P,2'!I29</f>
        <v>0.79691598892339655</v>
      </c>
      <c r="AB27" s="72">
        <f>'Exhibit Q,3'!K18</f>
        <v>0.99999999999999989</v>
      </c>
      <c r="AC27" s="72">
        <f>'Exhibit Q,3'!M18</f>
        <v>0.99999999999999967</v>
      </c>
      <c r="AD27" s="22"/>
      <c r="AE27" s="32"/>
    </row>
    <row r="28" spans="1:31">
      <c r="A28" s="6">
        <f t="shared" si="6"/>
        <v>2006</v>
      </c>
      <c r="C28" s="20">
        <f>'Exhibit P,2'!K30</f>
        <v>912153.42743270856</v>
      </c>
      <c r="E28" s="128">
        <f t="shared" si="9"/>
        <v>0</v>
      </c>
      <c r="G28" s="18">
        <f t="shared" si="7"/>
        <v>0</v>
      </c>
      <c r="I28" s="17">
        <f t="shared" si="1"/>
        <v>39380.269999999997</v>
      </c>
      <c r="K28" s="20">
        <f t="shared" si="2"/>
        <v>39380.269999999997</v>
      </c>
      <c r="O28" s="25">
        <f t="shared" si="8"/>
        <v>2006</v>
      </c>
      <c r="P28" s="20"/>
      <c r="Q28" s="25"/>
      <c r="R28" s="31">
        <v>39380.269999999997</v>
      </c>
      <c r="S28" s="31">
        <v>78000</v>
      </c>
      <c r="T28" s="31">
        <v>8895</v>
      </c>
      <c r="U28" s="31">
        <v>58000</v>
      </c>
      <c r="V28" s="562">
        <f t="shared" si="4"/>
        <v>20000</v>
      </c>
      <c r="W28" s="18">
        <v>58000</v>
      </c>
      <c r="X28" s="17">
        <f t="shared" si="5"/>
        <v>-18619.730000000003</v>
      </c>
      <c r="Z28" s="46"/>
      <c r="AA28" s="72">
        <f>'Exhibit P,2'!I30</f>
        <v>0.82626652150912039</v>
      </c>
      <c r="AB28" s="72">
        <f>'Exhibit Q,3'!K19</f>
        <v>0.99999999999999989</v>
      </c>
      <c r="AC28" s="72">
        <f>'Exhibit Q,3'!M19</f>
        <v>0.99999999999999967</v>
      </c>
      <c r="AD28" s="22"/>
      <c r="AE28" s="32"/>
    </row>
    <row r="29" spans="1:31">
      <c r="A29" s="6">
        <f t="shared" si="6"/>
        <v>2007</v>
      </c>
      <c r="C29" s="20">
        <f>'Exhibit P,2'!K31</f>
        <v>801457.8044320083</v>
      </c>
      <c r="E29" s="128">
        <f t="shared" si="9"/>
        <v>2.8585177060713729E-4</v>
      </c>
      <c r="G29" s="18">
        <f t="shared" si="7"/>
        <v>229.09813246379835</v>
      </c>
      <c r="I29" s="17">
        <f t="shared" si="1"/>
        <v>806127.32000000007</v>
      </c>
      <c r="K29" s="20">
        <f t="shared" si="2"/>
        <v>806356.41813246382</v>
      </c>
      <c r="O29" s="25">
        <f t="shared" si="8"/>
        <v>2007</v>
      </c>
      <c r="P29" s="20"/>
      <c r="Q29" s="25"/>
      <c r="R29" s="31">
        <v>806127.32000000007</v>
      </c>
      <c r="S29" s="31">
        <v>806127.32000000007</v>
      </c>
      <c r="T29" s="31">
        <v>806127.32000000007</v>
      </c>
      <c r="U29" s="31">
        <v>806127.32000000007</v>
      </c>
      <c r="V29" s="562">
        <f t="shared" si="4"/>
        <v>0</v>
      </c>
      <c r="W29" s="18">
        <v>806127.32000000007</v>
      </c>
      <c r="X29" s="17">
        <f t="shared" si="5"/>
        <v>229.09813246375415</v>
      </c>
      <c r="Z29" s="46"/>
      <c r="AA29" s="72">
        <f>'Exhibit P,2'!I31</f>
        <v>0.76467596851040842</v>
      </c>
      <c r="AB29" s="72">
        <f>'Exhibit Q,3'!K20</f>
        <v>0.99878528440636738</v>
      </c>
      <c r="AC29" s="72">
        <f>'Exhibit Q,3'!M20</f>
        <v>0.99999999999999967</v>
      </c>
      <c r="AD29" s="22"/>
      <c r="AE29" s="32"/>
    </row>
    <row r="30" spans="1:31">
      <c r="A30" s="6">
        <f t="shared" si="6"/>
        <v>2008</v>
      </c>
      <c r="C30" s="20">
        <f>'Exhibit P,2'!K32</f>
        <v>575680.34325071215</v>
      </c>
      <c r="E30" s="128">
        <f t="shared" si="9"/>
        <v>2.6179840705009561E-3</v>
      </c>
      <c r="G30" s="18">
        <f t="shared" si="7"/>
        <v>1507.1219683308871</v>
      </c>
      <c r="I30" s="17">
        <f t="shared" si="1"/>
        <v>728745.13</v>
      </c>
      <c r="K30" s="20">
        <f t="shared" si="2"/>
        <v>730252.25196833094</v>
      </c>
      <c r="O30" s="25">
        <f t="shared" si="8"/>
        <v>2008</v>
      </c>
      <c r="P30" s="20"/>
      <c r="Q30" s="25"/>
      <c r="R30" s="31">
        <v>728745.13</v>
      </c>
      <c r="S30" s="31">
        <v>728745.13</v>
      </c>
      <c r="T30" s="31">
        <v>728745.13</v>
      </c>
      <c r="U30" s="31">
        <v>728745.13</v>
      </c>
      <c r="V30" s="562">
        <f t="shared" si="4"/>
        <v>0</v>
      </c>
      <c r="W30" s="18">
        <v>728745.13</v>
      </c>
      <c r="X30" s="17">
        <f t="shared" si="5"/>
        <v>1507.1219683309318</v>
      </c>
      <c r="Z30" s="46"/>
      <c r="AA30" s="72">
        <f>'Exhibit P,2'!I32</f>
        <v>0.63023760479280855</v>
      </c>
      <c r="AB30" s="72">
        <f>'Exhibit Q,3'!K21</f>
        <v>0.9966616019533191</v>
      </c>
      <c r="AC30" s="72">
        <f>'Exhibit Q,3'!M21</f>
        <v>0.99780468508688869</v>
      </c>
      <c r="AD30" s="22"/>
      <c r="AE30" s="32"/>
    </row>
    <row r="31" spans="1:31">
      <c r="A31" s="6">
        <f t="shared" si="6"/>
        <v>2009</v>
      </c>
      <c r="C31" s="20">
        <f>'Exhibit P,2'!K33</f>
        <v>517017.65953163343</v>
      </c>
      <c r="E31" s="128">
        <f t="shared" si="9"/>
        <v>4.9679818449881452E-3</v>
      </c>
      <c r="G31" s="18">
        <f t="shared" si="7"/>
        <v>2568.5343460914169</v>
      </c>
      <c r="I31" s="17">
        <f t="shared" si="1"/>
        <v>2851</v>
      </c>
      <c r="K31" s="20">
        <f t="shared" si="2"/>
        <v>5419.5343460914173</v>
      </c>
      <c r="O31" s="25">
        <f t="shared" si="8"/>
        <v>2009</v>
      </c>
      <c r="P31" s="20"/>
      <c r="Q31" s="25"/>
      <c r="R31" s="31">
        <v>2851</v>
      </c>
      <c r="S31" s="31">
        <v>2851</v>
      </c>
      <c r="T31" s="31">
        <v>2851</v>
      </c>
      <c r="U31" s="31">
        <v>2851</v>
      </c>
      <c r="V31" s="562">
        <f t="shared" si="4"/>
        <v>0</v>
      </c>
      <c r="W31" s="18">
        <v>2851.0256934990098</v>
      </c>
      <c r="X31" s="17">
        <f t="shared" si="5"/>
        <v>2568.5086525924075</v>
      </c>
      <c r="Z31" s="46"/>
      <c r="AA31" s="72">
        <f>'Exhibit P,2'!I33</f>
        <v>0.61400840763844766</v>
      </c>
      <c r="AB31" s="72">
        <f>'Exhibit Q,3'!K22</f>
        <v>0.994582961716164</v>
      </c>
      <c r="AC31" s="72">
        <f>'Exhibit Q,3'!M22</f>
        <v>0.99531431397984882</v>
      </c>
      <c r="AD31" s="22"/>
      <c r="AE31" s="32"/>
    </row>
    <row r="32" spans="1:31">
      <c r="A32" s="6">
        <f t="shared" si="6"/>
        <v>2010</v>
      </c>
      <c r="C32" s="20">
        <f>'Exhibit P,2'!K34</f>
        <v>1098132.6929439942</v>
      </c>
      <c r="E32" s="128">
        <f t="shared" si="9"/>
        <v>7.379443269654451E-3</v>
      </c>
      <c r="G32" s="18">
        <f t="shared" si="7"/>
        <v>8103.6079101330761</v>
      </c>
      <c r="I32" s="17">
        <f t="shared" si="1"/>
        <v>0</v>
      </c>
      <c r="K32" s="20">
        <f t="shared" si="2"/>
        <v>8103.6079101330761</v>
      </c>
      <c r="O32" s="25">
        <f t="shared" si="8"/>
        <v>2010</v>
      </c>
      <c r="P32" s="20"/>
      <c r="Q32" s="25"/>
      <c r="R32" s="31">
        <v>0</v>
      </c>
      <c r="S32" s="31">
        <v>0</v>
      </c>
      <c r="T32" s="31">
        <v>0</v>
      </c>
      <c r="U32" s="31">
        <v>0</v>
      </c>
      <c r="V32" s="562">
        <f t="shared" si="4"/>
        <v>0</v>
      </c>
      <c r="W32" s="18">
        <v>0</v>
      </c>
      <c r="X32" s="17">
        <f t="shared" si="5"/>
        <v>8103.6079101330761</v>
      </c>
      <c r="Z32" s="46"/>
      <c r="AA32" s="72">
        <f>'Exhibit P,2'!I34</f>
        <v>0.83217512238503077</v>
      </c>
      <c r="AB32" s="72">
        <f>'Exhibit Q,3'!K23</f>
        <v>0.99170835538986934</v>
      </c>
      <c r="AC32" s="72">
        <f>'Exhibit Q,3'!M23</f>
        <v>0.99280452050696855</v>
      </c>
      <c r="AD32" s="22"/>
      <c r="AE32" s="32"/>
    </row>
    <row r="33" spans="1:31">
      <c r="A33" s="6">
        <f t="shared" si="6"/>
        <v>2011</v>
      </c>
      <c r="C33" s="20">
        <f>'Exhibit P,2'!K35</f>
        <v>1216120.897876435</v>
      </c>
      <c r="E33" s="128">
        <f t="shared" si="9"/>
        <v>1.0774023414665046E-2</v>
      </c>
      <c r="G33" s="18">
        <f t="shared" si="7"/>
        <v>13102.51502878419</v>
      </c>
      <c r="I33" s="17">
        <f t="shared" si="1"/>
        <v>407297.79</v>
      </c>
      <c r="K33" s="20">
        <f t="shared" si="2"/>
        <v>420400.30502878415</v>
      </c>
      <c r="O33" s="25">
        <f t="shared" si="8"/>
        <v>2011</v>
      </c>
      <c r="P33" s="285">
        <v>335139.89999999962</v>
      </c>
      <c r="Q33" s="285">
        <v>274721.63549294096</v>
      </c>
      <c r="R33" s="31">
        <v>407297.79</v>
      </c>
      <c r="S33" s="31">
        <v>407297.79</v>
      </c>
      <c r="T33" s="31">
        <v>407297.79</v>
      </c>
      <c r="U33" s="31">
        <v>407297.79</v>
      </c>
      <c r="V33" s="562">
        <f t="shared" si="4"/>
        <v>0</v>
      </c>
      <c r="W33" s="18">
        <v>407574.07383896492</v>
      </c>
      <c r="X33" s="17">
        <f t="shared" si="5"/>
        <v>12826.231189819227</v>
      </c>
      <c r="Z33" s="46"/>
      <c r="AA33" s="72">
        <f>'Exhibit P,2'!I35</f>
        <v>0.83636960880639621</v>
      </c>
      <c r="AB33" s="72">
        <f>'Exhibit Q,3'!K24</f>
        <v>0.98728629011134794</v>
      </c>
      <c r="AC33" s="72">
        <f>'Exhibit Q,3'!M24</f>
        <v>0.9896054638995434</v>
      </c>
      <c r="AD33" s="22"/>
      <c r="AE33" s="32"/>
    </row>
    <row r="34" spans="1:31">
      <c r="A34" s="6">
        <f t="shared" si="6"/>
        <v>2012</v>
      </c>
      <c r="C34" s="20">
        <f>'Exhibit P,2'!K36</f>
        <v>1075908.3513868831</v>
      </c>
      <c r="E34" s="128">
        <f t="shared" si="9"/>
        <v>1.7989257050825769E-2</v>
      </c>
      <c r="G34" s="18">
        <f t="shared" si="7"/>
        <v>19354.791896228813</v>
      </c>
      <c r="I34" s="17">
        <f t="shared" si="1"/>
        <v>1101243.9099999999</v>
      </c>
      <c r="K34" s="20">
        <f t="shared" si="2"/>
        <v>1120598.7018962288</v>
      </c>
      <c r="O34" s="25">
        <f t="shared" si="8"/>
        <v>2012</v>
      </c>
      <c r="P34" s="285">
        <v>360350.02999999962</v>
      </c>
      <c r="Q34" s="285">
        <v>295858.64191491622</v>
      </c>
      <c r="R34" s="31">
        <v>1101243.9099999999</v>
      </c>
      <c r="S34" s="31">
        <v>1101243.9099999999</v>
      </c>
      <c r="T34" s="31">
        <v>1101243.9099999999</v>
      </c>
      <c r="U34" s="31">
        <v>1101243.9099999999</v>
      </c>
      <c r="V34" s="562">
        <f t="shared" si="4"/>
        <v>0</v>
      </c>
      <c r="W34" s="18">
        <v>1104347.2996114462</v>
      </c>
      <c r="X34" s="17">
        <f t="shared" si="5"/>
        <v>16251.402284782613</v>
      </c>
      <c r="Z34" s="46"/>
      <c r="AA34" s="72">
        <f>'Exhibit P,2'!I36</f>
        <v>0.76276619860572548</v>
      </c>
      <c r="AB34" s="72">
        <f>'Exhibit Q,3'!K25</f>
        <v>0.97825960190798977</v>
      </c>
      <c r="AC34" s="72">
        <f>'Exhibit Q,3'!M25</f>
        <v>0.9831774142704689</v>
      </c>
      <c r="AD34" s="22"/>
      <c r="AE34" s="32"/>
    </row>
    <row r="35" spans="1:31">
      <c r="A35" s="6">
        <f t="shared" si="6"/>
        <v>2013</v>
      </c>
      <c r="C35" s="20">
        <f>'Exhibit P,2'!K37</f>
        <v>1423918.7721164981</v>
      </c>
      <c r="E35" s="128">
        <f t="shared" si="9"/>
        <v>3.3556764638030812E-2</v>
      </c>
      <c r="G35" s="18">
        <f t="shared" si="7"/>
        <v>47782.107099587156</v>
      </c>
      <c r="I35" s="17">
        <f t="shared" si="1"/>
        <v>1241946.4100000001</v>
      </c>
      <c r="K35" s="20">
        <f t="shared" si="2"/>
        <v>1289728.5170995872</v>
      </c>
      <c r="M35" s="247"/>
      <c r="N35" s="230"/>
      <c r="O35" s="25">
        <f t="shared" si="8"/>
        <v>2013</v>
      </c>
      <c r="P35" s="285">
        <v>376800.29000000021</v>
      </c>
      <c r="Q35" s="285">
        <v>312236.13938959059</v>
      </c>
      <c r="R35" s="31">
        <v>1241946.4100000001</v>
      </c>
      <c r="S35" s="31">
        <v>1241946.4100000001</v>
      </c>
      <c r="T35" s="31">
        <v>1241946.4100000001</v>
      </c>
      <c r="U35" s="31">
        <v>1241946.4100000001</v>
      </c>
      <c r="V35" s="562">
        <f t="shared" si="4"/>
        <v>0</v>
      </c>
      <c r="W35" s="18">
        <v>1253409.4398453494</v>
      </c>
      <c r="X35" s="17">
        <f t="shared" si="5"/>
        <v>36319.07725423784</v>
      </c>
      <c r="Z35" s="46"/>
      <c r="AA35" s="72">
        <f>'Exhibit P,2'!I37</f>
        <v>0.83192402921066055</v>
      </c>
      <c r="AB35" s="72">
        <f>'Exhibit Q,3'!K26</f>
        <v>0.95650989508055606</v>
      </c>
      <c r="AC35" s="72">
        <f>'Exhibit Q,3'!M26</f>
        <v>0.96845009626796252</v>
      </c>
      <c r="AD35" s="22"/>
      <c r="AE35" s="32"/>
    </row>
    <row r="36" spans="1:31">
      <c r="A36" s="6">
        <f t="shared" si="6"/>
        <v>2014</v>
      </c>
      <c r="C36" s="20">
        <f>'Exhibit P,2'!K38</f>
        <v>961877.98520646268</v>
      </c>
      <c r="E36" s="128">
        <f t="shared" si="9"/>
        <v>7.3153125938072661E-2</v>
      </c>
      <c r="G36" s="18">
        <f t="shared" si="7"/>
        <v>70364.381388867958</v>
      </c>
      <c r="I36" s="17">
        <f t="shared" si="1"/>
        <v>543806.18000000005</v>
      </c>
      <c r="K36" s="20">
        <f t="shared" si="2"/>
        <v>614170.56138886802</v>
      </c>
      <c r="M36" s="247"/>
      <c r="N36" s="230"/>
      <c r="O36" s="25">
        <f t="shared" si="8"/>
        <v>2014</v>
      </c>
      <c r="P36" s="285">
        <v>362423.18999999977</v>
      </c>
      <c r="Q36" s="285">
        <v>298043.13150520303</v>
      </c>
      <c r="R36" s="31">
        <v>543806.18000000005</v>
      </c>
      <c r="S36" s="31">
        <v>543806.18000000005</v>
      </c>
      <c r="T36" s="31">
        <v>543806.18000000005</v>
      </c>
      <c r="U36" s="31">
        <v>543806.18000000005</v>
      </c>
      <c r="V36" s="562">
        <f t="shared" si="4"/>
        <v>0</v>
      </c>
      <c r="W36" s="18">
        <v>558145.57570289331</v>
      </c>
      <c r="X36" s="17">
        <f t="shared" si="5"/>
        <v>56024.985685974709</v>
      </c>
      <c r="Z36" s="46"/>
      <c r="AA36" s="72">
        <f>'Exhibit P,2'!I38</f>
        <v>0.77917272854845554</v>
      </c>
      <c r="AB36" s="72">
        <f>'Exhibit Q,3'!K27</f>
        <v>0.9055136018007176</v>
      </c>
      <c r="AC36" s="72">
        <f>'Exhibit Q,3'!M27</f>
        <v>0.93289298955335642</v>
      </c>
      <c r="AD36" s="22"/>
      <c r="AE36" s="32"/>
    </row>
    <row r="37" spans="1:31">
      <c r="A37" s="6">
        <f t="shared" si="6"/>
        <v>2015</v>
      </c>
      <c r="C37" s="20">
        <f>'Exhibit P,2'!K39</f>
        <v>2678936.0414510467</v>
      </c>
      <c r="E37" s="128">
        <f t="shared" si="9"/>
        <v>0.14789004010264484</v>
      </c>
      <c r="G37" s="18">
        <f t="shared" si="7"/>
        <v>396187.95860261592</v>
      </c>
      <c r="I37" s="17">
        <f t="shared" si="1"/>
        <v>551635.24</v>
      </c>
      <c r="K37" s="20">
        <f t="shared" si="2"/>
        <v>947823.19860261586</v>
      </c>
      <c r="M37" s="247"/>
      <c r="N37" s="247"/>
      <c r="O37" s="25">
        <f t="shared" si="8"/>
        <v>2015</v>
      </c>
      <c r="P37" s="285">
        <v>571815.61999999988</v>
      </c>
      <c r="Q37" s="285">
        <v>491901.58394516318</v>
      </c>
      <c r="R37" s="31">
        <v>551635.24</v>
      </c>
      <c r="S37" s="31">
        <v>551635.24</v>
      </c>
      <c r="T37" s="31">
        <v>551635.24</v>
      </c>
      <c r="U37" s="31">
        <v>551635.24</v>
      </c>
      <c r="V37" s="562">
        <f t="shared" si="4"/>
        <v>0</v>
      </c>
      <c r="W37" s="18">
        <v>585500.9911260287</v>
      </c>
      <c r="X37" s="17">
        <f t="shared" si="5"/>
        <v>362322.20747658715</v>
      </c>
      <c r="Z37" s="46"/>
      <c r="AA37" s="72">
        <f>'Exhibit P,2'!I39</f>
        <v>0.8333824427554114</v>
      </c>
      <c r="AB37" s="72">
        <f>'Exhibit Q,3'!K28</f>
        <v>0.81516569847337383</v>
      </c>
      <c r="AC37" s="72">
        <f>'Exhibit Q,3'!M28</f>
        <v>0.85949619972779501</v>
      </c>
      <c r="AD37" s="22"/>
      <c r="AE37" s="32"/>
    </row>
    <row r="38" spans="1:31">
      <c r="A38" s="6">
        <f t="shared" si="6"/>
        <v>2016</v>
      </c>
      <c r="C38" s="20">
        <f>'Exhibit P,2'!K40</f>
        <v>1837361.0301767902</v>
      </c>
      <c r="E38" s="128">
        <f t="shared" si="9"/>
        <v>0.29911927481352962</v>
      </c>
      <c r="G38" s="18">
        <f t="shared" si="7"/>
        <v>549590.09891712118</v>
      </c>
      <c r="I38" s="17">
        <f t="shared" si="1"/>
        <v>2690014.8499999996</v>
      </c>
      <c r="K38" s="20">
        <f t="shared" si="2"/>
        <v>3239604.9489171207</v>
      </c>
      <c r="M38" s="247"/>
      <c r="N38" s="230"/>
      <c r="O38" s="25">
        <f t="shared" si="8"/>
        <v>2016</v>
      </c>
      <c r="P38" s="285">
        <v>1365750.89</v>
      </c>
      <c r="Q38" s="285">
        <v>1156040.1336138546</v>
      </c>
      <c r="R38" s="31">
        <v>2690014.8499999996</v>
      </c>
      <c r="S38" s="31">
        <v>2690014.8499999996</v>
      </c>
      <c r="T38" s="31">
        <v>2178904.85</v>
      </c>
      <c r="U38" s="31">
        <v>2695779.51</v>
      </c>
      <c r="V38" s="562">
        <f t="shared" si="4"/>
        <v>-5764.660000000149</v>
      </c>
      <c r="W38" s="18">
        <v>2948405.5898999106</v>
      </c>
      <c r="X38" s="17">
        <f t="shared" si="5"/>
        <v>291199.35901721008</v>
      </c>
      <c r="Z38" s="46"/>
      <c r="AA38" s="72">
        <f>'Exhibit P,2'!I40</f>
        <v>0.328365526942971</v>
      </c>
      <c r="AB38" s="72">
        <f>'Exhibit Q,3'!K29</f>
        <v>0.6814968594205304</v>
      </c>
      <c r="AC38" s="72">
        <f>'Exhibit Q,3'!M29</f>
        <v>0.74052822591749667</v>
      </c>
      <c r="AD38" s="22"/>
      <c r="AE38" s="32"/>
    </row>
    <row r="39" spans="1:31">
      <c r="A39" s="6">
        <f t="shared" si="6"/>
        <v>2017</v>
      </c>
      <c r="C39" s="20">
        <f>'Exhibit P,2'!K41</f>
        <v>1596249.7455603231</v>
      </c>
      <c r="E39" s="128">
        <f t="shared" si="9"/>
        <v>0.46050622554744169</v>
      </c>
      <c r="G39" s="18">
        <f t="shared" si="7"/>
        <v>735082.94535904855</v>
      </c>
      <c r="I39" s="17">
        <f t="shared" si="1"/>
        <v>97119.950000000012</v>
      </c>
      <c r="K39" s="20">
        <f t="shared" si="2"/>
        <v>832202.89535904862</v>
      </c>
      <c r="M39" s="74"/>
      <c r="N39" s="18"/>
      <c r="O39" s="25">
        <f t="shared" si="8"/>
        <v>2017</v>
      </c>
      <c r="P39" s="285">
        <v>1025877.9599999974</v>
      </c>
      <c r="Q39" s="285">
        <v>909205.99029155809</v>
      </c>
      <c r="R39" s="31">
        <v>97119.950000000012</v>
      </c>
      <c r="S39" s="31">
        <v>202847.07</v>
      </c>
      <c r="T39" s="31">
        <v>70467.070000000007</v>
      </c>
      <c r="U39" s="31">
        <v>202847.07</v>
      </c>
      <c r="V39" s="562">
        <f t="shared" si="4"/>
        <v>0</v>
      </c>
      <c r="W39" s="18">
        <v>623617.26212579419</v>
      </c>
      <c r="X39" s="17">
        <f t="shared" si="5"/>
        <v>208585.63323325443</v>
      </c>
      <c r="Z39" s="46"/>
      <c r="AA39" s="72">
        <f>'Exhibit P,2'!I41</f>
        <v>0.36490484630827669</v>
      </c>
      <c r="AB39" s="72">
        <f>'Exhibit Q,3'!K30</f>
        <v>0.51484881007748451</v>
      </c>
      <c r="AC39" s="72">
        <f>'Exhibit Q,3'!M30</f>
        <v>0.58238686725706323</v>
      </c>
      <c r="AD39" s="22"/>
      <c r="AE39" s="32"/>
    </row>
    <row r="40" spans="1:31">
      <c r="A40" s="6">
        <f t="shared" si="6"/>
        <v>2018</v>
      </c>
      <c r="C40" s="20">
        <f>'Exhibit P,2'!K42</f>
        <v>1291558.9821130449</v>
      </c>
      <c r="E40" s="128">
        <f t="shared" si="9"/>
        <v>0.63072973080291106</v>
      </c>
      <c r="G40" s="18">
        <f t="shared" si="7"/>
        <v>814624.64910424268</v>
      </c>
      <c r="I40" s="17">
        <f t="shared" si="1"/>
        <v>796731.98</v>
      </c>
      <c r="K40" s="20">
        <f t="shared" si="2"/>
        <v>1611356.6291042427</v>
      </c>
      <c r="M40" s="18"/>
      <c r="N40" s="18"/>
      <c r="O40" s="25">
        <f t="shared" si="8"/>
        <v>2018</v>
      </c>
      <c r="P40" s="285">
        <v>811246.41999999981</v>
      </c>
      <c r="Q40" s="285">
        <v>699017.81331201212</v>
      </c>
      <c r="R40" s="31">
        <v>796731.98</v>
      </c>
      <c r="S40" s="31">
        <v>1315224.19</v>
      </c>
      <c r="T40" s="31">
        <v>218563.54</v>
      </c>
      <c r="U40" s="31">
        <v>497316.88</v>
      </c>
      <c r="V40" s="562">
        <f t="shared" si="4"/>
        <v>817907.30999999994</v>
      </c>
      <c r="W40" s="18">
        <v>1091220.3821376378</v>
      </c>
      <c r="X40" s="17">
        <f t="shared" si="5"/>
        <v>520136.24696660484</v>
      </c>
      <c r="Z40" s="46"/>
      <c r="AA40" s="72">
        <f>'Exhibit P,2'!I42</f>
        <v>0.39808721008396869</v>
      </c>
      <c r="AB40" s="72">
        <f>'Exhibit Q,3'!K31</f>
        <v>0.34545932325954892</v>
      </c>
      <c r="AC40" s="72">
        <f>'Exhibit Q,3'!M31</f>
        <v>0.40527271423113431</v>
      </c>
      <c r="AD40" s="22"/>
      <c r="AE40" s="32"/>
    </row>
    <row r="41" spans="1:31">
      <c r="A41" s="6">
        <f t="shared" si="6"/>
        <v>2019</v>
      </c>
      <c r="C41" s="20">
        <f>'Exhibit P,2'!K43</f>
        <v>769440.6064130516</v>
      </c>
      <c r="E41" s="128">
        <f t="shared" si="9"/>
        <v>0.77167425619765684</v>
      </c>
      <c r="G41" s="18">
        <f t="shared" si="7"/>
        <v>593757.50764206564</v>
      </c>
      <c r="I41" s="17">
        <f t="shared" si="1"/>
        <v>622227.61</v>
      </c>
      <c r="K41" s="20">
        <f t="shared" si="2"/>
        <v>1215985.1176420655</v>
      </c>
      <c r="O41" s="25">
        <f t="shared" si="8"/>
        <v>2019</v>
      </c>
      <c r="P41" s="285">
        <v>267866.04999999847</v>
      </c>
      <c r="Q41" s="285">
        <v>223120.62856467156</v>
      </c>
      <c r="R41" s="31">
        <v>622227.61</v>
      </c>
      <c r="S41" s="31">
        <v>1428737.8900000001</v>
      </c>
      <c r="T41" s="31">
        <v>591517.39</v>
      </c>
      <c r="U41" s="31">
        <v>978737.89</v>
      </c>
      <c r="V41" s="562">
        <f t="shared" si="4"/>
        <v>450000.00000000012</v>
      </c>
      <c r="W41" s="18">
        <v>1485971.2307579895</v>
      </c>
      <c r="X41" s="17">
        <f t="shared" si="5"/>
        <v>-269986.11311592394</v>
      </c>
      <c r="Z41" s="46"/>
      <c r="AA41" s="72">
        <f>'Exhibit P,2'!I43</f>
        <v>0.75166691860035484</v>
      </c>
      <c r="AB41" s="72">
        <f>'Exhibit Q,3'!K32</f>
        <v>0.19211274815808235</v>
      </c>
      <c r="AC41" s="72">
        <f>'Exhibit Q,3'!M32</f>
        <v>0.24028966634904314</v>
      </c>
      <c r="AD41" s="22"/>
      <c r="AE41" s="32"/>
    </row>
    <row r="42" spans="1:31">
      <c r="A42" s="6">
        <f t="shared" si="6"/>
        <v>2020</v>
      </c>
      <c r="C42" s="20">
        <f>'Exhibit P,2'!K44</f>
        <v>602395.17904059833</v>
      </c>
      <c r="E42" s="128">
        <f t="shared" si="9"/>
        <v>0.89539980936719787</v>
      </c>
      <c r="G42" s="18">
        <f t="shared" si="7"/>
        <v>539384.52847667073</v>
      </c>
      <c r="I42" s="17">
        <f t="shared" si="1"/>
        <v>568134.42000000004</v>
      </c>
      <c r="K42" s="20">
        <f t="shared" si="2"/>
        <v>1107518.9484766708</v>
      </c>
      <c r="O42" s="25">
        <f t="shared" si="8"/>
        <v>2020</v>
      </c>
      <c r="P42" s="285">
        <v>309502.59999999986</v>
      </c>
      <c r="Q42" s="285">
        <v>243555.51615759416</v>
      </c>
      <c r="R42" s="31">
        <v>568134.42000000004</v>
      </c>
      <c r="S42" s="31">
        <v>583411.92000000004</v>
      </c>
      <c r="T42" s="31">
        <v>21579.21</v>
      </c>
      <c r="U42" s="31">
        <v>139702</v>
      </c>
      <c r="V42" s="562">
        <f t="shared" si="4"/>
        <v>443709.92000000004</v>
      </c>
      <c r="W42" s="18">
        <v>822154.25488692033</v>
      </c>
      <c r="X42" s="17">
        <f t="shared" si="5"/>
        <v>285364.69358975044</v>
      </c>
      <c r="Z42" s="46"/>
      <c r="AA42" s="72">
        <f>'Exhibit P,2'!I44</f>
        <v>0.76707693639723784</v>
      </c>
      <c r="AB42" s="72">
        <f>'Exhibit Q,3'!K33</f>
        <v>8.3222349877287466E-2</v>
      </c>
      <c r="AC42" s="72">
        <f>'Exhibit Q,3'!M33</f>
        <v>0.11109157621059489</v>
      </c>
      <c r="AD42" s="22"/>
      <c r="AE42" s="32"/>
    </row>
    <row r="43" spans="1:31">
      <c r="A43" s="6">
        <f t="shared" si="6"/>
        <v>2021</v>
      </c>
      <c r="C43" s="20">
        <f>'Exhibit P,2'!K45</f>
        <v>608419.13083100435</v>
      </c>
      <c r="E43" s="128">
        <f t="shared" si="9"/>
        <v>0.96907878114938806</v>
      </c>
      <c r="G43" s="18">
        <f t="shared" si="7"/>
        <v>589606.06973367976</v>
      </c>
      <c r="I43" s="17">
        <f t="shared" si="1"/>
        <v>11426.5</v>
      </c>
      <c r="K43" s="20">
        <f t="shared" si="2"/>
        <v>601032.56973367976</v>
      </c>
      <c r="O43" s="25">
        <f t="shared" si="8"/>
        <v>2021</v>
      </c>
      <c r="P43" s="285">
        <v>323352.69</v>
      </c>
      <c r="Q43" s="205">
        <v>267300.45136026811</v>
      </c>
      <c r="R43" s="31">
        <v>11426.5</v>
      </c>
      <c r="S43" s="31">
        <v>18712.5</v>
      </c>
      <c r="T43" s="31">
        <v>7701.5</v>
      </c>
      <c r="U43" s="31">
        <v>13712.5</v>
      </c>
      <c r="V43" s="562">
        <f t="shared" si="4"/>
        <v>5000</v>
      </c>
      <c r="W43" s="18">
        <v>790546.68001471099</v>
      </c>
      <c r="X43" s="17">
        <f t="shared" si="5"/>
        <v>-189514.11028103123</v>
      </c>
      <c r="Z43" s="46"/>
      <c r="AA43" s="72">
        <f>'Exhibit P,2'!I45</f>
        <v>0.76707693639723784</v>
      </c>
      <c r="AB43" s="72">
        <f>'Exhibit Q,3'!K34</f>
        <v>2.5503589020583816E-2</v>
      </c>
      <c r="AC43" s="72">
        <f>'Exhibit Q,3'!M34</f>
        <v>3.2566283221081231E-2</v>
      </c>
      <c r="AD43" s="22"/>
      <c r="AE43" s="32"/>
    </row>
    <row r="44" spans="1:31">
      <c r="A44" s="6">
        <f t="shared" si="6"/>
        <v>2022</v>
      </c>
      <c r="C44" s="20">
        <f>'Exhibit P,2'!K46</f>
        <v>2055770.262236851</v>
      </c>
      <c r="E44" s="128">
        <f t="shared" si="9"/>
        <v>0.99606476515461351</v>
      </c>
      <c r="G44" s="18">
        <f t="shared" si="7"/>
        <v>2047680.3234667873</v>
      </c>
      <c r="I44" s="17">
        <f t="shared" si="1"/>
        <v>2950</v>
      </c>
      <c r="K44" s="20">
        <f t="shared" si="2"/>
        <v>2050630.3234667873</v>
      </c>
      <c r="O44" s="25">
        <f t="shared" si="8"/>
        <v>2022</v>
      </c>
      <c r="P44" s="285">
        <v>1321248.05</v>
      </c>
      <c r="Q44" s="601">
        <v>1134600.3793432082</v>
      </c>
      <c r="R44" s="31">
        <v>2950</v>
      </c>
      <c r="S44" s="31">
        <v>15000</v>
      </c>
      <c r="T44" s="31">
        <v>0</v>
      </c>
      <c r="U44" s="31">
        <v>0</v>
      </c>
      <c r="V44" s="562">
        <f t="shared" si="4"/>
        <v>15000</v>
      </c>
      <c r="W44" s="18"/>
      <c r="X44" s="17"/>
      <c r="Z44" s="46"/>
      <c r="AA44" s="72">
        <f>'Exhibit P,2'!I46</f>
        <v>0.90808645595545001</v>
      </c>
      <c r="AB44" s="72">
        <f>'Exhibit Q,3'!K35</f>
        <v>3.4281230686320661E-3</v>
      </c>
      <c r="AC44" s="72">
        <f>'Exhibit Q,3'!M35</f>
        <v>3.9865630425229229E-3</v>
      </c>
      <c r="AD44" s="22"/>
      <c r="AE44" s="32"/>
    </row>
    <row r="45" spans="1:31">
      <c r="C45" s="105"/>
      <c r="G45" s="105"/>
      <c r="I45" s="105"/>
      <c r="K45" s="105"/>
      <c r="N45" s="61"/>
      <c r="P45" s="25"/>
      <c r="Q45" s="25"/>
      <c r="R45" s="61"/>
      <c r="S45" s="25"/>
      <c r="T45" s="25"/>
      <c r="U45" s="25"/>
      <c r="V45" s="25"/>
      <c r="X45" s="25"/>
      <c r="Z45" s="46"/>
      <c r="AB45" s="25"/>
      <c r="AE45" s="25"/>
    </row>
    <row r="46" spans="1:31">
      <c r="A46" s="6" t="s">
        <v>0</v>
      </c>
      <c r="C46" s="26">
        <f>SUM(C16:C45)</f>
        <v>33594558.849851556</v>
      </c>
      <c r="G46" s="26">
        <f>SUM(G16:G45)</f>
        <v>6428926.2390727196</v>
      </c>
      <c r="H46" s="26"/>
      <c r="I46" s="26">
        <f>SUM(I16:I45)</f>
        <v>23340325.579999998</v>
      </c>
      <c r="J46" s="26"/>
      <c r="K46" s="26">
        <f>SUM(K16:K45)</f>
        <v>29769251.819072727</v>
      </c>
      <c r="O46" s="25" t="s">
        <v>0</v>
      </c>
      <c r="P46" s="278">
        <f t="shared" ref="P46:U46" si="10">SUM(P16:P44)</f>
        <v>7431373.6899999948</v>
      </c>
      <c r="Q46" s="278">
        <f t="shared" si="10"/>
        <v>6305602.0448909812</v>
      </c>
      <c r="R46" s="278">
        <f t="shared" si="10"/>
        <v>23340325.579999998</v>
      </c>
      <c r="S46" s="278">
        <f t="shared" si="10"/>
        <v>24844288.420000006</v>
      </c>
      <c r="T46" s="278">
        <f t="shared" si="10"/>
        <v>21609968.560000002</v>
      </c>
      <c r="U46" s="278">
        <f t="shared" si="10"/>
        <v>23098435.849999998</v>
      </c>
      <c r="V46" s="278">
        <f t="shared" ref="V46:X46" si="11">SUM(V16:V44)</f>
        <v>1745852.5699999998</v>
      </c>
      <c r="W46" s="278">
        <f>SUM(W16:W44)</f>
        <v>26395303.275641143</v>
      </c>
      <c r="X46" s="278">
        <f t="shared" si="11"/>
        <v>1323318.2199647864</v>
      </c>
    </row>
    <row r="48" spans="1:31">
      <c r="A48" s="2" t="str">
        <f>_xlfn.CONCAT(A32,"-",A44)</f>
        <v>2010-2022</v>
      </c>
      <c r="C48" s="26">
        <f>SUM(C32:C44)</f>
        <v>17216089.677352984</v>
      </c>
      <c r="G48" s="26">
        <f>SUM(G32:G44)</f>
        <v>6424621.4846258331</v>
      </c>
      <c r="H48" s="26"/>
      <c r="I48" s="26">
        <f>SUM(I32:I44)</f>
        <v>8634534.8400000017</v>
      </c>
      <c r="J48" s="26"/>
      <c r="K48" s="26">
        <f>SUM(K32:K44)</f>
        <v>15059156.324625829</v>
      </c>
      <c r="W48" s="47"/>
    </row>
    <row r="49" spans="1:29">
      <c r="W49" s="47"/>
    </row>
    <row r="50" spans="1:29">
      <c r="W50" s="47"/>
    </row>
    <row r="51" spans="1:29">
      <c r="W51" s="47"/>
    </row>
    <row r="52" spans="1:29">
      <c r="A52" s="6" t="s">
        <v>50</v>
      </c>
      <c r="B52" s="3" t="s">
        <v>251</v>
      </c>
      <c r="W52" s="47"/>
    </row>
    <row r="53" spans="1:29">
      <c r="B53" s="77" t="s">
        <v>919</v>
      </c>
      <c r="C53" s="120"/>
      <c r="W53" s="47"/>
    </row>
    <row r="54" spans="1:29">
      <c r="B54" s="77" t="s">
        <v>921</v>
      </c>
      <c r="C54" s="120"/>
      <c r="W54" s="47"/>
    </row>
    <row r="55" spans="1:29">
      <c r="B55" s="1" t="s">
        <v>51</v>
      </c>
      <c r="W55" s="47"/>
    </row>
    <row r="56" spans="1:29">
      <c r="B56" s="3" t="s">
        <v>915</v>
      </c>
      <c r="W56" s="47"/>
    </row>
    <row r="57" spans="1:29">
      <c r="B57" s="1" t="s">
        <v>61</v>
      </c>
      <c r="W57" s="47"/>
    </row>
    <row r="58" spans="1:29">
      <c r="W58" s="47"/>
    </row>
    <row r="59" spans="1:29">
      <c r="W59" s="47"/>
    </row>
    <row r="60" spans="1:29">
      <c r="W60" s="47"/>
    </row>
    <row r="61" spans="1:29" ht="16">
      <c r="W61" s="47"/>
      <c r="AC61" s="50"/>
    </row>
    <row r="62" spans="1:29">
      <c r="W62" s="47"/>
    </row>
    <row r="63" spans="1:29">
      <c r="W63" s="47"/>
    </row>
    <row r="64" spans="1:29">
      <c r="W64" s="47"/>
    </row>
    <row r="65" spans="23:23">
      <c r="W65" s="47"/>
    </row>
    <row r="66" spans="23:23">
      <c r="W66" s="47"/>
    </row>
    <row r="67" spans="23:23">
      <c r="W67" s="47"/>
    </row>
    <row r="68" spans="23:23">
      <c r="W68" s="47"/>
    </row>
  </sheetData>
  <phoneticPr fontId="8" type="noConversion"/>
  <printOptions horizontalCentered="1"/>
  <pageMargins left="0.7" right="0.7" top="0.75" bottom="0.75" header="0.3" footer="0.3"/>
  <pageSetup scale="75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6">
    <pageSetUpPr fitToPage="1"/>
  </sheetPr>
  <dimension ref="A1:P55"/>
  <sheetViews>
    <sheetView showOutlineSymbols="0" topLeftCell="A22" zoomScaleNormal="100" workbookViewId="0">
      <selection activeCell="L40" sqref="L40:L44"/>
    </sheetView>
  </sheetViews>
  <sheetFormatPr baseColWidth="10" defaultColWidth="9.7109375" defaultRowHeight="15"/>
  <cols>
    <col min="1" max="1" width="9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2.7109375" style="1" customWidth="1"/>
    <col min="12" max="12" width="11.140625" style="1" bestFit="1" customWidth="1"/>
    <col min="13" max="13" width="9.7109375" style="1"/>
    <col min="14" max="14" width="9.7109375" style="1" bestFit="1" customWidth="1"/>
    <col min="15" max="15" width="14.85546875" style="1" bestFit="1" customWidth="1"/>
    <col min="16" max="16" width="16.42578125" style="1" bestFit="1" customWidth="1"/>
    <col min="17" max="16384" width="9.7109375" style="1"/>
  </cols>
  <sheetData>
    <row r="1" spans="1:16">
      <c r="K1" s="52" t="s">
        <v>75</v>
      </c>
    </row>
    <row r="2" spans="1:16">
      <c r="K2" s="52" t="s">
        <v>56</v>
      </c>
    </row>
    <row r="4" spans="1:16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16">
      <c r="A5" s="5"/>
      <c r="B5" s="5"/>
      <c r="C5" s="5"/>
      <c r="D5" s="5"/>
      <c r="E5" s="5"/>
      <c r="F5" s="5"/>
      <c r="G5" s="5"/>
      <c r="H5" s="5"/>
      <c r="I5" s="5"/>
      <c r="J5" s="5"/>
      <c r="K5" s="5"/>
    </row>
    <row r="6" spans="1:16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6">
      <c r="A7" s="5" t="s">
        <v>201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16">
      <c r="A8" s="5" t="s">
        <v>1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16">
      <c r="A9" s="5"/>
      <c r="B9" s="5"/>
      <c r="C9" s="5"/>
      <c r="D9" s="5"/>
      <c r="E9" s="5"/>
      <c r="G9" s="5"/>
      <c r="H9" s="5"/>
      <c r="I9" s="5"/>
      <c r="J9" s="5"/>
      <c r="K9" s="5"/>
      <c r="N9" s="61"/>
      <c r="O9" s="61"/>
      <c r="P9" s="61"/>
    </row>
    <row r="10" spans="1:16">
      <c r="N10" s="61"/>
      <c r="O10" s="25" t="s">
        <v>2</v>
      </c>
      <c r="P10" s="61"/>
    </row>
    <row r="11" spans="1:16">
      <c r="L11" s="25" t="s">
        <v>1666</v>
      </c>
      <c r="N11" s="61"/>
      <c r="O11" s="25" t="s">
        <v>117</v>
      </c>
      <c r="P11" s="61"/>
    </row>
    <row r="12" spans="1:16">
      <c r="A12" s="6" t="s">
        <v>3</v>
      </c>
      <c r="C12" s="5" t="s">
        <v>70</v>
      </c>
      <c r="D12" s="5"/>
      <c r="E12" s="5"/>
      <c r="G12" s="5" t="s">
        <v>72</v>
      </c>
      <c r="H12" s="5"/>
      <c r="I12" s="5"/>
      <c r="K12" s="6" t="s">
        <v>1</v>
      </c>
      <c r="L12" s="25" t="s">
        <v>1665</v>
      </c>
      <c r="M12" s="25" t="s">
        <v>321</v>
      </c>
      <c r="N12" s="25" t="s">
        <v>3</v>
      </c>
      <c r="O12" s="25" t="s">
        <v>1304</v>
      </c>
      <c r="P12" s="61"/>
    </row>
    <row r="13" spans="1:16">
      <c r="A13" s="6" t="s">
        <v>4</v>
      </c>
      <c r="C13" s="106" t="s">
        <v>14</v>
      </c>
      <c r="D13" s="106"/>
      <c r="E13" s="106" t="s">
        <v>12</v>
      </c>
      <c r="G13" s="106" t="s">
        <v>14</v>
      </c>
      <c r="H13" s="105"/>
      <c r="I13" s="106" t="s">
        <v>12</v>
      </c>
      <c r="K13" s="6" t="s">
        <v>73</v>
      </c>
      <c r="L13" s="25" t="s">
        <v>1667</v>
      </c>
      <c r="M13" s="25" t="s">
        <v>381</v>
      </c>
      <c r="N13" s="25" t="s">
        <v>4</v>
      </c>
      <c r="O13" s="45" t="s">
        <v>1</v>
      </c>
      <c r="P13" s="25" t="s">
        <v>18</v>
      </c>
    </row>
    <row r="14" spans="1:16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  <c r="L14" s="142" t="s">
        <v>1668</v>
      </c>
      <c r="M14" s="142" t="s">
        <v>1669</v>
      </c>
      <c r="N14" s="279" t="s">
        <v>30</v>
      </c>
      <c r="O14" s="279" t="s">
        <v>31</v>
      </c>
      <c r="P14" s="279" t="s">
        <v>103</v>
      </c>
    </row>
    <row r="15" spans="1:16">
      <c r="A15" s="6"/>
      <c r="N15" s="61"/>
      <c r="O15" s="61"/>
      <c r="P15" s="61"/>
    </row>
    <row r="16" spans="1:16">
      <c r="A16" s="6">
        <v>1994</v>
      </c>
      <c r="C16" s="147">
        <f>'Exhibit N,3'!I16/(1-'Exhibit N,3'!E16)</f>
        <v>9014361.5099999998</v>
      </c>
      <c r="D16" s="19"/>
      <c r="E16" s="147">
        <f>'Exhibit N,2'!I16/(1-'Exhibit N,2'!E16)</f>
        <v>9014361.5099999998</v>
      </c>
      <c r="F16" s="19"/>
      <c r="G16" s="147">
        <f>'Exhibit N,3'!K16</f>
        <v>9014361.5099999998</v>
      </c>
      <c r="H16" s="19"/>
      <c r="I16" s="147">
        <f>'Exhibit N,2'!K16</f>
        <v>9014361.5099999998</v>
      </c>
      <c r="J16" s="19"/>
      <c r="K16" s="497">
        <f>E16</f>
        <v>9014361.5099999998</v>
      </c>
      <c r="M16" s="61"/>
      <c r="N16" s="25">
        <v>1994</v>
      </c>
      <c r="O16" s="356">
        <f>'Exhibit N,3'!W16</f>
        <v>9014361.5099999998</v>
      </c>
      <c r="P16" s="20">
        <f t="shared" ref="P16:P43" si="0">K16-O16</f>
        <v>0</v>
      </c>
    </row>
    <row r="17" spans="1:16">
      <c r="A17" s="6">
        <f>A16+1</f>
        <v>1995</v>
      </c>
      <c r="C17" s="494">
        <f>'Exhibit N,3'!I17/(1-'Exhibit N,3'!E17)</f>
        <v>25158701.43</v>
      </c>
      <c r="D17" s="187"/>
      <c r="E17" s="494">
        <f>'Exhibit N,2'!I17/(1-'Exhibit N,2'!E17)</f>
        <v>25158701.43</v>
      </c>
      <c r="F17" s="187"/>
      <c r="G17" s="494">
        <f>'Exhibit N,3'!K17</f>
        <v>25158701.43</v>
      </c>
      <c r="H17" s="187"/>
      <c r="I17" s="494">
        <f>'Exhibit N,2'!K17</f>
        <v>25158701.43</v>
      </c>
      <c r="J17" s="187"/>
      <c r="K17" s="187">
        <f>E17</f>
        <v>25158701.43</v>
      </c>
      <c r="M17" s="61"/>
      <c r="N17" s="25">
        <f>N16+1</f>
        <v>1995</v>
      </c>
      <c r="O17" s="20">
        <f>'Exhibit N,3'!W17</f>
        <v>25158701.43</v>
      </c>
      <c r="P17" s="20">
        <f t="shared" si="0"/>
        <v>0</v>
      </c>
    </row>
    <row r="18" spans="1:16">
      <c r="A18" s="6">
        <f t="shared" ref="A18:A44" si="1">A17+1</f>
        <v>1996</v>
      </c>
      <c r="C18" s="494">
        <f>'Exhibit N,3'!I18/(1-'Exhibit N,3'!E18)</f>
        <v>16457011</v>
      </c>
      <c r="D18" s="187"/>
      <c r="E18" s="494">
        <f>'Exhibit N,2'!I18/(1-'Exhibit N,2'!E18)</f>
        <v>16457011</v>
      </c>
      <c r="F18" s="187"/>
      <c r="G18" s="494">
        <f>'Exhibit N,3'!K18</f>
        <v>16457011</v>
      </c>
      <c r="H18" s="187"/>
      <c r="I18" s="494">
        <f>'Exhibit N,2'!K18</f>
        <v>16457011</v>
      </c>
      <c r="J18" s="187"/>
      <c r="K18" s="187">
        <f t="shared" ref="K18:K25" si="2">E18</f>
        <v>16457011</v>
      </c>
      <c r="M18" s="61"/>
      <c r="N18" s="25">
        <f t="shared" ref="N18:N44" si="3">N17+1</f>
        <v>1996</v>
      </c>
      <c r="O18" s="20">
        <f>'Exhibit N,3'!W18</f>
        <v>16457011</v>
      </c>
      <c r="P18" s="20">
        <f t="shared" si="0"/>
        <v>0</v>
      </c>
    </row>
    <row r="19" spans="1:16">
      <c r="A19" s="6">
        <f t="shared" si="1"/>
        <v>1997</v>
      </c>
      <c r="C19" s="494">
        <f>'Exhibit N,3'!I19/(1-'Exhibit N,3'!E19)</f>
        <v>9461637.870000001</v>
      </c>
      <c r="D19" s="187"/>
      <c r="E19" s="494">
        <f>'Exhibit N,2'!I19/(1-'Exhibit N,2'!E19)</f>
        <v>9461637.870000001</v>
      </c>
      <c r="F19" s="187"/>
      <c r="G19" s="494">
        <f>'Exhibit N,3'!K19</f>
        <v>9461637.870000001</v>
      </c>
      <c r="H19" s="187"/>
      <c r="I19" s="494">
        <f>'Exhibit N,2'!K19</f>
        <v>9461637.870000001</v>
      </c>
      <c r="J19" s="187"/>
      <c r="K19" s="187">
        <f t="shared" si="2"/>
        <v>9461637.870000001</v>
      </c>
      <c r="M19" s="61"/>
      <c r="N19" s="25">
        <f t="shared" si="3"/>
        <v>1997</v>
      </c>
      <c r="O19" s="20">
        <f>'Exhibit N,3'!W19</f>
        <v>9461637.870000001</v>
      </c>
      <c r="P19" s="20">
        <f t="shared" si="0"/>
        <v>0</v>
      </c>
    </row>
    <row r="20" spans="1:16">
      <c r="A20" s="6">
        <f t="shared" si="1"/>
        <v>1998</v>
      </c>
      <c r="C20" s="494">
        <f>'Exhibit N,3'!I20/(1-'Exhibit N,3'!E20)</f>
        <v>24800000</v>
      </c>
      <c r="D20" s="187"/>
      <c r="E20" s="494">
        <f>'Exhibit N,2'!I20/(1-'Exhibit N,2'!E20)</f>
        <v>24800000</v>
      </c>
      <c r="F20" s="187"/>
      <c r="G20" s="494">
        <f>'Exhibit N,3'!K20</f>
        <v>24800000</v>
      </c>
      <c r="H20" s="187"/>
      <c r="I20" s="494">
        <f>'Exhibit N,2'!K20</f>
        <v>24800000</v>
      </c>
      <c r="J20" s="187"/>
      <c r="K20" s="187">
        <f t="shared" si="2"/>
        <v>24800000</v>
      </c>
      <c r="M20" s="61"/>
      <c r="N20" s="25">
        <f t="shared" si="3"/>
        <v>1998</v>
      </c>
      <c r="O20" s="20">
        <f>'Exhibit N,3'!W20</f>
        <v>24800000</v>
      </c>
      <c r="P20" s="20">
        <f t="shared" si="0"/>
        <v>0</v>
      </c>
    </row>
    <row r="21" spans="1:16">
      <c r="A21" s="6">
        <f t="shared" si="1"/>
        <v>1999</v>
      </c>
      <c r="C21" s="494">
        <f>'Exhibit N,3'!I21/(1-'Exhibit N,3'!E21)</f>
        <v>18284000</v>
      </c>
      <c r="D21" s="187"/>
      <c r="E21" s="494">
        <f>'Exhibit N,2'!I21/(1-'Exhibit N,2'!E21)</f>
        <v>18284000</v>
      </c>
      <c r="F21" s="187"/>
      <c r="G21" s="494">
        <f>'Exhibit N,3'!K21</f>
        <v>18284000</v>
      </c>
      <c r="H21" s="187"/>
      <c r="I21" s="494">
        <f>'Exhibit N,2'!K21</f>
        <v>18284000</v>
      </c>
      <c r="J21" s="187"/>
      <c r="K21" s="187">
        <f t="shared" si="2"/>
        <v>18284000</v>
      </c>
      <c r="M21" s="61"/>
      <c r="N21" s="25">
        <f t="shared" si="3"/>
        <v>1999</v>
      </c>
      <c r="O21" s="20">
        <f>'Exhibit N,3'!W21</f>
        <v>18284000</v>
      </c>
      <c r="P21" s="20">
        <f t="shared" si="0"/>
        <v>0</v>
      </c>
    </row>
    <row r="22" spans="1:16">
      <c r="A22" s="6">
        <f t="shared" si="1"/>
        <v>2000</v>
      </c>
      <c r="C22" s="494">
        <f>'Exhibit N,3'!I22/(1-'Exhibit N,3'!E22)</f>
        <v>16115000</v>
      </c>
      <c r="D22" s="187"/>
      <c r="E22" s="494">
        <f>'Exhibit N,2'!I22/(1-'Exhibit N,2'!E22)</f>
        <v>16115000</v>
      </c>
      <c r="F22" s="187"/>
      <c r="G22" s="494">
        <f>'Exhibit N,3'!K22</f>
        <v>16115000</v>
      </c>
      <c r="H22" s="187"/>
      <c r="I22" s="494">
        <f>'Exhibit N,2'!K22</f>
        <v>16115000</v>
      </c>
      <c r="J22" s="187"/>
      <c r="K22" s="187">
        <f t="shared" si="2"/>
        <v>16115000</v>
      </c>
      <c r="M22" s="61"/>
      <c r="N22" s="25">
        <f t="shared" si="3"/>
        <v>2000</v>
      </c>
      <c r="O22" s="20">
        <f>'Exhibit N,3'!W22</f>
        <v>16115000</v>
      </c>
      <c r="P22" s="20">
        <f t="shared" si="0"/>
        <v>0</v>
      </c>
    </row>
    <row r="23" spans="1:16">
      <c r="A23" s="6">
        <f t="shared" si="1"/>
        <v>2001</v>
      </c>
      <c r="C23" s="494">
        <f>'Exhibit N,3'!I23/(1-'Exhibit N,3'!E23)</f>
        <v>12067167</v>
      </c>
      <c r="D23" s="187"/>
      <c r="E23" s="494">
        <f>'Exhibit N,2'!I23/(1-'Exhibit N,2'!E23)</f>
        <v>12067167</v>
      </c>
      <c r="F23" s="187"/>
      <c r="G23" s="494">
        <f>'Exhibit N,3'!K23</f>
        <v>12067167</v>
      </c>
      <c r="H23" s="187"/>
      <c r="I23" s="494">
        <f>'Exhibit N,2'!K23</f>
        <v>12067167</v>
      </c>
      <c r="J23" s="187"/>
      <c r="K23" s="187">
        <f t="shared" si="2"/>
        <v>12067167</v>
      </c>
      <c r="M23" s="61"/>
      <c r="N23" s="25">
        <f t="shared" si="3"/>
        <v>2001</v>
      </c>
      <c r="O23" s="20">
        <f>'Exhibit N,3'!W23</f>
        <v>12067167</v>
      </c>
      <c r="P23" s="20">
        <f t="shared" si="0"/>
        <v>0</v>
      </c>
    </row>
    <row r="24" spans="1:16">
      <c r="A24" s="6">
        <f t="shared" si="1"/>
        <v>2002</v>
      </c>
      <c r="C24" s="494">
        <f>'Exhibit N,3'!I24/(1-'Exhibit N,3'!E24)</f>
        <v>12700000</v>
      </c>
      <c r="D24" s="187"/>
      <c r="E24" s="494">
        <f>'Exhibit N,2'!I24/(1-'Exhibit N,2'!E24)</f>
        <v>12700000</v>
      </c>
      <c r="F24" s="187"/>
      <c r="G24" s="494">
        <f>'Exhibit N,3'!K24</f>
        <v>12700000</v>
      </c>
      <c r="H24" s="187"/>
      <c r="I24" s="494">
        <f>'Exhibit N,2'!K24</f>
        <v>12700000</v>
      </c>
      <c r="J24" s="187"/>
      <c r="K24" s="187">
        <f t="shared" si="2"/>
        <v>12700000</v>
      </c>
      <c r="N24" s="25">
        <f t="shared" si="3"/>
        <v>2002</v>
      </c>
      <c r="O24" s="20">
        <f>'Exhibit N,3'!W24</f>
        <v>12700000</v>
      </c>
      <c r="P24" s="20">
        <f t="shared" si="0"/>
        <v>0</v>
      </c>
    </row>
    <row r="25" spans="1:16">
      <c r="A25" s="6">
        <f t="shared" si="1"/>
        <v>2003</v>
      </c>
      <c r="C25" s="494">
        <f>'Exhibit N,3'!I25/(1-'Exhibit N,3'!E25)</f>
        <v>15540000</v>
      </c>
      <c r="D25" s="187"/>
      <c r="E25" s="494">
        <f>'Exhibit N,2'!I25/(1-'Exhibit N,2'!E25)</f>
        <v>15540000</v>
      </c>
      <c r="F25" s="187"/>
      <c r="G25" s="494">
        <f>'Exhibit N,3'!K25</f>
        <v>15540000</v>
      </c>
      <c r="H25" s="187"/>
      <c r="I25" s="494">
        <f>'Exhibit N,2'!K25</f>
        <v>15540000</v>
      </c>
      <c r="J25" s="187"/>
      <c r="K25" s="187">
        <f t="shared" si="2"/>
        <v>15540000</v>
      </c>
      <c r="N25" s="25">
        <f t="shared" si="3"/>
        <v>2003</v>
      </c>
      <c r="O25" s="20">
        <f>'Exhibit N,3'!W25</f>
        <v>15540000</v>
      </c>
      <c r="P25" s="20">
        <f t="shared" si="0"/>
        <v>0</v>
      </c>
    </row>
    <row r="26" spans="1:16">
      <c r="A26" s="6">
        <f t="shared" si="1"/>
        <v>2004</v>
      </c>
      <c r="C26" s="494">
        <f>'Exhibit N,3'!I26/(1-'Exhibit N,3'!E26)</f>
        <v>5025000</v>
      </c>
      <c r="D26" s="187"/>
      <c r="E26" s="494">
        <f>'Exhibit N,2'!I26/(1-'Exhibit N,2'!E26)</f>
        <v>5025000</v>
      </c>
      <c r="F26" s="187"/>
      <c r="G26" s="494">
        <f>'Exhibit N,3'!K26</f>
        <v>5025000</v>
      </c>
      <c r="H26" s="187"/>
      <c r="I26" s="494">
        <f>'Exhibit N,2'!K26</f>
        <v>5025000</v>
      </c>
      <c r="J26" s="187"/>
      <c r="K26" s="494">
        <f t="shared" ref="K26:K36" si="4">E26</f>
        <v>5025000</v>
      </c>
      <c r="N26" s="25">
        <f t="shared" si="3"/>
        <v>2004</v>
      </c>
      <c r="O26" s="20">
        <f>'Exhibit N,3'!W26</f>
        <v>5025000</v>
      </c>
      <c r="P26" s="20">
        <f t="shared" si="0"/>
        <v>0</v>
      </c>
    </row>
    <row r="27" spans="1:16">
      <c r="A27" s="6">
        <f t="shared" si="1"/>
        <v>2005</v>
      </c>
      <c r="C27" s="494">
        <f>'Exhibit N,3'!I27/(1-'Exhibit N,3'!E27)</f>
        <v>4275000</v>
      </c>
      <c r="D27" s="187"/>
      <c r="E27" s="494">
        <f>'Exhibit N,2'!I27/(1-'Exhibit N,2'!E27)</f>
        <v>4275000</v>
      </c>
      <c r="F27" s="187"/>
      <c r="G27" s="494">
        <f>'Exhibit N,3'!K27</f>
        <v>4275000</v>
      </c>
      <c r="H27" s="187"/>
      <c r="I27" s="494">
        <f>'Exhibit N,2'!K27</f>
        <v>4275000</v>
      </c>
      <c r="J27" s="187"/>
      <c r="K27" s="494">
        <f t="shared" si="4"/>
        <v>4275000</v>
      </c>
      <c r="N27" s="25">
        <f t="shared" si="3"/>
        <v>2005</v>
      </c>
      <c r="O27" s="20">
        <f>'Exhibit N,3'!W27</f>
        <v>4275000</v>
      </c>
      <c r="P27" s="20">
        <f t="shared" si="0"/>
        <v>0</v>
      </c>
    </row>
    <row r="28" spans="1:16">
      <c r="A28" s="6">
        <f t="shared" si="1"/>
        <v>2006</v>
      </c>
      <c r="C28" s="494">
        <f>'Exhibit N,3'!I28/(1-'Exhibit N,3'!E28)</f>
        <v>5350000</v>
      </c>
      <c r="D28" s="187"/>
      <c r="E28" s="494">
        <f>'Exhibit N,2'!I28/(1-'Exhibit N,2'!E28)</f>
        <v>5350000</v>
      </c>
      <c r="F28" s="187"/>
      <c r="G28" s="494">
        <f>'Exhibit N,3'!K28</f>
        <v>5350000</v>
      </c>
      <c r="H28" s="187"/>
      <c r="I28" s="494">
        <f>'Exhibit N,2'!K28</f>
        <v>5350000</v>
      </c>
      <c r="J28" s="187"/>
      <c r="K28" s="494">
        <f t="shared" si="4"/>
        <v>5350000</v>
      </c>
      <c r="N28" s="25">
        <f t="shared" si="3"/>
        <v>2006</v>
      </c>
      <c r="O28" s="20">
        <f>'Exhibit N,3'!W28</f>
        <v>5350000</v>
      </c>
      <c r="P28" s="20">
        <f t="shared" si="0"/>
        <v>0</v>
      </c>
    </row>
    <row r="29" spans="1:16">
      <c r="A29" s="6">
        <f t="shared" si="1"/>
        <v>2007</v>
      </c>
      <c r="C29" s="494">
        <f>'Exhibit N,3'!I29/(1-'Exhibit N,3'!E29)</f>
        <v>4345000</v>
      </c>
      <c r="D29" s="187"/>
      <c r="E29" s="494">
        <f>'Exhibit N,2'!I29/(1-'Exhibit N,2'!E29)</f>
        <v>4345000</v>
      </c>
      <c r="F29" s="187"/>
      <c r="G29" s="494">
        <f>'Exhibit N,3'!K29</f>
        <v>4345000</v>
      </c>
      <c r="H29" s="187"/>
      <c r="I29" s="494">
        <f>'Exhibit N,2'!K29</f>
        <v>4345000</v>
      </c>
      <c r="J29" s="187"/>
      <c r="K29" s="494">
        <f t="shared" si="4"/>
        <v>4345000</v>
      </c>
      <c r="N29" s="25">
        <f t="shared" si="3"/>
        <v>2007</v>
      </c>
      <c r="O29" s="20">
        <f>'Exhibit N,3'!W29</f>
        <v>4345000</v>
      </c>
      <c r="P29" s="20">
        <f t="shared" si="0"/>
        <v>0</v>
      </c>
    </row>
    <row r="30" spans="1:16">
      <c r="A30" s="6">
        <f t="shared" si="1"/>
        <v>2008</v>
      </c>
      <c r="C30" s="494">
        <f>'Exhibit N,3'!I30/(1-'Exhibit N,3'!E30)</f>
        <v>5515000</v>
      </c>
      <c r="D30" s="187"/>
      <c r="E30" s="494">
        <f>'Exhibit N,2'!I30/(1-'Exhibit N,2'!E30)</f>
        <v>5515000</v>
      </c>
      <c r="F30" s="187"/>
      <c r="G30" s="494">
        <f>'Exhibit N,3'!K30</f>
        <v>5515000</v>
      </c>
      <c r="H30" s="187"/>
      <c r="I30" s="494">
        <f>'Exhibit N,2'!K30</f>
        <v>5515000</v>
      </c>
      <c r="J30" s="187"/>
      <c r="K30" s="494">
        <f t="shared" si="4"/>
        <v>5515000</v>
      </c>
      <c r="N30" s="25">
        <f t="shared" si="3"/>
        <v>2008</v>
      </c>
      <c r="O30" s="20">
        <f>'Exhibit N,3'!W30</f>
        <v>5515000</v>
      </c>
      <c r="P30" s="20">
        <f t="shared" si="0"/>
        <v>0</v>
      </c>
    </row>
    <row r="31" spans="1:16">
      <c r="A31" s="6">
        <f t="shared" si="1"/>
        <v>2009</v>
      </c>
      <c r="C31" s="494">
        <f>'Exhibit N,3'!I31/(1-'Exhibit N,3'!E31)</f>
        <v>6335000</v>
      </c>
      <c r="D31" s="187"/>
      <c r="E31" s="494">
        <f>'Exhibit N,2'!I31/(1-'Exhibit N,2'!E31)</f>
        <v>6335000</v>
      </c>
      <c r="F31" s="187"/>
      <c r="G31" s="494">
        <f>'Exhibit N,3'!K31</f>
        <v>6335000</v>
      </c>
      <c r="H31" s="187"/>
      <c r="I31" s="494">
        <f>'Exhibit N,2'!K31</f>
        <v>6335000</v>
      </c>
      <c r="J31" s="187"/>
      <c r="K31" s="494">
        <f t="shared" si="4"/>
        <v>6335000</v>
      </c>
      <c r="N31" s="25">
        <f t="shared" si="3"/>
        <v>2009</v>
      </c>
      <c r="O31" s="20">
        <f>'Exhibit N,3'!W31</f>
        <v>6335000</v>
      </c>
      <c r="P31" s="20">
        <f t="shared" si="0"/>
        <v>0</v>
      </c>
    </row>
    <row r="32" spans="1:16">
      <c r="A32" s="6">
        <f t="shared" si="1"/>
        <v>2010</v>
      </c>
      <c r="C32" s="494">
        <f>'Exhibit N,3'!I32/(1-'Exhibit N,3'!E32)</f>
        <v>8462500</v>
      </c>
      <c r="D32" s="187"/>
      <c r="E32" s="494">
        <f>'Exhibit N,2'!I32/(1-'Exhibit N,2'!E32)</f>
        <v>8462500</v>
      </c>
      <c r="F32" s="187"/>
      <c r="G32" s="494">
        <f>'Exhibit N,3'!K32</f>
        <v>8462500</v>
      </c>
      <c r="H32" s="187"/>
      <c r="I32" s="494">
        <f>'Exhibit N,2'!K32</f>
        <v>8462500</v>
      </c>
      <c r="J32" s="187"/>
      <c r="K32" s="494">
        <f t="shared" si="4"/>
        <v>8462500</v>
      </c>
      <c r="N32" s="25">
        <f t="shared" si="3"/>
        <v>2010</v>
      </c>
      <c r="O32" s="20">
        <f>'Exhibit N,3'!W32</f>
        <v>8462500</v>
      </c>
      <c r="P32" s="20">
        <f t="shared" si="0"/>
        <v>0</v>
      </c>
    </row>
    <row r="33" spans="1:16">
      <c r="A33" s="6">
        <f t="shared" si="1"/>
        <v>2011</v>
      </c>
      <c r="C33" s="494">
        <f>'Exhibit N,3'!I33/(1-'Exhibit N,3'!E33)</f>
        <v>7214500</v>
      </c>
      <c r="D33" s="187"/>
      <c r="E33" s="494">
        <f>'Exhibit N,2'!I33/(1-'Exhibit N,2'!E33)</f>
        <v>7214500</v>
      </c>
      <c r="F33" s="187"/>
      <c r="G33" s="494">
        <f>'Exhibit N,3'!K33</f>
        <v>7214500</v>
      </c>
      <c r="H33" s="187"/>
      <c r="I33" s="494">
        <f>'Exhibit N,2'!K33</f>
        <v>7214500</v>
      </c>
      <c r="J33" s="187"/>
      <c r="K33" s="494">
        <f t="shared" si="4"/>
        <v>7214500</v>
      </c>
      <c r="N33" s="25">
        <f t="shared" si="3"/>
        <v>2011</v>
      </c>
      <c r="O33" s="20">
        <f>'Exhibit N,3'!W33</f>
        <v>7214500</v>
      </c>
      <c r="P33" s="20">
        <f t="shared" si="0"/>
        <v>0</v>
      </c>
    </row>
    <row r="34" spans="1:16">
      <c r="A34" s="6">
        <f t="shared" si="1"/>
        <v>2012</v>
      </c>
      <c r="C34" s="494">
        <f>'Exhibit N,3'!I34/(1-'Exhibit N,3'!E34)</f>
        <v>9894999.6699999999</v>
      </c>
      <c r="D34" s="187"/>
      <c r="E34" s="494">
        <f>'Exhibit N,2'!I34/(1-'Exhibit N,2'!E34)</f>
        <v>9894999.6699999999</v>
      </c>
      <c r="F34" s="187"/>
      <c r="G34" s="494">
        <f>'Exhibit N,3'!K34</f>
        <v>9894999.6699999999</v>
      </c>
      <c r="H34" s="187"/>
      <c r="I34" s="494">
        <f>'Exhibit N,2'!K34</f>
        <v>9894999.6699999999</v>
      </c>
      <c r="J34" s="187"/>
      <c r="K34" s="494">
        <f t="shared" si="4"/>
        <v>9894999.6699999999</v>
      </c>
      <c r="N34" s="25">
        <f t="shared" si="3"/>
        <v>2012</v>
      </c>
      <c r="O34" s="20">
        <f>'Exhibit N,3'!W34</f>
        <v>9894999.6699999999</v>
      </c>
      <c r="P34" s="20">
        <f t="shared" si="0"/>
        <v>0</v>
      </c>
    </row>
    <row r="35" spans="1:16">
      <c r="A35" s="6">
        <f t="shared" si="1"/>
        <v>2013</v>
      </c>
      <c r="C35" s="494">
        <f>'Exhibit N,3'!I35/(1-'Exhibit N,3'!E35)</f>
        <v>9340000</v>
      </c>
      <c r="D35" s="187"/>
      <c r="E35" s="494">
        <f>'Exhibit N,2'!I35/(1-'Exhibit N,2'!E35)</f>
        <v>9340000</v>
      </c>
      <c r="F35" s="187"/>
      <c r="G35" s="494">
        <f>'Exhibit N,3'!K35</f>
        <v>9340000</v>
      </c>
      <c r="H35" s="187"/>
      <c r="I35" s="494">
        <f>'Exhibit N,2'!K35</f>
        <v>9340000</v>
      </c>
      <c r="J35" s="187"/>
      <c r="K35" s="494">
        <f t="shared" si="4"/>
        <v>9340000</v>
      </c>
      <c r="N35" s="25">
        <f t="shared" si="3"/>
        <v>2013</v>
      </c>
      <c r="O35" s="20">
        <f>'Exhibit N,3'!W35</f>
        <v>9340000</v>
      </c>
      <c r="P35" s="20">
        <f t="shared" si="0"/>
        <v>0</v>
      </c>
    </row>
    <row r="36" spans="1:16">
      <c r="A36" s="6">
        <f t="shared" si="1"/>
        <v>2014</v>
      </c>
      <c r="C36" s="494">
        <f>'Exhibit N,3'!I36/(1-'Exhibit N,3'!E36)</f>
        <v>2935000</v>
      </c>
      <c r="D36" s="187"/>
      <c r="E36" s="494">
        <f>'Exhibit N,2'!I36/(1-'Exhibit N,2'!E36)</f>
        <v>3935000</v>
      </c>
      <c r="F36" s="187"/>
      <c r="G36" s="494">
        <f>'Exhibit N,3'!K36</f>
        <v>2935000</v>
      </c>
      <c r="H36" s="187"/>
      <c r="I36" s="494">
        <f>'Exhibit N,2'!K36</f>
        <v>3935000</v>
      </c>
      <c r="J36" s="187"/>
      <c r="K36" s="494">
        <f t="shared" si="4"/>
        <v>3935000</v>
      </c>
      <c r="N36" s="25">
        <f t="shared" si="3"/>
        <v>2014</v>
      </c>
      <c r="O36" s="20">
        <f>'Exhibit N,3'!W36</f>
        <v>3935000</v>
      </c>
      <c r="P36" s="20">
        <f t="shared" si="0"/>
        <v>0</v>
      </c>
    </row>
    <row r="37" spans="1:16">
      <c r="A37" s="6">
        <f t="shared" si="1"/>
        <v>2015</v>
      </c>
      <c r="C37" s="494">
        <f>'Exhibit N,3'!I37/(1-'Exhibit N,3'!E37)</f>
        <v>6495887.6629889663</v>
      </c>
      <c r="D37" s="187"/>
      <c r="E37" s="494">
        <f>'Exhibit N,2'!I37/(1-'Exhibit N,2'!E37)</f>
        <v>7425000</v>
      </c>
      <c r="F37" s="187"/>
      <c r="G37" s="494">
        <f>'Exhibit N,3'!K37</f>
        <v>6490437.1230805814</v>
      </c>
      <c r="H37" s="187"/>
      <c r="I37" s="494">
        <f>'Exhibit N,2'!K37</f>
        <v>7425000</v>
      </c>
      <c r="J37" s="187"/>
      <c r="K37" s="187">
        <f t="shared" ref="K37:K38" si="5">I37+L37</f>
        <v>7425000</v>
      </c>
      <c r="N37" s="25">
        <f t="shared" si="3"/>
        <v>2015</v>
      </c>
      <c r="O37" s="20">
        <f>'Exhibit N,3'!W37</f>
        <v>7432135.3065539114</v>
      </c>
      <c r="P37" s="20">
        <f t="shared" si="0"/>
        <v>-7135.3065539114177</v>
      </c>
    </row>
    <row r="38" spans="1:16">
      <c r="A38" s="6">
        <f t="shared" si="1"/>
        <v>2016</v>
      </c>
      <c r="C38" s="494">
        <f>'Exhibit N,3'!I38/(1-'Exhibit N,3'!E38)</f>
        <v>3128744.9392712554</v>
      </c>
      <c r="D38" s="187"/>
      <c r="E38" s="494">
        <f>'Exhibit N,2'!I38/(1-'Exhibit N,2'!E38)</f>
        <v>3926206.4752596212</v>
      </c>
      <c r="F38" s="187"/>
      <c r="G38" s="494">
        <f>'Exhibit N,3'!K38</f>
        <v>3258921.0389558151</v>
      </c>
      <c r="H38" s="187"/>
      <c r="I38" s="494">
        <f>'Exhibit N,2'!K38</f>
        <v>3932768.2357586091</v>
      </c>
      <c r="J38" s="187"/>
      <c r="K38" s="187">
        <f t="shared" si="5"/>
        <v>3932768.2357586091</v>
      </c>
      <c r="N38" s="25">
        <f t="shared" si="3"/>
        <v>2016</v>
      </c>
      <c r="O38" s="20">
        <f>'Exhibit N,3'!W38</f>
        <v>4345939.2526457151</v>
      </c>
      <c r="P38" s="20">
        <f t="shared" si="0"/>
        <v>-413171.016887106</v>
      </c>
    </row>
    <row r="39" spans="1:16">
      <c r="A39" s="6">
        <f t="shared" si="1"/>
        <v>2017</v>
      </c>
      <c r="C39" s="494">
        <f>'Exhibit N,3'!I39/(1-'Exhibit N,3'!E39)</f>
        <v>863506.2273372222</v>
      </c>
      <c r="D39" s="187"/>
      <c r="E39" s="494">
        <f>'Exhibit N,2'!I39/(1-'Exhibit N,2'!E39)</f>
        <v>1003961.7001874462</v>
      </c>
      <c r="F39" s="187"/>
      <c r="G39" s="494">
        <f>'Exhibit N,3'!K39</f>
        <v>1910773.801714879</v>
      </c>
      <c r="H39" s="187"/>
      <c r="I39" s="494">
        <f>'Exhibit N,2'!K39</f>
        <v>1370223.5228028973</v>
      </c>
      <c r="J39" s="187"/>
      <c r="K39" s="494">
        <f>I39+L39</f>
        <v>1370223.5228028973</v>
      </c>
      <c r="L39" s="17">
        <f>'Exhibit K,1'!Y66</f>
        <v>0</v>
      </c>
      <c r="M39" s="187">
        <f>K39-'Exhibit N,2'!I39</f>
        <v>445223.52280289726</v>
      </c>
      <c r="N39" s="25">
        <f t="shared" si="3"/>
        <v>2017</v>
      </c>
      <c r="O39" s="20">
        <f>'Exhibit N,3'!W39</f>
        <v>3650681.7810629103</v>
      </c>
      <c r="P39" s="20">
        <f t="shared" si="0"/>
        <v>-2280458.2582600131</v>
      </c>
    </row>
    <row r="40" spans="1:16">
      <c r="A40" s="6">
        <f t="shared" si="1"/>
        <v>2018</v>
      </c>
      <c r="C40" s="494">
        <f>'Exhibit N,3'!I40/(1-'Exhibit N,3'!E40)</f>
        <v>3225563.1039531478</v>
      </c>
      <c r="D40" s="187"/>
      <c r="E40" s="494">
        <f>'Exhibit N,2'!I40/(1-'Exhibit N,2'!E40)</f>
        <v>6796528.9060723232</v>
      </c>
      <c r="F40" s="187"/>
      <c r="G40" s="494">
        <f>'Exhibit N,3'!K40</f>
        <v>4288198.5575017957</v>
      </c>
      <c r="H40" s="187"/>
      <c r="I40" s="494">
        <f>'Exhibit N,2'!K40</f>
        <v>6460517.4821851039</v>
      </c>
      <c r="J40" s="187"/>
      <c r="K40" s="494">
        <f t="shared" ref="K40" si="6">E40</f>
        <v>6796528.9060723232</v>
      </c>
      <c r="L40" s="17">
        <f>'Exhibit K,1'!Y67</f>
        <v>0</v>
      </c>
      <c r="M40" s="187">
        <f>K40-'Exhibit N,2'!I40</f>
        <v>1986528.9060723232</v>
      </c>
      <c r="N40" s="25">
        <f t="shared" si="3"/>
        <v>2018</v>
      </c>
      <c r="O40" s="20">
        <f>'Exhibit N,3'!W40</f>
        <v>5432788.2090472076</v>
      </c>
      <c r="P40" s="20">
        <f t="shared" si="0"/>
        <v>1363740.6970251156</v>
      </c>
    </row>
    <row r="41" spans="1:16">
      <c r="A41" s="6">
        <f t="shared" si="1"/>
        <v>2019</v>
      </c>
      <c r="C41" s="494">
        <f>'Exhibit N,3'!I41/(1-'Exhibit N,3'!E41)</f>
        <v>1086390.7438016529</v>
      </c>
      <c r="D41" s="187"/>
      <c r="E41" s="494">
        <f>'Exhibit N,2'!I41/(1-'Exhibit N,2'!E41)</f>
        <v>2732704.5379066295</v>
      </c>
      <c r="F41" s="187"/>
      <c r="G41" s="494">
        <f>'Exhibit N,3'!K41</f>
        <v>2840948.6957112183</v>
      </c>
      <c r="H41" s="187"/>
      <c r="I41" s="494">
        <f>'Exhibit N,2'!K41</f>
        <v>3291977.5179969817</v>
      </c>
      <c r="J41" s="187"/>
      <c r="K41" s="187">
        <f>I41+L41</f>
        <v>3291977.5179969817</v>
      </c>
      <c r="L41" s="17">
        <f>'Exhibit K,1'!Y68</f>
        <v>0</v>
      </c>
      <c r="M41" s="187">
        <f>K41-'Exhibit N,2'!I41</f>
        <v>1886977.5179969817</v>
      </c>
      <c r="N41" s="25">
        <f t="shared" si="3"/>
        <v>2019</v>
      </c>
      <c r="O41" s="20">
        <f>'Exhibit N,3'!W41</f>
        <v>3506557.7568370984</v>
      </c>
      <c r="P41" s="20">
        <f t="shared" si="0"/>
        <v>-214580.23884011665</v>
      </c>
    </row>
    <row r="42" spans="1:16">
      <c r="A42" s="6">
        <f t="shared" si="1"/>
        <v>2020</v>
      </c>
      <c r="C42" s="494">
        <f>'Exhibit N,3'!I42/(1-'Exhibit N,3'!E42)</f>
        <v>7617325.8278145688</v>
      </c>
      <c r="D42" s="187"/>
      <c r="E42" s="494">
        <f>'Exhibit N,2'!I42/(1-'Exhibit N,2'!E42)</f>
        <v>4673637.9211469535</v>
      </c>
      <c r="F42" s="187"/>
      <c r="G42" s="494">
        <f>'Exhibit N,3'!K42</f>
        <v>4343496.7588032298</v>
      </c>
      <c r="H42" s="187"/>
      <c r="I42" s="494">
        <f>'Exhibit N,2'!K42</f>
        <v>3952279.7181433691</v>
      </c>
      <c r="J42" s="187"/>
      <c r="K42" s="187">
        <f t="shared" ref="K42:K44" si="7">I42+L42</f>
        <v>3952279.7181433691</v>
      </c>
      <c r="L42" s="17">
        <f>'Exhibit K,1'!Y69</f>
        <v>0</v>
      </c>
      <c r="M42" s="187">
        <f>K42-'Exhibit N,2'!I42</f>
        <v>2127279.7181433691</v>
      </c>
      <c r="N42" s="25">
        <f t="shared" si="3"/>
        <v>2020</v>
      </c>
      <c r="O42" s="20">
        <f>'Exhibit N,3'!W42</f>
        <v>3398977.5824485631</v>
      </c>
      <c r="P42" s="20">
        <f t="shared" si="0"/>
        <v>553302.135694806</v>
      </c>
    </row>
    <row r="43" spans="1:16">
      <c r="A43" s="6">
        <f t="shared" si="1"/>
        <v>2021</v>
      </c>
      <c r="C43" s="494">
        <f>'Exhibit N,3'!I43/(1-'Exhibit N,3'!E43)</f>
        <v>0</v>
      </c>
      <c r="D43" s="187"/>
      <c r="E43" s="494">
        <f>'Exhibit N,2'!I43/(1-'Exhibit N,2'!E43)</f>
        <v>0</v>
      </c>
      <c r="F43" s="187"/>
      <c r="G43" s="494">
        <f>'Exhibit N,3'!K43</f>
        <v>4001106.3123870702</v>
      </c>
      <c r="H43" s="187"/>
      <c r="I43" s="494">
        <f>'Exhibit N,2'!K43</f>
        <v>3479294.0470653204</v>
      </c>
      <c r="J43" s="187"/>
      <c r="K43" s="187">
        <f t="shared" si="7"/>
        <v>3479294.0470653204</v>
      </c>
      <c r="L43" s="17">
        <f>'Exhibit K,1'!Y70</f>
        <v>0</v>
      </c>
      <c r="M43" s="187">
        <f>K43-'Exhibit N,2'!I43</f>
        <v>3479294.0470653204</v>
      </c>
      <c r="N43" s="25">
        <f t="shared" si="3"/>
        <v>2021</v>
      </c>
      <c r="O43" s="20">
        <f>'Exhibit N,3'!W43</f>
        <v>3874783.1419683546</v>
      </c>
      <c r="P43" s="20">
        <f t="shared" si="0"/>
        <v>-395489.09490303416</v>
      </c>
    </row>
    <row r="44" spans="1:16">
      <c r="A44" s="6">
        <f t="shared" si="1"/>
        <v>2022</v>
      </c>
      <c r="C44" s="494">
        <f>'Exhibit N,3'!I44/(1-'Exhibit N,3'!E44)</f>
        <v>0</v>
      </c>
      <c r="D44" s="187"/>
      <c r="E44" s="494">
        <f>'Exhibit N,2'!I44/(1-'Exhibit N,2'!E44)</f>
        <v>0</v>
      </c>
      <c r="F44" s="187"/>
      <c r="G44" s="494">
        <f>'Exhibit N,3'!K44</f>
        <v>5594735.4000467928</v>
      </c>
      <c r="H44" s="187"/>
      <c r="I44" s="494">
        <f>'Exhibit N,2'!K44</f>
        <v>5518665.3911422743</v>
      </c>
      <c r="J44" s="187"/>
      <c r="K44" s="187">
        <f t="shared" si="7"/>
        <v>3977294.4919970254</v>
      </c>
      <c r="L44" s="17">
        <f>'Exhibit K,1'!Y71</f>
        <v>-1541370.8991452488</v>
      </c>
      <c r="M44" s="187">
        <f>K44-'Exhibit N,2'!I44</f>
        <v>3977294.4919970254</v>
      </c>
      <c r="N44" s="25">
        <f t="shared" si="3"/>
        <v>2022</v>
      </c>
      <c r="O44" s="20">
        <f>'Exhibit N,3'!W44</f>
        <v>0</v>
      </c>
      <c r="P44" s="20"/>
    </row>
    <row r="45" spans="1:16">
      <c r="C45" s="105"/>
      <c r="E45" s="105"/>
      <c r="G45" s="105"/>
      <c r="I45" s="105"/>
      <c r="K45" s="105"/>
      <c r="N45" s="61"/>
      <c r="O45" s="105"/>
      <c r="P45" s="105"/>
    </row>
    <row r="46" spans="1:16">
      <c r="A46" s="6" t="s">
        <v>0</v>
      </c>
      <c r="C46" s="26">
        <f>SUM(C16:C45)</f>
        <v>250707296.98516679</v>
      </c>
      <c r="E46" s="26">
        <f>SUM(E16:E45)</f>
        <v>255847918.02057296</v>
      </c>
      <c r="F46" s="26"/>
      <c r="G46" s="26">
        <f>SUM(G16:G45)</f>
        <v>261018496.16820136</v>
      </c>
      <c r="H46" s="26"/>
      <c r="I46" s="26">
        <f>SUM(I16:I45)</f>
        <v>264720604.39509451</v>
      </c>
      <c r="J46" s="26" t="s">
        <v>743</v>
      </c>
      <c r="K46" s="26">
        <f>SUM(K16:K45)</f>
        <v>263515244.91983652</v>
      </c>
      <c r="N46" s="61"/>
      <c r="O46" s="26">
        <f>SUM(O16:O45)</f>
        <v>260931741.51056373</v>
      </c>
      <c r="P46" s="26">
        <f>SUM(P16:P45)</f>
        <v>-1393791.0827242597</v>
      </c>
    </row>
    <row r="47" spans="1:16">
      <c r="N47" s="61"/>
    </row>
    <row r="48" spans="1:16">
      <c r="A48" s="2" t="str">
        <f>_xlfn.CONCAT(A29,"-",A44)</f>
        <v>2007-2022</v>
      </c>
      <c r="C48" s="26">
        <f>SUM(C29:C44)</f>
        <v>76459418.175166816</v>
      </c>
      <c r="E48" s="26">
        <f t="shared" ref="E48:K48" si="8">SUM(E29:E44)</f>
        <v>81600039.210572988</v>
      </c>
      <c r="F48" s="26"/>
      <c r="G48" s="26">
        <f t="shared" si="8"/>
        <v>86770617.358201399</v>
      </c>
      <c r="H48" s="26"/>
      <c r="I48" s="26">
        <f t="shared" si="8"/>
        <v>90472725.585094571</v>
      </c>
      <c r="J48" s="26"/>
      <c r="K48" s="26">
        <f t="shared" si="8"/>
        <v>89267366.109836519</v>
      </c>
      <c r="N48" s="61"/>
      <c r="O48" s="61"/>
      <c r="P48" s="61"/>
    </row>
    <row r="50" spans="1:11">
      <c r="K50" s="22"/>
    </row>
    <row r="52" spans="1:11">
      <c r="A52" s="6" t="s">
        <v>50</v>
      </c>
      <c r="B52" s="3" t="s">
        <v>188</v>
      </c>
    </row>
    <row r="53" spans="1:11">
      <c r="B53" s="3" t="s">
        <v>189</v>
      </c>
    </row>
    <row r="54" spans="1:11">
      <c r="B54" s="3" t="s">
        <v>190</v>
      </c>
    </row>
    <row r="55" spans="1:11">
      <c r="B55" s="3" t="s">
        <v>191</v>
      </c>
    </row>
  </sheetData>
  <phoneticPr fontId="8" type="noConversion"/>
  <printOptions horizontalCentered="1"/>
  <pageMargins left="0.7" right="0.7" top="0.75" bottom="0.75" header="0.3" footer="0.3"/>
  <pageSetup scale="76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0">
    <pageSetUpPr fitToPage="1"/>
  </sheetPr>
  <dimension ref="A1:AK57"/>
  <sheetViews>
    <sheetView topLeftCell="A22" zoomScaleNormal="100" workbookViewId="0">
      <selection activeCell="M40" sqref="M40"/>
    </sheetView>
  </sheetViews>
  <sheetFormatPr baseColWidth="10" defaultColWidth="8.7109375" defaultRowHeight="15"/>
  <cols>
    <col min="1" max="1" width="9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2.7109375" style="1" customWidth="1"/>
    <col min="12" max="16384" width="8.7109375" style="1"/>
  </cols>
  <sheetData>
    <row r="1" spans="1:11">
      <c r="K1" s="52" t="s">
        <v>75</v>
      </c>
    </row>
    <row r="2" spans="1:11">
      <c r="K2" s="52" t="s">
        <v>45</v>
      </c>
    </row>
    <row r="4" spans="1:11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>
      <c r="A5" s="5"/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1">
      <c r="A7" s="5" t="s">
        <v>68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11">
      <c r="A8" s="5" t="s">
        <v>201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11">
      <c r="B9" s="5"/>
      <c r="C9" s="5"/>
      <c r="D9" s="5"/>
      <c r="E9" s="5"/>
      <c r="F9" s="6"/>
      <c r="G9" s="5"/>
      <c r="H9" s="5"/>
      <c r="I9" s="5"/>
      <c r="J9" s="5"/>
      <c r="K9" s="5"/>
    </row>
    <row r="11" spans="1:11">
      <c r="C11" s="6"/>
      <c r="D11" s="6"/>
      <c r="E11" s="6" t="s">
        <v>7</v>
      </c>
      <c r="F11" s="6"/>
      <c r="G11" s="6" t="s">
        <v>7</v>
      </c>
      <c r="H11" s="6"/>
      <c r="I11" s="6" t="s">
        <v>64</v>
      </c>
      <c r="J11" s="6"/>
      <c r="K11" s="6"/>
    </row>
    <row r="12" spans="1:11">
      <c r="A12" s="6" t="s">
        <v>3</v>
      </c>
      <c r="C12" s="6" t="s">
        <v>7</v>
      </c>
      <c r="D12" s="6"/>
      <c r="E12" s="6" t="s">
        <v>62</v>
      </c>
      <c r="F12" s="6"/>
      <c r="G12" s="6" t="s">
        <v>69</v>
      </c>
      <c r="H12" s="6"/>
      <c r="I12" s="6" t="s">
        <v>12</v>
      </c>
      <c r="J12" s="6"/>
      <c r="K12" s="6" t="s">
        <v>67</v>
      </c>
    </row>
    <row r="13" spans="1:11">
      <c r="A13" s="6" t="s">
        <v>4</v>
      </c>
      <c r="C13" s="6" t="s">
        <v>55</v>
      </c>
      <c r="D13" s="6"/>
      <c r="E13" s="6" t="s">
        <v>69</v>
      </c>
      <c r="F13" s="6"/>
      <c r="G13" s="6" t="s">
        <v>55</v>
      </c>
      <c r="H13" s="6"/>
      <c r="I13" s="6" t="s">
        <v>55</v>
      </c>
      <c r="J13" s="6"/>
      <c r="K13" s="6" t="s">
        <v>55</v>
      </c>
    </row>
    <row r="14" spans="1:11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</row>
    <row r="15" spans="1:11">
      <c r="A15" s="6"/>
    </row>
    <row r="16" spans="1:11">
      <c r="A16" s="6">
        <v>1994</v>
      </c>
      <c r="C16" s="147">
        <f>'Exhibit P,1'!K16</f>
        <v>9595627.2933820542</v>
      </c>
      <c r="E16" s="74">
        <v>0</v>
      </c>
      <c r="G16" s="147">
        <v>0</v>
      </c>
      <c r="H16" s="147"/>
      <c r="I16" s="147">
        <f>'Exhibit N,3'!S16</f>
        <v>9014361.5099999998</v>
      </c>
      <c r="J16" s="147"/>
      <c r="K16" s="147">
        <f>G16+I16</f>
        <v>9014361.5099999998</v>
      </c>
    </row>
    <row r="17" spans="1:37">
      <c r="A17" s="6">
        <f>A16+1</f>
        <v>1995</v>
      </c>
      <c r="C17" s="187">
        <f>'Exhibit P,1'!K17</f>
        <v>25164874.177936539</v>
      </c>
      <c r="E17" s="74">
        <v>0</v>
      </c>
      <c r="G17" s="187">
        <f>C17*E17</f>
        <v>0</v>
      </c>
      <c r="H17" s="187"/>
      <c r="I17" s="17">
        <f>'Exhibit N,3'!S17</f>
        <v>25158701.43</v>
      </c>
      <c r="J17" s="187"/>
      <c r="K17" s="187">
        <f>G17+I17</f>
        <v>25158701.43</v>
      </c>
    </row>
    <row r="18" spans="1:37">
      <c r="A18" s="6">
        <f t="shared" ref="A18:A44" si="0">A17+1</f>
        <v>1996</v>
      </c>
      <c r="C18" s="187">
        <f>'Exhibit P,1'!K18</f>
        <v>15566347.195112446</v>
      </c>
      <c r="E18" s="74">
        <v>0</v>
      </c>
      <c r="G18" s="187">
        <f t="shared" ref="G18:G44" si="1">C18*E18</f>
        <v>0</v>
      </c>
      <c r="H18" s="187"/>
      <c r="I18" s="17">
        <f>'Exhibit N,3'!S18</f>
        <v>16457011</v>
      </c>
      <c r="J18" s="187"/>
      <c r="K18" s="187">
        <f t="shared" ref="K18:K44" si="2">G18+I18</f>
        <v>16457011</v>
      </c>
    </row>
    <row r="19" spans="1:37">
      <c r="A19" s="6">
        <f t="shared" si="0"/>
        <v>1997</v>
      </c>
      <c r="C19" s="187">
        <f>'Exhibit P,1'!K19</f>
        <v>8999019.1633830965</v>
      </c>
      <c r="E19" s="74">
        <v>0</v>
      </c>
      <c r="G19" s="187">
        <f t="shared" si="1"/>
        <v>0</v>
      </c>
      <c r="H19" s="187"/>
      <c r="I19" s="17">
        <f>'Exhibit N,3'!S19</f>
        <v>9461637.870000001</v>
      </c>
      <c r="J19" s="187"/>
      <c r="K19" s="187">
        <f t="shared" si="2"/>
        <v>9461637.870000001</v>
      </c>
    </row>
    <row r="20" spans="1:37">
      <c r="A20" s="6">
        <f t="shared" si="0"/>
        <v>1998</v>
      </c>
      <c r="C20" s="187">
        <f>'Exhibit P,1'!K20</f>
        <v>21690812.194247089</v>
      </c>
      <c r="E20" s="74">
        <v>0</v>
      </c>
      <c r="G20" s="187">
        <f t="shared" si="1"/>
        <v>0</v>
      </c>
      <c r="H20" s="187"/>
      <c r="I20" s="17">
        <f>'Exhibit N,3'!S20</f>
        <v>24800000</v>
      </c>
      <c r="J20" s="187"/>
      <c r="K20" s="187">
        <f t="shared" si="2"/>
        <v>24800000</v>
      </c>
    </row>
    <row r="21" spans="1:37">
      <c r="A21" s="6">
        <f t="shared" si="0"/>
        <v>1999</v>
      </c>
      <c r="C21" s="187">
        <f>'Exhibit P,1'!K21</f>
        <v>13949899.616478045</v>
      </c>
      <c r="E21" s="74">
        <v>0</v>
      </c>
      <c r="G21" s="187">
        <f t="shared" si="1"/>
        <v>0</v>
      </c>
      <c r="H21" s="187"/>
      <c r="I21" s="17">
        <f>'Exhibit N,3'!S21</f>
        <v>18284000</v>
      </c>
      <c r="J21" s="187"/>
      <c r="K21" s="187">
        <f t="shared" si="2"/>
        <v>18284000</v>
      </c>
      <c r="AF21" s="25"/>
      <c r="AG21" s="25" t="s">
        <v>1470</v>
      </c>
      <c r="AH21" s="25" t="s">
        <v>1471</v>
      </c>
      <c r="AI21" s="25" t="s">
        <v>1465</v>
      </c>
      <c r="AJ21" s="25"/>
      <c r="AK21" s="25"/>
    </row>
    <row r="22" spans="1:37">
      <c r="A22" s="6">
        <f t="shared" si="0"/>
        <v>2000</v>
      </c>
      <c r="C22" s="187">
        <f>'Exhibit P,1'!K22</f>
        <v>15449355.62600363</v>
      </c>
      <c r="E22" s="74">
        <v>0</v>
      </c>
      <c r="G22" s="187">
        <f t="shared" si="1"/>
        <v>0</v>
      </c>
      <c r="H22" s="187"/>
      <c r="I22" s="17">
        <f>'Exhibit N,3'!S22</f>
        <v>16115000</v>
      </c>
      <c r="J22" s="187"/>
      <c r="K22" s="187">
        <f t="shared" si="2"/>
        <v>16115000</v>
      </c>
      <c r="AG22" s="25" t="s">
        <v>1463</v>
      </c>
      <c r="AH22" s="25" t="s">
        <v>1066</v>
      </c>
      <c r="AI22" s="25" t="s">
        <v>1466</v>
      </c>
      <c r="AJ22" s="25" t="s">
        <v>86</v>
      </c>
      <c r="AK22" s="25" t="s">
        <v>1</v>
      </c>
    </row>
    <row r="23" spans="1:37">
      <c r="A23" s="6">
        <f t="shared" si="0"/>
        <v>2001</v>
      </c>
      <c r="C23" s="187">
        <f>'Exhibit P,1'!K23</f>
        <v>13416063.863790369</v>
      </c>
      <c r="E23" s="74">
        <v>0</v>
      </c>
      <c r="G23" s="187">
        <f t="shared" si="1"/>
        <v>0</v>
      </c>
      <c r="H23" s="187"/>
      <c r="I23" s="17">
        <f>'Exhibit N,3'!S23</f>
        <v>12067167</v>
      </c>
      <c r="J23" s="187"/>
      <c r="K23" s="187">
        <f t="shared" si="2"/>
        <v>12067167</v>
      </c>
      <c r="AG23" s="25" t="s">
        <v>5</v>
      </c>
      <c r="AH23" s="25" t="s">
        <v>5</v>
      </c>
      <c r="AI23" s="25" t="s">
        <v>1464</v>
      </c>
      <c r="AJ23" s="25" t="s">
        <v>5</v>
      </c>
      <c r="AK23" s="25" t="s">
        <v>5</v>
      </c>
    </row>
    <row r="24" spans="1:37">
      <c r="A24" s="6">
        <f t="shared" si="0"/>
        <v>2002</v>
      </c>
      <c r="C24" s="187">
        <f>'Exhibit P,1'!K24</f>
        <v>10940390.926219525</v>
      </c>
      <c r="E24" s="74">
        <v>0</v>
      </c>
      <c r="G24" s="187">
        <f t="shared" si="1"/>
        <v>0</v>
      </c>
      <c r="H24" s="187"/>
      <c r="I24" s="17">
        <f>'Exhibit N,3'!S24</f>
        <v>12700000</v>
      </c>
      <c r="J24" s="187"/>
      <c r="K24" s="187">
        <f t="shared" si="2"/>
        <v>12700000</v>
      </c>
      <c r="AF24" s="421" t="s">
        <v>4</v>
      </c>
      <c r="AG24" s="230" t="s">
        <v>1469</v>
      </c>
      <c r="AH24" s="230" t="s">
        <v>1469</v>
      </c>
      <c r="AI24" s="25" t="s">
        <v>10</v>
      </c>
      <c r="AJ24" s="230" t="s">
        <v>1469</v>
      </c>
      <c r="AK24" s="230" t="s">
        <v>1469</v>
      </c>
    </row>
    <row r="25" spans="1:37">
      <c r="A25" s="6">
        <f t="shared" si="0"/>
        <v>2003</v>
      </c>
      <c r="C25" s="187">
        <f>'Exhibit P,1'!K25</f>
        <v>13209223.419041304</v>
      </c>
      <c r="E25" s="74">
        <v>0</v>
      </c>
      <c r="G25" s="187">
        <f t="shared" si="1"/>
        <v>0</v>
      </c>
      <c r="H25" s="187"/>
      <c r="I25" s="17">
        <f>'Exhibit N,3'!S25</f>
        <v>15540000</v>
      </c>
      <c r="J25" s="187"/>
      <c r="K25" s="187">
        <f t="shared" si="2"/>
        <v>15540000</v>
      </c>
      <c r="AF25" s="48"/>
      <c r="AG25" s="153"/>
      <c r="AH25" s="153"/>
      <c r="AI25" s="422"/>
      <c r="AJ25" s="48"/>
      <c r="AK25" s="172"/>
    </row>
    <row r="26" spans="1:37">
      <c r="A26" s="6">
        <f t="shared" si="0"/>
        <v>2004</v>
      </c>
      <c r="C26" s="187">
        <f>'Exhibit P,1'!K26</f>
        <v>5742904.2581685977</v>
      </c>
      <c r="E26" s="74">
        <v>0</v>
      </c>
      <c r="G26" s="187">
        <f t="shared" si="1"/>
        <v>0</v>
      </c>
      <c r="H26" s="187"/>
      <c r="I26" s="17">
        <f>'Exhibit N,3'!S26</f>
        <v>5025000</v>
      </c>
      <c r="J26" s="187"/>
      <c r="K26" s="187">
        <f t="shared" si="2"/>
        <v>5025000</v>
      </c>
      <c r="AF26" s="48"/>
      <c r="AG26" s="153"/>
      <c r="AH26" s="153"/>
      <c r="AI26" s="422"/>
      <c r="AJ26" s="48"/>
      <c r="AK26" s="172"/>
    </row>
    <row r="27" spans="1:37">
      <c r="A27" s="6">
        <f t="shared" si="0"/>
        <v>2005</v>
      </c>
      <c r="C27" s="187">
        <f>'Exhibit P,1'!K27</f>
        <v>4044543.7517376728</v>
      </c>
      <c r="E27" s="74">
        <v>0</v>
      </c>
      <c r="G27" s="187">
        <f t="shared" si="1"/>
        <v>0</v>
      </c>
      <c r="H27" s="187"/>
      <c r="I27" s="17">
        <f>'Exhibit N,3'!S27</f>
        <v>4275000</v>
      </c>
      <c r="J27" s="187"/>
      <c r="K27" s="187">
        <f t="shared" si="2"/>
        <v>4275000</v>
      </c>
      <c r="AF27" s="48"/>
      <c r="AG27" s="153"/>
      <c r="AH27" s="153"/>
      <c r="AI27" s="422"/>
      <c r="AJ27" s="48"/>
      <c r="AK27" s="172"/>
    </row>
    <row r="28" spans="1:37">
      <c r="A28" s="6">
        <f t="shared" si="0"/>
        <v>2006</v>
      </c>
      <c r="C28" s="187">
        <f>'Exhibit P,1'!K28</f>
        <v>5483646.8810940403</v>
      </c>
      <c r="E28" s="74">
        <v>0</v>
      </c>
      <c r="G28" s="187">
        <f t="shared" si="1"/>
        <v>0</v>
      </c>
      <c r="H28" s="187"/>
      <c r="I28" s="17">
        <f>'Exhibit N,3'!S28</f>
        <v>5350000</v>
      </c>
      <c r="J28" s="187"/>
      <c r="K28" s="187">
        <f t="shared" si="2"/>
        <v>5350000</v>
      </c>
      <c r="AF28" s="423">
        <f t="shared" ref="AF28:AF43" si="3">A28</f>
        <v>2006</v>
      </c>
      <c r="AG28" s="153">
        <f t="shared" ref="AG28:AG43" si="4">E28</f>
        <v>0</v>
      </c>
      <c r="AH28" s="153">
        <f>'Exhibit O,2'!E28</f>
        <v>0</v>
      </c>
      <c r="AI28" s="422">
        <v>0.5</v>
      </c>
      <c r="AJ28" s="424">
        <f>(AG28*AI28+AH28)/(1+AI28)</f>
        <v>0</v>
      </c>
      <c r="AK28" s="72">
        <f>AJ28</f>
        <v>0</v>
      </c>
    </row>
    <row r="29" spans="1:37">
      <c r="A29" s="6">
        <f t="shared" si="0"/>
        <v>2007</v>
      </c>
      <c r="C29" s="187">
        <f>'Exhibit P,1'!K29</f>
        <v>3944133.0532623981</v>
      </c>
      <c r="E29" s="74">
        <v>0</v>
      </c>
      <c r="G29" s="187">
        <f t="shared" si="1"/>
        <v>0</v>
      </c>
      <c r="H29" s="187"/>
      <c r="I29" s="17">
        <f>'Exhibit N,3'!S29</f>
        <v>4345000</v>
      </c>
      <c r="J29" s="187"/>
      <c r="K29" s="187">
        <f t="shared" si="2"/>
        <v>4345000</v>
      </c>
      <c r="AF29" s="423">
        <f t="shared" si="3"/>
        <v>2007</v>
      </c>
      <c r="AG29" s="153">
        <f t="shared" si="4"/>
        <v>0</v>
      </c>
      <c r="AH29" s="153">
        <f>'Exhibit O,2'!E29</f>
        <v>0</v>
      </c>
      <c r="AI29" s="422">
        <v>0.5</v>
      </c>
      <c r="AJ29" s="424">
        <f t="shared" ref="AJ29:AJ44" si="5">(AG29*AI29+AH29)/(1+AI29)</f>
        <v>0</v>
      </c>
      <c r="AK29" s="72">
        <f t="shared" ref="AK29:AK44" si="6">AJ29</f>
        <v>0</v>
      </c>
    </row>
    <row r="30" spans="1:37">
      <c r="A30" s="6">
        <f t="shared" si="0"/>
        <v>2008</v>
      </c>
      <c r="C30" s="187">
        <f>'Exhibit P,1'!K30</f>
        <v>5263716.1085599745</v>
      </c>
      <c r="E30" s="74">
        <v>0</v>
      </c>
      <c r="G30" s="187">
        <f t="shared" si="1"/>
        <v>0</v>
      </c>
      <c r="H30" s="187"/>
      <c r="I30" s="17">
        <f>'Exhibit N,3'!S30</f>
        <v>5515000</v>
      </c>
      <c r="J30" s="187"/>
      <c r="K30" s="187">
        <f t="shared" si="2"/>
        <v>5515000</v>
      </c>
      <c r="AF30" s="423">
        <f t="shared" si="3"/>
        <v>2008</v>
      </c>
      <c r="AG30" s="153">
        <f t="shared" si="4"/>
        <v>0</v>
      </c>
      <c r="AH30" s="153">
        <f>'Exhibit O,2'!E30</f>
        <v>0</v>
      </c>
      <c r="AI30" s="422">
        <v>0.5</v>
      </c>
      <c r="AJ30" s="424">
        <f t="shared" si="5"/>
        <v>0</v>
      </c>
      <c r="AK30" s="72">
        <f t="shared" si="6"/>
        <v>0</v>
      </c>
    </row>
    <row r="31" spans="1:37">
      <c r="A31" s="6">
        <f t="shared" si="0"/>
        <v>2009</v>
      </c>
      <c r="C31" s="187">
        <f>'Exhibit P,1'!K31</f>
        <v>7085298.9285736615</v>
      </c>
      <c r="E31" s="74">
        <v>0</v>
      </c>
      <c r="G31" s="187">
        <f t="shared" si="1"/>
        <v>0</v>
      </c>
      <c r="H31" s="187"/>
      <c r="I31" s="17">
        <f>'Exhibit N,3'!S31</f>
        <v>6335000</v>
      </c>
      <c r="J31" s="187"/>
      <c r="K31" s="187">
        <f t="shared" si="2"/>
        <v>6335000</v>
      </c>
      <c r="AF31" s="423">
        <f t="shared" si="3"/>
        <v>2009</v>
      </c>
      <c r="AG31" s="153">
        <f t="shared" si="4"/>
        <v>0</v>
      </c>
      <c r="AH31" s="153">
        <f>'Exhibit O,2'!E31</f>
        <v>0</v>
      </c>
      <c r="AI31" s="422">
        <v>0.5</v>
      </c>
      <c r="AJ31" s="424">
        <f t="shared" si="5"/>
        <v>0</v>
      </c>
      <c r="AK31" s="72">
        <f t="shared" si="6"/>
        <v>0</v>
      </c>
    </row>
    <row r="32" spans="1:37">
      <c r="A32" s="6">
        <f t="shared" si="0"/>
        <v>2010</v>
      </c>
      <c r="C32" s="187">
        <f>'Exhibit P,1'!K32</f>
        <v>7236055.1400389569</v>
      </c>
      <c r="E32" s="74">
        <f>1-'Exhibit Q,5'!I23</f>
        <v>0</v>
      </c>
      <c r="G32" s="187">
        <f t="shared" si="1"/>
        <v>0</v>
      </c>
      <c r="H32" s="187"/>
      <c r="I32" s="17">
        <f>'Exhibit N,3'!S32</f>
        <v>8462500</v>
      </c>
      <c r="J32" s="187"/>
      <c r="K32" s="187">
        <f t="shared" si="2"/>
        <v>8462500</v>
      </c>
      <c r="AF32" s="423">
        <f t="shared" si="3"/>
        <v>2010</v>
      </c>
      <c r="AG32" s="153">
        <f t="shared" si="4"/>
        <v>0</v>
      </c>
      <c r="AH32" s="153">
        <f>'Exhibit O,2'!E32</f>
        <v>0</v>
      </c>
      <c r="AI32" s="422">
        <v>0.5</v>
      </c>
      <c r="AJ32" s="424">
        <f t="shared" si="5"/>
        <v>0</v>
      </c>
      <c r="AK32" s="72">
        <f t="shared" si="6"/>
        <v>0</v>
      </c>
    </row>
    <row r="33" spans="1:37">
      <c r="A33" s="6">
        <f t="shared" si="0"/>
        <v>2011</v>
      </c>
      <c r="C33" s="187">
        <f>'Exhibit P,1'!K33</f>
        <v>10158566.955812292</v>
      </c>
      <c r="E33" s="74">
        <f>1-'Exhibit Q,5'!I24</f>
        <v>0</v>
      </c>
      <c r="G33" s="187">
        <f t="shared" si="1"/>
        <v>0</v>
      </c>
      <c r="H33" s="187"/>
      <c r="I33" s="17">
        <f>'Exhibit N,3'!S33</f>
        <v>7214500</v>
      </c>
      <c r="J33" s="187"/>
      <c r="K33" s="187">
        <f t="shared" si="2"/>
        <v>7214500</v>
      </c>
      <c r="AF33" s="423">
        <f t="shared" si="3"/>
        <v>2011</v>
      </c>
      <c r="AG33" s="153">
        <f t="shared" si="4"/>
        <v>0</v>
      </c>
      <c r="AH33" s="153">
        <f>'Exhibit O,2'!E33</f>
        <v>0</v>
      </c>
      <c r="AI33" s="422">
        <v>0.5</v>
      </c>
      <c r="AJ33" s="424">
        <f t="shared" si="5"/>
        <v>0</v>
      </c>
      <c r="AK33" s="72">
        <f t="shared" si="6"/>
        <v>0</v>
      </c>
    </row>
    <row r="34" spans="1:37">
      <c r="A34" s="6">
        <f t="shared" si="0"/>
        <v>2012</v>
      </c>
      <c r="C34" s="187">
        <f>'Exhibit P,1'!K34</f>
        <v>9640740.0225435831</v>
      </c>
      <c r="E34" s="74">
        <f>1-'Exhibit Q,5'!I25</f>
        <v>0</v>
      </c>
      <c r="G34" s="187">
        <f t="shared" si="1"/>
        <v>0</v>
      </c>
      <c r="H34" s="187"/>
      <c r="I34" s="17">
        <f>'Exhibit N,3'!S34</f>
        <v>9894999.6699999999</v>
      </c>
      <c r="J34" s="187"/>
      <c r="K34" s="187">
        <f t="shared" si="2"/>
        <v>9894999.6699999999</v>
      </c>
      <c r="AF34" s="423">
        <f t="shared" si="3"/>
        <v>2012</v>
      </c>
      <c r="AG34" s="153">
        <f t="shared" si="4"/>
        <v>0</v>
      </c>
      <c r="AH34" s="153">
        <f>'Exhibit O,2'!E34</f>
        <v>0</v>
      </c>
      <c r="AI34" s="422">
        <v>0.5</v>
      </c>
      <c r="AJ34" s="424">
        <f t="shared" si="5"/>
        <v>0</v>
      </c>
      <c r="AK34" s="72">
        <f t="shared" si="6"/>
        <v>0</v>
      </c>
    </row>
    <row r="35" spans="1:37">
      <c r="A35" s="6">
        <f t="shared" si="0"/>
        <v>2013</v>
      </c>
      <c r="C35" s="187">
        <f>'Exhibit P,1'!K35</f>
        <v>10934309.330236336</v>
      </c>
      <c r="E35" s="74">
        <f>1-'Exhibit Q,5'!I26</f>
        <v>0</v>
      </c>
      <c r="G35" s="187">
        <f t="shared" si="1"/>
        <v>0</v>
      </c>
      <c r="H35" s="187"/>
      <c r="I35" s="17">
        <f>'Exhibit N,3'!S35</f>
        <v>9340000</v>
      </c>
      <c r="J35" s="187"/>
      <c r="K35" s="187">
        <f t="shared" si="2"/>
        <v>9340000</v>
      </c>
      <c r="AF35" s="423">
        <f t="shared" si="3"/>
        <v>2013</v>
      </c>
      <c r="AG35" s="153">
        <f t="shared" si="4"/>
        <v>0</v>
      </c>
      <c r="AH35" s="153">
        <f>'Exhibit O,2'!E35</f>
        <v>0</v>
      </c>
      <c r="AI35" s="422">
        <v>0.5</v>
      </c>
      <c r="AJ35" s="424">
        <f t="shared" si="5"/>
        <v>0</v>
      </c>
      <c r="AK35" s="72">
        <f t="shared" si="6"/>
        <v>0</v>
      </c>
    </row>
    <row r="36" spans="1:37">
      <c r="A36" s="6">
        <f t="shared" si="0"/>
        <v>2014</v>
      </c>
      <c r="C36" s="187">
        <f>'Exhibit P,1'!K36</f>
        <v>3762106.2295200028</v>
      </c>
      <c r="E36" s="74">
        <f>1-'Exhibit Q,5'!I27</f>
        <v>0</v>
      </c>
      <c r="G36" s="187">
        <f t="shared" si="1"/>
        <v>0</v>
      </c>
      <c r="H36" s="187"/>
      <c r="I36" s="17">
        <f>'Exhibit N,3'!S36</f>
        <v>3935000</v>
      </c>
      <c r="J36" s="187"/>
      <c r="K36" s="187">
        <f t="shared" si="2"/>
        <v>3935000</v>
      </c>
      <c r="AF36" s="423">
        <f t="shared" si="3"/>
        <v>2014</v>
      </c>
      <c r="AG36" s="153">
        <f t="shared" si="4"/>
        <v>0</v>
      </c>
      <c r="AH36" s="153">
        <f>'Exhibit O,2'!E36</f>
        <v>0</v>
      </c>
      <c r="AI36" s="422">
        <v>0.5</v>
      </c>
      <c r="AJ36" s="424">
        <f t="shared" si="5"/>
        <v>0</v>
      </c>
      <c r="AK36" s="72">
        <f t="shared" si="6"/>
        <v>0</v>
      </c>
    </row>
    <row r="37" spans="1:37">
      <c r="A37" s="6">
        <f t="shared" si="0"/>
        <v>2015</v>
      </c>
      <c r="C37" s="187">
        <f>'Exhibit P,1'!K37</f>
        <v>5996420.005929647</v>
      </c>
      <c r="E37" s="74">
        <f>1-'Exhibit Q,5'!I28</f>
        <v>0</v>
      </c>
      <c r="G37" s="187">
        <f t="shared" si="1"/>
        <v>0</v>
      </c>
      <c r="H37" s="187"/>
      <c r="I37" s="17">
        <f>'Exhibit N,3'!S37</f>
        <v>7425000</v>
      </c>
      <c r="J37" s="187"/>
      <c r="K37" s="187">
        <f t="shared" si="2"/>
        <v>7425000</v>
      </c>
      <c r="AF37" s="423">
        <f t="shared" si="3"/>
        <v>2015</v>
      </c>
      <c r="AG37" s="153">
        <f t="shared" si="4"/>
        <v>0</v>
      </c>
      <c r="AH37" s="153">
        <f>'Exhibit O,2'!E37</f>
        <v>2.2689768976897895E-3</v>
      </c>
      <c r="AI37" s="422">
        <v>0.5</v>
      </c>
      <c r="AJ37" s="424">
        <f t="shared" si="5"/>
        <v>1.5126512651265263E-3</v>
      </c>
      <c r="AK37" s="72">
        <f t="shared" si="6"/>
        <v>1.5126512651265263E-3</v>
      </c>
    </row>
    <row r="38" spans="1:37">
      <c r="A38" s="6">
        <f t="shared" si="0"/>
        <v>2016</v>
      </c>
      <c r="C38" s="187">
        <f>'Exhibit P,1'!K38</f>
        <v>4909277.5027443077</v>
      </c>
      <c r="E38" s="74">
        <f>1-'Exhibit Q,5'!I29</f>
        <v>6.6747572815534228E-3</v>
      </c>
      <c r="G38" s="187">
        <f t="shared" si="1"/>
        <v>32768.235758608971</v>
      </c>
      <c r="H38" s="187"/>
      <c r="I38" s="17">
        <f>'Exhibit N,3'!S38</f>
        <v>3900000</v>
      </c>
      <c r="J38" s="187"/>
      <c r="K38" s="187">
        <f t="shared" si="2"/>
        <v>3932768.2357586091</v>
      </c>
      <c r="AF38" s="423">
        <f t="shared" si="3"/>
        <v>2016</v>
      </c>
      <c r="AG38" s="153">
        <f t="shared" si="4"/>
        <v>6.6747572815534228E-3</v>
      </c>
      <c r="AH38" s="153">
        <f>'Exhibit O,2'!E38</f>
        <v>1.3074961625956005E-2</v>
      </c>
      <c r="AI38" s="422">
        <v>0.5</v>
      </c>
      <c r="AJ38" s="424">
        <f t="shared" si="5"/>
        <v>1.0941560177821811E-2</v>
      </c>
      <c r="AK38" s="72">
        <f t="shared" si="6"/>
        <v>1.0941560177821811E-2</v>
      </c>
    </row>
    <row r="39" spans="1:37">
      <c r="A39" s="6">
        <f t="shared" si="0"/>
        <v>2017</v>
      </c>
      <c r="C39" s="187">
        <f>'Exhibit P,1'!K39</f>
        <v>5660812.3160411045</v>
      </c>
      <c r="E39" s="74">
        <f>1-'Exhibit Q,5'!I30</f>
        <v>7.8650112023898489E-2</v>
      </c>
      <c r="G39" s="187">
        <f t="shared" si="1"/>
        <v>445223.52280289715</v>
      </c>
      <c r="H39" s="187"/>
      <c r="I39" s="17">
        <f>'Exhibit N,3'!S39</f>
        <v>925000</v>
      </c>
      <c r="J39" s="187"/>
      <c r="K39" s="187">
        <f t="shared" si="2"/>
        <v>1370223.5228028973</v>
      </c>
      <c r="M39" s="22">
        <f>I39+'Exhibit O,2'!I39</f>
        <v>6912304.1399999987</v>
      </c>
      <c r="AF39" s="423">
        <f t="shared" si="3"/>
        <v>2017</v>
      </c>
      <c r="AG39" s="153">
        <f t="shared" si="4"/>
        <v>7.8650112023898489E-2</v>
      </c>
      <c r="AH39" s="153">
        <f>'Exhibit O,2'!E39</f>
        <v>3.3997880160151261E-2</v>
      </c>
      <c r="AI39" s="433">
        <v>0.5</v>
      </c>
      <c r="AJ39" s="424">
        <f t="shared" si="5"/>
        <v>4.8881957448067004E-2</v>
      </c>
      <c r="AK39" s="72">
        <f t="shared" si="6"/>
        <v>4.8881957448067004E-2</v>
      </c>
    </row>
    <row r="40" spans="1:37">
      <c r="A40" s="6">
        <f t="shared" si="0"/>
        <v>2018</v>
      </c>
      <c r="C40" s="187">
        <f>'Exhibit P,1'!K40</f>
        <v>5646930.0513870111</v>
      </c>
      <c r="E40" s="74">
        <f>1-'Exhibit Q,5'!I31</f>
        <v>0.2922858025804127</v>
      </c>
      <c r="G40" s="187">
        <f t="shared" si="1"/>
        <v>1650517.4821851037</v>
      </c>
      <c r="H40" s="187"/>
      <c r="I40" s="17">
        <f>'Exhibit N,3'!S40</f>
        <v>4810000</v>
      </c>
      <c r="J40" s="187"/>
      <c r="K40" s="187">
        <f t="shared" si="2"/>
        <v>6460517.4821851039</v>
      </c>
      <c r="AF40" s="423">
        <f t="shared" si="3"/>
        <v>2018</v>
      </c>
      <c r="AG40" s="153">
        <f t="shared" si="4"/>
        <v>0.2922858025804127</v>
      </c>
      <c r="AH40" s="153">
        <f>'Exhibit O,2'!E40</f>
        <v>7.5589513530834651E-2</v>
      </c>
      <c r="AI40" s="422">
        <v>0.5</v>
      </c>
      <c r="AJ40" s="424">
        <f t="shared" si="5"/>
        <v>0.14782160988069401</v>
      </c>
      <c r="AK40" s="72">
        <f t="shared" si="6"/>
        <v>0.14782160988069401</v>
      </c>
    </row>
    <row r="41" spans="1:37">
      <c r="A41" s="6">
        <f t="shared" si="0"/>
        <v>2019</v>
      </c>
      <c r="C41" s="187">
        <f>'Exhibit P,1'!K41</f>
        <v>3883809.898313968</v>
      </c>
      <c r="E41" s="74">
        <f>1-'Exhibit Q,5'!I32</f>
        <v>0.48585733272273512</v>
      </c>
      <c r="G41" s="187">
        <f t="shared" si="1"/>
        <v>1886977.5179969815</v>
      </c>
      <c r="H41" s="187"/>
      <c r="I41" s="17">
        <f>'Exhibit N,3'!S41</f>
        <v>1405000</v>
      </c>
      <c r="J41" s="187"/>
      <c r="K41" s="187">
        <f t="shared" si="2"/>
        <v>3291977.5179969817</v>
      </c>
      <c r="AF41" s="423">
        <f t="shared" si="3"/>
        <v>2019</v>
      </c>
      <c r="AG41" s="153">
        <f t="shared" si="4"/>
        <v>0.48585733272273512</v>
      </c>
      <c r="AH41" s="153">
        <f>'Exhibit O,2'!E41</f>
        <v>0.1547233943864228</v>
      </c>
      <c r="AI41" s="422">
        <v>0.5</v>
      </c>
      <c r="AJ41" s="424">
        <f t="shared" si="5"/>
        <v>0.26510137383186022</v>
      </c>
      <c r="AK41" s="72">
        <f t="shared" si="6"/>
        <v>0.26510137383186022</v>
      </c>
    </row>
    <row r="42" spans="1:37">
      <c r="A42" s="6">
        <f t="shared" si="0"/>
        <v>2020</v>
      </c>
      <c r="C42" s="187">
        <f>'Exhibit P,1'!K42</f>
        <v>3490136.491477523</v>
      </c>
      <c r="E42" s="74">
        <f>1-'Exhibit Q,5'!I33</f>
        <v>0.60951189827043162</v>
      </c>
      <c r="G42" s="187">
        <f t="shared" si="1"/>
        <v>2127279.7181433691</v>
      </c>
      <c r="H42" s="187"/>
      <c r="I42" s="17">
        <f>'Exhibit N,3'!S42</f>
        <v>1825000</v>
      </c>
      <c r="J42" s="187"/>
      <c r="K42" s="187">
        <f t="shared" si="2"/>
        <v>3952279.7181433691</v>
      </c>
      <c r="AF42" s="423">
        <f t="shared" si="3"/>
        <v>2020</v>
      </c>
      <c r="AG42" s="153">
        <f t="shared" si="4"/>
        <v>0.60951189827043162</v>
      </c>
      <c r="AH42" s="153">
        <f>'Exhibit O,2'!E42</f>
        <v>0.33736041349961432</v>
      </c>
      <c r="AI42" s="422">
        <v>0.5</v>
      </c>
      <c r="AJ42" s="424">
        <f t="shared" si="5"/>
        <v>0.4280775750898867</v>
      </c>
      <c r="AK42" s="72">
        <f t="shared" si="6"/>
        <v>0.4280775750898867</v>
      </c>
    </row>
    <row r="43" spans="1:37">
      <c r="A43" s="6">
        <f t="shared" si="0"/>
        <v>2021</v>
      </c>
      <c r="C43" s="187">
        <f>'Exhibit P,1'!K43</f>
        <v>4137064.2556534763</v>
      </c>
      <c r="E43" s="74">
        <f>1-'Exhibit Q,5'!I34</f>
        <v>0.84100556144631189</v>
      </c>
      <c r="G43" s="187">
        <f t="shared" si="1"/>
        <v>3479294.0470653204</v>
      </c>
      <c r="H43" s="187"/>
      <c r="I43" s="17">
        <f>'Exhibit N,3'!S43</f>
        <v>0</v>
      </c>
      <c r="J43" s="187"/>
      <c r="K43" s="187">
        <f t="shared" si="2"/>
        <v>3479294.0470653204</v>
      </c>
      <c r="AF43" s="423">
        <f t="shared" si="3"/>
        <v>2021</v>
      </c>
      <c r="AG43" s="153">
        <f t="shared" si="4"/>
        <v>0.84100556144631189</v>
      </c>
      <c r="AH43" s="153">
        <f>'Exhibit O,2'!E43</f>
        <v>0.63417790897398363</v>
      </c>
      <c r="AI43" s="422">
        <v>0.5</v>
      </c>
      <c r="AJ43" s="424">
        <f t="shared" si="5"/>
        <v>0.70312045979809312</v>
      </c>
      <c r="AK43" s="72">
        <f t="shared" si="6"/>
        <v>0.70312045979809312</v>
      </c>
    </row>
    <row r="44" spans="1:37">
      <c r="A44" s="6">
        <f t="shared" si="0"/>
        <v>2022</v>
      </c>
      <c r="C44" s="187">
        <f>'Exhibit P,1'!K44</f>
        <v>5600759.1791106639</v>
      </c>
      <c r="E44" s="74">
        <f>1-'Exhibit Q,5'!I35</f>
        <v>0.98534238210516578</v>
      </c>
      <c r="G44" s="187">
        <f t="shared" si="1"/>
        <v>5518665.3911422743</v>
      </c>
      <c r="H44" s="187"/>
      <c r="I44" s="17">
        <f>'Exhibit N,3'!S44</f>
        <v>0</v>
      </c>
      <c r="J44" s="187"/>
      <c r="K44" s="187">
        <f t="shared" si="2"/>
        <v>5518665.3911422743</v>
      </c>
      <c r="AF44" s="423">
        <f>A44</f>
        <v>2022</v>
      </c>
      <c r="AG44" s="153">
        <f>E44</f>
        <v>0.98534238210516578</v>
      </c>
      <c r="AH44" s="153">
        <f>'Exhibit O,2'!E44</f>
        <v>0.8668642254336284</v>
      </c>
      <c r="AI44" s="422">
        <v>0.5</v>
      </c>
      <c r="AJ44" s="424">
        <f t="shared" si="5"/>
        <v>0.90635694432414082</v>
      </c>
      <c r="AK44" s="72">
        <f t="shared" si="6"/>
        <v>0.90635694432414082</v>
      </c>
    </row>
    <row r="45" spans="1:37">
      <c r="A45" s="6"/>
      <c r="C45" s="105"/>
      <c r="G45" s="105"/>
      <c r="I45" s="105"/>
      <c r="K45" s="105"/>
    </row>
    <row r="46" spans="1:37">
      <c r="A46" s="6" t="s">
        <v>0</v>
      </c>
      <c r="C46" s="26">
        <f>SUM(C16:C44)</f>
        <v>260602843.8357994</v>
      </c>
      <c r="G46" s="26">
        <f>SUM(G16:G44)</f>
        <v>15140725.915094554</v>
      </c>
      <c r="H46" s="26"/>
      <c r="I46" s="26">
        <f>SUM(I16:I44)</f>
        <v>249579878.47999999</v>
      </c>
      <c r="J46" s="26"/>
      <c r="K46" s="26">
        <f>SUM(K16:K44)</f>
        <v>264720604.39509451</v>
      </c>
    </row>
    <row r="48" spans="1:37">
      <c r="A48" s="2" t="str">
        <f>_xlfn.CONCAT(A37,"-",A44)</f>
        <v>2015-2022</v>
      </c>
      <c r="C48" s="26">
        <f>SUM(C37:C44)</f>
        <v>39325209.700657703</v>
      </c>
      <c r="G48" s="26">
        <f>SUM(G37:G44)</f>
        <v>15140725.915094554</v>
      </c>
      <c r="H48" s="26"/>
      <c r="I48" s="26">
        <f>SUM(I37:I44)</f>
        <v>20290000</v>
      </c>
      <c r="J48" s="26"/>
      <c r="K48" s="26">
        <f>SUM(K37:K44)</f>
        <v>35430725.915094554</v>
      </c>
    </row>
    <row r="49" spans="1:11">
      <c r="A49" s="2" t="str">
        <f>_xlfn.CONCAT(A39,"-",A44)</f>
        <v>2017-2022</v>
      </c>
      <c r="C49" s="18">
        <f>SUM(C39:C44)</f>
        <v>28419512.191983748</v>
      </c>
      <c r="G49" s="231">
        <f>SUM(G39:G44)</f>
        <v>15107957.679335948</v>
      </c>
      <c r="I49" s="231">
        <f>SUM(I39:I44)</f>
        <v>8965000</v>
      </c>
      <c r="J49" s="231"/>
      <c r="K49" s="231">
        <f>SUM(K39:K44)</f>
        <v>24072957.679335948</v>
      </c>
    </row>
    <row r="53" spans="1:11">
      <c r="A53" s="6" t="s">
        <v>50</v>
      </c>
      <c r="B53" s="1" t="s">
        <v>74</v>
      </c>
    </row>
    <row r="54" spans="1:11">
      <c r="B54" s="3" t="s">
        <v>1540</v>
      </c>
    </row>
    <row r="55" spans="1:11">
      <c r="B55" s="1" t="s">
        <v>51</v>
      </c>
    </row>
    <row r="56" spans="1:11">
      <c r="B56" s="1" t="s">
        <v>915</v>
      </c>
    </row>
    <row r="57" spans="1:11">
      <c r="B57" s="1" t="s">
        <v>61</v>
      </c>
    </row>
  </sheetData>
  <printOptions horizontalCentered="1"/>
  <pageMargins left="0.7" right="0.7" top="0.75" bottom="0.75" header="0.3" footer="0.3"/>
  <pageSetup scale="73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1">
    <pageSetUpPr fitToPage="1"/>
  </sheetPr>
  <dimension ref="A1:AP60"/>
  <sheetViews>
    <sheetView zoomScaleNormal="100" workbookViewId="0"/>
  </sheetViews>
  <sheetFormatPr baseColWidth="10" defaultColWidth="8.7109375" defaultRowHeight="15"/>
  <cols>
    <col min="1" max="1" width="9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2.7109375" style="1" customWidth="1"/>
    <col min="12" max="16" width="8.7109375" style="1"/>
    <col min="17" max="17" width="12.7109375" style="1" customWidth="1"/>
    <col min="18" max="21" width="12.7109375" style="1" bestFit="1" customWidth="1"/>
    <col min="22" max="33" width="12.7109375" style="1" customWidth="1"/>
    <col min="34" max="34" width="8.7109375" style="1"/>
    <col min="35" max="37" width="12.7109375" style="1" customWidth="1"/>
    <col min="38" max="38" width="8.7109375" style="1"/>
    <col min="39" max="39" width="9.85546875" style="1" bestFit="1" customWidth="1"/>
    <col min="40" max="16384" width="8.7109375" style="1"/>
  </cols>
  <sheetData>
    <row r="1" spans="1:37">
      <c r="K1" s="52" t="s">
        <v>75</v>
      </c>
    </row>
    <row r="2" spans="1:37">
      <c r="K2" s="52" t="s">
        <v>66</v>
      </c>
    </row>
    <row r="4" spans="1:37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37">
      <c r="A5" s="5"/>
      <c r="B5" s="5"/>
      <c r="C5" s="5"/>
      <c r="D5" s="5"/>
      <c r="E5" s="5"/>
      <c r="F5" s="5"/>
      <c r="G5" s="5"/>
      <c r="H5" s="5"/>
      <c r="I5" s="5"/>
      <c r="J5" s="5"/>
      <c r="K5" s="5"/>
    </row>
    <row r="6" spans="1:37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37">
      <c r="A7" s="5" t="s">
        <v>58</v>
      </c>
      <c r="B7" s="5"/>
      <c r="C7" s="5"/>
      <c r="D7" s="5"/>
      <c r="E7" s="5"/>
      <c r="F7" s="5"/>
      <c r="G7" s="5"/>
      <c r="H7" s="5"/>
      <c r="I7" s="5"/>
      <c r="J7" s="5"/>
      <c r="K7" s="5"/>
      <c r="Q7" s="61" t="s">
        <v>1355</v>
      </c>
    </row>
    <row r="8" spans="1:37">
      <c r="A8" s="5" t="s">
        <v>201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37">
      <c r="B9" s="5"/>
      <c r="C9" s="5"/>
      <c r="D9" s="5"/>
      <c r="E9" s="5"/>
      <c r="F9" s="6"/>
      <c r="G9" s="5"/>
      <c r="H9" s="5"/>
      <c r="I9" s="5"/>
      <c r="J9" s="5"/>
      <c r="K9" s="5"/>
      <c r="AE9" s="25"/>
      <c r="AI9" s="25"/>
    </row>
    <row r="10" spans="1:37">
      <c r="R10" s="25">
        <v>2022</v>
      </c>
      <c r="S10" s="25">
        <v>2022</v>
      </c>
      <c r="T10" s="25" t="s">
        <v>2</v>
      </c>
      <c r="U10" s="25" t="s">
        <v>2</v>
      </c>
      <c r="V10" s="25"/>
      <c r="W10" s="25" t="s">
        <v>2</v>
      </c>
      <c r="AE10" s="44"/>
      <c r="AF10" s="44"/>
      <c r="AG10" s="44"/>
      <c r="AI10" s="44"/>
      <c r="AJ10" s="44"/>
      <c r="AK10" s="44"/>
    </row>
    <row r="11" spans="1:37">
      <c r="C11" s="6"/>
      <c r="D11" s="6"/>
      <c r="E11" s="6" t="s">
        <v>7</v>
      </c>
      <c r="F11" s="6"/>
      <c r="G11" s="6" t="s">
        <v>7</v>
      </c>
      <c r="H11" s="6"/>
      <c r="I11" s="6" t="s">
        <v>64</v>
      </c>
      <c r="J11" s="6"/>
      <c r="K11" s="6"/>
      <c r="P11" s="25"/>
      <c r="Q11" s="44" t="s">
        <v>665</v>
      </c>
      <c r="R11" s="44" t="s">
        <v>523</v>
      </c>
      <c r="S11" s="44" t="s">
        <v>523</v>
      </c>
      <c r="T11" s="44" t="s">
        <v>523</v>
      </c>
      <c r="U11" s="44" t="s">
        <v>523</v>
      </c>
      <c r="V11" s="25" t="s">
        <v>1379</v>
      </c>
      <c r="W11" s="25" t="s">
        <v>117</v>
      </c>
      <c r="AA11" s="44"/>
      <c r="AB11" s="44"/>
      <c r="AE11" s="25"/>
      <c r="AF11" s="25"/>
      <c r="AG11" s="25"/>
      <c r="AI11" s="25"/>
      <c r="AJ11" s="25"/>
      <c r="AK11" s="25"/>
    </row>
    <row r="12" spans="1:37">
      <c r="A12" s="6" t="s">
        <v>3</v>
      </c>
      <c r="C12" s="6" t="s">
        <v>7</v>
      </c>
      <c r="D12" s="6"/>
      <c r="E12" s="6" t="s">
        <v>62</v>
      </c>
      <c r="F12" s="6"/>
      <c r="G12" s="6" t="s">
        <v>63</v>
      </c>
      <c r="H12" s="6"/>
      <c r="I12" s="6" t="s">
        <v>14</v>
      </c>
      <c r="J12" s="6"/>
      <c r="K12" s="6" t="s">
        <v>67</v>
      </c>
      <c r="P12" s="25" t="s">
        <v>3</v>
      </c>
      <c r="Q12" s="44" t="s">
        <v>524</v>
      </c>
      <c r="R12" s="44" t="s">
        <v>1604</v>
      </c>
      <c r="S12" s="44" t="s">
        <v>1604</v>
      </c>
      <c r="T12" s="44" t="s">
        <v>1604</v>
      </c>
      <c r="U12" s="44" t="s">
        <v>1604</v>
      </c>
      <c r="V12" s="25" t="s">
        <v>119</v>
      </c>
      <c r="W12" s="25" t="s">
        <v>1304</v>
      </c>
      <c r="AA12" s="25"/>
      <c r="AB12" s="25"/>
      <c r="AE12" s="25"/>
      <c r="AF12" s="25"/>
      <c r="AG12" s="25"/>
      <c r="AI12" s="25"/>
      <c r="AJ12" s="25"/>
      <c r="AK12" s="25"/>
    </row>
    <row r="13" spans="1:37">
      <c r="A13" s="6" t="s">
        <v>4</v>
      </c>
      <c r="C13" s="6" t="s">
        <v>55</v>
      </c>
      <c r="D13" s="6"/>
      <c r="E13" s="6" t="s">
        <v>63</v>
      </c>
      <c r="F13" s="6"/>
      <c r="G13" s="6" t="s">
        <v>55</v>
      </c>
      <c r="H13" s="6"/>
      <c r="I13" s="6" t="s">
        <v>55</v>
      </c>
      <c r="J13" s="6"/>
      <c r="K13" s="6" t="s">
        <v>55</v>
      </c>
      <c r="P13" s="25" t="s">
        <v>4</v>
      </c>
      <c r="Q13" s="45" t="s">
        <v>672</v>
      </c>
      <c r="R13" s="45" t="s">
        <v>671</v>
      </c>
      <c r="S13" s="45" t="s">
        <v>525</v>
      </c>
      <c r="T13" s="45" t="s">
        <v>671</v>
      </c>
      <c r="U13" s="45" t="s">
        <v>525</v>
      </c>
      <c r="V13" s="97" t="s">
        <v>1590</v>
      </c>
      <c r="W13" s="45" t="s">
        <v>1</v>
      </c>
      <c r="X13" s="25" t="s">
        <v>119</v>
      </c>
    </row>
    <row r="14" spans="1:37">
      <c r="A14" s="106" t="s">
        <v>27</v>
      </c>
      <c r="C14" s="106" t="s">
        <v>33</v>
      </c>
      <c r="E14" s="106" t="s">
        <v>36</v>
      </c>
      <c r="G14" s="106" t="s">
        <v>38</v>
      </c>
      <c r="I14" s="281" t="s">
        <v>40</v>
      </c>
      <c r="K14" s="106" t="s">
        <v>42</v>
      </c>
      <c r="P14" s="143">
        <v>-1</v>
      </c>
      <c r="Q14" s="143">
        <f t="shared" ref="Q14:X14" si="0">P14-1</f>
        <v>-2</v>
      </c>
      <c r="R14" s="143">
        <f t="shared" si="0"/>
        <v>-3</v>
      </c>
      <c r="S14" s="143">
        <f t="shared" si="0"/>
        <v>-4</v>
      </c>
      <c r="T14" s="143">
        <f t="shared" si="0"/>
        <v>-5</v>
      </c>
      <c r="U14" s="143">
        <f t="shared" si="0"/>
        <v>-6</v>
      </c>
      <c r="V14" s="143">
        <f t="shared" si="0"/>
        <v>-7</v>
      </c>
      <c r="W14" s="143">
        <f t="shared" si="0"/>
        <v>-8</v>
      </c>
      <c r="X14" s="143">
        <f t="shared" si="0"/>
        <v>-9</v>
      </c>
    </row>
    <row r="15" spans="1:37">
      <c r="A15" s="6"/>
      <c r="P15" s="277"/>
      <c r="Q15" s="277"/>
      <c r="R15" s="25"/>
      <c r="S15" s="25"/>
      <c r="T15" s="25"/>
      <c r="U15" s="25"/>
    </row>
    <row r="16" spans="1:37">
      <c r="A16" s="6">
        <v>1993</v>
      </c>
      <c r="C16" s="147">
        <f>'Exhibit P,1'!K16</f>
        <v>9595627.2933820542</v>
      </c>
      <c r="E16" s="74">
        <v>0</v>
      </c>
      <c r="G16" s="147">
        <v>0</v>
      </c>
      <c r="H16" s="19"/>
      <c r="I16" s="147">
        <f>R16</f>
        <v>9014361.5099999998</v>
      </c>
      <c r="J16" s="19"/>
      <c r="K16" s="147">
        <f>G16+I16</f>
        <v>9014361.5099999998</v>
      </c>
      <c r="P16" s="25">
        <v>1994</v>
      </c>
      <c r="Q16" s="25"/>
      <c r="R16" s="31">
        <f>T16</f>
        <v>9014361.5099999998</v>
      </c>
      <c r="S16" s="31">
        <f>U16</f>
        <v>9014361.5099999998</v>
      </c>
      <c r="T16" s="31">
        <v>9014361.5099999998</v>
      </c>
      <c r="U16" s="31">
        <v>9014361.5099999998</v>
      </c>
      <c r="V16" s="18">
        <f>S16-U16</f>
        <v>0</v>
      </c>
      <c r="W16" s="20">
        <v>9014361.5099999998</v>
      </c>
      <c r="X16" s="147">
        <f>K16-W16</f>
        <v>0</v>
      </c>
    </row>
    <row r="17" spans="1:42">
      <c r="A17" s="6">
        <f>A16+1</f>
        <v>1994</v>
      </c>
      <c r="C17" s="494">
        <f>'Exhibit P,1'!K17</f>
        <v>25164874.177936539</v>
      </c>
      <c r="E17" s="74">
        <v>0</v>
      </c>
      <c r="G17" s="187">
        <f>C17*E17</f>
        <v>0</v>
      </c>
      <c r="I17" s="17">
        <f t="shared" ref="I17:I44" si="1">R17</f>
        <v>25158701.43</v>
      </c>
      <c r="J17" s="187"/>
      <c r="K17" s="187">
        <f>G17+I17</f>
        <v>25158701.43</v>
      </c>
      <c r="P17" s="25">
        <f>P16+1</f>
        <v>1995</v>
      </c>
      <c r="Q17" s="25"/>
      <c r="R17" s="31">
        <f t="shared" ref="R17:S21" si="2">T17</f>
        <v>25158701.43</v>
      </c>
      <c r="S17" s="31">
        <f t="shared" si="2"/>
        <v>25158701.43</v>
      </c>
      <c r="T17" s="17">
        <v>25158701.43</v>
      </c>
      <c r="U17" s="17">
        <v>25158701.43</v>
      </c>
      <c r="V17" s="17">
        <f t="shared" ref="V17:V44" si="3">S17-U17</f>
        <v>0</v>
      </c>
      <c r="W17" s="20">
        <v>25158701.43</v>
      </c>
      <c r="X17" s="17">
        <f t="shared" ref="X17:X43" si="4">K17-W17</f>
        <v>0</v>
      </c>
    </row>
    <row r="18" spans="1:42">
      <c r="A18" s="6">
        <f t="shared" ref="A18:A44" si="5">A17+1</f>
        <v>1995</v>
      </c>
      <c r="C18" s="494">
        <f>'Exhibit P,1'!K18</f>
        <v>15566347.195112446</v>
      </c>
      <c r="E18" s="74">
        <v>0</v>
      </c>
      <c r="G18" s="187">
        <f t="shared" ref="G18:G44" si="6">C18*E18</f>
        <v>0</v>
      </c>
      <c r="I18" s="17">
        <f t="shared" si="1"/>
        <v>16457011</v>
      </c>
      <c r="J18" s="187"/>
      <c r="K18" s="187">
        <f t="shared" ref="K18:K44" si="7">G18+I18</f>
        <v>16457011</v>
      </c>
      <c r="P18" s="25">
        <f t="shared" ref="P18:P44" si="8">P17+1</f>
        <v>1996</v>
      </c>
      <c r="Q18" s="25"/>
      <c r="R18" s="31">
        <f t="shared" si="2"/>
        <v>16457011</v>
      </c>
      <c r="S18" s="31">
        <f t="shared" si="2"/>
        <v>16457011</v>
      </c>
      <c r="T18" s="17">
        <v>16457011</v>
      </c>
      <c r="U18" s="17">
        <v>16457011</v>
      </c>
      <c r="V18" s="17">
        <f t="shared" si="3"/>
        <v>0</v>
      </c>
      <c r="W18" s="20">
        <v>16457011</v>
      </c>
      <c r="X18" s="17">
        <f t="shared" si="4"/>
        <v>0</v>
      </c>
    </row>
    <row r="19" spans="1:42">
      <c r="A19" s="6">
        <f t="shared" si="5"/>
        <v>1996</v>
      </c>
      <c r="C19" s="494">
        <f>'Exhibit P,1'!K19</f>
        <v>8999019.1633830965</v>
      </c>
      <c r="E19" s="74">
        <v>0</v>
      </c>
      <c r="G19" s="187">
        <f t="shared" si="6"/>
        <v>0</v>
      </c>
      <c r="I19" s="17">
        <f t="shared" si="1"/>
        <v>9461637.870000001</v>
      </c>
      <c r="J19" s="187"/>
      <c r="K19" s="187">
        <f t="shared" si="7"/>
        <v>9461637.870000001</v>
      </c>
      <c r="P19" s="25">
        <f t="shared" si="8"/>
        <v>1997</v>
      </c>
      <c r="Q19" s="25"/>
      <c r="R19" s="31">
        <f t="shared" si="2"/>
        <v>9461637.870000001</v>
      </c>
      <c r="S19" s="31">
        <f t="shared" si="2"/>
        <v>9461637.870000001</v>
      </c>
      <c r="T19" s="17">
        <v>9461637.870000001</v>
      </c>
      <c r="U19" s="17">
        <v>9461637.870000001</v>
      </c>
      <c r="V19" s="17">
        <f t="shared" si="3"/>
        <v>0</v>
      </c>
      <c r="W19" s="20">
        <v>9461637.870000001</v>
      </c>
      <c r="X19" s="17">
        <f t="shared" si="4"/>
        <v>0</v>
      </c>
    </row>
    <row r="20" spans="1:42">
      <c r="A20" s="6">
        <f t="shared" si="5"/>
        <v>1997</v>
      </c>
      <c r="C20" s="494">
        <f>'Exhibit P,1'!K20</f>
        <v>21690812.194247089</v>
      </c>
      <c r="E20" s="74">
        <v>0</v>
      </c>
      <c r="G20" s="187">
        <f t="shared" si="6"/>
        <v>0</v>
      </c>
      <c r="I20" s="17">
        <f t="shared" si="1"/>
        <v>24800000</v>
      </c>
      <c r="J20" s="187"/>
      <c r="K20" s="187">
        <f t="shared" si="7"/>
        <v>24800000</v>
      </c>
      <c r="P20" s="25">
        <f t="shared" si="8"/>
        <v>1998</v>
      </c>
      <c r="Q20" s="25"/>
      <c r="R20" s="31">
        <f t="shared" si="2"/>
        <v>24800000</v>
      </c>
      <c r="S20" s="31">
        <f t="shared" si="2"/>
        <v>24800000</v>
      </c>
      <c r="T20" s="17">
        <v>24800000</v>
      </c>
      <c r="U20" s="17">
        <v>24800000</v>
      </c>
      <c r="V20" s="17">
        <f t="shared" si="3"/>
        <v>0</v>
      </c>
      <c r="W20" s="20">
        <v>24800000</v>
      </c>
      <c r="X20" s="17">
        <f t="shared" si="4"/>
        <v>0</v>
      </c>
    </row>
    <row r="21" spans="1:42">
      <c r="A21" s="6">
        <f t="shared" si="5"/>
        <v>1998</v>
      </c>
      <c r="C21" s="494">
        <f>'Exhibit P,1'!K21</f>
        <v>13949899.616478045</v>
      </c>
      <c r="E21" s="74">
        <v>0</v>
      </c>
      <c r="G21" s="187">
        <f t="shared" si="6"/>
        <v>0</v>
      </c>
      <c r="I21" s="17">
        <f t="shared" si="1"/>
        <v>18284000</v>
      </c>
      <c r="J21" s="187"/>
      <c r="K21" s="187">
        <f t="shared" si="7"/>
        <v>18284000</v>
      </c>
      <c r="P21" s="25">
        <f t="shared" si="8"/>
        <v>1999</v>
      </c>
      <c r="Q21" s="25"/>
      <c r="R21" s="31">
        <f t="shared" si="2"/>
        <v>18284000</v>
      </c>
      <c r="S21" s="31">
        <f t="shared" si="2"/>
        <v>18284000</v>
      </c>
      <c r="T21" s="17">
        <v>18284000</v>
      </c>
      <c r="U21" s="17">
        <v>18284000</v>
      </c>
      <c r="V21" s="17">
        <f t="shared" si="3"/>
        <v>0</v>
      </c>
      <c r="W21" s="20">
        <v>18284000</v>
      </c>
      <c r="X21" s="17">
        <f t="shared" si="4"/>
        <v>0</v>
      </c>
    </row>
    <row r="22" spans="1:42" ht="16">
      <c r="A22" s="6">
        <f t="shared" si="5"/>
        <v>1999</v>
      </c>
      <c r="C22" s="494">
        <f>'Exhibit P,1'!K22</f>
        <v>15449355.62600363</v>
      </c>
      <c r="E22" s="74">
        <v>0</v>
      </c>
      <c r="G22" s="187">
        <f t="shared" si="6"/>
        <v>0</v>
      </c>
      <c r="I22" s="17">
        <f t="shared" si="1"/>
        <v>16115000</v>
      </c>
      <c r="J22" s="187"/>
      <c r="K22" s="187">
        <f t="shared" si="7"/>
        <v>16115000</v>
      </c>
      <c r="N22" s="18">
        <f>R22+'Exhibit O,3'!R22</f>
        <v>43910495.93</v>
      </c>
      <c r="P22" s="25">
        <f t="shared" si="8"/>
        <v>2000</v>
      </c>
      <c r="Q22" s="25"/>
      <c r="R22" s="563">
        <v>16115000</v>
      </c>
      <c r="S22" s="563">
        <v>16115000</v>
      </c>
      <c r="T22" s="17">
        <v>16115000</v>
      </c>
      <c r="U22" s="17">
        <v>16115000</v>
      </c>
      <c r="V22" s="17">
        <f t="shared" si="3"/>
        <v>0</v>
      </c>
      <c r="W22" s="20">
        <v>16115000</v>
      </c>
      <c r="X22" s="17">
        <f t="shared" si="4"/>
        <v>0</v>
      </c>
      <c r="AM22" s="49"/>
      <c r="AN22" s="49"/>
      <c r="AO22" s="49"/>
      <c r="AP22" s="49"/>
    </row>
    <row r="23" spans="1:42">
      <c r="A23" s="6">
        <f t="shared" si="5"/>
        <v>2000</v>
      </c>
      <c r="C23" s="494">
        <f>'Exhibit P,1'!K23</f>
        <v>13416063.863790369</v>
      </c>
      <c r="E23" s="74">
        <v>0</v>
      </c>
      <c r="G23" s="187">
        <f t="shared" si="6"/>
        <v>0</v>
      </c>
      <c r="I23" s="17">
        <f t="shared" si="1"/>
        <v>12067167</v>
      </c>
      <c r="J23" s="187"/>
      <c r="K23" s="187">
        <f t="shared" si="7"/>
        <v>12067167</v>
      </c>
      <c r="N23" s="18">
        <f>'Exhibit M,3'!R22+'Exhibit L,3'!R22</f>
        <v>1599932.79</v>
      </c>
      <c r="P23" s="25">
        <f t="shared" si="8"/>
        <v>2001</v>
      </c>
      <c r="Q23" s="25"/>
      <c r="R23" s="563">
        <v>12067167</v>
      </c>
      <c r="S23" s="563">
        <v>12067167</v>
      </c>
      <c r="T23" s="17">
        <v>12067167</v>
      </c>
      <c r="U23" s="17">
        <v>12067167</v>
      </c>
      <c r="V23" s="17">
        <f t="shared" si="3"/>
        <v>0</v>
      </c>
      <c r="W23" s="20">
        <v>12067167</v>
      </c>
      <c r="X23" s="17">
        <f t="shared" si="4"/>
        <v>0</v>
      </c>
    </row>
    <row r="24" spans="1:42">
      <c r="A24" s="6">
        <f t="shared" si="5"/>
        <v>2001</v>
      </c>
      <c r="C24" s="494">
        <f>'Exhibit P,1'!K24</f>
        <v>10940390.926219525</v>
      </c>
      <c r="E24" s="74">
        <v>0</v>
      </c>
      <c r="G24" s="187">
        <f t="shared" si="6"/>
        <v>0</v>
      </c>
      <c r="I24" s="17">
        <f t="shared" si="1"/>
        <v>12700000</v>
      </c>
      <c r="J24" s="187"/>
      <c r="K24" s="187">
        <f t="shared" si="7"/>
        <v>12700000</v>
      </c>
      <c r="N24" s="18">
        <f>N22+N23</f>
        <v>45510428.719999999</v>
      </c>
      <c r="P24" s="25">
        <f t="shared" si="8"/>
        <v>2002</v>
      </c>
      <c r="Q24" s="25"/>
      <c r="R24" s="563">
        <v>12700000</v>
      </c>
      <c r="S24" s="563">
        <v>12700000</v>
      </c>
      <c r="T24" s="17">
        <v>12700000</v>
      </c>
      <c r="U24" s="17">
        <v>12700000</v>
      </c>
      <c r="V24" s="17">
        <f t="shared" si="3"/>
        <v>0</v>
      </c>
      <c r="W24" s="20">
        <v>12700000</v>
      </c>
      <c r="X24" s="17">
        <f t="shared" si="4"/>
        <v>0</v>
      </c>
      <c r="Y24" s="46"/>
      <c r="Z24" s="282"/>
      <c r="AA24" s="46"/>
      <c r="AB24" s="282"/>
      <c r="AC24" s="18"/>
      <c r="AD24" s="18"/>
      <c r="AE24" s="18"/>
      <c r="AF24" s="95"/>
      <c r="AG24" s="18"/>
      <c r="AI24" s="18"/>
      <c r="AJ24" s="95"/>
      <c r="AK24" s="18"/>
      <c r="AM24" s="18"/>
    </row>
    <row r="25" spans="1:42">
      <c r="A25" s="6">
        <f t="shared" si="5"/>
        <v>2002</v>
      </c>
      <c r="C25" s="494">
        <f>'Exhibit P,1'!K25</f>
        <v>13209223.419041304</v>
      </c>
      <c r="E25" s="74">
        <v>0</v>
      </c>
      <c r="G25" s="187">
        <f t="shared" si="6"/>
        <v>0</v>
      </c>
      <c r="I25" s="17">
        <f t="shared" si="1"/>
        <v>15540000</v>
      </c>
      <c r="J25" s="187"/>
      <c r="K25" s="187">
        <f t="shared" si="7"/>
        <v>15540000</v>
      </c>
      <c r="N25" s="18">
        <v>45510428.719999999</v>
      </c>
      <c r="P25" s="25">
        <f t="shared" si="8"/>
        <v>2003</v>
      </c>
      <c r="Q25" s="563"/>
      <c r="R25" s="563">
        <v>15540000</v>
      </c>
      <c r="S25" s="563">
        <v>15540000</v>
      </c>
      <c r="T25" s="17">
        <v>15540000</v>
      </c>
      <c r="U25" s="17">
        <v>15540000</v>
      </c>
      <c r="V25" s="17">
        <f t="shared" si="3"/>
        <v>0</v>
      </c>
      <c r="W25" s="20">
        <v>15540000</v>
      </c>
      <c r="X25" s="17">
        <f t="shared" si="4"/>
        <v>0</v>
      </c>
      <c r="Y25" s="46"/>
      <c r="AA25" s="46"/>
      <c r="AB25" s="282"/>
      <c r="AC25" s="18"/>
      <c r="AD25" s="18"/>
      <c r="AE25" s="18"/>
      <c r="AF25" s="95"/>
      <c r="AG25" s="18"/>
      <c r="AI25" s="18"/>
      <c r="AJ25" s="95"/>
      <c r="AK25" s="18"/>
      <c r="AM25" s="18"/>
    </row>
    <row r="26" spans="1:42">
      <c r="A26" s="6">
        <f t="shared" si="5"/>
        <v>2003</v>
      </c>
      <c r="C26" s="494">
        <f>'Exhibit P,1'!K26</f>
        <v>5742904.2581685977</v>
      </c>
      <c r="E26" s="74">
        <v>0</v>
      </c>
      <c r="G26" s="187">
        <f t="shared" si="6"/>
        <v>0</v>
      </c>
      <c r="I26" s="17">
        <f t="shared" si="1"/>
        <v>5025000</v>
      </c>
      <c r="J26" s="187"/>
      <c r="K26" s="187">
        <f t="shared" si="7"/>
        <v>5025000</v>
      </c>
      <c r="P26" s="25">
        <f t="shared" si="8"/>
        <v>2004</v>
      </c>
      <c r="Q26" s="25"/>
      <c r="R26" s="563">
        <v>5025000</v>
      </c>
      <c r="S26" s="563">
        <v>5025000</v>
      </c>
      <c r="T26" s="17">
        <v>5025000</v>
      </c>
      <c r="U26" s="17">
        <v>5025000</v>
      </c>
      <c r="V26" s="17">
        <f t="shared" si="3"/>
        <v>0</v>
      </c>
      <c r="W26" s="20">
        <v>5025000</v>
      </c>
      <c r="X26" s="17">
        <f t="shared" si="4"/>
        <v>0</v>
      </c>
      <c r="Y26" s="46"/>
      <c r="AA26" s="46"/>
      <c r="AB26" s="282"/>
      <c r="AC26" s="18"/>
      <c r="AD26" s="18"/>
      <c r="AE26" s="18"/>
      <c r="AF26" s="95"/>
      <c r="AG26" s="18"/>
      <c r="AI26" s="18"/>
      <c r="AJ26" s="95"/>
      <c r="AK26" s="18"/>
      <c r="AM26" s="18"/>
    </row>
    <row r="27" spans="1:42">
      <c r="A27" s="6">
        <f t="shared" si="5"/>
        <v>2004</v>
      </c>
      <c r="C27" s="494">
        <f>'Exhibit P,1'!K27</f>
        <v>4044543.7517376728</v>
      </c>
      <c r="E27" s="74">
        <v>0</v>
      </c>
      <c r="G27" s="187">
        <f t="shared" si="6"/>
        <v>0</v>
      </c>
      <c r="I27" s="17">
        <f t="shared" si="1"/>
        <v>4275000</v>
      </c>
      <c r="J27" s="187"/>
      <c r="K27" s="187">
        <f t="shared" si="7"/>
        <v>4275000</v>
      </c>
      <c r="P27" s="25">
        <f t="shared" si="8"/>
        <v>2005</v>
      </c>
      <c r="Q27" s="25"/>
      <c r="R27" s="563">
        <v>4275000</v>
      </c>
      <c r="S27" s="563">
        <v>4275000</v>
      </c>
      <c r="T27" s="17">
        <v>4275000</v>
      </c>
      <c r="U27" s="17">
        <v>4275000</v>
      </c>
      <c r="V27" s="17">
        <f t="shared" si="3"/>
        <v>0</v>
      </c>
      <c r="W27" s="20">
        <v>4275000</v>
      </c>
      <c r="X27" s="17">
        <f t="shared" si="4"/>
        <v>0</v>
      </c>
      <c r="Y27" s="46"/>
      <c r="AA27" s="46"/>
      <c r="AB27" s="282"/>
      <c r="AC27" s="18"/>
      <c r="AD27" s="18"/>
      <c r="AE27" s="18"/>
      <c r="AF27" s="95"/>
      <c r="AG27" s="18"/>
      <c r="AI27" s="18"/>
      <c r="AJ27" s="95"/>
      <c r="AK27" s="18"/>
      <c r="AM27" s="18"/>
    </row>
    <row r="28" spans="1:42">
      <c r="A28" s="6">
        <f t="shared" si="5"/>
        <v>2005</v>
      </c>
      <c r="C28" s="494">
        <f>'Exhibit P,1'!K28</f>
        <v>5483646.8810940403</v>
      </c>
      <c r="E28" s="74">
        <v>0</v>
      </c>
      <c r="G28" s="187">
        <f t="shared" si="6"/>
        <v>0</v>
      </c>
      <c r="I28" s="17">
        <f t="shared" si="1"/>
        <v>5350000</v>
      </c>
      <c r="J28" s="187"/>
      <c r="K28" s="187">
        <f t="shared" si="7"/>
        <v>5350000</v>
      </c>
      <c r="P28" s="25">
        <f t="shared" si="8"/>
        <v>2006</v>
      </c>
      <c r="Q28" s="25"/>
      <c r="R28" s="563">
        <v>5350000</v>
      </c>
      <c r="S28" s="563">
        <v>5350000</v>
      </c>
      <c r="T28" s="17">
        <v>5350000</v>
      </c>
      <c r="U28" s="17">
        <v>5350000</v>
      </c>
      <c r="V28" s="17">
        <f t="shared" si="3"/>
        <v>0</v>
      </c>
      <c r="W28" s="20">
        <v>5350000</v>
      </c>
      <c r="X28" s="17">
        <f t="shared" si="4"/>
        <v>0</v>
      </c>
      <c r="Y28" s="46"/>
      <c r="AA28" s="46"/>
      <c r="AB28" s="282"/>
      <c r="AC28" s="18"/>
      <c r="AD28" s="18"/>
      <c r="AE28" s="18"/>
      <c r="AF28" s="95"/>
      <c r="AG28" s="18"/>
      <c r="AI28" s="18"/>
      <c r="AJ28" s="95"/>
      <c r="AK28" s="18"/>
      <c r="AM28" s="18"/>
    </row>
    <row r="29" spans="1:42">
      <c r="A29" s="6">
        <f t="shared" si="5"/>
        <v>2006</v>
      </c>
      <c r="C29" s="494">
        <f>'Exhibit P,1'!K29</f>
        <v>3944133.0532623981</v>
      </c>
      <c r="E29" s="74">
        <v>0</v>
      </c>
      <c r="G29" s="187">
        <f t="shared" si="6"/>
        <v>0</v>
      </c>
      <c r="I29" s="17">
        <f t="shared" si="1"/>
        <v>4345000</v>
      </c>
      <c r="J29" s="187"/>
      <c r="K29" s="187">
        <f t="shared" si="7"/>
        <v>4345000</v>
      </c>
      <c r="P29" s="25">
        <f t="shared" si="8"/>
        <v>2007</v>
      </c>
      <c r="Q29" s="25"/>
      <c r="R29" s="563">
        <v>4345000</v>
      </c>
      <c r="S29" s="563">
        <v>4345000</v>
      </c>
      <c r="T29" s="17">
        <v>4345000</v>
      </c>
      <c r="U29" s="17">
        <v>4345000</v>
      </c>
      <c r="V29" s="17">
        <f t="shared" si="3"/>
        <v>0</v>
      </c>
      <c r="W29" s="20">
        <v>4345000</v>
      </c>
      <c r="X29" s="17">
        <f t="shared" si="4"/>
        <v>0</v>
      </c>
      <c r="Y29" s="46"/>
      <c r="AA29" s="46"/>
      <c r="AB29" s="282"/>
      <c r="AC29" s="18"/>
      <c r="AD29" s="18"/>
      <c r="AE29" s="18"/>
      <c r="AF29" s="95"/>
      <c r="AG29" s="18"/>
      <c r="AI29" s="18"/>
      <c r="AJ29" s="95"/>
      <c r="AK29" s="18"/>
      <c r="AM29" s="18"/>
    </row>
    <row r="30" spans="1:42">
      <c r="A30" s="6">
        <f t="shared" si="5"/>
        <v>2007</v>
      </c>
      <c r="C30" s="494">
        <f>'Exhibit P,1'!K30</f>
        <v>5263716.1085599745</v>
      </c>
      <c r="E30" s="74">
        <v>0</v>
      </c>
      <c r="G30" s="187">
        <f t="shared" si="6"/>
        <v>0</v>
      </c>
      <c r="I30" s="17">
        <f t="shared" si="1"/>
        <v>5515000</v>
      </c>
      <c r="J30" s="187"/>
      <c r="K30" s="187">
        <f t="shared" si="7"/>
        <v>5515000</v>
      </c>
      <c r="P30" s="25">
        <f t="shared" si="8"/>
        <v>2008</v>
      </c>
      <c r="Q30" s="25"/>
      <c r="R30" s="563">
        <v>5515000</v>
      </c>
      <c r="S30" s="563">
        <v>5515000</v>
      </c>
      <c r="T30" s="17">
        <v>5515000</v>
      </c>
      <c r="U30" s="17">
        <v>5515000</v>
      </c>
      <c r="V30" s="17">
        <f t="shared" si="3"/>
        <v>0</v>
      </c>
      <c r="W30" s="20">
        <v>5515000</v>
      </c>
      <c r="X30" s="17">
        <f t="shared" si="4"/>
        <v>0</v>
      </c>
      <c r="Y30" s="46"/>
      <c r="AA30" s="46"/>
      <c r="AB30" s="282"/>
      <c r="AC30" s="18"/>
      <c r="AD30" s="18"/>
      <c r="AE30" s="18"/>
      <c r="AF30" s="95"/>
      <c r="AG30" s="18"/>
      <c r="AI30" s="18"/>
      <c r="AJ30" s="95"/>
      <c r="AK30" s="18"/>
      <c r="AM30" s="18"/>
    </row>
    <row r="31" spans="1:42">
      <c r="A31" s="6">
        <f t="shared" si="5"/>
        <v>2008</v>
      </c>
      <c r="C31" s="494">
        <f>'Exhibit P,1'!K31</f>
        <v>7085298.9285736615</v>
      </c>
      <c r="E31" s="74">
        <v>0</v>
      </c>
      <c r="G31" s="187">
        <f t="shared" si="6"/>
        <v>0</v>
      </c>
      <c r="I31" s="17">
        <f t="shared" si="1"/>
        <v>6335000</v>
      </c>
      <c r="J31" s="187"/>
      <c r="K31" s="187">
        <f t="shared" si="7"/>
        <v>6335000</v>
      </c>
      <c r="P31" s="25">
        <f t="shared" si="8"/>
        <v>2009</v>
      </c>
      <c r="Q31" s="25"/>
      <c r="R31" s="563">
        <v>6335000</v>
      </c>
      <c r="S31" s="563">
        <v>6335000</v>
      </c>
      <c r="T31" s="17">
        <v>6335000</v>
      </c>
      <c r="U31" s="17">
        <v>6335000</v>
      </c>
      <c r="V31" s="17">
        <f t="shared" si="3"/>
        <v>0</v>
      </c>
      <c r="W31" s="20">
        <v>6335000</v>
      </c>
      <c r="X31" s="17">
        <f t="shared" si="4"/>
        <v>0</v>
      </c>
      <c r="Y31" s="46"/>
      <c r="AA31" s="46"/>
      <c r="AB31" s="282"/>
      <c r="AC31" s="18"/>
      <c r="AD31" s="18"/>
      <c r="AE31" s="18"/>
      <c r="AF31" s="95"/>
      <c r="AG31" s="18"/>
      <c r="AI31" s="18"/>
      <c r="AJ31" s="95"/>
      <c r="AK31" s="18"/>
      <c r="AM31" s="18"/>
    </row>
    <row r="32" spans="1:42">
      <c r="A32" s="6">
        <f t="shared" si="5"/>
        <v>2009</v>
      </c>
      <c r="C32" s="494">
        <f>'Exhibit P,1'!K32</f>
        <v>7236055.1400389569</v>
      </c>
      <c r="E32" s="74">
        <v>0</v>
      </c>
      <c r="G32" s="187">
        <f t="shared" si="6"/>
        <v>0</v>
      </c>
      <c r="I32" s="17">
        <f t="shared" si="1"/>
        <v>8462500</v>
      </c>
      <c r="J32" s="187"/>
      <c r="K32" s="187">
        <f t="shared" si="7"/>
        <v>8462500</v>
      </c>
      <c r="P32" s="25">
        <f t="shared" si="8"/>
        <v>2010</v>
      </c>
      <c r="Q32" s="25"/>
      <c r="R32" s="563">
        <v>8462500</v>
      </c>
      <c r="S32" s="563">
        <v>8462500</v>
      </c>
      <c r="T32" s="17">
        <v>8462500</v>
      </c>
      <c r="U32" s="17">
        <v>8462500</v>
      </c>
      <c r="V32" s="17">
        <f t="shared" si="3"/>
        <v>0</v>
      </c>
      <c r="W32" s="20">
        <v>8462500</v>
      </c>
      <c r="X32" s="17">
        <f t="shared" si="4"/>
        <v>0</v>
      </c>
      <c r="Y32" s="46"/>
      <c r="AA32" s="46"/>
      <c r="AB32" s="282"/>
      <c r="AC32" s="18"/>
      <c r="AD32" s="18"/>
      <c r="AE32" s="18"/>
      <c r="AF32" s="95"/>
      <c r="AG32" s="18"/>
      <c r="AI32" s="18"/>
      <c r="AJ32" s="95"/>
      <c r="AK32" s="18"/>
      <c r="AM32" s="18"/>
    </row>
    <row r="33" spans="1:42">
      <c r="A33" s="6">
        <f t="shared" si="5"/>
        <v>2010</v>
      </c>
      <c r="C33" s="494">
        <f>'Exhibit P,1'!K33</f>
        <v>10158566.955812292</v>
      </c>
      <c r="E33" s="74">
        <f>1-'Exhibit Q,7'!I24</f>
        <v>0</v>
      </c>
      <c r="G33" s="187">
        <f t="shared" si="6"/>
        <v>0</v>
      </c>
      <c r="I33" s="17">
        <f t="shared" si="1"/>
        <v>7214500</v>
      </c>
      <c r="J33" s="187"/>
      <c r="K33" s="187">
        <f t="shared" si="7"/>
        <v>7214500</v>
      </c>
      <c r="P33" s="25">
        <f t="shared" si="8"/>
        <v>2011</v>
      </c>
      <c r="Q33" s="25"/>
      <c r="R33" s="563">
        <v>7214500</v>
      </c>
      <c r="S33" s="563">
        <v>7214500</v>
      </c>
      <c r="T33" s="17">
        <v>7214500</v>
      </c>
      <c r="U33" s="17">
        <v>7214500</v>
      </c>
      <c r="V33" s="17">
        <f t="shared" si="3"/>
        <v>0</v>
      </c>
      <c r="W33" s="20">
        <v>7214500</v>
      </c>
      <c r="X33" s="17">
        <f t="shared" si="4"/>
        <v>0</v>
      </c>
      <c r="Y33" s="46"/>
      <c r="AA33" s="46"/>
      <c r="AB33" s="282"/>
      <c r="AC33" s="18"/>
      <c r="AD33" s="18"/>
      <c r="AE33" s="18"/>
      <c r="AF33" s="95"/>
      <c r="AG33" s="18"/>
      <c r="AI33" s="18"/>
      <c r="AJ33" s="95"/>
      <c r="AK33" s="18"/>
      <c r="AM33" s="18"/>
    </row>
    <row r="34" spans="1:42">
      <c r="A34" s="6">
        <f t="shared" si="5"/>
        <v>2011</v>
      </c>
      <c r="C34" s="494">
        <f>'Exhibit P,1'!K34</f>
        <v>9640740.0225435831</v>
      </c>
      <c r="E34" s="74">
        <f>1-'Exhibit Q,7'!I25</f>
        <v>0</v>
      </c>
      <c r="G34" s="187">
        <f t="shared" si="6"/>
        <v>0</v>
      </c>
      <c r="I34" s="17">
        <f t="shared" si="1"/>
        <v>9894999.6699999999</v>
      </c>
      <c r="J34" s="187"/>
      <c r="K34" s="187">
        <f t="shared" si="7"/>
        <v>9894999.6699999999</v>
      </c>
      <c r="P34" s="25">
        <f t="shared" si="8"/>
        <v>2012</v>
      </c>
      <c r="Q34" s="205">
        <v>0</v>
      </c>
      <c r="R34" s="563">
        <v>9894999.6699999999</v>
      </c>
      <c r="S34" s="563">
        <v>9894999.6699999999</v>
      </c>
      <c r="T34" s="17">
        <v>9894999.6699999999</v>
      </c>
      <c r="U34" s="17">
        <v>9894999.6699999999</v>
      </c>
      <c r="V34" s="17">
        <f t="shared" si="3"/>
        <v>0</v>
      </c>
      <c r="W34" s="20">
        <v>9894999.6699999999</v>
      </c>
      <c r="X34" s="17">
        <f t="shared" si="4"/>
        <v>0</v>
      </c>
      <c r="Y34" s="46"/>
      <c r="AA34" s="46"/>
      <c r="AB34" s="282"/>
      <c r="AC34" s="18"/>
      <c r="AD34" s="18"/>
      <c r="AE34" s="18"/>
      <c r="AF34" s="95"/>
      <c r="AG34" s="18"/>
      <c r="AI34" s="18"/>
      <c r="AJ34" s="95"/>
      <c r="AK34" s="18"/>
      <c r="AM34" s="18"/>
    </row>
    <row r="35" spans="1:42">
      <c r="A35" s="6">
        <f t="shared" si="5"/>
        <v>2012</v>
      </c>
      <c r="C35" s="494">
        <f>'Exhibit P,1'!K35</f>
        <v>10934309.330236336</v>
      </c>
      <c r="E35" s="74">
        <f>1-'Exhibit Q,7'!I26</f>
        <v>0</v>
      </c>
      <c r="G35" s="187">
        <f t="shared" si="6"/>
        <v>0</v>
      </c>
      <c r="I35" s="17">
        <f t="shared" si="1"/>
        <v>9340000</v>
      </c>
      <c r="J35" s="187"/>
      <c r="K35" s="187">
        <f t="shared" si="7"/>
        <v>9340000</v>
      </c>
      <c r="M35" s="247"/>
      <c r="N35" s="230"/>
      <c r="P35" s="25">
        <f t="shared" si="8"/>
        <v>2013</v>
      </c>
      <c r="Q35" s="205">
        <v>0</v>
      </c>
      <c r="R35" s="563">
        <v>9340000</v>
      </c>
      <c r="S35" s="563">
        <v>9340000</v>
      </c>
      <c r="T35" s="17">
        <v>9340000</v>
      </c>
      <c r="U35" s="17">
        <v>9340000</v>
      </c>
      <c r="V35" s="17">
        <f t="shared" si="3"/>
        <v>0</v>
      </c>
      <c r="W35" s="20">
        <v>9340000</v>
      </c>
      <c r="X35" s="17">
        <f t="shared" si="4"/>
        <v>0</v>
      </c>
      <c r="Y35" s="46"/>
      <c r="AA35" s="46"/>
      <c r="AB35" s="282"/>
      <c r="AC35" s="18"/>
      <c r="AD35" s="18"/>
      <c r="AE35" s="18"/>
      <c r="AF35" s="95"/>
      <c r="AG35" s="18"/>
      <c r="AI35" s="18"/>
      <c r="AJ35" s="95"/>
      <c r="AK35" s="18"/>
      <c r="AM35" s="18"/>
    </row>
    <row r="36" spans="1:42">
      <c r="A36" s="6">
        <f t="shared" si="5"/>
        <v>2013</v>
      </c>
      <c r="C36" s="494">
        <f>'Exhibit P,1'!K36</f>
        <v>3762106.2295200028</v>
      </c>
      <c r="E36" s="74">
        <f>1-'Exhibit Q,7'!I27</f>
        <v>0</v>
      </c>
      <c r="G36" s="187">
        <f t="shared" si="6"/>
        <v>0</v>
      </c>
      <c r="I36" s="17">
        <f t="shared" si="1"/>
        <v>2935000</v>
      </c>
      <c r="J36" s="187"/>
      <c r="K36" s="187">
        <f t="shared" si="7"/>
        <v>2935000</v>
      </c>
      <c r="M36" s="247"/>
      <c r="N36" s="230"/>
      <c r="P36" s="25">
        <f t="shared" si="8"/>
        <v>2014</v>
      </c>
      <c r="Q36" s="205">
        <v>0</v>
      </c>
      <c r="R36" s="563">
        <v>2935000</v>
      </c>
      <c r="S36" s="563">
        <v>3935000</v>
      </c>
      <c r="T36" s="17">
        <v>2935000</v>
      </c>
      <c r="U36" s="17">
        <v>3935000</v>
      </c>
      <c r="V36" s="17">
        <f t="shared" si="3"/>
        <v>0</v>
      </c>
      <c r="W36" s="20">
        <v>3935000</v>
      </c>
      <c r="X36" s="17">
        <f t="shared" si="4"/>
        <v>-1000000</v>
      </c>
      <c r="Y36" s="46"/>
      <c r="AA36" s="46"/>
      <c r="AB36" s="282"/>
      <c r="AC36" s="18"/>
      <c r="AD36" s="18"/>
      <c r="AE36" s="18"/>
      <c r="AF36" s="95"/>
      <c r="AG36" s="18"/>
      <c r="AI36" s="18"/>
      <c r="AJ36" s="95"/>
      <c r="AK36" s="18"/>
      <c r="AM36" s="18"/>
    </row>
    <row r="37" spans="1:42">
      <c r="A37" s="6">
        <f t="shared" si="5"/>
        <v>2014</v>
      </c>
      <c r="C37" s="494">
        <f>'Exhibit P,1'!K37</f>
        <v>5996420.005929647</v>
      </c>
      <c r="E37" s="74">
        <f>1-'Exhibit Q,7'!I28</f>
        <v>1.0912698412698374E-2</v>
      </c>
      <c r="G37" s="187">
        <f t="shared" si="6"/>
        <v>65437.12308058123</v>
      </c>
      <c r="I37" s="17">
        <f t="shared" si="1"/>
        <v>6425000</v>
      </c>
      <c r="J37" s="187"/>
      <c r="K37" s="187">
        <f t="shared" si="7"/>
        <v>6490437.1230805814</v>
      </c>
      <c r="M37" s="247"/>
      <c r="N37" s="247"/>
      <c r="P37" s="25">
        <f t="shared" si="8"/>
        <v>2015</v>
      </c>
      <c r="Q37" s="205">
        <v>0</v>
      </c>
      <c r="R37" s="563">
        <v>6425000</v>
      </c>
      <c r="S37" s="563">
        <v>7425000</v>
      </c>
      <c r="T37" s="17">
        <v>6425000</v>
      </c>
      <c r="U37" s="17">
        <v>7425000</v>
      </c>
      <c r="V37" s="17">
        <f t="shared" si="3"/>
        <v>0</v>
      </c>
      <c r="W37" s="20">
        <v>7432135.3065539114</v>
      </c>
      <c r="X37" s="17">
        <f t="shared" si="4"/>
        <v>-941698.18347332999</v>
      </c>
      <c r="Y37" s="46"/>
      <c r="AA37" s="46"/>
      <c r="AB37" s="282"/>
      <c r="AC37" s="18"/>
      <c r="AD37" s="18"/>
      <c r="AE37" s="18"/>
      <c r="AF37" s="95"/>
      <c r="AG37" s="18"/>
      <c r="AI37" s="18"/>
      <c r="AJ37" s="95"/>
      <c r="AK37" s="18"/>
      <c r="AM37" s="18"/>
    </row>
    <row r="38" spans="1:42">
      <c r="A38" s="6">
        <f t="shared" si="5"/>
        <v>2015</v>
      </c>
      <c r="C38" s="494">
        <f>'Exhibit P,1'!K38</f>
        <v>4909277.5027443077</v>
      </c>
      <c r="E38" s="74">
        <f>1-'Exhibit Q,7'!I29</f>
        <v>7.3110766045548781E-2</v>
      </c>
      <c r="G38" s="187">
        <f t="shared" si="6"/>
        <v>358921.03895581502</v>
      </c>
      <c r="I38" s="17">
        <f t="shared" si="1"/>
        <v>2900000</v>
      </c>
      <c r="J38" s="187"/>
      <c r="K38" s="187">
        <f t="shared" si="7"/>
        <v>3258921.0389558151</v>
      </c>
      <c r="M38" s="247"/>
      <c r="N38" s="230"/>
      <c r="P38" s="25">
        <f t="shared" si="8"/>
        <v>2016</v>
      </c>
      <c r="Q38" s="205">
        <v>0</v>
      </c>
      <c r="R38" s="563">
        <v>2900000</v>
      </c>
      <c r="S38" s="563">
        <v>3900000</v>
      </c>
      <c r="T38" s="17">
        <v>2900000</v>
      </c>
      <c r="U38" s="17">
        <v>4100000</v>
      </c>
      <c r="V38" s="17">
        <f t="shared" si="3"/>
        <v>-200000</v>
      </c>
      <c r="W38" s="20">
        <v>4345939.2526457151</v>
      </c>
      <c r="X38" s="17">
        <f t="shared" si="4"/>
        <v>-1087018.2136899</v>
      </c>
      <c r="Y38" s="46"/>
      <c r="AA38" s="46"/>
      <c r="AB38" s="282"/>
      <c r="AC38" s="18"/>
      <c r="AD38" s="18"/>
      <c r="AE38" s="18"/>
      <c r="AF38" s="95"/>
      <c r="AG38" s="18"/>
      <c r="AI38" s="18"/>
      <c r="AJ38" s="95"/>
      <c r="AK38" s="18"/>
      <c r="AM38" s="18"/>
    </row>
    <row r="39" spans="1:42">
      <c r="A39" s="6">
        <f t="shared" si="5"/>
        <v>2016</v>
      </c>
      <c r="C39" s="494">
        <f>'Exhibit P,1'!K39</f>
        <v>5660812.3160411045</v>
      </c>
      <c r="E39" s="74">
        <f>1-'Exhibit Q,7'!I30</f>
        <v>0.21830326333431926</v>
      </c>
      <c r="G39" s="187">
        <f t="shared" si="6"/>
        <v>1235773.801714879</v>
      </c>
      <c r="I39" s="17">
        <f t="shared" si="1"/>
        <v>675000</v>
      </c>
      <c r="J39" s="187"/>
      <c r="K39" s="187">
        <f t="shared" si="7"/>
        <v>1910773.801714879</v>
      </c>
      <c r="M39" s="74"/>
      <c r="N39" s="18"/>
      <c r="P39" s="25">
        <f t="shared" si="8"/>
        <v>2017</v>
      </c>
      <c r="Q39" s="205">
        <v>0</v>
      </c>
      <c r="R39" s="563">
        <v>675000</v>
      </c>
      <c r="S39" s="563">
        <v>925000</v>
      </c>
      <c r="T39" s="17">
        <v>400000</v>
      </c>
      <c r="U39" s="17">
        <v>2650000</v>
      </c>
      <c r="V39" s="17">
        <f t="shared" si="3"/>
        <v>-1725000</v>
      </c>
      <c r="W39" s="20">
        <v>3650681.7810629103</v>
      </c>
      <c r="X39" s="17">
        <f t="shared" si="4"/>
        <v>-1739907.9793480313</v>
      </c>
      <c r="Y39" s="46"/>
      <c r="AA39" s="46"/>
      <c r="AB39" s="282"/>
      <c r="AC39" s="18"/>
      <c r="AD39" s="18"/>
      <c r="AE39" s="18"/>
      <c r="AF39" s="95"/>
      <c r="AG39" s="18"/>
      <c r="AI39" s="18"/>
      <c r="AJ39" s="95"/>
      <c r="AK39" s="18"/>
      <c r="AM39" s="18"/>
    </row>
    <row r="40" spans="1:42">
      <c r="A40" s="6">
        <f t="shared" si="5"/>
        <v>2017</v>
      </c>
      <c r="C40" s="494">
        <f>'Exhibit P,1'!K40</f>
        <v>5646930.0513870111</v>
      </c>
      <c r="E40" s="74">
        <f>1-'Exhibit Q,7'!I31</f>
        <v>0.43885766867133325</v>
      </c>
      <c r="G40" s="187">
        <f t="shared" si="6"/>
        <v>2478198.5575017957</v>
      </c>
      <c r="I40" s="17">
        <f t="shared" si="1"/>
        <v>1810000</v>
      </c>
      <c r="J40" s="187"/>
      <c r="K40" s="187">
        <f t="shared" si="7"/>
        <v>4288198.5575017957</v>
      </c>
      <c r="M40" s="18"/>
      <c r="N40" s="18"/>
      <c r="P40" s="25">
        <f t="shared" si="8"/>
        <v>2018</v>
      </c>
      <c r="Q40" s="205">
        <v>0</v>
      </c>
      <c r="R40" s="563">
        <v>1810000</v>
      </c>
      <c r="S40" s="563">
        <v>4810000</v>
      </c>
      <c r="T40" s="17">
        <v>1660000</v>
      </c>
      <c r="U40" s="17">
        <v>3410000</v>
      </c>
      <c r="V40" s="17">
        <f t="shared" si="3"/>
        <v>1400000</v>
      </c>
      <c r="W40" s="20">
        <v>5432788.2090472076</v>
      </c>
      <c r="X40" s="17">
        <f t="shared" si="4"/>
        <v>-1144589.6515454119</v>
      </c>
      <c r="Y40" s="46"/>
      <c r="AA40" s="46"/>
      <c r="AB40" s="282"/>
      <c r="AC40" s="18"/>
      <c r="AD40" s="18"/>
      <c r="AE40" s="18"/>
      <c r="AF40" s="95"/>
      <c r="AG40" s="18"/>
      <c r="AI40" s="18"/>
      <c r="AJ40" s="95"/>
      <c r="AK40" s="18"/>
      <c r="AM40" s="18"/>
      <c r="AN40" s="18"/>
      <c r="AO40" s="95"/>
      <c r="AP40" s="95"/>
    </row>
    <row r="41" spans="1:42">
      <c r="A41" s="6">
        <f t="shared" si="5"/>
        <v>2018</v>
      </c>
      <c r="C41" s="494">
        <f>'Exhibit P,1'!K41</f>
        <v>3883809.898313968</v>
      </c>
      <c r="E41" s="74">
        <f>1-'Exhibit Q,7'!I32</f>
        <v>0.6272059548457064</v>
      </c>
      <c r="G41" s="187">
        <f t="shared" si="6"/>
        <v>2435948.6957112183</v>
      </c>
      <c r="I41" s="17">
        <f t="shared" si="1"/>
        <v>405000</v>
      </c>
      <c r="J41" s="187"/>
      <c r="K41" s="187">
        <f t="shared" si="7"/>
        <v>2840948.6957112183</v>
      </c>
      <c r="M41" s="18"/>
      <c r="N41" s="18"/>
      <c r="P41" s="25">
        <f t="shared" si="8"/>
        <v>2019</v>
      </c>
      <c r="Q41" s="205">
        <v>0</v>
      </c>
      <c r="R41" s="563">
        <v>405000</v>
      </c>
      <c r="S41" s="563">
        <v>1405000</v>
      </c>
      <c r="T41" s="17">
        <v>405000</v>
      </c>
      <c r="U41" s="17">
        <v>1155000</v>
      </c>
      <c r="V41" s="17">
        <f t="shared" si="3"/>
        <v>250000</v>
      </c>
      <c r="W41" s="20">
        <v>3506557.7568370984</v>
      </c>
      <c r="X41" s="17">
        <f t="shared" si="4"/>
        <v>-665609.06112588011</v>
      </c>
      <c r="Y41" s="46"/>
      <c r="AA41" s="46"/>
      <c r="AB41" s="282"/>
      <c r="AC41" s="18"/>
      <c r="AD41" s="18"/>
      <c r="AE41" s="18"/>
      <c r="AF41" s="95"/>
      <c r="AG41" s="18"/>
      <c r="AI41" s="18"/>
      <c r="AJ41" s="95"/>
      <c r="AK41" s="18"/>
      <c r="AM41" s="18"/>
      <c r="AN41" s="18"/>
      <c r="AO41" s="95"/>
      <c r="AP41" s="95"/>
    </row>
    <row r="42" spans="1:42">
      <c r="A42" s="6">
        <f t="shared" si="5"/>
        <v>2019</v>
      </c>
      <c r="C42" s="494">
        <f>'Exhibit P,1'!K42</f>
        <v>3490136.491477523</v>
      </c>
      <c r="E42" s="74">
        <f>1-'Exhibit Q,7'!I33</f>
        <v>0.79323452408338535</v>
      </c>
      <c r="G42" s="187">
        <f t="shared" si="6"/>
        <v>2768496.7588032293</v>
      </c>
      <c r="I42" s="17">
        <f t="shared" si="1"/>
        <v>1575000</v>
      </c>
      <c r="J42" s="187"/>
      <c r="K42" s="187">
        <f t="shared" si="7"/>
        <v>4343496.7588032298</v>
      </c>
      <c r="P42" s="25">
        <f t="shared" si="8"/>
        <v>2020</v>
      </c>
      <c r="Q42" s="205">
        <v>0</v>
      </c>
      <c r="R42" s="563">
        <v>1575000</v>
      </c>
      <c r="S42" s="563">
        <v>1825000</v>
      </c>
      <c r="T42" s="17">
        <v>0</v>
      </c>
      <c r="U42" s="17">
        <v>500000</v>
      </c>
      <c r="V42" s="17">
        <f t="shared" si="3"/>
        <v>1325000</v>
      </c>
      <c r="W42" s="20">
        <v>3398977.5824485631</v>
      </c>
      <c r="X42" s="17">
        <f t="shared" si="4"/>
        <v>944519.17635466671</v>
      </c>
      <c r="Y42" s="46"/>
      <c r="AA42" s="46"/>
      <c r="AB42" s="282"/>
      <c r="AC42" s="18"/>
      <c r="AD42" s="18"/>
      <c r="AE42" s="18"/>
      <c r="AF42" s="95"/>
      <c r="AG42" s="18"/>
      <c r="AI42" s="18"/>
      <c r="AJ42" s="95"/>
      <c r="AK42" s="18"/>
      <c r="AM42" s="18"/>
      <c r="AN42" s="18"/>
      <c r="AO42" s="95"/>
      <c r="AP42" s="95"/>
    </row>
    <row r="43" spans="1:42">
      <c r="A43" s="6">
        <f t="shared" si="5"/>
        <v>2020</v>
      </c>
      <c r="C43" s="494">
        <f>'Exhibit P,1'!K43</f>
        <v>4137064.2556534763</v>
      </c>
      <c r="E43" s="74">
        <f>1-'Exhibit Q,7'!I34</f>
        <v>0.96713661309934607</v>
      </c>
      <c r="G43" s="187">
        <f t="shared" si="6"/>
        <v>4001106.3123870702</v>
      </c>
      <c r="I43" s="17">
        <f t="shared" si="1"/>
        <v>0</v>
      </c>
      <c r="J43" s="187"/>
      <c r="K43" s="187">
        <f t="shared" si="7"/>
        <v>4001106.3123870702</v>
      </c>
      <c r="P43" s="25">
        <f t="shared" si="8"/>
        <v>2021</v>
      </c>
      <c r="Q43" s="205">
        <v>0</v>
      </c>
      <c r="R43" s="563">
        <v>0</v>
      </c>
      <c r="S43" s="563">
        <v>0</v>
      </c>
      <c r="T43" s="17">
        <v>0</v>
      </c>
      <c r="U43" s="17">
        <v>0</v>
      </c>
      <c r="V43" s="17">
        <f t="shared" si="3"/>
        <v>0</v>
      </c>
      <c r="W43" s="20">
        <v>3874783.1419683546</v>
      </c>
      <c r="X43" s="17">
        <f t="shared" si="4"/>
        <v>126323.17041871557</v>
      </c>
      <c r="Y43" s="46"/>
      <c r="AA43" s="46"/>
      <c r="AB43" s="282"/>
      <c r="AC43" s="18"/>
      <c r="AD43" s="18"/>
      <c r="AE43" s="18"/>
      <c r="AF43" s="95"/>
      <c r="AG43" s="18"/>
      <c r="AI43" s="18"/>
      <c r="AJ43" s="95"/>
      <c r="AK43" s="18"/>
      <c r="AM43" s="18"/>
      <c r="AN43" s="18"/>
      <c r="AO43" s="95"/>
      <c r="AP43" s="95"/>
    </row>
    <row r="44" spans="1:42">
      <c r="A44" s="6">
        <f t="shared" si="5"/>
        <v>2021</v>
      </c>
      <c r="C44" s="494">
        <f>'Exhibit P,1'!K44</f>
        <v>5600759.1791106639</v>
      </c>
      <c r="E44" s="74">
        <f>1-'Exhibit Q,7'!I35</f>
        <v>0.99892447097416037</v>
      </c>
      <c r="G44" s="187">
        <f t="shared" si="6"/>
        <v>5594735.4000467928</v>
      </c>
      <c r="I44" s="17">
        <f t="shared" si="1"/>
        <v>0</v>
      </c>
      <c r="J44" s="187"/>
      <c r="K44" s="187">
        <f t="shared" si="7"/>
        <v>5594735.4000467928</v>
      </c>
      <c r="P44" s="25">
        <f t="shared" si="8"/>
        <v>2022</v>
      </c>
      <c r="Q44" s="25"/>
      <c r="R44" s="563">
        <v>0</v>
      </c>
      <c r="S44" s="563">
        <v>0</v>
      </c>
      <c r="T44" s="17">
        <v>0</v>
      </c>
      <c r="U44" s="17">
        <v>0</v>
      </c>
      <c r="V44" s="17">
        <f t="shared" si="3"/>
        <v>0</v>
      </c>
      <c r="W44" s="20">
        <v>0</v>
      </c>
      <c r="X44" s="17"/>
      <c r="Y44" s="282"/>
      <c r="Z44" s="282"/>
      <c r="AA44" s="282"/>
      <c r="AB44" s="282"/>
      <c r="AC44" s="282"/>
      <c r="AD44" s="282"/>
      <c r="AE44" s="282"/>
      <c r="AF44" s="282"/>
      <c r="AG44" s="282"/>
      <c r="AH44" s="282"/>
      <c r="AI44" s="282"/>
      <c r="AJ44" s="282"/>
      <c r="AK44" s="282"/>
      <c r="AL44" s="282"/>
      <c r="AM44" s="282"/>
      <c r="AN44" s="282"/>
      <c r="AO44" s="282"/>
      <c r="AP44" s="95"/>
    </row>
    <row r="45" spans="1:42">
      <c r="A45" s="6"/>
      <c r="C45" s="105"/>
      <c r="G45" s="105"/>
      <c r="I45" s="105"/>
      <c r="K45" s="105"/>
      <c r="P45" s="25"/>
      <c r="Q45" s="25"/>
      <c r="R45" s="365"/>
      <c r="S45" s="25"/>
      <c r="T45" s="25"/>
      <c r="U45" s="25"/>
      <c r="V45" s="25"/>
      <c r="W45" s="20"/>
      <c r="X45" s="20"/>
      <c r="Y45" s="282"/>
      <c r="Z45" s="282"/>
      <c r="AA45" s="282"/>
      <c r="AB45" s="282"/>
      <c r="AC45" s="282"/>
      <c r="AD45" s="282"/>
      <c r="AE45" s="282"/>
      <c r="AF45" s="282"/>
      <c r="AG45" s="282"/>
      <c r="AH45" s="282"/>
      <c r="AI45" s="282"/>
      <c r="AJ45" s="282"/>
      <c r="AK45" s="282"/>
      <c r="AL45" s="282"/>
      <c r="AM45" s="282"/>
      <c r="AN45" s="282"/>
      <c r="AO45" s="282"/>
      <c r="AP45" s="95"/>
    </row>
    <row r="46" spans="1:42">
      <c r="A46" s="6" t="s">
        <v>0</v>
      </c>
      <c r="C46" s="26">
        <f>SUM(C16:C44)</f>
        <v>260602843.8357994</v>
      </c>
      <c r="G46" s="26">
        <f>SUM(G16:G44)</f>
        <v>18938617.688201383</v>
      </c>
      <c r="H46" s="26"/>
      <c r="I46" s="26">
        <f>SUM(I16:I44)</f>
        <v>242079878.47999999</v>
      </c>
      <c r="J46" s="26"/>
      <c r="K46" s="26">
        <f>SUM(K16:K44)</f>
        <v>261018496.16820136</v>
      </c>
      <c r="L46" s="26"/>
      <c r="P46" s="25" t="s">
        <v>0</v>
      </c>
      <c r="Q46" s="278">
        <f t="shared" ref="Q46:X46" si="9">SUM(Q16:Q44)</f>
        <v>0</v>
      </c>
      <c r="R46" s="278">
        <f t="shared" si="9"/>
        <v>242079878.47999999</v>
      </c>
      <c r="S46" s="278">
        <f t="shared" si="9"/>
        <v>249579878.47999999</v>
      </c>
      <c r="T46" s="278">
        <f t="shared" si="9"/>
        <v>240079878.47999999</v>
      </c>
      <c r="U46" s="278">
        <f t="shared" si="9"/>
        <v>248529878.47999999</v>
      </c>
      <c r="V46" s="278">
        <f t="shared" si="9"/>
        <v>1050000</v>
      </c>
      <c r="W46" s="278">
        <f t="shared" si="9"/>
        <v>260931741.51056373</v>
      </c>
      <c r="X46" s="278">
        <f t="shared" si="9"/>
        <v>-5507980.7424091715</v>
      </c>
      <c r="Y46" s="282"/>
      <c r="Z46" s="282"/>
      <c r="AA46" s="282"/>
      <c r="AB46" s="282"/>
      <c r="AC46" s="282"/>
      <c r="AD46" s="282"/>
      <c r="AE46" s="282"/>
      <c r="AF46" s="282"/>
      <c r="AG46" s="282"/>
      <c r="AH46" s="282"/>
      <c r="AI46" s="282"/>
      <c r="AJ46" s="282"/>
      <c r="AK46" s="282"/>
      <c r="AL46" s="282"/>
      <c r="AM46" s="282"/>
      <c r="AN46" s="282"/>
      <c r="AO46" s="282"/>
      <c r="AP46" s="95"/>
    </row>
    <row r="47" spans="1:42">
      <c r="R47" s="365"/>
      <c r="X47" s="282"/>
      <c r="Y47" s="282"/>
      <c r="Z47" s="282"/>
      <c r="AA47" s="282"/>
      <c r="AB47" s="282"/>
      <c r="AC47" s="282"/>
      <c r="AD47" s="282"/>
      <c r="AE47" s="282"/>
      <c r="AF47" s="282"/>
      <c r="AG47" s="282"/>
      <c r="AH47" s="282"/>
      <c r="AI47" s="282"/>
      <c r="AJ47" s="282"/>
      <c r="AK47" s="282"/>
      <c r="AL47" s="282"/>
      <c r="AM47" s="282"/>
      <c r="AN47" s="282"/>
      <c r="AO47" s="282"/>
      <c r="AP47" s="95"/>
    </row>
    <row r="48" spans="1:42">
      <c r="A48" s="2" t="str">
        <f>_xlfn.CONCAT(A37,"-",A44)</f>
        <v>2014-2021</v>
      </c>
      <c r="C48" s="26">
        <f>SUM(C37:C44)</f>
        <v>39325209.700657703</v>
      </c>
      <c r="G48" s="26">
        <f>SUM(G37:G44)</f>
        <v>18938617.688201383</v>
      </c>
      <c r="H48" s="26"/>
      <c r="I48" s="26">
        <f>SUM(I37:I44)</f>
        <v>13790000</v>
      </c>
      <c r="J48" s="26"/>
      <c r="K48" s="26">
        <f>SUM(K37:K44)</f>
        <v>32728617.688201383</v>
      </c>
      <c r="R48" s="365"/>
      <c r="X48" s="282"/>
      <c r="Y48" s="282"/>
      <c r="Z48" s="282"/>
      <c r="AA48" s="282"/>
      <c r="AB48" s="282"/>
      <c r="AC48" s="282"/>
      <c r="AD48" s="282"/>
      <c r="AE48" s="282"/>
      <c r="AF48" s="282"/>
      <c r="AG48" s="282"/>
      <c r="AH48" s="282"/>
      <c r="AI48" s="282"/>
      <c r="AJ48" s="282"/>
      <c r="AK48" s="282"/>
      <c r="AL48" s="282"/>
      <c r="AM48" s="282"/>
      <c r="AN48" s="282"/>
      <c r="AO48" s="282"/>
      <c r="AP48" s="95"/>
    </row>
    <row r="49" spans="1:42">
      <c r="A49" s="2" t="str">
        <f>_xlfn.CONCAT(A39,"-",A44)</f>
        <v>2016-2021</v>
      </c>
      <c r="C49" s="18">
        <f>SUM(C39:C44)</f>
        <v>28419512.191983748</v>
      </c>
      <c r="G49" s="231">
        <f>SUM(G39:G44)</f>
        <v>18514259.526164986</v>
      </c>
      <c r="I49" s="231">
        <f>SUM(I39:I44)</f>
        <v>4465000</v>
      </c>
      <c r="J49" s="231"/>
      <c r="K49" s="231">
        <f>SUM(K39:K44)</f>
        <v>22979259.526164986</v>
      </c>
      <c r="R49" s="365"/>
      <c r="X49" s="282"/>
      <c r="Y49" s="282"/>
      <c r="Z49" s="282"/>
      <c r="AA49" s="282"/>
      <c r="AB49" s="282"/>
      <c r="AC49" s="282"/>
      <c r="AD49" s="282"/>
      <c r="AE49" s="282"/>
      <c r="AF49" s="282"/>
      <c r="AG49" s="282"/>
      <c r="AH49" s="282"/>
      <c r="AI49" s="282"/>
      <c r="AJ49" s="282"/>
      <c r="AK49" s="282"/>
      <c r="AL49" s="282"/>
      <c r="AM49" s="282"/>
      <c r="AN49" s="282"/>
      <c r="AO49" s="282"/>
      <c r="AP49" s="95"/>
    </row>
    <row r="50" spans="1:42">
      <c r="R50" s="365"/>
      <c r="X50" s="282"/>
      <c r="Y50" s="282"/>
      <c r="Z50" s="282"/>
      <c r="AA50" s="282"/>
      <c r="AB50" s="282"/>
      <c r="AC50" s="282"/>
      <c r="AD50" s="282"/>
      <c r="AE50" s="282"/>
      <c r="AF50" s="282"/>
      <c r="AG50" s="282"/>
      <c r="AH50" s="282"/>
      <c r="AI50" s="282"/>
      <c r="AJ50" s="282"/>
      <c r="AK50" s="282"/>
      <c r="AL50" s="282"/>
      <c r="AM50" s="282"/>
      <c r="AN50" s="282"/>
      <c r="AO50" s="282"/>
      <c r="AP50" s="95"/>
    </row>
    <row r="51" spans="1:42">
      <c r="G51" s="26"/>
      <c r="I51" s="26"/>
      <c r="K51" s="26"/>
      <c r="R51" s="365"/>
      <c r="AM51" s="18"/>
      <c r="AN51" s="18"/>
      <c r="AO51" s="95"/>
      <c r="AP51" s="95"/>
    </row>
    <row r="52" spans="1:42">
      <c r="G52" s="231"/>
      <c r="I52" s="18"/>
      <c r="K52" s="18"/>
      <c r="R52" s="365"/>
      <c r="AM52" s="18"/>
      <c r="AN52" s="18"/>
      <c r="AO52" s="95"/>
      <c r="AP52" s="95"/>
    </row>
    <row r="53" spans="1:42">
      <c r="A53" s="6" t="s">
        <v>50</v>
      </c>
      <c r="B53" s="1" t="s">
        <v>74</v>
      </c>
      <c r="R53" s="365"/>
      <c r="AM53" s="18"/>
      <c r="AN53" s="18"/>
      <c r="AO53" s="95"/>
      <c r="AP53" s="95"/>
    </row>
    <row r="54" spans="1:42">
      <c r="B54" s="3" t="s">
        <v>922</v>
      </c>
      <c r="R54" s="365"/>
      <c r="AM54" s="18"/>
      <c r="AN54" s="18"/>
      <c r="AO54" s="95"/>
      <c r="AP54" s="95"/>
    </row>
    <row r="55" spans="1:42">
      <c r="B55" s="1" t="s">
        <v>51</v>
      </c>
      <c r="R55" s="365"/>
      <c r="AM55" s="18"/>
      <c r="AN55" s="18"/>
      <c r="AO55" s="95"/>
      <c r="AP55" s="95"/>
    </row>
    <row r="56" spans="1:42">
      <c r="B56" s="3" t="s">
        <v>915</v>
      </c>
      <c r="R56" s="365"/>
      <c r="AM56" s="18"/>
      <c r="AN56" s="18"/>
      <c r="AO56" s="95"/>
      <c r="AP56" s="95"/>
    </row>
    <row r="57" spans="1:42">
      <c r="B57" s="1" t="s">
        <v>61</v>
      </c>
      <c r="R57" s="365"/>
      <c r="AM57" s="18"/>
      <c r="AN57" s="18"/>
      <c r="AO57" s="95"/>
      <c r="AP57" s="95"/>
    </row>
    <row r="58" spans="1:42">
      <c r="R58" s="365"/>
      <c r="AM58" s="18"/>
      <c r="AN58" s="18"/>
      <c r="AO58" s="95"/>
      <c r="AP58" s="95"/>
    </row>
    <row r="59" spans="1:42">
      <c r="R59" s="365"/>
      <c r="AM59" s="18"/>
      <c r="AN59" s="18"/>
      <c r="AO59" s="95"/>
      <c r="AP59" s="95"/>
    </row>
    <row r="60" spans="1:42">
      <c r="AM60" s="18"/>
      <c r="AN60" s="18"/>
      <c r="AO60" s="95"/>
      <c r="AP60" s="95"/>
    </row>
  </sheetData>
  <printOptions horizontalCentered="1"/>
  <pageMargins left="0.7" right="0.7" top="0.75" bottom="0.75" header="0.3" footer="0.3"/>
  <pageSetup scale="75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2">
    <pageSetUpPr fitToPage="1"/>
  </sheetPr>
  <dimension ref="A1:S53"/>
  <sheetViews>
    <sheetView zoomScaleNormal="100" workbookViewId="0"/>
  </sheetViews>
  <sheetFormatPr baseColWidth="10" defaultColWidth="8.7109375" defaultRowHeight="15"/>
  <cols>
    <col min="1" max="1" width="9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2.7109375" style="1" customWidth="1"/>
    <col min="12" max="12" width="10.28515625" style="1" bestFit="1" customWidth="1"/>
    <col min="13" max="13" width="8.7109375" style="1"/>
    <col min="14" max="16" width="12.7109375" style="1" customWidth="1"/>
    <col min="17" max="17" width="15.42578125" style="1" bestFit="1" customWidth="1"/>
    <col min="18" max="16384" width="8.7109375" style="1"/>
  </cols>
  <sheetData>
    <row r="1" spans="1:19">
      <c r="K1" s="52" t="s">
        <v>65</v>
      </c>
    </row>
    <row r="2" spans="1:19">
      <c r="K2" s="52" t="s">
        <v>56</v>
      </c>
    </row>
    <row r="4" spans="1:19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19">
      <c r="A5" s="5"/>
      <c r="B5" s="5"/>
      <c r="C5" s="5"/>
      <c r="D5" s="5"/>
      <c r="E5" s="5"/>
      <c r="F5" s="5"/>
      <c r="G5" s="5"/>
      <c r="H5" s="5"/>
      <c r="I5" s="5"/>
      <c r="J5" s="5"/>
      <c r="K5" s="5"/>
    </row>
    <row r="6" spans="1:19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9">
      <c r="A7" s="5" t="s">
        <v>200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19">
      <c r="A8" s="5" t="s">
        <v>1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19">
      <c r="A9" s="5"/>
      <c r="B9" s="5"/>
      <c r="C9" s="5"/>
      <c r="D9" s="5"/>
      <c r="E9" s="5"/>
      <c r="G9" s="5"/>
      <c r="H9" s="5"/>
      <c r="I9" s="5"/>
      <c r="J9" s="5"/>
      <c r="K9" s="5"/>
    </row>
    <row r="10" spans="1:19">
      <c r="N10" s="61"/>
      <c r="O10" s="25" t="s">
        <v>2</v>
      </c>
      <c r="P10" s="61"/>
    </row>
    <row r="11" spans="1:19">
      <c r="L11" s="25"/>
      <c r="N11" s="61"/>
      <c r="O11" s="25" t="s">
        <v>117</v>
      </c>
      <c r="P11" s="61"/>
      <c r="S11" s="25"/>
    </row>
    <row r="12" spans="1:19">
      <c r="A12" s="6" t="s">
        <v>3</v>
      </c>
      <c r="C12" s="5" t="s">
        <v>70</v>
      </c>
      <c r="D12" s="5"/>
      <c r="E12" s="5"/>
      <c r="G12" s="5" t="s">
        <v>72</v>
      </c>
      <c r="H12" s="5"/>
      <c r="I12" s="5"/>
      <c r="K12" s="6" t="s">
        <v>1</v>
      </c>
      <c r="L12" s="25"/>
      <c r="M12" s="25"/>
      <c r="N12" s="25" t="s">
        <v>3</v>
      </c>
      <c r="O12" s="25" t="s">
        <v>1304</v>
      </c>
      <c r="P12" s="61"/>
      <c r="S12" s="25"/>
    </row>
    <row r="13" spans="1:19">
      <c r="A13" s="6" t="s">
        <v>4</v>
      </c>
      <c r="C13" s="106" t="s">
        <v>14</v>
      </c>
      <c r="D13" s="106"/>
      <c r="E13" s="106" t="s">
        <v>12</v>
      </c>
      <c r="G13" s="106" t="s">
        <v>14</v>
      </c>
      <c r="H13" s="105"/>
      <c r="I13" s="106" t="s">
        <v>12</v>
      </c>
      <c r="K13" s="6" t="s">
        <v>73</v>
      </c>
      <c r="L13" s="25"/>
      <c r="M13" s="25"/>
      <c r="N13" s="25" t="s">
        <v>4</v>
      </c>
      <c r="O13" s="45" t="s">
        <v>1</v>
      </c>
      <c r="P13" s="25" t="s">
        <v>18</v>
      </c>
      <c r="S13" s="25"/>
    </row>
    <row r="14" spans="1:19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  <c r="L14" s="142"/>
      <c r="M14" s="142"/>
      <c r="N14" s="279" t="s">
        <v>30</v>
      </c>
      <c r="O14" s="279" t="s">
        <v>31</v>
      </c>
      <c r="P14" s="279" t="s">
        <v>103</v>
      </c>
    </row>
    <row r="15" spans="1:19">
      <c r="A15" s="6"/>
      <c r="C15" s="6"/>
      <c r="E15" s="6"/>
      <c r="G15" s="6"/>
      <c r="I15" s="6"/>
      <c r="K15" s="6"/>
      <c r="N15" s="61"/>
      <c r="O15" s="61"/>
      <c r="P15" s="61"/>
    </row>
    <row r="16" spans="1:19">
      <c r="A16" s="6">
        <v>1994</v>
      </c>
      <c r="C16" s="147">
        <f>'Exhibit O,3'!I16/(1-'Exhibit O,3'!E16)</f>
        <v>25659084.629999999</v>
      </c>
      <c r="D16" s="147"/>
      <c r="E16" s="147">
        <f>'Exhibit O,2'!I16/(1-'Exhibit O,2'!E16)</f>
        <v>25659084.629999999</v>
      </c>
      <c r="F16" s="147"/>
      <c r="G16" s="147">
        <f>'Exhibit O,3'!K16</f>
        <v>25659084.629999999</v>
      </c>
      <c r="H16" s="147"/>
      <c r="I16" s="147">
        <f>'Exhibit O,2'!K16</f>
        <v>25659084.629999999</v>
      </c>
      <c r="J16" s="147"/>
      <c r="K16" s="497">
        <f>E16</f>
        <v>25659084.629999999</v>
      </c>
      <c r="N16" s="25">
        <v>1994</v>
      </c>
      <c r="O16" s="356">
        <f>'Exhibit O,3'!W16</f>
        <v>25659084.629999999</v>
      </c>
      <c r="P16" s="20">
        <f t="shared" ref="P16:P42" si="0">K16-O16</f>
        <v>0</v>
      </c>
      <c r="R16" s="22"/>
      <c r="S16" s="95"/>
    </row>
    <row r="17" spans="1:19">
      <c r="A17" s="6">
        <f>A16+1</f>
        <v>1995</v>
      </c>
      <c r="C17" s="494">
        <f>'Exhibit O,3'!I17/(1-'Exhibit O,3'!E17)</f>
        <v>27896034.309999995</v>
      </c>
      <c r="D17" s="187"/>
      <c r="E17" s="494">
        <f>'Exhibit O,2'!I17/(1-'Exhibit O,2'!E17)</f>
        <v>27896034.309999995</v>
      </c>
      <c r="F17" s="187"/>
      <c r="G17" s="494">
        <f>'Exhibit O,3'!K17</f>
        <v>27896034.309999995</v>
      </c>
      <c r="H17" s="187"/>
      <c r="I17" s="494">
        <f>'Exhibit O,2'!K17</f>
        <v>27896034.309999995</v>
      </c>
      <c r="J17" s="187"/>
      <c r="K17" s="187">
        <f>E17</f>
        <v>27896034.309999995</v>
      </c>
      <c r="N17" s="25">
        <f>N16+1</f>
        <v>1995</v>
      </c>
      <c r="O17" s="20">
        <f>'Exhibit O,3'!W17</f>
        <v>27896034.309999995</v>
      </c>
      <c r="P17" s="20">
        <f t="shared" si="0"/>
        <v>0</v>
      </c>
      <c r="Q17" s="20"/>
      <c r="R17" s="22"/>
      <c r="S17" s="95"/>
    </row>
    <row r="18" spans="1:19">
      <c r="A18" s="6">
        <f t="shared" ref="A18:A44" si="1">A17+1</f>
        <v>1996</v>
      </c>
      <c r="C18" s="494">
        <f>'Exhibit O,3'!I18/(1-'Exhibit O,3'!E18)</f>
        <v>30198928.089999996</v>
      </c>
      <c r="D18" s="187"/>
      <c r="E18" s="494">
        <f>'Exhibit O,2'!I18/(1-'Exhibit O,2'!E18)</f>
        <v>30198928.089999996</v>
      </c>
      <c r="F18" s="187"/>
      <c r="G18" s="494">
        <f>'Exhibit O,3'!K18</f>
        <v>30198928.089999996</v>
      </c>
      <c r="H18" s="187"/>
      <c r="I18" s="494">
        <f>'Exhibit O,2'!K18</f>
        <v>30198928.089999996</v>
      </c>
      <c r="J18" s="187"/>
      <c r="K18" s="187">
        <f t="shared" ref="K18:K24" si="2">E18</f>
        <v>30198928.089999996</v>
      </c>
      <c r="N18" s="25">
        <f t="shared" ref="N18:N44" si="3">N17+1</f>
        <v>1996</v>
      </c>
      <c r="O18" s="20">
        <f>'Exhibit O,3'!W18</f>
        <v>30198928.089999996</v>
      </c>
      <c r="P18" s="20">
        <f t="shared" si="0"/>
        <v>0</v>
      </c>
      <c r="Q18" s="20"/>
      <c r="R18" s="22"/>
      <c r="S18" s="95"/>
    </row>
    <row r="19" spans="1:19">
      <c r="A19" s="6">
        <f t="shared" si="1"/>
        <v>1997</v>
      </c>
      <c r="C19" s="494">
        <f>'Exhibit O,3'!I19/(1-'Exhibit O,3'!E19)</f>
        <v>26713733.369999997</v>
      </c>
      <c r="D19" s="187"/>
      <c r="E19" s="494">
        <f>'Exhibit O,2'!I19/(1-'Exhibit O,2'!E19)</f>
        <v>26713733.369999997</v>
      </c>
      <c r="F19" s="187"/>
      <c r="G19" s="494">
        <f>'Exhibit O,3'!K19</f>
        <v>26713733.369999997</v>
      </c>
      <c r="H19" s="187"/>
      <c r="I19" s="494">
        <f>'Exhibit O,2'!K19</f>
        <v>26713733.369999997</v>
      </c>
      <c r="J19" s="187"/>
      <c r="K19" s="187">
        <f t="shared" si="2"/>
        <v>26713733.369999997</v>
      </c>
      <c r="N19" s="25">
        <f t="shared" si="3"/>
        <v>1997</v>
      </c>
      <c r="O19" s="20">
        <f>'Exhibit O,3'!W19</f>
        <v>26713733.369999997</v>
      </c>
      <c r="P19" s="20">
        <f t="shared" si="0"/>
        <v>0</v>
      </c>
      <c r="Q19" s="20"/>
      <c r="R19" s="22"/>
      <c r="S19" s="95"/>
    </row>
    <row r="20" spans="1:19">
      <c r="A20" s="6">
        <f t="shared" si="1"/>
        <v>1998</v>
      </c>
      <c r="C20" s="494">
        <f>'Exhibit O,3'!I20/(1-'Exhibit O,3'!E20)</f>
        <v>29164670.75</v>
      </c>
      <c r="D20" s="187"/>
      <c r="E20" s="494">
        <f>'Exhibit O,2'!I20/(1-'Exhibit O,2'!E20)</f>
        <v>29164670.75</v>
      </c>
      <c r="F20" s="187"/>
      <c r="G20" s="494">
        <f>'Exhibit O,3'!K20</f>
        <v>29164670.75</v>
      </c>
      <c r="H20" s="187"/>
      <c r="I20" s="494">
        <f>'Exhibit O,2'!K20</f>
        <v>29164670.75</v>
      </c>
      <c r="J20" s="187"/>
      <c r="K20" s="187">
        <f t="shared" si="2"/>
        <v>29164670.75</v>
      </c>
      <c r="N20" s="25">
        <f t="shared" si="3"/>
        <v>1998</v>
      </c>
      <c r="O20" s="20">
        <f>'Exhibit O,3'!W20</f>
        <v>29164670.75</v>
      </c>
      <c r="P20" s="20">
        <f t="shared" si="0"/>
        <v>0</v>
      </c>
      <c r="Q20" s="20"/>
      <c r="R20" s="22"/>
      <c r="S20" s="95"/>
    </row>
    <row r="21" spans="1:19">
      <c r="A21" s="6">
        <f t="shared" si="1"/>
        <v>1999</v>
      </c>
      <c r="C21" s="494">
        <f>'Exhibit O,3'!I21/(1-'Exhibit O,3'!E21)</f>
        <v>35137110.340000004</v>
      </c>
      <c r="D21" s="187"/>
      <c r="E21" s="494">
        <f>'Exhibit O,2'!I21/(1-'Exhibit O,2'!E21)</f>
        <v>35137110.340000004</v>
      </c>
      <c r="F21" s="187"/>
      <c r="G21" s="494">
        <f>'Exhibit O,3'!K21</f>
        <v>35137110.340000004</v>
      </c>
      <c r="H21" s="187"/>
      <c r="I21" s="494">
        <f>'Exhibit O,2'!K21</f>
        <v>35137110.340000004</v>
      </c>
      <c r="J21" s="187"/>
      <c r="K21" s="187">
        <f t="shared" si="2"/>
        <v>35137110.340000004</v>
      </c>
      <c r="N21" s="25">
        <f t="shared" si="3"/>
        <v>1999</v>
      </c>
      <c r="O21" s="20">
        <f>'Exhibit O,3'!W21</f>
        <v>35137110.340000004</v>
      </c>
      <c r="P21" s="20">
        <f t="shared" si="0"/>
        <v>0</v>
      </c>
      <c r="Q21" s="20"/>
      <c r="R21" s="22"/>
      <c r="S21" s="95"/>
    </row>
    <row r="22" spans="1:19">
      <c r="A22" s="6">
        <f t="shared" si="1"/>
        <v>2000</v>
      </c>
      <c r="C22" s="494">
        <f>'Exhibit O,3'!I22/(1-'Exhibit O,3'!E22)</f>
        <v>27795495.93</v>
      </c>
      <c r="D22" s="187"/>
      <c r="E22" s="494">
        <f>'Exhibit O,2'!I22/(1-'Exhibit O,2'!E22)</f>
        <v>27795495.93</v>
      </c>
      <c r="F22" s="187"/>
      <c r="G22" s="494">
        <f>'Exhibit O,3'!K22</f>
        <v>27795495.93</v>
      </c>
      <c r="H22" s="187"/>
      <c r="I22" s="494">
        <f>'Exhibit O,2'!K22</f>
        <v>27795495.93</v>
      </c>
      <c r="J22" s="187"/>
      <c r="K22" s="187">
        <f t="shared" si="2"/>
        <v>27795495.93</v>
      </c>
      <c r="N22" s="25">
        <f t="shared" si="3"/>
        <v>2000</v>
      </c>
      <c r="O22" s="20">
        <f>'Exhibit O,3'!W22</f>
        <v>27795495.93</v>
      </c>
      <c r="P22" s="20">
        <f t="shared" si="0"/>
        <v>0</v>
      </c>
      <c r="Q22" s="20"/>
      <c r="R22" s="22"/>
      <c r="S22" s="95"/>
    </row>
    <row r="23" spans="1:19">
      <c r="A23" s="6">
        <f t="shared" si="1"/>
        <v>2001</v>
      </c>
      <c r="C23" s="494">
        <f>'Exhibit O,3'!I23/(1-'Exhibit O,3'!E23)</f>
        <v>22560712.330000006</v>
      </c>
      <c r="D23" s="187"/>
      <c r="E23" s="494">
        <f>'Exhibit O,2'!I23/(1-'Exhibit O,2'!E23)</f>
        <v>22560712.330000006</v>
      </c>
      <c r="F23" s="187"/>
      <c r="G23" s="494">
        <f>'Exhibit O,3'!K23</f>
        <v>22560712.330000006</v>
      </c>
      <c r="H23" s="187"/>
      <c r="I23" s="494">
        <f>'Exhibit O,2'!K23</f>
        <v>22560712.330000006</v>
      </c>
      <c r="J23" s="187"/>
      <c r="K23" s="187">
        <f t="shared" si="2"/>
        <v>22560712.330000006</v>
      </c>
      <c r="N23" s="25">
        <f t="shared" si="3"/>
        <v>2001</v>
      </c>
      <c r="O23" s="20">
        <f>'Exhibit O,3'!W23</f>
        <v>22560712.330000006</v>
      </c>
      <c r="P23" s="20">
        <f t="shared" si="0"/>
        <v>0</v>
      </c>
      <c r="Q23" s="20"/>
      <c r="R23" s="22"/>
      <c r="S23" s="95"/>
    </row>
    <row r="24" spans="1:19">
      <c r="A24" s="6">
        <f t="shared" si="1"/>
        <v>2002</v>
      </c>
      <c r="C24" s="494">
        <f>'Exhibit O,3'!I24/(1-'Exhibit O,3'!E24)</f>
        <v>26310397.339999992</v>
      </c>
      <c r="D24" s="187"/>
      <c r="E24" s="494">
        <f>'Exhibit O,2'!I24/(1-'Exhibit O,2'!E24)</f>
        <v>26310397.339999992</v>
      </c>
      <c r="F24" s="187"/>
      <c r="G24" s="494">
        <f>'Exhibit O,3'!K24</f>
        <v>26310397.339999992</v>
      </c>
      <c r="H24" s="187"/>
      <c r="I24" s="494">
        <f>'Exhibit O,2'!K24</f>
        <v>26310397.339999992</v>
      </c>
      <c r="J24" s="187"/>
      <c r="K24" s="187">
        <f t="shared" si="2"/>
        <v>26310397.339999992</v>
      </c>
      <c r="N24" s="25">
        <f t="shared" si="3"/>
        <v>2002</v>
      </c>
      <c r="O24" s="20">
        <f>'Exhibit O,3'!W24</f>
        <v>26310397.339999992</v>
      </c>
      <c r="P24" s="20">
        <f t="shared" si="0"/>
        <v>0</v>
      </c>
      <c r="Q24" s="20"/>
      <c r="R24" s="22"/>
      <c r="S24" s="95"/>
    </row>
    <row r="25" spans="1:19">
      <c r="A25" s="6">
        <f t="shared" si="1"/>
        <v>2003</v>
      </c>
      <c r="C25" s="494">
        <f>'Exhibit O,3'!I25/(1-'Exhibit O,3'!E25)</f>
        <v>20878044.309999999</v>
      </c>
      <c r="D25" s="187"/>
      <c r="E25" s="494">
        <f>'Exhibit O,2'!I25/(1-'Exhibit O,2'!E25)</f>
        <v>20878044.309999999</v>
      </c>
      <c r="F25" s="187"/>
      <c r="G25" s="494">
        <f>'Exhibit O,3'!K25</f>
        <v>20878044.309999999</v>
      </c>
      <c r="H25" s="187"/>
      <c r="I25" s="494">
        <f>'Exhibit O,2'!K25</f>
        <v>20878044.309999999</v>
      </c>
      <c r="J25" s="187"/>
      <c r="K25" s="494">
        <f t="shared" ref="K25:K40" si="4">E25</f>
        <v>20878044.309999999</v>
      </c>
      <c r="N25" s="25">
        <f t="shared" si="3"/>
        <v>2003</v>
      </c>
      <c r="O25" s="20">
        <f>'Exhibit O,3'!W25</f>
        <v>20878044.309999999</v>
      </c>
      <c r="P25" s="20">
        <f t="shared" si="0"/>
        <v>0</v>
      </c>
      <c r="Q25" s="20"/>
      <c r="R25" s="22"/>
      <c r="S25" s="95"/>
    </row>
    <row r="26" spans="1:19">
      <c r="A26" s="6">
        <f t="shared" si="1"/>
        <v>2004</v>
      </c>
      <c r="C26" s="494">
        <f>'Exhibit O,3'!I26/(1-'Exhibit O,3'!E26)</f>
        <v>14303436.559999997</v>
      </c>
      <c r="D26" s="187"/>
      <c r="E26" s="494">
        <f>'Exhibit O,2'!I26/(1-'Exhibit O,2'!E26)</f>
        <v>14303436.559999997</v>
      </c>
      <c r="F26" s="187"/>
      <c r="G26" s="494">
        <f>'Exhibit O,3'!K26</f>
        <v>14303436.559999997</v>
      </c>
      <c r="H26" s="187"/>
      <c r="I26" s="494">
        <f>'Exhibit O,2'!K26</f>
        <v>14303436.559999997</v>
      </c>
      <c r="J26" s="187"/>
      <c r="K26" s="494">
        <f t="shared" si="4"/>
        <v>14303436.559999997</v>
      </c>
      <c r="N26" s="25">
        <f t="shared" si="3"/>
        <v>2004</v>
      </c>
      <c r="O26" s="20">
        <f>'Exhibit O,3'!W26</f>
        <v>14303436.559999997</v>
      </c>
      <c r="P26" s="20">
        <f t="shared" si="0"/>
        <v>0</v>
      </c>
      <c r="Q26" s="20"/>
      <c r="R26" s="22"/>
      <c r="S26" s="95"/>
    </row>
    <row r="27" spans="1:19">
      <c r="A27" s="6">
        <f t="shared" si="1"/>
        <v>2005</v>
      </c>
      <c r="C27" s="494">
        <f>'Exhibit O,3'!I27/(1-'Exhibit O,3'!E27)</f>
        <v>16243160.280000001</v>
      </c>
      <c r="D27" s="187"/>
      <c r="E27" s="494">
        <f>'Exhibit O,2'!I27/(1-'Exhibit O,2'!E27)</f>
        <v>16243160.280000001</v>
      </c>
      <c r="F27" s="187"/>
      <c r="G27" s="494">
        <f>'Exhibit O,3'!K27</f>
        <v>16243160.280000001</v>
      </c>
      <c r="H27" s="187"/>
      <c r="I27" s="494">
        <f>'Exhibit O,2'!K27</f>
        <v>16243160.280000001</v>
      </c>
      <c r="J27" s="187"/>
      <c r="K27" s="494">
        <f t="shared" si="4"/>
        <v>16243160.280000001</v>
      </c>
      <c r="N27" s="25">
        <f t="shared" si="3"/>
        <v>2005</v>
      </c>
      <c r="O27" s="20">
        <f>'Exhibit O,3'!W27</f>
        <v>16243160.280000001</v>
      </c>
      <c r="P27" s="20">
        <f t="shared" si="0"/>
        <v>0</v>
      </c>
      <c r="Q27" s="20"/>
      <c r="R27" s="22"/>
      <c r="S27" s="95"/>
    </row>
    <row r="28" spans="1:19">
      <c r="A28" s="6">
        <f t="shared" si="1"/>
        <v>2006</v>
      </c>
      <c r="C28" s="494">
        <f>'Exhibit O,3'!I28/(1-'Exhibit O,3'!E28)</f>
        <v>14659669.499999998</v>
      </c>
      <c r="D28" s="187"/>
      <c r="E28" s="494">
        <f>'Exhibit O,2'!I28/(1-'Exhibit O,2'!E28)</f>
        <v>14659669.499999998</v>
      </c>
      <c r="F28" s="187"/>
      <c r="G28" s="494">
        <f>'Exhibit O,3'!K28</f>
        <v>14659669.499999998</v>
      </c>
      <c r="H28" s="187"/>
      <c r="I28" s="494">
        <f>'Exhibit O,2'!K28</f>
        <v>14659669.499999998</v>
      </c>
      <c r="J28" s="187"/>
      <c r="K28" s="494">
        <f t="shared" si="4"/>
        <v>14659669.499999998</v>
      </c>
      <c r="N28" s="25">
        <f t="shared" si="3"/>
        <v>2006</v>
      </c>
      <c r="O28" s="20">
        <f>'Exhibit O,3'!W28</f>
        <v>14865805.799999999</v>
      </c>
      <c r="P28" s="20">
        <f t="shared" si="0"/>
        <v>-206136.30000000075</v>
      </c>
      <c r="Q28" s="20"/>
      <c r="R28" s="22"/>
      <c r="S28" s="95"/>
    </row>
    <row r="29" spans="1:19">
      <c r="A29" s="6">
        <f t="shared" si="1"/>
        <v>2007</v>
      </c>
      <c r="C29" s="494">
        <f>'Exhibit O,3'!I29/(1-'Exhibit O,3'!E29)</f>
        <v>16719584.209999999</v>
      </c>
      <c r="D29" s="187"/>
      <c r="E29" s="494">
        <f>'Exhibit O,2'!I29/(1-'Exhibit O,2'!E29)</f>
        <v>16719584.209999999</v>
      </c>
      <c r="F29" s="187"/>
      <c r="G29" s="494">
        <f>'Exhibit O,3'!K29</f>
        <v>16719584.209999999</v>
      </c>
      <c r="H29" s="187"/>
      <c r="I29" s="494">
        <f>'Exhibit O,2'!K29</f>
        <v>16719584.209999999</v>
      </c>
      <c r="J29" s="187"/>
      <c r="K29" s="494">
        <f t="shared" si="4"/>
        <v>16719584.209999999</v>
      </c>
      <c r="N29" s="25">
        <f t="shared" si="3"/>
        <v>2007</v>
      </c>
      <c r="O29" s="20">
        <f>'Exhibit O,3'!W29</f>
        <v>16719584.209999999</v>
      </c>
      <c r="P29" s="20">
        <f t="shared" si="0"/>
        <v>0</v>
      </c>
      <c r="Q29" s="20"/>
      <c r="R29" s="22"/>
      <c r="S29" s="95"/>
    </row>
    <row r="30" spans="1:19">
      <c r="A30" s="6">
        <f t="shared" si="1"/>
        <v>2008</v>
      </c>
      <c r="C30" s="494">
        <f>'Exhibit O,3'!I30/(1-'Exhibit O,3'!E30)</f>
        <v>15508781.949999999</v>
      </c>
      <c r="D30" s="187"/>
      <c r="E30" s="494">
        <f>'Exhibit O,2'!I30/(1-'Exhibit O,2'!E30)</f>
        <v>15508781.949999999</v>
      </c>
      <c r="F30" s="187"/>
      <c r="G30" s="494">
        <f>'Exhibit O,3'!K30</f>
        <v>15508781.949999999</v>
      </c>
      <c r="H30" s="187"/>
      <c r="I30" s="494">
        <f>'Exhibit O,2'!K30</f>
        <v>15508781.949999999</v>
      </c>
      <c r="J30" s="187"/>
      <c r="K30" s="494">
        <f t="shared" si="4"/>
        <v>15508781.949999999</v>
      </c>
      <c r="N30" s="25">
        <f t="shared" si="3"/>
        <v>2008</v>
      </c>
      <c r="O30" s="20">
        <f>'Exhibit O,3'!W30</f>
        <v>15508781.949999999</v>
      </c>
      <c r="P30" s="20">
        <f t="shared" si="0"/>
        <v>0</v>
      </c>
      <c r="Q30" s="20"/>
      <c r="R30" s="22"/>
      <c r="S30" s="95"/>
    </row>
    <row r="31" spans="1:19">
      <c r="A31" s="6">
        <f t="shared" si="1"/>
        <v>2009</v>
      </c>
      <c r="C31" s="494">
        <f>'Exhibit O,3'!I31/(1-'Exhibit O,3'!E31)</f>
        <v>12650160.961793091</v>
      </c>
      <c r="D31" s="187"/>
      <c r="E31" s="494">
        <f>'Exhibit O,2'!I31/(1-'Exhibit O,2'!E31)</f>
        <v>12635738.100000003</v>
      </c>
      <c r="F31" s="187"/>
      <c r="G31" s="494">
        <f>'Exhibit O,3'!K31</f>
        <v>12651618.723748669</v>
      </c>
      <c r="H31" s="187"/>
      <c r="I31" s="494">
        <f>'Exhibit O,2'!K31</f>
        <v>12635738.100000003</v>
      </c>
      <c r="J31" s="187"/>
      <c r="K31" s="494">
        <f t="shared" si="4"/>
        <v>12635738.100000003</v>
      </c>
      <c r="N31" s="25">
        <f t="shared" si="3"/>
        <v>2009</v>
      </c>
      <c r="O31" s="20">
        <f>'Exhibit O,3'!W31</f>
        <v>12635738.100000003</v>
      </c>
      <c r="P31" s="20">
        <f t="shared" si="0"/>
        <v>0</v>
      </c>
      <c r="Q31" s="20"/>
      <c r="R31" s="22"/>
      <c r="S31" s="95"/>
    </row>
    <row r="32" spans="1:19">
      <c r="A32" s="6">
        <f t="shared" si="1"/>
        <v>2010</v>
      </c>
      <c r="C32" s="494">
        <f>'Exhibit O,3'!I32/(1-'Exhibit O,3'!E32)</f>
        <v>16755354.342138715</v>
      </c>
      <c r="D32" s="187"/>
      <c r="E32" s="494">
        <f>'Exhibit O,2'!I32/(1-'Exhibit O,2'!E32)</f>
        <v>16673387.52</v>
      </c>
      <c r="F32" s="187"/>
      <c r="G32" s="494">
        <f>'Exhibit O,3'!K32</f>
        <v>16740347.112679357</v>
      </c>
      <c r="H32" s="187"/>
      <c r="I32" s="494">
        <f>'Exhibit O,2'!K32</f>
        <v>16673387.52</v>
      </c>
      <c r="J32" s="187"/>
      <c r="K32" s="494">
        <f t="shared" si="4"/>
        <v>16673387.52</v>
      </c>
      <c r="N32" s="25">
        <f t="shared" si="3"/>
        <v>2010</v>
      </c>
      <c r="O32" s="20">
        <f>'Exhibit O,3'!W32</f>
        <v>16673387.52</v>
      </c>
      <c r="P32" s="20">
        <f t="shared" si="0"/>
        <v>0</v>
      </c>
      <c r="Q32" s="20"/>
      <c r="R32" s="22"/>
      <c r="S32" s="95"/>
    </row>
    <row r="33" spans="1:19">
      <c r="A33" s="6">
        <f t="shared" si="1"/>
        <v>2011</v>
      </c>
      <c r="C33" s="494">
        <f>'Exhibit O,3'!I33/(1-'Exhibit O,3'!E33)</f>
        <v>9706426.4723720085</v>
      </c>
      <c r="D33" s="187"/>
      <c r="E33" s="494">
        <f>'Exhibit O,2'!I33/(1-'Exhibit O,2'!E33)</f>
        <v>9644676.9399999995</v>
      </c>
      <c r="F33" s="187"/>
      <c r="G33" s="494">
        <f>'Exhibit O,3'!K33</f>
        <v>9729327.1481572259</v>
      </c>
      <c r="H33" s="187"/>
      <c r="I33" s="494">
        <f>'Exhibit O,2'!K33</f>
        <v>9644676.9399999995</v>
      </c>
      <c r="J33" s="187"/>
      <c r="K33" s="494">
        <f t="shared" si="4"/>
        <v>9644676.9399999995</v>
      </c>
      <c r="N33" s="25">
        <f t="shared" si="3"/>
        <v>2011</v>
      </c>
      <c r="O33" s="20">
        <f>'Exhibit O,3'!W33</f>
        <v>9644676.9399999995</v>
      </c>
      <c r="P33" s="20">
        <f t="shared" si="0"/>
        <v>0</v>
      </c>
      <c r="Q33" s="20"/>
      <c r="R33" s="22"/>
      <c r="S33" s="95"/>
    </row>
    <row r="34" spans="1:19">
      <c r="A34" s="6">
        <f t="shared" si="1"/>
        <v>2012</v>
      </c>
      <c r="C34" s="494">
        <f>'Exhibit O,3'!I34/(1-'Exhibit O,3'!E34)</f>
        <v>13617538.758047495</v>
      </c>
      <c r="D34" s="187"/>
      <c r="E34" s="494">
        <f>'Exhibit O,2'!I34/(1-'Exhibit O,2'!E34)</f>
        <v>13600663.920000002</v>
      </c>
      <c r="F34" s="187"/>
      <c r="G34" s="494">
        <f>'Exhibit O,3'!K34</f>
        <v>13613279.669967694</v>
      </c>
      <c r="H34" s="187"/>
      <c r="I34" s="494">
        <f>'Exhibit O,2'!K34</f>
        <v>13600663.920000002</v>
      </c>
      <c r="J34" s="187"/>
      <c r="K34" s="494">
        <f t="shared" si="4"/>
        <v>13600663.920000002</v>
      </c>
      <c r="N34" s="25">
        <f t="shared" si="3"/>
        <v>2012</v>
      </c>
      <c r="O34" s="20">
        <f>'Exhibit O,3'!W34</f>
        <v>13577370.75</v>
      </c>
      <c r="P34" s="20">
        <f t="shared" si="0"/>
        <v>23293.170000001788</v>
      </c>
      <c r="Q34" s="20"/>
      <c r="R34" s="22"/>
      <c r="S34" s="95"/>
    </row>
    <row r="35" spans="1:19">
      <c r="A35" s="6">
        <f t="shared" si="1"/>
        <v>2013</v>
      </c>
      <c r="C35" s="494">
        <f>'Exhibit O,3'!I35/(1-'Exhibit O,3'!E35)</f>
        <v>11659957.189109763</v>
      </c>
      <c r="D35" s="187"/>
      <c r="E35" s="494">
        <f>'Exhibit O,2'!I35/(1-'Exhibit O,2'!E35)</f>
        <v>11521638.42</v>
      </c>
      <c r="F35" s="187"/>
      <c r="G35" s="494">
        <f>'Exhibit O,3'!K35</f>
        <v>11675937.57098498</v>
      </c>
      <c r="H35" s="187"/>
      <c r="I35" s="494">
        <f>'Exhibit O,2'!K35</f>
        <v>11521638.42</v>
      </c>
      <c r="J35" s="187"/>
      <c r="K35" s="494">
        <f t="shared" si="4"/>
        <v>11521638.42</v>
      </c>
      <c r="N35" s="25">
        <f t="shared" si="3"/>
        <v>2013</v>
      </c>
      <c r="O35" s="20">
        <f>'Exhibit O,3'!W35</f>
        <v>11521638.42</v>
      </c>
      <c r="P35" s="20">
        <f t="shared" si="0"/>
        <v>0</v>
      </c>
      <c r="Q35" s="20"/>
      <c r="R35" s="22"/>
      <c r="S35" s="95"/>
    </row>
    <row r="36" spans="1:19">
      <c r="A36" s="6">
        <f t="shared" si="1"/>
        <v>2014</v>
      </c>
      <c r="C36" s="494">
        <f>'Exhibit O,3'!I36/(1-'Exhibit O,3'!E36)</f>
        <v>10651173.075350801</v>
      </c>
      <c r="D36" s="187"/>
      <c r="E36" s="494">
        <f>'Exhibit O,2'!I36/(1-'Exhibit O,2'!E36)</f>
        <v>11478427.860000001</v>
      </c>
      <c r="F36" s="187"/>
      <c r="G36" s="494">
        <f>'Exhibit O,3'!K36</f>
        <v>10671797.880152445</v>
      </c>
      <c r="H36" s="187"/>
      <c r="I36" s="494">
        <f>'Exhibit O,2'!K36</f>
        <v>11478427.860000001</v>
      </c>
      <c r="J36" s="187"/>
      <c r="K36" s="494">
        <f t="shared" si="4"/>
        <v>11478427.860000001</v>
      </c>
      <c r="N36" s="25">
        <f t="shared" si="3"/>
        <v>2014</v>
      </c>
      <c r="O36" s="20">
        <f>'Exhibit O,3'!W36</f>
        <v>11489983.406905109</v>
      </c>
      <c r="P36" s="20">
        <f t="shared" si="0"/>
        <v>-11555.546905107796</v>
      </c>
      <c r="Q36" s="20"/>
      <c r="R36" s="22"/>
      <c r="S36" s="95"/>
    </row>
    <row r="37" spans="1:19">
      <c r="A37" s="6">
        <f t="shared" si="1"/>
        <v>2015</v>
      </c>
      <c r="C37" s="494">
        <f>'Exhibit O,3'!I37/(1-'Exhibit O,3'!E37)</f>
        <v>12829245.644209972</v>
      </c>
      <c r="D37" s="187"/>
      <c r="E37" s="494">
        <f>'Exhibit O,2'!I37/(1-'Exhibit O,2'!E37)</f>
        <v>13666012.005524082</v>
      </c>
      <c r="F37" s="187"/>
      <c r="G37" s="494">
        <f>'Exhibit O,3'!K37</f>
        <v>12765650.223774593</v>
      </c>
      <c r="H37" s="187"/>
      <c r="I37" s="494">
        <f>'Exhibit O,2'!K37</f>
        <v>13660277.383779863</v>
      </c>
      <c r="J37" s="187"/>
      <c r="K37" s="494">
        <f t="shared" si="4"/>
        <v>13666012.005524082</v>
      </c>
      <c r="M37" s="187"/>
      <c r="N37" s="25">
        <f t="shared" si="3"/>
        <v>2015</v>
      </c>
      <c r="O37" s="20">
        <f>'Exhibit O,3'!W37</f>
        <v>13805510.662134128</v>
      </c>
      <c r="P37" s="20">
        <f t="shared" si="0"/>
        <v>-139498.65661004558</v>
      </c>
      <c r="Q37" s="20"/>
      <c r="R37" s="22"/>
    </row>
    <row r="38" spans="1:19">
      <c r="A38" s="6">
        <f t="shared" si="1"/>
        <v>2016</v>
      </c>
      <c r="C38" s="494">
        <f>'Exhibit O,3'!I38/(1-'Exhibit O,3'!E38)</f>
        <v>8721236.2987810001</v>
      </c>
      <c r="D38" s="187"/>
      <c r="E38" s="494">
        <f>'Exhibit O,2'!I38/(1-'Exhibit O,2'!E38)</f>
        <v>8995399.1284141727</v>
      </c>
      <c r="F38" s="187"/>
      <c r="G38" s="494">
        <f>'Exhibit O,3'!K38</f>
        <v>8945424.7405125201</v>
      </c>
      <c r="H38" s="187"/>
      <c r="I38" s="494">
        <f>'Exhibit O,2'!K38</f>
        <v>9020453.8040621839</v>
      </c>
      <c r="J38" s="187"/>
      <c r="K38" s="494">
        <f t="shared" si="4"/>
        <v>8995399.1284141727</v>
      </c>
      <c r="M38" s="187"/>
      <c r="N38" s="25">
        <f t="shared" si="3"/>
        <v>2016</v>
      </c>
      <c r="O38" s="20">
        <f>'Exhibit O,3'!W38</f>
        <v>9659525.5107172914</v>
      </c>
      <c r="P38" s="20">
        <f t="shared" si="0"/>
        <v>-664126.38230311871</v>
      </c>
      <c r="Q38" s="20"/>
      <c r="R38" s="22"/>
    </row>
    <row r="39" spans="1:19">
      <c r="A39" s="6">
        <f t="shared" si="1"/>
        <v>2017</v>
      </c>
      <c r="C39" s="494">
        <f>'Exhibit O,3'!I39/(1-'Exhibit O,3'!E39)</f>
        <v>5743463.1656262437</v>
      </c>
      <c r="D39" s="187"/>
      <c r="E39" s="494">
        <f>'Exhibit O,2'!I39/(1-'Exhibit O,2'!E39)</f>
        <v>6198023.8107475583</v>
      </c>
      <c r="F39" s="187"/>
      <c r="G39" s="494">
        <f>'Exhibit O,3'!K39</f>
        <v>6705351.4792936668</v>
      </c>
      <c r="H39" s="187"/>
      <c r="I39" s="494">
        <f>'Exhibit O,2'!K39</f>
        <v>6332611.7235251321</v>
      </c>
      <c r="J39" s="187"/>
      <c r="K39" s="494">
        <f>I39+L39</f>
        <v>6332611.7235251321</v>
      </c>
      <c r="L39" s="17">
        <f>'Exhibit K,1'!W66</f>
        <v>0</v>
      </c>
      <c r="M39" s="187">
        <f>K39-'Exhibit O,2'!I39</f>
        <v>345307.58352513332</v>
      </c>
      <c r="N39" s="25">
        <f t="shared" si="3"/>
        <v>2017</v>
      </c>
      <c r="O39" s="20">
        <f>'Exhibit O,3'!W39</f>
        <v>6550123.6719278274</v>
      </c>
      <c r="P39" s="20">
        <f t="shared" si="0"/>
        <v>-217511.94840269536</v>
      </c>
      <c r="Q39" s="20"/>
      <c r="R39" s="22"/>
    </row>
    <row r="40" spans="1:19">
      <c r="A40" s="6">
        <f t="shared" si="1"/>
        <v>2018</v>
      </c>
      <c r="C40" s="494">
        <f>'Exhibit O,3'!I40/(1-'Exhibit O,3'!E40)</f>
        <v>9010520.5608337559</v>
      </c>
      <c r="D40" s="187"/>
      <c r="E40" s="494">
        <f>'Exhibit O,2'!I40/(1-'Exhibit O,2'!E40)</f>
        <v>10320121.958415514</v>
      </c>
      <c r="F40" s="187"/>
      <c r="G40" s="494">
        <f>'Exhibit O,3'!K40</f>
        <v>9423054.4648253638</v>
      </c>
      <c r="H40" s="187"/>
      <c r="I40" s="494">
        <f>'Exhibit O,2'!K40</f>
        <v>10303199.71412544</v>
      </c>
      <c r="J40" s="187"/>
      <c r="K40" s="494">
        <f t="shared" si="4"/>
        <v>10320121.958415514</v>
      </c>
      <c r="L40" s="17">
        <f>'Exhibit K,1'!W67</f>
        <v>0</v>
      </c>
      <c r="M40" s="187">
        <f>K40-'Exhibit O,2'!I40</f>
        <v>780092.99841551296</v>
      </c>
      <c r="N40" s="25">
        <f t="shared" si="3"/>
        <v>2018</v>
      </c>
      <c r="O40" s="20">
        <f>'Exhibit O,3'!W40</f>
        <v>9713383.4961904678</v>
      </c>
      <c r="P40" s="20">
        <f t="shared" si="0"/>
        <v>606738.46222504601</v>
      </c>
      <c r="Q40" s="20"/>
      <c r="R40" s="22"/>
    </row>
    <row r="41" spans="1:19">
      <c r="A41" s="6">
        <f t="shared" si="1"/>
        <v>2019</v>
      </c>
      <c r="C41" s="494">
        <f>'Exhibit O,3'!I41/(1-'Exhibit O,3'!E41)</f>
        <v>14297037.882909328</v>
      </c>
      <c r="D41" s="187"/>
      <c r="E41" s="494">
        <f>'Exhibit O,2'!I41/(1-'Exhibit O,2'!E41)</f>
        <v>11088215.819242416</v>
      </c>
      <c r="F41" s="187"/>
      <c r="G41" s="494">
        <f>'Exhibit O,3'!K41</f>
        <v>11321511.384734305</v>
      </c>
      <c r="H41" s="187"/>
      <c r="I41" s="494">
        <f>'Exhibit O,2'!K41</f>
        <v>10787457.522765996</v>
      </c>
      <c r="J41" s="187"/>
      <c r="K41" s="187">
        <f>I41+L41</f>
        <v>10787457.522765996</v>
      </c>
      <c r="L41" s="17">
        <f>'Exhibit K,1'!W68</f>
        <v>0</v>
      </c>
      <c r="M41" s="187">
        <f>K41-'Exhibit O,2'!I41</f>
        <v>1414848.0927659962</v>
      </c>
      <c r="N41" s="25">
        <f t="shared" si="3"/>
        <v>2019</v>
      </c>
      <c r="O41" s="20">
        <f>'Exhibit O,3'!W41</f>
        <v>10798166.808167592</v>
      </c>
      <c r="P41" s="20">
        <f t="shared" si="0"/>
        <v>-10709.285401595756</v>
      </c>
      <c r="Q41" s="20"/>
      <c r="R41" s="22"/>
    </row>
    <row r="42" spans="1:19">
      <c r="A42" s="6">
        <f t="shared" si="1"/>
        <v>2020</v>
      </c>
      <c r="C42" s="494">
        <f>'Exhibit O,3'!I42/(1-'Exhibit O,3'!E42)</f>
        <v>16760416.899053451</v>
      </c>
      <c r="D42" s="187"/>
      <c r="E42" s="494">
        <f>'Exhibit O,2'!I42/(1-'Exhibit O,2'!E42)</f>
        <v>9667660.7623656839</v>
      </c>
      <c r="F42" s="187"/>
      <c r="G42" s="494">
        <f>'Exhibit O,3'!K42</f>
        <v>9537291.2784943152</v>
      </c>
      <c r="H42" s="187"/>
      <c r="I42" s="494">
        <f>'Exhibit O,2'!K42</f>
        <v>8817771.529642731</v>
      </c>
      <c r="J42" s="187"/>
      <c r="K42" s="187">
        <f t="shared" ref="K42:K44" si="5">I42+L42</f>
        <v>8817771.529642731</v>
      </c>
      <c r="L42" s="17">
        <f>'Exhibit K,1'!W69</f>
        <v>0</v>
      </c>
      <c r="M42" s="187">
        <f>K42-'Exhibit O,2'!I42</f>
        <v>2411596.7996427305</v>
      </c>
      <c r="N42" s="25">
        <f t="shared" si="3"/>
        <v>2020</v>
      </c>
      <c r="O42" s="20">
        <f>'Exhibit O,3'!W42</f>
        <v>7369895.7379985135</v>
      </c>
      <c r="P42" s="20">
        <f t="shared" si="0"/>
        <v>1447875.7916442174</v>
      </c>
      <c r="Q42" s="20"/>
      <c r="R42" s="22"/>
    </row>
    <row r="43" spans="1:19">
      <c r="A43" s="6">
        <f t="shared" si="1"/>
        <v>2021</v>
      </c>
      <c r="C43" s="494">
        <f>'Exhibit O,3'!I43/(1-'Exhibit O,3'!E43)</f>
        <v>4922806.3568817489</v>
      </c>
      <c r="D43" s="187"/>
      <c r="E43" s="494">
        <f>'Exhibit O,2'!I43/(1-'Exhibit O,2'!E43)</f>
        <v>5868133.7258206531</v>
      </c>
      <c r="F43" s="187"/>
      <c r="G43" s="494">
        <f>'Exhibit O,3'!K43</f>
        <v>7636805.5819105553</v>
      </c>
      <c r="H43" s="187"/>
      <c r="I43" s="494">
        <f>'Exhibit O,2'!K43</f>
        <v>7183273.0727263503</v>
      </c>
      <c r="J43" s="187"/>
      <c r="K43" s="187">
        <f t="shared" si="5"/>
        <v>7183273.0727263503</v>
      </c>
      <c r="L43" s="17">
        <f>'Exhibit K,1'!W70</f>
        <v>0</v>
      </c>
      <c r="M43" s="187">
        <f>K43-'Exhibit O,2'!I43</f>
        <v>5036580.122726351</v>
      </c>
      <c r="N43" s="25">
        <f t="shared" si="3"/>
        <v>2021</v>
      </c>
      <c r="O43" s="20">
        <f>'Exhibit O,3'!W43</f>
        <v>7677016.7602562541</v>
      </c>
      <c r="P43" s="20">
        <f>K43-O43</f>
        <v>-493743.68752990384</v>
      </c>
      <c r="Q43" s="20"/>
      <c r="R43" s="22"/>
    </row>
    <row r="44" spans="1:19">
      <c r="A44" s="6">
        <f t="shared" si="1"/>
        <v>2022</v>
      </c>
      <c r="C44" s="494">
        <f>'Exhibit O,3'!I44/(1-'Exhibit O,3'!E44)</f>
        <v>25225244.086844169</v>
      </c>
      <c r="D44" s="187"/>
      <c r="E44" s="494">
        <f>'Exhibit O,2'!I44/(1-'Exhibit O,2'!E44)</f>
        <v>18184512.599151663</v>
      </c>
      <c r="F44" s="187"/>
      <c r="G44" s="494">
        <f>'Exhibit O,3'!K44</f>
        <v>11027351.173373789</v>
      </c>
      <c r="H44" s="187"/>
      <c r="I44" s="494">
        <f>'Exhibit O,2'!K44</f>
        <v>11784000.60913723</v>
      </c>
      <c r="J44" s="187"/>
      <c r="K44" s="187">
        <f t="shared" si="5"/>
        <v>9168904.1120029725</v>
      </c>
      <c r="L44" s="17">
        <f>'Exhibit K,1'!W71</f>
        <v>-2615096.4971342576</v>
      </c>
      <c r="M44" s="187">
        <f>K44-'Exhibit O,2'!I44</f>
        <v>6747894.9420029726</v>
      </c>
      <c r="N44" s="25">
        <f t="shared" si="3"/>
        <v>2022</v>
      </c>
      <c r="O44" s="20"/>
      <c r="P44" s="20"/>
    </row>
    <row r="45" spans="1:19">
      <c r="C45" s="105"/>
      <c r="E45" s="105"/>
      <c r="G45" s="105"/>
      <c r="I45" s="105"/>
      <c r="K45" s="105"/>
      <c r="N45" s="61"/>
      <c r="O45" s="105"/>
      <c r="P45" s="105"/>
    </row>
    <row r="46" spans="1:19">
      <c r="A46" s="6" t="s">
        <v>0</v>
      </c>
      <c r="C46" s="26">
        <f>SUM(C16:C45)</f>
        <v>522299425.5939514</v>
      </c>
      <c r="E46" s="26">
        <f t="shared" ref="E46:K46" si="6">SUM(E16:E45)</f>
        <v>509291456.4696818</v>
      </c>
      <c r="F46" s="26"/>
      <c r="G46" s="26">
        <f t="shared" si="6"/>
        <v>502193592.33260953</v>
      </c>
      <c r="H46" s="26"/>
      <c r="I46" s="26">
        <f t="shared" si="6"/>
        <v>503192422.01976496</v>
      </c>
      <c r="J46" s="26"/>
      <c r="K46" s="26">
        <f t="shared" si="6"/>
        <v>500574927.71301699</v>
      </c>
      <c r="N46" s="61"/>
      <c r="O46" s="26">
        <f>SUM(O16:O45)</f>
        <v>491071397.9842971</v>
      </c>
      <c r="P46" s="26">
        <f>SUM(P16:P45)</f>
        <v>334625.61671679746</v>
      </c>
      <c r="Q46" s="68"/>
      <c r="R46" s="68"/>
      <c r="S46" s="68"/>
    </row>
    <row r="47" spans="1:19">
      <c r="P47" s="20"/>
      <c r="Q47" s="137"/>
    </row>
    <row r="48" spans="1:19">
      <c r="P48" s="20"/>
      <c r="Q48" s="137"/>
    </row>
    <row r="50" spans="1:2">
      <c r="A50" s="6" t="s">
        <v>50</v>
      </c>
      <c r="B50" s="3" t="s">
        <v>192</v>
      </c>
    </row>
    <row r="51" spans="1:2">
      <c r="B51" s="3" t="s">
        <v>193</v>
      </c>
    </row>
    <row r="52" spans="1:2">
      <c r="B52" s="3" t="s">
        <v>194</v>
      </c>
    </row>
    <row r="53" spans="1:2">
      <c r="B53" s="3" t="s">
        <v>195</v>
      </c>
    </row>
  </sheetData>
  <printOptions horizontalCentered="1"/>
  <pageMargins left="0.7" right="0.7" top="0.75" bottom="0.75" header="0.3" footer="0.3"/>
  <pageSetup scale="80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3">
    <pageSetUpPr fitToPage="1"/>
  </sheetPr>
  <dimension ref="A1:X54"/>
  <sheetViews>
    <sheetView topLeftCell="A17" zoomScaleNormal="100" workbookViewId="0">
      <selection activeCell="I17" sqref="I17:I44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2.7109375" style="1" customWidth="1"/>
    <col min="12" max="13" width="8.7109375" style="1"/>
    <col min="14" max="14" width="12.7109375" style="1" customWidth="1"/>
    <col min="15" max="22" width="8.7109375" style="1"/>
    <col min="23" max="24" width="12.7109375" style="1" customWidth="1"/>
    <col min="25" max="16384" width="8.7109375" style="1"/>
  </cols>
  <sheetData>
    <row r="1" spans="1:24">
      <c r="K1" s="52" t="s">
        <v>65</v>
      </c>
    </row>
    <row r="2" spans="1:24">
      <c r="K2" s="52" t="s">
        <v>45</v>
      </c>
    </row>
    <row r="4" spans="1:24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24">
      <c r="A5" s="5"/>
      <c r="B5" s="5"/>
      <c r="C5" s="5"/>
      <c r="D5" s="5"/>
      <c r="E5" s="5"/>
      <c r="F5" s="5"/>
      <c r="G5" s="5"/>
      <c r="H5" s="5"/>
      <c r="I5" s="5"/>
      <c r="J5" s="5"/>
      <c r="K5" s="5"/>
    </row>
    <row r="6" spans="1:24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24">
      <c r="A7" s="5" t="s">
        <v>68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24">
      <c r="A8" s="5" t="s">
        <v>200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24">
      <c r="A9" s="5"/>
      <c r="B9" s="5"/>
      <c r="C9" s="5"/>
      <c r="D9" s="5"/>
      <c r="E9" s="5"/>
      <c r="F9" s="5"/>
      <c r="G9" s="5"/>
      <c r="H9" s="5"/>
      <c r="I9" s="5"/>
      <c r="J9" s="5"/>
      <c r="K9" s="5"/>
    </row>
    <row r="10" spans="1:24">
      <c r="W10" s="25">
        <v>2020</v>
      </c>
    </row>
    <row r="11" spans="1:24">
      <c r="C11" s="6"/>
      <c r="D11" s="6"/>
      <c r="E11" s="6" t="s">
        <v>7</v>
      </c>
      <c r="F11" s="6"/>
      <c r="G11" s="6" t="s">
        <v>7</v>
      </c>
      <c r="H11" s="6"/>
      <c r="I11" s="6" t="s">
        <v>64</v>
      </c>
      <c r="J11" s="6"/>
      <c r="K11" s="6"/>
      <c r="W11" s="25" t="s">
        <v>117</v>
      </c>
    </row>
    <row r="12" spans="1:24">
      <c r="A12" s="6" t="s">
        <v>3</v>
      </c>
      <c r="C12" s="6" t="s">
        <v>7</v>
      </c>
      <c r="D12" s="6"/>
      <c r="E12" s="6" t="s">
        <v>62</v>
      </c>
      <c r="F12" s="6"/>
      <c r="G12" s="6" t="s">
        <v>69</v>
      </c>
      <c r="H12" s="6"/>
      <c r="I12" s="6" t="s">
        <v>12</v>
      </c>
      <c r="J12" s="6"/>
      <c r="K12" s="6" t="s">
        <v>67</v>
      </c>
      <c r="W12" s="25" t="s">
        <v>1304</v>
      </c>
    </row>
    <row r="13" spans="1:24">
      <c r="A13" s="6" t="s">
        <v>4</v>
      </c>
      <c r="C13" s="6" t="s">
        <v>55</v>
      </c>
      <c r="D13" s="6"/>
      <c r="E13" s="6" t="s">
        <v>69</v>
      </c>
      <c r="F13" s="6"/>
      <c r="G13" s="6" t="s">
        <v>55</v>
      </c>
      <c r="H13" s="6"/>
      <c r="I13" s="6" t="s">
        <v>55</v>
      </c>
      <c r="J13" s="6"/>
      <c r="K13" s="6" t="s">
        <v>55</v>
      </c>
      <c r="W13" s="45" t="s">
        <v>1</v>
      </c>
      <c r="X13" s="25" t="s">
        <v>119</v>
      </c>
    </row>
    <row r="14" spans="1:24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  <c r="W14" s="143">
        <f>V16-1</f>
        <v>-1</v>
      </c>
      <c r="X14" s="143">
        <f>W14-1</f>
        <v>-2</v>
      </c>
    </row>
    <row r="15" spans="1:24">
      <c r="A15" s="6"/>
      <c r="C15" s="6"/>
      <c r="E15" s="6"/>
      <c r="G15" s="6"/>
      <c r="I15" s="6"/>
      <c r="K15" s="6"/>
    </row>
    <row r="16" spans="1:24">
      <c r="A16" s="6">
        <v>1994</v>
      </c>
      <c r="C16" s="147">
        <f>'Exhibit P,1'!G16</f>
        <v>27313638.633827984</v>
      </c>
      <c r="E16" s="74">
        <v>0</v>
      </c>
      <c r="G16" s="147">
        <f>C16*E16</f>
        <v>0</v>
      </c>
      <c r="H16" s="147"/>
      <c r="I16" s="147">
        <f>'Exhibit O,3'!S16</f>
        <v>25659084.629999999</v>
      </c>
      <c r="J16" s="147"/>
      <c r="K16" s="147">
        <f>G16+I16</f>
        <v>25659084.629999999</v>
      </c>
      <c r="N16" s="146"/>
      <c r="W16" s="122">
        <v>20747266</v>
      </c>
      <c r="X16" s="223">
        <f>K16-W16</f>
        <v>4911818.629999999</v>
      </c>
    </row>
    <row r="17" spans="1:24">
      <c r="A17" s="6">
        <f>A16+1</f>
        <v>1995</v>
      </c>
      <c r="C17" s="494">
        <f>'Exhibit P,1'!G17</f>
        <v>27902878.669145625</v>
      </c>
      <c r="E17" s="74">
        <v>0</v>
      </c>
      <c r="G17" s="187">
        <f>C17*E17</f>
        <v>0</v>
      </c>
      <c r="H17" s="187"/>
      <c r="I17" s="17">
        <f>'Exhibit O,3'!S17</f>
        <v>27896034.309999995</v>
      </c>
      <c r="J17" s="187"/>
      <c r="K17" s="494">
        <f>G17+I17</f>
        <v>27896034.309999995</v>
      </c>
      <c r="N17" s="146"/>
      <c r="W17" s="172">
        <v>25659084.629999999</v>
      </c>
      <c r="X17" s="137">
        <f t="shared" ref="X17:X43" si="0">K17-W17</f>
        <v>2236949.679999996</v>
      </c>
    </row>
    <row r="18" spans="1:24">
      <c r="A18" s="6">
        <f t="shared" ref="A18:A44" si="1">A17+1</f>
        <v>1996</v>
      </c>
      <c r="C18" s="494">
        <f>'Exhibit P,1'!G18</f>
        <v>28564543.073415574</v>
      </c>
      <c r="E18" s="74">
        <v>0</v>
      </c>
      <c r="G18" s="187">
        <f t="shared" ref="G18:G44" si="2">C18*E18</f>
        <v>0</v>
      </c>
      <c r="H18" s="187"/>
      <c r="I18" s="17">
        <f>'Exhibit O,3'!S18</f>
        <v>30198928.089999996</v>
      </c>
      <c r="J18" s="187"/>
      <c r="K18" s="494">
        <f t="shared" ref="K18:K44" si="3">G18+I18</f>
        <v>30198928.089999996</v>
      </c>
      <c r="N18" s="146"/>
      <c r="W18" s="172">
        <v>27896034.309999995</v>
      </c>
      <c r="X18" s="137">
        <f t="shared" si="0"/>
        <v>2302893.7800000012</v>
      </c>
    </row>
    <row r="19" spans="1:24">
      <c r="A19" s="6">
        <f t="shared" si="1"/>
        <v>1997</v>
      </c>
      <c r="C19" s="494">
        <f>'Exhibit P,1'!G19</f>
        <v>25407588.18136172</v>
      </c>
      <c r="E19" s="74">
        <v>0</v>
      </c>
      <c r="G19" s="187">
        <f t="shared" si="2"/>
        <v>0</v>
      </c>
      <c r="H19" s="187"/>
      <c r="I19" s="17">
        <f>'Exhibit O,3'!S19</f>
        <v>26713733.369999997</v>
      </c>
      <c r="J19" s="187"/>
      <c r="K19" s="494">
        <f t="shared" si="3"/>
        <v>26713733.369999997</v>
      </c>
      <c r="N19" s="146"/>
      <c r="W19" s="172">
        <v>30198928.089999996</v>
      </c>
      <c r="X19" s="137">
        <f t="shared" si="0"/>
        <v>-3485194.7199999988</v>
      </c>
    </row>
    <row r="20" spans="1:24">
      <c r="A20" s="6">
        <f t="shared" si="1"/>
        <v>1998</v>
      </c>
      <c r="C20" s="494">
        <f>'Exhibit P,1'!G20</f>
        <v>25508282.094568606</v>
      </c>
      <c r="E20" s="74">
        <v>0</v>
      </c>
      <c r="G20" s="187">
        <f t="shared" si="2"/>
        <v>0</v>
      </c>
      <c r="H20" s="187"/>
      <c r="I20" s="17">
        <f>'Exhibit O,3'!S20</f>
        <v>29164670.75</v>
      </c>
      <c r="J20" s="187"/>
      <c r="K20" s="494">
        <f t="shared" si="3"/>
        <v>29164670.75</v>
      </c>
      <c r="N20" s="146"/>
      <c r="W20" s="172">
        <v>26713733.369999997</v>
      </c>
      <c r="X20" s="137">
        <f t="shared" si="0"/>
        <v>2450937.3800000027</v>
      </c>
    </row>
    <row r="21" spans="1:24">
      <c r="A21" s="6">
        <f t="shared" si="1"/>
        <v>1999</v>
      </c>
      <c r="C21" s="494">
        <f>'Exhibit P,1'!G21</f>
        <v>26808092.433609318</v>
      </c>
      <c r="E21" s="74">
        <v>0</v>
      </c>
      <c r="G21" s="187">
        <f t="shared" si="2"/>
        <v>0</v>
      </c>
      <c r="H21" s="187"/>
      <c r="I21" s="17">
        <f>'Exhibit O,3'!S21</f>
        <v>35137110.340000004</v>
      </c>
      <c r="J21" s="187"/>
      <c r="K21" s="494">
        <f t="shared" si="3"/>
        <v>35137110.340000004</v>
      </c>
      <c r="N21" s="146"/>
      <c r="W21" s="172">
        <v>29164670.75</v>
      </c>
      <c r="X21" s="137">
        <f t="shared" si="0"/>
        <v>5972439.5900000036</v>
      </c>
    </row>
    <row r="22" spans="1:24">
      <c r="A22" s="6">
        <f t="shared" si="1"/>
        <v>2000</v>
      </c>
      <c r="C22" s="494">
        <f>'Exhibit P,1'!G22</f>
        <v>26647378.307397239</v>
      </c>
      <c r="E22" s="74">
        <v>0</v>
      </c>
      <c r="G22" s="187">
        <f t="shared" si="2"/>
        <v>0</v>
      </c>
      <c r="H22" s="187"/>
      <c r="I22" s="17">
        <f>'Exhibit O,3'!S22</f>
        <v>27795495.93</v>
      </c>
      <c r="J22" s="187"/>
      <c r="K22" s="494">
        <f t="shared" si="3"/>
        <v>27795495.93</v>
      </c>
      <c r="N22" s="146"/>
      <c r="W22" s="172">
        <v>35137110.340000004</v>
      </c>
      <c r="X22" s="137">
        <f t="shared" si="0"/>
        <v>-7341614.4100000039</v>
      </c>
    </row>
    <row r="23" spans="1:24">
      <c r="A23" s="6">
        <f t="shared" si="1"/>
        <v>2001</v>
      </c>
      <c r="C23" s="494">
        <f>'Exhibit P,1'!G23</f>
        <v>25082602.853833288</v>
      </c>
      <c r="E23" s="74">
        <v>0</v>
      </c>
      <c r="G23" s="187">
        <f t="shared" si="2"/>
        <v>0</v>
      </c>
      <c r="H23" s="187"/>
      <c r="I23" s="17">
        <f>'Exhibit O,3'!S23</f>
        <v>22560712.330000006</v>
      </c>
      <c r="J23" s="187"/>
      <c r="K23" s="494">
        <f t="shared" si="3"/>
        <v>22560712.330000006</v>
      </c>
      <c r="N23" s="146"/>
      <c r="W23" s="172">
        <v>27795495.929999996</v>
      </c>
      <c r="X23" s="137">
        <f t="shared" si="0"/>
        <v>-5234783.5999999903</v>
      </c>
    </row>
    <row r="24" spans="1:24">
      <c r="A24" s="6">
        <f t="shared" si="1"/>
        <v>2002</v>
      </c>
      <c r="C24" s="494">
        <f>'Exhibit P,1'!G24</f>
        <v>22665041.915257182</v>
      </c>
      <c r="E24" s="74">
        <v>0</v>
      </c>
      <c r="G24" s="187">
        <f t="shared" si="2"/>
        <v>0</v>
      </c>
      <c r="H24" s="187"/>
      <c r="I24" s="17">
        <f>'Exhibit O,3'!S24</f>
        <v>26310397.339999992</v>
      </c>
      <c r="J24" s="187"/>
      <c r="K24" s="494">
        <f t="shared" si="3"/>
        <v>26310397.339999992</v>
      </c>
      <c r="N24" s="146"/>
      <c r="W24" s="172">
        <v>22560712.330000002</v>
      </c>
      <c r="X24" s="137">
        <f t="shared" si="0"/>
        <v>3749685.0099999905</v>
      </c>
    </row>
    <row r="25" spans="1:24">
      <c r="A25" s="6">
        <f t="shared" si="1"/>
        <v>2003</v>
      </c>
      <c r="C25" s="494">
        <f>'Exhibit P,1'!G25</f>
        <v>17746637.827762809</v>
      </c>
      <c r="E25" s="74">
        <v>0</v>
      </c>
      <c r="G25" s="187">
        <f t="shared" si="2"/>
        <v>0</v>
      </c>
      <c r="H25" s="187"/>
      <c r="I25" s="17">
        <f>'Exhibit O,3'!S25</f>
        <v>20878044.309999999</v>
      </c>
      <c r="J25" s="187"/>
      <c r="K25" s="494">
        <f t="shared" si="3"/>
        <v>20878044.309999999</v>
      </c>
      <c r="N25" s="146"/>
      <c r="W25" s="172">
        <v>26310397.339999992</v>
      </c>
      <c r="X25" s="137">
        <f t="shared" si="0"/>
        <v>-5432353.0299999937</v>
      </c>
    </row>
    <row r="26" spans="1:24">
      <c r="A26" s="6">
        <f t="shared" si="1"/>
        <v>2004</v>
      </c>
      <c r="C26" s="494">
        <f>'Exhibit P,1'!G26</f>
        <v>16346918.751615597</v>
      </c>
      <c r="E26" s="74">
        <v>0</v>
      </c>
      <c r="G26" s="187">
        <f t="shared" si="2"/>
        <v>0</v>
      </c>
      <c r="H26" s="187"/>
      <c r="I26" s="17">
        <f>'Exhibit O,3'!S26</f>
        <v>14303436.559999997</v>
      </c>
      <c r="J26" s="187"/>
      <c r="K26" s="494">
        <f t="shared" si="3"/>
        <v>14303436.559999997</v>
      </c>
      <c r="N26" s="146"/>
      <c r="W26" s="172">
        <v>20878044.309999999</v>
      </c>
      <c r="X26" s="137">
        <f t="shared" si="0"/>
        <v>-6574607.7500000019</v>
      </c>
    </row>
    <row r="27" spans="1:24">
      <c r="A27" s="6">
        <f t="shared" si="1"/>
        <v>2005</v>
      </c>
      <c r="C27" s="494">
        <f>'Exhibit P,1'!G27</f>
        <v>15367525.712034516</v>
      </c>
      <c r="E27" s="74">
        <v>0</v>
      </c>
      <c r="G27" s="187">
        <f t="shared" si="2"/>
        <v>0</v>
      </c>
      <c r="H27" s="187"/>
      <c r="I27" s="17">
        <f>'Exhibit O,3'!S27</f>
        <v>16243160.280000001</v>
      </c>
      <c r="J27" s="187"/>
      <c r="K27" s="494">
        <f t="shared" si="3"/>
        <v>16243160.280000001</v>
      </c>
      <c r="N27" s="146"/>
      <c r="W27" s="172">
        <v>14303436.559999999</v>
      </c>
      <c r="X27" s="137">
        <f t="shared" si="0"/>
        <v>1939723.7200000025</v>
      </c>
    </row>
    <row r="28" spans="1:24">
      <c r="A28" s="6">
        <f t="shared" si="1"/>
        <v>2006</v>
      </c>
      <c r="C28" s="494">
        <f>'Exhibit P,1'!G28</f>
        <v>15237164.413106484</v>
      </c>
      <c r="E28" s="74">
        <v>0</v>
      </c>
      <c r="G28" s="187">
        <f t="shared" si="2"/>
        <v>0</v>
      </c>
      <c r="H28" s="187"/>
      <c r="I28" s="17">
        <f>'Exhibit O,3'!S28</f>
        <v>14659669.499999998</v>
      </c>
      <c r="J28" s="187"/>
      <c r="K28" s="494">
        <f t="shared" si="3"/>
        <v>14659669.499999998</v>
      </c>
      <c r="N28" s="146"/>
      <c r="W28" s="172">
        <v>16243160.279999999</v>
      </c>
      <c r="X28" s="137">
        <f t="shared" si="0"/>
        <v>-1583490.7800000012</v>
      </c>
    </row>
    <row r="29" spans="1:24">
      <c r="A29" s="6">
        <f t="shared" si="1"/>
        <v>2007</v>
      </c>
      <c r="C29" s="494">
        <f>'Exhibit P,1'!G29</f>
        <v>15177045.965354446</v>
      </c>
      <c r="E29" s="74">
        <v>0</v>
      </c>
      <c r="G29" s="187">
        <f t="shared" si="2"/>
        <v>0</v>
      </c>
      <c r="H29" s="187"/>
      <c r="I29" s="17">
        <f>'Exhibit O,3'!S29</f>
        <v>16719584.209999999</v>
      </c>
      <c r="J29" s="187"/>
      <c r="K29" s="494">
        <f t="shared" si="3"/>
        <v>16719584.209999999</v>
      </c>
      <c r="N29" s="146"/>
      <c r="W29" s="172">
        <v>14865805.799999999</v>
      </c>
      <c r="X29" s="137">
        <f t="shared" si="0"/>
        <v>1853778.4100000001</v>
      </c>
    </row>
    <row r="30" spans="1:24">
      <c r="A30" s="6">
        <f t="shared" si="1"/>
        <v>2008</v>
      </c>
      <c r="C30" s="494">
        <f>'Exhibit P,1'!G30</f>
        <v>14598524.270270921</v>
      </c>
      <c r="E30" s="74">
        <v>0</v>
      </c>
      <c r="G30" s="187">
        <f t="shared" si="2"/>
        <v>0</v>
      </c>
      <c r="H30" s="187"/>
      <c r="I30" s="17">
        <f>'Exhibit O,3'!S30</f>
        <v>15508781.949999999</v>
      </c>
      <c r="J30" s="187"/>
      <c r="K30" s="494">
        <f t="shared" si="3"/>
        <v>15508781.949999999</v>
      </c>
      <c r="N30" s="146"/>
      <c r="W30" s="172">
        <v>16721084.209999999</v>
      </c>
      <c r="X30" s="137">
        <f t="shared" si="0"/>
        <v>-1212302.2599999998</v>
      </c>
    </row>
    <row r="31" spans="1:24">
      <c r="A31" s="6">
        <f t="shared" si="1"/>
        <v>2009</v>
      </c>
      <c r="C31" s="494">
        <f>'Exhibit P,1'!G31</f>
        <v>13928750.720648153</v>
      </c>
      <c r="E31" s="74">
        <v>0</v>
      </c>
      <c r="G31" s="187">
        <f t="shared" si="2"/>
        <v>0</v>
      </c>
      <c r="H31" s="187"/>
      <c r="I31" s="17">
        <f>'Exhibit O,3'!S31</f>
        <v>12635738.100000003</v>
      </c>
      <c r="J31" s="187"/>
      <c r="K31" s="494">
        <f t="shared" si="3"/>
        <v>12635738.100000003</v>
      </c>
      <c r="N31" s="146"/>
      <c r="W31" s="172">
        <v>15508781.949999999</v>
      </c>
      <c r="X31" s="137">
        <f t="shared" si="0"/>
        <v>-2873043.8499999959</v>
      </c>
    </row>
    <row r="32" spans="1:24">
      <c r="A32" s="6">
        <f t="shared" si="1"/>
        <v>2010</v>
      </c>
      <c r="C32" s="494">
        <f>'Exhibit P,1'!G32</f>
        <v>13687632.052505657</v>
      </c>
      <c r="E32" s="74">
        <v>0</v>
      </c>
      <c r="G32" s="187">
        <f t="shared" si="2"/>
        <v>0</v>
      </c>
      <c r="H32" s="187"/>
      <c r="I32" s="17">
        <f>'Exhibit O,3'!S32</f>
        <v>16673387.52</v>
      </c>
      <c r="J32" s="187"/>
      <c r="K32" s="494">
        <f t="shared" si="3"/>
        <v>16673387.52</v>
      </c>
      <c r="N32" s="146"/>
      <c r="W32" s="172">
        <v>12635738.100000001</v>
      </c>
      <c r="X32" s="137">
        <f t="shared" si="0"/>
        <v>4037649.4199999981</v>
      </c>
    </row>
    <row r="33" spans="1:24">
      <c r="A33" s="6">
        <f t="shared" si="1"/>
        <v>2011</v>
      </c>
      <c r="C33" s="494">
        <f>'Exhibit P,1'!G33</f>
        <v>13306190.18131323</v>
      </c>
      <c r="E33" s="74">
        <f>1-'Exhibit Q,1'!I24</f>
        <v>0</v>
      </c>
      <c r="G33" s="187">
        <f t="shared" si="2"/>
        <v>0</v>
      </c>
      <c r="H33" s="187"/>
      <c r="I33" s="17">
        <f>'Exhibit O,3'!S33</f>
        <v>9644676.9399999995</v>
      </c>
      <c r="J33" s="187"/>
      <c r="K33" s="494">
        <f t="shared" si="3"/>
        <v>9644676.9399999995</v>
      </c>
      <c r="N33" s="146"/>
      <c r="W33" s="172">
        <v>16673387.52</v>
      </c>
      <c r="X33" s="137">
        <f t="shared" si="0"/>
        <v>-7028710.5800000001</v>
      </c>
    </row>
    <row r="34" spans="1:24">
      <c r="A34" s="6">
        <f t="shared" si="1"/>
        <v>2012</v>
      </c>
      <c r="C34" s="494">
        <f>'Exhibit P,1'!G34</f>
        <v>13117013.381029487</v>
      </c>
      <c r="E34" s="74">
        <f>1-'Exhibit Q,1'!I25</f>
        <v>0</v>
      </c>
      <c r="G34" s="187">
        <f t="shared" si="2"/>
        <v>0</v>
      </c>
      <c r="H34" s="187"/>
      <c r="I34" s="17">
        <f>'Exhibit O,3'!S34</f>
        <v>13600663.920000002</v>
      </c>
      <c r="J34" s="187"/>
      <c r="K34" s="494">
        <f t="shared" si="3"/>
        <v>13600663.920000002</v>
      </c>
      <c r="N34" s="146"/>
      <c r="W34" s="172">
        <v>9958317.0299999993</v>
      </c>
      <c r="X34" s="137">
        <f t="shared" si="0"/>
        <v>3642346.8900000025</v>
      </c>
    </row>
    <row r="35" spans="1:24">
      <c r="A35" s="6">
        <f t="shared" si="1"/>
        <v>2013</v>
      </c>
      <c r="C35" s="494">
        <f>'Exhibit P,1'!G35</f>
        <v>13007066.982884701</v>
      </c>
      <c r="E35" s="74">
        <f>1-'Exhibit Q,1'!I26</f>
        <v>0</v>
      </c>
      <c r="G35" s="187">
        <f t="shared" si="2"/>
        <v>0</v>
      </c>
      <c r="H35" s="187"/>
      <c r="I35" s="17">
        <f>'Exhibit O,3'!S35</f>
        <v>11521638.42</v>
      </c>
      <c r="J35" s="187"/>
      <c r="K35" s="494">
        <f t="shared" si="3"/>
        <v>11521638.42</v>
      </c>
      <c r="N35" s="146"/>
      <c r="W35" s="172">
        <v>13884871.140000001</v>
      </c>
      <c r="X35" s="137">
        <f t="shared" si="0"/>
        <v>-2363232.7200000007</v>
      </c>
    </row>
    <row r="36" spans="1:24">
      <c r="A36" s="6">
        <f t="shared" si="1"/>
        <v>2014</v>
      </c>
      <c r="C36" s="494">
        <f>'Exhibit P,1'!G36</f>
        <v>11812037.487066304</v>
      </c>
      <c r="E36" s="74">
        <f>1-'Exhibit Q,1'!I27</f>
        <v>0</v>
      </c>
      <c r="G36" s="187">
        <f t="shared" si="2"/>
        <v>0</v>
      </c>
      <c r="H36" s="187"/>
      <c r="I36" s="17">
        <f>'Exhibit O,3'!S36</f>
        <v>11478427.860000001</v>
      </c>
      <c r="J36" s="187"/>
      <c r="K36" s="494">
        <f t="shared" si="3"/>
        <v>11478427.860000001</v>
      </c>
      <c r="N36" s="146"/>
      <c r="W36" s="172">
        <v>11549844.750911724</v>
      </c>
      <c r="X36" s="137">
        <f t="shared" si="0"/>
        <v>-71416.890911722556</v>
      </c>
    </row>
    <row r="37" spans="1:24">
      <c r="A37" s="6">
        <f t="shared" si="1"/>
        <v>2015</v>
      </c>
      <c r="C37" s="494">
        <f>'Exhibit P,1'!G37</f>
        <v>11138607.804071419</v>
      </c>
      <c r="E37" s="74">
        <f>1-'Exhibit Q,1'!I28</f>
        <v>2.2689768976897895E-3</v>
      </c>
      <c r="G37" s="187">
        <f t="shared" si="2"/>
        <v>25273.243779865246</v>
      </c>
      <c r="H37" s="187"/>
      <c r="I37" s="17">
        <f>'Exhibit O,3'!S37</f>
        <v>13635004.139999997</v>
      </c>
      <c r="J37" s="187"/>
      <c r="K37" s="494">
        <f t="shared" si="3"/>
        <v>13660277.383779863</v>
      </c>
      <c r="N37" s="146"/>
      <c r="W37" s="172">
        <v>11565126.48499058</v>
      </c>
      <c r="X37" s="137">
        <f t="shared" si="0"/>
        <v>2095150.8987892829</v>
      </c>
    </row>
    <row r="38" spans="1:24">
      <c r="A38" s="6">
        <f t="shared" si="1"/>
        <v>2016</v>
      </c>
      <c r="C38" s="494">
        <f>'Exhibit P,1'!G38</f>
        <v>10911632.335422095</v>
      </c>
      <c r="E38" s="74">
        <f>1-'Exhibit Q,1'!I29</f>
        <v>1.3074961625956005E-2</v>
      </c>
      <c r="G38" s="187">
        <f t="shared" si="2"/>
        <v>142669.17406218461</v>
      </c>
      <c r="H38" s="187"/>
      <c r="I38" s="17">
        <f>'Exhibit O,3'!S38</f>
        <v>8877784.629999999</v>
      </c>
      <c r="J38" s="187"/>
      <c r="K38" s="494">
        <f t="shared" si="3"/>
        <v>9020453.8040621839</v>
      </c>
      <c r="N38" s="146"/>
      <c r="W38" s="172">
        <v>14068296.39489099</v>
      </c>
      <c r="X38" s="137">
        <f t="shared" si="0"/>
        <v>-5047842.5908288062</v>
      </c>
    </row>
    <row r="39" spans="1:24">
      <c r="A39" s="6">
        <f t="shared" si="1"/>
        <v>2017</v>
      </c>
      <c r="C39" s="494">
        <f>'Exhibit P,1'!G39</f>
        <v>10156738.652484175</v>
      </c>
      <c r="E39" s="74">
        <f>1-'Exhibit Q,1'!I30</f>
        <v>3.3997880160151261E-2</v>
      </c>
      <c r="G39" s="187">
        <f t="shared" si="2"/>
        <v>345307.5835251332</v>
      </c>
      <c r="H39" s="187"/>
      <c r="I39" s="17">
        <f>'Exhibit O,3'!S39</f>
        <v>5987304.1399999987</v>
      </c>
      <c r="J39" s="187"/>
      <c r="K39" s="494">
        <f t="shared" si="3"/>
        <v>6332611.7235251321</v>
      </c>
      <c r="N39" s="146"/>
      <c r="W39" s="172">
        <v>10191065.649165154</v>
      </c>
      <c r="X39" s="137">
        <f t="shared" si="0"/>
        <v>-3858453.9256400215</v>
      </c>
    </row>
    <row r="40" spans="1:24">
      <c r="A40" s="6">
        <f t="shared" si="1"/>
        <v>2018</v>
      </c>
      <c r="C40" s="494">
        <f>'Exhibit P,1'!G40</f>
        <v>10096251.695205364</v>
      </c>
      <c r="E40" s="74">
        <f>1-'Exhibit Q,1'!I31</f>
        <v>7.5589513530834651E-2</v>
      </c>
      <c r="G40" s="187">
        <f t="shared" si="2"/>
        <v>763170.75412543816</v>
      </c>
      <c r="H40" s="187"/>
      <c r="I40" s="17">
        <f>'Exhibit O,3'!S40</f>
        <v>9540028.9600000009</v>
      </c>
      <c r="J40" s="187"/>
      <c r="K40" s="494">
        <f t="shared" si="3"/>
        <v>10303199.71412544</v>
      </c>
      <c r="N40" s="146"/>
      <c r="W40" s="172">
        <v>6909817.1385783246</v>
      </c>
      <c r="X40" s="137">
        <f t="shared" si="0"/>
        <v>3393382.5755471149</v>
      </c>
    </row>
    <row r="41" spans="1:24">
      <c r="A41" s="6">
        <f t="shared" si="1"/>
        <v>2019</v>
      </c>
      <c r="C41" s="494">
        <f>'Exhibit P,1'!G41</f>
        <v>9144370.8197895586</v>
      </c>
      <c r="E41" s="74">
        <f>1-'Exhibit Q,1'!I32</f>
        <v>0.1547233943864228</v>
      </c>
      <c r="G41" s="187">
        <f t="shared" si="2"/>
        <v>1414848.0927659962</v>
      </c>
      <c r="H41" s="187"/>
      <c r="I41" s="17">
        <f>'Exhibit O,3'!S41</f>
        <v>9372609.4299999997</v>
      </c>
      <c r="J41" s="187"/>
      <c r="K41" s="494">
        <f t="shared" si="3"/>
        <v>10787457.522765996</v>
      </c>
      <c r="N41" s="146"/>
      <c r="W41" s="172">
        <v>9418555.6113688741</v>
      </c>
      <c r="X41" s="137">
        <f t="shared" si="0"/>
        <v>1368901.9113971218</v>
      </c>
    </row>
    <row r="42" spans="1:24">
      <c r="A42" s="6">
        <f t="shared" si="1"/>
        <v>2020</v>
      </c>
      <c r="C42" s="494">
        <f>'Exhibit P,1'!G42</f>
        <v>7148428.5148514844</v>
      </c>
      <c r="E42" s="74">
        <f>1-'Exhibit Q,1'!I33</f>
        <v>0.33736041349961432</v>
      </c>
      <c r="G42" s="187">
        <f t="shared" si="2"/>
        <v>2411596.7996427305</v>
      </c>
      <c r="H42" s="187"/>
      <c r="I42" s="17">
        <f>'Exhibit O,3'!S42</f>
        <v>6406174.7300000004</v>
      </c>
      <c r="J42" s="187"/>
      <c r="K42" s="494">
        <f t="shared" si="3"/>
        <v>8817771.529642731</v>
      </c>
      <c r="N42" s="146"/>
      <c r="W42" s="172">
        <v>10580281.026492953</v>
      </c>
      <c r="X42" s="137">
        <f t="shared" si="0"/>
        <v>-1762509.4968502223</v>
      </c>
    </row>
    <row r="43" spans="1:24">
      <c r="A43" s="6">
        <f t="shared" si="1"/>
        <v>2021</v>
      </c>
      <c r="C43" s="494">
        <f>'Exhibit P,1'!G43</f>
        <v>7941904.080000001</v>
      </c>
      <c r="E43" s="74">
        <f>1-'Exhibit Q,1'!I34</f>
        <v>0.63417790897398363</v>
      </c>
      <c r="G43" s="187">
        <f t="shared" si="2"/>
        <v>5036580.1227263501</v>
      </c>
      <c r="H43" s="187"/>
      <c r="I43" s="17">
        <f>'Exhibit O,3'!S43</f>
        <v>2146692.9499999997</v>
      </c>
      <c r="J43" s="187"/>
      <c r="K43" s="494">
        <f t="shared" si="3"/>
        <v>7183273.0727263503</v>
      </c>
      <c r="N43" s="146"/>
      <c r="W43" s="172">
        <v>8060531.627863666</v>
      </c>
      <c r="X43" s="137">
        <f t="shared" si="0"/>
        <v>-877258.55513731577</v>
      </c>
    </row>
    <row r="44" spans="1:24">
      <c r="A44" s="6">
        <f t="shared" si="1"/>
        <v>2022</v>
      </c>
      <c r="C44" s="494">
        <f>'Exhibit P,1'!G44</f>
        <v>10800989.548800003</v>
      </c>
      <c r="E44" s="74">
        <f>1-'Exhibit Q,1'!I35</f>
        <v>0.8668642254336284</v>
      </c>
      <c r="G44" s="187">
        <f t="shared" si="2"/>
        <v>9362991.4391372297</v>
      </c>
      <c r="H44" s="187"/>
      <c r="I44" s="17">
        <f>'Exhibit O,3'!S44</f>
        <v>2421009.17</v>
      </c>
      <c r="J44" s="187"/>
      <c r="K44" s="494">
        <f t="shared" si="3"/>
        <v>11784000.60913723</v>
      </c>
      <c r="N44" s="146"/>
      <c r="W44" s="172">
        <v>0</v>
      </c>
      <c r="X44" s="137"/>
    </row>
    <row r="45" spans="1:24">
      <c r="A45" s="6"/>
      <c r="C45" s="105"/>
      <c r="G45" s="105"/>
      <c r="I45" s="105"/>
      <c r="K45" s="105"/>
      <c r="N45" s="18"/>
      <c r="W45" s="61"/>
      <c r="X45" s="61"/>
    </row>
    <row r="46" spans="1:24">
      <c r="A46" s="6" t="s">
        <v>0</v>
      </c>
      <c r="C46" s="26">
        <f>SUM(C16:C45)</f>
        <v>486571477.35863304</v>
      </c>
      <c r="G46" s="26">
        <f>SUM(G16:G45)</f>
        <v>19502437.209764928</v>
      </c>
      <c r="H46" s="26"/>
      <c r="I46" s="26">
        <f>SUM(I16:I45)</f>
        <v>483689984.81</v>
      </c>
      <c r="J46" s="26"/>
      <c r="K46" s="26">
        <f>SUM(K16:K45)</f>
        <v>503192422.01976496</v>
      </c>
      <c r="N46" s="26"/>
      <c r="W46" s="278">
        <f>SUM(W16:W44)</f>
        <v>506199578.67426217</v>
      </c>
      <c r="X46" s="278">
        <f>SUM(X16:X44)</f>
        <v>-14791157.263634561</v>
      </c>
    </row>
    <row r="48" spans="1:24">
      <c r="I48" s="26"/>
    </row>
    <row r="50" spans="1:2">
      <c r="A50" s="6" t="s">
        <v>50</v>
      </c>
      <c r="B50" s="1" t="s">
        <v>60</v>
      </c>
    </row>
    <row r="51" spans="1:2">
      <c r="B51" s="3" t="s">
        <v>923</v>
      </c>
    </row>
    <row r="52" spans="1:2">
      <c r="B52" s="1" t="s">
        <v>51</v>
      </c>
    </row>
    <row r="53" spans="1:2">
      <c r="B53" s="1" t="s">
        <v>915</v>
      </c>
    </row>
    <row r="54" spans="1:2">
      <c r="B54" s="1" t="s">
        <v>61</v>
      </c>
    </row>
  </sheetData>
  <printOptions horizontalCentered="1"/>
  <pageMargins left="0.7" right="0.7" top="0.75" bottom="0.75" header="0.3" footer="0.3"/>
  <pageSetup scale="7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5">
    <pageSetUpPr fitToPage="1"/>
  </sheetPr>
  <dimension ref="A1:AE54"/>
  <sheetViews>
    <sheetView showOutlineSymbols="0" topLeftCell="I22" zoomScaleNormal="100" workbookViewId="0">
      <selection activeCell="W43" sqref="W43"/>
    </sheetView>
  </sheetViews>
  <sheetFormatPr baseColWidth="10" defaultColWidth="9.7109375" defaultRowHeight="15"/>
  <cols>
    <col min="1" max="1" width="11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2.7109375" style="1" customWidth="1"/>
    <col min="12" max="13" width="9.7109375" style="1"/>
    <col min="14" max="14" width="12.7109375" style="1" customWidth="1"/>
    <col min="15" max="15" width="9.7109375" style="1"/>
    <col min="16" max="16" width="13.7109375" style="1" bestFit="1" customWidth="1"/>
    <col min="17" max="21" width="12.7109375" style="1" customWidth="1"/>
    <col min="22" max="22" width="10.85546875" style="1" bestFit="1" customWidth="1"/>
    <col min="23" max="28" width="12.7109375" style="1" customWidth="1"/>
    <col min="29" max="29" width="9.7109375" style="1"/>
    <col min="30" max="31" width="12.7109375" style="1" customWidth="1"/>
    <col min="32" max="16384" width="9.7109375" style="1"/>
  </cols>
  <sheetData>
    <row r="1" spans="1:30">
      <c r="K1" s="52" t="s">
        <v>65</v>
      </c>
    </row>
    <row r="2" spans="1:30">
      <c r="K2" s="52" t="s">
        <v>66</v>
      </c>
    </row>
    <row r="4" spans="1:30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30">
      <c r="A5" s="5"/>
      <c r="B5" s="5"/>
      <c r="C5" s="5"/>
      <c r="D5" s="5"/>
      <c r="E5" s="5"/>
      <c r="F5" s="5"/>
      <c r="G5" s="5"/>
      <c r="H5" s="5"/>
      <c r="I5" s="5"/>
      <c r="J5" s="5"/>
      <c r="K5" s="5"/>
    </row>
    <row r="6" spans="1:30">
      <c r="A6" s="5" t="s">
        <v>57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30">
      <c r="A7" s="5" t="s">
        <v>58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30">
      <c r="A8" s="5" t="s">
        <v>200</v>
      </c>
      <c r="B8" s="5"/>
      <c r="C8" s="5"/>
      <c r="D8" s="5"/>
      <c r="E8" s="5"/>
      <c r="F8" s="5"/>
      <c r="G8" s="5"/>
      <c r="H8" s="5"/>
      <c r="I8" s="5"/>
      <c r="J8" s="5"/>
      <c r="K8" s="5"/>
      <c r="Q8" s="61" t="s">
        <v>1354</v>
      </c>
    </row>
    <row r="9" spans="1:30">
      <c r="A9" s="5"/>
      <c r="B9" s="5"/>
      <c r="C9" s="5"/>
      <c r="D9" s="5"/>
      <c r="E9" s="5"/>
      <c r="F9" s="5"/>
      <c r="G9" s="5"/>
      <c r="H9" s="5"/>
      <c r="I9" s="5"/>
      <c r="J9" s="5"/>
      <c r="K9" s="5"/>
    </row>
    <row r="10" spans="1:30">
      <c r="P10" s="25" t="s">
        <v>9</v>
      </c>
      <c r="Q10" s="25" t="s">
        <v>17</v>
      </c>
      <c r="R10" s="25">
        <v>2022</v>
      </c>
      <c r="S10" s="25">
        <v>2022</v>
      </c>
      <c r="T10" s="25" t="s">
        <v>2</v>
      </c>
      <c r="U10" s="25" t="s">
        <v>2</v>
      </c>
      <c r="V10" s="25"/>
      <c r="W10" s="25" t="s">
        <v>2</v>
      </c>
      <c r="AD10" s="25"/>
    </row>
    <row r="11" spans="1:30">
      <c r="C11" s="6"/>
      <c r="D11" s="6"/>
      <c r="E11" s="6" t="s">
        <v>7</v>
      </c>
      <c r="F11" s="6"/>
      <c r="G11" s="6" t="s">
        <v>7</v>
      </c>
      <c r="H11" s="6"/>
      <c r="I11" s="6" t="s">
        <v>64</v>
      </c>
      <c r="J11" s="6"/>
      <c r="K11" s="6"/>
      <c r="P11" s="25" t="s">
        <v>1358</v>
      </c>
      <c r="Q11" s="25" t="s">
        <v>1358</v>
      </c>
      <c r="R11" s="44" t="s">
        <v>523</v>
      </c>
      <c r="S11" s="44" t="s">
        <v>523</v>
      </c>
      <c r="T11" s="44" t="s">
        <v>523</v>
      </c>
      <c r="U11" s="44" t="s">
        <v>523</v>
      </c>
      <c r="V11" s="25" t="s">
        <v>1379</v>
      </c>
      <c r="W11" s="25" t="s">
        <v>117</v>
      </c>
      <c r="AD11" s="25"/>
    </row>
    <row r="12" spans="1:30">
      <c r="A12" s="6" t="s">
        <v>3</v>
      </c>
      <c r="C12" s="6" t="s">
        <v>7</v>
      </c>
      <c r="D12" s="6"/>
      <c r="E12" s="6" t="s">
        <v>62</v>
      </c>
      <c r="F12" s="6"/>
      <c r="G12" s="6" t="s">
        <v>63</v>
      </c>
      <c r="H12" s="6"/>
      <c r="I12" s="6" t="s">
        <v>14</v>
      </c>
      <c r="J12" s="6"/>
      <c r="K12" s="6" t="s">
        <v>67</v>
      </c>
      <c r="O12" s="25" t="s">
        <v>3</v>
      </c>
      <c r="P12" s="25" t="s">
        <v>177</v>
      </c>
      <c r="Q12" s="25" t="s">
        <v>177</v>
      </c>
      <c r="R12" s="44" t="s">
        <v>662</v>
      </c>
      <c r="S12" s="44" t="s">
        <v>662</v>
      </c>
      <c r="T12" s="44" t="s">
        <v>662</v>
      </c>
      <c r="U12" s="44" t="s">
        <v>662</v>
      </c>
      <c r="V12" s="25" t="s">
        <v>119</v>
      </c>
      <c r="W12" s="25" t="s">
        <v>1304</v>
      </c>
      <c r="Z12" s="25"/>
      <c r="AD12" s="25"/>
    </row>
    <row r="13" spans="1:30">
      <c r="A13" s="6" t="s">
        <v>4</v>
      </c>
      <c r="C13" s="6" t="s">
        <v>55</v>
      </c>
      <c r="D13" s="6"/>
      <c r="E13" s="6" t="s">
        <v>63</v>
      </c>
      <c r="F13" s="6"/>
      <c r="G13" s="6" t="s">
        <v>55</v>
      </c>
      <c r="H13" s="6"/>
      <c r="I13" s="6" t="s">
        <v>55</v>
      </c>
      <c r="J13" s="6"/>
      <c r="K13" s="6" t="s">
        <v>55</v>
      </c>
      <c r="O13" s="25" t="s">
        <v>4</v>
      </c>
      <c r="P13" s="25" t="s">
        <v>16</v>
      </c>
      <c r="Q13" s="25" t="s">
        <v>16</v>
      </c>
      <c r="R13" s="45" t="s">
        <v>671</v>
      </c>
      <c r="S13" s="45" t="s">
        <v>525</v>
      </c>
      <c r="T13" s="45" t="s">
        <v>671</v>
      </c>
      <c r="U13" s="45" t="s">
        <v>525</v>
      </c>
      <c r="V13" s="97" t="s">
        <v>186</v>
      </c>
      <c r="W13" s="45" t="s">
        <v>1</v>
      </c>
      <c r="X13" s="25" t="s">
        <v>119</v>
      </c>
    </row>
    <row r="14" spans="1:30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  <c r="O14" s="143">
        <v>-1</v>
      </c>
      <c r="P14" s="143">
        <f t="shared" ref="P14:X14" si="0">O14-1</f>
        <v>-2</v>
      </c>
      <c r="Q14" s="143">
        <f t="shared" si="0"/>
        <v>-3</v>
      </c>
      <c r="R14" s="143">
        <f t="shared" si="0"/>
        <v>-4</v>
      </c>
      <c r="S14" s="143">
        <f t="shared" si="0"/>
        <v>-5</v>
      </c>
      <c r="T14" s="143">
        <f t="shared" si="0"/>
        <v>-6</v>
      </c>
      <c r="U14" s="143">
        <f t="shared" si="0"/>
        <v>-7</v>
      </c>
      <c r="V14" s="143">
        <f t="shared" si="0"/>
        <v>-8</v>
      </c>
      <c r="W14" s="143">
        <f t="shared" si="0"/>
        <v>-9</v>
      </c>
      <c r="X14" s="143">
        <f t="shared" si="0"/>
        <v>-10</v>
      </c>
    </row>
    <row r="15" spans="1:30">
      <c r="A15" s="6"/>
      <c r="C15" s="6"/>
      <c r="E15" s="6"/>
      <c r="G15" s="6"/>
      <c r="I15" s="6"/>
      <c r="K15" s="6"/>
      <c r="O15" s="277"/>
      <c r="Q15" s="277"/>
      <c r="R15" s="25"/>
      <c r="S15" s="25"/>
      <c r="T15" s="25"/>
      <c r="U15" s="25"/>
    </row>
    <row r="16" spans="1:30">
      <c r="A16" s="6">
        <v>1994</v>
      </c>
      <c r="C16" s="147">
        <f>'Exhibit P,1'!G16</f>
        <v>27313638.633827984</v>
      </c>
      <c r="E16" s="74">
        <v>0</v>
      </c>
      <c r="G16" s="147">
        <f>C16*E16</f>
        <v>0</v>
      </c>
      <c r="H16" s="147"/>
      <c r="I16" s="147">
        <f>R16</f>
        <v>25659084.629999999</v>
      </c>
      <c r="J16" s="147"/>
      <c r="K16" s="147">
        <f>G16+I16</f>
        <v>25659084.629999999</v>
      </c>
      <c r="N16" s="19"/>
      <c r="O16" s="25">
        <v>1994</v>
      </c>
      <c r="P16" s="20"/>
      <c r="Q16" s="220"/>
      <c r="R16" s="31">
        <f>T16</f>
        <v>25659084.629999999</v>
      </c>
      <c r="S16" s="31">
        <f>U16</f>
        <v>25659084.629999999</v>
      </c>
      <c r="T16" s="31">
        <v>25659084.629999999</v>
      </c>
      <c r="U16" s="31">
        <v>25659084.629999999</v>
      </c>
      <c r="V16" s="245">
        <f>S16-U16</f>
        <v>0</v>
      </c>
      <c r="W16" s="18">
        <v>25659084.629999999</v>
      </c>
      <c r="X16" s="147">
        <f>K16-W16</f>
        <v>0</v>
      </c>
      <c r="Y16" s="61"/>
      <c r="AB16" s="95"/>
    </row>
    <row r="17" spans="1:31">
      <c r="A17" s="6">
        <f>A16+1</f>
        <v>1995</v>
      </c>
      <c r="C17" s="20">
        <f>'Exhibit P,1'!G17</f>
        <v>27902878.669145625</v>
      </c>
      <c r="E17" s="74">
        <v>0</v>
      </c>
      <c r="G17" s="20">
        <f>E17*C17</f>
        <v>0</v>
      </c>
      <c r="I17" s="17">
        <f t="shared" ref="I17:I44" si="1">R17</f>
        <v>27896034.309999995</v>
      </c>
      <c r="K17" s="18">
        <f>G17+I17</f>
        <v>27896034.309999995</v>
      </c>
      <c r="N17" s="18"/>
      <c r="O17" s="25">
        <f>O16+1</f>
        <v>1995</v>
      </c>
      <c r="P17" s="20"/>
      <c r="Q17" s="205"/>
      <c r="R17" s="31">
        <f t="shared" ref="R17:R21" si="2">T17</f>
        <v>27896034.309999995</v>
      </c>
      <c r="S17" s="31">
        <f t="shared" ref="S17:S21" si="3">U17</f>
        <v>27896034.309999995</v>
      </c>
      <c r="T17" s="31">
        <v>27896034.309999995</v>
      </c>
      <c r="U17" s="31">
        <v>27896034.309999995</v>
      </c>
      <c r="V17" s="245">
        <f t="shared" ref="V17:V44" si="4">S17-U17</f>
        <v>0</v>
      </c>
      <c r="W17" s="18">
        <v>27896034.309999995</v>
      </c>
      <c r="X17" s="17">
        <f t="shared" ref="X17:X44" si="5">K17-W17</f>
        <v>0</v>
      </c>
      <c r="Y17" s="61"/>
      <c r="AB17" s="95"/>
    </row>
    <row r="18" spans="1:31">
      <c r="A18" s="6">
        <f t="shared" ref="A18:A44" si="6">A17+1</f>
        <v>1996</v>
      </c>
      <c r="C18" s="20">
        <f>'Exhibit P,1'!G18</f>
        <v>28564543.073415574</v>
      </c>
      <c r="E18" s="74">
        <v>0</v>
      </c>
      <c r="G18" s="20">
        <f t="shared" ref="G18:G44" si="7">E18*C18</f>
        <v>0</v>
      </c>
      <c r="H18" s="20">
        <f t="shared" ref="H18:H44" si="8">F18*D18</f>
        <v>0</v>
      </c>
      <c r="I18" s="17">
        <f t="shared" si="1"/>
        <v>30198928.089999996</v>
      </c>
      <c r="K18" s="18">
        <f t="shared" ref="K18:K44" si="9">G18+I18</f>
        <v>30198928.089999996</v>
      </c>
      <c r="N18" s="18"/>
      <c r="O18" s="25">
        <f t="shared" ref="O18:O44" si="10">O17+1</f>
        <v>1996</v>
      </c>
      <c r="P18" s="20"/>
      <c r="Q18" s="205"/>
      <c r="R18" s="31">
        <f t="shared" si="2"/>
        <v>30198928.089999996</v>
      </c>
      <c r="S18" s="31">
        <f t="shared" si="3"/>
        <v>30198928.089999996</v>
      </c>
      <c r="T18" s="31">
        <v>30198928.089999996</v>
      </c>
      <c r="U18" s="31">
        <v>30198928.089999996</v>
      </c>
      <c r="V18" s="245">
        <f t="shared" si="4"/>
        <v>0</v>
      </c>
      <c r="W18" s="18">
        <v>30198928.089999996</v>
      </c>
      <c r="X18" s="17">
        <f t="shared" si="5"/>
        <v>0</v>
      </c>
      <c r="Y18" s="61"/>
      <c r="AB18" s="95"/>
    </row>
    <row r="19" spans="1:31">
      <c r="A19" s="6">
        <f t="shared" si="6"/>
        <v>1997</v>
      </c>
      <c r="C19" s="20">
        <f>'Exhibit P,1'!G19</f>
        <v>25407588.18136172</v>
      </c>
      <c r="E19" s="74">
        <v>0</v>
      </c>
      <c r="G19" s="20">
        <f t="shared" si="7"/>
        <v>0</v>
      </c>
      <c r="H19" s="20">
        <f t="shared" si="8"/>
        <v>0</v>
      </c>
      <c r="I19" s="17">
        <f t="shared" si="1"/>
        <v>26713733.369999997</v>
      </c>
      <c r="K19" s="18">
        <f t="shared" si="9"/>
        <v>26713733.369999997</v>
      </c>
      <c r="N19" s="18"/>
      <c r="O19" s="25">
        <f t="shared" si="10"/>
        <v>1997</v>
      </c>
      <c r="P19" s="20"/>
      <c r="Q19" s="205"/>
      <c r="R19" s="31">
        <f t="shared" si="2"/>
        <v>26713733.369999997</v>
      </c>
      <c r="S19" s="31">
        <f t="shared" si="3"/>
        <v>26713733.369999997</v>
      </c>
      <c r="T19" s="31">
        <v>26713733.369999997</v>
      </c>
      <c r="U19" s="31">
        <v>26713733.369999997</v>
      </c>
      <c r="V19" s="245">
        <f t="shared" si="4"/>
        <v>0</v>
      </c>
      <c r="W19" s="18">
        <v>26713733.369999997</v>
      </c>
      <c r="X19" s="17">
        <f t="shared" si="5"/>
        <v>0</v>
      </c>
      <c r="Y19" s="61"/>
      <c r="AB19" s="95"/>
    </row>
    <row r="20" spans="1:31">
      <c r="A20" s="6">
        <f t="shared" si="6"/>
        <v>1998</v>
      </c>
      <c r="C20" s="20">
        <f>'Exhibit P,1'!G20</f>
        <v>25508282.094568606</v>
      </c>
      <c r="E20" s="74">
        <v>0</v>
      </c>
      <c r="G20" s="20">
        <f t="shared" si="7"/>
        <v>0</v>
      </c>
      <c r="H20" s="20">
        <f t="shared" si="8"/>
        <v>0</v>
      </c>
      <c r="I20" s="17">
        <f t="shared" si="1"/>
        <v>29164670.75</v>
      </c>
      <c r="K20" s="18">
        <f t="shared" si="9"/>
        <v>29164670.75</v>
      </c>
      <c r="N20" s="18"/>
      <c r="O20" s="25">
        <f t="shared" si="10"/>
        <v>1998</v>
      </c>
      <c r="P20" s="20"/>
      <c r="Q20" s="205"/>
      <c r="R20" s="31">
        <f t="shared" si="2"/>
        <v>29164670.75</v>
      </c>
      <c r="S20" s="31">
        <f t="shared" si="3"/>
        <v>29164670.75</v>
      </c>
      <c r="T20" s="31">
        <v>29164670.75</v>
      </c>
      <c r="U20" s="31">
        <v>29164670.75</v>
      </c>
      <c r="V20" s="245">
        <f t="shared" si="4"/>
        <v>0</v>
      </c>
      <c r="W20" s="18">
        <v>29164670.75</v>
      </c>
      <c r="X20" s="17">
        <f t="shared" si="5"/>
        <v>0</v>
      </c>
      <c r="Y20" s="61"/>
      <c r="AB20" s="95"/>
    </row>
    <row r="21" spans="1:31">
      <c r="A21" s="6">
        <f t="shared" si="6"/>
        <v>1999</v>
      </c>
      <c r="C21" s="20">
        <f>'Exhibit P,1'!G21</f>
        <v>26808092.433609318</v>
      </c>
      <c r="E21" s="74">
        <v>0</v>
      </c>
      <c r="G21" s="20">
        <f t="shared" si="7"/>
        <v>0</v>
      </c>
      <c r="H21" s="20">
        <f t="shared" si="8"/>
        <v>0</v>
      </c>
      <c r="I21" s="17">
        <f t="shared" si="1"/>
        <v>35137110.340000004</v>
      </c>
      <c r="K21" s="18">
        <f t="shared" si="9"/>
        <v>35137110.340000004</v>
      </c>
      <c r="N21" s="18"/>
      <c r="O21" s="25">
        <f t="shared" si="10"/>
        <v>1999</v>
      </c>
      <c r="P21" s="20"/>
      <c r="Q21" s="205"/>
      <c r="R21" s="31">
        <f t="shared" si="2"/>
        <v>35137110.340000004</v>
      </c>
      <c r="S21" s="31">
        <f t="shared" si="3"/>
        <v>35137110.340000004</v>
      </c>
      <c r="T21" s="31">
        <v>35137110.340000004</v>
      </c>
      <c r="U21" s="31">
        <v>35137110.340000004</v>
      </c>
      <c r="V21" s="245">
        <f t="shared" si="4"/>
        <v>0</v>
      </c>
      <c r="W21" s="18">
        <v>35137110.340000004</v>
      </c>
      <c r="X21" s="17">
        <f t="shared" si="5"/>
        <v>0</v>
      </c>
      <c r="Y21" s="61"/>
      <c r="AB21" s="95"/>
    </row>
    <row r="22" spans="1:31">
      <c r="A22" s="6">
        <f t="shared" si="6"/>
        <v>2000</v>
      </c>
      <c r="C22" s="20">
        <f>'Exhibit P,1'!G22</f>
        <v>26647378.307397239</v>
      </c>
      <c r="E22" s="74">
        <v>0</v>
      </c>
      <c r="G22" s="20">
        <f t="shared" si="7"/>
        <v>0</v>
      </c>
      <c r="H22" s="20">
        <f t="shared" si="8"/>
        <v>0</v>
      </c>
      <c r="I22" s="17">
        <f t="shared" si="1"/>
        <v>27795495.93</v>
      </c>
      <c r="K22" s="18">
        <f t="shared" si="9"/>
        <v>27795495.93</v>
      </c>
      <c r="N22" s="18"/>
      <c r="O22" s="25">
        <f t="shared" si="10"/>
        <v>2000</v>
      </c>
      <c r="P22" s="20"/>
      <c r="Q22" s="205"/>
      <c r="R22" s="31">
        <v>27795495.93</v>
      </c>
      <c r="S22" s="31">
        <v>27795495.93</v>
      </c>
      <c r="T22" s="31">
        <v>27795495.93</v>
      </c>
      <c r="U22" s="31">
        <v>27795495.93</v>
      </c>
      <c r="V22" s="245">
        <f t="shared" si="4"/>
        <v>0</v>
      </c>
      <c r="W22" s="18">
        <v>27795495.93</v>
      </c>
      <c r="X22" s="17">
        <f t="shared" si="5"/>
        <v>0</v>
      </c>
      <c r="Y22" s="61"/>
      <c r="AB22" s="95"/>
    </row>
    <row r="23" spans="1:31" ht="16">
      <c r="A23" s="6">
        <f t="shared" si="6"/>
        <v>2001</v>
      </c>
      <c r="C23" s="20">
        <f>'Exhibit P,1'!G23</f>
        <v>25082602.853833288</v>
      </c>
      <c r="E23" s="74">
        <v>0</v>
      </c>
      <c r="G23" s="20">
        <f t="shared" si="7"/>
        <v>0</v>
      </c>
      <c r="H23" s="20">
        <f t="shared" si="8"/>
        <v>0</v>
      </c>
      <c r="I23" s="17">
        <f t="shared" si="1"/>
        <v>22560712.330000006</v>
      </c>
      <c r="K23" s="18">
        <f t="shared" si="9"/>
        <v>22560712.330000006</v>
      </c>
      <c r="N23" s="18"/>
      <c r="O23" s="25">
        <f t="shared" si="10"/>
        <v>2001</v>
      </c>
      <c r="P23" s="20"/>
      <c r="Q23" s="382"/>
      <c r="R23" s="31">
        <v>22560712.330000006</v>
      </c>
      <c r="S23" s="31">
        <v>22560712.330000006</v>
      </c>
      <c r="T23" s="31">
        <v>22560712.330000006</v>
      </c>
      <c r="U23" s="31">
        <v>22560712.330000006</v>
      </c>
      <c r="V23" s="245">
        <f t="shared" si="4"/>
        <v>0</v>
      </c>
      <c r="W23" s="18">
        <v>22560712.330000006</v>
      </c>
      <c r="X23" s="17">
        <f t="shared" si="5"/>
        <v>0</v>
      </c>
      <c r="Y23" s="61"/>
      <c r="AB23" s="95"/>
    </row>
    <row r="24" spans="1:31" ht="16">
      <c r="A24" s="6">
        <f t="shared" si="6"/>
        <v>2002</v>
      </c>
      <c r="C24" s="20">
        <f>'Exhibit P,1'!G24</f>
        <v>22665041.915257182</v>
      </c>
      <c r="E24" s="74">
        <v>0</v>
      </c>
      <c r="G24" s="20">
        <f t="shared" si="7"/>
        <v>0</v>
      </c>
      <c r="H24" s="20">
        <f t="shared" si="8"/>
        <v>0</v>
      </c>
      <c r="I24" s="17">
        <f t="shared" si="1"/>
        <v>26310397.339999992</v>
      </c>
      <c r="K24" s="18">
        <f t="shared" si="9"/>
        <v>26310397.339999992</v>
      </c>
      <c r="N24" s="18"/>
      <c r="O24" s="25">
        <f t="shared" si="10"/>
        <v>2002</v>
      </c>
      <c r="P24" s="20"/>
      <c r="Q24" s="382"/>
      <c r="R24" s="31">
        <v>26310397.339999992</v>
      </c>
      <c r="S24" s="31">
        <v>26310397.339999992</v>
      </c>
      <c r="T24" s="31">
        <v>26310397.339999992</v>
      </c>
      <c r="U24" s="31">
        <v>26310397.339999992</v>
      </c>
      <c r="V24" s="245">
        <f t="shared" si="4"/>
        <v>0</v>
      </c>
      <c r="W24" s="18">
        <v>26310397.339999992</v>
      </c>
      <c r="X24" s="17">
        <f t="shared" si="5"/>
        <v>0</v>
      </c>
      <c r="Y24" s="61"/>
      <c r="Z24" s="46"/>
      <c r="AA24" s="18"/>
      <c r="AB24" s="95"/>
      <c r="AD24" s="18"/>
      <c r="AE24" s="22"/>
    </row>
    <row r="25" spans="1:31" ht="16">
      <c r="A25" s="6">
        <f t="shared" si="6"/>
        <v>2003</v>
      </c>
      <c r="C25" s="20">
        <f>'Exhibit P,1'!G25</f>
        <v>17746637.827762809</v>
      </c>
      <c r="E25" s="74">
        <v>0</v>
      </c>
      <c r="G25" s="20">
        <f t="shared" si="7"/>
        <v>0</v>
      </c>
      <c r="H25" s="20">
        <f t="shared" si="8"/>
        <v>0</v>
      </c>
      <c r="I25" s="17">
        <f t="shared" si="1"/>
        <v>20878044.309999999</v>
      </c>
      <c r="K25" s="18">
        <f t="shared" si="9"/>
        <v>20878044.309999999</v>
      </c>
      <c r="N25" s="18"/>
      <c r="O25" s="25">
        <f t="shared" si="10"/>
        <v>2003</v>
      </c>
      <c r="P25" s="20"/>
      <c r="Q25" s="382"/>
      <c r="R25" s="31">
        <v>20878044.309999999</v>
      </c>
      <c r="S25" s="31">
        <v>20878044.309999999</v>
      </c>
      <c r="T25" s="31">
        <v>20878044.309999999</v>
      </c>
      <c r="U25" s="31">
        <v>20878044.309999999</v>
      </c>
      <c r="V25" s="245">
        <f t="shared" si="4"/>
        <v>0</v>
      </c>
      <c r="W25" s="18">
        <v>20878044.309999999</v>
      </c>
      <c r="X25" s="17">
        <f t="shared" si="5"/>
        <v>0</v>
      </c>
      <c r="Y25" s="61"/>
      <c r="Z25" s="46"/>
      <c r="AA25" s="18"/>
      <c r="AB25" s="95"/>
      <c r="AD25" s="18"/>
      <c r="AE25" s="22"/>
    </row>
    <row r="26" spans="1:31" ht="16">
      <c r="A26" s="6">
        <f t="shared" si="6"/>
        <v>2004</v>
      </c>
      <c r="C26" s="20">
        <f>'Exhibit P,1'!G26</f>
        <v>16346918.751615597</v>
      </c>
      <c r="E26" s="74">
        <v>0</v>
      </c>
      <c r="G26" s="20">
        <f t="shared" si="7"/>
        <v>0</v>
      </c>
      <c r="H26" s="20">
        <f t="shared" si="8"/>
        <v>0</v>
      </c>
      <c r="I26" s="17">
        <f t="shared" si="1"/>
        <v>14303436.559999997</v>
      </c>
      <c r="K26" s="18">
        <f t="shared" si="9"/>
        <v>14303436.559999997</v>
      </c>
      <c r="N26" s="18"/>
      <c r="O26" s="25">
        <f t="shared" si="10"/>
        <v>2004</v>
      </c>
      <c r="P26" s="20"/>
      <c r="Q26" s="382"/>
      <c r="R26" s="31">
        <v>14303436.559999997</v>
      </c>
      <c r="S26" s="31">
        <v>14303436.559999997</v>
      </c>
      <c r="T26" s="31">
        <v>14303436.559999997</v>
      </c>
      <c r="U26" s="31">
        <v>14303436.559999997</v>
      </c>
      <c r="V26" s="245">
        <f t="shared" si="4"/>
        <v>0</v>
      </c>
      <c r="W26" s="18">
        <v>14303436.559999997</v>
      </c>
      <c r="X26" s="17">
        <f t="shared" si="5"/>
        <v>0</v>
      </c>
      <c r="Y26" s="61"/>
      <c r="Z26" s="46"/>
      <c r="AA26" s="18"/>
      <c r="AB26" s="95"/>
      <c r="AD26" s="18"/>
      <c r="AE26" s="22"/>
    </row>
    <row r="27" spans="1:31" ht="16">
      <c r="A27" s="6">
        <f t="shared" si="6"/>
        <v>2005</v>
      </c>
      <c r="C27" s="20">
        <f>'Exhibit P,1'!G27</f>
        <v>15367525.712034516</v>
      </c>
      <c r="E27" s="74">
        <v>0</v>
      </c>
      <c r="G27" s="20">
        <f t="shared" si="7"/>
        <v>0</v>
      </c>
      <c r="H27" s="20">
        <f t="shared" si="8"/>
        <v>0</v>
      </c>
      <c r="I27" s="17">
        <f t="shared" si="1"/>
        <v>16243160.280000001</v>
      </c>
      <c r="K27" s="18">
        <f t="shared" si="9"/>
        <v>16243160.280000001</v>
      </c>
      <c r="N27" s="18"/>
      <c r="O27" s="25">
        <f t="shared" si="10"/>
        <v>2005</v>
      </c>
      <c r="P27" s="20"/>
      <c r="Q27" s="382"/>
      <c r="R27" s="31">
        <v>16243160.280000001</v>
      </c>
      <c r="S27" s="31">
        <v>16243160.280000001</v>
      </c>
      <c r="T27" s="31">
        <v>16243160.280000001</v>
      </c>
      <c r="U27" s="31">
        <v>16243160.280000001</v>
      </c>
      <c r="V27" s="245">
        <f t="shared" si="4"/>
        <v>0</v>
      </c>
      <c r="W27" s="18">
        <v>16243160.280000001</v>
      </c>
      <c r="X27" s="17">
        <f t="shared" si="5"/>
        <v>0</v>
      </c>
      <c r="Y27" s="61"/>
      <c r="Z27" s="46"/>
      <c r="AA27" s="18"/>
      <c r="AB27" s="95"/>
      <c r="AD27" s="18"/>
      <c r="AE27" s="22"/>
    </row>
    <row r="28" spans="1:31" ht="16">
      <c r="A28" s="6">
        <f t="shared" si="6"/>
        <v>2006</v>
      </c>
      <c r="C28" s="20">
        <f>'Exhibit P,1'!G28</f>
        <v>15237164.413106484</v>
      </c>
      <c r="E28" s="74">
        <v>0</v>
      </c>
      <c r="G28" s="20">
        <f t="shared" si="7"/>
        <v>0</v>
      </c>
      <c r="H28" s="20">
        <f t="shared" si="8"/>
        <v>0</v>
      </c>
      <c r="I28" s="17">
        <f t="shared" si="1"/>
        <v>14659669.499999998</v>
      </c>
      <c r="K28" s="18">
        <f t="shared" si="9"/>
        <v>14659669.499999998</v>
      </c>
      <c r="N28" s="18"/>
      <c r="O28" s="25">
        <f t="shared" si="10"/>
        <v>2006</v>
      </c>
      <c r="P28" s="20"/>
      <c r="Q28" s="382"/>
      <c r="R28" s="31">
        <v>14659669.499999998</v>
      </c>
      <c r="S28" s="31">
        <v>14659669.499999998</v>
      </c>
      <c r="T28" s="31">
        <v>14656987.999999998</v>
      </c>
      <c r="U28" s="31">
        <v>14865805.799999999</v>
      </c>
      <c r="V28" s="245">
        <f t="shared" si="4"/>
        <v>-206136.30000000075</v>
      </c>
      <c r="W28" s="18">
        <v>14865805.799999999</v>
      </c>
      <c r="X28" s="17">
        <f t="shared" si="5"/>
        <v>-206136.30000000075</v>
      </c>
      <c r="Y28" s="61"/>
      <c r="Z28" s="46"/>
      <c r="AA28" s="18"/>
      <c r="AB28" s="95"/>
      <c r="AD28" s="18"/>
      <c r="AE28" s="22"/>
    </row>
    <row r="29" spans="1:31" ht="16">
      <c r="A29" s="6">
        <f t="shared" si="6"/>
        <v>2007</v>
      </c>
      <c r="C29" s="20">
        <f>'Exhibit P,1'!G29</f>
        <v>15177045.965354446</v>
      </c>
      <c r="E29" s="74">
        <v>0</v>
      </c>
      <c r="G29" s="20">
        <f t="shared" si="7"/>
        <v>0</v>
      </c>
      <c r="H29" s="20">
        <f t="shared" si="8"/>
        <v>0</v>
      </c>
      <c r="I29" s="17">
        <f t="shared" si="1"/>
        <v>16719584.209999999</v>
      </c>
      <c r="K29" s="18">
        <f t="shared" si="9"/>
        <v>16719584.209999999</v>
      </c>
      <c r="N29" s="18"/>
      <c r="O29" s="25">
        <f t="shared" si="10"/>
        <v>2007</v>
      </c>
      <c r="P29" s="20"/>
      <c r="Q29" s="382"/>
      <c r="R29" s="31">
        <v>16719584.209999999</v>
      </c>
      <c r="S29" s="31">
        <v>16719584.209999999</v>
      </c>
      <c r="T29" s="31">
        <v>16719584.209999999</v>
      </c>
      <c r="U29" s="31">
        <v>16719584.209999999</v>
      </c>
      <c r="V29" s="245">
        <f t="shared" si="4"/>
        <v>0</v>
      </c>
      <c r="W29" s="18">
        <v>16719584.209999999</v>
      </c>
      <c r="X29" s="17">
        <f t="shared" si="5"/>
        <v>0</v>
      </c>
      <c r="Y29" s="61"/>
      <c r="Z29" s="46"/>
      <c r="AA29" s="18"/>
      <c r="AB29" s="95"/>
      <c r="AD29" s="18"/>
      <c r="AE29" s="22"/>
    </row>
    <row r="30" spans="1:31" ht="16">
      <c r="A30" s="6">
        <f t="shared" si="6"/>
        <v>2008</v>
      </c>
      <c r="C30" s="20">
        <f>'Exhibit P,1'!G30</f>
        <v>14598524.270270921</v>
      </c>
      <c r="E30" s="74">
        <f>1-'Exhibit Q,3'!I21</f>
        <v>0</v>
      </c>
      <c r="G30" s="20">
        <f t="shared" si="7"/>
        <v>0</v>
      </c>
      <c r="H30" s="20">
        <f t="shared" si="8"/>
        <v>0</v>
      </c>
      <c r="I30" s="17">
        <f t="shared" si="1"/>
        <v>15508781.949999999</v>
      </c>
      <c r="K30" s="18">
        <f t="shared" si="9"/>
        <v>15508781.949999999</v>
      </c>
      <c r="N30" s="18"/>
      <c r="O30" s="25">
        <f t="shared" si="10"/>
        <v>2008</v>
      </c>
      <c r="P30" s="20"/>
      <c r="Q30" s="382"/>
      <c r="R30" s="31">
        <v>15508781.949999999</v>
      </c>
      <c r="S30" s="31">
        <v>15508781.949999999</v>
      </c>
      <c r="T30" s="31">
        <v>15508781.949999999</v>
      </c>
      <c r="U30" s="31">
        <v>15508781.949999999</v>
      </c>
      <c r="V30" s="245">
        <f t="shared" si="4"/>
        <v>0</v>
      </c>
      <c r="W30" s="18">
        <v>15508781.949999999</v>
      </c>
      <c r="X30" s="17">
        <f t="shared" si="5"/>
        <v>0</v>
      </c>
      <c r="Y30" s="61"/>
      <c r="Z30" s="46"/>
      <c r="AA30" s="18"/>
      <c r="AB30" s="95"/>
      <c r="AD30" s="18"/>
      <c r="AE30" s="22"/>
    </row>
    <row r="31" spans="1:31" ht="16">
      <c r="A31" s="6">
        <f t="shared" si="6"/>
        <v>2009</v>
      </c>
      <c r="C31" s="20">
        <f>'Exhibit P,1'!G31</f>
        <v>13928750.720648153</v>
      </c>
      <c r="E31" s="74">
        <f>1-'Exhibit Q,3'!I22</f>
        <v>1.1401326699833625E-3</v>
      </c>
      <c r="G31" s="20">
        <f t="shared" si="7"/>
        <v>15880.623748665263</v>
      </c>
      <c r="H31" s="20">
        <f t="shared" si="8"/>
        <v>0</v>
      </c>
      <c r="I31" s="17">
        <f t="shared" si="1"/>
        <v>12635738.100000003</v>
      </c>
      <c r="K31" s="18">
        <f t="shared" si="9"/>
        <v>12651618.723748669</v>
      </c>
      <c r="N31" s="18"/>
      <c r="O31" s="25">
        <f t="shared" si="10"/>
        <v>2009</v>
      </c>
      <c r="P31" s="20"/>
      <c r="Q31" s="382"/>
      <c r="R31" s="31">
        <v>12635738.100000003</v>
      </c>
      <c r="S31" s="31">
        <v>12635738.100000003</v>
      </c>
      <c r="T31" s="31">
        <v>12635738.100000003</v>
      </c>
      <c r="U31" s="31">
        <v>12635738.100000003</v>
      </c>
      <c r="V31" s="245">
        <f t="shared" si="4"/>
        <v>0</v>
      </c>
      <c r="W31" s="18">
        <v>12635738.100000003</v>
      </c>
      <c r="X31" s="17">
        <f t="shared" si="5"/>
        <v>15880.623748665676</v>
      </c>
      <c r="Y31" s="61"/>
      <c r="Z31" s="46"/>
      <c r="AA31" s="18"/>
      <c r="AB31" s="95"/>
      <c r="AD31" s="18"/>
      <c r="AE31" s="22"/>
    </row>
    <row r="32" spans="1:31">
      <c r="A32" s="6">
        <f t="shared" si="6"/>
        <v>2010</v>
      </c>
      <c r="C32" s="20">
        <f>'Exhibit P,1'!G32</f>
        <v>13687632.052505657</v>
      </c>
      <c r="E32" s="74">
        <f>1-'Exhibit Q,3'!I23</f>
        <v>4.8919778397389369E-3</v>
      </c>
      <c r="G32" s="20">
        <f t="shared" si="7"/>
        <v>66959.592679358058</v>
      </c>
      <c r="H32" s="20">
        <f t="shared" si="8"/>
        <v>0</v>
      </c>
      <c r="I32" s="17">
        <f t="shared" si="1"/>
        <v>16673387.52</v>
      </c>
      <c r="K32" s="18">
        <f t="shared" si="9"/>
        <v>16740347.112679357</v>
      </c>
      <c r="N32" s="18"/>
      <c r="O32" s="25">
        <f t="shared" si="10"/>
        <v>2010</v>
      </c>
      <c r="P32" s="205"/>
      <c r="Q32" s="205"/>
      <c r="R32" s="31">
        <v>16673387.52</v>
      </c>
      <c r="S32" s="31">
        <v>16673387.52</v>
      </c>
      <c r="T32" s="31">
        <v>16673387.52</v>
      </c>
      <c r="U32" s="31">
        <v>16673387.52</v>
      </c>
      <c r="V32" s="245">
        <f t="shared" si="4"/>
        <v>0</v>
      </c>
      <c r="W32" s="18">
        <v>16673387.52</v>
      </c>
      <c r="X32" s="17">
        <f t="shared" si="5"/>
        <v>66959.592679357156</v>
      </c>
      <c r="Y32" s="61"/>
      <c r="Z32" s="46"/>
      <c r="AA32" s="18"/>
      <c r="AB32" s="95"/>
      <c r="AD32" s="18"/>
      <c r="AE32" s="22"/>
    </row>
    <row r="33" spans="1:31">
      <c r="A33" s="6">
        <f t="shared" si="6"/>
        <v>2011</v>
      </c>
      <c r="C33" s="20">
        <f>'Exhibit P,1'!G33</f>
        <v>13306190.18131323</v>
      </c>
      <c r="E33" s="74">
        <f>1-'Exhibit Q,3'!I24</f>
        <v>6.3617163894220674E-3</v>
      </c>
      <c r="G33" s="20">
        <f t="shared" si="7"/>
        <v>84650.20815722736</v>
      </c>
      <c r="H33" s="20">
        <f t="shared" si="8"/>
        <v>0</v>
      </c>
      <c r="I33" s="17">
        <f t="shared" si="1"/>
        <v>9644676.9399999995</v>
      </c>
      <c r="K33" s="18">
        <f t="shared" si="9"/>
        <v>9729327.1481572259</v>
      </c>
      <c r="N33" s="18"/>
      <c r="O33" s="25">
        <f t="shared" si="10"/>
        <v>2011</v>
      </c>
      <c r="P33" s="205">
        <v>28550668.000000034</v>
      </c>
      <c r="Q33" s="205">
        <v>23403618.033471968</v>
      </c>
      <c r="R33" s="31">
        <v>9644676.9399999995</v>
      </c>
      <c r="S33" s="31">
        <v>9644676.9399999995</v>
      </c>
      <c r="T33" s="31">
        <v>9644676.9399999995</v>
      </c>
      <c r="U33" s="31">
        <v>9644676.9399999995</v>
      </c>
      <c r="V33" s="245">
        <f t="shared" si="4"/>
        <v>0</v>
      </c>
      <c r="W33" s="18">
        <v>9644676.9399999995</v>
      </c>
      <c r="X33" s="17">
        <f t="shared" si="5"/>
        <v>84650.208157226443</v>
      </c>
      <c r="Y33" s="61"/>
      <c r="Z33" s="46"/>
      <c r="AA33" s="18"/>
      <c r="AB33" s="95"/>
      <c r="AD33" s="18"/>
      <c r="AE33" s="22"/>
    </row>
    <row r="34" spans="1:31">
      <c r="A34" s="6">
        <f t="shared" si="6"/>
        <v>2012</v>
      </c>
      <c r="C34" s="20">
        <f>'Exhibit P,1'!G34</f>
        <v>13117013.381029487</v>
      </c>
      <c r="E34" s="74">
        <f>1-'Exhibit Q,3'!I25</f>
        <v>8.5092350465325595E-3</v>
      </c>
      <c r="G34" s="20">
        <f t="shared" si="7"/>
        <v>111615.74996769265</v>
      </c>
      <c r="H34" s="20">
        <f t="shared" si="8"/>
        <v>0</v>
      </c>
      <c r="I34" s="17">
        <f t="shared" si="1"/>
        <v>13501663.920000002</v>
      </c>
      <c r="K34" s="18">
        <f t="shared" si="9"/>
        <v>13613279.669967694</v>
      </c>
      <c r="M34" s="74"/>
      <c r="N34" s="18"/>
      <c r="O34" s="25">
        <f t="shared" si="10"/>
        <v>2012</v>
      </c>
      <c r="P34" s="205">
        <v>27108961.269999966</v>
      </c>
      <c r="Q34" s="205">
        <v>22257304.835152261</v>
      </c>
      <c r="R34" s="31">
        <v>13501663.920000002</v>
      </c>
      <c r="S34" s="31">
        <v>13600663.920000002</v>
      </c>
      <c r="T34" s="31">
        <v>13456800.490000002</v>
      </c>
      <c r="U34" s="31">
        <v>13577370.75</v>
      </c>
      <c r="V34" s="245">
        <f t="shared" si="4"/>
        <v>23293.170000001788</v>
      </c>
      <c r="W34" s="18">
        <v>13577370.75</v>
      </c>
      <c r="X34" s="17">
        <f t="shared" si="5"/>
        <v>35908.919967694208</v>
      </c>
      <c r="Y34" s="61"/>
      <c r="Z34" s="46"/>
      <c r="AA34" s="18"/>
      <c r="AB34" s="95"/>
      <c r="AD34" s="18"/>
      <c r="AE34" s="22"/>
    </row>
    <row r="35" spans="1:31">
      <c r="A35" s="6">
        <f t="shared" si="6"/>
        <v>2013</v>
      </c>
      <c r="C35" s="20">
        <f>'Exhibit P,1'!G35</f>
        <v>13007066.982884701</v>
      </c>
      <c r="E35" s="74">
        <f>1-'Exhibit Q,3'!I26</f>
        <v>1.1862716720688393E-2</v>
      </c>
      <c r="G35" s="20">
        <f t="shared" si="7"/>
        <v>154299.15098498028</v>
      </c>
      <c r="H35" s="20">
        <f t="shared" si="8"/>
        <v>0</v>
      </c>
      <c r="I35" s="17">
        <f t="shared" si="1"/>
        <v>11521638.42</v>
      </c>
      <c r="K35" s="18">
        <f t="shared" si="9"/>
        <v>11675937.57098498</v>
      </c>
      <c r="M35" s="247"/>
      <c r="N35" s="230"/>
      <c r="O35" s="25">
        <f t="shared" si="10"/>
        <v>2013</v>
      </c>
      <c r="P35" s="205">
        <v>28264744.930000041</v>
      </c>
      <c r="Q35" s="205">
        <v>23421624.324585076</v>
      </c>
      <c r="R35" s="31">
        <v>11521638.42</v>
      </c>
      <c r="S35" s="31">
        <v>11521638.42</v>
      </c>
      <c r="T35" s="31">
        <v>11521638.42</v>
      </c>
      <c r="U35" s="31">
        <v>11521638.42</v>
      </c>
      <c r="V35" s="245">
        <f t="shared" si="4"/>
        <v>0</v>
      </c>
      <c r="W35" s="18">
        <v>11521638.42</v>
      </c>
      <c r="X35" s="17">
        <f t="shared" si="5"/>
        <v>154299.15098498017</v>
      </c>
      <c r="Y35" s="61"/>
      <c r="Z35" s="46"/>
      <c r="AA35" s="18"/>
      <c r="AB35" s="95"/>
      <c r="AD35" s="18"/>
      <c r="AE35" s="22"/>
    </row>
    <row r="36" spans="1:31">
      <c r="A36" s="6">
        <f t="shared" si="6"/>
        <v>2014</v>
      </c>
      <c r="C36" s="20">
        <f>'Exhibit P,1'!G36</f>
        <v>11812037.487066304</v>
      </c>
      <c r="E36" s="74">
        <f>1-'Exhibit Q,3'!I27</f>
        <v>1.7766764657006329E-2</v>
      </c>
      <c r="G36" s="20">
        <f t="shared" si="7"/>
        <v>209861.69015244345</v>
      </c>
      <c r="H36" s="20">
        <f t="shared" si="8"/>
        <v>0</v>
      </c>
      <c r="I36" s="17">
        <f t="shared" si="1"/>
        <v>10461936.190000001</v>
      </c>
      <c r="K36" s="18">
        <f t="shared" si="9"/>
        <v>10671797.880152445</v>
      </c>
      <c r="N36" s="247">
        <f t="shared" ref="N36:N44" si="11">E36</f>
        <v>1.7766764657006329E-2</v>
      </c>
      <c r="O36" s="25">
        <f t="shared" si="10"/>
        <v>2014</v>
      </c>
      <c r="P36" s="205">
        <v>23117889.739999909</v>
      </c>
      <c r="Q36" s="205">
        <v>19011278.64334945</v>
      </c>
      <c r="R36" s="31">
        <v>10461936.190000001</v>
      </c>
      <c r="S36" s="31">
        <v>11478427.860000001</v>
      </c>
      <c r="T36" s="31">
        <v>10412833.610000001</v>
      </c>
      <c r="U36" s="31">
        <v>11463912.900000002</v>
      </c>
      <c r="V36" s="245">
        <f t="shared" si="4"/>
        <v>14514.959999999031</v>
      </c>
      <c r="W36" s="18">
        <v>11489983.406905109</v>
      </c>
      <c r="X36" s="17">
        <f t="shared" si="5"/>
        <v>-818185.52675266378</v>
      </c>
      <c r="Y36" s="61"/>
      <c r="Z36" s="46"/>
      <c r="AA36" s="18"/>
      <c r="AB36" s="95"/>
      <c r="AD36" s="18"/>
      <c r="AE36" s="22"/>
    </row>
    <row r="37" spans="1:31">
      <c r="A37" s="6">
        <f t="shared" si="6"/>
        <v>2015</v>
      </c>
      <c r="C37" s="20">
        <f>'Exhibit P,1'!G37</f>
        <v>11138607.804071419</v>
      </c>
      <c r="E37" s="74">
        <f>1-'Exhibit Q,3'!I28</f>
        <v>3.7616229168374593E-2</v>
      </c>
      <c r="G37" s="20">
        <f t="shared" si="7"/>
        <v>418992.42377459619</v>
      </c>
      <c r="H37" s="20">
        <f t="shared" si="8"/>
        <v>0</v>
      </c>
      <c r="I37" s="17">
        <f t="shared" si="1"/>
        <v>12346657.799999997</v>
      </c>
      <c r="K37" s="18">
        <f t="shared" si="9"/>
        <v>12765650.223774593</v>
      </c>
      <c r="N37" s="247">
        <f t="shared" si="11"/>
        <v>3.7616229168374593E-2</v>
      </c>
      <c r="O37" s="25">
        <f t="shared" si="10"/>
        <v>2015</v>
      </c>
      <c r="P37" s="205">
        <v>20289285.130000159</v>
      </c>
      <c r="Q37" s="205">
        <v>17453758.070760861</v>
      </c>
      <c r="R37" s="31">
        <v>12346657.799999997</v>
      </c>
      <c r="S37" s="31">
        <v>13635004.139999997</v>
      </c>
      <c r="T37" s="31">
        <v>12308576.849999998</v>
      </c>
      <c r="U37" s="31">
        <v>13625004.139999997</v>
      </c>
      <c r="V37" s="245">
        <f t="shared" si="4"/>
        <v>10000</v>
      </c>
      <c r="W37" s="18">
        <v>13805510.662134128</v>
      </c>
      <c r="X37" s="17">
        <f t="shared" si="5"/>
        <v>-1039860.4383595344</v>
      </c>
      <c r="Y37" s="61"/>
      <c r="Z37" s="46"/>
      <c r="AA37" s="18"/>
      <c r="AB37" s="95"/>
      <c r="AD37" s="18"/>
      <c r="AE37" s="22"/>
    </row>
    <row r="38" spans="1:31">
      <c r="A38" s="6">
        <f t="shared" si="6"/>
        <v>2016</v>
      </c>
      <c r="C38" s="20">
        <f>'Exhibit P,1'!G38</f>
        <v>10911632.335422095</v>
      </c>
      <c r="E38" s="74">
        <f>1-'Exhibit Q,3'!I29</f>
        <v>0.10235064252367132</v>
      </c>
      <c r="G38" s="20">
        <f t="shared" si="7"/>
        <v>1116812.5805125197</v>
      </c>
      <c r="H38" s="20">
        <f t="shared" si="8"/>
        <v>0</v>
      </c>
      <c r="I38" s="17">
        <f t="shared" si="1"/>
        <v>7828612.1600000001</v>
      </c>
      <c r="K38" s="18">
        <f t="shared" si="9"/>
        <v>8945424.7405125201</v>
      </c>
      <c r="N38" s="247">
        <f t="shared" si="11"/>
        <v>0.10235064252367132</v>
      </c>
      <c r="O38" s="25">
        <f t="shared" si="10"/>
        <v>2016</v>
      </c>
      <c r="P38" s="205">
        <v>18347071.920000013</v>
      </c>
      <c r="Q38" s="205">
        <v>15529882.959710035</v>
      </c>
      <c r="R38" s="31">
        <v>7828612.1600000001</v>
      </c>
      <c r="S38" s="31">
        <v>8877784.629999999</v>
      </c>
      <c r="T38" s="31">
        <v>7780129.3599999994</v>
      </c>
      <c r="U38" s="31">
        <v>9331122.120000001</v>
      </c>
      <c r="V38" s="245">
        <f t="shared" si="4"/>
        <v>-453337.49000000209</v>
      </c>
      <c r="W38" s="18">
        <v>9659525.5107172914</v>
      </c>
      <c r="X38" s="17">
        <f t="shared" si="5"/>
        <v>-714100.77020477131</v>
      </c>
      <c r="Y38" s="61"/>
      <c r="Z38" s="46"/>
      <c r="AA38" s="18"/>
      <c r="AB38" s="95"/>
      <c r="AD38" s="18"/>
      <c r="AE38" s="22"/>
    </row>
    <row r="39" spans="1:31">
      <c r="A39" s="6">
        <f t="shared" si="6"/>
        <v>2017</v>
      </c>
      <c r="C39" s="20">
        <f>'Exhibit P,1'!G39</f>
        <v>10156738.652484175</v>
      </c>
      <c r="E39" s="74">
        <f>1-'Exhibit Q,3'!I30</f>
        <v>0.21795338100505646</v>
      </c>
      <c r="G39" s="20">
        <f t="shared" si="7"/>
        <v>2213695.5292936671</v>
      </c>
      <c r="H39" s="20">
        <f t="shared" si="8"/>
        <v>0</v>
      </c>
      <c r="I39" s="17">
        <f t="shared" si="1"/>
        <v>4491655.9499999993</v>
      </c>
      <c r="K39" s="18">
        <f t="shared" si="9"/>
        <v>6705351.4792936668</v>
      </c>
      <c r="N39" s="247">
        <f t="shared" si="11"/>
        <v>0.21795338100505646</v>
      </c>
      <c r="O39" s="25">
        <f t="shared" si="10"/>
        <v>2017</v>
      </c>
      <c r="P39" s="205">
        <v>15624708.769999975</v>
      </c>
      <c r="Q39" s="205">
        <v>13847727.86252768</v>
      </c>
      <c r="R39" s="31">
        <v>4491655.9499999993</v>
      </c>
      <c r="S39" s="31">
        <v>5987304.1399999987</v>
      </c>
      <c r="T39" s="31">
        <v>3331422.55</v>
      </c>
      <c r="U39" s="31">
        <v>6055003.0099999988</v>
      </c>
      <c r="V39" s="245">
        <f t="shared" si="4"/>
        <v>-67698.870000000112</v>
      </c>
      <c r="W39" s="18">
        <v>6550123.6719278274</v>
      </c>
      <c r="X39" s="17">
        <f t="shared" si="5"/>
        <v>155227.80736583937</v>
      </c>
      <c r="Y39" s="61"/>
      <c r="Z39" s="46"/>
      <c r="AA39" s="18"/>
      <c r="AB39" s="95"/>
      <c r="AD39" s="18"/>
      <c r="AE39" s="22"/>
    </row>
    <row r="40" spans="1:31">
      <c r="A40" s="6">
        <f t="shared" si="6"/>
        <v>2018</v>
      </c>
      <c r="C40" s="20">
        <f>'Exhibit P,1'!G40</f>
        <v>10096251.695205364</v>
      </c>
      <c r="E40" s="74">
        <f>1-'Exhibit Q,3'!I31</f>
        <v>0.37995954148479993</v>
      </c>
      <c r="G40" s="20">
        <f t="shared" si="7"/>
        <v>3836167.1648253645</v>
      </c>
      <c r="H40" s="20">
        <f t="shared" si="8"/>
        <v>0</v>
      </c>
      <c r="I40" s="17">
        <f t="shared" si="1"/>
        <v>5586887.2999999998</v>
      </c>
      <c r="K40" s="18">
        <f t="shared" si="9"/>
        <v>9423054.4648253638</v>
      </c>
      <c r="N40" s="247">
        <f t="shared" si="11"/>
        <v>0.37995954148479993</v>
      </c>
      <c r="O40" s="25">
        <f t="shared" si="10"/>
        <v>2018</v>
      </c>
      <c r="P40" s="205">
        <v>14849449.269999987</v>
      </c>
      <c r="Q40" s="205">
        <v>12795162.236405367</v>
      </c>
      <c r="R40" s="31">
        <v>5586887.2999999998</v>
      </c>
      <c r="S40" s="31">
        <v>9540028.9600000009</v>
      </c>
      <c r="T40" s="31">
        <v>4671176.54</v>
      </c>
      <c r="U40" s="31">
        <v>8135635.9000000004</v>
      </c>
      <c r="V40" s="245">
        <f t="shared" si="4"/>
        <v>1404393.0600000005</v>
      </c>
      <c r="W40" s="18">
        <v>9713383.4961904678</v>
      </c>
      <c r="X40" s="17">
        <f t="shared" si="5"/>
        <v>-290329.03136510402</v>
      </c>
      <c r="Y40" s="61"/>
      <c r="Z40" s="46"/>
      <c r="AA40" s="18"/>
      <c r="AB40" s="95"/>
      <c r="AD40" s="18"/>
      <c r="AE40" s="22"/>
    </row>
    <row r="41" spans="1:31">
      <c r="A41" s="6">
        <f t="shared" si="6"/>
        <v>2019</v>
      </c>
      <c r="C41" s="20">
        <f>'Exhibit P,1'!G41</f>
        <v>9144370.8197895586</v>
      </c>
      <c r="E41" s="74">
        <f>1-'Exhibit Q,3'!I32</f>
        <v>0.5774730759284572</v>
      </c>
      <c r="G41" s="20">
        <f t="shared" si="7"/>
        <v>5280627.9447343042</v>
      </c>
      <c r="H41" s="20">
        <f t="shared" si="8"/>
        <v>0</v>
      </c>
      <c r="I41" s="17">
        <f t="shared" si="1"/>
        <v>6040883.4400000004</v>
      </c>
      <c r="K41" s="18">
        <f t="shared" si="9"/>
        <v>11321511.384734305</v>
      </c>
      <c r="N41" s="247">
        <f t="shared" si="11"/>
        <v>0.5774730759284572</v>
      </c>
      <c r="O41" s="25">
        <f t="shared" si="10"/>
        <v>2019</v>
      </c>
      <c r="P41" s="205">
        <v>14333489.790000023</v>
      </c>
      <c r="Q41" s="205">
        <v>11939166.055086583</v>
      </c>
      <c r="R41" s="31">
        <v>6040883.4400000004</v>
      </c>
      <c r="S41" s="31">
        <v>9372609.4299999997</v>
      </c>
      <c r="T41" s="31">
        <v>4419145.47</v>
      </c>
      <c r="U41" s="31">
        <v>7682368.5999999996</v>
      </c>
      <c r="V41" s="245">
        <f t="shared" si="4"/>
        <v>1690240.83</v>
      </c>
      <c r="W41" s="18">
        <v>10798166.808167592</v>
      </c>
      <c r="X41" s="17">
        <f t="shared" si="5"/>
        <v>523344.57656671293</v>
      </c>
      <c r="Y41" s="61"/>
      <c r="Z41" s="46"/>
      <c r="AA41" s="18"/>
      <c r="AB41" s="95"/>
      <c r="AD41" s="18"/>
      <c r="AE41" s="22"/>
    </row>
    <row r="42" spans="1:31">
      <c r="A42" s="6">
        <f t="shared" si="6"/>
        <v>2020</v>
      </c>
      <c r="C42" s="20">
        <f>'Exhibit P,1'!G42</f>
        <v>7148428.5148514844</v>
      </c>
      <c r="E42" s="74">
        <f>1-'Exhibit Q,3'!I33</f>
        <v>0.75147048995927745</v>
      </c>
      <c r="G42" s="20">
        <f t="shared" si="7"/>
        <v>5371833.078494315</v>
      </c>
      <c r="H42" s="20">
        <f t="shared" si="8"/>
        <v>0</v>
      </c>
      <c r="I42" s="17">
        <f t="shared" si="1"/>
        <v>4165458.2</v>
      </c>
      <c r="K42" s="18">
        <f t="shared" si="9"/>
        <v>9537291.2784943152</v>
      </c>
      <c r="N42" s="247">
        <f t="shared" si="11"/>
        <v>0.75147048995927745</v>
      </c>
      <c r="O42" s="25">
        <f t="shared" si="10"/>
        <v>2020</v>
      </c>
      <c r="P42" s="205">
        <v>15171703.859999934</v>
      </c>
      <c r="Q42" s="205">
        <v>11939002.013593584</v>
      </c>
      <c r="R42" s="31">
        <v>4165458.2</v>
      </c>
      <c r="S42" s="31">
        <v>6406174.7300000004</v>
      </c>
      <c r="T42" s="31">
        <v>893958.71</v>
      </c>
      <c r="U42" s="31">
        <v>2836520.29</v>
      </c>
      <c r="V42" s="245">
        <f t="shared" si="4"/>
        <v>3569654.4400000004</v>
      </c>
      <c r="W42" s="18">
        <v>7369895.7379985135</v>
      </c>
      <c r="X42" s="17">
        <f t="shared" si="5"/>
        <v>2167395.5404958017</v>
      </c>
      <c r="Y42" s="61"/>
      <c r="Z42" s="46"/>
      <c r="AA42" s="18"/>
      <c r="AB42" s="95"/>
      <c r="AD42" s="18"/>
      <c r="AE42" s="22"/>
    </row>
    <row r="43" spans="1:31">
      <c r="A43" s="6">
        <f t="shared" si="6"/>
        <v>2021</v>
      </c>
      <c r="C43" s="20">
        <f>'Exhibit P,1'!G43</f>
        <v>7941904.080000001</v>
      </c>
      <c r="E43" s="74">
        <f>1-'Exhibit Q,3'!I34</f>
        <v>0.89894381498379339</v>
      </c>
      <c r="G43" s="20">
        <f t="shared" si="7"/>
        <v>7139325.551910555</v>
      </c>
      <c r="H43" s="20">
        <f t="shared" si="8"/>
        <v>0</v>
      </c>
      <c r="I43" s="17">
        <f t="shared" si="1"/>
        <v>497480.03</v>
      </c>
      <c r="K43" s="18">
        <f t="shared" si="9"/>
        <v>7636805.5819105553</v>
      </c>
      <c r="N43" s="247">
        <f t="shared" si="11"/>
        <v>0.89894381498379339</v>
      </c>
      <c r="O43" s="25">
        <f t="shared" si="10"/>
        <v>2021</v>
      </c>
      <c r="P43" s="137">
        <v>17231315.229999989</v>
      </c>
      <c r="Q43" s="205">
        <v>14295246.525080603</v>
      </c>
      <c r="R43" s="31">
        <v>497480.03</v>
      </c>
      <c r="S43" s="31">
        <v>2146692.9499999997</v>
      </c>
      <c r="T43" s="31">
        <v>193612.58000000002</v>
      </c>
      <c r="U43" s="31">
        <v>1130509.45</v>
      </c>
      <c r="V43" s="245">
        <f t="shared" si="4"/>
        <v>1016183.4999999998</v>
      </c>
      <c r="W43" s="18">
        <v>7677016.7602562541</v>
      </c>
      <c r="X43" s="17">
        <f t="shared" si="5"/>
        <v>-40211.178345698863</v>
      </c>
      <c r="Y43" s="61"/>
      <c r="Z43" s="46"/>
      <c r="AA43" s="18"/>
      <c r="AB43" s="95"/>
      <c r="AD43" s="18"/>
      <c r="AE43" s="22"/>
    </row>
    <row r="44" spans="1:31">
      <c r="A44" s="6">
        <f t="shared" si="6"/>
        <v>2022</v>
      </c>
      <c r="C44" s="20">
        <f>'Exhibit P,1'!G44</f>
        <v>10800989.548800003</v>
      </c>
      <c r="E44" s="74">
        <f>1-'Exhibit Q,3'!I35</f>
        <v>0.98430687534133887</v>
      </c>
      <c r="G44" s="20">
        <f t="shared" si="7"/>
        <v>10631488.273373788</v>
      </c>
      <c r="H44" s="20">
        <f t="shared" si="8"/>
        <v>0</v>
      </c>
      <c r="I44" s="17">
        <f t="shared" si="1"/>
        <v>395862.9</v>
      </c>
      <c r="K44" s="18">
        <f t="shared" si="9"/>
        <v>11027351.173373789</v>
      </c>
      <c r="N44" s="247">
        <f t="shared" si="11"/>
        <v>0.98430687534133887</v>
      </c>
      <c r="O44" s="25">
        <f t="shared" si="10"/>
        <v>2022</v>
      </c>
      <c r="P44" s="137">
        <v>18780283.719999999</v>
      </c>
      <c r="Q44" s="205">
        <v>15890167.78097108</v>
      </c>
      <c r="R44" s="31">
        <v>395862.9</v>
      </c>
      <c r="S44" s="31">
        <v>2421009.17</v>
      </c>
      <c r="T44" s="31">
        <v>0</v>
      </c>
      <c r="U44" s="31">
        <v>0</v>
      </c>
      <c r="V44" s="245">
        <f t="shared" si="4"/>
        <v>2421009.17</v>
      </c>
      <c r="W44" s="18">
        <v>0</v>
      </c>
      <c r="X44" s="17">
        <f t="shared" si="5"/>
        <v>11027351.173373789</v>
      </c>
      <c r="Y44" s="61"/>
      <c r="Z44" s="46"/>
      <c r="AA44" s="18"/>
      <c r="AB44" s="95"/>
      <c r="AD44" s="18"/>
      <c r="AE44" s="22"/>
    </row>
    <row r="45" spans="1:31">
      <c r="C45" s="105"/>
      <c r="G45" s="105"/>
      <c r="I45" s="105"/>
      <c r="K45" s="105"/>
      <c r="P45" s="25"/>
      <c r="Q45" s="25"/>
      <c r="R45" s="61"/>
      <c r="S45" s="25"/>
      <c r="T45" s="25"/>
      <c r="U45" s="25"/>
      <c r="V45" s="25"/>
      <c r="W45" s="61"/>
      <c r="X45" s="61"/>
      <c r="Y45" s="61"/>
      <c r="AB45" s="95"/>
    </row>
    <row r="46" spans="1:31">
      <c r="A46" s="6" t="s">
        <v>0</v>
      </c>
      <c r="C46" s="26">
        <f>SUM(C16:C45)</f>
        <v>486571477.35863304</v>
      </c>
      <c r="G46" s="26">
        <f>SUM(G16:G45)</f>
        <v>36652209.562609479</v>
      </c>
      <c r="H46" s="26"/>
      <c r="I46" s="26">
        <f>SUM(I16:I45)</f>
        <v>465541382.76999998</v>
      </c>
      <c r="J46" s="26"/>
      <c r="K46" s="26">
        <f>SUM(K16:K45)</f>
        <v>502193592.33260953</v>
      </c>
      <c r="O46" s="25" t="s">
        <v>0</v>
      </c>
      <c r="P46" s="278">
        <f>SUM(P16:P44)</f>
        <v>241669571.63</v>
      </c>
      <c r="Q46" s="278">
        <f>SUM(Q16:Q44)</f>
        <v>201783939.34069455</v>
      </c>
      <c r="R46" s="278">
        <f>SUM(R16:R44)</f>
        <v>465541382.76999998</v>
      </c>
      <c r="S46" s="278">
        <f t="shared" ref="S46:X46" si="12">SUM(S16:S44)</f>
        <v>483689984.81</v>
      </c>
      <c r="T46" s="278">
        <f t="shared" si="12"/>
        <v>457689259.54000008</v>
      </c>
      <c r="U46" s="278">
        <f t="shared" si="12"/>
        <v>474267868.33999997</v>
      </c>
      <c r="V46" s="278">
        <f t="shared" ref="V46" si="13">SUM(V16:V44)</f>
        <v>9422116.4699999988</v>
      </c>
      <c r="W46" s="278">
        <f t="shared" si="12"/>
        <v>491071397.9842971</v>
      </c>
      <c r="X46" s="278">
        <f t="shared" si="12"/>
        <v>11122194.348312292</v>
      </c>
      <c r="Y46" s="61"/>
    </row>
    <row r="47" spans="1:31">
      <c r="Q47" s="61"/>
      <c r="R47" s="61"/>
      <c r="S47" s="61"/>
      <c r="T47" s="61"/>
      <c r="U47" s="61"/>
      <c r="V47" s="61"/>
      <c r="W47" s="61"/>
      <c r="X47" s="61"/>
      <c r="Y47" s="61"/>
    </row>
    <row r="48" spans="1:31">
      <c r="Q48" s="61"/>
      <c r="R48" s="61"/>
      <c r="S48" s="61"/>
      <c r="T48" s="61"/>
      <c r="U48" s="61"/>
      <c r="V48" s="61"/>
      <c r="W48" s="61"/>
      <c r="X48" s="61"/>
      <c r="Y48" s="61"/>
    </row>
    <row r="49" spans="1:16">
      <c r="M49" s="1" t="s">
        <v>685</v>
      </c>
      <c r="N49" s="26">
        <f>SUM(I35:I44)</f>
        <v>63337072.389999993</v>
      </c>
      <c r="P49" s="20">
        <f>N49+'Exhibit N,3'!I51</f>
        <v>63337072.389999993</v>
      </c>
    </row>
    <row r="50" spans="1:16">
      <c r="A50" s="6" t="s">
        <v>50</v>
      </c>
      <c r="B50" s="1" t="s">
        <v>60</v>
      </c>
    </row>
    <row r="51" spans="1:16">
      <c r="B51" s="3" t="s">
        <v>924</v>
      </c>
    </row>
    <row r="52" spans="1:16">
      <c r="B52" s="1" t="s">
        <v>51</v>
      </c>
    </row>
    <row r="53" spans="1:16">
      <c r="B53" s="3" t="s">
        <v>915</v>
      </c>
    </row>
    <row r="54" spans="1:16">
      <c r="B54" s="1" t="s">
        <v>61</v>
      </c>
    </row>
  </sheetData>
  <phoneticPr fontId="8" type="noConversion"/>
  <printOptions horizontalCentered="1"/>
  <pageMargins left="0.7" right="0.7" top="0.75" bottom="0.75" header="0.3" footer="0.3"/>
  <pageSetup scale="76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4">
    <pageSetUpPr fitToPage="1"/>
  </sheetPr>
  <dimension ref="A1:Z56"/>
  <sheetViews>
    <sheetView topLeftCell="A3" zoomScaleNormal="100" workbookViewId="0">
      <selection activeCell="C16" sqref="C16"/>
    </sheetView>
  </sheetViews>
  <sheetFormatPr baseColWidth="10" defaultColWidth="8.7109375" defaultRowHeight="15"/>
  <cols>
    <col min="1" max="1" width="9.7109375" style="1" customWidth="1"/>
    <col min="2" max="2" width="1.7109375" style="1" customWidth="1"/>
    <col min="3" max="3" width="10.7109375" style="1" customWidth="1"/>
    <col min="4" max="4" width="1.7109375" style="1" customWidth="1"/>
    <col min="5" max="5" width="10.7109375" style="1" customWidth="1"/>
    <col min="6" max="6" width="3.140625" style="1" bestFit="1" customWidth="1"/>
    <col min="7" max="7" width="12.7109375" style="1" customWidth="1"/>
    <col min="8" max="8" width="1.7109375" style="1" customWidth="1"/>
    <col min="9" max="9" width="10.7109375" style="1" customWidth="1"/>
    <col min="10" max="10" width="1.7109375" style="1" customWidth="1"/>
    <col min="11" max="11" width="12.7109375" style="1" customWidth="1"/>
    <col min="12" max="13" width="8.7109375" style="1"/>
    <col min="14" max="14" width="9.7109375" style="1" customWidth="1"/>
    <col min="15" max="15" width="1.7109375" style="1" customWidth="1"/>
    <col min="16" max="16" width="10.7109375" style="1" customWidth="1"/>
    <col min="17" max="17" width="1.7109375" style="1" customWidth="1"/>
    <col min="18" max="18" width="10.7109375" style="1" customWidth="1"/>
    <col min="19" max="19" width="1.7109375" style="1" customWidth="1"/>
    <col min="20" max="24" width="8.7109375" style="1"/>
    <col min="25" max="26" width="12.7109375" style="1" customWidth="1"/>
    <col min="27" max="16384" width="8.7109375" style="1"/>
  </cols>
  <sheetData>
    <row r="1" spans="1:20">
      <c r="K1" s="52" t="s">
        <v>44</v>
      </c>
    </row>
    <row r="2" spans="1:20">
      <c r="K2" s="52" t="s">
        <v>56</v>
      </c>
    </row>
    <row r="4" spans="1:20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20">
      <c r="A5" s="5"/>
      <c r="B5" s="5"/>
      <c r="C5" s="5"/>
      <c r="D5" s="5"/>
      <c r="E5" s="5"/>
      <c r="F5" s="5"/>
      <c r="G5" s="5"/>
      <c r="H5" s="5"/>
      <c r="I5" s="5"/>
      <c r="J5" s="5"/>
      <c r="K5" s="5"/>
    </row>
    <row r="6" spans="1:20">
      <c r="A6" s="5" t="s">
        <v>26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20">
      <c r="A7" s="5" t="s">
        <v>160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20">
      <c r="B8" s="5"/>
      <c r="C8" s="5"/>
      <c r="D8" s="5"/>
      <c r="E8" s="5"/>
      <c r="F8" s="6"/>
      <c r="G8" s="5"/>
      <c r="H8" s="5"/>
      <c r="I8" s="5"/>
      <c r="J8" s="5"/>
      <c r="K8" s="5"/>
    </row>
    <row r="9" spans="1:20">
      <c r="A9" s="5"/>
      <c r="B9" s="5"/>
      <c r="C9" s="5"/>
      <c r="D9" s="5"/>
      <c r="E9" s="5"/>
      <c r="F9" s="5"/>
      <c r="G9" s="5"/>
      <c r="H9" s="5"/>
      <c r="I9" s="135"/>
      <c r="J9" s="5"/>
      <c r="K9" s="5"/>
      <c r="N9" s="61"/>
      <c r="O9" s="61"/>
      <c r="P9" s="25" t="s">
        <v>1401</v>
      </c>
      <c r="Q9" s="61"/>
      <c r="R9" s="25" t="s">
        <v>1401</v>
      </c>
    </row>
    <row r="10" spans="1:2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N10" s="61"/>
      <c r="O10" s="61"/>
      <c r="P10" s="25" t="s">
        <v>1402</v>
      </c>
      <c r="Q10" s="25"/>
      <c r="R10" s="25" t="s">
        <v>1073</v>
      </c>
    </row>
    <row r="11" spans="1:20">
      <c r="C11" s="6" t="s">
        <v>46</v>
      </c>
      <c r="E11" s="5" t="s">
        <v>20</v>
      </c>
      <c r="G11" s="5" t="s">
        <v>20</v>
      </c>
      <c r="I11" s="6" t="s">
        <v>9</v>
      </c>
      <c r="K11" s="6" t="s">
        <v>15</v>
      </c>
      <c r="N11" s="61"/>
      <c r="O11" s="61"/>
      <c r="P11" s="25" t="s">
        <v>79</v>
      </c>
      <c r="Q11" s="25"/>
      <c r="R11" s="25" t="s">
        <v>7</v>
      </c>
    </row>
    <row r="12" spans="1:20">
      <c r="A12" s="6" t="s">
        <v>3</v>
      </c>
      <c r="C12" s="6" t="s">
        <v>47</v>
      </c>
      <c r="E12" s="6" t="s">
        <v>53</v>
      </c>
      <c r="G12" s="6" t="s">
        <v>54</v>
      </c>
      <c r="I12" s="6" t="s">
        <v>15</v>
      </c>
      <c r="K12" s="6" t="s">
        <v>7</v>
      </c>
      <c r="N12" s="25" t="s">
        <v>3</v>
      </c>
      <c r="O12" s="61"/>
      <c r="P12" s="25" t="s">
        <v>1403</v>
      </c>
      <c r="Q12" s="61"/>
      <c r="R12" s="25" t="s">
        <v>1403</v>
      </c>
    </row>
    <row r="13" spans="1:20">
      <c r="A13" s="6" t="s">
        <v>4</v>
      </c>
      <c r="C13" s="6" t="s">
        <v>48</v>
      </c>
      <c r="E13" s="6" t="s">
        <v>16</v>
      </c>
      <c r="G13" s="6" t="s">
        <v>55</v>
      </c>
      <c r="I13" s="6" t="s">
        <v>10</v>
      </c>
      <c r="K13" s="6" t="s">
        <v>55</v>
      </c>
      <c r="N13" s="25" t="s">
        <v>4</v>
      </c>
      <c r="O13" s="61"/>
      <c r="P13" s="25" t="s">
        <v>16</v>
      </c>
      <c r="Q13" s="25"/>
      <c r="R13" s="25" t="s">
        <v>16</v>
      </c>
      <c r="T13" s="390" t="s">
        <v>718</v>
      </c>
    </row>
    <row r="14" spans="1:20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  <c r="N14" s="142" t="s">
        <v>27</v>
      </c>
      <c r="O14" s="61"/>
      <c r="P14" s="142" t="s">
        <v>33</v>
      </c>
      <c r="Q14" s="25"/>
      <c r="R14" s="142" t="s">
        <v>36</v>
      </c>
      <c r="T14" s="389" t="s">
        <v>4</v>
      </c>
    </row>
    <row r="15" spans="1:20">
      <c r="N15" s="61"/>
      <c r="O15" s="61"/>
      <c r="P15" s="61"/>
      <c r="Q15" s="61"/>
      <c r="R15" s="61"/>
    </row>
    <row r="16" spans="1:20">
      <c r="A16" s="6">
        <v>1994</v>
      </c>
      <c r="C16" s="17">
        <f>'Exhibit P,3'!M16</f>
        <v>4511.1579999999994</v>
      </c>
      <c r="E16" s="497">
        <f>'Exhibit P,2'!G18</f>
        <v>6054.6845474771635</v>
      </c>
      <c r="F16" s="147"/>
      <c r="G16" s="147">
        <f>C16*E16</f>
        <v>27313638.633827984</v>
      </c>
      <c r="I16" s="274">
        <v>0.35131266917685056</v>
      </c>
      <c r="K16" s="147">
        <f>G16*I16</f>
        <v>9595627.2933820542</v>
      </c>
      <c r="L16" s="18">
        <f>'Exhibit P,3'!M16</f>
        <v>4511.1579999999994</v>
      </c>
      <c r="M16" s="18"/>
      <c r="N16" s="25">
        <v>1993</v>
      </c>
      <c r="O16" s="69">
        <f>E16</f>
        <v>6054.6845474771635</v>
      </c>
      <c r="P16" s="220">
        <f>'Exhibit T,3'!K16</f>
        <v>5687.9153046734345</v>
      </c>
      <c r="Q16" s="137">
        <f>(G16+K16)/C16</f>
        <v>8181.7719368751978</v>
      </c>
      <c r="R16" s="122">
        <f>P16+K16/C16</f>
        <v>7815.0026940714688</v>
      </c>
      <c r="S16" s="20"/>
    </row>
    <row r="17" spans="1:21">
      <c r="A17" s="6">
        <f>A16+1</f>
        <v>1995</v>
      </c>
      <c r="C17" s="187">
        <f>'Exhibit P,3'!M17</f>
        <v>4562.8492000000006</v>
      </c>
      <c r="D17" s="187"/>
      <c r="E17" s="187">
        <f>'Exhibit P,2'!G19</f>
        <v>6115.231392951935</v>
      </c>
      <c r="F17" s="187"/>
      <c r="G17" s="494">
        <f t="shared" ref="G17:G44" si="0">C17*E17</f>
        <v>27902878.669145625</v>
      </c>
      <c r="I17" s="274">
        <v>0.90187376278718112</v>
      </c>
      <c r="K17" s="494">
        <f t="shared" ref="K17:K44" si="1">G17*I17</f>
        <v>25164874.177936539</v>
      </c>
      <c r="L17" s="18">
        <f>'Exhibit P,3'!M17</f>
        <v>4562.8492000000006</v>
      </c>
      <c r="M17" s="18"/>
      <c r="N17" s="404">
        <f>N16+1</f>
        <v>1994</v>
      </c>
      <c r="O17" s="123"/>
      <c r="P17" s="69">
        <f>'Exhibit T,3'!K17</f>
        <v>6113.7313742474753</v>
      </c>
      <c r="Q17" s="137">
        <f t="shared" ref="Q17:Q44" si="2">(G17+K17)/C17</f>
        <v>11630.398139627792</v>
      </c>
      <c r="R17" s="137">
        <f t="shared" ref="R17:R43" si="3">P17+K17/C17</f>
        <v>11628.898120923332</v>
      </c>
      <c r="S17" s="20"/>
    </row>
    <row r="18" spans="1:21">
      <c r="A18" s="6">
        <f t="shared" ref="A18:A44" si="4">A17+1</f>
        <v>1996</v>
      </c>
      <c r="C18" s="187">
        <f>'Exhibit P,3'!M18</f>
        <v>4624.8005999999996</v>
      </c>
      <c r="D18" s="187"/>
      <c r="E18" s="187">
        <f>'Exhibit P,2'!G20</f>
        <v>6176.3837068814546</v>
      </c>
      <c r="F18" s="187"/>
      <c r="G18" s="494">
        <f t="shared" si="0"/>
        <v>28564543.073415574</v>
      </c>
      <c r="I18" s="274">
        <v>0.54495348149292544</v>
      </c>
      <c r="K18" s="494">
        <f t="shared" si="1"/>
        <v>15566347.195112446</v>
      </c>
      <c r="L18" s="18">
        <f>'Exhibit P,3'!M18</f>
        <v>4624.8005999999996</v>
      </c>
      <c r="M18" s="18"/>
      <c r="N18" s="404">
        <f t="shared" ref="N18:N44" si="5">N17+1</f>
        <v>1995</v>
      </c>
      <c r="O18" s="123"/>
      <c r="P18" s="69">
        <f>'Exhibit T,3'!K18</f>
        <v>6529.7794871415645</v>
      </c>
      <c r="Q18" s="137">
        <f t="shared" si="2"/>
        <v>9542.2255109826838</v>
      </c>
      <c r="R18" s="137">
        <f t="shared" si="3"/>
        <v>9895.6212912427945</v>
      </c>
      <c r="S18" s="20"/>
    </row>
    <row r="19" spans="1:21">
      <c r="A19" s="6">
        <f t="shared" si="4"/>
        <v>1997</v>
      </c>
      <c r="C19" s="187">
        <f>'Exhibit P,3'!M19</f>
        <v>4072.9379999999996</v>
      </c>
      <c r="D19" s="187"/>
      <c r="E19" s="187">
        <f>'Exhibit P,2'!G21</f>
        <v>6238.1475439502692</v>
      </c>
      <c r="F19" s="187"/>
      <c r="G19" s="494">
        <f t="shared" si="0"/>
        <v>25407588.18136172</v>
      </c>
      <c r="I19" s="274">
        <v>0.35418628085228965</v>
      </c>
      <c r="K19" s="494">
        <f t="shared" si="1"/>
        <v>8999019.1633830965</v>
      </c>
      <c r="L19" s="18">
        <f>'Exhibit P,3'!M19</f>
        <v>4072.9379999999996</v>
      </c>
      <c r="M19" s="18"/>
      <c r="N19" s="404">
        <f t="shared" si="5"/>
        <v>1996</v>
      </c>
      <c r="O19" s="123"/>
      <c r="P19" s="69">
        <f>'Exhibit T,3'!K19</f>
        <v>6558.8362430265324</v>
      </c>
      <c r="Q19" s="137">
        <f t="shared" si="2"/>
        <v>8447.6138219498607</v>
      </c>
      <c r="R19" s="137">
        <f t="shared" si="3"/>
        <v>8768.3025210261221</v>
      </c>
      <c r="S19" s="20"/>
    </row>
    <row r="20" spans="1:21">
      <c r="A20" s="6">
        <f t="shared" si="4"/>
        <v>1998</v>
      </c>
      <c r="C20" s="187">
        <f>'Exhibit P,3'!M20</f>
        <v>4048.5936999999999</v>
      </c>
      <c r="D20" s="187"/>
      <c r="E20" s="187">
        <f>'Exhibit P,2'!G22</f>
        <v>6300.5290193897717</v>
      </c>
      <c r="F20" s="187"/>
      <c r="G20" s="494">
        <f t="shared" si="0"/>
        <v>25508282.094568606</v>
      </c>
      <c r="I20" s="274">
        <v>0.85034390453387854</v>
      </c>
      <c r="K20" s="494">
        <f t="shared" si="1"/>
        <v>21690812.194247089</v>
      </c>
      <c r="L20" s="18">
        <f>'Exhibit P,3'!M20</f>
        <v>4048.5936999999999</v>
      </c>
      <c r="M20" s="18"/>
      <c r="N20" s="404">
        <f t="shared" si="5"/>
        <v>1997</v>
      </c>
      <c r="O20" s="123"/>
      <c r="P20" s="69">
        <f>'Exhibit T,3'!K20</f>
        <v>7203.654629507525</v>
      </c>
      <c r="Q20" s="137">
        <f t="shared" si="2"/>
        <v>11658.145466366677</v>
      </c>
      <c r="R20" s="137">
        <f t="shared" si="3"/>
        <v>12561.271076484432</v>
      </c>
      <c r="S20" s="20"/>
    </row>
    <row r="21" spans="1:21">
      <c r="A21" s="6">
        <f t="shared" si="4"/>
        <v>1999</v>
      </c>
      <c r="C21" s="187">
        <f>'Exhibit P,3'!M21</f>
        <v>4212.7678000000005</v>
      </c>
      <c r="D21" s="187"/>
      <c r="E21" s="187">
        <f>'Exhibit P,2'!G23</f>
        <v>6363.5343095836697</v>
      </c>
      <c r="F21" s="187"/>
      <c r="G21" s="494">
        <f t="shared" si="0"/>
        <v>26808092.433609318</v>
      </c>
      <c r="I21" s="274">
        <v>0.52036151587529778</v>
      </c>
      <c r="K21" s="494">
        <f t="shared" si="1"/>
        <v>13949899.616478045</v>
      </c>
      <c r="L21" s="18">
        <f>'Exhibit P,3'!M21</f>
        <v>4212.7678000000005</v>
      </c>
      <c r="M21" s="18"/>
      <c r="N21" s="404">
        <f t="shared" si="5"/>
        <v>1998</v>
      </c>
      <c r="O21" s="123"/>
      <c r="P21" s="69">
        <f>'Exhibit T,3'!K21</f>
        <v>8340.6235539494955</v>
      </c>
      <c r="Q21" s="137">
        <f t="shared" si="2"/>
        <v>9674.8726692430937</v>
      </c>
      <c r="R21" s="137">
        <f t="shared" si="3"/>
        <v>11651.96191360892</v>
      </c>
      <c r="S21" s="20"/>
    </row>
    <row r="22" spans="1:21">
      <c r="A22" s="6">
        <f t="shared" si="4"/>
        <v>2000</v>
      </c>
      <c r="C22" s="187">
        <f>'Exhibit P,3'!M22</f>
        <v>4146.0517999999993</v>
      </c>
      <c r="D22" s="187"/>
      <c r="E22" s="187">
        <f>'Exhibit P,2'!G24</f>
        <v>6427.1696526795067</v>
      </c>
      <c r="F22" s="187"/>
      <c r="G22" s="494">
        <f t="shared" si="0"/>
        <v>26647378.307397239</v>
      </c>
      <c r="I22" s="274">
        <v>0.57977019156570953</v>
      </c>
      <c r="K22" s="494">
        <f t="shared" si="1"/>
        <v>15449355.62600363</v>
      </c>
      <c r="L22" s="18">
        <f>'Exhibit P,3'!M22</f>
        <v>4146.0517999999993</v>
      </c>
      <c r="M22" s="18"/>
      <c r="N22" s="404">
        <f t="shared" si="5"/>
        <v>1999</v>
      </c>
      <c r="O22" s="123"/>
      <c r="P22" s="69">
        <f>'Exhibit T,3'!K22</f>
        <v>6704.0879542315424</v>
      </c>
      <c r="Q22" s="137">
        <f t="shared" si="2"/>
        <v>10153.45103343882</v>
      </c>
      <c r="R22" s="137">
        <f t="shared" si="3"/>
        <v>10430.369334990855</v>
      </c>
      <c r="S22" s="20"/>
    </row>
    <row r="23" spans="1:21">
      <c r="A23" s="6">
        <f t="shared" si="4"/>
        <v>2001</v>
      </c>
      <c r="C23" s="187">
        <f>'Exhibit P,3'!M23</f>
        <v>3863.9497000000001</v>
      </c>
      <c r="D23" s="187"/>
      <c r="E23" s="187">
        <f>'Exhibit P,2'!G25</f>
        <v>6491.4413492063022</v>
      </c>
      <c r="F23" s="187"/>
      <c r="G23" s="494">
        <f t="shared" si="0"/>
        <v>25082602.853833288</v>
      </c>
      <c r="I23" s="274">
        <v>0.53487526561622523</v>
      </c>
      <c r="K23" s="494">
        <f t="shared" si="1"/>
        <v>13416063.863790369</v>
      </c>
      <c r="L23" s="18">
        <f>'Exhibit P,3'!M23</f>
        <v>3863.9497000000001</v>
      </c>
      <c r="M23" s="18"/>
      <c r="N23" s="404">
        <f t="shared" si="5"/>
        <v>2000</v>
      </c>
      <c r="O23" s="123"/>
      <c r="P23" s="69">
        <f>'Exhibit T,3'!K23</f>
        <v>5838.7696739427029</v>
      </c>
      <c r="Q23" s="137">
        <f t="shared" si="2"/>
        <v>9963.5527650951717</v>
      </c>
      <c r="R23" s="137">
        <f t="shared" si="3"/>
        <v>9310.8810898315714</v>
      </c>
      <c r="S23" s="20"/>
    </row>
    <row r="24" spans="1:21">
      <c r="A24" s="6">
        <f t="shared" si="4"/>
        <v>2002</v>
      </c>
      <c r="C24" s="187">
        <f>'Exhibit P,3'!M24</f>
        <v>3456.9573</v>
      </c>
      <c r="D24" s="187"/>
      <c r="E24" s="187">
        <f>'Exhibit P,2'!G26</f>
        <v>6556.3557626983657</v>
      </c>
      <c r="F24" s="187"/>
      <c r="G24" s="494">
        <f t="shared" si="0"/>
        <v>22665041.915257182</v>
      </c>
      <c r="I24" s="274">
        <v>0.48269890552705746</v>
      </c>
      <c r="K24" s="494">
        <f t="shared" si="1"/>
        <v>10940390.926219525</v>
      </c>
      <c r="L24" s="18">
        <f>'Exhibit P,3'!M24</f>
        <v>3456.9573</v>
      </c>
      <c r="M24" s="18"/>
      <c r="N24" s="404">
        <f t="shared" si="5"/>
        <v>2001</v>
      </c>
      <c r="O24" s="123"/>
      <c r="P24" s="69">
        <f>'Exhibit T,3'!K24</f>
        <v>7610.8540131519685</v>
      </c>
      <c r="Q24" s="137">
        <f t="shared" si="2"/>
        <v>9721.1015135988837</v>
      </c>
      <c r="R24" s="137">
        <f t="shared" si="3"/>
        <v>10775.599764052486</v>
      </c>
      <c r="S24" s="20"/>
    </row>
    <row r="25" spans="1:21">
      <c r="A25" s="6">
        <f t="shared" si="4"/>
        <v>2003</v>
      </c>
      <c r="C25" s="187">
        <f>'Exhibit P,3'!M25</f>
        <v>2679.9839999999999</v>
      </c>
      <c r="D25" s="187"/>
      <c r="E25" s="187">
        <f>'Exhibit P,2'!G27</f>
        <v>6621.919320325349</v>
      </c>
      <c r="F25" s="187"/>
      <c r="G25" s="494">
        <f t="shared" si="0"/>
        <v>17746637.827762809</v>
      </c>
      <c r="I25" s="274">
        <v>0.74432258928374695</v>
      </c>
      <c r="K25" s="494">
        <f t="shared" si="1"/>
        <v>13209223.419041304</v>
      </c>
      <c r="L25" s="18">
        <f>'Exhibit P,3'!M25</f>
        <v>2679.9839999999999</v>
      </c>
      <c r="M25" s="18"/>
      <c r="N25" s="404">
        <f t="shared" si="5"/>
        <v>2002</v>
      </c>
      <c r="O25" s="123"/>
      <c r="P25" s="69">
        <f>'Exhibit T,3'!K25</f>
        <v>7790.3615506659735</v>
      </c>
      <c r="Q25" s="137">
        <f t="shared" si="2"/>
        <v>11550.763454857981</v>
      </c>
      <c r="R25" s="137">
        <f t="shared" si="3"/>
        <v>12719.205685198605</v>
      </c>
      <c r="S25" s="20"/>
    </row>
    <row r="26" spans="1:21">
      <c r="A26" s="6">
        <f t="shared" si="4"/>
        <v>2004</v>
      </c>
      <c r="C26" s="187">
        <f>'Exhibit P,3'!M26</f>
        <v>2444.1657</v>
      </c>
      <c r="D26" s="187"/>
      <c r="E26" s="187">
        <f>'Exhibit P,2'!G28</f>
        <v>6688.1385135286027</v>
      </c>
      <c r="F26" s="187"/>
      <c r="G26" s="494">
        <f t="shared" si="0"/>
        <v>16346918.751615597</v>
      </c>
      <c r="I26" s="274">
        <v>0.35131417396939196</v>
      </c>
      <c r="K26" s="494">
        <f t="shared" si="1"/>
        <v>5742904.2581685977</v>
      </c>
      <c r="L26" s="18">
        <f>'Exhibit P,3'!M26</f>
        <v>2444.1657</v>
      </c>
      <c r="M26" s="18"/>
      <c r="N26" s="404">
        <f t="shared" si="5"/>
        <v>2003</v>
      </c>
      <c r="O26" s="123"/>
      <c r="P26" s="69">
        <f>'Exhibit T,3'!K26</f>
        <v>5852.073188000305</v>
      </c>
      <c r="Q26" s="137">
        <f t="shared" si="2"/>
        <v>9037.776370801781</v>
      </c>
      <c r="R26" s="137">
        <f t="shared" si="3"/>
        <v>8201.7110452734833</v>
      </c>
      <c r="S26" s="20"/>
      <c r="T26" s="61"/>
      <c r="U26" s="25" t="s">
        <v>1392</v>
      </c>
    </row>
    <row r="27" spans="1:21">
      <c r="A27" s="6">
        <f t="shared" si="4"/>
        <v>2005</v>
      </c>
      <c r="C27" s="187">
        <f>'Exhibit P,3'!M27</f>
        <v>2274.9785999999999</v>
      </c>
      <c r="D27" s="187"/>
      <c r="E27" s="187">
        <f>'Exhibit P,2'!G29</f>
        <v>6755.0198986638889</v>
      </c>
      <c r="F27" s="187"/>
      <c r="G27" s="494">
        <f t="shared" si="0"/>
        <v>15367525.712034516</v>
      </c>
      <c r="I27" s="274">
        <v>0.26318770031862293</v>
      </c>
      <c r="K27" s="494">
        <f t="shared" si="1"/>
        <v>4044543.7517376728</v>
      </c>
      <c r="L27" s="18">
        <f>'Exhibit P,3'!M27</f>
        <v>2274.9785999999999</v>
      </c>
      <c r="M27" s="18"/>
      <c r="N27" s="404">
        <f t="shared" si="5"/>
        <v>2004</v>
      </c>
      <c r="O27" s="123"/>
      <c r="P27" s="69">
        <f>'Exhibit T,3'!K27</f>
        <v>7139.9178348315018</v>
      </c>
      <c r="Q27" s="137">
        <f t="shared" si="2"/>
        <v>8532.8580513997749</v>
      </c>
      <c r="R27" s="137">
        <f t="shared" si="3"/>
        <v>8917.7559875673887</v>
      </c>
      <c r="S27" s="20"/>
      <c r="T27" s="61"/>
      <c r="U27" s="25" t="s">
        <v>1393</v>
      </c>
    </row>
    <row r="28" spans="1:21">
      <c r="A28" s="6">
        <f t="shared" si="4"/>
        <v>2006</v>
      </c>
      <c r="C28" s="187">
        <f>'Exhibit P,3'!M28</f>
        <v>2233.3467000000001</v>
      </c>
      <c r="D28" s="187"/>
      <c r="E28" s="187">
        <f>'Exhibit P,2'!G30</f>
        <v>6822.5700976505277</v>
      </c>
      <c r="F28" s="187"/>
      <c r="G28" s="494">
        <f t="shared" si="0"/>
        <v>15237164.413106484</v>
      </c>
      <c r="I28" s="274">
        <v>0.35988631036738017</v>
      </c>
      <c r="K28" s="494">
        <f t="shared" si="1"/>
        <v>5483646.8810940403</v>
      </c>
      <c r="L28" s="18">
        <f>'Exhibit P,3'!M28</f>
        <v>2233.3467000000001</v>
      </c>
      <c r="M28" s="18"/>
      <c r="N28" s="404">
        <f t="shared" si="5"/>
        <v>2005</v>
      </c>
      <c r="O28" s="123"/>
      <c r="P28" s="69">
        <f>'Exhibit T,3'!K28</f>
        <v>6563.991833422011</v>
      </c>
      <c r="Q28" s="137">
        <f t="shared" si="2"/>
        <v>9277.9196773167932</v>
      </c>
      <c r="R28" s="137">
        <f t="shared" si="3"/>
        <v>9019.3414130882757</v>
      </c>
      <c r="S28" s="20"/>
      <c r="T28" s="61"/>
      <c r="U28" s="61"/>
    </row>
    <row r="29" spans="1:21">
      <c r="A29" s="6">
        <f t="shared" si="4"/>
        <v>2007</v>
      </c>
      <c r="C29" s="187">
        <f>'Exhibit P,3'!M29</f>
        <v>2202.5099</v>
      </c>
      <c r="D29" s="187"/>
      <c r="E29" s="187">
        <f>'Exhibit P,2'!G31</f>
        <v>6890.795798627033</v>
      </c>
      <c r="F29" s="187"/>
      <c r="G29" s="494">
        <f t="shared" si="0"/>
        <v>15177045.965354446</v>
      </c>
      <c r="I29" s="274">
        <v>0.25987488357522981</v>
      </c>
      <c r="K29" s="494">
        <f t="shared" si="1"/>
        <v>3944133.0532623981</v>
      </c>
      <c r="L29" s="18">
        <f>'Exhibit P,3'!M29</f>
        <v>2202.5099</v>
      </c>
      <c r="M29" s="18"/>
      <c r="N29" s="404">
        <f t="shared" si="5"/>
        <v>2006</v>
      </c>
      <c r="O29" s="123"/>
      <c r="P29" s="69">
        <f>'Exhibit T,3'!K29</f>
        <v>7591.1505369396973</v>
      </c>
      <c r="Q29" s="137">
        <f t="shared" si="2"/>
        <v>8681.5405545359154</v>
      </c>
      <c r="R29" s="137">
        <f t="shared" si="3"/>
        <v>9381.8952928485796</v>
      </c>
      <c r="S29" s="20"/>
      <c r="T29" s="391">
        <v>2006</v>
      </c>
      <c r="U29" s="149">
        <v>0.13886785991957312</v>
      </c>
    </row>
    <row r="30" spans="1:21">
      <c r="A30" s="6">
        <f t="shared" si="4"/>
        <v>2008</v>
      </c>
      <c r="C30" s="187">
        <f>'Exhibit P,3'!M30</f>
        <v>2097.5783999999999</v>
      </c>
      <c r="D30" s="187"/>
      <c r="E30" s="187">
        <f>'Exhibit P,2'!G32</f>
        <v>6959.7037566133031</v>
      </c>
      <c r="F30" s="187"/>
      <c r="G30" s="494">
        <f t="shared" si="0"/>
        <v>14598524.270270921</v>
      </c>
      <c r="I30" s="274">
        <v>0.36056494554584795</v>
      </c>
      <c r="K30" s="494">
        <f t="shared" si="1"/>
        <v>5263716.1085599745</v>
      </c>
      <c r="L30" s="18">
        <f>'Exhibit P,3'!M30</f>
        <v>2097.5783999999999</v>
      </c>
      <c r="M30" s="18"/>
      <c r="N30" s="404">
        <f t="shared" si="5"/>
        <v>2007</v>
      </c>
      <c r="O30" s="123"/>
      <c r="P30" s="69">
        <f>'Exhibit T,3'!K30</f>
        <v>7393.6602083621765</v>
      </c>
      <c r="Q30" s="137">
        <f t="shared" si="2"/>
        <v>9469.1289626318121</v>
      </c>
      <c r="R30" s="137">
        <f t="shared" si="3"/>
        <v>9903.0854143806864</v>
      </c>
      <c r="S30" s="20"/>
      <c r="T30" s="391">
        <f>T29+1</f>
        <v>2007</v>
      </c>
      <c r="U30" s="149">
        <v>0.13725453557182332</v>
      </c>
    </row>
    <row r="31" spans="1:21">
      <c r="A31" s="6">
        <f t="shared" si="4"/>
        <v>2009</v>
      </c>
      <c r="C31" s="187">
        <f>'Exhibit P,3'!M31</f>
        <v>1981.5272</v>
      </c>
      <c r="D31" s="187"/>
      <c r="E31" s="187">
        <f>'Exhibit P,2'!G33</f>
        <v>7029.3007941794358</v>
      </c>
      <c r="F31" s="187"/>
      <c r="G31" s="494">
        <f t="shared" si="0"/>
        <v>13928750.720648153</v>
      </c>
      <c r="I31" s="274">
        <v>0.50868158032797062</v>
      </c>
      <c r="K31" s="494">
        <f t="shared" si="1"/>
        <v>7085298.9285736615</v>
      </c>
      <c r="L31" s="18">
        <f>'Exhibit P,3'!M31</f>
        <v>1981.5272</v>
      </c>
      <c r="M31" s="18"/>
      <c r="N31" s="404">
        <f t="shared" si="5"/>
        <v>2008</v>
      </c>
      <c r="O31" s="123"/>
      <c r="P31" s="69">
        <f>'Exhibit T,3'!K31</f>
        <v>6376.7674246409551</v>
      </c>
      <c r="Q31" s="137">
        <f t="shared" si="2"/>
        <v>10604.976630763289</v>
      </c>
      <c r="R31" s="137">
        <f t="shared" si="3"/>
        <v>9952.4432612248092</v>
      </c>
      <c r="S31" s="20"/>
      <c r="T31" s="391">
        <f t="shared" ref="T31:T44" si="6">T30+1</f>
        <v>2008</v>
      </c>
      <c r="U31" s="149">
        <v>0.1069672093245173</v>
      </c>
    </row>
    <row r="32" spans="1:21">
      <c r="A32" s="6">
        <f t="shared" si="4"/>
        <v>2010</v>
      </c>
      <c r="C32" s="187">
        <f>'Exhibit P,3'!M32</f>
        <v>1927.9458</v>
      </c>
      <c r="D32" s="187"/>
      <c r="E32" s="187">
        <f>'Exhibit P,2'!G34</f>
        <v>7099.5938021212305</v>
      </c>
      <c r="F32" s="187"/>
      <c r="G32" s="494">
        <f t="shared" si="0"/>
        <v>13687632.052505657</v>
      </c>
      <c r="I32" s="274">
        <v>0.52865646243860898</v>
      </c>
      <c r="K32" s="494">
        <f t="shared" si="1"/>
        <v>7236055.1400389569</v>
      </c>
      <c r="L32" s="18">
        <f>'Exhibit P,3'!M32</f>
        <v>1927.9458</v>
      </c>
      <c r="M32" s="18"/>
      <c r="N32" s="404">
        <f t="shared" si="5"/>
        <v>2009</v>
      </c>
      <c r="O32" s="123"/>
      <c r="P32" s="69">
        <f>'Exhibit T,3'!K32</f>
        <v>8648.2656929463465</v>
      </c>
      <c r="Q32" s="137">
        <f t="shared" si="2"/>
        <v>10852.839946301714</v>
      </c>
      <c r="R32" s="137">
        <f t="shared" si="3"/>
        <v>12401.511837126829</v>
      </c>
      <c r="S32" s="20"/>
      <c r="T32" s="391">
        <f t="shared" si="6"/>
        <v>2009</v>
      </c>
      <c r="U32" s="149">
        <v>8.9956776705945277E-2</v>
      </c>
    </row>
    <row r="33" spans="1:26">
      <c r="A33" s="6">
        <f t="shared" si="4"/>
        <v>2011</v>
      </c>
      <c r="C33" s="187">
        <f>'Exhibit P,3'!M33</f>
        <v>1855.6618999999998</v>
      </c>
      <c r="D33" s="187"/>
      <c r="E33" s="187">
        <f>'Exhibit P,2'!G35</f>
        <v>7170.5897401424427</v>
      </c>
      <c r="F33" s="187"/>
      <c r="G33" s="494">
        <f t="shared" si="0"/>
        <v>13306190.18131323</v>
      </c>
      <c r="I33" s="274">
        <v>0.76344669791948749</v>
      </c>
      <c r="K33" s="494">
        <f t="shared" si="1"/>
        <v>10158566.955812292</v>
      </c>
      <c r="L33" s="18">
        <f>'Exhibit P,3'!M33</f>
        <v>1855.6618999999998</v>
      </c>
      <c r="M33" s="18"/>
      <c r="N33" s="404">
        <f t="shared" si="5"/>
        <v>2010</v>
      </c>
      <c r="O33" s="123"/>
      <c r="P33" s="69">
        <f>'Exhibit T,3'!K33</f>
        <v>5197.4322154267438</v>
      </c>
      <c r="Q33" s="137">
        <f t="shared" si="2"/>
        <v>12644.952799389546</v>
      </c>
      <c r="R33" s="137">
        <f t="shared" si="3"/>
        <v>10671.795274673848</v>
      </c>
      <c r="S33" s="20"/>
      <c r="T33" s="391">
        <f t="shared" si="6"/>
        <v>2010</v>
      </c>
      <c r="U33" s="149">
        <v>7.7301386256428573E-2</v>
      </c>
    </row>
    <row r="34" spans="1:26">
      <c r="A34" s="6">
        <f t="shared" si="4"/>
        <v>2012</v>
      </c>
      <c r="C34" s="187">
        <f>'Exhibit P,3'!M34</f>
        <v>1811.1678999999999</v>
      </c>
      <c r="D34" s="187"/>
      <c r="E34" s="187">
        <f>'Exhibit P,2'!G36</f>
        <v>7242.2956375438671</v>
      </c>
      <c r="F34" s="187"/>
      <c r="G34" s="494">
        <f t="shared" si="0"/>
        <v>13117013.381029487</v>
      </c>
      <c r="I34" s="274">
        <v>0.7349798115237518</v>
      </c>
      <c r="K34" s="494">
        <f t="shared" si="1"/>
        <v>9640740.0225435831</v>
      </c>
      <c r="L34" s="18">
        <f>'Exhibit P,3'!M34</f>
        <v>1811.1678999999999</v>
      </c>
      <c r="M34" s="18"/>
      <c r="N34" s="404">
        <f t="shared" si="5"/>
        <v>2011</v>
      </c>
      <c r="O34" s="123"/>
      <c r="P34" s="69">
        <f>'Exhibit T,3'!K34</f>
        <v>7509.3335742092177</v>
      </c>
      <c r="Q34" s="137">
        <f t="shared" si="2"/>
        <v>12565.23672022515</v>
      </c>
      <c r="R34" s="137">
        <f t="shared" si="3"/>
        <v>12832.274656890499</v>
      </c>
      <c r="S34" s="20"/>
      <c r="T34" s="391">
        <f t="shared" si="6"/>
        <v>2011</v>
      </c>
      <c r="U34" s="149">
        <v>6.8486116436073718E-2</v>
      </c>
    </row>
    <row r="35" spans="1:26">
      <c r="A35" s="6">
        <f t="shared" si="4"/>
        <v>2013</v>
      </c>
      <c r="C35" s="187">
        <f>'Exhibit P,3'!M35</f>
        <v>1778.2047</v>
      </c>
      <c r="D35" s="187"/>
      <c r="E35" s="187">
        <f>'Exhibit P,2'!G37</f>
        <v>7314.7185939193059</v>
      </c>
      <c r="F35" s="187"/>
      <c r="G35" s="494">
        <f t="shared" si="0"/>
        <v>13007066.982884701</v>
      </c>
      <c r="I35" s="274">
        <v>0.84064373195157716</v>
      </c>
      <c r="K35" s="494">
        <f t="shared" si="1"/>
        <v>10934309.330236336</v>
      </c>
      <c r="L35" s="18">
        <f>'Exhibit P,3'!M35</f>
        <v>1778.2047</v>
      </c>
      <c r="M35" s="18"/>
      <c r="N35" s="404">
        <f t="shared" si="5"/>
        <v>2012</v>
      </c>
      <c r="O35" s="123"/>
      <c r="P35" s="69">
        <f>'Exhibit T,3'!K35</f>
        <v>6479.3656320894888</v>
      </c>
      <c r="Q35" s="137">
        <f t="shared" si="2"/>
        <v>13463.790930887224</v>
      </c>
      <c r="R35" s="137">
        <f t="shared" si="3"/>
        <v>12628.437969057406</v>
      </c>
      <c r="S35" s="20"/>
      <c r="T35" s="391">
        <f t="shared" si="6"/>
        <v>2012</v>
      </c>
      <c r="U35" s="149">
        <v>6.636144054377266E-2</v>
      </c>
      <c r="Y35" s="22"/>
      <c r="Z35" s="22"/>
    </row>
    <row r="36" spans="1:26">
      <c r="A36" s="6">
        <f t="shared" si="4"/>
        <v>2014</v>
      </c>
      <c r="C36" s="187">
        <f>'Exhibit P,3'!M36</f>
        <v>1598.8430000000003</v>
      </c>
      <c r="D36" s="187"/>
      <c r="E36" s="187">
        <f>'Exhibit P,2'!G38</f>
        <v>7387.8657798584991</v>
      </c>
      <c r="F36" s="187"/>
      <c r="G36" s="494">
        <f t="shared" si="0"/>
        <v>11812037.487066304</v>
      </c>
      <c r="I36" s="274">
        <v>0.31849765407867647</v>
      </c>
      <c r="K36" s="494">
        <f t="shared" si="1"/>
        <v>3762106.2295200028</v>
      </c>
      <c r="L36" s="18">
        <f>'Exhibit P,3'!M36</f>
        <v>1598.8430000000003</v>
      </c>
      <c r="M36" s="18"/>
      <c r="N36" s="404">
        <f t="shared" si="5"/>
        <v>2013</v>
      </c>
      <c r="O36" s="123"/>
      <c r="P36" s="69">
        <f>'Exhibit T,3'!K36</f>
        <v>7179.2088779198448</v>
      </c>
      <c r="Q36" s="137">
        <f t="shared" si="2"/>
        <v>9740.8836993915629</v>
      </c>
      <c r="R36" s="137">
        <f t="shared" si="3"/>
        <v>9532.2267974529095</v>
      </c>
      <c r="S36" s="20"/>
      <c r="T36" s="391">
        <f t="shared" si="6"/>
        <v>2013</v>
      </c>
      <c r="U36" s="149">
        <v>7.2545475931402856E-2</v>
      </c>
      <c r="Y36" s="22"/>
      <c r="Z36" s="22"/>
    </row>
    <row r="37" spans="1:26">
      <c r="A37" s="6">
        <f t="shared" si="4"/>
        <v>2015</v>
      </c>
      <c r="C37" s="187">
        <f>'Exhibit P,3'!M37</f>
        <v>1492.7619</v>
      </c>
      <c r="D37" s="187"/>
      <c r="E37" s="187">
        <f>'Exhibit P,2'!G39</f>
        <v>7461.7444376570838</v>
      </c>
      <c r="F37" s="187"/>
      <c r="G37" s="494">
        <f t="shared" si="0"/>
        <v>11138607.804071419</v>
      </c>
      <c r="I37" s="274">
        <v>0.53834555551348318</v>
      </c>
      <c r="K37" s="494">
        <f t="shared" si="1"/>
        <v>5996420.005929647</v>
      </c>
      <c r="L37" s="18">
        <f>'Exhibit P,3'!M37</f>
        <v>1492.7619</v>
      </c>
      <c r="M37" s="18"/>
      <c r="N37" s="404">
        <f t="shared" si="5"/>
        <v>2014</v>
      </c>
      <c r="O37" s="123"/>
      <c r="P37" s="69">
        <f>'Exhibit T,3'!K37</f>
        <v>9154.8504858839733</v>
      </c>
      <c r="Q37" s="137">
        <f t="shared" si="2"/>
        <v>11478.74139204723</v>
      </c>
      <c r="R37" s="137">
        <f t="shared" si="3"/>
        <v>13171.847440274119</v>
      </c>
      <c r="S37" s="20"/>
      <c r="T37" s="391">
        <f t="shared" si="6"/>
        <v>2014</v>
      </c>
      <c r="U37" s="149">
        <v>6.7484069024397311E-2</v>
      </c>
      <c r="Y37" s="22"/>
      <c r="Z37" s="22"/>
    </row>
    <row r="38" spans="1:26">
      <c r="A38" s="6">
        <f t="shared" si="4"/>
        <v>2016</v>
      </c>
      <c r="C38" s="187">
        <f>'Exhibit P,3'!M38</f>
        <v>1447.8647000000001</v>
      </c>
      <c r="D38" s="187"/>
      <c r="E38" s="187">
        <f>'Exhibit P,2'!G40</f>
        <v>7536.3618820336551</v>
      </c>
      <c r="F38" s="187"/>
      <c r="G38" s="494">
        <f t="shared" si="0"/>
        <v>10911632.335422095</v>
      </c>
      <c r="I38" s="274">
        <v>0.44991229101510982</v>
      </c>
      <c r="K38" s="494">
        <f t="shared" si="1"/>
        <v>4909277.5027443077</v>
      </c>
      <c r="L38" s="18">
        <f>'Exhibit P,3'!M38</f>
        <v>1447.8647000000001</v>
      </c>
      <c r="M38" s="18"/>
      <c r="N38" s="404">
        <f t="shared" si="5"/>
        <v>2015</v>
      </c>
      <c r="O38" s="123"/>
      <c r="P38" s="69">
        <f>'Exhibit T,3'!K38</f>
        <v>6212.8727417790988</v>
      </c>
      <c r="Q38" s="137">
        <f t="shared" si="2"/>
        <v>10927.063722298362</v>
      </c>
      <c r="R38" s="137">
        <f t="shared" si="3"/>
        <v>9603.574582043806</v>
      </c>
      <c r="S38" s="20"/>
      <c r="T38" s="391">
        <f t="shared" si="6"/>
        <v>2015</v>
      </c>
      <c r="U38" s="149">
        <v>6.9329429372553542E-2</v>
      </c>
      <c r="Y38" s="22"/>
      <c r="Z38" s="22"/>
    </row>
    <row r="39" spans="1:26">
      <c r="A39" s="6">
        <f t="shared" si="4"/>
        <v>2017</v>
      </c>
      <c r="C39" s="187">
        <f>'Exhibit P,3'!M39</f>
        <v>1334.3542999999997</v>
      </c>
      <c r="D39" s="187"/>
      <c r="E39" s="187">
        <f>'Exhibit P,2'!G41</f>
        <v>7611.7255008539914</v>
      </c>
      <c r="F39" s="187"/>
      <c r="G39" s="494">
        <f t="shared" si="0"/>
        <v>10156738.652484175</v>
      </c>
      <c r="I39" s="274">
        <v>0.55734547375171073</v>
      </c>
      <c r="K39" s="494">
        <f t="shared" si="1"/>
        <v>5660812.3160411045</v>
      </c>
      <c r="L39" s="18">
        <f>'Exhibit P,3'!M39</f>
        <v>1334.3542999999997</v>
      </c>
      <c r="M39" s="18"/>
      <c r="N39" s="404">
        <f t="shared" si="5"/>
        <v>2016</v>
      </c>
      <c r="O39" s="123"/>
      <c r="P39" s="69">
        <f>'Exhibit T,3'!K39</f>
        <v>4644.9610952260273</v>
      </c>
      <c r="Q39" s="137">
        <f t="shared" si="2"/>
        <v>11854.086256195436</v>
      </c>
      <c r="R39" s="137">
        <f t="shared" si="3"/>
        <v>8887.3218505674722</v>
      </c>
      <c r="S39" s="20"/>
      <c r="T39" s="391">
        <f t="shared" si="6"/>
        <v>2016</v>
      </c>
      <c r="U39" s="149">
        <v>5.4251953788378202E-2</v>
      </c>
      <c r="Y39" s="22"/>
      <c r="Z39" s="22"/>
    </row>
    <row r="40" spans="1:26">
      <c r="A40" s="6">
        <f t="shared" si="4"/>
        <v>2018</v>
      </c>
      <c r="C40" s="187">
        <f>'Exhibit P,3'!M40</f>
        <v>1313.2749999999999</v>
      </c>
      <c r="D40" s="187"/>
      <c r="E40" s="187">
        <f>'Exhibit P,2'!G42</f>
        <v>7687.8427558625317</v>
      </c>
      <c r="F40" s="187"/>
      <c r="G40" s="494">
        <f t="shared" si="0"/>
        <v>10096251.695205364</v>
      </c>
      <c r="I40" s="274">
        <v>0.55930955584919662</v>
      </c>
      <c r="K40" s="494">
        <f t="shared" si="1"/>
        <v>5646930.0513870111</v>
      </c>
      <c r="L40" s="18">
        <f>'Exhibit P,3'!M40</f>
        <v>1313.2749999999999</v>
      </c>
      <c r="M40" s="18"/>
      <c r="N40" s="404">
        <f t="shared" si="5"/>
        <v>2017</v>
      </c>
      <c r="O40" s="123"/>
      <c r="P40" s="69">
        <f>'Exhibit T,3'!K40</f>
        <v>7858.3099186503323</v>
      </c>
      <c r="Q40" s="137">
        <f t="shared" si="2"/>
        <v>11987.726673082469</v>
      </c>
      <c r="R40" s="137">
        <f t="shared" si="3"/>
        <v>12158.193835870268</v>
      </c>
      <c r="S40" s="20"/>
      <c r="T40" s="391">
        <f t="shared" si="6"/>
        <v>2017</v>
      </c>
      <c r="U40" s="149">
        <v>4.3042981671995627E-2</v>
      </c>
      <c r="Y40" s="22"/>
      <c r="Z40" s="22"/>
    </row>
    <row r="41" spans="1:26">
      <c r="A41" s="6">
        <f t="shared" si="4"/>
        <v>2019</v>
      </c>
      <c r="C41" s="187">
        <f>'Exhibit P,3'!M41</f>
        <v>1177.6818000000001</v>
      </c>
      <c r="D41" s="187"/>
      <c r="E41" s="187">
        <f>'Exhibit P,2'!G43</f>
        <v>7764.7211834211566</v>
      </c>
      <c r="F41" s="187"/>
      <c r="G41" s="494">
        <f t="shared" si="0"/>
        <v>9144370.8197895586</v>
      </c>
      <c r="I41" s="274">
        <v>0.42472139142792842</v>
      </c>
      <c r="K41" s="494">
        <f t="shared" si="1"/>
        <v>3883809.898313968</v>
      </c>
      <c r="L41" s="18">
        <f>'Exhibit P,3'!M41</f>
        <v>1177.6818000000001</v>
      </c>
      <c r="M41" s="18"/>
      <c r="N41" s="404">
        <f t="shared" si="5"/>
        <v>2018</v>
      </c>
      <c r="O41" s="123"/>
      <c r="P41" s="69">
        <f>'Exhibit T,3'!K41</f>
        <v>9415.2901227160128</v>
      </c>
      <c r="Q41" s="137">
        <f t="shared" si="2"/>
        <v>11062.5643684937</v>
      </c>
      <c r="R41" s="137">
        <f t="shared" si="3"/>
        <v>12713.133307788557</v>
      </c>
      <c r="S41" s="20"/>
      <c r="T41" s="391">
        <f t="shared" si="6"/>
        <v>2018</v>
      </c>
      <c r="U41" s="149">
        <v>4.943735261223145E-2</v>
      </c>
      <c r="V41" s="61" t="s">
        <v>1438</v>
      </c>
      <c r="Y41" s="22"/>
      <c r="Z41" s="22"/>
    </row>
    <row r="42" spans="1:26">
      <c r="A42" s="6">
        <f t="shared" si="4"/>
        <v>2020</v>
      </c>
      <c r="C42" s="187">
        <f>'Exhibit P,3'!M42</f>
        <v>1203.3188</v>
      </c>
      <c r="D42" s="187"/>
      <c r="E42" s="187">
        <f>'Exhibit P,2'!G44</f>
        <v>5940.5940594059402</v>
      </c>
      <c r="F42" s="187"/>
      <c r="G42" s="494">
        <f t="shared" si="0"/>
        <v>7148428.5148514844</v>
      </c>
      <c r="I42" s="274">
        <v>0.48823828681037512</v>
      </c>
      <c r="K42" s="494">
        <f t="shared" si="1"/>
        <v>3490136.491477523</v>
      </c>
      <c r="L42" s="18">
        <f>'Exhibit P,3'!M42</f>
        <v>1203.3188</v>
      </c>
      <c r="M42" s="18"/>
      <c r="N42" s="404">
        <f t="shared" si="5"/>
        <v>2019</v>
      </c>
      <c r="O42" s="123"/>
      <c r="P42" s="69">
        <f>'Exhibit T,3'!K42</f>
        <v>8034.1641486575991</v>
      </c>
      <c r="Q42" s="137">
        <f t="shared" si="2"/>
        <v>8841.0195256061888</v>
      </c>
      <c r="R42" s="137">
        <f t="shared" si="3"/>
        <v>10934.589614857847</v>
      </c>
      <c r="S42" s="20"/>
      <c r="T42" s="391">
        <f t="shared" si="6"/>
        <v>2019</v>
      </c>
      <c r="U42" s="149">
        <v>4.7820606031607274E-2</v>
      </c>
      <c r="Y42" s="22"/>
      <c r="Z42" s="22"/>
    </row>
    <row r="43" spans="1:26">
      <c r="A43" s="6">
        <f t="shared" si="4"/>
        <v>2021</v>
      </c>
      <c r="C43" s="187">
        <f>'Exhibit P,3'!M43</f>
        <v>1323.6506800000002</v>
      </c>
      <c r="D43" s="187"/>
      <c r="E43" s="187">
        <f>'Exhibit P,2'!G45</f>
        <v>6000</v>
      </c>
      <c r="F43" s="187"/>
      <c r="G43" s="494">
        <f t="shared" si="0"/>
        <v>7941904.080000001</v>
      </c>
      <c r="I43" s="274">
        <v>0.52091591814509497</v>
      </c>
      <c r="K43" s="494">
        <f t="shared" si="1"/>
        <v>4137064.2556534763</v>
      </c>
      <c r="L43" s="18">
        <f>'Exhibit P,3'!M43</f>
        <v>1323.6506800000002</v>
      </c>
      <c r="M43" s="18"/>
      <c r="N43" s="404">
        <f t="shared" si="5"/>
        <v>2020</v>
      </c>
      <c r="O43" s="123"/>
      <c r="P43" s="69">
        <f>'Exhibit T,3'!K43</f>
        <v>4433.2948371398516</v>
      </c>
      <c r="Q43" s="137">
        <f t="shared" si="2"/>
        <v>9125.4955088705683</v>
      </c>
      <c r="R43" s="137">
        <f t="shared" si="3"/>
        <v>7558.7903460104208</v>
      </c>
      <c r="S43" s="20"/>
      <c r="T43" s="391">
        <f t="shared" si="6"/>
        <v>2020</v>
      </c>
      <c r="U43" s="149">
        <v>4.5995516327537581E-2</v>
      </c>
      <c r="Y43" s="22"/>
      <c r="Z43" s="22"/>
    </row>
    <row r="44" spans="1:26">
      <c r="A44" s="6">
        <f t="shared" si="4"/>
        <v>2022</v>
      </c>
      <c r="C44" s="187">
        <f>'Exhibit P,3'!M44</f>
        <v>1350.1236936000003</v>
      </c>
      <c r="D44" s="187"/>
      <c r="E44" s="187">
        <f>'Exhibit P,2'!G46</f>
        <v>8000</v>
      </c>
      <c r="F44" s="187"/>
      <c r="G44" s="494">
        <f t="shared" si="0"/>
        <v>10800989.548800003</v>
      </c>
      <c r="I44" s="274">
        <v>0.51854130159147427</v>
      </c>
      <c r="K44" s="494">
        <f t="shared" si="1"/>
        <v>5600759.1791106639</v>
      </c>
      <c r="L44" s="18">
        <f>'Exhibit P,3'!M44</f>
        <v>1350.1236936000003</v>
      </c>
      <c r="M44" s="18"/>
      <c r="N44" s="404">
        <f t="shared" si="5"/>
        <v>2021</v>
      </c>
      <c r="O44" s="123"/>
      <c r="P44" s="69">
        <f>'Exhibit T,3'!K44</f>
        <v>0</v>
      </c>
      <c r="Q44" s="137">
        <f t="shared" si="2"/>
        <v>12148.330412731795</v>
      </c>
      <c r="R44" s="137"/>
      <c r="T44" s="391">
        <f t="shared" si="6"/>
        <v>2021</v>
      </c>
      <c r="U44" s="149">
        <v>3.8181390911840411E-2</v>
      </c>
      <c r="Y44" s="22"/>
      <c r="Z44" s="22"/>
    </row>
    <row r="45" spans="1:26">
      <c r="G45" s="105"/>
      <c r="K45" s="105"/>
      <c r="N45" s="61"/>
      <c r="O45" s="61"/>
      <c r="P45" s="61"/>
      <c r="Q45" s="61"/>
      <c r="R45" s="61"/>
      <c r="T45" s="61"/>
      <c r="U45" s="280"/>
    </row>
    <row r="46" spans="1:26">
      <c r="A46" s="6" t="s">
        <v>0</v>
      </c>
      <c r="C46" s="20"/>
      <c r="E46" s="21"/>
      <c r="G46" s="26">
        <f>SUM(G16:G45)</f>
        <v>486571477.35863304</v>
      </c>
      <c r="K46" s="26">
        <f>SUM(K16:K45)</f>
        <v>260602843.8357994</v>
      </c>
      <c r="N46" s="61"/>
      <c r="O46" s="61"/>
      <c r="P46" s="61"/>
      <c r="Q46" s="61"/>
      <c r="R46" s="61"/>
      <c r="T46" s="25" t="s">
        <v>0</v>
      </c>
      <c r="U46" s="392">
        <v>8.3557368325175435E-2</v>
      </c>
      <c r="Y46" s="26"/>
      <c r="Z46" s="26"/>
    </row>
    <row r="47" spans="1:26">
      <c r="C47" s="20"/>
      <c r="E47" s="26"/>
      <c r="G47" s="26"/>
      <c r="K47" s="26"/>
      <c r="N47" s="61"/>
      <c r="O47" s="61"/>
      <c r="P47" s="61"/>
      <c r="Q47" s="61"/>
      <c r="R47" s="61"/>
      <c r="Y47" s="26"/>
      <c r="Z47" s="26"/>
    </row>
    <row r="48" spans="1:26">
      <c r="C48" s="353"/>
      <c r="G48" s="26"/>
      <c r="K48" s="26"/>
      <c r="N48" s="61"/>
      <c r="O48" s="61"/>
      <c r="P48" s="61"/>
      <c r="Q48" s="61"/>
      <c r="R48" s="61"/>
    </row>
    <row r="49" spans="1:18">
      <c r="N49" s="61"/>
      <c r="O49" s="61"/>
      <c r="P49" s="61"/>
      <c r="Q49" s="61"/>
      <c r="R49" s="61"/>
    </row>
    <row r="50" spans="1:18">
      <c r="A50" s="6" t="s">
        <v>50</v>
      </c>
      <c r="B50" s="1" t="s">
        <v>483</v>
      </c>
      <c r="N50" s="61"/>
      <c r="O50" s="61"/>
      <c r="P50" s="61"/>
      <c r="Q50" s="61"/>
      <c r="R50" s="61"/>
    </row>
    <row r="51" spans="1:18">
      <c r="B51" s="3" t="s">
        <v>1351</v>
      </c>
      <c r="N51" s="61"/>
      <c r="O51" s="153"/>
      <c r="P51" s="153"/>
      <c r="Q51" s="61"/>
      <c r="R51" s="61"/>
    </row>
    <row r="52" spans="1:18">
      <c r="C52" s="3" t="s">
        <v>1563</v>
      </c>
      <c r="N52" s="61"/>
      <c r="O52" s="61"/>
      <c r="P52" s="61"/>
      <c r="Q52" s="61"/>
      <c r="R52" s="61"/>
    </row>
    <row r="53" spans="1:18">
      <c r="C53" s="1" t="s">
        <v>1564</v>
      </c>
      <c r="F53" s="141">
        <v>0.01</v>
      </c>
      <c r="N53" s="61"/>
      <c r="O53" s="61"/>
      <c r="P53" s="61"/>
      <c r="Q53" s="61"/>
      <c r="R53" s="61"/>
    </row>
    <row r="54" spans="1:18">
      <c r="B54" s="1" t="s">
        <v>51</v>
      </c>
      <c r="D54" s="3"/>
    </row>
    <row r="55" spans="1:18">
      <c r="B55" s="3" t="s">
        <v>925</v>
      </c>
    </row>
    <row r="56" spans="1:18">
      <c r="B56" s="1" t="s">
        <v>52</v>
      </c>
    </row>
  </sheetData>
  <printOptions horizontalCentered="1"/>
  <pageMargins left="0.7" right="0.7" top="0.75" bottom="0.75" header="0.3" footer="0.3"/>
  <pageSetup scale="79" orientation="portrait" r:id="rId1"/>
  <customProperties>
    <customPr name="watsonwyatt_sheetdata" r:id="rId2"/>
  </customPropertie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5">
    <pageSetUpPr fitToPage="1"/>
  </sheetPr>
  <dimension ref="A1:T61"/>
  <sheetViews>
    <sheetView topLeftCell="A6" zoomScaleNormal="100" workbookViewId="0">
      <selection activeCell="M8" sqref="M8"/>
    </sheetView>
  </sheetViews>
  <sheetFormatPr baseColWidth="10" defaultColWidth="8.7109375" defaultRowHeight="15"/>
  <cols>
    <col min="1" max="1" width="9.7109375" style="1" customWidth="1"/>
    <col min="2" max="2" width="1.7109375" style="1" customWidth="1"/>
    <col min="3" max="3" width="10.7109375" style="1" customWidth="1"/>
    <col min="4" max="4" width="1.7109375" style="1" customWidth="1"/>
    <col min="5" max="5" width="10.7109375" style="1" customWidth="1"/>
    <col min="6" max="6" width="3.7109375" style="1" customWidth="1"/>
    <col min="7" max="7" width="10.7109375" style="1" customWidth="1"/>
    <col min="8" max="8" width="1.7109375" style="1" customWidth="1"/>
    <col min="9" max="9" width="10.7109375" style="1" customWidth="1"/>
    <col min="10" max="10" width="1.7109375" style="1" customWidth="1"/>
    <col min="11" max="11" width="12.7109375" style="1" customWidth="1"/>
    <col min="12" max="12" width="1.7109375" style="1" customWidth="1"/>
    <col min="13" max="13" width="10.7109375" style="1" customWidth="1"/>
    <col min="14" max="14" width="1.7109375" style="1" customWidth="1"/>
    <col min="15" max="15" width="11.7109375" style="1" customWidth="1"/>
    <col min="16" max="16" width="8.7109375" style="1"/>
    <col min="17" max="17" width="13.7109375" style="1" bestFit="1" customWidth="1"/>
    <col min="18" max="19" width="8.7109375" style="1"/>
    <col min="20" max="20" width="11.7109375" style="1" bestFit="1" customWidth="1"/>
    <col min="21" max="16384" width="8.7109375" style="1"/>
  </cols>
  <sheetData>
    <row r="1" spans="1:15">
      <c r="O1" s="52" t="s">
        <v>44</v>
      </c>
    </row>
    <row r="2" spans="1:15">
      <c r="O2" s="64" t="s">
        <v>45</v>
      </c>
    </row>
    <row r="3" spans="1:15">
      <c r="O3" s="52"/>
    </row>
    <row r="4" spans="1:15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1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>
      <c r="A6" s="5" t="s">
        <v>26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</row>
    <row r="7" spans="1:15">
      <c r="A7" s="5" t="s">
        <v>350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1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135"/>
      <c r="N8" s="5"/>
      <c r="O8" s="5"/>
    </row>
    <row r="9" spans="1:1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1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</row>
    <row r="11" spans="1:15">
      <c r="C11" s="2" t="s">
        <v>198</v>
      </c>
      <c r="E11" s="2" t="s">
        <v>138</v>
      </c>
      <c r="F11" s="5"/>
      <c r="G11" s="2" t="s">
        <v>20</v>
      </c>
      <c r="H11" s="5"/>
      <c r="I11" s="5"/>
      <c r="K11" s="6" t="s">
        <v>20</v>
      </c>
      <c r="M11" s="6" t="s">
        <v>9</v>
      </c>
      <c r="O11" s="6" t="s">
        <v>15</v>
      </c>
    </row>
    <row r="12" spans="1:15">
      <c r="A12" s="2" t="s">
        <v>278</v>
      </c>
      <c r="C12" s="6" t="s">
        <v>705</v>
      </c>
      <c r="E12" s="6" t="s">
        <v>705</v>
      </c>
      <c r="F12" s="6"/>
      <c r="G12" s="6" t="s">
        <v>53</v>
      </c>
      <c r="H12" s="5"/>
      <c r="K12" s="6" t="s">
        <v>54</v>
      </c>
      <c r="M12" s="6" t="s">
        <v>15</v>
      </c>
      <c r="O12" s="6" t="s">
        <v>7</v>
      </c>
    </row>
    <row r="13" spans="1:15">
      <c r="A13" s="6" t="s">
        <v>4</v>
      </c>
      <c r="C13" s="6" t="s">
        <v>48</v>
      </c>
      <c r="E13" s="6" t="s">
        <v>48</v>
      </c>
      <c r="F13" s="6"/>
      <c r="G13" s="6" t="s">
        <v>16</v>
      </c>
      <c r="H13" s="5"/>
      <c r="I13" s="2" t="s">
        <v>351</v>
      </c>
      <c r="K13" s="6" t="s">
        <v>55</v>
      </c>
      <c r="M13" s="6" t="s">
        <v>10</v>
      </c>
      <c r="O13" s="6" t="s">
        <v>55</v>
      </c>
    </row>
    <row r="14" spans="1:15">
      <c r="A14" s="106" t="s">
        <v>27</v>
      </c>
      <c r="C14" s="106" t="s">
        <v>33</v>
      </c>
      <c r="E14" s="106" t="s">
        <v>36</v>
      </c>
      <c r="G14" s="106" t="s">
        <v>38</v>
      </c>
      <c r="H14" s="5"/>
      <c r="I14" s="106" t="s">
        <v>40</v>
      </c>
      <c r="K14" s="106" t="s">
        <v>42</v>
      </c>
      <c r="M14" s="118" t="s">
        <v>30</v>
      </c>
      <c r="O14" s="118" t="s">
        <v>31</v>
      </c>
    </row>
    <row r="16" spans="1:15">
      <c r="A16" s="3" t="s">
        <v>344</v>
      </c>
      <c r="C16" s="274">
        <f>'Exhibit Q,9'!O28</f>
        <v>1.5556809430777236</v>
      </c>
      <c r="E16" s="274">
        <f>'Exhibit Q,9'!O27</f>
        <v>1.0305035479034848</v>
      </c>
    </row>
    <row r="18" spans="1:17">
      <c r="A18" s="6">
        <v>1994</v>
      </c>
      <c r="C18" s="18">
        <v>101.95000000000073</v>
      </c>
      <c r="E18" s="18">
        <v>0</v>
      </c>
      <c r="F18" s="19"/>
      <c r="G18" s="147">
        <f t="shared" ref="G18:G44" si="0">G19/(1+F$56)</f>
        <v>6054.6845474771635</v>
      </c>
      <c r="H18" s="19"/>
      <c r="I18" s="74">
        <f>(C$16*C18/(E$16*E18+C$16*C18))</f>
        <v>1</v>
      </c>
      <c r="K18" s="496">
        <f>(C$16*C18+E$16*E18)/(C18+E18)*(C18+E18)*G18</f>
        <v>960283.09355111816</v>
      </c>
      <c r="M18" s="274">
        <v>0</v>
      </c>
      <c r="O18" s="147">
        <f>K18*M18</f>
        <v>0</v>
      </c>
      <c r="Q18" s="61"/>
    </row>
    <row r="19" spans="1:17">
      <c r="A19" s="6">
        <f>A18+1</f>
        <v>1995</v>
      </c>
      <c r="C19" s="18">
        <v>124.6899999999996</v>
      </c>
      <c r="E19" s="18">
        <v>0</v>
      </c>
      <c r="F19" s="18"/>
      <c r="G19" s="187">
        <f t="shared" si="0"/>
        <v>6115.231392951935</v>
      </c>
      <c r="H19" s="18"/>
      <c r="I19" s="74">
        <f t="shared" ref="I19:I46" si="1">(C$16*C19/(E$16*E19+C$16*C19))</f>
        <v>1</v>
      </c>
      <c r="K19" s="499">
        <f>(C$16*C19+E$16*E19)/(C19+E19)*(C19+E19)*G19</f>
        <v>1186219.4793941791</v>
      </c>
      <c r="M19" s="274">
        <v>0.37057054434352377</v>
      </c>
      <c r="O19" s="494">
        <f>K19*M19</f>
        <v>439577.99818999233</v>
      </c>
      <c r="Q19" s="275"/>
    </row>
    <row r="20" spans="1:17">
      <c r="A20" s="6">
        <f t="shared" ref="A20:A46" si="2">A19+1</f>
        <v>1996</v>
      </c>
      <c r="C20" s="18">
        <v>101.23999999999978</v>
      </c>
      <c r="E20" s="18">
        <v>0</v>
      </c>
      <c r="F20" s="18"/>
      <c r="G20" s="187">
        <f t="shared" si="0"/>
        <v>6176.3837068814546</v>
      </c>
      <c r="H20" s="18"/>
      <c r="I20" s="74">
        <f t="shared" si="1"/>
        <v>1</v>
      </c>
      <c r="K20" s="499">
        <f t="shared" ref="K20:K46" si="3">(C$16*C20+E$16*E20)/(C20+E20)*(C20+E20)*G20</f>
        <v>972762.76120623539</v>
      </c>
      <c r="M20" s="274">
        <v>0</v>
      </c>
      <c r="O20" s="494">
        <f t="shared" ref="O20:O46" si="4">K20*M20</f>
        <v>0</v>
      </c>
      <c r="Q20" s="275"/>
    </row>
    <row r="21" spans="1:17">
      <c r="A21" s="6">
        <f t="shared" si="2"/>
        <v>1997</v>
      </c>
      <c r="C21" s="18">
        <v>97.449999999999818</v>
      </c>
      <c r="E21" s="18">
        <v>0</v>
      </c>
      <c r="F21" s="18"/>
      <c r="G21" s="187">
        <f t="shared" si="0"/>
        <v>6238.1475439502692</v>
      </c>
      <c r="H21" s="18"/>
      <c r="I21" s="74">
        <f t="shared" si="1"/>
        <v>1</v>
      </c>
      <c r="K21" s="499">
        <f t="shared" si="3"/>
        <v>945710.07892476453</v>
      </c>
      <c r="M21" s="274">
        <v>2.6891990816000968</v>
      </c>
      <c r="O21" s="494">
        <f t="shared" si="4"/>
        <v>2543202.6757044317</v>
      </c>
      <c r="Q21" s="275"/>
    </row>
    <row r="22" spans="1:17">
      <c r="A22" s="6">
        <f t="shared" si="2"/>
        <v>1998</v>
      </c>
      <c r="C22" s="18">
        <v>100</v>
      </c>
      <c r="E22" s="18">
        <v>1.72</v>
      </c>
      <c r="F22" s="18"/>
      <c r="G22" s="187">
        <f t="shared" si="0"/>
        <v>6300.5290193897717</v>
      </c>
      <c r="H22" s="18"/>
      <c r="I22" s="74">
        <f t="shared" si="1"/>
        <v>0.98873484308322401</v>
      </c>
      <c r="K22" s="499">
        <f t="shared" si="3"/>
        <v>991328.76679130248</v>
      </c>
      <c r="M22" s="274">
        <v>0.33694512171284258</v>
      </c>
      <c r="O22" s="494">
        <f t="shared" si="4"/>
        <v>334023.39198393753</v>
      </c>
      <c r="Q22" s="275"/>
    </row>
    <row r="23" spans="1:17">
      <c r="A23" s="6">
        <f t="shared" si="2"/>
        <v>1999</v>
      </c>
      <c r="C23" s="18">
        <v>110.76000000000022</v>
      </c>
      <c r="E23" s="18">
        <v>2.98</v>
      </c>
      <c r="F23" s="18"/>
      <c r="G23" s="187">
        <f t="shared" si="0"/>
        <v>6363.5343095836697</v>
      </c>
      <c r="H23" s="18"/>
      <c r="I23" s="74">
        <f t="shared" si="1"/>
        <v>0.9824898308823069</v>
      </c>
      <c r="K23" s="499">
        <f t="shared" si="3"/>
        <v>1116024.6954030863</v>
      </c>
      <c r="M23" s="274">
        <v>0</v>
      </c>
      <c r="O23" s="494">
        <f t="shared" si="4"/>
        <v>0</v>
      </c>
      <c r="Q23" s="275"/>
    </row>
    <row r="24" spans="1:17">
      <c r="A24" s="6">
        <f t="shared" si="2"/>
        <v>2000</v>
      </c>
      <c r="C24" s="18">
        <v>144.31999999999971</v>
      </c>
      <c r="E24" s="18">
        <v>3.26</v>
      </c>
      <c r="F24" s="18"/>
      <c r="G24" s="187">
        <f t="shared" si="0"/>
        <v>6427.1696526795067</v>
      </c>
      <c r="H24" s="18"/>
      <c r="I24" s="74">
        <f t="shared" si="1"/>
        <v>0.98525754506508056</v>
      </c>
      <c r="K24" s="499">
        <f t="shared" si="3"/>
        <v>1464593.3109054589</v>
      </c>
      <c r="M24" s="274">
        <v>0.1851944051229395</v>
      </c>
      <c r="O24" s="494">
        <f t="shared" si="4"/>
        <v>271234.48696017283</v>
      </c>
      <c r="Q24" s="275"/>
    </row>
    <row r="25" spans="1:17">
      <c r="A25" s="6">
        <f t="shared" si="2"/>
        <v>2001</v>
      </c>
      <c r="C25" s="18">
        <v>137.99000000000024</v>
      </c>
      <c r="E25" s="18">
        <v>3.4299999999999997</v>
      </c>
      <c r="F25" s="18"/>
      <c r="G25" s="187">
        <f t="shared" si="0"/>
        <v>6491.4413492063022</v>
      </c>
      <c r="H25" s="18"/>
      <c r="I25" s="74">
        <f t="shared" si="1"/>
        <v>0.98380120111463631</v>
      </c>
      <c r="K25" s="499">
        <f t="shared" si="3"/>
        <v>1416452.2396541266</v>
      </c>
      <c r="M25" s="274">
        <v>0.74058001015708863</v>
      </c>
      <c r="O25" s="494">
        <f t="shared" si="4"/>
        <v>1048996.214030084</v>
      </c>
      <c r="Q25" s="275"/>
    </row>
    <row r="26" spans="1:17">
      <c r="A26" s="6">
        <f t="shared" si="2"/>
        <v>2002</v>
      </c>
      <c r="C26" s="18">
        <v>150.50999999999976</v>
      </c>
      <c r="E26" s="18">
        <v>5.23</v>
      </c>
      <c r="F26" s="18"/>
      <c r="G26" s="187">
        <f t="shared" si="0"/>
        <v>6556.3557626983657</v>
      </c>
      <c r="H26" s="18"/>
      <c r="I26" s="74">
        <f t="shared" si="1"/>
        <v>0.97750002325827856</v>
      </c>
      <c r="K26" s="499">
        <f t="shared" si="3"/>
        <v>1570477.1516304312</v>
      </c>
      <c r="M26" s="274">
        <v>0</v>
      </c>
      <c r="O26" s="494">
        <f t="shared" si="4"/>
        <v>0</v>
      </c>
      <c r="Q26" s="275"/>
    </row>
    <row r="27" spans="1:17">
      <c r="A27" s="6">
        <f t="shared" si="2"/>
        <v>2003</v>
      </c>
      <c r="C27" s="18">
        <v>93.420000000000073</v>
      </c>
      <c r="E27" s="18">
        <v>21.63</v>
      </c>
      <c r="F27" s="18"/>
      <c r="G27" s="187">
        <f t="shared" si="0"/>
        <v>6621.919320325349</v>
      </c>
      <c r="H27" s="18"/>
      <c r="I27" s="74">
        <f t="shared" si="1"/>
        <v>0.86702307867847472</v>
      </c>
      <c r="K27" s="499">
        <f t="shared" si="3"/>
        <v>1109976.0853981574</v>
      </c>
      <c r="M27" s="274">
        <v>0.5989181382318236</v>
      </c>
      <c r="O27" s="494">
        <f t="shared" si="4"/>
        <v>664784.81054851203</v>
      </c>
      <c r="Q27" s="275"/>
    </row>
    <row r="28" spans="1:17">
      <c r="A28" s="6">
        <f t="shared" si="2"/>
        <v>2004</v>
      </c>
      <c r="C28" s="18">
        <v>91.2199999999998</v>
      </c>
      <c r="E28" s="18">
        <v>20.9</v>
      </c>
      <c r="F28" s="18"/>
      <c r="G28" s="187">
        <f t="shared" si="0"/>
        <v>6688.1385135286027</v>
      </c>
      <c r="H28" s="18"/>
      <c r="I28" s="74">
        <f t="shared" si="1"/>
        <v>0.86822909909160961</v>
      </c>
      <c r="K28" s="499">
        <f t="shared" si="3"/>
        <v>1093154.4352248281</v>
      </c>
      <c r="M28" s="274">
        <v>0.3227378851552824</v>
      </c>
      <c r="O28" s="494">
        <f t="shared" si="4"/>
        <v>352802.35057257814</v>
      </c>
      <c r="Q28" s="275"/>
    </row>
    <row r="29" spans="1:17">
      <c r="A29" s="6">
        <f t="shared" si="2"/>
        <v>2005</v>
      </c>
      <c r="C29" s="18">
        <v>56.509999999999764</v>
      </c>
      <c r="E29" s="18">
        <v>21.74</v>
      </c>
      <c r="F29" s="18"/>
      <c r="G29" s="187">
        <f t="shared" si="0"/>
        <v>6755.0198986638889</v>
      </c>
      <c r="H29" s="18"/>
      <c r="I29" s="74">
        <f t="shared" si="1"/>
        <v>0.79691598892339655</v>
      </c>
      <c r="K29" s="499">
        <f t="shared" si="3"/>
        <v>745177.83976782684</v>
      </c>
      <c r="M29" s="274">
        <v>0.62655293957529234</v>
      </c>
      <c r="O29" s="494">
        <f t="shared" si="4"/>
        <v>466893.3660128981</v>
      </c>
      <c r="Q29" s="276"/>
    </row>
    <row r="30" spans="1:17">
      <c r="A30" s="6">
        <f t="shared" si="2"/>
        <v>2006</v>
      </c>
      <c r="C30" s="18">
        <v>71.010000000000218</v>
      </c>
      <c r="E30" s="18">
        <v>22.54</v>
      </c>
      <c r="F30" s="18"/>
      <c r="G30" s="187">
        <f t="shared" si="0"/>
        <v>6822.5700976505277</v>
      </c>
      <c r="H30" s="18"/>
      <c r="I30" s="74">
        <f t="shared" si="1"/>
        <v>0.82626652150912039</v>
      </c>
      <c r="K30" s="499">
        <f t="shared" si="3"/>
        <v>912153.42743270856</v>
      </c>
      <c r="M30" s="274">
        <v>0</v>
      </c>
      <c r="O30" s="494">
        <f t="shared" si="4"/>
        <v>0</v>
      </c>
      <c r="Q30" s="276"/>
    </row>
    <row r="31" spans="1:17">
      <c r="A31" s="6">
        <f t="shared" si="2"/>
        <v>2007</v>
      </c>
      <c r="C31" s="18">
        <v>57.170000000000073</v>
      </c>
      <c r="E31" s="18">
        <v>26.56</v>
      </c>
      <c r="F31" s="18"/>
      <c r="G31" s="187">
        <f t="shared" si="0"/>
        <v>6890.795798627033</v>
      </c>
      <c r="H31" s="18"/>
      <c r="I31" s="74">
        <f t="shared" si="1"/>
        <v>0.76467596851040842</v>
      </c>
      <c r="K31" s="499">
        <f t="shared" si="3"/>
        <v>801457.8044320083</v>
      </c>
      <c r="M31" s="274">
        <v>0.62024941668023359</v>
      </c>
      <c r="O31" s="494">
        <f t="shared" si="4"/>
        <v>497103.73569277389</v>
      </c>
      <c r="Q31" s="276"/>
    </row>
    <row r="32" spans="1:17">
      <c r="A32" s="6">
        <f t="shared" si="2"/>
        <v>2008</v>
      </c>
      <c r="C32" s="18">
        <v>33.509999999999764</v>
      </c>
      <c r="E32" s="18">
        <v>29.68</v>
      </c>
      <c r="F32" s="18"/>
      <c r="G32" s="187">
        <f t="shared" si="0"/>
        <v>6959.7037566133031</v>
      </c>
      <c r="H32" s="18"/>
      <c r="I32" s="74">
        <f t="shared" si="1"/>
        <v>0.63023760479280855</v>
      </c>
      <c r="K32" s="499">
        <f t="shared" si="3"/>
        <v>575680.34325071215</v>
      </c>
      <c r="M32" s="274">
        <v>0.48027765207844336</v>
      </c>
      <c r="O32" s="494">
        <f t="shared" si="4"/>
        <v>276486.40360416437</v>
      </c>
    </row>
    <row r="33" spans="1:20">
      <c r="A33" s="6">
        <f t="shared" si="2"/>
        <v>2009</v>
      </c>
      <c r="C33" s="18">
        <v>29.029999999999973</v>
      </c>
      <c r="E33" s="18">
        <v>27.55</v>
      </c>
      <c r="F33" s="18"/>
      <c r="G33" s="187">
        <f t="shared" si="0"/>
        <v>7029.3007941794358</v>
      </c>
      <c r="H33" s="18"/>
      <c r="I33" s="74">
        <f t="shared" si="1"/>
        <v>0.61400840763844766</v>
      </c>
      <c r="K33" s="499">
        <f t="shared" si="3"/>
        <v>517017.65953163343</v>
      </c>
      <c r="M33" s="274">
        <v>0</v>
      </c>
      <c r="O33" s="494">
        <f t="shared" si="4"/>
        <v>0</v>
      </c>
    </row>
    <row r="34" spans="1:20">
      <c r="A34" s="6">
        <f t="shared" si="2"/>
        <v>2010</v>
      </c>
      <c r="C34" s="18">
        <v>82.740000000000009</v>
      </c>
      <c r="E34" s="18">
        <v>25.19</v>
      </c>
      <c r="F34" s="18"/>
      <c r="G34" s="187">
        <f t="shared" si="0"/>
        <v>7099.5938021212305</v>
      </c>
      <c r="H34" s="18"/>
      <c r="I34" s="74">
        <f t="shared" si="1"/>
        <v>0.83217512238503077</v>
      </c>
      <c r="K34" s="499">
        <f t="shared" si="3"/>
        <v>1098132.6929439942</v>
      </c>
      <c r="M34" s="274">
        <v>0</v>
      </c>
      <c r="O34" s="494">
        <f t="shared" si="4"/>
        <v>0</v>
      </c>
    </row>
    <row r="35" spans="1:20">
      <c r="A35" s="6">
        <f t="shared" si="2"/>
        <v>2011</v>
      </c>
      <c r="C35" s="18">
        <v>91.180000000000064</v>
      </c>
      <c r="E35" s="18">
        <v>26.93</v>
      </c>
      <c r="F35" s="18"/>
      <c r="G35" s="187">
        <f t="shared" si="0"/>
        <v>7170.5897401424427</v>
      </c>
      <c r="H35" s="18"/>
      <c r="I35" s="74">
        <f t="shared" si="1"/>
        <v>0.83636960880639621</v>
      </c>
      <c r="K35" s="499">
        <f t="shared" si="3"/>
        <v>1216120.897876435</v>
      </c>
      <c r="M35" s="274">
        <v>0</v>
      </c>
      <c r="O35" s="494">
        <f t="shared" si="4"/>
        <v>0</v>
      </c>
    </row>
    <row r="36" spans="1:20">
      <c r="A36" s="6">
        <f t="shared" si="2"/>
        <v>2012</v>
      </c>
      <c r="C36" s="18">
        <v>72.839999999999918</v>
      </c>
      <c r="E36" s="18">
        <v>34.200000000000003</v>
      </c>
      <c r="F36" s="18"/>
      <c r="G36" s="187">
        <f t="shared" si="0"/>
        <v>7242.2956375438671</v>
      </c>
      <c r="H36" s="18"/>
      <c r="I36" s="74">
        <f t="shared" si="1"/>
        <v>0.76276619860572548</v>
      </c>
      <c r="K36" s="499">
        <f t="shared" si="3"/>
        <v>1075908.3513868831</v>
      </c>
      <c r="M36" s="274">
        <v>0</v>
      </c>
      <c r="O36" s="494">
        <f t="shared" si="4"/>
        <v>0</v>
      </c>
    </row>
    <row r="37" spans="1:20">
      <c r="A37" s="6">
        <f t="shared" si="2"/>
        <v>2013</v>
      </c>
      <c r="C37" s="18">
        <v>104.09999999999991</v>
      </c>
      <c r="E37" s="18">
        <v>31.749999999999996</v>
      </c>
      <c r="F37" s="18"/>
      <c r="G37" s="187">
        <f t="shared" si="0"/>
        <v>7314.7185939193059</v>
      </c>
      <c r="H37" s="18"/>
      <c r="I37" s="74">
        <f t="shared" si="1"/>
        <v>0.83192402921066055</v>
      </c>
      <c r="K37" s="499">
        <f t="shared" si="3"/>
        <v>1423918.7721164981</v>
      </c>
      <c r="M37" s="274">
        <v>0.60520149585699967</v>
      </c>
      <c r="O37" s="494">
        <f t="shared" si="4"/>
        <v>861757.7708637669</v>
      </c>
    </row>
    <row r="38" spans="1:20">
      <c r="A38" s="6">
        <f t="shared" si="2"/>
        <v>2014</v>
      </c>
      <c r="C38" s="18">
        <v>65.210000000000036</v>
      </c>
      <c r="E38" s="18">
        <v>27.9</v>
      </c>
      <c r="F38" s="18"/>
      <c r="G38" s="187">
        <f t="shared" si="0"/>
        <v>7387.8657798584991</v>
      </c>
      <c r="H38" s="18"/>
      <c r="I38" s="74">
        <f t="shared" si="1"/>
        <v>0.77917272854845554</v>
      </c>
      <c r="K38" s="499">
        <f t="shared" si="3"/>
        <v>961877.98520646268</v>
      </c>
      <c r="M38" s="274">
        <v>0</v>
      </c>
      <c r="O38" s="494">
        <f t="shared" si="4"/>
        <v>0</v>
      </c>
    </row>
    <row r="39" spans="1:20">
      <c r="A39" s="6">
        <f t="shared" si="2"/>
        <v>2015</v>
      </c>
      <c r="C39" s="18">
        <v>192.32944999999998</v>
      </c>
      <c r="E39" s="18">
        <v>58.048800000000007</v>
      </c>
      <c r="F39" s="18"/>
      <c r="G39" s="187">
        <f t="shared" si="0"/>
        <v>7461.7444376570838</v>
      </c>
      <c r="H39" s="18"/>
      <c r="I39" s="74">
        <f t="shared" si="1"/>
        <v>0.8333824427554114</v>
      </c>
      <c r="K39" s="499">
        <f t="shared" si="3"/>
        <v>2678936.0414510467</v>
      </c>
      <c r="M39" s="274">
        <v>0.19893570163846008</v>
      </c>
      <c r="O39" s="494">
        <f t="shared" si="4"/>
        <v>532936.0210506228</v>
      </c>
      <c r="Q39" s="18"/>
      <c r="T39" s="25" t="s">
        <v>1437</v>
      </c>
    </row>
    <row r="40" spans="1:20">
      <c r="A40" s="6">
        <f t="shared" si="2"/>
        <v>2016</v>
      </c>
      <c r="C40" s="18">
        <v>51.460000000000036</v>
      </c>
      <c r="E40" s="18">
        <v>158.8972</v>
      </c>
      <c r="F40" s="18"/>
      <c r="G40" s="187">
        <f t="shared" si="0"/>
        <v>7536.3618820336551</v>
      </c>
      <c r="H40" s="18"/>
      <c r="I40" s="74">
        <f t="shared" si="1"/>
        <v>0.328365526942971</v>
      </c>
      <c r="K40" s="499">
        <f t="shared" si="3"/>
        <v>1837361.0301767902</v>
      </c>
      <c r="M40" s="274">
        <v>0.78135591204025179</v>
      </c>
      <c r="O40" s="494">
        <f t="shared" si="4"/>
        <v>1435632.9034810024</v>
      </c>
      <c r="Q40" s="18"/>
      <c r="T40" s="25" t="s">
        <v>1311</v>
      </c>
    </row>
    <row r="41" spans="1:20">
      <c r="A41" s="6">
        <f t="shared" si="2"/>
        <v>2017</v>
      </c>
      <c r="C41" s="18">
        <v>49.190000000000055</v>
      </c>
      <c r="E41" s="18">
        <v>129.24300000000002</v>
      </c>
      <c r="F41" s="18"/>
      <c r="G41" s="187">
        <f t="shared" si="0"/>
        <v>7611.7255008539914</v>
      </c>
      <c r="H41" s="18"/>
      <c r="I41" s="74">
        <f t="shared" si="1"/>
        <v>0.36490484630827669</v>
      </c>
      <c r="K41" s="499">
        <f t="shared" si="3"/>
        <v>1596249.7455603231</v>
      </c>
      <c r="M41" s="274">
        <v>0.39001654707596478</v>
      </c>
      <c r="O41" s="494">
        <f t="shared" si="4"/>
        <v>622563.81403432461</v>
      </c>
      <c r="Q41" s="18"/>
      <c r="T41" s="25" t="s">
        <v>177</v>
      </c>
    </row>
    <row r="42" spans="1:20">
      <c r="A42" s="6">
        <f t="shared" si="2"/>
        <v>2018</v>
      </c>
      <c r="C42" s="18">
        <v>42.990000000000009</v>
      </c>
      <c r="E42" s="18">
        <v>98.128200000000007</v>
      </c>
      <c r="F42" s="18"/>
      <c r="G42" s="187">
        <f t="shared" si="0"/>
        <v>7687.8427558625317</v>
      </c>
      <c r="H42" s="18"/>
      <c r="I42" s="74">
        <f t="shared" si="1"/>
        <v>0.39808721008396869</v>
      </c>
      <c r="K42" s="499">
        <f t="shared" si="3"/>
        <v>1291558.9821130449</v>
      </c>
      <c r="M42" s="274">
        <v>0.42153270438203949</v>
      </c>
      <c r="O42" s="494">
        <f t="shared" si="4"/>
        <v>544434.35059902596</v>
      </c>
      <c r="Q42" s="18"/>
      <c r="T42" s="25" t="s">
        <v>16</v>
      </c>
    </row>
    <row r="43" spans="1:20">
      <c r="A43" s="6">
        <f t="shared" si="2"/>
        <v>2019</v>
      </c>
      <c r="C43" s="18">
        <v>47.880000000000031</v>
      </c>
      <c r="E43" s="18">
        <v>23.88</v>
      </c>
      <c r="F43" s="18"/>
      <c r="G43" s="187">
        <f>G46/(1+F56)^3</f>
        <v>7764.7211834211566</v>
      </c>
      <c r="H43" s="18"/>
      <c r="I43" s="74">
        <f t="shared" si="1"/>
        <v>0.75166691860035484</v>
      </c>
      <c r="K43" s="499">
        <f t="shared" si="3"/>
        <v>769440.6064130516</v>
      </c>
      <c r="M43" s="274">
        <v>0.58334073038701018</v>
      </c>
      <c r="O43" s="494">
        <f t="shared" si="4"/>
        <v>448846.04533441353</v>
      </c>
      <c r="Q43" s="18"/>
      <c r="T43" s="22"/>
    </row>
    <row r="44" spans="1:20">
      <c r="A44" s="6">
        <f t="shared" si="2"/>
        <v>2020</v>
      </c>
      <c r="C44" s="88">
        <v>50</v>
      </c>
      <c r="D44" s="180"/>
      <c r="E44" s="18">
        <v>22.92</v>
      </c>
      <c r="F44" s="18"/>
      <c r="G44" s="187">
        <f t="shared" si="0"/>
        <v>5940.5940594059402</v>
      </c>
      <c r="H44" s="18"/>
      <c r="I44" s="74">
        <f t="shared" si="1"/>
        <v>0.76707693639723784</v>
      </c>
      <c r="K44" s="499">
        <f t="shared" si="3"/>
        <v>602395.17904059833</v>
      </c>
      <c r="M44" s="274">
        <v>0.56419201127564511</v>
      </c>
      <c r="O44" s="494">
        <f t="shared" si="4"/>
        <v>339866.54764566751</v>
      </c>
      <c r="Q44" s="18"/>
      <c r="T44" s="84">
        <v>467860.64478809648</v>
      </c>
    </row>
    <row r="45" spans="1:20">
      <c r="A45" s="6">
        <f t="shared" si="2"/>
        <v>2021</v>
      </c>
      <c r="C45" s="88">
        <v>50</v>
      </c>
      <c r="D45" s="180"/>
      <c r="E45" s="18">
        <v>22.92</v>
      </c>
      <c r="F45" s="18"/>
      <c r="G45" s="187">
        <f>'Exhibit T,1'!K31</f>
        <v>6000</v>
      </c>
      <c r="H45" s="18"/>
      <c r="I45" s="74">
        <f t="shared" si="1"/>
        <v>0.76707693639723784</v>
      </c>
      <c r="K45" s="499">
        <f t="shared" si="3"/>
        <v>608419.13083100435</v>
      </c>
      <c r="M45" s="274">
        <v>0.53465408277422422</v>
      </c>
      <c r="O45" s="494">
        <f t="shared" si="4"/>
        <v>325293.77233674133</v>
      </c>
      <c r="Q45" s="18"/>
      <c r="T45" s="84">
        <v>448777.05653893255</v>
      </c>
    </row>
    <row r="46" spans="1:20">
      <c r="A46" s="6">
        <f t="shared" si="2"/>
        <v>2022</v>
      </c>
      <c r="C46" s="88">
        <v>150</v>
      </c>
      <c r="D46" s="180"/>
      <c r="E46" s="18">
        <v>22.92</v>
      </c>
      <c r="F46" s="18"/>
      <c r="G46" s="187">
        <f>'Exhibit T,1'!K28</f>
        <v>8000</v>
      </c>
      <c r="H46" s="18"/>
      <c r="I46" s="74">
        <f t="shared" si="1"/>
        <v>0.90808645595545001</v>
      </c>
      <c r="K46" s="499">
        <f t="shared" si="3"/>
        <v>2055770.262236851</v>
      </c>
      <c r="M46" s="274">
        <v>0.53693313781250729</v>
      </c>
      <c r="O46" s="494">
        <f t="shared" si="4"/>
        <v>1103811.1775244733</v>
      </c>
      <c r="T46" s="84">
        <v>446689.32835069846</v>
      </c>
    </row>
    <row r="47" spans="1:20">
      <c r="K47" s="105"/>
      <c r="O47" s="105"/>
    </row>
    <row r="48" spans="1:20">
      <c r="A48" s="2" t="s">
        <v>0</v>
      </c>
      <c r="K48" s="26">
        <f>SUM(K18:K46)</f>
        <v>33594558.849851556</v>
      </c>
      <c r="O48" s="26">
        <f>SUM(O18:O46)</f>
        <v>13110247.836169584</v>
      </c>
    </row>
    <row r="52" spans="1:19">
      <c r="A52" s="6" t="s">
        <v>50</v>
      </c>
      <c r="B52" s="3" t="s">
        <v>1384</v>
      </c>
    </row>
    <row r="53" spans="1:19">
      <c r="B53" s="3" t="s">
        <v>361</v>
      </c>
    </row>
    <row r="54" spans="1:19">
      <c r="B54" s="3" t="s">
        <v>776</v>
      </c>
    </row>
    <row r="55" spans="1:19">
      <c r="B55" s="3" t="s">
        <v>1580</v>
      </c>
    </row>
    <row r="56" spans="1:19">
      <c r="C56" s="1" t="s">
        <v>1564</v>
      </c>
      <c r="F56" s="141">
        <v>0.01</v>
      </c>
    </row>
    <row r="57" spans="1:19">
      <c r="B57" s="3" t="s">
        <v>484</v>
      </c>
    </row>
    <row r="58" spans="1:19">
      <c r="B58" s="3" t="s">
        <v>1375</v>
      </c>
    </row>
    <row r="59" spans="1:19">
      <c r="B59" s="3" t="s">
        <v>931</v>
      </c>
      <c r="D59" s="120"/>
      <c r="E59" s="120"/>
      <c r="F59" s="120"/>
      <c r="G59" s="120"/>
      <c r="H59" s="120"/>
      <c r="I59" s="120"/>
      <c r="S59" s="61"/>
    </row>
    <row r="60" spans="1:19">
      <c r="B60" s="3" t="s">
        <v>349</v>
      </c>
    </row>
    <row r="61" spans="1:19">
      <c r="B61" s="3" t="s">
        <v>932</v>
      </c>
    </row>
  </sheetData>
  <printOptions horizontalCentered="1"/>
  <pageMargins left="0.7" right="0.7" top="0.75" bottom="0.75" header="0.3" footer="0.3"/>
  <pageSetup scale="70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">
    <pageSetUpPr fitToPage="1"/>
  </sheetPr>
  <dimension ref="A1:AA54"/>
  <sheetViews>
    <sheetView showOutlineSymbols="0" topLeftCell="G30" zoomScaleNormal="100" workbookViewId="0">
      <selection activeCell="S44" sqref="S44"/>
    </sheetView>
  </sheetViews>
  <sheetFormatPr baseColWidth="10" defaultColWidth="9.7109375" defaultRowHeight="15"/>
  <cols>
    <col min="1" max="1" width="11.7109375" style="1" customWidth="1"/>
    <col min="2" max="2" width="1.7109375" style="1" customWidth="1"/>
    <col min="3" max="3" width="9.7109375" style="1" customWidth="1"/>
    <col min="4" max="4" width="1.7109375" style="1" customWidth="1"/>
    <col min="5" max="5" width="9.7109375" style="1" customWidth="1"/>
    <col min="6" max="6" width="1.7109375" style="1" customWidth="1"/>
    <col min="7" max="7" width="9.7109375" style="1" customWidth="1"/>
    <col min="8" max="8" width="1.7109375" style="1" customWidth="1"/>
    <col min="9" max="9" width="9.7109375" style="1" customWidth="1"/>
    <col min="10" max="10" width="1.7109375" style="1" customWidth="1"/>
    <col min="11" max="11" width="9.7109375" style="1" customWidth="1"/>
    <col min="12" max="12" width="1.7109375" style="1" customWidth="1"/>
    <col min="13" max="13" width="9.7109375" style="1" customWidth="1"/>
    <col min="14" max="20" width="9.7109375" style="1"/>
    <col min="21" max="21" width="12.7109375" style="1" customWidth="1"/>
    <col min="22" max="16384" width="9.7109375" style="1"/>
  </cols>
  <sheetData>
    <row r="1" spans="1:13">
      <c r="M1" s="52" t="s">
        <v>44</v>
      </c>
    </row>
    <row r="2" spans="1:13">
      <c r="M2" s="64" t="s">
        <v>66</v>
      </c>
    </row>
    <row r="4" spans="1:13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13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13">
      <c r="A6" s="5" t="s">
        <v>26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13">
      <c r="A7" s="5" t="s">
        <v>1295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13">
      <c r="A8" s="5" t="s">
        <v>199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3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1:13">
      <c r="B10" s="5"/>
      <c r="C10" s="5"/>
      <c r="D10" s="5"/>
      <c r="E10" s="5"/>
      <c r="F10" s="5"/>
      <c r="G10" s="6"/>
      <c r="H10" s="5"/>
      <c r="I10" s="5"/>
      <c r="J10" s="5"/>
      <c r="K10" s="5"/>
      <c r="L10" s="5"/>
      <c r="M10" s="5"/>
    </row>
    <row r="11" spans="1:13">
      <c r="M11" s="6" t="s">
        <v>705</v>
      </c>
    </row>
    <row r="12" spans="1:13">
      <c r="A12" s="6" t="s">
        <v>6</v>
      </c>
      <c r="C12" s="5" t="s">
        <v>32</v>
      </c>
      <c r="D12" s="5"/>
      <c r="E12" s="5"/>
      <c r="F12" s="5"/>
      <c r="G12" s="5"/>
      <c r="H12" s="5"/>
      <c r="I12" s="5"/>
      <c r="J12" s="5"/>
      <c r="K12" s="5"/>
      <c r="M12" s="6" t="s">
        <v>47</v>
      </c>
    </row>
    <row r="13" spans="1:13">
      <c r="A13" s="6" t="s">
        <v>4</v>
      </c>
      <c r="C13" s="106">
        <v>0</v>
      </c>
      <c r="D13" s="106"/>
      <c r="E13" s="106">
        <v>1</v>
      </c>
      <c r="F13" s="106"/>
      <c r="G13" s="106">
        <v>2</v>
      </c>
      <c r="H13" s="106"/>
      <c r="I13" s="106">
        <v>3</v>
      </c>
      <c r="J13" s="106"/>
      <c r="K13" s="106">
        <v>4</v>
      </c>
      <c r="M13" s="6" t="s">
        <v>48</v>
      </c>
    </row>
    <row r="14" spans="1:13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  <c r="M14" s="106" t="s">
        <v>30</v>
      </c>
    </row>
    <row r="15" spans="1:13">
      <c r="M15" s="18"/>
    </row>
    <row r="16" spans="1:13">
      <c r="A16" s="6">
        <v>1994</v>
      </c>
      <c r="C16" s="18">
        <v>4802.46</v>
      </c>
      <c r="D16" s="267"/>
      <c r="E16" s="18">
        <v>4600.26</v>
      </c>
      <c r="F16" s="267"/>
      <c r="G16" s="18">
        <v>4366.6099999999997</v>
      </c>
      <c r="H16" s="267"/>
      <c r="I16" s="18">
        <v>4205.04</v>
      </c>
      <c r="J16" s="267"/>
      <c r="K16" s="18">
        <v>3950.24</v>
      </c>
      <c r="M16" s="18">
        <f t="shared" ref="M16:M42" si="0">SUMPRODUCT(C16:K16,C$48:K$48)</f>
        <v>4511.1579999999994</v>
      </c>
    </row>
    <row r="17" spans="1:27">
      <c r="A17" s="6">
        <f>A16+1</f>
        <v>1995</v>
      </c>
      <c r="C17" s="18">
        <v>4867.71</v>
      </c>
      <c r="D17" s="267"/>
      <c r="E17" s="18">
        <v>4669.82</v>
      </c>
      <c r="F17" s="267"/>
      <c r="G17" s="18">
        <v>4398.04</v>
      </c>
      <c r="H17" s="267"/>
      <c r="I17" s="18">
        <v>4185.3999999999996</v>
      </c>
      <c r="J17" s="267"/>
      <c r="K17" s="18">
        <v>4033.64</v>
      </c>
      <c r="M17" s="18">
        <f t="shared" si="0"/>
        <v>4562.8492000000006</v>
      </c>
      <c r="P17" s="18"/>
    </row>
    <row r="18" spans="1:27">
      <c r="A18" s="6">
        <f t="shared" ref="A18:A44" si="1">A17+1</f>
        <v>1996</v>
      </c>
      <c r="C18" s="18">
        <v>4999.1099999999997</v>
      </c>
      <c r="D18" s="267"/>
      <c r="E18" s="18">
        <v>4725.96</v>
      </c>
      <c r="F18" s="267"/>
      <c r="G18" s="18">
        <v>4435.62</v>
      </c>
      <c r="H18" s="267"/>
      <c r="I18" s="18">
        <v>4192.92</v>
      </c>
      <c r="J18" s="267"/>
      <c r="K18" s="18">
        <v>3992.34</v>
      </c>
      <c r="M18" s="18">
        <f t="shared" si="0"/>
        <v>4624.8005999999996</v>
      </c>
      <c r="P18" s="18"/>
    </row>
    <row r="19" spans="1:27">
      <c r="A19" s="6">
        <f t="shared" si="1"/>
        <v>1997</v>
      </c>
      <c r="C19" s="18">
        <v>4437.6899999999996</v>
      </c>
      <c r="D19" s="267"/>
      <c r="E19" s="18">
        <v>4187.96</v>
      </c>
      <c r="F19" s="267"/>
      <c r="G19" s="18">
        <v>3868.11</v>
      </c>
      <c r="H19" s="267"/>
      <c r="I19" s="18">
        <v>3658.8</v>
      </c>
      <c r="J19" s="267"/>
      <c r="K19" s="18">
        <v>3476.15</v>
      </c>
      <c r="M19" s="18">
        <f t="shared" si="0"/>
        <v>4072.9379999999996</v>
      </c>
      <c r="P19" s="18"/>
    </row>
    <row r="20" spans="1:27">
      <c r="A20" s="6">
        <f t="shared" si="1"/>
        <v>1998</v>
      </c>
      <c r="C20" s="18">
        <v>4413.76</v>
      </c>
      <c r="D20" s="267"/>
      <c r="E20" s="18">
        <v>4162.7700000000004</v>
      </c>
      <c r="F20" s="267"/>
      <c r="G20" s="18">
        <v>3859.51</v>
      </c>
      <c r="H20" s="267"/>
      <c r="I20" s="18">
        <v>3605.42</v>
      </c>
      <c r="J20" s="267"/>
      <c r="K20" s="18">
        <v>3419.26</v>
      </c>
      <c r="M20" s="18">
        <f t="shared" si="0"/>
        <v>4048.5936999999999</v>
      </c>
      <c r="P20" s="18"/>
    </row>
    <row r="21" spans="1:27">
      <c r="A21" s="6">
        <f t="shared" si="1"/>
        <v>1999</v>
      </c>
      <c r="C21" s="18">
        <v>4697.72</v>
      </c>
      <c r="D21" s="267"/>
      <c r="E21" s="18">
        <v>4329.51</v>
      </c>
      <c r="F21" s="267"/>
      <c r="G21" s="18">
        <v>3957.4</v>
      </c>
      <c r="H21" s="267"/>
      <c r="I21" s="18">
        <v>3685.13</v>
      </c>
      <c r="J21" s="267"/>
      <c r="K21" s="18">
        <v>3448.69</v>
      </c>
      <c r="M21" s="18">
        <f t="shared" si="0"/>
        <v>4212.7678000000005</v>
      </c>
      <c r="P21" s="18"/>
      <c r="V21" s="6"/>
      <c r="W21" s="6"/>
      <c r="X21" s="6"/>
      <c r="Y21" s="6"/>
      <c r="Z21" s="6"/>
      <c r="AA21" s="6"/>
    </row>
    <row r="22" spans="1:27">
      <c r="A22" s="6">
        <f t="shared" si="1"/>
        <v>2000</v>
      </c>
      <c r="C22" s="18">
        <v>4540.4799999999996</v>
      </c>
      <c r="D22" s="267"/>
      <c r="E22" s="18">
        <v>4348.55</v>
      </c>
      <c r="F22" s="267"/>
      <c r="G22" s="18">
        <v>3920.1</v>
      </c>
      <c r="H22" s="267"/>
      <c r="I22" s="18">
        <v>3594.69</v>
      </c>
      <c r="J22" s="267"/>
      <c r="K22" s="18">
        <v>3363.9</v>
      </c>
      <c r="M22" s="18">
        <f t="shared" si="0"/>
        <v>4146.0517999999993</v>
      </c>
      <c r="P22" s="18"/>
      <c r="V22" s="6"/>
      <c r="W22" s="6"/>
      <c r="X22" s="6"/>
      <c r="Y22" s="6"/>
      <c r="Z22" s="6"/>
      <c r="AA22" s="6"/>
    </row>
    <row r="23" spans="1:27">
      <c r="A23" s="6">
        <f t="shared" si="1"/>
        <v>2001</v>
      </c>
      <c r="C23" s="18">
        <v>4149.34</v>
      </c>
      <c r="D23" s="267"/>
      <c r="E23" s="18">
        <v>4016.13</v>
      </c>
      <c r="F23" s="267"/>
      <c r="G23" s="18">
        <v>3754.71</v>
      </c>
      <c r="H23" s="267"/>
      <c r="I23" s="18">
        <v>3399.14</v>
      </c>
      <c r="J23" s="267"/>
      <c r="K23" s="18">
        <v>3134.53</v>
      </c>
      <c r="M23" s="18">
        <f t="shared" si="0"/>
        <v>3863.9497000000001</v>
      </c>
      <c r="P23" s="18"/>
      <c r="V23" s="6"/>
      <c r="W23" s="6"/>
      <c r="X23" s="6"/>
      <c r="Y23" s="6"/>
      <c r="Z23" s="6"/>
      <c r="AA23" s="6"/>
    </row>
    <row r="24" spans="1:27">
      <c r="A24" s="6">
        <f t="shared" si="1"/>
        <v>2002</v>
      </c>
      <c r="C24" s="18">
        <v>3681.31</v>
      </c>
      <c r="D24" s="267"/>
      <c r="E24" s="18">
        <v>3568.2</v>
      </c>
      <c r="F24" s="267"/>
      <c r="G24" s="18">
        <v>3364.46</v>
      </c>
      <c r="H24" s="267"/>
      <c r="I24" s="18">
        <v>3158.21</v>
      </c>
      <c r="J24" s="267"/>
      <c r="K24" s="18">
        <v>2876.27</v>
      </c>
      <c r="M24" s="18">
        <f t="shared" si="0"/>
        <v>3456.9573</v>
      </c>
      <c r="P24" s="18"/>
      <c r="V24" s="6"/>
      <c r="W24" s="6"/>
      <c r="X24" s="6"/>
      <c r="Y24" s="6"/>
      <c r="Z24" s="6"/>
      <c r="AA24" s="6"/>
    </row>
    <row r="25" spans="1:27">
      <c r="A25" s="6">
        <f t="shared" si="1"/>
        <v>2003</v>
      </c>
      <c r="C25" s="18">
        <v>2869.94</v>
      </c>
      <c r="D25" s="267"/>
      <c r="E25" s="18">
        <v>2760.63</v>
      </c>
      <c r="F25" s="267"/>
      <c r="G25" s="18">
        <v>2587.9499999999998</v>
      </c>
      <c r="H25" s="267"/>
      <c r="I25" s="18">
        <v>2436.37</v>
      </c>
      <c r="J25" s="267"/>
      <c r="K25" s="18">
        <v>2273.92</v>
      </c>
      <c r="M25" s="18">
        <f t="shared" si="0"/>
        <v>2679.9839999999999</v>
      </c>
      <c r="P25" s="18"/>
    </row>
    <row r="26" spans="1:27">
      <c r="A26" s="6">
        <f t="shared" si="1"/>
        <v>2004</v>
      </c>
      <c r="C26" s="18">
        <v>2693.05</v>
      </c>
      <c r="D26" s="267"/>
      <c r="E26" s="18">
        <v>2514.35</v>
      </c>
      <c r="F26" s="267"/>
      <c r="G26" s="18">
        <v>2306.83</v>
      </c>
      <c r="H26" s="267"/>
      <c r="I26" s="18">
        <v>2167.06</v>
      </c>
      <c r="J26" s="267"/>
      <c r="K26" s="18">
        <v>2049</v>
      </c>
      <c r="M26" s="18">
        <f t="shared" si="0"/>
        <v>2444.1657</v>
      </c>
      <c r="P26" s="18"/>
      <c r="U26" s="6"/>
    </row>
    <row r="27" spans="1:27">
      <c r="A27" s="6">
        <f t="shared" si="1"/>
        <v>2005</v>
      </c>
      <c r="C27" s="18">
        <v>2480.42</v>
      </c>
      <c r="D27" s="267"/>
      <c r="E27" s="18">
        <v>2389.4</v>
      </c>
      <c r="F27" s="267"/>
      <c r="G27" s="18">
        <v>2151.9899999999998</v>
      </c>
      <c r="H27" s="267"/>
      <c r="I27" s="18">
        <v>1976.4</v>
      </c>
      <c r="J27" s="267"/>
      <c r="K27" s="18">
        <v>1869.47</v>
      </c>
      <c r="M27" s="18">
        <f t="shared" si="0"/>
        <v>2274.9785999999999</v>
      </c>
      <c r="P27" s="18"/>
      <c r="U27" s="6"/>
    </row>
    <row r="28" spans="1:27">
      <c r="A28" s="6">
        <f t="shared" si="1"/>
        <v>2006</v>
      </c>
      <c r="C28" s="18">
        <v>2439.44</v>
      </c>
      <c r="D28" s="267"/>
      <c r="E28" s="18">
        <v>2310.96</v>
      </c>
      <c r="F28" s="267"/>
      <c r="G28" s="18">
        <v>2157.15</v>
      </c>
      <c r="H28" s="267"/>
      <c r="I28" s="18">
        <v>1930.63</v>
      </c>
      <c r="J28" s="267"/>
      <c r="K28" s="18">
        <v>1768.57</v>
      </c>
      <c r="M28" s="18">
        <f t="shared" si="0"/>
        <v>2233.3467000000001</v>
      </c>
      <c r="P28" s="18"/>
      <c r="U28" s="6"/>
    </row>
    <row r="29" spans="1:27">
      <c r="A29" s="6">
        <f t="shared" si="1"/>
        <v>2007</v>
      </c>
      <c r="C29" s="18">
        <v>2346.7199999999998</v>
      </c>
      <c r="D29" s="267"/>
      <c r="E29" s="18">
        <v>2292.4299999999998</v>
      </c>
      <c r="F29" s="267"/>
      <c r="G29" s="18">
        <v>2139.2399999999998</v>
      </c>
      <c r="H29" s="267"/>
      <c r="I29" s="18">
        <v>2003.6</v>
      </c>
      <c r="J29" s="267"/>
      <c r="K29" s="18">
        <v>1792.03</v>
      </c>
      <c r="M29" s="18">
        <f t="shared" si="0"/>
        <v>2202.5099</v>
      </c>
      <c r="P29" s="18"/>
      <c r="U29" s="6"/>
    </row>
    <row r="30" spans="1:27">
      <c r="A30" s="6">
        <f t="shared" si="1"/>
        <v>2008</v>
      </c>
      <c r="C30" s="18">
        <v>2224.0500000000002</v>
      </c>
      <c r="D30" s="267"/>
      <c r="E30" s="18">
        <v>2147.23</v>
      </c>
      <c r="F30" s="267"/>
      <c r="G30" s="18">
        <v>2051.1799999999998</v>
      </c>
      <c r="H30" s="267"/>
      <c r="I30" s="18">
        <v>1916.93</v>
      </c>
      <c r="J30" s="267"/>
      <c r="K30" s="18">
        <v>1800.21</v>
      </c>
      <c r="M30" s="18">
        <f t="shared" si="0"/>
        <v>2097.5783999999999</v>
      </c>
      <c r="P30" s="18"/>
      <c r="U30" s="6"/>
    </row>
    <row r="31" spans="1:27">
      <c r="A31" s="6">
        <f t="shared" si="1"/>
        <v>2009</v>
      </c>
      <c r="C31" s="18">
        <v>2083.9899999999998</v>
      </c>
      <c r="D31" s="267"/>
      <c r="E31" s="18">
        <v>2026.46</v>
      </c>
      <c r="F31" s="267"/>
      <c r="G31" s="18">
        <v>1935.19</v>
      </c>
      <c r="H31" s="267"/>
      <c r="I31" s="18">
        <v>1859.38</v>
      </c>
      <c r="J31" s="267"/>
      <c r="K31" s="18">
        <v>1737.52</v>
      </c>
      <c r="M31" s="18">
        <f t="shared" si="0"/>
        <v>1981.5272</v>
      </c>
      <c r="P31" s="18"/>
    </row>
    <row r="32" spans="1:27">
      <c r="A32" s="6">
        <f t="shared" si="1"/>
        <v>2010</v>
      </c>
      <c r="C32" s="18">
        <v>2071.62</v>
      </c>
      <c r="D32" s="267"/>
      <c r="E32" s="18">
        <v>1951.4</v>
      </c>
      <c r="F32" s="267"/>
      <c r="G32" s="18">
        <v>1852.09</v>
      </c>
      <c r="H32" s="267"/>
      <c r="I32" s="18">
        <v>1787.64</v>
      </c>
      <c r="J32" s="267"/>
      <c r="K32" s="18">
        <v>1723.1</v>
      </c>
      <c r="M32" s="18">
        <f t="shared" si="0"/>
        <v>1927.9458</v>
      </c>
    </row>
    <row r="33" spans="1:22">
      <c r="A33" s="6">
        <f t="shared" si="1"/>
        <v>2011</v>
      </c>
      <c r="C33" s="18">
        <v>1966.94</v>
      </c>
      <c r="D33" s="267"/>
      <c r="E33" s="18">
        <v>1919.3</v>
      </c>
      <c r="F33" s="267"/>
      <c r="G33" s="18">
        <v>1785.67</v>
      </c>
      <c r="H33" s="267"/>
      <c r="I33" s="18">
        <v>1697.97</v>
      </c>
      <c r="J33" s="267"/>
      <c r="K33" s="18">
        <v>1639.95</v>
      </c>
      <c r="M33" s="18">
        <f t="shared" si="0"/>
        <v>1855.6618999999998</v>
      </c>
    </row>
    <row r="34" spans="1:22">
      <c r="A34" s="6">
        <f t="shared" si="1"/>
        <v>2012</v>
      </c>
      <c r="C34" s="18">
        <v>1953.09</v>
      </c>
      <c r="D34" s="267"/>
      <c r="E34" s="18">
        <v>1840.97</v>
      </c>
      <c r="F34" s="267"/>
      <c r="G34" s="18">
        <v>1746.71</v>
      </c>
      <c r="H34" s="267"/>
      <c r="I34" s="18">
        <v>1649.46</v>
      </c>
      <c r="J34" s="267"/>
      <c r="K34" s="18">
        <v>1569.04</v>
      </c>
      <c r="M34" s="18">
        <f t="shared" si="0"/>
        <v>1811.1678999999999</v>
      </c>
    </row>
    <row r="35" spans="1:22">
      <c r="A35" s="6">
        <f t="shared" si="1"/>
        <v>2013</v>
      </c>
      <c r="C35" s="18">
        <v>1873.08</v>
      </c>
      <c r="D35" s="267"/>
      <c r="E35" s="18">
        <v>1847.17</v>
      </c>
      <c r="F35" s="267"/>
      <c r="G35" s="18">
        <v>1719.71</v>
      </c>
      <c r="H35" s="267"/>
      <c r="I35" s="18">
        <v>1639.28</v>
      </c>
      <c r="J35" s="267"/>
      <c r="K35" s="18">
        <v>1547.82</v>
      </c>
      <c r="M35" s="18">
        <f t="shared" si="0"/>
        <v>1778.2047</v>
      </c>
    </row>
    <row r="36" spans="1:22">
      <c r="A36" s="6">
        <f t="shared" si="1"/>
        <v>2014</v>
      </c>
      <c r="C36" s="18">
        <v>1675.67</v>
      </c>
      <c r="D36" s="267"/>
      <c r="E36" s="18">
        <v>1632.69</v>
      </c>
      <c r="F36" s="267"/>
      <c r="G36" s="18">
        <v>1575.38</v>
      </c>
      <c r="H36" s="267"/>
      <c r="I36" s="18">
        <v>1472.29</v>
      </c>
      <c r="J36" s="267"/>
      <c r="K36" s="18">
        <v>1403.69</v>
      </c>
      <c r="M36" s="18">
        <f t="shared" si="0"/>
        <v>1598.8430000000003</v>
      </c>
    </row>
    <row r="37" spans="1:22">
      <c r="A37" s="6">
        <f t="shared" si="1"/>
        <v>2015</v>
      </c>
      <c r="C37" s="18">
        <v>1591.03</v>
      </c>
      <c r="D37" s="267"/>
      <c r="E37" s="18">
        <v>1524.04</v>
      </c>
      <c r="F37" s="267"/>
      <c r="G37" s="18">
        <v>1442.73</v>
      </c>
      <c r="H37" s="267"/>
      <c r="I37" s="18">
        <v>1393.05</v>
      </c>
      <c r="J37" s="267"/>
      <c r="K37" s="18">
        <v>1301.3800000000001</v>
      </c>
      <c r="M37" s="18">
        <f t="shared" si="0"/>
        <v>1492.7619</v>
      </c>
    </row>
    <row r="38" spans="1:22">
      <c r="A38" s="6">
        <f t="shared" si="1"/>
        <v>2016</v>
      </c>
      <c r="C38" s="18">
        <v>1536.4</v>
      </c>
      <c r="D38" s="267"/>
      <c r="E38" s="18">
        <v>1494.93</v>
      </c>
      <c r="F38" s="267"/>
      <c r="G38" s="18">
        <v>1394.34</v>
      </c>
      <c r="H38" s="267"/>
      <c r="I38" s="18">
        <v>1321.94</v>
      </c>
      <c r="J38" s="267"/>
      <c r="K38" s="18">
        <v>1279.68</v>
      </c>
      <c r="M38" s="18">
        <f t="shared" si="0"/>
        <v>1447.8647000000001</v>
      </c>
    </row>
    <row r="39" spans="1:22">
      <c r="A39" s="6">
        <f t="shared" si="1"/>
        <v>2017</v>
      </c>
      <c r="C39" s="18">
        <v>1439.08</v>
      </c>
      <c r="D39" s="267"/>
      <c r="E39" s="18">
        <v>1367.47</v>
      </c>
      <c r="F39" s="267"/>
      <c r="G39" s="18">
        <v>1281.97</v>
      </c>
      <c r="H39" s="267"/>
      <c r="I39" s="18">
        <v>1200.82</v>
      </c>
      <c r="J39" s="267"/>
      <c r="K39" s="18">
        <v>1151.43</v>
      </c>
      <c r="M39" s="18">
        <f t="shared" si="0"/>
        <v>1334.3542999999997</v>
      </c>
    </row>
    <row r="40" spans="1:22">
      <c r="A40" s="6">
        <f t="shared" si="1"/>
        <v>2018</v>
      </c>
      <c r="C40" s="18">
        <v>1437.15</v>
      </c>
      <c r="D40" s="267"/>
      <c r="E40" s="18">
        <v>1350.86</v>
      </c>
      <c r="F40" s="267"/>
      <c r="G40" s="18">
        <v>1250.48</v>
      </c>
      <c r="H40" s="267"/>
      <c r="I40" s="18">
        <v>1169.46</v>
      </c>
      <c r="J40" s="267"/>
      <c r="K40" s="18">
        <v>1092.6099999999999</v>
      </c>
      <c r="M40" s="18">
        <f t="shared" si="0"/>
        <v>1313.2749999999999</v>
      </c>
    </row>
    <row r="41" spans="1:22">
      <c r="A41" s="6">
        <f t="shared" si="1"/>
        <v>2019</v>
      </c>
      <c r="C41" s="18">
        <v>1285.23</v>
      </c>
      <c r="D41" s="267"/>
      <c r="E41" s="18">
        <v>1214.4000000000001</v>
      </c>
      <c r="F41" s="267"/>
      <c r="G41" s="18">
        <v>1118.71</v>
      </c>
      <c r="H41" s="267"/>
      <c r="I41" s="18">
        <v>1054.82</v>
      </c>
      <c r="J41" s="267"/>
      <c r="K41" s="18">
        <v>988.28</v>
      </c>
      <c r="M41" s="18">
        <f t="shared" si="0"/>
        <v>1177.6818000000001</v>
      </c>
      <c r="T41" s="61"/>
      <c r="U41" s="61" t="s">
        <v>1762</v>
      </c>
      <c r="V41" s="61" t="s">
        <v>119</v>
      </c>
    </row>
    <row r="42" spans="1:22">
      <c r="A42" s="6">
        <f t="shared" si="1"/>
        <v>2020</v>
      </c>
      <c r="C42" s="18">
        <v>1333.36</v>
      </c>
      <c r="D42" s="267"/>
      <c r="E42" s="267">
        <v>1232.33</v>
      </c>
      <c r="F42" s="267"/>
      <c r="G42" s="18">
        <v>1138.57</v>
      </c>
      <c r="H42" s="267"/>
      <c r="I42" s="18">
        <v>1058.1099999999999</v>
      </c>
      <c r="J42" s="267"/>
      <c r="K42" s="18">
        <v>994.87</v>
      </c>
      <c r="M42" s="18">
        <f t="shared" si="0"/>
        <v>1203.3188</v>
      </c>
      <c r="T42" s="61"/>
      <c r="U42" s="61"/>
      <c r="V42" s="61"/>
    </row>
    <row r="43" spans="1:22">
      <c r="A43" s="6">
        <f t="shared" si="1"/>
        <v>2021</v>
      </c>
      <c r="C43" s="18">
        <v>1333.36</v>
      </c>
      <c r="D43" s="267"/>
      <c r="E43" s="267">
        <v>1232.33</v>
      </c>
      <c r="F43" s="267"/>
      <c r="G43" s="18">
        <v>1138.57</v>
      </c>
      <c r="H43" s="267"/>
      <c r="I43" s="18">
        <v>1058.1099999999999</v>
      </c>
      <c r="J43" s="267"/>
      <c r="K43" s="18">
        <v>994.87</v>
      </c>
      <c r="M43" s="18">
        <f>M42*(1+S44)</f>
        <v>1323.6506800000002</v>
      </c>
      <c r="T43" s="61">
        <v>2020</v>
      </c>
      <c r="U43" s="61">
        <f>'Exhibit K,1'!M69</f>
        <v>16473187.55645182</v>
      </c>
      <c r="V43" s="61"/>
    </row>
    <row r="44" spans="1:22">
      <c r="A44" s="6">
        <f t="shared" si="1"/>
        <v>2022</v>
      </c>
      <c r="C44" s="18"/>
      <c r="D44" s="267"/>
      <c r="E44" s="267"/>
      <c r="F44" s="267"/>
      <c r="G44" s="18"/>
      <c r="H44" s="267"/>
      <c r="I44" s="18"/>
      <c r="J44" s="267"/>
      <c r="K44" s="18"/>
      <c r="M44" s="18">
        <f>M43*(1+S45)</f>
        <v>1350.1236936000003</v>
      </c>
      <c r="P44" s="61" t="s">
        <v>1593</v>
      </c>
      <c r="S44" s="431">
        <v>0.1</v>
      </c>
      <c r="T44" s="61">
        <v>2021</v>
      </c>
      <c r="U44" s="61">
        <f>'Exhibit K,1'!M70</f>
        <v>18469373.940812886</v>
      </c>
      <c r="V44" s="259">
        <f>U44/U43</f>
        <v>1.1211779066753385</v>
      </c>
    </row>
    <row r="45" spans="1:22">
      <c r="P45" s="61" t="s">
        <v>1353</v>
      </c>
      <c r="Q45" s="61"/>
      <c r="R45" s="153"/>
      <c r="S45" s="431">
        <v>0.02</v>
      </c>
      <c r="T45" s="61">
        <v>2022</v>
      </c>
      <c r="U45" s="61">
        <f>'Exhibit K,1'!M71</f>
        <v>18780283.719999999</v>
      </c>
      <c r="V45" s="259">
        <f>U45/U44</f>
        <v>1.0168338017403002</v>
      </c>
    </row>
    <row r="46" spans="1:22">
      <c r="A46" s="3" t="s">
        <v>28</v>
      </c>
      <c r="M46" s="18"/>
      <c r="T46" s="61"/>
      <c r="U46" s="61"/>
      <c r="V46" s="61"/>
    </row>
    <row r="48" spans="1:22">
      <c r="A48" s="52"/>
      <c r="C48" s="273">
        <v>0.3</v>
      </c>
      <c r="D48" s="273"/>
      <c r="E48" s="273">
        <v>0.25</v>
      </c>
      <c r="F48" s="273"/>
      <c r="G48" s="273">
        <v>0.3</v>
      </c>
      <c r="H48" s="273"/>
      <c r="I48" s="273">
        <v>7.0000000000000007E-2</v>
      </c>
      <c r="J48" s="273"/>
      <c r="K48" s="273">
        <v>0.08</v>
      </c>
    </row>
    <row r="52" spans="1:3">
      <c r="A52" s="52" t="s">
        <v>29</v>
      </c>
      <c r="C52" s="1" t="s">
        <v>933</v>
      </c>
    </row>
    <row r="53" spans="1:3">
      <c r="A53" s="52" t="s">
        <v>30</v>
      </c>
      <c r="C53" s="1" t="s">
        <v>35</v>
      </c>
    </row>
    <row r="54" spans="1:3">
      <c r="A54" s="52"/>
      <c r="C54" s="3"/>
    </row>
  </sheetData>
  <phoneticPr fontId="8" type="noConversion"/>
  <printOptions horizontalCentered="1"/>
  <pageMargins left="0.7" right="0.7" top="0.75" bottom="0.75" header="0.3" footer="0.3"/>
  <pageSetup scale="80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19">
    <pageSetUpPr fitToPage="1"/>
  </sheetPr>
  <dimension ref="A1:U51"/>
  <sheetViews>
    <sheetView showOutlineSymbols="0" topLeftCell="A26" zoomScaleNormal="100" workbookViewId="0">
      <selection activeCell="C28" sqref="C28"/>
    </sheetView>
  </sheetViews>
  <sheetFormatPr baseColWidth="10" defaultColWidth="9.7109375" defaultRowHeight="15"/>
  <cols>
    <col min="1" max="1" width="9.7109375" style="1" customWidth="1"/>
    <col min="2" max="2" width="1.7109375" style="1" customWidth="1"/>
    <col min="3" max="3" width="9.7109375" style="1" customWidth="1"/>
    <col min="4" max="4" width="1.7109375" style="1" customWidth="1"/>
    <col min="5" max="5" width="9.7109375" style="1" customWidth="1"/>
    <col min="6" max="6" width="1.7109375" style="1" customWidth="1"/>
    <col min="7" max="7" width="9.7109375" style="1" customWidth="1"/>
    <col min="8" max="8" width="1.7109375" style="1" customWidth="1"/>
    <col min="9" max="9" width="9.7109375" style="1" customWidth="1"/>
    <col min="10" max="10" width="1.7109375" style="1" customWidth="1"/>
    <col min="11" max="11" width="9.7109375" style="1" customWidth="1"/>
    <col min="12" max="12" width="1.7109375" style="1" customWidth="1"/>
    <col min="13" max="13" width="9.7109375" style="1" customWidth="1"/>
    <col min="14" max="16384" width="9.7109375" style="1"/>
  </cols>
  <sheetData>
    <row r="1" spans="1:20">
      <c r="M1" s="64" t="s">
        <v>935</v>
      </c>
    </row>
    <row r="2" spans="1:20">
      <c r="M2" s="64" t="s">
        <v>56</v>
      </c>
    </row>
    <row r="3" spans="1:20">
      <c r="M3" s="3"/>
    </row>
    <row r="4" spans="1:20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20" ht="16">
      <c r="A5" s="4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20">
      <c r="A6" s="5" t="s">
        <v>207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20">
      <c r="A7" s="5" t="s">
        <v>397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20">
      <c r="A8" s="5"/>
      <c r="B8" s="5"/>
      <c r="C8" s="5"/>
      <c r="D8" s="5"/>
      <c r="E8" s="5"/>
      <c r="F8" s="5"/>
      <c r="G8" s="5"/>
      <c r="H8" s="5"/>
      <c r="I8" s="5"/>
      <c r="J8" s="5"/>
      <c r="K8" s="5"/>
    </row>
    <row r="11" spans="1:20">
      <c r="A11" s="6"/>
      <c r="B11" s="6"/>
      <c r="C11" s="6" t="s">
        <v>124</v>
      </c>
      <c r="D11" s="6"/>
      <c r="E11" s="6" t="s">
        <v>7</v>
      </c>
      <c r="F11" s="6"/>
      <c r="H11" s="6"/>
      <c r="J11" s="6"/>
    </row>
    <row r="12" spans="1:20">
      <c r="A12" s="6" t="s">
        <v>122</v>
      </c>
      <c r="B12" s="6"/>
      <c r="C12" s="6" t="s">
        <v>125</v>
      </c>
      <c r="D12" s="6"/>
      <c r="E12" s="6" t="s">
        <v>62</v>
      </c>
      <c r="F12" s="6"/>
      <c r="G12" s="6" t="s">
        <v>122</v>
      </c>
      <c r="H12" s="6"/>
      <c r="I12" s="7" t="s">
        <v>205</v>
      </c>
      <c r="J12" s="8"/>
      <c r="K12" s="8"/>
      <c r="L12" s="8"/>
      <c r="M12" s="8"/>
      <c r="S12" s="25" t="s">
        <v>122</v>
      </c>
      <c r="T12" s="61"/>
    </row>
    <row r="13" spans="1:20">
      <c r="A13" s="6" t="s">
        <v>123</v>
      </c>
      <c r="B13" s="6"/>
      <c r="C13" s="6" t="s">
        <v>67</v>
      </c>
      <c r="D13" s="6"/>
      <c r="E13" s="6" t="s">
        <v>12</v>
      </c>
      <c r="F13" s="6"/>
      <c r="G13" s="6" t="s">
        <v>123</v>
      </c>
      <c r="H13" s="6"/>
      <c r="I13" s="2" t="s">
        <v>5</v>
      </c>
      <c r="J13" s="6"/>
      <c r="K13" s="2" t="s">
        <v>204</v>
      </c>
      <c r="M13" s="2" t="s">
        <v>198</v>
      </c>
      <c r="S13" s="25" t="s">
        <v>123</v>
      </c>
      <c r="T13" s="61"/>
    </row>
    <row r="14" spans="1:20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  <c r="M14" s="118" t="s">
        <v>30</v>
      </c>
      <c r="S14" s="142" t="s">
        <v>38</v>
      </c>
      <c r="T14" s="61"/>
    </row>
    <row r="15" spans="1:20">
      <c r="C15" s="265">
        <v>1</v>
      </c>
      <c r="D15" s="252"/>
      <c r="E15" s="252">
        <v>1</v>
      </c>
      <c r="S15" s="61"/>
      <c r="T15" s="61"/>
    </row>
    <row r="16" spans="1:20">
      <c r="A16" s="6">
        <v>239</v>
      </c>
      <c r="C16" s="269">
        <f>'Exhibit R,S1'!C118</f>
        <v>1</v>
      </c>
      <c r="D16" s="267"/>
      <c r="E16" s="74">
        <f t="shared" ref="E16:E35" si="0">1/C16</f>
        <v>1</v>
      </c>
      <c r="G16" s="268">
        <v>240</v>
      </c>
      <c r="I16" s="74">
        <v>1</v>
      </c>
      <c r="K16" s="74">
        <v>0.99999999999999989</v>
      </c>
      <c r="M16" s="74">
        <v>0.99999999999999967</v>
      </c>
      <c r="S16" s="230">
        <v>240</v>
      </c>
      <c r="T16" s="61">
        <v>1</v>
      </c>
    </row>
    <row r="17" spans="1:20">
      <c r="A17" s="6">
        <v>227</v>
      </c>
      <c r="C17" s="269">
        <f>'Exhibit R,S1'!C119</f>
        <v>1</v>
      </c>
      <c r="D17" s="267"/>
      <c r="E17" s="74">
        <f t="shared" si="0"/>
        <v>1</v>
      </c>
      <c r="G17" s="268">
        <v>228</v>
      </c>
      <c r="I17" s="73">
        <f t="shared" ref="I17:I34" si="1">T17*((12-J$45)/12)+T18*((J$45)/12)</f>
        <v>1</v>
      </c>
      <c r="K17" s="74">
        <v>0.99999999999999989</v>
      </c>
      <c r="M17" s="74">
        <v>0.99999999999999967</v>
      </c>
      <c r="S17" s="230">
        <v>228</v>
      </c>
      <c r="T17" s="72">
        <f t="shared" ref="T17:T34" si="2">$E17*(11/12)+$E16*(1/12)</f>
        <v>1</v>
      </c>
    </row>
    <row r="18" spans="1:20">
      <c r="A18" s="6">
        <v>215</v>
      </c>
      <c r="C18" s="269">
        <f>'Exhibit R,S1'!C120</f>
        <v>1</v>
      </c>
      <c r="D18" s="267"/>
      <c r="E18" s="74">
        <f t="shared" si="0"/>
        <v>1</v>
      </c>
      <c r="G18" s="268">
        <v>216</v>
      </c>
      <c r="I18" s="73">
        <f t="shared" si="1"/>
        <v>1</v>
      </c>
      <c r="K18" s="74">
        <v>0.99999999999999989</v>
      </c>
      <c r="M18" s="74">
        <v>0.99999999999999967</v>
      </c>
      <c r="S18" s="230">
        <v>216</v>
      </c>
      <c r="T18" s="72">
        <f t="shared" si="2"/>
        <v>1</v>
      </c>
    </row>
    <row r="19" spans="1:20">
      <c r="A19" s="6">
        <v>203</v>
      </c>
      <c r="C19" s="269">
        <f>'Exhibit R,S1'!C121</f>
        <v>1</v>
      </c>
      <c r="D19" s="267"/>
      <c r="E19" s="74">
        <f t="shared" si="0"/>
        <v>1</v>
      </c>
      <c r="G19" s="268">
        <v>204</v>
      </c>
      <c r="I19" s="73">
        <f t="shared" si="1"/>
        <v>1</v>
      </c>
      <c r="K19" s="74">
        <v>0.99999999999999989</v>
      </c>
      <c r="M19" s="74">
        <v>0.99999999999999967</v>
      </c>
      <c r="S19" s="230">
        <v>204</v>
      </c>
      <c r="T19" s="72">
        <f t="shared" si="2"/>
        <v>1</v>
      </c>
    </row>
    <row r="20" spans="1:20">
      <c r="A20" s="6">
        <v>191</v>
      </c>
      <c r="C20" s="269">
        <f>'Exhibit R,S1'!C122</f>
        <v>1</v>
      </c>
      <c r="D20" s="267"/>
      <c r="E20" s="74">
        <f t="shared" si="0"/>
        <v>1</v>
      </c>
      <c r="G20" s="268">
        <v>192</v>
      </c>
      <c r="I20" s="73">
        <f t="shared" si="1"/>
        <v>1</v>
      </c>
      <c r="K20" s="74">
        <v>0.99999999999999989</v>
      </c>
      <c r="M20" s="74">
        <v>0.99999999999999967</v>
      </c>
      <c r="S20" s="230">
        <v>192</v>
      </c>
      <c r="T20" s="72">
        <f t="shared" si="2"/>
        <v>1</v>
      </c>
    </row>
    <row r="21" spans="1:20">
      <c r="A21" s="6">
        <v>179</v>
      </c>
      <c r="C21" s="269">
        <f>'Exhibit R,S1'!C123</f>
        <v>1</v>
      </c>
      <c r="D21" s="267"/>
      <c r="E21" s="74">
        <f t="shared" si="0"/>
        <v>1</v>
      </c>
      <c r="G21" s="268">
        <v>180</v>
      </c>
      <c r="I21" s="73">
        <f t="shared" si="1"/>
        <v>1</v>
      </c>
      <c r="K21" s="74">
        <v>0.99999999999999989</v>
      </c>
      <c r="M21" s="74">
        <v>0.99999999999999967</v>
      </c>
      <c r="S21" s="230">
        <v>180</v>
      </c>
      <c r="T21" s="72">
        <f t="shared" si="2"/>
        <v>1</v>
      </c>
    </row>
    <row r="22" spans="1:20">
      <c r="A22" s="6">
        <v>167</v>
      </c>
      <c r="C22" s="269">
        <f>'Exhibit R,S1'!C124</f>
        <v>1</v>
      </c>
      <c r="D22" s="267"/>
      <c r="E22" s="74">
        <f t="shared" si="0"/>
        <v>1</v>
      </c>
      <c r="G22" s="268">
        <v>168</v>
      </c>
      <c r="I22" s="73">
        <f t="shared" si="1"/>
        <v>1</v>
      </c>
      <c r="K22" s="74">
        <v>0.99999999999999989</v>
      </c>
      <c r="M22" s="270">
        <f>'Exhibit Q,9'!C$33*$I22+'Exhibit Q,9'!E$33*$I23+'Exhibit Q,9'!G$33*$I24+'Exhibit Q,9'!I$33*$I25+'Exhibit Q,9'!K$33*$I26+'Exhibit Q,9'!M$33*$I27</f>
        <v>1</v>
      </c>
      <c r="S22" s="230">
        <v>168</v>
      </c>
      <c r="T22" s="72">
        <f t="shared" si="2"/>
        <v>1</v>
      </c>
    </row>
    <row r="23" spans="1:20">
      <c r="A23" s="6">
        <v>155</v>
      </c>
      <c r="C23" s="269">
        <f>'Exhibit R,S1'!C125</f>
        <v>1</v>
      </c>
      <c r="D23" s="267"/>
      <c r="E23" s="74">
        <f t="shared" si="0"/>
        <v>1</v>
      </c>
      <c r="G23" s="268">
        <v>156</v>
      </c>
      <c r="I23" s="73">
        <f t="shared" si="1"/>
        <v>1</v>
      </c>
      <c r="K23" s="74">
        <v>0.99999999999999989</v>
      </c>
      <c r="M23" s="270">
        <f>'Exhibit Q,9'!C$33*$I23+'Exhibit Q,9'!E$33*$I24+'Exhibit Q,9'!G$33*$I25+'Exhibit Q,9'!I$33*$I26+'Exhibit Q,9'!K$33*$I27+'Exhibit Q,9'!M$33*$I28</f>
        <v>0.99998526470408167</v>
      </c>
      <c r="S23" s="230">
        <v>156</v>
      </c>
      <c r="T23" s="72">
        <f t="shared" si="2"/>
        <v>1</v>
      </c>
    </row>
    <row r="24" spans="1:20">
      <c r="A24" s="6">
        <v>143</v>
      </c>
      <c r="C24" s="269">
        <f>'Exhibit R,S1'!C126</f>
        <v>1</v>
      </c>
      <c r="D24" s="267"/>
      <c r="E24" s="74">
        <f t="shared" si="0"/>
        <v>1</v>
      </c>
      <c r="G24" s="268">
        <v>144</v>
      </c>
      <c r="I24" s="73">
        <f t="shared" si="1"/>
        <v>1</v>
      </c>
      <c r="K24" s="270">
        <f>'Exhibit Q,9'!C$31*$I24+'Exhibit Q,9'!E$31*$I25+'Exhibit Q,9'!G$31*$I26+'Exhibit Q,9'!I$31*$I27+'Exhibit Q,9'!K$31*$I28+'Exhibit Q,9'!M$31*$I29</f>
        <v>0.99970001080822446</v>
      </c>
      <c r="M24" s="270">
        <f>'Exhibit Q,9'!C$33*$I24+'Exhibit Q,9'!E$33*$I25+'Exhibit Q,9'!G$33*$I26+'Exhibit Q,9'!I$33*$I27+'Exhibit Q,9'!K$33*$I28+'Exhibit Q,9'!M$33*$I29</f>
        <v>0.99987145993951065</v>
      </c>
      <c r="S24" s="230">
        <v>144</v>
      </c>
      <c r="T24" s="72">
        <f t="shared" si="2"/>
        <v>1</v>
      </c>
    </row>
    <row r="25" spans="1:20">
      <c r="A25" s="6">
        <v>131</v>
      </c>
      <c r="C25" s="269">
        <f>'Exhibit R,S1'!C127</f>
        <v>1</v>
      </c>
      <c r="D25" s="267"/>
      <c r="E25" s="74">
        <f t="shared" si="0"/>
        <v>1</v>
      </c>
      <c r="G25" s="268">
        <v>132</v>
      </c>
      <c r="I25" s="73">
        <f t="shared" si="1"/>
        <v>1</v>
      </c>
      <c r="K25" s="270">
        <f>'Exhibit Q,9'!C$31*$I25+'Exhibit Q,9'!E$31*$I26+'Exhibit Q,9'!G$31*$I27+'Exhibit Q,9'!I$31*$I28+'Exhibit Q,9'!K$31*$I29+'Exhibit Q,9'!M$31*$I30</f>
        <v>0.99888376911298637</v>
      </c>
      <c r="M25" s="270">
        <f>'Exhibit Q,9'!C$33*$I25+'Exhibit Q,9'!E$33*$I26+'Exhibit Q,9'!G$33*$I27+'Exhibit Q,9'!I$33*$I28+'Exhibit Q,9'!K$33*$I29+'Exhibit Q,9'!M$33*$I30</f>
        <v>0.99940491891563354</v>
      </c>
      <c r="S25" s="230">
        <v>132</v>
      </c>
      <c r="T25" s="72">
        <f t="shared" si="2"/>
        <v>1</v>
      </c>
    </row>
    <row r="26" spans="1:20">
      <c r="A26" s="6">
        <v>119</v>
      </c>
      <c r="C26" s="269">
        <f>'Exhibit R,S1'!C128</f>
        <v>1</v>
      </c>
      <c r="D26" s="267"/>
      <c r="E26" s="74">
        <f t="shared" si="0"/>
        <v>1</v>
      </c>
      <c r="G26" s="268">
        <v>120</v>
      </c>
      <c r="I26" s="73">
        <f t="shared" si="1"/>
        <v>1</v>
      </c>
      <c r="K26" s="270">
        <f>'Exhibit Q,9'!C$31*$I26+'Exhibit Q,9'!E$31*$I27+'Exhibit Q,9'!G$31*$I28+'Exhibit Q,9'!I$31*$I29+'Exhibit Q,9'!K$31*$I30+'Exhibit Q,9'!M$31*$I31</f>
        <v>0.99573051740711982</v>
      </c>
      <c r="M26" s="270">
        <f>'Exhibit Q,9'!C$33*$I26+'Exhibit Q,9'!E$33*$I27+'Exhibit Q,9'!G$33*$I28+'Exhibit Q,9'!I$33*$I29+'Exhibit Q,9'!K$33*$I30+'Exhibit Q,9'!M$33*$I31</f>
        <v>0.99763280339772176</v>
      </c>
      <c r="S26" s="230">
        <v>120</v>
      </c>
      <c r="T26" s="72">
        <f t="shared" si="2"/>
        <v>1</v>
      </c>
    </row>
    <row r="27" spans="1:20" ht="16">
      <c r="A27" s="6">
        <v>107</v>
      </c>
      <c r="B27" s="271"/>
      <c r="C27" s="269">
        <f>'Exhibit R,S1'!C129</f>
        <v>1</v>
      </c>
      <c r="E27" s="74">
        <f t="shared" si="0"/>
        <v>1</v>
      </c>
      <c r="G27" s="268">
        <v>108</v>
      </c>
      <c r="I27" s="73">
        <f t="shared" si="1"/>
        <v>1</v>
      </c>
      <c r="K27" s="270">
        <f>'Exhibit Q,9'!C$31*$I27+'Exhibit Q,9'!E$31*$I28+'Exhibit Q,9'!G$31*$I29+'Exhibit Q,9'!I$31*$I30+'Exhibit Q,9'!K$31*$I31+'Exhibit Q,9'!M$31*$I32</f>
        <v>0.98633438596944767</v>
      </c>
      <c r="M27" s="270">
        <f>'Exhibit Q,9'!C$33*$I27+'Exhibit Q,9'!E$33*$I28+'Exhibit Q,9'!G$33*$I29+'Exhibit Q,9'!I$33*$I30+'Exhibit Q,9'!K$33*$I31+'Exhibit Q,9'!M$33*$I32</f>
        <v>0.99173899689641876</v>
      </c>
      <c r="S27" s="230">
        <v>108</v>
      </c>
      <c r="T27" s="72">
        <f t="shared" si="2"/>
        <v>1</v>
      </c>
    </row>
    <row r="28" spans="1:20" ht="16">
      <c r="A28" s="6">
        <v>95</v>
      </c>
      <c r="B28" s="271"/>
      <c r="C28" s="269">
        <f>'Exhibit R,S1'!C130</f>
        <v>1</v>
      </c>
      <c r="E28" s="74">
        <f t="shared" si="0"/>
        <v>1</v>
      </c>
      <c r="G28" s="268">
        <v>96</v>
      </c>
      <c r="I28" s="73">
        <f t="shared" si="1"/>
        <v>0.99773102310231021</v>
      </c>
      <c r="K28" s="270">
        <f>'Exhibit Q,9'!C$31*$I28+'Exhibit Q,9'!E$31*$I29+'Exhibit Q,9'!G$31*$I30+'Exhibit Q,9'!I$31*$I31+'Exhibit Q,9'!K$31*$I32+'Exhibit Q,9'!M$31*$I33</f>
        <v>0.96560050468394742</v>
      </c>
      <c r="M28" s="270">
        <f>'Exhibit Q,9'!C$33*$I28+'Exhibit Q,9'!E$33*$I29+'Exhibit Q,9'!G$33*$I30+'Exhibit Q,9'!I$33*$I31+'Exhibit Q,9'!K$33*$I32+'Exhibit Q,9'!M$33*$I33</f>
        <v>0.97671075180072187</v>
      </c>
      <c r="S28" s="230">
        <v>96</v>
      </c>
      <c r="T28" s="72">
        <f t="shared" si="2"/>
        <v>1</v>
      </c>
    </row>
    <row r="29" spans="1:20" ht="16">
      <c r="A29" s="6">
        <v>83</v>
      </c>
      <c r="B29" s="271"/>
      <c r="C29" s="269">
        <f>'Exhibit R,S1'!C131</f>
        <v>1.01</v>
      </c>
      <c r="E29" s="74">
        <f t="shared" si="0"/>
        <v>0.99009900990099009</v>
      </c>
      <c r="G29" s="268">
        <v>84</v>
      </c>
      <c r="I29" s="73">
        <f t="shared" si="1"/>
        <v>0.98692503837404399</v>
      </c>
      <c r="K29" s="270">
        <f>'Exhibit Q,9'!C$31*$I29+'Exhibit Q,9'!E$31*$I30+'Exhibit Q,9'!G$31*$I31+'Exhibit Q,9'!I$31*$I32+'Exhibit Q,9'!K$31*$I33+'Exhibit Q,9'!M$31*$I34</f>
        <v>0.92425274542575031</v>
      </c>
      <c r="M29" s="270">
        <f>'Exhibit Q,9'!C$33*$I29+'Exhibit Q,9'!E$33*$I30+'Exhibit Q,9'!G$33*$I31+'Exhibit Q,9'!I$33*$I32+'Exhibit Q,9'!K$33*$I33+'Exhibit Q,9'!M$33*$I34</f>
        <v>0.945617657467127</v>
      </c>
      <c r="S29" s="230">
        <v>84</v>
      </c>
      <c r="T29" s="72">
        <f t="shared" si="2"/>
        <v>0.99092409240924095</v>
      </c>
    </row>
    <row r="30" spans="1:20" ht="16">
      <c r="A30" s="6">
        <v>71</v>
      </c>
      <c r="B30" s="271"/>
      <c r="C30" s="269">
        <f>'Exhibit R,S1'!C132</f>
        <v>1.0271699999999999</v>
      </c>
      <c r="E30" s="74">
        <f t="shared" si="0"/>
        <v>0.97354868230185854</v>
      </c>
      <c r="G30" s="268">
        <v>72</v>
      </c>
      <c r="I30" s="73">
        <f t="shared" si="1"/>
        <v>0.96600211983984874</v>
      </c>
      <c r="K30" s="270">
        <f>'Exhibit Q,9'!C$31*$I30+'Exhibit Q,9'!E$31*$I31+'Exhibit Q,9'!G$31*$I32+'Exhibit Q,9'!I$31*$I33+'Exhibit Q,9'!K$31*$I34+'Exhibit Q,9'!M$31*$I35</f>
        <v>0.84979646448736712</v>
      </c>
      <c r="M30" s="270">
        <f>'Exhibit Q,9'!C$33*$I30+'Exhibit Q,9'!E$33*$I31+'Exhibit Q,9'!G$33*$I32+'Exhibit Q,9'!I$33*$I33+'Exhibit Q,9'!K$33*$I34+'Exhibit Q,9'!M$33*$I35</f>
        <v>0.88697692490536217</v>
      </c>
      <c r="S30" s="230">
        <v>72</v>
      </c>
      <c r="T30" s="72">
        <f t="shared" si="2"/>
        <v>0.97492787626845279</v>
      </c>
    </row>
    <row r="31" spans="1:20" ht="16">
      <c r="A31" s="6">
        <v>59</v>
      </c>
      <c r="B31" s="271"/>
      <c r="C31" s="269">
        <f>'Exhibit R,S1'!C133</f>
        <v>1.0682567999999999</v>
      </c>
      <c r="E31" s="74">
        <f t="shared" si="0"/>
        <v>0.93610450221332553</v>
      </c>
      <c r="G31" s="268">
        <v>60</v>
      </c>
      <c r="I31" s="73">
        <f t="shared" si="1"/>
        <v>0.92441048646916535</v>
      </c>
      <c r="K31" s="270">
        <f>'Exhibit Q,9'!C$31*$I31+'Exhibit Q,9'!E$31*$I32+'Exhibit Q,9'!G$31*$I33+'Exhibit Q,9'!I$31*$I34+'Exhibit Q,9'!K$31*$I35+'Exhibit Q,9'!M$31*$I36</f>
        <v>0.71061196953439254</v>
      </c>
      <c r="M31" s="270">
        <f>'Exhibit Q,9'!C$33*$I31+'Exhibit Q,9'!E$33*$I32+'Exhibit Q,9'!G$33*$I33+'Exhibit Q,9'!I$33*$I34+'Exhibit Q,9'!K$33*$I35+'Exhibit Q,9'!M$33*$I36</f>
        <v>0.77881912217442961</v>
      </c>
      <c r="S31" s="230">
        <v>60</v>
      </c>
      <c r="T31" s="72">
        <f t="shared" si="2"/>
        <v>0.93922485055403659</v>
      </c>
    </row>
    <row r="32" spans="1:20" ht="16">
      <c r="A32" s="6">
        <v>47</v>
      </c>
      <c r="B32" s="271"/>
      <c r="C32" s="269">
        <f>'Exhibit R,S1'!C134</f>
        <v>1.1430347759999999</v>
      </c>
      <c r="E32" s="74">
        <f t="shared" si="0"/>
        <v>0.87486402076011738</v>
      </c>
      <c r="G32" s="268">
        <v>48</v>
      </c>
      <c r="I32" s="73">
        <f t="shared" si="1"/>
        <v>0.8452766056135772</v>
      </c>
      <c r="K32" s="270">
        <f>'Exhibit Q,9'!C$31*$I32+'Exhibit Q,9'!E$31*$I33+'Exhibit Q,9'!G$31*$I34+'Exhibit Q,9'!I$31*$I35+'Exhibit Q,9'!K$31*$I36+'Exhibit Q,9'!M$31*$I37</f>
        <v>0.50085952168583414</v>
      </c>
      <c r="M32" s="270">
        <f>'Exhibit Q,9'!C$33*$I32+'Exhibit Q,9'!E$33*$I33+'Exhibit Q,9'!G$33*$I34+'Exhibit Q,9'!I$33*$I35+'Exhibit Q,9'!K$33*$I36+'Exhibit Q,9'!M$33*$I37</f>
        <v>0.59601334907229286</v>
      </c>
      <c r="S32" s="230">
        <v>48</v>
      </c>
      <c r="T32" s="72">
        <f t="shared" si="2"/>
        <v>0.87996739421455128</v>
      </c>
    </row>
    <row r="33" spans="1:21" ht="16">
      <c r="A33" s="6">
        <v>35</v>
      </c>
      <c r="B33" s="271"/>
      <c r="C33" s="269">
        <f>'Exhibit R,S1'!C135</f>
        <v>1.3716417311999998</v>
      </c>
      <c r="E33" s="74">
        <f t="shared" si="0"/>
        <v>0.72905335063343124</v>
      </c>
      <c r="G33" s="268">
        <v>36</v>
      </c>
      <c r="I33" s="73">
        <f t="shared" si="1"/>
        <v>0.66263958650038568</v>
      </c>
      <c r="K33" s="270">
        <f>'Exhibit Q,9'!C$31*$I33+'Exhibit Q,9'!E$31*$I34+'Exhibit Q,9'!G$31*$I35+'Exhibit Q,9'!I$31*$I36+'Exhibit Q,9'!K$31*$I37+'Exhibit Q,9'!M$31*$I38</f>
        <v>0.28283117215824882</v>
      </c>
      <c r="M33" s="270">
        <f>'Exhibit Q,9'!C$33*$I33+'Exhibit Q,9'!E$33*$I34+'Exhibit Q,9'!G$33*$I35+'Exhibit Q,9'!I$33*$I36+'Exhibit Q,9'!K$33*$I37+'Exhibit Q,9'!M$33*$I38</f>
        <v>0.35924205017075062</v>
      </c>
      <c r="S33" s="230">
        <v>36</v>
      </c>
      <c r="T33" s="72">
        <f t="shared" si="2"/>
        <v>0.74120423981065497</v>
      </c>
    </row>
    <row r="34" spans="1:21" ht="16">
      <c r="A34" s="6">
        <v>23</v>
      </c>
      <c r="B34" s="271"/>
      <c r="C34" s="269">
        <f>'Exhibit R,S1'!C136</f>
        <v>2.5032461594399997</v>
      </c>
      <c r="E34" s="74">
        <f t="shared" si="0"/>
        <v>0.39948128801831845</v>
      </c>
      <c r="G34" s="268">
        <v>24</v>
      </c>
      <c r="I34" s="73">
        <f t="shared" si="1"/>
        <v>0.36582209102601632</v>
      </c>
      <c r="K34" s="270">
        <f>'Exhibit Q,9'!C$31*$I34+'Exhibit Q,9'!E$31*$I35+'Exhibit Q,9'!G$31*$I36+'Exhibit Q,9'!I$31*$I37+'Exhibit Q,9'!K$31*$I38+'Exhibit Q,9'!M$31*$I39</f>
        <v>0.10899607353648681</v>
      </c>
      <c r="M34" s="270">
        <f>'Exhibit Q,9'!C$33*$I34+'Exhibit Q,9'!E$33*$I35+'Exhibit Q,9'!G$33*$I36+'Exhibit Q,9'!I$33*$I37+'Exhibit Q,9'!K$33*$I38+'Exhibit Q,9'!M$33*$I39</f>
        <v>0.15142352937362319</v>
      </c>
      <c r="S34" s="230">
        <v>24</v>
      </c>
      <c r="T34" s="72">
        <f t="shared" si="2"/>
        <v>0.42694562656957785</v>
      </c>
    </row>
    <row r="35" spans="1:21" ht="16">
      <c r="A35" s="6">
        <v>11</v>
      </c>
      <c r="B35" s="271"/>
      <c r="C35" s="269">
        <f>'Exhibit R,S1'!C137</f>
        <v>6.1454693214251996</v>
      </c>
      <c r="E35" s="74">
        <f t="shared" si="0"/>
        <v>0.16272150224778753</v>
      </c>
      <c r="G35" s="268">
        <v>12</v>
      </c>
      <c r="I35" s="73">
        <f>MIN(T35*((12-J$45)/12)+T36*((J$45)/12),(9/11)*E35)</f>
        <v>0.13313577456637163</v>
      </c>
      <c r="K35" s="270">
        <f>'Exhibit Q,9'!C$31*$I35+'Exhibit Q,9'!E$31*$I36+'Exhibit Q,9'!G$31*$I37+'Exhibit Q,9'!I$31*$I38+'Exhibit Q,9'!K$31*$I39+'Exhibit Q,9'!M$31*$I40</f>
        <v>2.9083170495257857E-2</v>
      </c>
      <c r="M35" s="270">
        <f>'Exhibit Q,9'!C$33*$I35+'Exhibit Q,9'!E$33*$I36+'Exhibit Q,9'!G$33*$I37+'Exhibit Q,9'!I$33*$I38+'Exhibit Q,9'!K$33*$I39+'Exhibit Q,9'!M$33*$I40</f>
        <v>3.3820808160791235E-2</v>
      </c>
      <c r="S35" s="230">
        <v>12</v>
      </c>
      <c r="T35" s="72">
        <f>$E35*(11/12)+$E34*(1/12)</f>
        <v>0.18245148439533176</v>
      </c>
      <c r="U35" s="73"/>
    </row>
    <row r="36" spans="1:21">
      <c r="I36" s="73"/>
      <c r="S36" s="61"/>
      <c r="T36" s="61"/>
    </row>
    <row r="41" spans="1:21">
      <c r="A41" s="64" t="s">
        <v>141</v>
      </c>
      <c r="C41" s="3" t="s">
        <v>210</v>
      </c>
    </row>
    <row r="42" spans="1:21">
      <c r="A42" s="264">
        <v>-2</v>
      </c>
      <c r="C42" s="3" t="s">
        <v>940</v>
      </c>
    </row>
    <row r="43" spans="1:21">
      <c r="A43" s="264">
        <v>-3</v>
      </c>
      <c r="C43" s="3" t="s">
        <v>211</v>
      </c>
    </row>
    <row r="44" spans="1:21">
      <c r="A44" s="264">
        <v>-4</v>
      </c>
      <c r="C44" s="3" t="s">
        <v>212</v>
      </c>
    </row>
    <row r="45" spans="1:21">
      <c r="A45" s="264">
        <v>-5</v>
      </c>
      <c r="C45" s="3" t="s">
        <v>558</v>
      </c>
      <c r="J45" s="1">
        <v>3</v>
      </c>
      <c r="K45" s="1" t="s">
        <v>559</v>
      </c>
    </row>
    <row r="46" spans="1:21">
      <c r="A46" s="264">
        <v>-6</v>
      </c>
      <c r="C46" s="3" t="s">
        <v>1537</v>
      </c>
    </row>
    <row r="47" spans="1:21">
      <c r="A47" s="264">
        <v>-7</v>
      </c>
      <c r="C47" s="3" t="s">
        <v>1547</v>
      </c>
    </row>
    <row r="48" spans="1:21">
      <c r="C48" s="3" t="s">
        <v>1538</v>
      </c>
    </row>
    <row r="51" spans="1:7">
      <c r="A51" s="264"/>
      <c r="G51" s="20">
        <f>'Summary Exhibit 1'!G35</f>
        <v>0</v>
      </c>
    </row>
  </sheetData>
  <phoneticPr fontId="8" type="noConversion"/>
  <printOptions horizontalCentered="1"/>
  <pageMargins left="0.7" right="0.7" top="0.75" bottom="0.75" header="0.3" footer="0.3"/>
  <pageSetup scale="91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6">
    <pageSetUpPr fitToPage="1"/>
  </sheetPr>
  <dimension ref="A1:T48"/>
  <sheetViews>
    <sheetView zoomScaleNormal="100" workbookViewId="0">
      <selection activeCell="C22" sqref="C22"/>
    </sheetView>
  </sheetViews>
  <sheetFormatPr baseColWidth="10" defaultColWidth="8.7109375" defaultRowHeight="15"/>
  <cols>
    <col min="1" max="1" width="9.7109375" style="1" customWidth="1"/>
    <col min="2" max="2" width="1.7109375" style="1" customWidth="1"/>
    <col min="3" max="3" width="9.7109375" style="1" customWidth="1"/>
    <col min="4" max="4" width="1.7109375" style="1" customWidth="1"/>
    <col min="5" max="5" width="9.7109375" style="1" customWidth="1"/>
    <col min="6" max="6" width="1.7109375" style="1" customWidth="1"/>
    <col min="7" max="7" width="9.7109375" style="1" customWidth="1"/>
    <col min="8" max="8" width="1.7109375" style="1" customWidth="1"/>
    <col min="9" max="9" width="9.7109375" style="1" customWidth="1"/>
    <col min="10" max="10" width="1.7109375" style="1" customWidth="1"/>
    <col min="11" max="11" width="9.7109375" style="1" customWidth="1"/>
    <col min="12" max="12" width="1.7109375" style="1" customWidth="1"/>
    <col min="13" max="13" width="9.7109375" style="1" customWidth="1"/>
    <col min="14" max="16384" width="8.7109375" style="1"/>
  </cols>
  <sheetData>
    <row r="1" spans="1:20">
      <c r="M1" s="64" t="s">
        <v>935</v>
      </c>
    </row>
    <row r="2" spans="1:20">
      <c r="M2" s="64" t="s">
        <v>45</v>
      </c>
    </row>
    <row r="4" spans="1:20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20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20">
      <c r="A6" s="5" t="s">
        <v>207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20">
      <c r="A7" s="5" t="s">
        <v>398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20">
      <c r="A8" s="5"/>
      <c r="B8" s="5"/>
      <c r="C8" s="5"/>
      <c r="D8" s="5"/>
      <c r="E8" s="5"/>
      <c r="F8" s="5"/>
      <c r="G8" s="5"/>
      <c r="H8" s="5"/>
      <c r="I8" s="5"/>
      <c r="J8" s="5"/>
      <c r="K8" s="5"/>
    </row>
    <row r="11" spans="1:20">
      <c r="A11" s="6"/>
      <c r="B11" s="6"/>
      <c r="C11" s="6" t="s">
        <v>124</v>
      </c>
      <c r="D11" s="6"/>
      <c r="E11" s="6" t="s">
        <v>7</v>
      </c>
      <c r="F11" s="6"/>
      <c r="H11" s="6"/>
      <c r="J11" s="6"/>
    </row>
    <row r="12" spans="1:20">
      <c r="A12" s="6" t="s">
        <v>122</v>
      </c>
      <c r="B12" s="6"/>
      <c r="C12" s="6" t="s">
        <v>125</v>
      </c>
      <c r="D12" s="6"/>
      <c r="E12" s="6" t="s">
        <v>62</v>
      </c>
      <c r="F12" s="6"/>
      <c r="G12" s="6" t="s">
        <v>122</v>
      </c>
      <c r="H12" s="6"/>
      <c r="I12" s="7" t="s">
        <v>205</v>
      </c>
      <c r="J12" s="8"/>
      <c r="K12" s="8"/>
      <c r="L12" s="8"/>
      <c r="M12" s="8"/>
      <c r="S12" s="25" t="s">
        <v>122</v>
      </c>
      <c r="T12" s="61"/>
    </row>
    <row r="13" spans="1:20">
      <c r="A13" s="6" t="s">
        <v>123</v>
      </c>
      <c r="B13" s="6"/>
      <c r="C13" s="6" t="s">
        <v>67</v>
      </c>
      <c r="D13" s="6"/>
      <c r="E13" s="6" t="s">
        <v>12</v>
      </c>
      <c r="F13" s="6"/>
      <c r="G13" s="6" t="s">
        <v>123</v>
      </c>
      <c r="H13" s="6"/>
      <c r="I13" s="2" t="s">
        <v>5</v>
      </c>
      <c r="J13" s="6"/>
      <c r="K13" s="2" t="s">
        <v>204</v>
      </c>
      <c r="M13" s="2" t="s">
        <v>198</v>
      </c>
      <c r="S13" s="25" t="s">
        <v>123</v>
      </c>
      <c r="T13" s="61"/>
    </row>
    <row r="14" spans="1:20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  <c r="M14" s="118" t="s">
        <v>30</v>
      </c>
      <c r="S14" s="142" t="s">
        <v>38</v>
      </c>
      <c r="T14" s="61"/>
    </row>
    <row r="15" spans="1:20">
      <c r="C15" s="265">
        <v>1</v>
      </c>
      <c r="D15" s="252"/>
      <c r="E15" s="252">
        <v>1</v>
      </c>
      <c r="S15" s="61"/>
      <c r="T15" s="61"/>
    </row>
    <row r="16" spans="1:20">
      <c r="A16" s="6">
        <v>239</v>
      </c>
      <c r="C16" s="266">
        <v>1</v>
      </c>
      <c r="D16" s="267"/>
      <c r="E16" s="74">
        <f>1/C16</f>
        <v>1</v>
      </c>
      <c r="G16" s="268">
        <v>240</v>
      </c>
      <c r="I16" s="73">
        <f t="shared" ref="I16:I34" si="0">T16*((12-J$45)/12)+T17*((J$45)/12)</f>
        <v>1</v>
      </c>
      <c r="K16" s="74">
        <v>0.99999999999999989</v>
      </c>
      <c r="M16" s="74">
        <v>1</v>
      </c>
      <c r="S16" s="230">
        <v>240</v>
      </c>
      <c r="T16" s="72">
        <f t="shared" ref="T16:T34" si="1">$E16*(11/12)+$E15*(1/12)</f>
        <v>1</v>
      </c>
    </row>
    <row r="17" spans="1:20">
      <c r="A17" s="6">
        <v>227</v>
      </c>
      <c r="C17" s="266">
        <v>1</v>
      </c>
      <c r="D17" s="267"/>
      <c r="E17" s="74">
        <f t="shared" ref="E17:E35" si="2">1/C17</f>
        <v>1</v>
      </c>
      <c r="G17" s="268">
        <v>228</v>
      </c>
      <c r="I17" s="73">
        <f t="shared" si="0"/>
        <v>1</v>
      </c>
      <c r="K17" s="74">
        <v>0.99999999999999989</v>
      </c>
      <c r="M17" s="74">
        <v>1</v>
      </c>
      <c r="S17" s="230">
        <v>228</v>
      </c>
      <c r="T17" s="72">
        <f t="shared" si="1"/>
        <v>1</v>
      </c>
    </row>
    <row r="18" spans="1:20">
      <c r="A18" s="6">
        <v>215</v>
      </c>
      <c r="C18" s="266">
        <v>1</v>
      </c>
      <c r="D18" s="267"/>
      <c r="E18" s="74">
        <f t="shared" si="2"/>
        <v>1</v>
      </c>
      <c r="G18" s="268">
        <v>216</v>
      </c>
      <c r="I18" s="73">
        <f t="shared" si="0"/>
        <v>1</v>
      </c>
      <c r="K18" s="74">
        <v>0.99999999999999989</v>
      </c>
      <c r="M18" s="74">
        <v>1</v>
      </c>
      <c r="S18" s="230">
        <v>216</v>
      </c>
      <c r="T18" s="72">
        <f t="shared" si="1"/>
        <v>1</v>
      </c>
    </row>
    <row r="19" spans="1:20">
      <c r="A19" s="6">
        <v>203</v>
      </c>
      <c r="C19" s="266">
        <v>1</v>
      </c>
      <c r="D19" s="267"/>
      <c r="E19" s="74">
        <f t="shared" si="2"/>
        <v>1</v>
      </c>
      <c r="G19" s="268">
        <v>204</v>
      </c>
      <c r="I19" s="73">
        <f t="shared" si="0"/>
        <v>1</v>
      </c>
      <c r="K19" s="74">
        <v>0.99999999999999989</v>
      </c>
      <c r="M19" s="74">
        <v>1</v>
      </c>
      <c r="S19" s="230">
        <v>204</v>
      </c>
      <c r="T19" s="72">
        <f t="shared" si="1"/>
        <v>1</v>
      </c>
    </row>
    <row r="20" spans="1:20">
      <c r="A20" s="6">
        <v>191</v>
      </c>
      <c r="C20" s="266">
        <v>1</v>
      </c>
      <c r="D20" s="267"/>
      <c r="E20" s="74">
        <f t="shared" si="2"/>
        <v>1</v>
      </c>
      <c r="G20" s="268">
        <v>192</v>
      </c>
      <c r="I20" s="73">
        <f t="shared" si="0"/>
        <v>1</v>
      </c>
      <c r="K20" s="74">
        <v>0.99999999999999989</v>
      </c>
      <c r="M20" s="270">
        <f>'Exhibit Q,10'!C$32*$I20+'Exhibit Q,10'!E$32*$I21+'Exhibit Q,10'!G$32*$I22+'Exhibit Q,10'!I$32*$I23+'Exhibit Q,10'!K$32*$I24+'Exhibit Q,10'!M$32*$I25</f>
        <v>0.99999999999999989</v>
      </c>
      <c r="S20" s="230">
        <v>192</v>
      </c>
      <c r="T20" s="72">
        <f t="shared" si="1"/>
        <v>1</v>
      </c>
    </row>
    <row r="21" spans="1:20">
      <c r="A21" s="6">
        <v>179</v>
      </c>
      <c r="C21" s="266">
        <v>1</v>
      </c>
      <c r="D21" s="267"/>
      <c r="E21" s="74">
        <f t="shared" si="2"/>
        <v>1</v>
      </c>
      <c r="G21" s="268">
        <v>180</v>
      </c>
      <c r="I21" s="73">
        <f t="shared" si="0"/>
        <v>1</v>
      </c>
      <c r="K21" s="270">
        <f>'Exhibit Q,10'!C$31*$I21+'Exhibit Q,10'!E$31*$I22+'Exhibit Q,10'!G$31*$I23+'Exhibit Q,10'!I$31*$I24+'Exhibit Q,10'!K$31*$I25+'Exhibit Q,10'!M$31*$I26</f>
        <v>1</v>
      </c>
      <c r="M21" s="270">
        <f>'Exhibit Q,10'!C$32*$I21+'Exhibit Q,10'!E$32*$I22+'Exhibit Q,10'!G$32*$I23+'Exhibit Q,10'!I$32*$I24+'Exhibit Q,10'!K$32*$I25+'Exhibit Q,10'!M$32*$I26</f>
        <v>0.99999999999999989</v>
      </c>
      <c r="S21" s="230">
        <v>180</v>
      </c>
      <c r="T21" s="72">
        <f t="shared" si="1"/>
        <v>1</v>
      </c>
    </row>
    <row r="22" spans="1:20">
      <c r="A22" s="6">
        <v>167</v>
      </c>
      <c r="C22" s="266">
        <v>1</v>
      </c>
      <c r="D22" s="267"/>
      <c r="E22" s="74">
        <f t="shared" si="2"/>
        <v>1</v>
      </c>
      <c r="G22" s="268">
        <v>168</v>
      </c>
      <c r="I22" s="73">
        <f t="shared" si="0"/>
        <v>1</v>
      </c>
      <c r="K22" s="270">
        <f>'Exhibit Q,10'!C$31*$I22+'Exhibit Q,10'!E$31*$I23+'Exhibit Q,10'!G$31*$I24+'Exhibit Q,10'!I$31*$I25+'Exhibit Q,10'!K$31*$I26+'Exhibit Q,10'!M$31*$I27</f>
        <v>1</v>
      </c>
      <c r="M22" s="270">
        <f>'Exhibit Q,10'!C$32*$I22+'Exhibit Q,10'!E$32*$I23+'Exhibit Q,10'!G$32*$I24+'Exhibit Q,10'!I$32*$I25+'Exhibit Q,10'!K$32*$I26+'Exhibit Q,10'!M$32*$I27</f>
        <v>0.99999999999999989</v>
      </c>
      <c r="S22" s="230">
        <v>168</v>
      </c>
      <c r="T22" s="72">
        <f t="shared" si="1"/>
        <v>1</v>
      </c>
    </row>
    <row r="23" spans="1:20">
      <c r="A23" s="6">
        <v>155</v>
      </c>
      <c r="C23" s="266">
        <v>1</v>
      </c>
      <c r="D23" s="267"/>
      <c r="E23" s="74">
        <f t="shared" si="2"/>
        <v>1</v>
      </c>
      <c r="G23" s="268">
        <v>156</v>
      </c>
      <c r="I23" s="73">
        <f t="shared" si="0"/>
        <v>1</v>
      </c>
      <c r="K23" s="270">
        <f>'Exhibit Q,10'!C$31*$I23+'Exhibit Q,10'!E$31*$I24+'Exhibit Q,10'!G$31*$I25+'Exhibit Q,10'!I$31*$I26+'Exhibit Q,10'!K$31*$I27+'Exhibit Q,10'!M$31*$I28</f>
        <v>1</v>
      </c>
      <c r="M23" s="270">
        <f>'Exhibit Q,10'!C$32*$I23+'Exhibit Q,10'!E$32*$I24+'Exhibit Q,10'!G$32*$I25+'Exhibit Q,10'!I$32*$I26+'Exhibit Q,10'!K$32*$I27+'Exhibit Q,10'!M$32*$I28</f>
        <v>0.99999999999999989</v>
      </c>
      <c r="S23" s="230">
        <v>156</v>
      </c>
      <c r="T23" s="72">
        <f t="shared" si="1"/>
        <v>1</v>
      </c>
    </row>
    <row r="24" spans="1:20">
      <c r="A24" s="6">
        <v>143</v>
      </c>
      <c r="C24" s="266">
        <v>1</v>
      </c>
      <c r="D24" s="267"/>
      <c r="E24" s="74">
        <f t="shared" si="2"/>
        <v>1</v>
      </c>
      <c r="G24" s="268">
        <v>144</v>
      </c>
      <c r="I24" s="73">
        <f t="shared" si="0"/>
        <v>1</v>
      </c>
      <c r="K24" s="270">
        <f>'Exhibit Q,10'!C$31*$I24+'Exhibit Q,10'!E$31*$I25+'Exhibit Q,10'!G$31*$I26+'Exhibit Q,10'!I$31*$I27+'Exhibit Q,10'!K$31*$I28+'Exhibit Q,10'!M$31*$I29</f>
        <v>1</v>
      </c>
      <c r="M24" s="270">
        <f>'Exhibit Q,10'!C$32*$I24+'Exhibit Q,10'!E$32*$I25+'Exhibit Q,10'!G$32*$I26+'Exhibit Q,10'!I$32*$I27+'Exhibit Q,10'!K$32*$I28+'Exhibit Q,10'!M$32*$I29</f>
        <v>0.99999999999999989</v>
      </c>
      <c r="S24" s="230">
        <v>144</v>
      </c>
      <c r="T24" s="72">
        <f t="shared" si="1"/>
        <v>1</v>
      </c>
    </row>
    <row r="25" spans="1:20">
      <c r="A25" s="6">
        <v>131</v>
      </c>
      <c r="C25" s="266">
        <v>1</v>
      </c>
      <c r="D25" s="267"/>
      <c r="E25" s="74">
        <f t="shared" si="2"/>
        <v>1</v>
      </c>
      <c r="G25" s="268">
        <v>132</v>
      </c>
      <c r="I25" s="73">
        <f t="shared" si="0"/>
        <v>1</v>
      </c>
      <c r="K25" s="270">
        <f>'Exhibit Q,10'!C$31*$I25+'Exhibit Q,10'!E$31*$I26+'Exhibit Q,10'!G$31*$I27+'Exhibit Q,10'!I$31*$I28+'Exhibit Q,10'!K$31*$I29+'Exhibit Q,10'!M$31*$I30</f>
        <v>1</v>
      </c>
      <c r="M25" s="270">
        <f>'Exhibit Q,10'!C$32*$I25+'Exhibit Q,10'!E$32*$I26+'Exhibit Q,10'!G$32*$I27+'Exhibit Q,10'!I$32*$I28+'Exhibit Q,10'!K$32*$I29+'Exhibit Q,10'!M$32*$I30</f>
        <v>0.99999999999999989</v>
      </c>
      <c r="S25" s="230">
        <v>132</v>
      </c>
      <c r="T25" s="72">
        <f t="shared" si="1"/>
        <v>1</v>
      </c>
    </row>
    <row r="26" spans="1:20">
      <c r="A26" s="6">
        <v>119</v>
      </c>
      <c r="C26" s="266">
        <v>1</v>
      </c>
      <c r="D26" s="267"/>
      <c r="E26" s="74">
        <f t="shared" si="2"/>
        <v>1</v>
      </c>
      <c r="G26" s="268">
        <v>120</v>
      </c>
      <c r="I26" s="73">
        <f t="shared" si="0"/>
        <v>1</v>
      </c>
      <c r="K26" s="270">
        <f>'Exhibit Q,10'!C$31*$I26+'Exhibit Q,10'!E$31*$I27+'Exhibit Q,10'!G$31*$I28+'Exhibit Q,10'!I$31*$I29+'Exhibit Q,10'!K$31*$I30+'Exhibit Q,10'!M$31*$I31</f>
        <v>1</v>
      </c>
      <c r="M26" s="270">
        <f>'Exhibit Q,10'!C$32*$I26+'Exhibit Q,10'!E$32*$I27+'Exhibit Q,10'!G$32*$I28+'Exhibit Q,10'!I$32*$I29+'Exhibit Q,10'!K$32*$I30+'Exhibit Q,10'!M$32*$I31</f>
        <v>0.99999999999999989</v>
      </c>
      <c r="S26" s="230">
        <v>120</v>
      </c>
      <c r="T26" s="72">
        <f t="shared" si="1"/>
        <v>1</v>
      </c>
    </row>
    <row r="27" spans="1:20" ht="16">
      <c r="A27" s="6">
        <v>107</v>
      </c>
      <c r="B27" s="271"/>
      <c r="C27" s="266">
        <v>1</v>
      </c>
      <c r="E27" s="74">
        <f t="shared" si="2"/>
        <v>1</v>
      </c>
      <c r="G27" s="268">
        <v>108</v>
      </c>
      <c r="I27" s="73">
        <f t="shared" si="0"/>
        <v>1</v>
      </c>
      <c r="K27" s="270">
        <f>'Exhibit Q,10'!C$31*$I27+'Exhibit Q,10'!E$31*$I28+'Exhibit Q,10'!G$31*$I29+'Exhibit Q,10'!I$31*$I30+'Exhibit Q,10'!K$31*$I31+'Exhibit Q,10'!M$31*$I32</f>
        <v>0.9979766415209228</v>
      </c>
      <c r="M27" s="270">
        <f>'Exhibit Q,10'!C$32*$I27+'Exhibit Q,10'!E$32*$I28+'Exhibit Q,10'!G$32*$I29+'Exhibit Q,10'!I$32*$I30+'Exhibit Q,10'!K$32*$I31+'Exhibit Q,10'!M$32*$I32</f>
        <v>0.99999999999999989</v>
      </c>
      <c r="S27" s="230">
        <v>108</v>
      </c>
      <c r="T27" s="72">
        <f t="shared" si="1"/>
        <v>1</v>
      </c>
    </row>
    <row r="28" spans="1:20" ht="16">
      <c r="A28" s="6">
        <v>95</v>
      </c>
      <c r="B28" s="271"/>
      <c r="C28" s="266">
        <v>1</v>
      </c>
      <c r="E28" s="74">
        <f t="shared" si="2"/>
        <v>1</v>
      </c>
      <c r="G28" s="268">
        <v>96</v>
      </c>
      <c r="I28" s="73">
        <f t="shared" si="0"/>
        <v>1</v>
      </c>
      <c r="K28" s="270">
        <f>'Exhibit Q,10'!C$31*$I28+'Exhibit Q,10'!E$31*$I29+'Exhibit Q,10'!G$31*$I30+'Exhibit Q,10'!I$31*$I31+'Exhibit Q,10'!K$31*$I32+'Exhibit Q,10'!M$31*$I33</f>
        <v>0.98103448888945421</v>
      </c>
      <c r="M28" s="270">
        <f>'Exhibit Q,10'!C$32*$I28+'Exhibit Q,10'!E$32*$I29+'Exhibit Q,10'!G$32*$I30+'Exhibit Q,10'!I$32*$I31+'Exhibit Q,10'!K$32*$I32+'Exhibit Q,10'!M$32*$I33</f>
        <v>0.99894214455573294</v>
      </c>
      <c r="S28" s="230">
        <v>96</v>
      </c>
      <c r="T28" s="72">
        <f t="shared" si="1"/>
        <v>1</v>
      </c>
    </row>
    <row r="29" spans="1:20" ht="16">
      <c r="A29" s="6">
        <v>83</v>
      </c>
      <c r="B29" s="271"/>
      <c r="C29" s="266">
        <v>1</v>
      </c>
      <c r="E29" s="74">
        <f t="shared" si="2"/>
        <v>1</v>
      </c>
      <c r="G29" s="268">
        <v>84</v>
      </c>
      <c r="I29" s="73">
        <f t="shared" si="0"/>
        <v>1</v>
      </c>
      <c r="K29" s="270">
        <f>'Exhibit Q,10'!C$31*$I29+'Exhibit Q,10'!E$31*$I30+'Exhibit Q,10'!G$31*$I31+'Exhibit Q,10'!I$31*$I32+'Exhibit Q,10'!K$31*$I33+'Exhibit Q,10'!M$31*$I34</f>
        <v>0.92434617996034485</v>
      </c>
      <c r="M29" s="270">
        <f>'Exhibit Q,10'!C$32*$I29+'Exhibit Q,10'!E$32*$I30+'Exhibit Q,10'!G$32*$I31+'Exhibit Q,10'!I$32*$I32+'Exhibit Q,10'!K$32*$I33+'Exhibit Q,10'!M$32*$I34</f>
        <v>0.98904730864125345</v>
      </c>
      <c r="S29" s="230">
        <v>84</v>
      </c>
      <c r="T29" s="72">
        <f t="shared" si="1"/>
        <v>1</v>
      </c>
    </row>
    <row r="30" spans="1:20" ht="16">
      <c r="A30" s="6">
        <v>71</v>
      </c>
      <c r="B30" s="271"/>
      <c r="C30" s="266">
        <v>1</v>
      </c>
      <c r="E30" s="74">
        <f t="shared" si="2"/>
        <v>1</v>
      </c>
      <c r="G30" s="268">
        <v>72</v>
      </c>
      <c r="I30" s="73">
        <f t="shared" si="0"/>
        <v>1</v>
      </c>
      <c r="K30" s="270">
        <f>'Exhibit Q,10'!C$31*$I30+'Exhibit Q,10'!E$31*$I31+'Exhibit Q,10'!G$31*$I32+'Exhibit Q,10'!I$31*$I33+'Exhibit Q,10'!K$31*$I34+'Exhibit Q,10'!M$31*$I35</f>
        <v>0.81398194523167178</v>
      </c>
      <c r="M30" s="270">
        <f>'Exhibit Q,10'!C$32*$I30+'Exhibit Q,10'!E$32*$I31+'Exhibit Q,10'!G$32*$I32+'Exhibit Q,10'!I$32*$I33+'Exhibit Q,10'!K$32*$I34+'Exhibit Q,10'!M$32*$I35</f>
        <v>0.94970861879073865</v>
      </c>
      <c r="S30" s="230">
        <v>72</v>
      </c>
      <c r="T30" s="72">
        <f t="shared" si="1"/>
        <v>1</v>
      </c>
    </row>
    <row r="31" spans="1:20" ht="16">
      <c r="A31" s="6">
        <v>59</v>
      </c>
      <c r="B31" s="271"/>
      <c r="C31" s="266">
        <v>1</v>
      </c>
      <c r="E31" s="74">
        <f t="shared" si="2"/>
        <v>1</v>
      </c>
      <c r="G31" s="268">
        <v>60</v>
      </c>
      <c r="I31" s="73">
        <f t="shared" si="0"/>
        <v>1</v>
      </c>
      <c r="K31" s="270">
        <f>'Exhibit Q,10'!C$31*$I31+'Exhibit Q,10'!E$31*$I32+'Exhibit Q,10'!G$31*$I33+'Exhibit Q,10'!I$31*$I34+'Exhibit Q,10'!K$31*$I35+'Exhibit Q,10'!M$31*$I36</f>
        <v>0.6482673435856543</v>
      </c>
      <c r="M31" s="270">
        <f>'Exhibit Q,10'!C$32*$I31+'Exhibit Q,10'!E$32*$I32+'Exhibit Q,10'!G$32*$I33+'Exhibit Q,10'!I$32*$I34+'Exhibit Q,10'!K$32*$I35+'Exhibit Q,10'!M$32*$I36</f>
        <v>0.85344047400572132</v>
      </c>
      <c r="S31" s="230">
        <v>60</v>
      </c>
      <c r="T31" s="72">
        <f t="shared" si="1"/>
        <v>1</v>
      </c>
    </row>
    <row r="32" spans="1:20" ht="16">
      <c r="A32" s="6">
        <v>47</v>
      </c>
      <c r="B32" s="271"/>
      <c r="C32" s="266">
        <v>1</v>
      </c>
      <c r="E32" s="74">
        <f t="shared" si="2"/>
        <v>1</v>
      </c>
      <c r="G32" s="268">
        <v>48</v>
      </c>
      <c r="I32" s="73">
        <f t="shared" si="0"/>
        <v>0.93053135888501748</v>
      </c>
      <c r="K32" s="270">
        <f>'Exhibit Q,10'!C$31*$I32+'Exhibit Q,10'!E$31*$I33+'Exhibit Q,10'!G$31*$I34+'Exhibit Q,10'!I$31*$I35+'Exhibit Q,10'!K$31*$I36+'Exhibit Q,10'!M$31*$I37</f>
        <v>0.44175754256844424</v>
      </c>
      <c r="M32" s="270">
        <f>'Exhibit Q,10'!C$32*$I32+'Exhibit Q,10'!E$32*$I33+'Exhibit Q,10'!G$32*$I34+'Exhibit Q,10'!I$32*$I35+'Exhibit Q,10'!K$32*$I36+'Exhibit Q,10'!M$32*$I37</f>
        <v>0.67242077271686729</v>
      </c>
      <c r="S32" s="230">
        <v>48</v>
      </c>
      <c r="T32" s="72">
        <f t="shared" si="1"/>
        <v>1</v>
      </c>
    </row>
    <row r="33" spans="1:20" ht="16">
      <c r="A33" s="6">
        <v>35</v>
      </c>
      <c r="B33" s="271"/>
      <c r="C33" s="266">
        <v>1.4350000000000001</v>
      </c>
      <c r="E33" s="74">
        <f t="shared" si="2"/>
        <v>0.69686411149825778</v>
      </c>
      <c r="G33" s="268">
        <v>36</v>
      </c>
      <c r="I33" s="73">
        <f t="shared" si="0"/>
        <v>0.65088835526973321</v>
      </c>
      <c r="K33" s="270">
        <f>'Exhibit Q,10'!C$31*$I33+'Exhibit Q,10'!E$31*$I34+'Exhibit Q,10'!G$31*$I35+'Exhibit Q,10'!I$31*$I36+'Exhibit Q,10'!K$31*$I37+'Exhibit Q,10'!M$31*$I38</f>
        <v>0.24544843266204422</v>
      </c>
      <c r="M33" s="270">
        <f>'Exhibit Q,10'!C$32*$I33+'Exhibit Q,10'!E$32*$I34+'Exhibit Q,10'!G$32*$I35+'Exhibit Q,10'!I$32*$I36+'Exhibit Q,10'!K$32*$I37+'Exhibit Q,10'!M$32*$I38</f>
        <v>0.42194027358534558</v>
      </c>
      <c r="S33" s="230">
        <v>36</v>
      </c>
      <c r="T33" s="72">
        <f t="shared" si="1"/>
        <v>0.72212543554006969</v>
      </c>
    </row>
    <row r="34" spans="1:20" ht="16">
      <c r="A34" s="6">
        <v>23</v>
      </c>
      <c r="B34" s="271"/>
      <c r="C34" s="266">
        <v>2.4179750000000002</v>
      </c>
      <c r="E34" s="74">
        <f t="shared" si="2"/>
        <v>0.41356920563694821</v>
      </c>
      <c r="G34" s="268">
        <v>24</v>
      </c>
      <c r="I34" s="73">
        <f t="shared" si="0"/>
        <v>0.38510207957265924</v>
      </c>
      <c r="K34" s="270">
        <f>'Exhibit Q,10'!C$31*$I34+'Exhibit Q,10'!E$31*$I35+'Exhibit Q,10'!G$31*$I36+'Exhibit Q,10'!I$31*$I37+'Exhibit Q,10'!K$31*$I38+'Exhibit Q,10'!M$31*$I39</f>
        <v>0.10769187637278156</v>
      </c>
      <c r="M34" s="270">
        <f>'Exhibit Q,10'!C$32*$I34+'Exhibit Q,10'!E$32*$I35+'Exhibit Q,10'!G$32*$I36+'Exhibit Q,10'!I$32*$I37+'Exhibit Q,10'!K$32*$I38+'Exhibit Q,10'!M$32*$I39</f>
        <v>0.21445671727127952</v>
      </c>
      <c r="S34" s="230">
        <v>24</v>
      </c>
      <c r="T34" s="72">
        <f t="shared" si="1"/>
        <v>0.43717711445872398</v>
      </c>
    </row>
    <row r="35" spans="1:20" ht="16">
      <c r="A35" s="6">
        <v>11</v>
      </c>
      <c r="B35" s="271"/>
      <c r="C35" s="266">
        <v>4.7150512500000001</v>
      </c>
      <c r="E35" s="74">
        <f t="shared" si="2"/>
        <v>0.21208677212151192</v>
      </c>
      <c r="G35" s="268">
        <v>12</v>
      </c>
      <c r="I35" s="73">
        <f>MIN(T35*((12-J$45)/12)+T36*((J$45)/12),E35*(9/11))</f>
        <v>0.17165773118584871</v>
      </c>
      <c r="K35" s="270">
        <f>'Exhibit Q,10'!C$31*$I35+'Exhibit Q,10'!E$31*$I36+'Exhibit Q,10'!G$31*$I37+'Exhibit Q,10'!I$31*$I38+'Exhibit Q,10'!K$31*$I39+'Exhibit Q,10'!M$31*$I40</f>
        <v>2.8768236736229854E-2</v>
      </c>
      <c r="M35" s="270">
        <f>'Exhibit Q,10'!C$32*$I35+'Exhibit Q,10'!E$32*$I36+'Exhibit Q,10'!G$32*$I37+'Exhibit Q,10'!I$32*$I38+'Exhibit Q,10'!K$32*$I39+'Exhibit Q,10'!M$32*$I40</f>
        <v>7.276666850156592E-2</v>
      </c>
      <c r="S35" s="230">
        <v>12</v>
      </c>
      <c r="T35" s="72">
        <f>$E35*(11/12)+$E34*(1/12)</f>
        <v>0.22887697491446493</v>
      </c>
    </row>
    <row r="36" spans="1:20">
      <c r="S36" s="61"/>
      <c r="T36" s="61"/>
    </row>
    <row r="40" spans="1:20">
      <c r="P40" s="74"/>
      <c r="R40" s="74"/>
      <c r="T40" s="74"/>
    </row>
    <row r="41" spans="1:20">
      <c r="A41" s="64" t="s">
        <v>141</v>
      </c>
      <c r="C41" s="3" t="s">
        <v>210</v>
      </c>
      <c r="P41" s="74"/>
      <c r="R41" s="74"/>
      <c r="T41" s="74"/>
    </row>
    <row r="42" spans="1:20">
      <c r="A42" s="264">
        <v>-2</v>
      </c>
      <c r="C42" s="3" t="s">
        <v>941</v>
      </c>
      <c r="P42" s="74"/>
      <c r="R42" s="74"/>
      <c r="T42" s="74"/>
    </row>
    <row r="43" spans="1:20">
      <c r="A43" s="264">
        <v>-3</v>
      </c>
      <c r="C43" s="3" t="s">
        <v>211</v>
      </c>
      <c r="P43" s="74"/>
      <c r="R43" s="74"/>
      <c r="T43" s="74"/>
    </row>
    <row r="44" spans="1:20">
      <c r="A44" s="264">
        <v>-4</v>
      </c>
      <c r="C44" s="3" t="s">
        <v>212</v>
      </c>
      <c r="P44" s="74"/>
      <c r="R44" s="74"/>
      <c r="T44" s="74"/>
    </row>
    <row r="45" spans="1:20">
      <c r="A45" s="264">
        <v>-5</v>
      </c>
      <c r="C45" s="3" t="s">
        <v>558</v>
      </c>
      <c r="J45" s="1">
        <f>'Exhibit Q,1'!J45</f>
        <v>3</v>
      </c>
      <c r="K45" s="1" t="s">
        <v>559</v>
      </c>
      <c r="P45" s="74"/>
      <c r="R45" s="74"/>
      <c r="T45" s="74"/>
    </row>
    <row r="46" spans="1:20">
      <c r="A46" s="264">
        <v>-6</v>
      </c>
      <c r="C46" s="3" t="s">
        <v>1539</v>
      </c>
      <c r="P46" s="74"/>
      <c r="R46" s="74"/>
      <c r="T46" s="74"/>
    </row>
    <row r="47" spans="1:20">
      <c r="A47" s="264">
        <v>-7</v>
      </c>
      <c r="C47" s="3" t="s">
        <v>1547</v>
      </c>
      <c r="P47" s="74"/>
      <c r="R47" s="74"/>
      <c r="T47" s="74"/>
    </row>
    <row r="48" spans="1:20">
      <c r="C48" s="3" t="s">
        <v>1536</v>
      </c>
    </row>
  </sheetData>
  <printOptions horizontalCentered="1"/>
  <pageMargins left="0.7" right="0.7" top="0.75" bottom="0.75" header="0.3" footer="0.3"/>
  <pageSetup scale="91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7">
    <pageSetUpPr fitToPage="1"/>
  </sheetPr>
  <dimension ref="A1:T48"/>
  <sheetViews>
    <sheetView topLeftCell="N13" zoomScaleNormal="100" workbookViewId="0">
      <selection activeCell="I35" sqref="I35"/>
    </sheetView>
  </sheetViews>
  <sheetFormatPr baseColWidth="10" defaultColWidth="8.7109375" defaultRowHeight="15"/>
  <cols>
    <col min="1" max="1" width="9.7109375" style="1" customWidth="1"/>
    <col min="2" max="2" width="1.7109375" style="1" customWidth="1"/>
    <col min="3" max="3" width="9.7109375" style="1" customWidth="1"/>
    <col min="4" max="4" width="1.7109375" style="1" customWidth="1"/>
    <col min="5" max="5" width="9.7109375" style="1" customWidth="1"/>
    <col min="6" max="6" width="1.7109375" style="1" customWidth="1"/>
    <col min="7" max="7" width="9.7109375" style="1" customWidth="1"/>
    <col min="8" max="8" width="1.7109375" style="1" customWidth="1"/>
    <col min="9" max="9" width="9.7109375" style="1" customWidth="1"/>
    <col min="10" max="10" width="1.7109375" style="1" customWidth="1"/>
    <col min="11" max="11" width="9.7109375" style="1" customWidth="1"/>
    <col min="12" max="12" width="1.7109375" style="1" customWidth="1"/>
    <col min="13" max="13" width="9.7109375" style="1" customWidth="1"/>
    <col min="14" max="16384" width="8.7109375" style="1"/>
  </cols>
  <sheetData>
    <row r="1" spans="1:20">
      <c r="M1" s="52" t="s">
        <v>935</v>
      </c>
    </row>
    <row r="2" spans="1:20">
      <c r="M2" s="64" t="s">
        <v>66</v>
      </c>
    </row>
    <row r="3" spans="1:20">
      <c r="M3" s="3"/>
    </row>
    <row r="4" spans="1:20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20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20">
      <c r="A6" s="5" t="s">
        <v>208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20">
      <c r="A7" s="5" t="s">
        <v>397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20">
      <c r="A8" s="5"/>
      <c r="B8" s="5"/>
      <c r="C8" s="5"/>
      <c r="D8" s="5"/>
      <c r="E8" s="5"/>
      <c r="F8" s="5"/>
      <c r="G8" s="5"/>
      <c r="H8" s="5"/>
      <c r="I8" s="5"/>
      <c r="J8" s="5"/>
      <c r="K8" s="5"/>
    </row>
    <row r="11" spans="1:20">
      <c r="A11" s="6"/>
      <c r="B11" s="6"/>
      <c r="C11" s="6" t="s">
        <v>124</v>
      </c>
      <c r="D11" s="6"/>
      <c r="E11" s="6" t="s">
        <v>7</v>
      </c>
      <c r="F11" s="6"/>
      <c r="H11" s="6"/>
      <c r="J11" s="6"/>
    </row>
    <row r="12" spans="1:20">
      <c r="A12" s="6" t="s">
        <v>122</v>
      </c>
      <c r="B12" s="6"/>
      <c r="C12" s="6" t="s">
        <v>125</v>
      </c>
      <c r="D12" s="6"/>
      <c r="E12" s="6" t="s">
        <v>62</v>
      </c>
      <c r="F12" s="6"/>
      <c r="G12" s="6" t="s">
        <v>122</v>
      </c>
      <c r="H12" s="6"/>
      <c r="I12" s="7" t="s">
        <v>206</v>
      </c>
      <c r="J12" s="8"/>
      <c r="K12" s="8"/>
      <c r="L12" s="8"/>
      <c r="M12" s="8"/>
      <c r="S12" s="25" t="s">
        <v>122</v>
      </c>
      <c r="T12" s="61"/>
    </row>
    <row r="13" spans="1:20">
      <c r="A13" s="6" t="s">
        <v>123</v>
      </c>
      <c r="B13" s="6"/>
      <c r="C13" s="6" t="s">
        <v>67</v>
      </c>
      <c r="D13" s="6"/>
      <c r="E13" s="6" t="s">
        <v>14</v>
      </c>
      <c r="F13" s="6"/>
      <c r="G13" s="6" t="s">
        <v>123</v>
      </c>
      <c r="H13" s="6"/>
      <c r="I13" s="2" t="s">
        <v>5</v>
      </c>
      <c r="J13" s="6"/>
      <c r="K13" s="2" t="s">
        <v>204</v>
      </c>
      <c r="M13" s="2" t="s">
        <v>198</v>
      </c>
      <c r="S13" s="25" t="s">
        <v>123</v>
      </c>
      <c r="T13" s="61"/>
    </row>
    <row r="14" spans="1:20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  <c r="M14" s="118" t="s">
        <v>30</v>
      </c>
      <c r="S14" s="142" t="s">
        <v>38</v>
      </c>
      <c r="T14" s="61"/>
    </row>
    <row r="15" spans="1:20">
      <c r="C15" s="265">
        <v>1</v>
      </c>
      <c r="D15" s="252"/>
      <c r="E15" s="252">
        <v>1</v>
      </c>
      <c r="S15" s="61"/>
      <c r="T15" s="61"/>
    </row>
    <row r="16" spans="1:20">
      <c r="A16" s="6">
        <v>239</v>
      </c>
      <c r="C16" s="269">
        <f>'Exhibit R,S2'!C118</f>
        <v>1</v>
      </c>
      <c r="D16" s="267"/>
      <c r="E16" s="74">
        <f t="shared" ref="E16:E35" si="0">1/C16</f>
        <v>1</v>
      </c>
      <c r="G16" s="268">
        <v>240</v>
      </c>
      <c r="I16" s="73">
        <f t="shared" ref="I16:I34" si="1">T16*((12-J$45)/12)+T17*((J$45)/12)</f>
        <v>1</v>
      </c>
      <c r="K16" s="74">
        <v>0.99999999999999989</v>
      </c>
      <c r="M16" s="74">
        <v>0.99999999999999967</v>
      </c>
      <c r="S16" s="230">
        <v>240</v>
      </c>
      <c r="T16" s="72">
        <f t="shared" ref="T16:T34" si="2">$E16*(11/12)+$E15*(1/12)</f>
        <v>1</v>
      </c>
    </row>
    <row r="17" spans="1:20">
      <c r="A17" s="6">
        <v>227</v>
      </c>
      <c r="C17" s="269">
        <f>'Exhibit R,S2'!C119</f>
        <v>1</v>
      </c>
      <c r="D17" s="267"/>
      <c r="E17" s="74">
        <f t="shared" si="0"/>
        <v>1</v>
      </c>
      <c r="G17" s="268">
        <v>228</v>
      </c>
      <c r="I17" s="73">
        <f t="shared" si="1"/>
        <v>1</v>
      </c>
      <c r="K17" s="74">
        <v>0.99999999999999989</v>
      </c>
      <c r="M17" s="74">
        <v>0.99999999999999967</v>
      </c>
      <c r="S17" s="230">
        <v>228</v>
      </c>
      <c r="T17" s="72">
        <f t="shared" si="2"/>
        <v>1</v>
      </c>
    </row>
    <row r="18" spans="1:20">
      <c r="A18" s="6">
        <v>215</v>
      </c>
      <c r="C18" s="269">
        <f>'Exhibit R,S2'!C120</f>
        <v>1</v>
      </c>
      <c r="D18" s="267"/>
      <c r="E18" s="74">
        <f t="shared" si="0"/>
        <v>1</v>
      </c>
      <c r="G18" s="268">
        <v>216</v>
      </c>
      <c r="I18" s="73">
        <f t="shared" si="1"/>
        <v>1</v>
      </c>
      <c r="K18" s="74">
        <v>0.99999999999999989</v>
      </c>
      <c r="M18" s="74">
        <v>0.99999999999999967</v>
      </c>
      <c r="S18" s="230">
        <v>216</v>
      </c>
      <c r="T18" s="72">
        <f t="shared" si="2"/>
        <v>1</v>
      </c>
    </row>
    <row r="19" spans="1:20">
      <c r="A19" s="6">
        <v>203</v>
      </c>
      <c r="C19" s="269">
        <f>'Exhibit R,S2'!C121</f>
        <v>1</v>
      </c>
      <c r="D19" s="267"/>
      <c r="E19" s="74">
        <f t="shared" si="0"/>
        <v>1</v>
      </c>
      <c r="G19" s="268">
        <v>204</v>
      </c>
      <c r="I19" s="73">
        <f t="shared" si="1"/>
        <v>1</v>
      </c>
      <c r="K19" s="74">
        <v>0.99999999999999989</v>
      </c>
      <c r="M19" s="74">
        <v>0.99999999999999967</v>
      </c>
      <c r="S19" s="230">
        <v>204</v>
      </c>
      <c r="T19" s="72">
        <f t="shared" si="2"/>
        <v>1</v>
      </c>
    </row>
    <row r="20" spans="1:20">
      <c r="A20" s="6">
        <v>191</v>
      </c>
      <c r="C20" s="269">
        <f>'Exhibit R,S2'!C122</f>
        <v>1</v>
      </c>
      <c r="D20" s="267"/>
      <c r="E20" s="74">
        <f t="shared" si="0"/>
        <v>1</v>
      </c>
      <c r="G20" s="268">
        <v>192</v>
      </c>
      <c r="I20" s="73">
        <f t="shared" si="1"/>
        <v>1</v>
      </c>
      <c r="K20" s="270">
        <f>'Exhibit Q,9'!C$31*$I20+'Exhibit Q,9'!E$31*$I21+'Exhibit Q,9'!G$31*$I22+'Exhibit Q,9'!I$31*$I23+'Exhibit Q,9'!K$31*$I24+'Exhibit Q,9'!M$31*$I25</f>
        <v>0.99878528440636738</v>
      </c>
      <c r="M20" s="74">
        <v>0.99999999999999967</v>
      </c>
      <c r="S20" s="230">
        <v>192</v>
      </c>
      <c r="T20" s="72">
        <f t="shared" si="2"/>
        <v>1</v>
      </c>
    </row>
    <row r="21" spans="1:20">
      <c r="A21" s="6">
        <v>179</v>
      </c>
      <c r="C21" s="269">
        <f>'Exhibit R,S2'!C123</f>
        <v>1</v>
      </c>
      <c r="D21" s="267"/>
      <c r="E21" s="74">
        <f t="shared" si="0"/>
        <v>1</v>
      </c>
      <c r="G21" s="268">
        <v>180</v>
      </c>
      <c r="I21" s="73">
        <f t="shared" si="1"/>
        <v>1</v>
      </c>
      <c r="K21" s="270">
        <f>'Exhibit Q,9'!C$31*$I21+'Exhibit Q,9'!E$31*$I22+'Exhibit Q,9'!G$31*$I23+'Exhibit Q,9'!I$31*$I24+'Exhibit Q,9'!K$31*$I25+'Exhibit Q,9'!M$31*$I26</f>
        <v>0.9966616019533191</v>
      </c>
      <c r="M21" s="270">
        <f>'Exhibit Q,9'!C$33*$I21+'Exhibit Q,9'!E$33*$I22+'Exhibit Q,9'!G$33*$I23+'Exhibit Q,9'!I$33*$I24+'Exhibit Q,9'!K$33*$I25+'Exhibit Q,9'!M$33*$I26</f>
        <v>0.99780468508688869</v>
      </c>
      <c r="S21" s="230">
        <v>180</v>
      </c>
      <c r="T21" s="72">
        <f t="shared" si="2"/>
        <v>1</v>
      </c>
    </row>
    <row r="22" spans="1:20">
      <c r="A22" s="6">
        <v>167</v>
      </c>
      <c r="C22" s="269">
        <f>'Exhibit R,S2'!C124</f>
        <v>1</v>
      </c>
      <c r="D22" s="267"/>
      <c r="E22" s="74">
        <f t="shared" si="0"/>
        <v>1</v>
      </c>
      <c r="G22" s="268">
        <v>168</v>
      </c>
      <c r="I22" s="73">
        <f t="shared" si="1"/>
        <v>0.99885986733001664</v>
      </c>
      <c r="K22" s="270">
        <f>'Exhibit Q,9'!C$31*$I22+'Exhibit Q,9'!E$31*$I23+'Exhibit Q,9'!G$31*$I24+'Exhibit Q,9'!I$31*$I25+'Exhibit Q,9'!K$31*$I26+'Exhibit Q,9'!M$31*$I27</f>
        <v>0.994582961716164</v>
      </c>
      <c r="M22" s="270">
        <f>'Exhibit Q,9'!C$33*$I22+'Exhibit Q,9'!E$33*$I23+'Exhibit Q,9'!G$33*$I24+'Exhibit Q,9'!I$33*$I25+'Exhibit Q,9'!K$33*$I26+'Exhibit Q,9'!M$33*$I27</f>
        <v>0.99531431397984882</v>
      </c>
      <c r="S22" s="230">
        <v>168</v>
      </c>
      <c r="T22" s="72">
        <f t="shared" si="2"/>
        <v>1</v>
      </c>
    </row>
    <row r="23" spans="1:20">
      <c r="A23" s="6">
        <v>155</v>
      </c>
      <c r="C23" s="269">
        <f>'Exhibit R,S2'!C125</f>
        <v>1.0049999999999999</v>
      </c>
      <c r="D23" s="267"/>
      <c r="E23" s="74">
        <f t="shared" si="0"/>
        <v>0.99502487562189068</v>
      </c>
      <c r="G23" s="268">
        <v>156</v>
      </c>
      <c r="I23" s="73">
        <f t="shared" si="1"/>
        <v>0.99510802216026106</v>
      </c>
      <c r="K23" s="270">
        <f>'Exhibit Q,9'!C$31*$I23+'Exhibit Q,9'!E$31*$I24+'Exhibit Q,9'!G$31*$I25+'Exhibit Q,9'!I$31*$I26+'Exhibit Q,9'!K$31*$I27+'Exhibit Q,9'!M$31*$I28</f>
        <v>0.99170835538986934</v>
      </c>
      <c r="M23" s="270">
        <f>'Exhibit Q,9'!C$33*$I23+'Exhibit Q,9'!E$33*$I24+'Exhibit Q,9'!G$33*$I25+'Exhibit Q,9'!I$33*$I26+'Exhibit Q,9'!K$33*$I27+'Exhibit Q,9'!M$33*$I28</f>
        <v>0.99280452050696855</v>
      </c>
      <c r="S23" s="230">
        <v>156</v>
      </c>
      <c r="T23" s="72">
        <f t="shared" si="2"/>
        <v>0.99543946932006644</v>
      </c>
    </row>
    <row r="24" spans="1:20">
      <c r="A24" s="6">
        <v>143</v>
      </c>
      <c r="C24" s="269">
        <f>'Exhibit R,S2'!C126</f>
        <v>1.0060049999999998</v>
      </c>
      <c r="D24" s="267"/>
      <c r="E24" s="74">
        <f t="shared" si="0"/>
        <v>0.99403084477711356</v>
      </c>
      <c r="G24" s="268">
        <v>144</v>
      </c>
      <c r="I24" s="73">
        <f t="shared" si="1"/>
        <v>0.99363828361057793</v>
      </c>
      <c r="K24" s="270">
        <f>'Exhibit Q,9'!C$31*$I24+'Exhibit Q,9'!E$31*$I25+'Exhibit Q,9'!G$31*$I26+'Exhibit Q,9'!I$31*$I27+'Exhibit Q,9'!K$31*$I28+'Exhibit Q,9'!M$31*$I29</f>
        <v>0.98728629011134794</v>
      </c>
      <c r="M24" s="270">
        <f>'Exhibit Q,9'!C$33*$I24+'Exhibit Q,9'!E$33*$I25+'Exhibit Q,9'!G$33*$I26+'Exhibit Q,9'!I$33*$I27+'Exhibit Q,9'!K$33*$I28+'Exhibit Q,9'!M$33*$I29</f>
        <v>0.9896054638995434</v>
      </c>
      <c r="S24" s="230">
        <v>144</v>
      </c>
      <c r="T24" s="72">
        <f t="shared" si="2"/>
        <v>0.99411368068084505</v>
      </c>
    </row>
    <row r="25" spans="1:20">
      <c r="A25" s="6">
        <v>131</v>
      </c>
      <c r="C25" s="269">
        <f>'Exhibit R,S2'!C127</f>
        <v>1.0080170099999999</v>
      </c>
      <c r="D25" s="267"/>
      <c r="E25" s="74">
        <f t="shared" si="0"/>
        <v>0.99204675127456443</v>
      </c>
      <c r="G25" s="268">
        <v>132</v>
      </c>
      <c r="I25" s="73">
        <f t="shared" si="1"/>
        <v>0.99149076495346744</v>
      </c>
      <c r="K25" s="270">
        <f>'Exhibit Q,9'!C$31*$I25+'Exhibit Q,9'!E$31*$I26+'Exhibit Q,9'!G$31*$I27+'Exhibit Q,9'!I$31*$I28+'Exhibit Q,9'!K$31*$I29+'Exhibit Q,9'!M$31*$I30</f>
        <v>0.97825960190798977</v>
      </c>
      <c r="M25" s="270">
        <f>'Exhibit Q,9'!C$33*$I25+'Exhibit Q,9'!E$33*$I26+'Exhibit Q,9'!G$33*$I27+'Exhibit Q,9'!I$33*$I28+'Exhibit Q,9'!K$33*$I29+'Exhibit Q,9'!M$33*$I30</f>
        <v>0.9831774142704689</v>
      </c>
      <c r="S25" s="230">
        <v>132</v>
      </c>
      <c r="T25" s="72">
        <f t="shared" si="2"/>
        <v>0.99221209239977681</v>
      </c>
    </row>
    <row r="26" spans="1:20">
      <c r="A26" s="6">
        <v>119</v>
      </c>
      <c r="C26" s="269">
        <f>'Exhibit R,S2'!C128</f>
        <v>1.0110410610299998</v>
      </c>
      <c r="D26" s="267"/>
      <c r="E26" s="74">
        <f t="shared" si="0"/>
        <v>0.98907951273635542</v>
      </c>
      <c r="G26" s="268">
        <v>120</v>
      </c>
      <c r="I26" s="73">
        <f t="shared" si="1"/>
        <v>0.98813728327931161</v>
      </c>
      <c r="K26" s="270">
        <f>'Exhibit Q,9'!C$31*$I26+'Exhibit Q,9'!E$31*$I27+'Exhibit Q,9'!G$31*$I28+'Exhibit Q,9'!I$31*$I29+'Exhibit Q,9'!K$31*$I30+'Exhibit Q,9'!M$31*$I31</f>
        <v>0.95650989508055606</v>
      </c>
      <c r="M26" s="270">
        <f>'Exhibit Q,9'!C$33*$I26+'Exhibit Q,9'!E$33*$I27+'Exhibit Q,9'!G$33*$I28+'Exhibit Q,9'!I$33*$I29+'Exhibit Q,9'!K$33*$I30+'Exhibit Q,9'!M$33*$I31</f>
        <v>0.96845009626796252</v>
      </c>
      <c r="S26" s="230">
        <v>120</v>
      </c>
      <c r="T26" s="72">
        <f t="shared" si="2"/>
        <v>0.98932678261453955</v>
      </c>
    </row>
    <row r="27" spans="1:20" ht="16">
      <c r="A27" s="6">
        <v>107</v>
      </c>
      <c r="B27" s="271"/>
      <c r="C27" s="269">
        <f>'Exhibit R,S2'!C129</f>
        <v>1.0160962663351496</v>
      </c>
      <c r="E27" s="74">
        <f t="shared" si="0"/>
        <v>0.98415871914065234</v>
      </c>
      <c r="G27" s="268">
        <v>108</v>
      </c>
      <c r="I27" s="73">
        <f t="shared" si="1"/>
        <v>0.98223323534299367</v>
      </c>
      <c r="K27" s="270">
        <f>'Exhibit Q,9'!C$31*$I27+'Exhibit Q,9'!E$31*$I28+'Exhibit Q,9'!G$31*$I29+'Exhibit Q,9'!I$31*$I30+'Exhibit Q,9'!K$31*$I31+'Exhibit Q,9'!M$31*$I32</f>
        <v>0.9055136018007176</v>
      </c>
      <c r="M27" s="270">
        <f>'Exhibit Q,9'!C$33*$I27+'Exhibit Q,9'!E$33*$I28+'Exhibit Q,9'!G$33*$I29+'Exhibit Q,9'!I$33*$I30+'Exhibit Q,9'!K$33*$I31+'Exhibit Q,9'!M$33*$I32</f>
        <v>0.93289298955335642</v>
      </c>
      <c r="N27" s="74"/>
      <c r="P27" s="74"/>
      <c r="R27" s="74"/>
      <c r="S27" s="230">
        <v>108</v>
      </c>
      <c r="T27" s="72">
        <f t="shared" si="2"/>
        <v>0.98456878527362757</v>
      </c>
    </row>
    <row r="28" spans="1:20" ht="16">
      <c r="A28" s="6">
        <v>95</v>
      </c>
      <c r="B28" s="271"/>
      <c r="C28" s="269">
        <f>'Exhibit R,S2'!C130</f>
        <v>1.026257228998501</v>
      </c>
      <c r="E28" s="74">
        <f t="shared" si="0"/>
        <v>0.97441457340658655</v>
      </c>
      <c r="G28" s="268">
        <v>96</v>
      </c>
      <c r="I28" s="73">
        <f t="shared" si="1"/>
        <v>0.96238377083162541</v>
      </c>
      <c r="K28" s="270">
        <f>'Exhibit Q,9'!C$31*$I28+'Exhibit Q,9'!E$31*$I29+'Exhibit Q,9'!G$31*$I30+'Exhibit Q,9'!I$31*$I31+'Exhibit Q,9'!K$31*$I32+'Exhibit Q,9'!M$31*$I33</f>
        <v>0.81516569847337383</v>
      </c>
      <c r="M28" s="270">
        <f>'Exhibit Q,9'!C$33*$I28+'Exhibit Q,9'!E$33*$I29+'Exhibit Q,9'!G$33*$I30+'Exhibit Q,9'!I$33*$I31+'Exhibit Q,9'!K$33*$I32+'Exhibit Q,9'!M$33*$I33</f>
        <v>0.85949619972779501</v>
      </c>
      <c r="N28" s="74"/>
      <c r="P28" s="74"/>
      <c r="R28" s="74"/>
      <c r="S28" s="230">
        <v>96</v>
      </c>
      <c r="T28" s="72">
        <f t="shared" si="2"/>
        <v>0.97522658555109198</v>
      </c>
    </row>
    <row r="29" spans="1:20" ht="16">
      <c r="A29" s="6">
        <v>83</v>
      </c>
      <c r="B29" s="271"/>
      <c r="C29" s="269">
        <f>'Exhibit R,S2'!C131</f>
        <v>1.0878326627384112</v>
      </c>
      <c r="E29" s="74">
        <f t="shared" si="0"/>
        <v>0.91925903151564758</v>
      </c>
      <c r="G29" s="268">
        <v>84</v>
      </c>
      <c r="I29" s="73">
        <f t="shared" si="1"/>
        <v>0.89764935747632868</v>
      </c>
      <c r="K29" s="270">
        <f>'Exhibit Q,9'!C$31*$I29+'Exhibit Q,9'!E$31*$I30+'Exhibit Q,9'!G$31*$I31+'Exhibit Q,9'!I$31*$I32+'Exhibit Q,9'!K$31*$I33+'Exhibit Q,9'!M$31*$I34</f>
        <v>0.6814968594205304</v>
      </c>
      <c r="M29" s="270">
        <f>'Exhibit Q,9'!C$33*$I29+'Exhibit Q,9'!E$33*$I30+'Exhibit Q,9'!G$33*$I31+'Exhibit Q,9'!I$33*$I32+'Exhibit Q,9'!K$33*$I33+'Exhibit Q,9'!M$33*$I34</f>
        <v>0.74052822591749667</v>
      </c>
      <c r="N29" s="74"/>
      <c r="P29" s="74"/>
      <c r="R29" s="74"/>
      <c r="S29" s="230">
        <v>84</v>
      </c>
      <c r="T29" s="72">
        <f t="shared" si="2"/>
        <v>0.92385532667322579</v>
      </c>
    </row>
    <row r="30" spans="1:20" ht="16">
      <c r="A30" s="6">
        <v>71</v>
      </c>
      <c r="B30" s="271"/>
      <c r="C30" s="269">
        <f>'Exhibit R,S2'!C132</f>
        <v>1.2346900722080967</v>
      </c>
      <c r="E30" s="74">
        <f t="shared" si="0"/>
        <v>0.80991985155563673</v>
      </c>
      <c r="G30" s="268">
        <v>72</v>
      </c>
      <c r="I30" s="73">
        <f t="shared" si="1"/>
        <v>0.78204661899494354</v>
      </c>
      <c r="K30" s="270">
        <f>'Exhibit Q,9'!C$31*$I30+'Exhibit Q,9'!E$31*$I31+'Exhibit Q,9'!G$31*$I32+'Exhibit Q,9'!I$31*$I33+'Exhibit Q,9'!K$31*$I34+'Exhibit Q,9'!M$31*$I35</f>
        <v>0.51484881007748451</v>
      </c>
      <c r="M30" s="270">
        <f>'Exhibit Q,9'!C$33*$I30+'Exhibit Q,9'!E$33*$I31+'Exhibit Q,9'!G$33*$I32+'Exhibit Q,9'!I$33*$I33+'Exhibit Q,9'!K$33*$I34+'Exhibit Q,9'!M$33*$I35</f>
        <v>0.58238686725706323</v>
      </c>
      <c r="N30" s="74"/>
      <c r="P30" s="74"/>
      <c r="R30" s="74"/>
      <c r="S30" s="230">
        <v>72</v>
      </c>
      <c r="T30" s="72">
        <f t="shared" si="2"/>
        <v>0.81903144988563759</v>
      </c>
    </row>
    <row r="31" spans="1:20" ht="16">
      <c r="A31" s="6">
        <v>59</v>
      </c>
      <c r="B31" s="271"/>
      <c r="C31" s="269">
        <f>'Exhibit R,S2'!C133</f>
        <v>1.5186687888159589</v>
      </c>
      <c r="E31" s="74">
        <f t="shared" si="0"/>
        <v>0.65847142402897296</v>
      </c>
      <c r="G31" s="268">
        <v>60</v>
      </c>
      <c r="I31" s="73">
        <f t="shared" si="1"/>
        <v>0.62004045851520007</v>
      </c>
      <c r="K31" s="270">
        <f>'Exhibit Q,9'!C$31*$I31+'Exhibit Q,9'!E$31*$I32+'Exhibit Q,9'!G$31*$I33+'Exhibit Q,9'!I$31*$I34+'Exhibit Q,9'!K$31*$I35+'Exhibit Q,9'!M$31*$I36</f>
        <v>0.34545932325954892</v>
      </c>
      <c r="M31" s="270">
        <f>'Exhibit Q,9'!C$33*$I31+'Exhibit Q,9'!E$33*$I32+'Exhibit Q,9'!G$33*$I33+'Exhibit Q,9'!I$33*$I34+'Exhibit Q,9'!K$33*$I35</f>
        <v>0.40527271423113431</v>
      </c>
      <c r="N31" s="74"/>
      <c r="P31" s="74"/>
      <c r="R31" s="74"/>
      <c r="S31" s="230">
        <v>60</v>
      </c>
      <c r="T31" s="72">
        <f t="shared" si="2"/>
        <v>0.67109212632286153</v>
      </c>
    </row>
    <row r="32" spans="1:20" ht="16">
      <c r="A32" s="6">
        <v>47</v>
      </c>
      <c r="B32" s="271"/>
      <c r="C32" s="269">
        <f>'Exhibit R,S2'!C134</f>
        <v>2.2248497756153798</v>
      </c>
      <c r="E32" s="74">
        <f t="shared" si="0"/>
        <v>0.44946854882523751</v>
      </c>
      <c r="G32" s="268">
        <v>48</v>
      </c>
      <c r="I32" s="73">
        <f t="shared" si="1"/>
        <v>0.4225269240715428</v>
      </c>
      <c r="K32" s="270">
        <f>'Exhibit Q,9'!C$31*$I32+'Exhibit Q,9'!E$31*$I33+'Exhibit Q,9'!G$31*$I34+'Exhibit Q,9'!I$31*$I35+'Exhibit Q,9'!K$31*$I36+'Exhibit Q,9'!M$31*$I37</f>
        <v>0.19211274815808235</v>
      </c>
      <c r="M32" s="270">
        <f>'Exhibit Q,9'!C$33*$I32+'Exhibit Q,9'!E$33*$I33+'Exhibit Q,9'!G$33*$I34+'Exhibit Q,9'!I$33*$I35</f>
        <v>0.24028966634904314</v>
      </c>
      <c r="N32" s="74"/>
      <c r="P32" s="74"/>
      <c r="R32" s="74"/>
      <c r="S32" s="230">
        <v>48</v>
      </c>
      <c r="T32" s="72">
        <f t="shared" si="2"/>
        <v>0.46688545509221546</v>
      </c>
    </row>
    <row r="33" spans="1:20" ht="16">
      <c r="A33" s="6">
        <v>35</v>
      </c>
      <c r="B33" s="271"/>
      <c r="C33" s="269">
        <f>'Exhibit R,S2'!C135</f>
        <v>3.6376293831311459</v>
      </c>
      <c r="E33" s="74">
        <f t="shared" si="0"/>
        <v>0.27490431120809633</v>
      </c>
      <c r="G33" s="268">
        <v>36</v>
      </c>
      <c r="I33" s="73">
        <f t="shared" si="1"/>
        <v>0.2485295100407226</v>
      </c>
      <c r="K33" s="270">
        <f>'Exhibit Q,9'!C$31*$I33+'Exhibit Q,9'!E$31*$I34+'Exhibit Q,9'!G$31*$I35+'Exhibit Q,9'!I$31*$I36+'Exhibit Q,9'!K$31*$I37+'Exhibit Q,9'!M$31*$I38</f>
        <v>8.3222349877287466E-2</v>
      </c>
      <c r="M33" s="270">
        <f>'Exhibit Q,9'!C$33*$I33+'Exhibit Q,9'!E$33*$I34+'Exhibit Q,9'!G$33*$I35</f>
        <v>0.11109157621059489</v>
      </c>
      <c r="N33" s="74"/>
      <c r="P33" s="74"/>
      <c r="R33" s="74"/>
      <c r="S33" s="230">
        <v>36</v>
      </c>
      <c r="T33" s="72">
        <f t="shared" si="2"/>
        <v>0.28945133100952475</v>
      </c>
    </row>
    <row r="34" spans="1:20" ht="16">
      <c r="A34" s="6">
        <v>23</v>
      </c>
      <c r="B34" s="271"/>
      <c r="C34" s="269">
        <f>'Exhibit R,S2'!C136</f>
        <v>8.9121919886713084</v>
      </c>
      <c r="E34" s="74">
        <f t="shared" si="0"/>
        <v>0.11220584130942707</v>
      </c>
      <c r="G34" s="268">
        <v>24</v>
      </c>
      <c r="I34" s="73">
        <f t="shared" si="1"/>
        <v>0.10105618501620665</v>
      </c>
      <c r="K34" s="270">
        <f>'Exhibit Q,9'!C$31*$I34+'Exhibit Q,9'!E$31*$I35+'Exhibit Q,9'!G$31*$I36+'Exhibit Q,9'!I$31*$I37+'Exhibit Q,9'!K$31*$I38+'Exhibit Q,9'!M$31*$I39</f>
        <v>2.5503589020583816E-2</v>
      </c>
      <c r="M34" s="270">
        <f>'Exhibit Q,9'!C$33*$I34+'Exhibit Q,9'!E$33*$I35</f>
        <v>3.2566283221081231E-2</v>
      </c>
      <c r="N34" s="74"/>
      <c r="P34" s="74"/>
      <c r="R34" s="74"/>
      <c r="S34" s="230">
        <v>24</v>
      </c>
      <c r="T34" s="72">
        <f t="shared" si="2"/>
        <v>0.12576404713431616</v>
      </c>
    </row>
    <row r="35" spans="1:20" ht="16">
      <c r="A35" s="6">
        <v>11</v>
      </c>
      <c r="B35" s="271"/>
      <c r="C35" s="269">
        <f>'Exhibit R,S2'!C137</f>
        <v>52.136323133727153</v>
      </c>
      <c r="E35" s="74">
        <f t="shared" si="0"/>
        <v>1.9180485693919155E-2</v>
      </c>
      <c r="G35" s="268">
        <v>12</v>
      </c>
      <c r="I35" s="383">
        <f>MIN(T35*((12-J$45)/12)+T36*((J$45)/12),(9/11)*E35)</f>
        <v>1.5693124658661128E-2</v>
      </c>
      <c r="K35" s="270">
        <f>'Exhibit Q,9'!C$31*$I35+'Exhibit Q,9'!E$31*$I36+'Exhibit Q,9'!G$31*$I37+'Exhibit Q,9'!I$31*$I38+'Exhibit Q,9'!K$31*$I39+'Exhibit Q,9'!M$31*$I40</f>
        <v>3.4281230686320661E-3</v>
      </c>
      <c r="M35" s="270">
        <f>'Exhibit Q,9'!C$33*$I35</f>
        <v>3.9865630425229229E-3</v>
      </c>
      <c r="N35" s="74"/>
      <c r="P35" s="74"/>
      <c r="R35" s="74"/>
      <c r="S35" s="230">
        <v>12</v>
      </c>
      <c r="T35" s="72">
        <f>$E35*(11/12)+$E34*(1/12)</f>
        <v>2.6932598661878145E-2</v>
      </c>
    </row>
    <row r="36" spans="1:20">
      <c r="S36" s="61"/>
      <c r="T36" s="61"/>
    </row>
    <row r="41" spans="1:20">
      <c r="A41" s="64" t="s">
        <v>141</v>
      </c>
      <c r="C41" s="3" t="s">
        <v>210</v>
      </c>
    </row>
    <row r="42" spans="1:20">
      <c r="A42" s="264">
        <v>-2</v>
      </c>
      <c r="C42" s="3" t="s">
        <v>942</v>
      </c>
    </row>
    <row r="43" spans="1:20">
      <c r="A43" s="264">
        <v>-3</v>
      </c>
      <c r="C43" s="3" t="s">
        <v>211</v>
      </c>
    </row>
    <row r="44" spans="1:20">
      <c r="A44" s="264">
        <v>-4</v>
      </c>
      <c r="C44" s="3" t="s">
        <v>212</v>
      </c>
    </row>
    <row r="45" spans="1:20">
      <c r="A45" s="264">
        <v>-5</v>
      </c>
      <c r="C45" s="3" t="s">
        <v>558</v>
      </c>
      <c r="J45" s="1">
        <f>'Exhibit Q,1'!J45</f>
        <v>3</v>
      </c>
      <c r="K45" s="1" t="s">
        <v>559</v>
      </c>
    </row>
    <row r="46" spans="1:20">
      <c r="A46" s="264">
        <v>-6</v>
      </c>
      <c r="C46" s="3" t="s">
        <v>1537</v>
      </c>
    </row>
    <row r="47" spans="1:20">
      <c r="A47" s="264">
        <v>-7</v>
      </c>
      <c r="C47" s="3" t="s">
        <v>364</v>
      </c>
    </row>
    <row r="48" spans="1:20">
      <c r="C48" s="3" t="s">
        <v>1538</v>
      </c>
    </row>
  </sheetData>
  <printOptions horizontalCentered="1"/>
  <pageMargins left="0.7" right="0.7" top="0.75" bottom="0.75" header="0.3" footer="0.3"/>
  <pageSetup scale="91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8">
    <pageSetUpPr fitToPage="1"/>
  </sheetPr>
  <dimension ref="A1:T48"/>
  <sheetViews>
    <sheetView topLeftCell="A6" zoomScaleNormal="100" workbookViewId="0">
      <selection activeCell="C16" sqref="C16"/>
    </sheetView>
  </sheetViews>
  <sheetFormatPr baseColWidth="10" defaultColWidth="8.7109375" defaultRowHeight="15"/>
  <cols>
    <col min="1" max="1" width="9.7109375" style="1" customWidth="1"/>
    <col min="2" max="2" width="1.7109375" style="1" customWidth="1"/>
    <col min="3" max="3" width="9.7109375" style="1" customWidth="1"/>
    <col min="4" max="4" width="1.7109375" style="1" customWidth="1"/>
    <col min="5" max="5" width="9.7109375" style="1" customWidth="1"/>
    <col min="6" max="6" width="1.7109375" style="1" customWidth="1"/>
    <col min="7" max="7" width="9.7109375" style="1" customWidth="1"/>
    <col min="8" max="8" width="1.7109375" style="1" customWidth="1"/>
    <col min="9" max="9" width="9.7109375" style="1" customWidth="1"/>
    <col min="10" max="10" width="1.7109375" style="1" customWidth="1"/>
    <col min="11" max="11" width="9.7109375" style="1" customWidth="1"/>
    <col min="12" max="12" width="1.7109375" style="1" customWidth="1"/>
    <col min="13" max="13" width="9.7109375" style="1" customWidth="1"/>
    <col min="14" max="16384" width="8.7109375" style="1"/>
  </cols>
  <sheetData>
    <row r="1" spans="1:20">
      <c r="M1" s="52" t="s">
        <v>935</v>
      </c>
    </row>
    <row r="2" spans="1:20">
      <c r="M2" s="64" t="s">
        <v>96</v>
      </c>
    </row>
    <row r="4" spans="1:20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20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20">
      <c r="A6" s="5" t="s">
        <v>208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20">
      <c r="A7" s="5" t="s">
        <v>398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20">
      <c r="A8" s="5"/>
      <c r="B8" s="5"/>
      <c r="C8" s="5"/>
      <c r="D8" s="5"/>
      <c r="E8" s="5"/>
      <c r="F8" s="5"/>
      <c r="G8" s="5"/>
      <c r="H8" s="5"/>
      <c r="I8" s="5"/>
      <c r="J8" s="5"/>
      <c r="K8" s="5"/>
    </row>
    <row r="11" spans="1:20">
      <c r="A11" s="6"/>
      <c r="B11" s="6"/>
      <c r="C11" s="6" t="s">
        <v>124</v>
      </c>
      <c r="D11" s="6"/>
      <c r="E11" s="6" t="s">
        <v>7</v>
      </c>
      <c r="F11" s="6"/>
      <c r="H11" s="6"/>
      <c r="J11" s="6"/>
    </row>
    <row r="12" spans="1:20">
      <c r="A12" s="6" t="s">
        <v>122</v>
      </c>
      <c r="B12" s="6"/>
      <c r="C12" s="6" t="s">
        <v>125</v>
      </c>
      <c r="D12" s="6"/>
      <c r="E12" s="6" t="s">
        <v>62</v>
      </c>
      <c r="F12" s="6"/>
      <c r="G12" s="6" t="s">
        <v>122</v>
      </c>
      <c r="H12" s="6"/>
      <c r="I12" s="7" t="s">
        <v>206</v>
      </c>
      <c r="J12" s="8"/>
      <c r="K12" s="8"/>
      <c r="L12" s="8"/>
      <c r="M12" s="8"/>
      <c r="S12" s="25" t="s">
        <v>122</v>
      </c>
      <c r="T12" s="61"/>
    </row>
    <row r="13" spans="1:20">
      <c r="A13" s="6" t="s">
        <v>123</v>
      </c>
      <c r="B13" s="6"/>
      <c r="C13" s="6" t="s">
        <v>67</v>
      </c>
      <c r="D13" s="6"/>
      <c r="E13" s="6" t="s">
        <v>14</v>
      </c>
      <c r="F13" s="6"/>
      <c r="G13" s="6" t="s">
        <v>123</v>
      </c>
      <c r="H13" s="6"/>
      <c r="I13" s="2" t="s">
        <v>5</v>
      </c>
      <c r="J13" s="6"/>
      <c r="K13" s="2" t="s">
        <v>204</v>
      </c>
      <c r="M13" s="2" t="s">
        <v>198</v>
      </c>
      <c r="S13" s="25" t="s">
        <v>123</v>
      </c>
      <c r="T13" s="61"/>
    </row>
    <row r="14" spans="1:20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  <c r="M14" s="118" t="s">
        <v>30</v>
      </c>
      <c r="S14" s="142" t="s">
        <v>38</v>
      </c>
      <c r="T14" s="61"/>
    </row>
    <row r="15" spans="1:20">
      <c r="C15" s="265"/>
      <c r="D15" s="252"/>
      <c r="E15" s="252"/>
      <c r="S15" s="61"/>
      <c r="T15" s="61"/>
    </row>
    <row r="16" spans="1:20">
      <c r="A16" s="6">
        <v>239</v>
      </c>
      <c r="C16" s="266">
        <v>1</v>
      </c>
      <c r="D16" s="267"/>
      <c r="E16" s="74">
        <f>1/C16</f>
        <v>1</v>
      </c>
      <c r="G16" s="268">
        <v>240</v>
      </c>
      <c r="I16" s="73">
        <f t="shared" ref="I16:I34" si="0">T16*((12-J$45)/12)+T17*((J$45)/12)</f>
        <v>0.9375</v>
      </c>
      <c r="K16" s="74">
        <v>0.99999999999999989</v>
      </c>
      <c r="M16" s="74">
        <v>1</v>
      </c>
      <c r="S16" s="230">
        <v>240</v>
      </c>
      <c r="T16" s="72">
        <f t="shared" ref="T16:T34" si="1">$E16*(11/12)+$E15*(1/12)</f>
        <v>0.91666666666666663</v>
      </c>
    </row>
    <row r="17" spans="1:20">
      <c r="A17" s="6">
        <v>227</v>
      </c>
      <c r="C17" s="266">
        <v>1</v>
      </c>
      <c r="D17" s="267"/>
      <c r="E17" s="74">
        <f t="shared" ref="E17:E35" si="2">1/C17</f>
        <v>1</v>
      </c>
      <c r="G17" s="268">
        <v>228</v>
      </c>
      <c r="I17" s="73">
        <f t="shared" si="0"/>
        <v>1</v>
      </c>
      <c r="K17" s="74">
        <v>0.99999999999999989</v>
      </c>
      <c r="M17" s="74">
        <v>1</v>
      </c>
      <c r="S17" s="230">
        <v>228</v>
      </c>
      <c r="T17" s="72">
        <f t="shared" si="1"/>
        <v>1</v>
      </c>
    </row>
    <row r="18" spans="1:20">
      <c r="A18" s="6">
        <v>215</v>
      </c>
      <c r="C18" s="266">
        <v>1</v>
      </c>
      <c r="D18" s="267"/>
      <c r="E18" s="74">
        <f t="shared" si="2"/>
        <v>1</v>
      </c>
      <c r="G18" s="268">
        <v>216</v>
      </c>
      <c r="I18" s="73">
        <f t="shared" si="0"/>
        <v>1</v>
      </c>
      <c r="K18" s="74">
        <v>0.99999999999999989</v>
      </c>
      <c r="M18" s="74">
        <v>1</v>
      </c>
      <c r="S18" s="230">
        <v>216</v>
      </c>
      <c r="T18" s="72">
        <f t="shared" si="1"/>
        <v>1</v>
      </c>
    </row>
    <row r="19" spans="1:20">
      <c r="A19" s="6">
        <v>203</v>
      </c>
      <c r="C19" s="266">
        <v>1</v>
      </c>
      <c r="D19" s="267"/>
      <c r="E19" s="74">
        <f t="shared" si="2"/>
        <v>1</v>
      </c>
      <c r="G19" s="268">
        <v>204</v>
      </c>
      <c r="I19" s="73">
        <f t="shared" si="0"/>
        <v>1</v>
      </c>
      <c r="K19" s="74">
        <v>0.99999999999999989</v>
      </c>
      <c r="M19" s="74">
        <v>1</v>
      </c>
      <c r="S19" s="230">
        <v>204</v>
      </c>
      <c r="T19" s="72">
        <f t="shared" si="1"/>
        <v>1</v>
      </c>
    </row>
    <row r="20" spans="1:20">
      <c r="A20" s="6">
        <v>191</v>
      </c>
      <c r="C20" s="266">
        <v>1</v>
      </c>
      <c r="D20" s="267"/>
      <c r="E20" s="74">
        <f t="shared" si="2"/>
        <v>1</v>
      </c>
      <c r="G20" s="268">
        <v>192</v>
      </c>
      <c r="I20" s="73">
        <f t="shared" si="0"/>
        <v>1</v>
      </c>
      <c r="K20" s="74">
        <v>0.99999999999999989</v>
      </c>
      <c r="M20" s="270">
        <f>'Exhibit Q,10'!C$32*$I20+'Exhibit Q,10'!E$32*$I21+'Exhibit Q,10'!G$32*$I22+'Exhibit Q,10'!I$32*$I23+'Exhibit Q,10'!K$32*$I24+'Exhibit Q,10'!M$32*$I25</f>
        <v>0.99999999999999989</v>
      </c>
      <c r="S20" s="230">
        <v>192</v>
      </c>
      <c r="T20" s="72">
        <f t="shared" si="1"/>
        <v>1</v>
      </c>
    </row>
    <row r="21" spans="1:20">
      <c r="A21" s="6">
        <v>179</v>
      </c>
      <c r="C21" s="266">
        <v>1</v>
      </c>
      <c r="D21" s="267"/>
      <c r="E21" s="74">
        <f t="shared" si="2"/>
        <v>1</v>
      </c>
      <c r="G21" s="268">
        <v>180</v>
      </c>
      <c r="I21" s="73">
        <f t="shared" si="0"/>
        <v>1</v>
      </c>
      <c r="K21" s="270">
        <f>'Exhibit Q,10'!C$31*$I21+'Exhibit Q,10'!E$31*$I22+'Exhibit Q,10'!G$31*$I23+'Exhibit Q,10'!I$31*$I24+'Exhibit Q,10'!K$31*$I25+'Exhibit Q,10'!M$31*$I26</f>
        <v>1</v>
      </c>
      <c r="M21" s="270">
        <f>'Exhibit Q,10'!C$32*$I21+'Exhibit Q,10'!E$32*$I22+'Exhibit Q,10'!G$32*$I23+'Exhibit Q,10'!I$32*$I24+'Exhibit Q,10'!K$32*$I25+'Exhibit Q,10'!M$32*$I26</f>
        <v>0.99999999999999989</v>
      </c>
      <c r="S21" s="230">
        <v>180</v>
      </c>
      <c r="T21" s="72">
        <f t="shared" si="1"/>
        <v>1</v>
      </c>
    </row>
    <row r="22" spans="1:20">
      <c r="A22" s="6">
        <v>167</v>
      </c>
      <c r="C22" s="266">
        <v>1</v>
      </c>
      <c r="D22" s="267"/>
      <c r="E22" s="74">
        <f t="shared" si="2"/>
        <v>1</v>
      </c>
      <c r="G22" s="268">
        <v>168</v>
      </c>
      <c r="I22" s="73">
        <f t="shared" si="0"/>
        <v>1</v>
      </c>
      <c r="K22" s="270">
        <f>'Exhibit Q,10'!C$31*$I22+'Exhibit Q,10'!E$31*$I23+'Exhibit Q,10'!G$31*$I24+'Exhibit Q,10'!I$31*$I25+'Exhibit Q,10'!K$31*$I26+'Exhibit Q,10'!M$31*$I27</f>
        <v>0.99999333191080764</v>
      </c>
      <c r="M22" s="270">
        <f>'Exhibit Q,10'!C$32*$I22+'Exhibit Q,10'!E$32*$I23+'Exhibit Q,10'!G$32*$I24+'Exhibit Q,10'!I$32*$I25+'Exhibit Q,10'!K$32*$I26+'Exhibit Q,10'!M$32*$I27</f>
        <v>0.99999999999999989</v>
      </c>
      <c r="S22" s="230">
        <v>168</v>
      </c>
      <c r="T22" s="72">
        <f t="shared" si="1"/>
        <v>1</v>
      </c>
    </row>
    <row r="23" spans="1:20">
      <c r="A23" s="6">
        <v>155</v>
      </c>
      <c r="C23" s="266">
        <v>1</v>
      </c>
      <c r="D23" s="267"/>
      <c r="E23" s="74">
        <f t="shared" si="2"/>
        <v>1</v>
      </c>
      <c r="G23" s="268">
        <v>156</v>
      </c>
      <c r="I23" s="73">
        <f t="shared" si="0"/>
        <v>1</v>
      </c>
      <c r="K23" s="270">
        <f>'Exhibit Q,10'!C$31*$I23+'Exhibit Q,10'!E$31*$I24+'Exhibit Q,10'!G$31*$I25+'Exhibit Q,10'!I$31*$I26+'Exhibit Q,10'!K$31*$I27+'Exhibit Q,10'!M$31*$I28</f>
        <v>0.99959610425824397</v>
      </c>
      <c r="M23" s="270">
        <f>'Exhibit Q,10'!C$32*$I23+'Exhibit Q,10'!E$32*$I24+'Exhibit Q,10'!G$32*$I25+'Exhibit Q,10'!I$32*$I26+'Exhibit Q,10'!K$32*$I27+'Exhibit Q,10'!M$32*$I28</f>
        <v>0.99999651377918042</v>
      </c>
      <c r="S23" s="230">
        <v>156</v>
      </c>
      <c r="T23" s="72">
        <f t="shared" si="1"/>
        <v>1</v>
      </c>
    </row>
    <row r="24" spans="1:20">
      <c r="A24" s="6">
        <v>143</v>
      </c>
      <c r="C24" s="266">
        <v>1</v>
      </c>
      <c r="D24" s="267"/>
      <c r="E24" s="74">
        <f t="shared" si="2"/>
        <v>1</v>
      </c>
      <c r="G24" s="268">
        <v>144</v>
      </c>
      <c r="I24" s="73">
        <f t="shared" si="0"/>
        <v>1</v>
      </c>
      <c r="K24" s="270">
        <f>'Exhibit Q,10'!C$31*$I24+'Exhibit Q,10'!E$31*$I25+'Exhibit Q,10'!G$31*$I26+'Exhibit Q,10'!I$31*$I27+'Exhibit Q,10'!K$31*$I28+'Exhibit Q,10'!M$31*$I29</f>
        <v>0.99637902680980917</v>
      </c>
      <c r="M24" s="270">
        <f>'Exhibit Q,10'!C$32*$I24+'Exhibit Q,10'!E$32*$I25+'Exhibit Q,10'!G$32*$I26+'Exhibit Q,10'!I$32*$I27+'Exhibit Q,10'!K$32*$I28+'Exhibit Q,10'!M$32*$I29</f>
        <v>0.99978541673311283</v>
      </c>
      <c r="S24" s="230">
        <v>144</v>
      </c>
      <c r="T24" s="72">
        <f t="shared" si="1"/>
        <v>1</v>
      </c>
    </row>
    <row r="25" spans="1:20">
      <c r="A25" s="6">
        <v>131</v>
      </c>
      <c r="C25" s="266">
        <v>1</v>
      </c>
      <c r="D25" s="267"/>
      <c r="E25" s="74">
        <f t="shared" si="2"/>
        <v>1</v>
      </c>
      <c r="G25" s="268">
        <v>132</v>
      </c>
      <c r="I25" s="73">
        <f t="shared" si="0"/>
        <v>1</v>
      </c>
      <c r="K25" s="270">
        <f>'Exhibit Q,10'!C$31*$I25+'Exhibit Q,10'!E$31*$I26+'Exhibit Q,10'!G$31*$I27+'Exhibit Q,10'!I$31*$I28+'Exhibit Q,10'!K$31*$I29+'Exhibit Q,10'!M$31*$I30</f>
        <v>0.98406118946085974</v>
      </c>
      <c r="M25" s="270">
        <f>'Exhibit Q,10'!C$32*$I25+'Exhibit Q,10'!E$32*$I26+'Exhibit Q,10'!G$32*$I27+'Exhibit Q,10'!I$32*$I28+'Exhibit Q,10'!K$32*$I29+'Exhibit Q,10'!M$32*$I30</f>
        <v>0.99789650138218333</v>
      </c>
      <c r="S25" s="230">
        <v>132</v>
      </c>
      <c r="T25" s="72">
        <f t="shared" si="1"/>
        <v>1</v>
      </c>
    </row>
    <row r="26" spans="1:20">
      <c r="A26" s="6">
        <v>119</v>
      </c>
      <c r="C26" s="266">
        <v>1</v>
      </c>
      <c r="D26" s="267"/>
      <c r="E26" s="74">
        <f t="shared" si="2"/>
        <v>1</v>
      </c>
      <c r="G26" s="268">
        <v>120</v>
      </c>
      <c r="I26" s="73">
        <f t="shared" si="0"/>
        <v>1</v>
      </c>
      <c r="K26" s="270">
        <f>'Exhibit Q,10'!C$31*$I26+'Exhibit Q,10'!E$31*$I27+'Exhibit Q,10'!G$31*$I28+'Exhibit Q,10'!I$31*$I29+'Exhibit Q,10'!K$31*$I30+'Exhibit Q,10'!M$31*$I31</f>
        <v>0.9518348987448102</v>
      </c>
      <c r="M26" s="270">
        <f>'Exhibit Q,10'!C$32*$I26+'Exhibit Q,10'!E$32*$I27+'Exhibit Q,10'!G$32*$I28+'Exhibit Q,10'!I$32*$I29+'Exhibit Q,10'!K$32*$I30+'Exhibit Q,10'!M$32*$I31</f>
        <v>0.98960459260108646</v>
      </c>
      <c r="S26" s="230">
        <v>120</v>
      </c>
      <c r="T26" s="72">
        <f t="shared" si="1"/>
        <v>1</v>
      </c>
    </row>
    <row r="27" spans="1:20" ht="16">
      <c r="A27" s="6">
        <v>107</v>
      </c>
      <c r="B27" s="271"/>
      <c r="C27" s="266">
        <v>1</v>
      </c>
      <c r="E27" s="74">
        <f t="shared" si="2"/>
        <v>1</v>
      </c>
      <c r="G27" s="268">
        <v>108</v>
      </c>
      <c r="I27" s="73">
        <f t="shared" si="0"/>
        <v>0.99977106227106227</v>
      </c>
      <c r="K27" s="270">
        <f>'Exhibit Q,10'!C$31*$I27+'Exhibit Q,10'!E$31*$I28+'Exhibit Q,10'!G$31*$I29+'Exhibit Q,10'!I$31*$I30+'Exhibit Q,10'!K$31*$I31+'Exhibit Q,10'!M$31*$I32</f>
        <v>0.88463278849113403</v>
      </c>
      <c r="M27" s="270">
        <f>'Exhibit Q,10'!C$32*$I27+'Exhibit Q,10'!E$32*$I28+'Exhibit Q,10'!G$32*$I29+'Exhibit Q,10'!I$32*$I30+'Exhibit Q,10'!K$32*$I31+'Exhibit Q,10'!M$32*$I32</f>
        <v>0.96462667055732176</v>
      </c>
      <c r="N27" s="74"/>
      <c r="O27" s="74"/>
      <c r="P27" s="74"/>
      <c r="R27" s="74"/>
      <c r="S27" s="230">
        <v>108</v>
      </c>
      <c r="T27" s="72">
        <f t="shared" si="1"/>
        <v>1</v>
      </c>
    </row>
    <row r="28" spans="1:20" ht="16">
      <c r="A28" s="6">
        <v>95</v>
      </c>
      <c r="B28" s="271"/>
      <c r="C28" s="266">
        <v>1.0009999999999999</v>
      </c>
      <c r="E28" s="74">
        <f t="shared" si="2"/>
        <v>0.99900099900099915</v>
      </c>
      <c r="G28" s="268">
        <v>96</v>
      </c>
      <c r="I28" s="73">
        <f t="shared" si="0"/>
        <v>0.98712829429654092</v>
      </c>
      <c r="K28" s="270">
        <f>'Exhibit Q,10'!C$31*$I28+'Exhibit Q,10'!E$31*$I29+'Exhibit Q,10'!G$31*$I30+'Exhibit Q,10'!I$31*$I31+'Exhibit Q,10'!K$31*$I32+'Exhibit Q,10'!M$31*$I33</f>
        <v>0.77413221418756017</v>
      </c>
      <c r="M28" s="270">
        <f>'Exhibit Q,10'!C$32*$I28+'Exhibit Q,10'!E$32*$I29+'Exhibit Q,10'!G$32*$I30+'Exhibit Q,10'!I$32*$I31+'Exhibit Q,10'!K$32*$I32+'Exhibit Q,10'!M$32*$I33</f>
        <v>0.90511900392020861</v>
      </c>
      <c r="N28" s="74"/>
      <c r="O28" s="74"/>
      <c r="P28" s="74"/>
      <c r="R28" s="74"/>
      <c r="S28" s="230">
        <v>96</v>
      </c>
      <c r="T28" s="72">
        <f t="shared" si="1"/>
        <v>0.9990842490842492</v>
      </c>
    </row>
    <row r="29" spans="1:20" ht="16">
      <c r="A29" s="6">
        <v>83</v>
      </c>
      <c r="B29" s="271"/>
      <c r="C29" s="266">
        <v>1.0560549999999997</v>
      </c>
      <c r="E29" s="74">
        <f t="shared" si="2"/>
        <v>0.9469203781999993</v>
      </c>
      <c r="G29" s="268">
        <v>84</v>
      </c>
      <c r="I29" s="73">
        <f t="shared" si="0"/>
        <v>0.93317521435764639</v>
      </c>
      <c r="K29" s="270">
        <f>'Exhibit Q,10'!C$31*$I29+'Exhibit Q,10'!E$31*$I30+'Exhibit Q,10'!G$31*$I31+'Exhibit Q,10'!I$31*$I32+'Exhibit Q,10'!K$31*$I33+'Exhibit Q,10'!M$31*$I34</f>
        <v>0.62688929209367394</v>
      </c>
      <c r="M29" s="270">
        <f>'Exhibit Q,10'!C$32*$I29+'Exhibit Q,10'!E$32*$I30+'Exhibit Q,10'!G$32*$I31+'Exhibit Q,10'!I$32*$I32+'Exhibit Q,10'!K$32*$I33+'Exhibit Q,10'!M$32*$I34</f>
        <v>0.79536808552450733</v>
      </c>
      <c r="N29" s="74"/>
      <c r="O29" s="74"/>
      <c r="P29" s="74"/>
      <c r="R29" s="74"/>
      <c r="S29" s="230">
        <v>84</v>
      </c>
      <c r="T29" s="72">
        <f t="shared" si="1"/>
        <v>0.95126042993341597</v>
      </c>
    </row>
    <row r="30" spans="1:20" ht="16">
      <c r="A30" s="6">
        <v>71</v>
      </c>
      <c r="B30" s="271"/>
      <c r="C30" s="266">
        <v>1.1458196749999996</v>
      </c>
      <c r="E30" s="74">
        <f t="shared" si="2"/>
        <v>0.87273767576036809</v>
      </c>
      <c r="G30" s="268">
        <v>72</v>
      </c>
      <c r="I30" s="73">
        <f t="shared" si="0"/>
        <v>0.83121969834859488</v>
      </c>
      <c r="K30" s="270">
        <f>'Exhibit Q,10'!C$31*$I30+'Exhibit Q,10'!E$31*$I31+'Exhibit Q,10'!G$31*$I32+'Exhibit Q,10'!I$31*$I33+'Exhibit Q,10'!K$31*$I34+'Exhibit Q,10'!M$31*$I35</f>
        <v>0.45997720463551872</v>
      </c>
      <c r="M30" s="270">
        <f>'Exhibit Q,10'!C$32*$I30+'Exhibit Q,10'!E$32*$I31+'Exhibit Q,10'!G$32*$I32+'Exhibit Q,10'!I$32*$I33+'Exhibit Q,10'!K$32*$I34+'Exhibit Q,10'!M$32*$I35</f>
        <v>0.63793730122556547</v>
      </c>
      <c r="N30" s="74"/>
      <c r="O30" s="74"/>
      <c r="P30" s="74"/>
      <c r="R30" s="74"/>
      <c r="S30" s="230">
        <v>72</v>
      </c>
      <c r="T30" s="72">
        <f t="shared" si="1"/>
        <v>0.87891956763033741</v>
      </c>
    </row>
    <row r="31" spans="1:20" ht="16">
      <c r="A31" s="6">
        <v>59</v>
      </c>
      <c r="B31" s="271"/>
      <c r="C31" s="266">
        <v>1.4895655774999996</v>
      </c>
      <c r="E31" s="74">
        <f t="shared" si="2"/>
        <v>0.67133667366182159</v>
      </c>
      <c r="G31" s="268">
        <v>60</v>
      </c>
      <c r="I31" s="73">
        <f t="shared" si="0"/>
        <v>0.63096017494875911</v>
      </c>
      <c r="K31" s="270">
        <f>'Exhibit Q,10'!C$31*$I31+'Exhibit Q,10'!E$31*$I32+'Exhibit Q,10'!G$31*$I33+'Exhibit Q,10'!I$31*$I34+'Exhibit Q,10'!K$31*$I35+'Exhibit Q,10'!M$31*$I36</f>
        <v>0.297398860280155</v>
      </c>
      <c r="M31" s="270">
        <f>'Exhibit Q,10'!C$32*$I31+'Exhibit Q,10'!E$32*$I32+'Exhibit Q,10'!G$32*$I33+'Exhibit Q,10'!I$32*$I34+'Exhibit Q,10'!K$32*$I35+'Exhibit Q,10'!M$32*$I36</f>
        <v>0.44763357101768064</v>
      </c>
      <c r="N31" s="74"/>
      <c r="O31" s="74"/>
      <c r="P31" s="74"/>
      <c r="R31" s="74"/>
      <c r="S31" s="230">
        <v>60</v>
      </c>
      <c r="T31" s="72">
        <f t="shared" si="1"/>
        <v>0.68812009050336709</v>
      </c>
    </row>
    <row r="32" spans="1:20" ht="16">
      <c r="A32" s="6">
        <v>47</v>
      </c>
      <c r="B32" s="271"/>
      <c r="C32" s="266">
        <v>2.2715875056874992</v>
      </c>
      <c r="E32" s="74">
        <f t="shared" si="2"/>
        <v>0.44022076961430923</v>
      </c>
      <c r="G32" s="268">
        <v>48</v>
      </c>
      <c r="I32" s="73">
        <f t="shared" si="0"/>
        <v>0.41365335363899214</v>
      </c>
      <c r="K32" s="270">
        <f>'Exhibit Q,10'!C$31*$I32+'Exhibit Q,10'!E$31*$I33+'Exhibit Q,10'!G$31*$I34+'Exhibit Q,10'!I$31*$I35+'Exhibit Q,10'!K$31*$I36+'Exhibit Q,10'!M$31*$I37</f>
        <v>0.16898897355264944</v>
      </c>
      <c r="M32" s="270">
        <f>'Exhibit Q,10'!C$32*$I32+'Exhibit Q,10'!E$32*$I33+'Exhibit Q,10'!G$32*$I34+'Exhibit Q,10'!I$32*$I35+'Exhibit Q,10'!K$32*$I36+'Exhibit Q,10'!M$32*$I37</f>
        <v>0.27683516213444787</v>
      </c>
      <c r="N32" s="74"/>
      <c r="O32" s="74"/>
      <c r="P32" s="74"/>
      <c r="R32" s="74"/>
      <c r="S32" s="230">
        <v>48</v>
      </c>
      <c r="T32" s="72">
        <f t="shared" si="1"/>
        <v>0.45948042828493524</v>
      </c>
    </row>
    <row r="33" spans="1:20" ht="16">
      <c r="A33" s="6">
        <v>35</v>
      </c>
      <c r="B33" s="271"/>
      <c r="C33" s="266">
        <v>3.8276249470834363</v>
      </c>
      <c r="E33" s="74">
        <f t="shared" si="2"/>
        <v>0.26125861698178587</v>
      </c>
      <c r="G33" s="268">
        <v>36</v>
      </c>
      <c r="I33" s="73">
        <f t="shared" si="0"/>
        <v>0.24919080249458853</v>
      </c>
      <c r="K33" s="270">
        <f>'Exhibit Q,10'!C$31*$I33+'Exhibit Q,10'!E$31*$I34+'Exhibit Q,10'!G$31*$I35+'Exhibit Q,10'!I$31*$I36+'Exhibit Q,10'!K$31*$I37+'Exhibit Q,10'!M$31*$I38</f>
        <v>8.2644412913233184E-2</v>
      </c>
      <c r="M33" s="270">
        <f>'Exhibit Q,10'!C$32*$I33+'Exhibit Q,10'!E$32*$I34+'Exhibit Q,10'!G$32*$I35+'Exhibit Q,10'!I$32*$I36+'Exhibit Q,10'!K$32*$I37+'Exhibit Q,10'!M$32*$I38</f>
        <v>0.15160205795585432</v>
      </c>
      <c r="N33" s="74"/>
      <c r="O33" s="74"/>
      <c r="P33" s="74"/>
      <c r="R33" s="74"/>
      <c r="S33" s="230">
        <v>36</v>
      </c>
      <c r="T33" s="72">
        <f t="shared" si="1"/>
        <v>0.27617212970116278</v>
      </c>
    </row>
    <row r="34" spans="1:20" ht="16">
      <c r="A34" s="6">
        <v>23</v>
      </c>
      <c r="B34" s="271"/>
      <c r="C34" s="266">
        <v>6.2581667884814181</v>
      </c>
      <c r="E34" s="74">
        <f t="shared" si="2"/>
        <v>0.15979120304696387</v>
      </c>
      <c r="G34" s="268">
        <v>24</v>
      </c>
      <c r="I34" s="73">
        <f t="shared" si="0"/>
        <v>0.13726411331008889</v>
      </c>
      <c r="K34" s="270">
        <f>'Exhibit Q,10'!C$31*$I34+'Exhibit Q,10'!E$31*$I35+'Exhibit Q,10'!G$31*$I36+'Exhibit Q,10'!I$31*$I37+'Exhibit Q,10'!K$31*$I38+'Exhibit Q,10'!M$31*$I39</f>
        <v>2.9959905502939164E-2</v>
      </c>
      <c r="M34" s="270">
        <f>'Exhibit Q,10'!C$32*$I34+'Exhibit Q,10'!E$32*$I35+'Exhibit Q,10'!G$32*$I36+'Exhibit Q,10'!I$32*$I37+'Exhibit Q,10'!K$32*$I38+'Exhibit Q,10'!M$32*$I39</f>
        <v>6.6441518895687945E-2</v>
      </c>
      <c r="N34" s="74"/>
      <c r="O34" s="74"/>
      <c r="P34" s="74"/>
      <c r="R34" s="74"/>
      <c r="S34" s="230">
        <v>24</v>
      </c>
      <c r="T34" s="72">
        <f t="shared" si="1"/>
        <v>0.1682468208748657</v>
      </c>
    </row>
    <row r="35" spans="1:20" ht="16">
      <c r="A35" s="6">
        <v>11</v>
      </c>
      <c r="B35" s="271"/>
      <c r="C35" s="266">
        <v>29.569838075574697</v>
      </c>
      <c r="E35" s="74">
        <f t="shared" si="2"/>
        <v>3.3818244031103464E-2</v>
      </c>
      <c r="G35" s="268">
        <v>12</v>
      </c>
      <c r="I35" s="73">
        <f>MIN(T35*((12-J$45)/12)+T36*((J$45)/12),(9/11)*E35)</f>
        <v>2.7669472389084654E-2</v>
      </c>
      <c r="K35" s="270">
        <f>'Exhibit Q,10'!C$31*$I35+'Exhibit Q,10'!E$31*$I36+'Exhibit Q,10'!G$31*$I37+'Exhibit Q,10'!I$31*$I38+'Exhibit Q,10'!K$31*$I39+'Exhibit Q,10'!M$31*$I40</f>
        <v>4.6371458282525894E-3</v>
      </c>
      <c r="M35" s="270">
        <f>'Exhibit Q,10'!C$32*$I35+'Exhibit Q,10'!E$32*$I36+'Exhibit Q,10'!G$32*$I37+'Exhibit Q,10'!I$32*$I38+'Exhibit Q,10'!K$32*$I39+'Exhibit Q,10'!M$32*$I40</f>
        <v>1.1729243483766482E-2</v>
      </c>
      <c r="N35" s="74"/>
      <c r="O35" s="74"/>
      <c r="P35" s="74"/>
      <c r="R35" s="74"/>
      <c r="S35" s="230">
        <v>12</v>
      </c>
      <c r="T35" s="72">
        <f>$E35*(11/12)+$E34*(1/12)</f>
        <v>4.4315990615758499E-2</v>
      </c>
    </row>
    <row r="41" spans="1:20">
      <c r="A41" s="64" t="s">
        <v>141</v>
      </c>
      <c r="C41" s="3" t="s">
        <v>210</v>
      </c>
    </row>
    <row r="42" spans="1:20">
      <c r="A42" s="264">
        <v>-2</v>
      </c>
      <c r="C42" s="3" t="s">
        <v>943</v>
      </c>
    </row>
    <row r="43" spans="1:20">
      <c r="A43" s="264">
        <v>-3</v>
      </c>
      <c r="C43" s="3" t="s">
        <v>211</v>
      </c>
    </row>
    <row r="44" spans="1:20">
      <c r="A44" s="264">
        <v>-4</v>
      </c>
      <c r="C44" s="3" t="s">
        <v>212</v>
      </c>
    </row>
    <row r="45" spans="1:20">
      <c r="A45" s="264">
        <v>-5</v>
      </c>
      <c r="C45" s="3" t="s">
        <v>558</v>
      </c>
      <c r="J45" s="1">
        <f>'Exhibit Q,1'!J45</f>
        <v>3</v>
      </c>
      <c r="K45" s="1" t="s">
        <v>559</v>
      </c>
    </row>
    <row r="46" spans="1:20">
      <c r="A46" s="264">
        <v>-6</v>
      </c>
      <c r="C46" s="3" t="s">
        <v>1539</v>
      </c>
    </row>
    <row r="47" spans="1:20">
      <c r="A47" s="264">
        <v>-7</v>
      </c>
      <c r="C47" s="3" t="s">
        <v>364</v>
      </c>
    </row>
    <row r="48" spans="1:20">
      <c r="C48" s="3" t="s">
        <v>1536</v>
      </c>
    </row>
  </sheetData>
  <printOptions horizontalCentered="1"/>
  <pageMargins left="0.7" right="0.7" top="0.75" bottom="0.75" header="0.3" footer="0.3"/>
  <pageSetup scale="91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0">
    <pageSetUpPr fitToPage="1"/>
  </sheetPr>
  <dimension ref="A1:V49"/>
  <sheetViews>
    <sheetView showOutlineSymbols="0" topLeftCell="A12" zoomScaleNormal="100" workbookViewId="0">
      <selection activeCell="C16" sqref="C16:C34"/>
    </sheetView>
  </sheetViews>
  <sheetFormatPr baseColWidth="10" defaultColWidth="9.7109375" defaultRowHeight="15"/>
  <cols>
    <col min="1" max="1" width="9.7109375" style="1" customWidth="1"/>
    <col min="2" max="2" width="1.7109375" style="1" customWidth="1"/>
    <col min="3" max="3" width="9.7109375" style="1" customWidth="1"/>
    <col min="4" max="4" width="1.7109375" style="1" customWidth="1"/>
    <col min="5" max="5" width="9.7109375" style="1" customWidth="1"/>
    <col min="6" max="6" width="1.7109375" style="1" customWidth="1"/>
    <col min="7" max="7" width="9.7109375" style="1" customWidth="1"/>
    <col min="8" max="8" width="1.7109375" style="1" customWidth="1"/>
    <col min="9" max="9" width="9.7109375" style="1" customWidth="1"/>
    <col min="10" max="10" width="1.7109375" style="1" customWidth="1"/>
    <col min="11" max="11" width="9.7109375" style="1" customWidth="1"/>
    <col min="12" max="12" width="1.7109375" style="1" customWidth="1"/>
    <col min="13" max="13" width="9.7109375" style="1" customWidth="1"/>
    <col min="14" max="16384" width="9.7109375" style="1"/>
  </cols>
  <sheetData>
    <row r="1" spans="1:20">
      <c r="M1" s="64" t="s">
        <v>935</v>
      </c>
    </row>
    <row r="2" spans="1:20">
      <c r="M2" s="64" t="s">
        <v>98</v>
      </c>
    </row>
    <row r="4" spans="1:20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20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20">
      <c r="A6" s="5" t="s">
        <v>207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20">
      <c r="A7" s="5" t="s">
        <v>399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20">
      <c r="A8" s="5"/>
      <c r="B8" s="5"/>
      <c r="C8" s="5"/>
      <c r="D8" s="272"/>
      <c r="E8" s="5"/>
      <c r="F8" s="5"/>
      <c r="G8" s="5"/>
      <c r="H8" s="5"/>
      <c r="I8" s="5"/>
      <c r="J8" s="5"/>
      <c r="K8" s="5"/>
    </row>
    <row r="11" spans="1:20">
      <c r="A11" s="6"/>
      <c r="B11" s="6"/>
      <c r="C11" s="6" t="s">
        <v>124</v>
      </c>
      <c r="D11" s="6"/>
      <c r="E11" s="6" t="s">
        <v>7</v>
      </c>
      <c r="F11" s="6"/>
      <c r="H11" s="6"/>
      <c r="J11" s="6"/>
    </row>
    <row r="12" spans="1:20">
      <c r="A12" s="6" t="s">
        <v>122</v>
      </c>
      <c r="B12" s="6"/>
      <c r="C12" s="6" t="s">
        <v>125</v>
      </c>
      <c r="D12" s="6"/>
      <c r="E12" s="6" t="s">
        <v>62</v>
      </c>
      <c r="F12" s="6"/>
      <c r="G12" s="6" t="s">
        <v>122</v>
      </c>
      <c r="H12" s="6"/>
      <c r="I12" s="7" t="s">
        <v>205</v>
      </c>
      <c r="J12" s="8"/>
      <c r="K12" s="8"/>
      <c r="L12" s="8"/>
      <c r="M12" s="8"/>
      <c r="S12" s="25" t="s">
        <v>122</v>
      </c>
      <c r="T12" s="61"/>
    </row>
    <row r="13" spans="1:20">
      <c r="A13" s="6" t="s">
        <v>123</v>
      </c>
      <c r="B13" s="6"/>
      <c r="C13" s="6" t="s">
        <v>67</v>
      </c>
      <c r="D13" s="6"/>
      <c r="E13" s="6" t="s">
        <v>12</v>
      </c>
      <c r="F13" s="6"/>
      <c r="G13" s="6" t="s">
        <v>123</v>
      </c>
      <c r="H13" s="6"/>
      <c r="I13" s="2" t="s">
        <v>5</v>
      </c>
      <c r="J13" s="6"/>
      <c r="K13" s="2" t="s">
        <v>204</v>
      </c>
      <c r="M13" s="2" t="s">
        <v>198</v>
      </c>
      <c r="S13" s="25" t="s">
        <v>123</v>
      </c>
      <c r="T13" s="61"/>
    </row>
    <row r="14" spans="1:20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  <c r="M14" s="118" t="s">
        <v>30</v>
      </c>
      <c r="S14" s="142" t="s">
        <v>38</v>
      </c>
      <c r="T14" s="61"/>
    </row>
    <row r="15" spans="1:20">
      <c r="C15" s="265">
        <v>1</v>
      </c>
      <c r="D15" s="252"/>
      <c r="E15" s="252">
        <v>1</v>
      </c>
      <c r="S15" s="61"/>
      <c r="T15" s="61"/>
    </row>
    <row r="16" spans="1:20">
      <c r="A16" s="6">
        <v>239</v>
      </c>
      <c r="C16" s="269">
        <f>'Exhibit R,S3'!C118</f>
        <v>1</v>
      </c>
      <c r="D16" s="267"/>
      <c r="E16" s="74">
        <f>1/C16</f>
        <v>1</v>
      </c>
      <c r="G16" s="268">
        <v>240</v>
      </c>
      <c r="I16" s="73">
        <f t="shared" ref="I16:I34" si="0">T16*((12-J$45)/12)+T17*((J$45)/12)</f>
        <v>1</v>
      </c>
      <c r="K16" s="74">
        <v>0.99999999999999989</v>
      </c>
      <c r="M16" s="74">
        <v>0.99999999999999967</v>
      </c>
      <c r="S16" s="230">
        <v>240</v>
      </c>
      <c r="T16" s="72">
        <f t="shared" ref="T16:T34" si="1">$E16*(11/12)+$E15*(1/12)</f>
        <v>1</v>
      </c>
    </row>
    <row r="17" spans="1:22">
      <c r="A17" s="6">
        <v>227</v>
      </c>
      <c r="C17" s="269">
        <f>'Exhibit R,S3'!C119</f>
        <v>1</v>
      </c>
      <c r="D17" s="267"/>
      <c r="E17" s="74">
        <f>1/C17</f>
        <v>1</v>
      </c>
      <c r="G17" s="268">
        <v>228</v>
      </c>
      <c r="I17" s="73">
        <f t="shared" si="0"/>
        <v>1</v>
      </c>
      <c r="K17" s="74">
        <v>0.99999999999999989</v>
      </c>
      <c r="M17" s="74">
        <v>0.99999999999999967</v>
      </c>
      <c r="S17" s="230">
        <v>228</v>
      </c>
      <c r="T17" s="72">
        <f t="shared" si="1"/>
        <v>1</v>
      </c>
    </row>
    <row r="18" spans="1:22">
      <c r="A18" s="6">
        <v>215</v>
      </c>
      <c r="C18" s="269">
        <f>'Exhibit R,S3'!C120</f>
        <v>1</v>
      </c>
      <c r="D18" s="267"/>
      <c r="E18" s="74">
        <f>1/C18</f>
        <v>1</v>
      </c>
      <c r="G18" s="268">
        <v>216</v>
      </c>
      <c r="I18" s="73">
        <f t="shared" si="0"/>
        <v>1</v>
      </c>
      <c r="K18" s="74">
        <v>0.99999999999999989</v>
      </c>
      <c r="M18" s="74">
        <v>0.99999999999999967</v>
      </c>
      <c r="S18" s="230">
        <v>216</v>
      </c>
      <c r="T18" s="72">
        <f t="shared" si="1"/>
        <v>1</v>
      </c>
    </row>
    <row r="19" spans="1:22">
      <c r="A19" s="6">
        <v>203</v>
      </c>
      <c r="C19" s="269">
        <f>'Exhibit R,S3'!C121</f>
        <v>1</v>
      </c>
      <c r="D19" s="267"/>
      <c r="E19" s="74">
        <f>1/C19</f>
        <v>1</v>
      </c>
      <c r="G19" s="268">
        <v>204</v>
      </c>
      <c r="I19" s="73">
        <f t="shared" si="0"/>
        <v>1</v>
      </c>
      <c r="K19" s="74">
        <v>0.99999999999999989</v>
      </c>
      <c r="M19" s="74">
        <v>0.99999999999999967</v>
      </c>
      <c r="S19" s="230">
        <v>204</v>
      </c>
      <c r="T19" s="72">
        <f t="shared" si="1"/>
        <v>1</v>
      </c>
    </row>
    <row r="20" spans="1:22">
      <c r="A20" s="6">
        <v>191</v>
      </c>
      <c r="C20" s="269">
        <f>'Exhibit R,S3'!C122</f>
        <v>1</v>
      </c>
      <c r="D20" s="267"/>
      <c r="E20" s="74">
        <f>1/C20</f>
        <v>1</v>
      </c>
      <c r="G20" s="268">
        <v>192</v>
      </c>
      <c r="I20" s="73">
        <f t="shared" si="0"/>
        <v>1</v>
      </c>
      <c r="K20" s="74">
        <v>0.99999999999999989</v>
      </c>
      <c r="M20" s="74">
        <v>1</v>
      </c>
      <c r="S20" s="230">
        <v>192</v>
      </c>
      <c r="T20" s="72">
        <f t="shared" si="1"/>
        <v>1</v>
      </c>
    </row>
    <row r="21" spans="1:22">
      <c r="A21" s="6">
        <v>179</v>
      </c>
      <c r="C21" s="269">
        <f>'Exhibit R,S3'!C123</f>
        <v>1</v>
      </c>
      <c r="D21" s="267"/>
      <c r="E21" s="74">
        <f t="shared" ref="E21:E35" si="2">1/C21</f>
        <v>1</v>
      </c>
      <c r="G21" s="268">
        <v>180</v>
      </c>
      <c r="I21" s="73">
        <f t="shared" si="0"/>
        <v>1</v>
      </c>
      <c r="K21" s="74">
        <v>0.99999999999999989</v>
      </c>
      <c r="M21" s="74">
        <v>0.99999999999999967</v>
      </c>
      <c r="S21" s="230">
        <v>180</v>
      </c>
      <c r="T21" s="72">
        <f t="shared" si="1"/>
        <v>1</v>
      </c>
    </row>
    <row r="22" spans="1:22">
      <c r="A22" s="6">
        <v>167</v>
      </c>
      <c r="C22" s="269">
        <f>'Exhibit R,S3'!C124</f>
        <v>1</v>
      </c>
      <c r="D22" s="267"/>
      <c r="E22" s="74">
        <f t="shared" si="2"/>
        <v>1</v>
      </c>
      <c r="G22" s="268">
        <v>168</v>
      </c>
      <c r="I22" s="73">
        <f t="shared" si="0"/>
        <v>1</v>
      </c>
      <c r="K22" s="74">
        <v>0.99999999999999989</v>
      </c>
      <c r="M22" s="270">
        <f>'Exhibit Q,9'!C$33*$I22+'Exhibit Q,9'!E$33*$I23+'Exhibit Q,9'!G$33*$I24+'Exhibit Q,9'!I$33*$I25+'Exhibit Q,9'!K$33*$I26+'Exhibit Q,9'!M$33*$I27</f>
        <v>1</v>
      </c>
      <c r="S22" s="230">
        <v>168</v>
      </c>
      <c r="T22" s="72">
        <f t="shared" si="1"/>
        <v>1</v>
      </c>
    </row>
    <row r="23" spans="1:22">
      <c r="A23" s="6">
        <v>155</v>
      </c>
      <c r="C23" s="269">
        <f>'Exhibit R,S3'!C125</f>
        <v>1</v>
      </c>
      <c r="D23" s="267"/>
      <c r="E23" s="74">
        <f t="shared" si="2"/>
        <v>1</v>
      </c>
      <c r="G23" s="268">
        <v>156</v>
      </c>
      <c r="I23" s="73">
        <f t="shared" si="0"/>
        <v>1</v>
      </c>
      <c r="K23" s="74">
        <v>0.99999999999999989</v>
      </c>
      <c r="M23" s="270">
        <f>'Exhibit Q,9'!C$33*$I23+'Exhibit Q,9'!E$33*$I24+'Exhibit Q,9'!G$33*$I25+'Exhibit Q,9'!I$33*$I26+'Exhibit Q,9'!K$33*$I27+'Exhibit Q,9'!M$33*$I28</f>
        <v>1</v>
      </c>
      <c r="S23" s="230">
        <v>156</v>
      </c>
      <c r="T23" s="72">
        <f t="shared" si="1"/>
        <v>1</v>
      </c>
    </row>
    <row r="24" spans="1:22">
      <c r="A24" s="6">
        <v>143</v>
      </c>
      <c r="C24" s="269">
        <f>'Exhibit R,S3'!C126</f>
        <v>1</v>
      </c>
      <c r="D24" s="267"/>
      <c r="E24" s="74">
        <f t="shared" si="2"/>
        <v>1</v>
      </c>
      <c r="G24" s="268">
        <v>144</v>
      </c>
      <c r="I24" s="73">
        <f t="shared" si="0"/>
        <v>1</v>
      </c>
      <c r="K24" s="270">
        <f>'Exhibit Q,9'!C$31*$I24+'Exhibit Q,9'!E$31*$I25+'Exhibit Q,9'!G$31*$I26+'Exhibit Q,9'!I$31*$I27+'Exhibit Q,9'!K$31*$I28+'Exhibit Q,9'!M$31*$I29</f>
        <v>0.99986912240624404</v>
      </c>
      <c r="M24" s="270">
        <f>'Exhibit Q,9'!C$33*$I24+'Exhibit Q,9'!E$33*$I25+'Exhibit Q,9'!G$33*$I26+'Exhibit Q,9'!I$33*$I27+'Exhibit Q,9'!K$33*$I28+'Exhibit Q,9'!M$33*$I29</f>
        <v>0.99995665247899745</v>
      </c>
      <c r="S24" s="230">
        <v>144</v>
      </c>
      <c r="T24" s="72">
        <f t="shared" si="1"/>
        <v>1</v>
      </c>
    </row>
    <row r="25" spans="1:22">
      <c r="A25" s="6">
        <v>131</v>
      </c>
      <c r="C25" s="269">
        <f>'Exhibit R,S3'!C127</f>
        <v>1</v>
      </c>
      <c r="D25" s="267"/>
      <c r="E25" s="74">
        <f t="shared" si="2"/>
        <v>1</v>
      </c>
      <c r="G25" s="268">
        <v>132</v>
      </c>
      <c r="I25" s="73">
        <f t="shared" si="0"/>
        <v>1</v>
      </c>
      <c r="K25" s="270">
        <f>'Exhibit Q,9'!C$31*$I25+'Exhibit Q,9'!E$31*$I26+'Exhibit Q,9'!G$31*$I27+'Exhibit Q,9'!I$31*$I28+'Exhibit Q,9'!K$31*$I29+'Exhibit Q,9'!M$31*$I30</f>
        <v>0.99832952957428045</v>
      </c>
      <c r="M25" s="270">
        <f>'Exhibit Q,9'!C$33*$I25+'Exhibit Q,9'!E$33*$I26+'Exhibit Q,9'!G$33*$I27+'Exhibit Q,9'!I$33*$I28+'Exhibit Q,9'!K$33*$I29+'Exhibit Q,9'!M$33*$I30</f>
        <v>0.999360884102789</v>
      </c>
      <c r="S25" s="230">
        <v>132</v>
      </c>
      <c r="T25" s="72">
        <f t="shared" si="1"/>
        <v>1</v>
      </c>
    </row>
    <row r="26" spans="1:22">
      <c r="A26" s="6">
        <v>119</v>
      </c>
      <c r="C26" s="269">
        <f>'Exhibit R,S3'!C128</f>
        <v>1</v>
      </c>
      <c r="D26" s="267"/>
      <c r="E26" s="74">
        <f t="shared" si="2"/>
        <v>1</v>
      </c>
      <c r="G26" s="268">
        <v>120</v>
      </c>
      <c r="I26" s="73">
        <f t="shared" si="0"/>
        <v>1</v>
      </c>
      <c r="K26" s="270">
        <f>'Exhibit Q,9'!C$31*$I26+'Exhibit Q,9'!E$31*$I27+'Exhibit Q,9'!G$31*$I28+'Exhibit Q,9'!I$31*$I29+'Exhibit Q,9'!K$31*$I30+'Exhibit Q,9'!M$31*$I31</f>
        <v>0.99217375170163091</v>
      </c>
      <c r="M26" s="270">
        <f>'Exhibit Q,9'!C$33*$I26+'Exhibit Q,9'!E$33*$I27+'Exhibit Q,9'!G$33*$I28+'Exhibit Q,9'!I$33*$I29+'Exhibit Q,9'!K$33*$I30+'Exhibit Q,9'!M$33*$I31</f>
        <v>0.99622804000091369</v>
      </c>
      <c r="O26" s="61"/>
      <c r="S26" s="230">
        <v>120</v>
      </c>
      <c r="T26" s="72">
        <f t="shared" si="1"/>
        <v>1</v>
      </c>
    </row>
    <row r="27" spans="1:22" ht="16">
      <c r="A27" s="6">
        <v>107</v>
      </c>
      <c r="B27" s="271"/>
      <c r="C27" s="269">
        <f>'Exhibit R,S3'!C129</f>
        <v>1</v>
      </c>
      <c r="E27" s="74">
        <f t="shared" si="2"/>
        <v>1</v>
      </c>
      <c r="G27" s="268">
        <v>108</v>
      </c>
      <c r="I27" s="73">
        <f t="shared" si="0"/>
        <v>1</v>
      </c>
      <c r="K27" s="270">
        <f>'Exhibit Q,9'!C$31*$I27+'Exhibit Q,9'!E$31*$I28+'Exhibit Q,9'!G$31*$I29+'Exhibit Q,9'!I$31*$I30+'Exhibit Q,9'!K$31*$I31+'Exhibit Q,9'!M$31*$I32</f>
        <v>0.97506613186690971</v>
      </c>
      <c r="M27" s="270">
        <f>'Exhibit Q,9'!C$33*$I27+'Exhibit Q,9'!E$33*$I28+'Exhibit Q,9'!G$33*$I29+'Exhibit Q,9'!I$33*$I30+'Exhibit Q,9'!K$33*$I31+'Exhibit Q,9'!M$33*$I32</f>
        <v>0.98545163368299227</v>
      </c>
      <c r="N27" s="74"/>
      <c r="P27" s="74"/>
      <c r="R27" s="74"/>
      <c r="S27" s="230">
        <v>108</v>
      </c>
      <c r="T27" s="72">
        <f t="shared" si="1"/>
        <v>1</v>
      </c>
    </row>
    <row r="28" spans="1:22" ht="16">
      <c r="A28" s="6">
        <v>95</v>
      </c>
      <c r="B28" s="271"/>
      <c r="C28" s="269">
        <f>'Exhibit R,S3'!C130</f>
        <v>1</v>
      </c>
      <c r="E28" s="74">
        <f t="shared" si="2"/>
        <v>1</v>
      </c>
      <c r="G28" s="268">
        <v>96</v>
      </c>
      <c r="I28" s="73">
        <f t="shared" si="0"/>
        <v>1</v>
      </c>
      <c r="K28" s="270">
        <f>'Exhibit Q,9'!C$31*$I28+'Exhibit Q,9'!E$31*$I29+'Exhibit Q,9'!G$31*$I30+'Exhibit Q,9'!I$31*$I31+'Exhibit Q,9'!K$31*$I32+'Exhibit Q,9'!M$31*$I33</f>
        <v>0.9173494163892667</v>
      </c>
      <c r="M28" s="270">
        <f>'Exhibit Q,9'!C$33*$I28+'Exhibit Q,9'!E$33*$I29+'Exhibit Q,9'!G$33*$I30+'Exhibit Q,9'!I$33*$I31+'Exhibit Q,9'!K$33*$I32+'Exhibit Q,9'!M$33*$I33</f>
        <v>0.95010421680651302</v>
      </c>
      <c r="N28" s="74"/>
      <c r="P28" s="74"/>
      <c r="R28" s="74"/>
      <c r="S28" s="230">
        <v>96</v>
      </c>
      <c r="T28" s="72">
        <f t="shared" si="1"/>
        <v>1</v>
      </c>
    </row>
    <row r="29" spans="1:22" ht="16">
      <c r="A29" s="6">
        <v>83</v>
      </c>
      <c r="B29" s="271"/>
      <c r="C29" s="269">
        <f>'Exhibit R,S3'!C131</f>
        <v>1</v>
      </c>
      <c r="E29" s="74">
        <f t="shared" si="2"/>
        <v>1</v>
      </c>
      <c r="G29" s="268">
        <v>84</v>
      </c>
      <c r="I29" s="73">
        <f t="shared" si="0"/>
        <v>0.99332524271844658</v>
      </c>
      <c r="K29" s="270">
        <f>'Exhibit Q,9'!C$31*$I29+'Exhibit Q,9'!E$31*$I30+'Exhibit Q,9'!G$31*$I31+'Exhibit Q,9'!I$31*$I32+'Exhibit Q,9'!K$31*$I33+'Exhibit Q,9'!M$31*$I34</f>
        <v>0.78300192369224453</v>
      </c>
      <c r="M29" s="270">
        <f>'Exhibit Q,9'!C$33*$I29+'Exhibit Q,9'!E$33*$I30+'Exhibit Q,9'!G$33*$I31+'Exhibit Q,9'!I$33*$I32+'Exhibit Q,9'!K$33*$I33+'Exhibit Q,9'!M$33*$I34</f>
        <v>0.85398224064099826</v>
      </c>
      <c r="N29" s="74"/>
      <c r="O29" s="74"/>
      <c r="P29" s="74"/>
      <c r="R29" s="74"/>
      <c r="S29" s="230">
        <v>84</v>
      </c>
      <c r="T29" s="72">
        <f t="shared" si="1"/>
        <v>1</v>
      </c>
    </row>
    <row r="30" spans="1:22" ht="16">
      <c r="A30" s="6">
        <v>71</v>
      </c>
      <c r="B30" s="271"/>
      <c r="C30" s="269">
        <f>'Exhibit R,S3'!C132</f>
        <v>1.03</v>
      </c>
      <c r="E30" s="74">
        <f t="shared" si="2"/>
        <v>0.970873786407767</v>
      </c>
      <c r="G30" s="268">
        <v>72</v>
      </c>
      <c r="I30" s="73">
        <f t="shared" si="0"/>
        <v>0.92134988797610151</v>
      </c>
      <c r="K30" s="270">
        <f>'Exhibit Q,9'!C$31*$I30+'Exhibit Q,9'!E$31*$I31+'Exhibit Q,9'!G$31*$I32+'Exhibit Q,9'!I$31*$I33+'Exhibit Q,9'!K$31*$I34+'Exhibit Q,9'!M$31*$I35</f>
        <v>0.61795547145700325</v>
      </c>
      <c r="M30" s="270">
        <f>'Exhibit Q,9'!C$33*$I30+'Exhibit Q,9'!E$33*$I31+'Exhibit Q,9'!G$33*$I32+'Exhibit Q,9'!I$33*$I33+'Exhibit Q,9'!K$33*$I34+'Exhibit Q,9'!M$33*$I35</f>
        <v>0.68586211831404942</v>
      </c>
      <c r="N30" s="74"/>
      <c r="O30" s="74"/>
      <c r="P30" s="74"/>
      <c r="R30" s="74"/>
      <c r="S30" s="230">
        <v>72</v>
      </c>
      <c r="T30" s="72">
        <f t="shared" si="1"/>
        <v>0.97330097087378642</v>
      </c>
      <c r="V30" s="23"/>
    </row>
    <row r="31" spans="1:22" ht="16">
      <c r="A31" s="6">
        <v>59</v>
      </c>
      <c r="B31" s="271"/>
      <c r="C31" s="269">
        <f>'Exhibit R,S3'!C133</f>
        <v>1.3390000000000002</v>
      </c>
      <c r="E31" s="74">
        <f t="shared" si="2"/>
        <v>0.74682598954443602</v>
      </c>
      <c r="G31" s="268">
        <v>60</v>
      </c>
      <c r="I31" s="73">
        <f t="shared" si="0"/>
        <v>0.7077141974195873</v>
      </c>
      <c r="K31" s="270">
        <f>'Exhibit Q,9'!C$31*$I31+'Exhibit Q,9'!E$31*$I32+'Exhibit Q,9'!G$31*$I33+'Exhibit Q,9'!I$31*$I34+'Exhibit Q,9'!K$31*$I35+'Exhibit Q,9'!M$31*$I36</f>
        <v>0.45168831785681413</v>
      </c>
      <c r="M31" s="270">
        <f>'Exhibit Q,9'!C$33*$I31+'Exhibit Q,9'!E$33*$I32+'Exhibit Q,9'!G$33*$I33+'Exhibit Q,9'!I$33*$I34+'Exhibit Q,9'!K$33*$I35+'Exhibit Q,9'!M$33*$I36</f>
        <v>0.50310137164312396</v>
      </c>
      <c r="N31" s="74"/>
      <c r="O31" s="74"/>
      <c r="P31" s="74"/>
      <c r="R31" s="74"/>
      <c r="S31" s="230">
        <v>60</v>
      </c>
      <c r="T31" s="72">
        <f t="shared" si="1"/>
        <v>0.7654966392830469</v>
      </c>
      <c r="V31" s="23"/>
    </row>
    <row r="32" spans="1:22" ht="16">
      <c r="A32" s="6">
        <v>47</v>
      </c>
      <c r="B32" s="271"/>
      <c r="C32" s="269">
        <f>'Exhibit R,S3'!C134</f>
        <v>1.9415500000000001</v>
      </c>
      <c r="E32" s="74">
        <f t="shared" si="2"/>
        <v>0.51505240658236973</v>
      </c>
      <c r="G32" s="268">
        <v>48</v>
      </c>
      <c r="I32" s="73">
        <f t="shared" si="0"/>
        <v>0.51414266727726488</v>
      </c>
      <c r="K32" s="270">
        <f>'Exhibit Q,9'!C$31*$I32+'Exhibit Q,9'!E$31*$I33+'Exhibit Q,9'!G$31*$I34+'Exhibit Q,9'!I$31*$I35+'Exhibit Q,9'!K$31*$I36+'Exhibit Q,9'!M$31*$I37</f>
        <v>0.26835891206007806</v>
      </c>
      <c r="M32" s="270">
        <f>'Exhibit Q,9'!C$33*$I32+'Exhibit Q,9'!E$33*$I33+'Exhibit Q,9'!G$33*$I34+'Exhibit Q,9'!I$33*$I35+'Exhibit Q,9'!K$33*$I36+'Exhibit Q,9'!M$33*$I37</f>
        <v>0.33901297181358342</v>
      </c>
      <c r="N32" s="74"/>
      <c r="O32" s="74"/>
      <c r="P32" s="74"/>
      <c r="R32" s="74"/>
      <c r="S32" s="230">
        <v>48</v>
      </c>
      <c r="T32" s="72">
        <f t="shared" si="1"/>
        <v>0.5343668718292085</v>
      </c>
      <c r="V32" s="23"/>
    </row>
    <row r="33" spans="1:22" ht="16">
      <c r="A33" s="6">
        <v>35</v>
      </c>
      <c r="B33" s="271"/>
      <c r="C33" s="269">
        <f>'Exhibit R,S3'!C135</f>
        <v>2.2327824999999999</v>
      </c>
      <c r="E33" s="74">
        <f t="shared" si="2"/>
        <v>0.44787165789771283</v>
      </c>
      <c r="G33" s="268">
        <v>36</v>
      </c>
      <c r="I33" s="73">
        <f t="shared" si="0"/>
        <v>0.39048810172956838</v>
      </c>
      <c r="K33" s="270">
        <f>'Exhibit Q,9'!C$31*$I33+'Exhibit Q,9'!E$31*$I34+'Exhibit Q,9'!G$31*$I35+'Exhibit Q,9'!I$31*$I36+'Exhibit Q,9'!K$31*$I37+'Exhibit Q,9'!M$31*$I38</f>
        <v>0.12643689841165218</v>
      </c>
      <c r="M33" s="270">
        <f>'Exhibit Q,9'!C$33*$I33+'Exhibit Q,9'!E$33*$I34+'Exhibit Q,9'!G$33*$I35+'Exhibit Q,9'!I$33*$I36+'Exhibit Q,9'!K$33*$I37+'Exhibit Q,9'!M$33*$I38</f>
        <v>0.17237389174496015</v>
      </c>
      <c r="N33" s="74"/>
      <c r="O33" s="74"/>
      <c r="P33" s="74"/>
      <c r="R33" s="74"/>
      <c r="S33" s="230">
        <v>36</v>
      </c>
      <c r="T33" s="72">
        <f t="shared" si="1"/>
        <v>0.45347005362143422</v>
      </c>
      <c r="V33" s="23"/>
    </row>
    <row r="34" spans="1:22" ht="16">
      <c r="A34" s="6">
        <v>23</v>
      </c>
      <c r="B34" s="271"/>
      <c r="C34" s="269">
        <f>'Exhibit R,S3'!C136</f>
        <v>5.5819562499999993</v>
      </c>
      <c r="E34" s="74">
        <f t="shared" si="2"/>
        <v>0.17914866315908515</v>
      </c>
      <c r="G34" s="268">
        <v>24</v>
      </c>
      <c r="I34" s="73">
        <f t="shared" si="0"/>
        <v>0.15899443855368806</v>
      </c>
      <c r="K34" s="270">
        <f>'Exhibit Q,9'!C$31*$I34+'Exhibit Q,9'!E$31*$I35+'Exhibit Q,9'!G$31*$I36+'Exhibit Q,9'!I$31*$I37+'Exhibit Q,9'!K$31*$I38+'Exhibit Q,9'!M$31*$I39</f>
        <v>3.7933848967294542E-2</v>
      </c>
      <c r="M34" s="270">
        <f>'Exhibit Q,9'!C$33*$I34+'Exhibit Q,9'!E$33*$I35+'Exhibit Q,9'!G$33*$I36+'Exhibit Q,9'!I$33*$I37+'Exhibit Q,9'!K$33*$I38+'Exhibit Q,9'!M$33*$I39</f>
        <v>4.6829533114061316E-2</v>
      </c>
      <c r="N34" s="74"/>
      <c r="O34" s="74"/>
      <c r="P34" s="74"/>
      <c r="R34" s="74"/>
      <c r="S34" s="230">
        <v>24</v>
      </c>
      <c r="T34" s="72">
        <f t="shared" si="1"/>
        <v>0.20154224605397078</v>
      </c>
      <c r="V34" s="23"/>
    </row>
    <row r="35" spans="1:22" ht="16">
      <c r="A35" s="6">
        <v>11</v>
      </c>
      <c r="B35" s="271"/>
      <c r="C35" s="269">
        <f>'Exhibit R,S3'!C137</f>
        <v>55.819562499999989</v>
      </c>
      <c r="E35" s="74">
        <f t="shared" si="2"/>
        <v>1.7914866315908516E-2</v>
      </c>
      <c r="G35" s="268">
        <v>12</v>
      </c>
      <c r="I35" s="73">
        <f>MIN(T35*((12-J$45)/12)+T36*((J$45)/12),(9/11)*E35)</f>
        <v>1.4657617894834241E-2</v>
      </c>
      <c r="K35" s="270">
        <f>'Exhibit Q,9'!C$31*$I35+'Exhibit Q,9'!E$31*$I36+'Exhibit Q,9'!G$31*$I37+'Exhibit Q,9'!I$31*$I38+'Exhibit Q,9'!K$31*$I39+'Exhibit Q,9'!M$31*$I40</f>
        <v>3.2019192563249796E-3</v>
      </c>
      <c r="M35" s="270">
        <f>'Exhibit Q,9'!C$33*$I35+'Exhibit Q,9'!E$33*$I36</f>
        <v>3.7235107132548668E-3</v>
      </c>
      <c r="N35" s="74"/>
      <c r="O35" s="74"/>
      <c r="P35" s="74"/>
      <c r="R35" s="74"/>
      <c r="S35" s="230">
        <v>12</v>
      </c>
      <c r="T35" s="72">
        <f>$E35*(11/12)+$E34*(1/12)</f>
        <v>3.1351016052839902E-2</v>
      </c>
    </row>
    <row r="36" spans="1:22">
      <c r="K36" s="270"/>
      <c r="M36" s="270"/>
    </row>
    <row r="37" spans="1:22">
      <c r="M37" s="60"/>
    </row>
    <row r="38" spans="1:22">
      <c r="M38" s="18"/>
    </row>
    <row r="39" spans="1:22">
      <c r="K39" s="26"/>
    </row>
    <row r="41" spans="1:22">
      <c r="A41" s="64" t="s">
        <v>141</v>
      </c>
      <c r="C41" s="3" t="s">
        <v>210</v>
      </c>
    </row>
    <row r="42" spans="1:22">
      <c r="A42" s="264">
        <v>-2</v>
      </c>
      <c r="C42" s="3" t="s">
        <v>944</v>
      </c>
    </row>
    <row r="43" spans="1:22">
      <c r="A43" s="264">
        <v>-3</v>
      </c>
      <c r="C43" s="3" t="s">
        <v>211</v>
      </c>
    </row>
    <row r="44" spans="1:22">
      <c r="A44" s="264">
        <v>-4</v>
      </c>
      <c r="C44" s="3" t="s">
        <v>212</v>
      </c>
    </row>
    <row r="45" spans="1:22">
      <c r="A45" s="264">
        <v>-5</v>
      </c>
      <c r="C45" s="3" t="s">
        <v>558</v>
      </c>
      <c r="J45" s="1">
        <f>'Exhibit Q,1'!J45</f>
        <v>3</v>
      </c>
      <c r="K45" s="1" t="s">
        <v>559</v>
      </c>
    </row>
    <row r="46" spans="1:22">
      <c r="A46" s="264">
        <v>-6</v>
      </c>
      <c r="C46" s="3" t="s">
        <v>1537</v>
      </c>
    </row>
    <row r="47" spans="1:22">
      <c r="A47" s="264">
        <v>-7</v>
      </c>
      <c r="C47" s="3" t="s">
        <v>364</v>
      </c>
    </row>
    <row r="48" spans="1:22">
      <c r="C48" s="3" t="s">
        <v>1538</v>
      </c>
    </row>
    <row r="49" spans="3:3">
      <c r="C49" s="3"/>
    </row>
  </sheetData>
  <phoneticPr fontId="8" type="noConversion"/>
  <printOptions horizontalCentered="1"/>
  <pageMargins left="0.7" right="0.7" top="0.75" bottom="0.75" header="0.3" footer="0.3"/>
  <pageSetup scale="86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>
    <pageSetUpPr fitToPage="1"/>
  </sheetPr>
  <dimension ref="A1:T48"/>
  <sheetViews>
    <sheetView zoomScaleNormal="100" workbookViewId="0"/>
  </sheetViews>
  <sheetFormatPr baseColWidth="10" defaultColWidth="8.7109375" defaultRowHeight="15"/>
  <cols>
    <col min="1" max="1" width="9.7109375" style="1" customWidth="1"/>
    <col min="2" max="2" width="1.7109375" style="1" customWidth="1"/>
    <col min="3" max="3" width="9.7109375" style="1" customWidth="1"/>
    <col min="4" max="4" width="1.7109375" style="1" customWidth="1"/>
    <col min="5" max="5" width="9.7109375" style="1" customWidth="1"/>
    <col min="6" max="6" width="1.7109375" style="1" customWidth="1"/>
    <col min="7" max="7" width="9.7109375" style="1" customWidth="1"/>
    <col min="8" max="8" width="1.7109375" style="1" customWidth="1"/>
    <col min="9" max="9" width="9.7109375" style="1" customWidth="1"/>
    <col min="10" max="10" width="1.7109375" style="1" customWidth="1"/>
    <col min="11" max="11" width="9.7109375" style="1" customWidth="1"/>
    <col min="12" max="12" width="1.7109375" style="1" customWidth="1"/>
    <col min="13" max="13" width="9.7109375" style="1" customWidth="1"/>
    <col min="14" max="16384" width="8.7109375" style="1"/>
  </cols>
  <sheetData>
    <row r="1" spans="1:20">
      <c r="M1" s="64" t="s">
        <v>935</v>
      </c>
    </row>
    <row r="2" spans="1:20">
      <c r="M2" s="64" t="s">
        <v>89</v>
      </c>
    </row>
    <row r="4" spans="1:20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20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20">
      <c r="A6" s="5" t="s">
        <v>207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20">
      <c r="A7" s="5" t="s">
        <v>444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20">
      <c r="A8" s="5"/>
      <c r="B8" s="5"/>
      <c r="C8" s="5"/>
      <c r="D8" s="5"/>
      <c r="E8" s="5"/>
      <c r="F8" s="5"/>
      <c r="G8" s="5"/>
      <c r="H8" s="5"/>
      <c r="I8" s="5"/>
      <c r="J8" s="5"/>
      <c r="K8" s="5"/>
    </row>
    <row r="11" spans="1:20">
      <c r="A11" s="6"/>
      <c r="B11" s="6"/>
      <c r="C11" s="6" t="s">
        <v>124</v>
      </c>
      <c r="D11" s="6"/>
      <c r="E11" s="6" t="s">
        <v>7</v>
      </c>
      <c r="F11" s="6"/>
      <c r="H11" s="6"/>
      <c r="J11" s="6"/>
    </row>
    <row r="12" spans="1:20">
      <c r="A12" s="6" t="s">
        <v>122</v>
      </c>
      <c r="B12" s="6"/>
      <c r="C12" s="6" t="s">
        <v>125</v>
      </c>
      <c r="D12" s="6"/>
      <c r="E12" s="6" t="s">
        <v>62</v>
      </c>
      <c r="F12" s="6"/>
      <c r="G12" s="6" t="s">
        <v>122</v>
      </c>
      <c r="H12" s="6"/>
      <c r="I12" s="7" t="s">
        <v>205</v>
      </c>
      <c r="J12" s="8"/>
      <c r="K12" s="8"/>
      <c r="L12" s="8"/>
      <c r="M12" s="8"/>
      <c r="S12" s="25" t="s">
        <v>122</v>
      </c>
      <c r="T12" s="61"/>
    </row>
    <row r="13" spans="1:20">
      <c r="A13" s="6" t="s">
        <v>123</v>
      </c>
      <c r="B13" s="6"/>
      <c r="C13" s="6" t="s">
        <v>67</v>
      </c>
      <c r="D13" s="6"/>
      <c r="E13" s="6" t="s">
        <v>12</v>
      </c>
      <c r="F13" s="6"/>
      <c r="G13" s="6" t="s">
        <v>123</v>
      </c>
      <c r="H13" s="6"/>
      <c r="I13" s="2" t="s">
        <v>5</v>
      </c>
      <c r="J13" s="6"/>
      <c r="K13" s="2" t="s">
        <v>204</v>
      </c>
      <c r="M13" s="2" t="s">
        <v>198</v>
      </c>
      <c r="S13" s="25" t="s">
        <v>123</v>
      </c>
      <c r="T13" s="61"/>
    </row>
    <row r="14" spans="1:20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  <c r="M14" s="118" t="s">
        <v>30</v>
      </c>
      <c r="S14" s="142" t="s">
        <v>38</v>
      </c>
      <c r="T14" s="61"/>
    </row>
    <row r="15" spans="1:20">
      <c r="C15" s="265">
        <v>1</v>
      </c>
      <c r="D15" s="252"/>
      <c r="E15" s="252">
        <v>1</v>
      </c>
      <c r="S15" s="61"/>
      <c r="T15" s="61"/>
    </row>
    <row r="16" spans="1:20">
      <c r="A16" s="6">
        <v>239</v>
      </c>
      <c r="C16" s="266">
        <v>1</v>
      </c>
      <c r="D16" s="267"/>
      <c r="E16" s="74">
        <f>1/C16</f>
        <v>1</v>
      </c>
      <c r="G16" s="268">
        <v>240</v>
      </c>
      <c r="I16" s="73">
        <f t="shared" ref="I16:I34" si="0">T16*((12-J$45)/12)+T17*((J$45)/12)</f>
        <v>1</v>
      </c>
      <c r="K16" s="74">
        <v>0.99999999999999989</v>
      </c>
      <c r="M16" s="74">
        <v>1</v>
      </c>
      <c r="S16" s="230">
        <v>240</v>
      </c>
      <c r="T16" s="72">
        <f t="shared" ref="T16:T34" si="1">$E16*(11/12)+$E15*(1/12)</f>
        <v>1</v>
      </c>
    </row>
    <row r="17" spans="1:20">
      <c r="A17" s="6">
        <v>227</v>
      </c>
      <c r="C17" s="266">
        <v>1</v>
      </c>
      <c r="D17" s="267"/>
      <c r="E17" s="74">
        <f t="shared" ref="E17:E35" si="2">1/C17</f>
        <v>1</v>
      </c>
      <c r="G17" s="268">
        <v>228</v>
      </c>
      <c r="I17" s="73">
        <f t="shared" si="0"/>
        <v>1</v>
      </c>
      <c r="K17" s="74">
        <v>0.99999999999999989</v>
      </c>
      <c r="M17" s="74">
        <v>1</v>
      </c>
      <c r="S17" s="230">
        <v>228</v>
      </c>
      <c r="T17" s="72">
        <f t="shared" si="1"/>
        <v>1</v>
      </c>
    </row>
    <row r="18" spans="1:20">
      <c r="A18" s="6">
        <v>215</v>
      </c>
      <c r="C18" s="266">
        <v>1</v>
      </c>
      <c r="D18" s="267"/>
      <c r="E18" s="74">
        <f t="shared" si="2"/>
        <v>1</v>
      </c>
      <c r="G18" s="268">
        <v>216</v>
      </c>
      <c r="I18" s="73">
        <f t="shared" si="0"/>
        <v>1</v>
      </c>
      <c r="K18" s="74">
        <v>0.99999999999999989</v>
      </c>
      <c r="M18" s="74">
        <v>1</v>
      </c>
      <c r="S18" s="230">
        <v>216</v>
      </c>
      <c r="T18" s="72">
        <f t="shared" si="1"/>
        <v>1</v>
      </c>
    </row>
    <row r="19" spans="1:20">
      <c r="A19" s="6">
        <v>203</v>
      </c>
      <c r="C19" s="266">
        <v>1</v>
      </c>
      <c r="D19" s="267"/>
      <c r="E19" s="74">
        <f t="shared" si="2"/>
        <v>1</v>
      </c>
      <c r="G19" s="268">
        <v>204</v>
      </c>
      <c r="I19" s="73">
        <f t="shared" si="0"/>
        <v>1</v>
      </c>
      <c r="K19" s="74">
        <v>0.99999999999999989</v>
      </c>
      <c r="M19" s="74">
        <v>1</v>
      </c>
      <c r="S19" s="230">
        <v>204</v>
      </c>
      <c r="T19" s="72">
        <f t="shared" si="1"/>
        <v>1</v>
      </c>
    </row>
    <row r="20" spans="1:20">
      <c r="A20" s="6">
        <v>191</v>
      </c>
      <c r="C20" s="266">
        <v>1</v>
      </c>
      <c r="D20" s="267"/>
      <c r="E20" s="74">
        <f t="shared" si="2"/>
        <v>1</v>
      </c>
      <c r="G20" s="268">
        <v>192</v>
      </c>
      <c r="I20" s="73">
        <f t="shared" si="0"/>
        <v>1</v>
      </c>
      <c r="K20" s="74">
        <v>0.99999999999999989</v>
      </c>
      <c r="M20" s="270">
        <f>'Exhibit Q,10'!C$32*$I20+'Exhibit Q,10'!E$32*$I21+'Exhibit Q,10'!G$32*$I22+'Exhibit Q,10'!I$32*$I23+'Exhibit Q,10'!K$32*$I24+'Exhibit Q,10'!M$32*$I25</f>
        <v>0.99999999999999989</v>
      </c>
      <c r="S20" s="230">
        <v>192</v>
      </c>
      <c r="T20" s="72">
        <f t="shared" si="1"/>
        <v>1</v>
      </c>
    </row>
    <row r="21" spans="1:20">
      <c r="A21" s="6">
        <v>179</v>
      </c>
      <c r="C21" s="266">
        <v>1</v>
      </c>
      <c r="D21" s="267"/>
      <c r="E21" s="74">
        <f t="shared" si="2"/>
        <v>1</v>
      </c>
      <c r="G21" s="268">
        <v>180</v>
      </c>
      <c r="I21" s="73">
        <f t="shared" si="0"/>
        <v>1</v>
      </c>
      <c r="K21" s="270">
        <f>'Exhibit Q,10'!C$31*$I21+'Exhibit Q,10'!E$31*$I22+'Exhibit Q,10'!G$31*$I23+'Exhibit Q,10'!I$31*$I24+'Exhibit Q,10'!K$31*$I25+'Exhibit Q,10'!M$31*$I26</f>
        <v>1</v>
      </c>
      <c r="M21" s="270">
        <f>'Exhibit Q,10'!C$32*$I21+'Exhibit Q,10'!E$32*$I22+'Exhibit Q,10'!G$32*$I23+'Exhibit Q,10'!I$32*$I24+'Exhibit Q,10'!K$32*$I25+'Exhibit Q,10'!M$32*$I26</f>
        <v>0.99999999999999989</v>
      </c>
      <c r="S21" s="230">
        <v>180</v>
      </c>
      <c r="T21" s="72">
        <f t="shared" si="1"/>
        <v>1</v>
      </c>
    </row>
    <row r="22" spans="1:20">
      <c r="A22" s="6">
        <v>167</v>
      </c>
      <c r="C22" s="266">
        <v>1</v>
      </c>
      <c r="D22" s="267"/>
      <c r="E22" s="74">
        <f t="shared" si="2"/>
        <v>1</v>
      </c>
      <c r="G22" s="268">
        <v>168</v>
      </c>
      <c r="I22" s="73">
        <f t="shared" si="0"/>
        <v>1</v>
      </c>
      <c r="K22" s="270">
        <f>'Exhibit Q,10'!C$31*$I22+'Exhibit Q,10'!E$31*$I23+'Exhibit Q,10'!G$31*$I24+'Exhibit Q,10'!I$31*$I25+'Exhibit Q,10'!K$31*$I26+'Exhibit Q,10'!M$31*$I27</f>
        <v>1</v>
      </c>
      <c r="M22" s="270">
        <f>'Exhibit Q,10'!C$32*$I22+'Exhibit Q,10'!E$32*$I23+'Exhibit Q,10'!G$32*$I24+'Exhibit Q,10'!I$32*$I25+'Exhibit Q,10'!K$32*$I26+'Exhibit Q,10'!M$32*$I27</f>
        <v>0.99999999999999989</v>
      </c>
      <c r="S22" s="230">
        <v>168</v>
      </c>
      <c r="T22" s="72">
        <f t="shared" si="1"/>
        <v>1</v>
      </c>
    </row>
    <row r="23" spans="1:20">
      <c r="A23" s="6">
        <v>155</v>
      </c>
      <c r="C23" s="266">
        <v>1</v>
      </c>
      <c r="D23" s="267"/>
      <c r="E23" s="74">
        <f t="shared" si="2"/>
        <v>1</v>
      </c>
      <c r="G23" s="268">
        <v>156</v>
      </c>
      <c r="I23" s="73">
        <f t="shared" si="0"/>
        <v>1</v>
      </c>
      <c r="K23" s="270">
        <f>'Exhibit Q,10'!C$31*$I23+'Exhibit Q,10'!E$31*$I24+'Exhibit Q,10'!G$31*$I25+'Exhibit Q,10'!I$31*$I26+'Exhibit Q,10'!K$31*$I27+'Exhibit Q,10'!M$31*$I28</f>
        <v>1</v>
      </c>
      <c r="M23" s="270">
        <f>'Exhibit Q,10'!C$32*$I23+'Exhibit Q,10'!E$32*$I24+'Exhibit Q,10'!G$32*$I25+'Exhibit Q,10'!I$32*$I26+'Exhibit Q,10'!K$32*$I27+'Exhibit Q,10'!M$32*$I28</f>
        <v>0.99999999999999989</v>
      </c>
      <c r="O23" s="61"/>
      <c r="P23" s="61" t="s">
        <v>1428</v>
      </c>
      <c r="Q23" s="61"/>
      <c r="S23" s="230">
        <v>156</v>
      </c>
      <c r="T23" s="72">
        <f t="shared" si="1"/>
        <v>1</v>
      </c>
    </row>
    <row r="24" spans="1:20">
      <c r="A24" s="6">
        <v>143</v>
      </c>
      <c r="C24" s="266">
        <v>1</v>
      </c>
      <c r="D24" s="267"/>
      <c r="E24" s="74">
        <f t="shared" si="2"/>
        <v>1</v>
      </c>
      <c r="G24" s="268">
        <v>144</v>
      </c>
      <c r="I24" s="73">
        <f t="shared" si="0"/>
        <v>1</v>
      </c>
      <c r="K24" s="270">
        <f>'Exhibit Q,10'!C$31*$I24+'Exhibit Q,10'!E$31*$I25+'Exhibit Q,10'!G$31*$I26+'Exhibit Q,10'!I$31*$I27+'Exhibit Q,10'!K$31*$I28+'Exhibit Q,10'!M$31*$I29</f>
        <v>1</v>
      </c>
      <c r="M24" s="270">
        <f>'Exhibit Q,10'!C$32*$I24+'Exhibit Q,10'!E$32*$I25+'Exhibit Q,10'!G$32*$I26+'Exhibit Q,10'!I$32*$I27+'Exhibit Q,10'!K$32*$I28+'Exhibit Q,10'!M$32*$I29</f>
        <v>0.99999999999999989</v>
      </c>
      <c r="O24" s="61"/>
      <c r="P24" s="61"/>
      <c r="Q24" s="61"/>
      <c r="S24" s="230">
        <v>144</v>
      </c>
      <c r="T24" s="72">
        <f t="shared" si="1"/>
        <v>1</v>
      </c>
    </row>
    <row r="25" spans="1:20">
      <c r="A25" s="6">
        <v>131</v>
      </c>
      <c r="C25" s="266">
        <v>1</v>
      </c>
      <c r="D25" s="267"/>
      <c r="E25" s="74">
        <f t="shared" si="2"/>
        <v>1</v>
      </c>
      <c r="G25" s="268">
        <v>132</v>
      </c>
      <c r="I25" s="73">
        <f t="shared" si="0"/>
        <v>1</v>
      </c>
      <c r="K25" s="270">
        <f>'Exhibit Q,10'!C$31*$I25+'Exhibit Q,10'!E$31*$I26+'Exhibit Q,10'!G$31*$I27+'Exhibit Q,10'!I$31*$I28+'Exhibit Q,10'!K$31*$I29+'Exhibit Q,10'!M$31*$I30</f>
        <v>1</v>
      </c>
      <c r="M25" s="270">
        <f>'Exhibit Q,10'!C$32*$I25+'Exhibit Q,10'!E$32*$I26+'Exhibit Q,10'!G$32*$I27+'Exhibit Q,10'!I$32*$I28+'Exhibit Q,10'!K$32*$I29+'Exhibit Q,10'!M$32*$I30</f>
        <v>0.99999999999999989</v>
      </c>
      <c r="O25" s="72">
        <f>'Exhibit Q,1'!I25</f>
        <v>1</v>
      </c>
      <c r="P25" s="72">
        <f>'Exhibit Q,1'!K25</f>
        <v>0.99888376911298637</v>
      </c>
      <c r="Q25" s="72">
        <f>'Exhibit Q,1'!M25</f>
        <v>0.99940491891563354</v>
      </c>
      <c r="S25" s="230">
        <v>132</v>
      </c>
      <c r="T25" s="72">
        <f t="shared" si="1"/>
        <v>1</v>
      </c>
    </row>
    <row r="26" spans="1:20">
      <c r="A26" s="6">
        <v>119</v>
      </c>
      <c r="C26" s="266">
        <v>1</v>
      </c>
      <c r="D26" s="267"/>
      <c r="E26" s="74">
        <f t="shared" si="2"/>
        <v>1</v>
      </c>
      <c r="G26" s="268">
        <v>120</v>
      </c>
      <c r="I26" s="73">
        <f t="shared" si="0"/>
        <v>1</v>
      </c>
      <c r="K26" s="270">
        <f>'Exhibit Q,10'!C$31*$I26+'Exhibit Q,10'!E$31*$I27+'Exhibit Q,10'!G$31*$I28+'Exhibit Q,10'!I$31*$I29+'Exhibit Q,10'!K$31*$I30+'Exhibit Q,10'!M$31*$I31</f>
        <v>1</v>
      </c>
      <c r="M26" s="270">
        <f>'Exhibit Q,10'!C$32*$I26+'Exhibit Q,10'!E$32*$I27+'Exhibit Q,10'!G$32*$I28+'Exhibit Q,10'!I$32*$I29+'Exhibit Q,10'!K$32*$I30+'Exhibit Q,10'!M$32*$I31</f>
        <v>0.99999999999999989</v>
      </c>
      <c r="O26" s="72">
        <f>'Exhibit Q,1'!I26</f>
        <v>1</v>
      </c>
      <c r="P26" s="72">
        <f>'Exhibit Q,1'!K26</f>
        <v>0.99573051740711982</v>
      </c>
      <c r="Q26" s="72">
        <f>'Exhibit Q,1'!M26</f>
        <v>0.99763280339772176</v>
      </c>
      <c r="S26" s="230">
        <v>120</v>
      </c>
      <c r="T26" s="72">
        <f t="shared" si="1"/>
        <v>1</v>
      </c>
    </row>
    <row r="27" spans="1:20" ht="16">
      <c r="A27" s="6">
        <v>107</v>
      </c>
      <c r="B27" s="271"/>
      <c r="C27" s="266">
        <v>1</v>
      </c>
      <c r="E27" s="74">
        <f t="shared" si="2"/>
        <v>1</v>
      </c>
      <c r="G27" s="268">
        <v>108</v>
      </c>
      <c r="I27" s="73">
        <f t="shared" si="0"/>
        <v>1</v>
      </c>
      <c r="K27" s="270">
        <f>'Exhibit Q,10'!C$31*$I27+'Exhibit Q,10'!E$31*$I28+'Exhibit Q,10'!G$31*$I29+'Exhibit Q,10'!I$31*$I30+'Exhibit Q,10'!K$31*$I31+'Exhibit Q,10'!M$31*$I32</f>
        <v>0.99794445190983305</v>
      </c>
      <c r="M27" s="270">
        <f>'Exhibit Q,10'!C$32*$I27+'Exhibit Q,10'!E$32*$I28+'Exhibit Q,10'!G$32*$I29+'Exhibit Q,10'!I$32*$I30+'Exhibit Q,10'!K$32*$I31+'Exhibit Q,10'!M$32*$I32</f>
        <v>0.99999999999999989</v>
      </c>
      <c r="N27" s="74"/>
      <c r="O27" s="72">
        <f>'Exhibit Q,1'!I27</f>
        <v>1</v>
      </c>
      <c r="P27" s="72">
        <f>'Exhibit Q,1'!K27</f>
        <v>0.98633438596944767</v>
      </c>
      <c r="Q27" s="72">
        <f>'Exhibit Q,1'!M27</f>
        <v>0.99173899689641876</v>
      </c>
      <c r="R27" s="74"/>
      <c r="S27" s="230">
        <v>108</v>
      </c>
      <c r="T27" s="72">
        <f t="shared" si="1"/>
        <v>1</v>
      </c>
    </row>
    <row r="28" spans="1:20" ht="16">
      <c r="A28" s="6">
        <v>95</v>
      </c>
      <c r="B28" s="271"/>
      <c r="C28" s="266">
        <v>1</v>
      </c>
      <c r="E28" s="74">
        <f t="shared" si="2"/>
        <v>1</v>
      </c>
      <c r="G28" s="268">
        <v>96</v>
      </c>
      <c r="I28" s="73">
        <f t="shared" si="0"/>
        <v>1</v>
      </c>
      <c r="K28" s="270">
        <f>'Exhibit Q,10'!C$31*$I28+'Exhibit Q,10'!E$31*$I29+'Exhibit Q,10'!G$31*$I30+'Exhibit Q,10'!I$31*$I31+'Exhibit Q,10'!K$31*$I32+'Exhibit Q,10'!M$31*$I33</f>
        <v>0.98056563835985389</v>
      </c>
      <c r="M28" s="270">
        <f>'Exhibit Q,10'!C$32*$I28+'Exhibit Q,10'!E$32*$I29+'Exhibit Q,10'!G$32*$I30+'Exhibit Q,10'!I$32*$I31+'Exhibit Q,10'!K$32*$I32+'Exhibit Q,10'!M$32*$I33</f>
        <v>0.99892531513292315</v>
      </c>
      <c r="N28" s="74"/>
      <c r="O28" s="72">
        <f>'Exhibit Q,1'!I28</f>
        <v>0.99773102310231021</v>
      </c>
      <c r="P28" s="72">
        <f>'Exhibit Q,1'!K28</f>
        <v>0.96560050468394742</v>
      </c>
      <c r="Q28" s="72">
        <f>'Exhibit Q,1'!M28</f>
        <v>0.97671075180072187</v>
      </c>
      <c r="R28" s="74"/>
      <c r="S28" s="230">
        <v>96</v>
      </c>
      <c r="T28" s="72">
        <f t="shared" si="1"/>
        <v>1</v>
      </c>
    </row>
    <row r="29" spans="1:20" ht="16">
      <c r="A29" s="6">
        <v>83</v>
      </c>
      <c r="B29" s="271"/>
      <c r="C29" s="266">
        <v>1</v>
      </c>
      <c r="E29" s="74">
        <f t="shared" si="2"/>
        <v>1</v>
      </c>
      <c r="G29" s="268">
        <v>84</v>
      </c>
      <c r="I29" s="73">
        <f t="shared" si="0"/>
        <v>1</v>
      </c>
      <c r="K29" s="270">
        <f>'Exhibit Q,10'!C$31*$I29+'Exhibit Q,10'!E$31*$I30+'Exhibit Q,10'!G$31*$I31+'Exhibit Q,10'!I$31*$I32+'Exhibit Q,10'!K$31*$I33+'Exhibit Q,10'!M$31*$I34</f>
        <v>0.92162203459026393</v>
      </c>
      <c r="M29" s="270">
        <f>'Exhibit Q,10'!C$32*$I29+'Exhibit Q,10'!E$32*$I30+'Exhibit Q,10'!G$32*$I31+'Exhibit Q,10'!I$32*$I32+'Exhibit Q,10'!K$32*$I33+'Exhibit Q,10'!M$32*$I34</f>
        <v>0.9887856840400272</v>
      </c>
      <c r="N29" s="74"/>
      <c r="O29" s="72">
        <f>'Exhibit Q,1'!I29</f>
        <v>0.98692503837404399</v>
      </c>
      <c r="P29" s="72">
        <f>'Exhibit Q,1'!K29</f>
        <v>0.92425274542575031</v>
      </c>
      <c r="Q29" s="72">
        <f>'Exhibit Q,1'!M29</f>
        <v>0.945617657467127</v>
      </c>
      <c r="R29" s="74"/>
      <c r="S29" s="230">
        <v>84</v>
      </c>
      <c r="T29" s="72">
        <f t="shared" si="1"/>
        <v>1</v>
      </c>
    </row>
    <row r="30" spans="1:20" ht="16">
      <c r="A30" s="6">
        <v>71</v>
      </c>
      <c r="B30" s="271"/>
      <c r="C30" s="266">
        <v>1</v>
      </c>
      <c r="E30" s="74">
        <f t="shared" si="2"/>
        <v>1</v>
      </c>
      <c r="G30" s="268">
        <v>72</v>
      </c>
      <c r="I30" s="73">
        <f t="shared" si="0"/>
        <v>1</v>
      </c>
      <c r="K30" s="270">
        <f>'Exhibit Q,10'!C$31*$I30+'Exhibit Q,10'!E$31*$I31+'Exhibit Q,10'!G$31*$I32+'Exhibit Q,10'!I$31*$I33+'Exhibit Q,10'!K$31*$I34+'Exhibit Q,10'!M$31*$I35</f>
        <v>0.80560214621144577</v>
      </c>
      <c r="M30" s="270">
        <f>'Exhibit Q,10'!C$32*$I30+'Exhibit Q,10'!E$32*$I31+'Exhibit Q,10'!G$32*$I32+'Exhibit Q,10'!I$32*$I33+'Exhibit Q,10'!K$32*$I34+'Exhibit Q,10'!M$32*$I35</f>
        <v>0.94802788214110467</v>
      </c>
      <c r="N30" s="74"/>
      <c r="O30" s="72">
        <f>'Exhibit Q,1'!I30</f>
        <v>0.96600211983984874</v>
      </c>
      <c r="P30" s="72">
        <f>'Exhibit Q,1'!K30</f>
        <v>0.84979646448736712</v>
      </c>
      <c r="Q30" s="72">
        <f>'Exhibit Q,1'!M30</f>
        <v>0.88697692490536217</v>
      </c>
      <c r="R30" s="74"/>
      <c r="S30" s="230">
        <v>72</v>
      </c>
      <c r="T30" s="72">
        <f t="shared" si="1"/>
        <v>1</v>
      </c>
    </row>
    <row r="31" spans="1:20" ht="16">
      <c r="A31" s="6">
        <v>59</v>
      </c>
      <c r="B31" s="271"/>
      <c r="C31" s="266">
        <v>1</v>
      </c>
      <c r="E31" s="74">
        <f t="shared" si="2"/>
        <v>1</v>
      </c>
      <c r="G31" s="268">
        <v>60</v>
      </c>
      <c r="I31" s="73">
        <f t="shared" si="0"/>
        <v>1</v>
      </c>
      <c r="K31" s="270">
        <f>'Exhibit Q,10'!C$31*$I31+'Exhibit Q,10'!E$31*$I32+'Exhibit Q,10'!G$31*$I33+'Exhibit Q,10'!I$31*$I34+'Exhibit Q,10'!K$31*$I35+'Exhibit Q,10'!M$31*$I36</f>
        <v>0.63280360109408795</v>
      </c>
      <c r="M31" s="270">
        <f>'Exhibit Q,10'!C$32*$I31+'Exhibit Q,10'!E$32*$I32+'Exhibit Q,10'!G$32*$I33+'Exhibit Q,10'!I$32*$I34+'Exhibit Q,10'!K$32*$I35+'Exhibit Q,10'!M$32*$I36</f>
        <v>0.84741155334813767</v>
      </c>
      <c r="N31" s="74"/>
      <c r="O31" s="72">
        <f>'Exhibit Q,1'!I31</f>
        <v>0.92441048646916535</v>
      </c>
      <c r="P31" s="72">
        <f>'Exhibit Q,1'!K31</f>
        <v>0.71061196953439254</v>
      </c>
      <c r="Q31" s="72">
        <f>'Exhibit Q,1'!M31</f>
        <v>0.77881912217442961</v>
      </c>
      <c r="R31" s="74"/>
      <c r="S31" s="230">
        <v>60</v>
      </c>
      <c r="T31" s="72">
        <f t="shared" si="1"/>
        <v>1</v>
      </c>
    </row>
    <row r="32" spans="1:20" ht="16">
      <c r="A32" s="6">
        <v>47</v>
      </c>
      <c r="B32" s="271"/>
      <c r="C32" s="266">
        <v>1</v>
      </c>
      <c r="E32" s="74">
        <f t="shared" si="2"/>
        <v>1</v>
      </c>
      <c r="G32" s="268">
        <v>48</v>
      </c>
      <c r="I32" s="73">
        <f t="shared" si="0"/>
        <v>0.92942618223760087</v>
      </c>
      <c r="K32" s="270">
        <f>'Exhibit Q,10'!C$31*$I32+'Exhibit Q,10'!E$31*$I33+'Exhibit Q,10'!G$31*$I34+'Exhibit Q,10'!I$31*$I35+'Exhibit Q,10'!K$31*$I36+'Exhibit Q,10'!M$31*$I37</f>
        <v>0.421940580545903</v>
      </c>
      <c r="M32" s="270">
        <f>'Exhibit Q,10'!C$32*$I32+'Exhibit Q,10'!E$32*$I33+'Exhibit Q,10'!G$32*$I34+'Exhibit Q,10'!I$32*$I35+'Exhibit Q,10'!K$32*$I36+'Exhibit Q,10'!M$32*$I37</f>
        <v>0.65842528815735912</v>
      </c>
      <c r="N32" s="74"/>
      <c r="O32" s="72">
        <f>'Exhibit Q,1'!I32</f>
        <v>0.8452766056135772</v>
      </c>
      <c r="P32" s="72">
        <f>'Exhibit Q,1'!K32</f>
        <v>0.50085952168583414</v>
      </c>
      <c r="Q32" s="72">
        <f>'Exhibit Q,1'!M32</f>
        <v>0.59601334907229286</v>
      </c>
      <c r="R32" s="74"/>
      <c r="S32" s="230">
        <v>48</v>
      </c>
      <c r="T32" s="72">
        <f t="shared" si="1"/>
        <v>1</v>
      </c>
    </row>
    <row r="33" spans="1:20" ht="16">
      <c r="A33" s="6">
        <v>35</v>
      </c>
      <c r="B33" s="271"/>
      <c r="C33" s="266">
        <v>1.4450000000000001</v>
      </c>
      <c r="E33" s="74">
        <f t="shared" si="2"/>
        <v>0.69204152249134943</v>
      </c>
      <c r="G33" s="268">
        <v>36</v>
      </c>
      <c r="I33" s="73">
        <f t="shared" si="0"/>
        <v>0.63959626961179306</v>
      </c>
      <c r="K33" s="270">
        <f>'Exhibit Q,10'!C$31*$I33+'Exhibit Q,10'!E$31*$I34+'Exhibit Q,10'!G$31*$I35+'Exhibit Q,10'!I$31*$I36+'Exhibit Q,10'!K$31*$I37+'Exhibit Q,10'!M$31*$I38</f>
        <v>0.2244775093118086</v>
      </c>
      <c r="M33" s="270">
        <f>'Exhibit Q,10'!C$32*$I33+'Exhibit Q,10'!E$32*$I34+'Exhibit Q,10'!G$32*$I35+'Exhibit Q,10'!I$32*$I36+'Exhibit Q,10'!K$32*$I37+'Exhibit Q,10'!M$32*$I38</f>
        <v>0.39841461526905886</v>
      </c>
      <c r="N33" s="74"/>
      <c r="O33" s="72">
        <f>'Exhibit Q,1'!I33</f>
        <v>0.66263958650038568</v>
      </c>
      <c r="P33" s="72">
        <f>'Exhibit Q,1'!K33</f>
        <v>0.28283117215824882</v>
      </c>
      <c r="Q33" s="72">
        <f>'Exhibit Q,1'!M33</f>
        <v>0.35924205017075062</v>
      </c>
      <c r="R33" s="74"/>
      <c r="S33" s="230">
        <v>36</v>
      </c>
      <c r="T33" s="72">
        <f t="shared" si="1"/>
        <v>0.7177047289504036</v>
      </c>
    </row>
    <row r="34" spans="1:20" ht="16">
      <c r="A34" s="6">
        <v>23</v>
      </c>
      <c r="B34" s="271"/>
      <c r="C34" s="266">
        <v>2.6371250000000002</v>
      </c>
      <c r="E34" s="74">
        <f t="shared" si="2"/>
        <v>0.37920083424183532</v>
      </c>
      <c r="G34" s="268">
        <v>24</v>
      </c>
      <c r="I34" s="73">
        <f t="shared" si="0"/>
        <v>0.34806159906885126</v>
      </c>
      <c r="K34" s="270">
        <f>'Exhibit Q,10'!C$31*$I34+'Exhibit Q,10'!E$31*$I35+'Exhibit Q,10'!G$31*$I36+'Exhibit Q,10'!I$31*$I37+'Exhibit Q,10'!K$31*$I38+'Exhibit Q,10'!M$31*$I39</f>
        <v>9.0829310618462944E-2</v>
      </c>
      <c r="M34" s="270">
        <f>'Exhibit Q,10'!C$32*$I34+'Exhibit Q,10'!E$32*$I35+'Exhibit Q,10'!G$32*$I36+'Exhibit Q,10'!I$32*$I37+'Exhibit Q,10'!K$32*$I38+'Exhibit Q,10'!M$32*$I39</f>
        <v>0.18611062787011778</v>
      </c>
      <c r="N34" s="74"/>
      <c r="O34" s="72">
        <f>'Exhibit Q,1'!I34</f>
        <v>0.36582209102601632</v>
      </c>
      <c r="P34" s="72">
        <f>'Exhibit Q,1'!K34</f>
        <v>0.10899607353648681</v>
      </c>
      <c r="Q34" s="72">
        <f>'Exhibit Q,1'!M34</f>
        <v>0.15142352937362319</v>
      </c>
      <c r="R34" s="74"/>
      <c r="S34" s="230">
        <v>24</v>
      </c>
      <c r="T34" s="72">
        <f t="shared" si="1"/>
        <v>0.40527089159596147</v>
      </c>
    </row>
    <row r="35" spans="1:20" ht="16">
      <c r="A35" s="6">
        <v>11</v>
      </c>
      <c r="B35" s="271"/>
      <c r="C35" s="266">
        <v>6.3291000000000004</v>
      </c>
      <c r="E35" s="74">
        <f t="shared" si="2"/>
        <v>0.1580003476007647</v>
      </c>
      <c r="G35" s="268">
        <v>12</v>
      </c>
      <c r="I35" s="73">
        <f>MIN(T35*((12-J$45)/12)+T36*((J$45)/12),(9/11)*E35)</f>
        <v>0.12927301167335295</v>
      </c>
      <c r="K35" s="270">
        <f>'Exhibit Q,10'!C$31*$I35+'Exhibit Q,10'!E$31*$I36+'Exhibit Q,10'!G$31*$I37+'Exhibit Q,10'!I$31*$I38+'Exhibit Q,10'!K$31*$I39+'Exhibit Q,10'!M$31*$I40</f>
        <v>2.1664952564228054E-2</v>
      </c>
      <c r="M35" s="270">
        <f>'Exhibit Q,10'!C$32*$I35+'Exhibit Q,10'!E$32*$I36+'Exhibit Q,10'!G$32*$I37+'Exhibit Q,10'!I$32*$I38+'Exhibit Q,10'!K$32*$I39+'Exhibit Q,10'!M$32*$I40</f>
        <v>5.4799549788115923E-2</v>
      </c>
      <c r="N35" s="74"/>
      <c r="O35" s="72">
        <f>'Exhibit Q,1'!I35</f>
        <v>0.13313577456637163</v>
      </c>
      <c r="P35" s="72">
        <f>'Exhibit Q,1'!K35</f>
        <v>2.9083170495257857E-2</v>
      </c>
      <c r="Q35" s="72">
        <f>'Exhibit Q,1'!M35</f>
        <v>3.3820808160791235E-2</v>
      </c>
      <c r="R35" s="74"/>
      <c r="S35" s="230">
        <v>12</v>
      </c>
      <c r="T35" s="72">
        <f>$E35*(11/12)+$E34*(1/12)</f>
        <v>0.17643372148752057</v>
      </c>
    </row>
    <row r="36" spans="1:20">
      <c r="M36" s="18"/>
      <c r="R36" s="18"/>
    </row>
    <row r="37" spans="1:20">
      <c r="M37" s="60"/>
    </row>
    <row r="38" spans="1:20">
      <c r="M38" s="18"/>
    </row>
    <row r="39" spans="1:20">
      <c r="K39" s="26"/>
    </row>
    <row r="41" spans="1:20">
      <c r="A41" s="64" t="s">
        <v>141</v>
      </c>
      <c r="C41" s="3" t="s">
        <v>210</v>
      </c>
    </row>
    <row r="42" spans="1:20">
      <c r="A42" s="264">
        <v>-2</v>
      </c>
      <c r="C42" s="3" t="s">
        <v>945</v>
      </c>
    </row>
    <row r="43" spans="1:20">
      <c r="A43" s="264">
        <v>-3</v>
      </c>
      <c r="C43" s="3" t="s">
        <v>211</v>
      </c>
    </row>
    <row r="44" spans="1:20">
      <c r="A44" s="264">
        <v>-4</v>
      </c>
      <c r="C44" s="3" t="s">
        <v>212</v>
      </c>
    </row>
    <row r="45" spans="1:20">
      <c r="A45" s="264">
        <v>-5</v>
      </c>
      <c r="C45" s="3" t="s">
        <v>558</v>
      </c>
      <c r="J45" s="1">
        <f>'Exhibit Q,1'!J45</f>
        <v>3</v>
      </c>
      <c r="K45" s="1" t="s">
        <v>559</v>
      </c>
    </row>
    <row r="46" spans="1:20">
      <c r="A46" s="264">
        <v>-7</v>
      </c>
      <c r="C46" s="3" t="s">
        <v>364</v>
      </c>
    </row>
    <row r="47" spans="1:20">
      <c r="C47" s="3" t="s">
        <v>1536</v>
      </c>
    </row>
    <row r="48" spans="1:20">
      <c r="C48" s="3"/>
    </row>
  </sheetData>
  <sortState xmlns:xlrd2="http://schemas.microsoft.com/office/spreadsheetml/2017/richdata2" ref="R19:R26">
    <sortCondition ref="R19:R26"/>
  </sortState>
  <printOptions horizontalCentered="1"/>
  <pageMargins left="0.7" right="0.7" top="0.75" bottom="0.75" header="0.3" footer="0.3"/>
  <pageSetup scale="92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>
    <pageSetUpPr fitToPage="1"/>
  </sheetPr>
  <dimension ref="A1:T49"/>
  <sheetViews>
    <sheetView topLeftCell="A16" zoomScaleNormal="100" workbookViewId="0">
      <selection activeCell="C30" sqref="C30"/>
    </sheetView>
  </sheetViews>
  <sheetFormatPr baseColWidth="10" defaultColWidth="8.7109375" defaultRowHeight="15"/>
  <cols>
    <col min="1" max="1" width="9.7109375" style="1" customWidth="1"/>
    <col min="2" max="2" width="1.7109375" style="1" customWidth="1"/>
    <col min="3" max="3" width="9.7109375" style="1" customWidth="1"/>
    <col min="4" max="4" width="1.7109375" style="1" customWidth="1"/>
    <col min="5" max="5" width="9.7109375" style="1" customWidth="1"/>
    <col min="6" max="6" width="1.7109375" style="1" customWidth="1"/>
    <col min="7" max="7" width="9.7109375" style="1" customWidth="1"/>
    <col min="8" max="8" width="1.7109375" style="1" customWidth="1"/>
    <col min="9" max="9" width="9.7109375" style="1" customWidth="1"/>
    <col min="10" max="10" width="1.7109375" style="1" customWidth="1"/>
    <col min="11" max="11" width="9.7109375" style="1" customWidth="1"/>
    <col min="12" max="12" width="1.7109375" style="1" customWidth="1"/>
    <col min="13" max="13" width="9.7109375" style="1" customWidth="1"/>
    <col min="14" max="16384" width="8.7109375" style="1"/>
  </cols>
  <sheetData>
    <row r="1" spans="1:20">
      <c r="M1" s="64" t="s">
        <v>935</v>
      </c>
    </row>
    <row r="2" spans="1:20">
      <c r="M2" s="64" t="s">
        <v>92</v>
      </c>
    </row>
    <row r="4" spans="1:20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20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20">
      <c r="A6" s="5" t="s">
        <v>208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20">
      <c r="A7" s="5" t="s">
        <v>399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20">
      <c r="A8" s="5"/>
      <c r="B8" s="5"/>
      <c r="C8" s="5"/>
      <c r="D8" s="5"/>
      <c r="E8" s="5"/>
      <c r="F8" s="5"/>
      <c r="G8" s="5"/>
      <c r="H8" s="5"/>
      <c r="I8" s="5"/>
      <c r="J8" s="5"/>
      <c r="K8" s="5"/>
    </row>
    <row r="11" spans="1:20">
      <c r="A11" s="6"/>
      <c r="B11" s="6"/>
      <c r="C11" s="6" t="s">
        <v>124</v>
      </c>
      <c r="D11" s="6"/>
      <c r="E11" s="6" t="s">
        <v>7</v>
      </c>
      <c r="F11" s="6"/>
      <c r="H11" s="6"/>
    </row>
    <row r="12" spans="1:20">
      <c r="A12" s="6" t="s">
        <v>122</v>
      </c>
      <c r="B12" s="6"/>
      <c r="C12" s="6" t="s">
        <v>125</v>
      </c>
      <c r="D12" s="6"/>
      <c r="E12" s="6" t="s">
        <v>62</v>
      </c>
      <c r="F12" s="6"/>
      <c r="G12" s="6" t="s">
        <v>122</v>
      </c>
      <c r="H12" s="6"/>
      <c r="I12" s="7" t="s">
        <v>206</v>
      </c>
      <c r="J12" s="8"/>
      <c r="K12" s="8"/>
      <c r="L12" s="8"/>
      <c r="M12" s="8"/>
      <c r="S12" s="25" t="s">
        <v>122</v>
      </c>
      <c r="T12" s="61"/>
    </row>
    <row r="13" spans="1:20">
      <c r="A13" s="6" t="s">
        <v>123</v>
      </c>
      <c r="B13" s="6"/>
      <c r="C13" s="6" t="s">
        <v>67</v>
      </c>
      <c r="D13" s="6"/>
      <c r="E13" s="6" t="s">
        <v>14</v>
      </c>
      <c r="F13" s="6"/>
      <c r="G13" s="6" t="s">
        <v>123</v>
      </c>
      <c r="H13" s="6"/>
      <c r="I13" s="2" t="s">
        <v>5</v>
      </c>
      <c r="J13" s="6"/>
      <c r="K13" s="2" t="s">
        <v>204</v>
      </c>
      <c r="M13" s="2" t="s">
        <v>198</v>
      </c>
      <c r="S13" s="25" t="s">
        <v>123</v>
      </c>
      <c r="T13" s="61"/>
    </row>
    <row r="14" spans="1:20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  <c r="M14" s="118" t="s">
        <v>30</v>
      </c>
      <c r="S14" s="142" t="s">
        <v>38</v>
      </c>
      <c r="T14" s="61"/>
    </row>
    <row r="15" spans="1:20">
      <c r="C15" s="265">
        <v>1</v>
      </c>
      <c r="D15" s="252"/>
      <c r="E15" s="252">
        <v>1</v>
      </c>
      <c r="S15" s="61"/>
      <c r="T15" s="61"/>
    </row>
    <row r="16" spans="1:20">
      <c r="A16" s="6">
        <v>239</v>
      </c>
      <c r="C16" s="323">
        <f>'Exhibit R,S4'!C118</f>
        <v>1</v>
      </c>
      <c r="D16" s="267"/>
      <c r="E16" s="74">
        <f>1/C16</f>
        <v>1</v>
      </c>
      <c r="G16" s="268">
        <v>240</v>
      </c>
      <c r="I16" s="73">
        <f t="shared" ref="I16:I33" si="0">T16*((12-J$45)/12)+T17*((J$45)/12)</f>
        <v>1</v>
      </c>
      <c r="K16" s="74">
        <v>0.99999999999999989</v>
      </c>
      <c r="M16" s="74">
        <v>0.99999999999999967</v>
      </c>
      <c r="S16" s="230">
        <v>240</v>
      </c>
      <c r="T16" s="72">
        <f t="shared" ref="T16:T34" si="1">$E16*(11/12)+$E15*(1/12)</f>
        <v>1</v>
      </c>
    </row>
    <row r="17" spans="1:20">
      <c r="A17" s="6">
        <v>227</v>
      </c>
      <c r="C17" s="323">
        <f>'Exhibit R,S4'!C119</f>
        <v>1</v>
      </c>
      <c r="D17" s="267"/>
      <c r="E17" s="74">
        <f t="shared" ref="E17:E35" si="2">1/C17</f>
        <v>1</v>
      </c>
      <c r="G17" s="268">
        <v>228</v>
      </c>
      <c r="I17" s="73">
        <f t="shared" si="0"/>
        <v>1</v>
      </c>
      <c r="K17" s="74">
        <v>0.99999999999999989</v>
      </c>
      <c r="M17" s="74">
        <v>0.99999999999999967</v>
      </c>
      <c r="S17" s="230">
        <v>228</v>
      </c>
      <c r="T17" s="72">
        <f t="shared" si="1"/>
        <v>1</v>
      </c>
    </row>
    <row r="18" spans="1:20">
      <c r="A18" s="6">
        <v>215</v>
      </c>
      <c r="C18" s="323">
        <f>'Exhibit R,S4'!C120</f>
        <v>1</v>
      </c>
      <c r="D18" s="267"/>
      <c r="E18" s="74">
        <f t="shared" si="2"/>
        <v>1</v>
      </c>
      <c r="G18" s="268">
        <v>216</v>
      </c>
      <c r="I18" s="73">
        <f t="shared" si="0"/>
        <v>1</v>
      </c>
      <c r="K18" s="74">
        <v>0.99999999999999989</v>
      </c>
      <c r="M18" s="74">
        <v>0.99999999999999967</v>
      </c>
      <c r="S18" s="230">
        <v>216</v>
      </c>
      <c r="T18" s="72">
        <f t="shared" si="1"/>
        <v>1</v>
      </c>
    </row>
    <row r="19" spans="1:20">
      <c r="A19" s="6">
        <v>203</v>
      </c>
      <c r="C19" s="323">
        <f>'Exhibit R,S4'!C121</f>
        <v>1</v>
      </c>
      <c r="D19" s="267"/>
      <c r="E19" s="74">
        <f t="shared" si="2"/>
        <v>1</v>
      </c>
      <c r="G19" s="268">
        <v>204</v>
      </c>
      <c r="I19" s="73">
        <f t="shared" si="0"/>
        <v>1</v>
      </c>
      <c r="K19" s="74">
        <v>0.99999999999999989</v>
      </c>
      <c r="M19" s="74">
        <v>0.99999999999999967</v>
      </c>
      <c r="S19" s="230">
        <v>204</v>
      </c>
      <c r="T19" s="72">
        <f t="shared" si="1"/>
        <v>1</v>
      </c>
    </row>
    <row r="20" spans="1:20">
      <c r="A20" s="6">
        <v>191</v>
      </c>
      <c r="C20" s="323">
        <f>'Exhibit R,S4'!C122</f>
        <v>1</v>
      </c>
      <c r="D20" s="267"/>
      <c r="E20" s="74">
        <f t="shared" si="2"/>
        <v>1</v>
      </c>
      <c r="G20" s="268">
        <v>192</v>
      </c>
      <c r="I20" s="73">
        <f t="shared" si="0"/>
        <v>1</v>
      </c>
      <c r="K20" s="270">
        <f>'Exhibit Q,9'!C$31*$I20+'Exhibit Q,9'!E$31*$I21+'Exhibit Q,9'!G$31*$I22+'Exhibit Q,9'!I$31*$I23+'Exhibit Q,9'!K$31*$I24+'Exhibit Q,9'!M$31*$I25</f>
        <v>1</v>
      </c>
      <c r="M20" s="74">
        <v>1</v>
      </c>
      <c r="S20" s="230">
        <v>192</v>
      </c>
      <c r="T20" s="72">
        <f t="shared" si="1"/>
        <v>1</v>
      </c>
    </row>
    <row r="21" spans="1:20">
      <c r="A21" s="6">
        <v>179</v>
      </c>
      <c r="C21" s="323">
        <f>'Exhibit R,S4'!C123</f>
        <v>1</v>
      </c>
      <c r="D21" s="267"/>
      <c r="E21" s="74">
        <f t="shared" si="2"/>
        <v>1</v>
      </c>
      <c r="G21" s="268">
        <v>180</v>
      </c>
      <c r="I21" s="73">
        <f t="shared" si="0"/>
        <v>1</v>
      </c>
      <c r="K21" s="270">
        <f>'Exhibit Q,9'!C$31*$I21+'Exhibit Q,9'!E$31*$I22+'Exhibit Q,9'!G$31*$I23+'Exhibit Q,9'!I$31*$I24+'Exhibit Q,9'!K$31*$I25+'Exhibit Q,9'!M$31*$I26</f>
        <v>1</v>
      </c>
      <c r="M21" s="74">
        <v>0.99999999999999967</v>
      </c>
      <c r="S21" s="230">
        <v>180</v>
      </c>
      <c r="T21" s="72">
        <f t="shared" si="1"/>
        <v>1</v>
      </c>
    </row>
    <row r="22" spans="1:20">
      <c r="A22" s="6">
        <v>167</v>
      </c>
      <c r="C22" s="323">
        <f>'Exhibit R,S4'!C124</f>
        <v>1</v>
      </c>
      <c r="D22" s="267"/>
      <c r="E22" s="74">
        <f t="shared" si="2"/>
        <v>1</v>
      </c>
      <c r="G22" s="268">
        <v>168</v>
      </c>
      <c r="I22" s="73">
        <f t="shared" si="0"/>
        <v>1</v>
      </c>
      <c r="K22" s="270">
        <f>'Exhibit Q,9'!C$31*$I22+'Exhibit Q,9'!E$31*$I23+'Exhibit Q,9'!G$31*$I24+'Exhibit Q,9'!I$31*$I25+'Exhibit Q,9'!K$31*$I26+'Exhibit Q,9'!M$31*$I27</f>
        <v>1</v>
      </c>
      <c r="M22" s="270">
        <f>'Exhibit Q,9'!C$33*$I22+'Exhibit Q,9'!E$33*$I23+'Exhibit Q,9'!G$33*$I24+'Exhibit Q,9'!I$33*$I25+'Exhibit Q,9'!K$33*$I26+'Exhibit Q,9'!M$33*$I27</f>
        <v>1</v>
      </c>
      <c r="O22" s="270"/>
      <c r="S22" s="230">
        <v>168</v>
      </c>
      <c r="T22" s="72">
        <f t="shared" si="1"/>
        <v>1</v>
      </c>
    </row>
    <row r="23" spans="1:20">
      <c r="A23" s="6">
        <v>155</v>
      </c>
      <c r="C23" s="323">
        <f>'Exhibit R,S4'!C125</f>
        <v>1</v>
      </c>
      <c r="D23" s="267"/>
      <c r="E23" s="74">
        <f t="shared" si="2"/>
        <v>1</v>
      </c>
      <c r="G23" s="268">
        <v>156</v>
      </c>
      <c r="I23" s="73">
        <f t="shared" si="0"/>
        <v>1</v>
      </c>
      <c r="K23" s="270">
        <f>'Exhibit Q,9'!C$31*$I23+'Exhibit Q,9'!E$31*$I24+'Exhibit Q,9'!G$31*$I25+'Exhibit Q,9'!I$31*$I26+'Exhibit Q,9'!K$31*$I27+'Exhibit Q,9'!M$31*$I28</f>
        <v>0.99978602552131968</v>
      </c>
      <c r="M23" s="270">
        <f>'Exhibit Q,9'!C$33*$I23+'Exhibit Q,9'!E$33*$I24+'Exhibit Q,9'!G$33*$I25+'Exhibit Q,9'!I$33*$I26+'Exhibit Q,9'!K$33*$I27+'Exhibit Q,9'!M$33*$I28</f>
        <v>0.99992913024344032</v>
      </c>
      <c r="O23" s="270"/>
      <c r="S23" s="230">
        <v>156</v>
      </c>
      <c r="T23" s="72">
        <f t="shared" si="1"/>
        <v>1</v>
      </c>
    </row>
    <row r="24" spans="1:20">
      <c r="A24" s="6">
        <v>143</v>
      </c>
      <c r="C24" s="323">
        <f>'Exhibit R,S4'!C126</f>
        <v>1</v>
      </c>
      <c r="D24" s="267"/>
      <c r="E24" s="74">
        <f t="shared" si="2"/>
        <v>1</v>
      </c>
      <c r="G24" s="268">
        <v>144</v>
      </c>
      <c r="I24" s="73">
        <f t="shared" si="0"/>
        <v>1</v>
      </c>
      <c r="K24" s="270">
        <f>'Exhibit Q,9'!C$31*$I24+'Exhibit Q,9'!E$31*$I25+'Exhibit Q,9'!G$31*$I26+'Exhibit Q,9'!I$31*$I27+'Exhibit Q,9'!K$31*$I28+'Exhibit Q,9'!M$31*$I29</f>
        <v>0.9983566766670674</v>
      </c>
      <c r="M24" s="270">
        <f>'Exhibit Q,9'!C$33*$I24+'Exhibit Q,9'!E$33*$I25+'Exhibit Q,9'!G$33*$I26+'Exhibit Q,9'!I$33*$I27+'Exhibit Q,9'!K$33*$I28+'Exhibit Q,9'!M$33*$I29</f>
        <v>0.99931537057927211</v>
      </c>
      <c r="O24" s="270"/>
      <c r="S24" s="230">
        <v>144</v>
      </c>
      <c r="T24" s="72">
        <f t="shared" si="1"/>
        <v>1</v>
      </c>
    </row>
    <row r="25" spans="1:20">
      <c r="A25" s="6">
        <v>131</v>
      </c>
      <c r="C25" s="323">
        <f>'Exhibit R,S4'!C127</f>
        <v>1</v>
      </c>
      <c r="D25" s="267"/>
      <c r="E25" s="74">
        <f t="shared" si="2"/>
        <v>1</v>
      </c>
      <c r="G25" s="268">
        <v>132</v>
      </c>
      <c r="I25" s="73">
        <f t="shared" si="0"/>
        <v>1</v>
      </c>
      <c r="K25" s="270">
        <f>'Exhibit Q,9'!C$31*$I25+'Exhibit Q,9'!E$31*$I26+'Exhibit Q,9'!G$31*$I27+'Exhibit Q,9'!I$31*$I28+'Exhibit Q,9'!K$31*$I29+'Exhibit Q,9'!M$31*$I30</f>
        <v>0.99336056768070491</v>
      </c>
      <c r="M25" s="270">
        <f>'Exhibit Q,9'!C$33*$I25+'Exhibit Q,9'!E$33*$I26+'Exhibit Q,9'!G$33*$I27+'Exhibit Q,9'!I$33*$I28+'Exhibit Q,9'!K$33*$I29+'Exhibit Q,9'!M$33*$I30</f>
        <v>0.99658549146390163</v>
      </c>
      <c r="O25" s="270"/>
      <c r="S25" s="230">
        <v>132</v>
      </c>
      <c r="T25" s="72">
        <f t="shared" si="1"/>
        <v>1</v>
      </c>
    </row>
    <row r="26" spans="1:20">
      <c r="A26" s="6">
        <v>119</v>
      </c>
      <c r="C26" s="323">
        <f>'Exhibit R,S4'!C128</f>
        <v>1</v>
      </c>
      <c r="D26" s="267"/>
      <c r="E26" s="74">
        <f t="shared" si="2"/>
        <v>1</v>
      </c>
      <c r="G26" s="268">
        <v>120</v>
      </c>
      <c r="I26" s="73">
        <f t="shared" si="0"/>
        <v>1</v>
      </c>
      <c r="K26" s="270">
        <f>'Exhibit Q,9'!C$31*$I26+'Exhibit Q,9'!E$31*$I27+'Exhibit Q,9'!G$31*$I28+'Exhibit Q,9'!I$31*$I29+'Exhibit Q,9'!K$31*$I30+'Exhibit Q,9'!M$31*$I31</f>
        <v>0.97604237558173101</v>
      </c>
      <c r="M26" s="270">
        <f>'Exhibit Q,9'!C$33*$I26+'Exhibit Q,9'!E$33*$I27+'Exhibit Q,9'!G$33*$I28+'Exhibit Q,9'!I$33*$I29+'Exhibit Q,9'!K$33*$I30+'Exhibit Q,9'!M$33*$I31</f>
        <v>0.98651849591014062</v>
      </c>
      <c r="S26" s="230">
        <v>120</v>
      </c>
      <c r="T26" s="72">
        <f t="shared" si="1"/>
        <v>1</v>
      </c>
    </row>
    <row r="27" spans="1:20">
      <c r="A27" s="6">
        <v>107</v>
      </c>
      <c r="C27" s="323">
        <f>'Exhibit R,S4'!C129</f>
        <v>1</v>
      </c>
      <c r="E27" s="74">
        <f t="shared" si="2"/>
        <v>1</v>
      </c>
      <c r="G27" s="268">
        <v>108</v>
      </c>
      <c r="I27" s="73">
        <f t="shared" si="0"/>
        <v>1</v>
      </c>
      <c r="K27" s="270">
        <f>'Exhibit Q,9'!C$31*$I27+'Exhibit Q,9'!E$31*$I28+'Exhibit Q,9'!G$31*$I29+'Exhibit Q,9'!I$31*$I30+'Exhibit Q,9'!K$31*$I31+'Exhibit Q,9'!M$31*$I32</f>
        <v>0.92586482970108719</v>
      </c>
      <c r="M27" s="270">
        <f>'Exhibit Q,9'!C$33*$I27+'Exhibit Q,9'!E$33*$I28+'Exhibit Q,9'!G$33*$I29+'Exhibit Q,9'!I$33*$I30+'Exhibit Q,9'!K$33*$I31+'Exhibit Q,9'!M$33*$I32</f>
        <v>0.9542938594850664</v>
      </c>
      <c r="N27" s="74"/>
      <c r="P27" s="74"/>
      <c r="R27" s="74"/>
      <c r="S27" s="230">
        <v>108</v>
      </c>
      <c r="T27" s="72">
        <f t="shared" si="1"/>
        <v>1</v>
      </c>
    </row>
    <row r="28" spans="1:20">
      <c r="A28" s="6">
        <v>95</v>
      </c>
      <c r="C28" s="323">
        <f>'Exhibit R,S4'!C130</f>
        <v>1</v>
      </c>
      <c r="E28" s="74">
        <f t="shared" si="2"/>
        <v>1</v>
      </c>
      <c r="G28" s="268">
        <v>96</v>
      </c>
      <c r="I28" s="73">
        <f t="shared" si="0"/>
        <v>0.98908730158730163</v>
      </c>
      <c r="K28" s="270">
        <f>'Exhibit Q,9'!C$31*$I28+'Exhibit Q,9'!E$31*$I29+'Exhibit Q,9'!G$31*$I30+'Exhibit Q,9'!I$31*$I31+'Exhibit Q,9'!K$31*$I32+'Exhibit Q,9'!M$31*$I33</f>
        <v>0.8203121366118874</v>
      </c>
      <c r="M28" s="270">
        <f>'Exhibit Q,9'!C$33*$I28+'Exhibit Q,9'!E$33*$I29+'Exhibit Q,9'!G$33*$I30+'Exhibit Q,9'!I$33*$I31+'Exhibit Q,9'!K$33*$I32+'Exhibit Q,9'!M$33*$I33</f>
        <v>0.87462956824624838</v>
      </c>
      <c r="N28" s="74"/>
      <c r="P28" s="74"/>
      <c r="R28" s="74"/>
      <c r="S28" s="230">
        <v>96</v>
      </c>
      <c r="T28" s="72">
        <f t="shared" si="1"/>
        <v>1</v>
      </c>
    </row>
    <row r="29" spans="1:20">
      <c r="A29" s="6">
        <v>83</v>
      </c>
      <c r="C29" s="323">
        <f>'Exhibit R,S4'!C131</f>
        <v>1.05</v>
      </c>
      <c r="E29" s="74">
        <f t="shared" si="2"/>
        <v>0.95238095238095233</v>
      </c>
      <c r="G29" s="268">
        <v>84</v>
      </c>
      <c r="I29" s="73">
        <f t="shared" si="0"/>
        <v>0.92688923395445122</v>
      </c>
      <c r="K29" s="270">
        <f>'Exhibit Q,9'!C$31*$I29+'Exhibit Q,9'!E$31*$I30+'Exhibit Q,9'!G$31*$I31+'Exhibit Q,9'!I$31*$I32+'Exhibit Q,9'!K$31*$I33+'Exhibit Q,9'!M$31*$I34</f>
        <v>0.65558994591853825</v>
      </c>
      <c r="M29" s="270">
        <f>'Exhibit Q,9'!C$33*$I29+'Exhibit Q,9'!E$33*$I30+'Exhibit Q,9'!G$33*$I31+'Exhibit Q,9'!I$33*$I32+'Exhibit Q,9'!K$33*$I33+'Exhibit Q,9'!M$33*$I34</f>
        <v>0.73050849541415308</v>
      </c>
      <c r="N29" s="74"/>
      <c r="P29" s="74"/>
      <c r="R29" s="74"/>
      <c r="S29" s="230">
        <v>84</v>
      </c>
      <c r="T29" s="72">
        <f t="shared" si="1"/>
        <v>0.95634920634920628</v>
      </c>
    </row>
    <row r="30" spans="1:20">
      <c r="A30" s="6">
        <v>71</v>
      </c>
      <c r="C30" s="323">
        <f>'Exhibit R,S4'!C132</f>
        <v>1.2075</v>
      </c>
      <c r="E30" s="74">
        <f t="shared" si="2"/>
        <v>0.82815734989648027</v>
      </c>
      <c r="G30" s="268">
        <v>72</v>
      </c>
      <c r="I30" s="73">
        <f t="shared" si="0"/>
        <v>0.78169673666568074</v>
      </c>
      <c r="K30" s="270">
        <f>'Exhibit Q,9'!C$31*$I30+'Exhibit Q,9'!E$31*$I31+'Exhibit Q,9'!G$31*$I32+'Exhibit Q,9'!I$31*$I33+'Exhibit Q,9'!K$31*$I34+'Exhibit Q,9'!M$31*$I35</f>
        <v>0.47493137827282289</v>
      </c>
      <c r="M30" s="270">
        <f>'Exhibit Q,9'!C$33*$I30+'Exhibit Q,9'!E$33*$I31+'Exhibit Q,9'!G$33*$I32+'Exhibit Q,9'!I$33*$I33+'Exhibit Q,9'!K$33*$I34+'Exhibit Q,9'!M$33*$I35</f>
        <v>0.5414768242848691</v>
      </c>
      <c r="N30" s="74"/>
      <c r="P30" s="74"/>
      <c r="R30" s="74"/>
      <c r="S30" s="230">
        <v>72</v>
      </c>
      <c r="T30" s="72">
        <f t="shared" si="1"/>
        <v>0.83850931677018625</v>
      </c>
    </row>
    <row r="31" spans="1:20">
      <c r="A31" s="6">
        <v>59</v>
      </c>
      <c r="C31" s="323">
        <f>'Exhibit R,S4'!C133</f>
        <v>1.6904999999999999</v>
      </c>
      <c r="E31" s="74">
        <f t="shared" si="2"/>
        <v>0.59154096421177171</v>
      </c>
      <c r="G31" s="268">
        <v>60</v>
      </c>
      <c r="I31" s="73">
        <f t="shared" si="0"/>
        <v>0.56114233132866675</v>
      </c>
      <c r="K31" s="270">
        <f>'Exhibit Q,9'!C$31*$I31+'Exhibit Q,9'!E$31*$I32+'Exhibit Q,9'!G$31*$I33+'Exhibit Q,9'!I$31*$I34+'Exhibit Q,9'!K$31*$I35+'Exhibit Q,9'!M$31*$I36</f>
        <v>0.29724304673699037</v>
      </c>
      <c r="M31" s="270">
        <f>'Exhibit Q,9'!C$33*$I31+'Exhibit Q,9'!E$33*$I32+'Exhibit Q,9'!G$33*$I33+'Exhibit Q,9'!I$33*$I34+'Exhibit Q,9'!K$33*$I35+'Exhibit Q,9'!M$33*$I36</f>
        <v>0.35501683244037896</v>
      </c>
      <c r="N31" s="74"/>
      <c r="P31" s="74"/>
      <c r="R31" s="74"/>
      <c r="S31" s="230">
        <v>60</v>
      </c>
      <c r="T31" s="72">
        <f t="shared" si="1"/>
        <v>0.61125899635216407</v>
      </c>
    </row>
    <row r="32" spans="1:20">
      <c r="A32" s="6">
        <v>47</v>
      </c>
      <c r="C32" s="323">
        <f>'Exhibit R,S4'!C134</f>
        <v>2.5357499999999997</v>
      </c>
      <c r="E32" s="74">
        <f t="shared" si="2"/>
        <v>0.39436064280784783</v>
      </c>
      <c r="G32" s="268">
        <v>48</v>
      </c>
      <c r="I32" s="73">
        <f t="shared" si="0"/>
        <v>0.3727940451542936</v>
      </c>
      <c r="K32" s="270">
        <f>'Exhibit Q,9'!C$31*$I32+'Exhibit Q,9'!E$31*$I33+'Exhibit Q,9'!G$31*$I34+'Exhibit Q,9'!I$31*$I35+'Exhibit Q,9'!K$31*$I36+'Exhibit Q,9'!M$31*$I37</f>
        <v>0.14105512444570095</v>
      </c>
      <c r="M32" s="270">
        <f>'Exhibit Q,9'!C$33*$I32+'Exhibit Q,9'!E$33*$I33+'Exhibit Q,9'!G$33*$I34+'Exhibit Q,9'!I$33*$I35+'Exhibit Q,9'!K$33*$I36+'Exhibit Q,9'!M$33*$I37</f>
        <v>0.19305331923039931</v>
      </c>
      <c r="N32" s="74"/>
      <c r="P32" s="74"/>
      <c r="R32" s="74"/>
      <c r="S32" s="230">
        <v>48</v>
      </c>
      <c r="T32" s="72">
        <f t="shared" si="1"/>
        <v>0.4107923362581748</v>
      </c>
    </row>
    <row r="33" spans="1:20">
      <c r="A33" s="6">
        <v>35</v>
      </c>
      <c r="C33" s="323">
        <f>'Exhibit R,S4'!C135</f>
        <v>4.0571999999999999</v>
      </c>
      <c r="E33" s="74">
        <f t="shared" si="2"/>
        <v>0.24647540175490487</v>
      </c>
      <c r="G33" s="268">
        <v>36</v>
      </c>
      <c r="I33" s="73">
        <f t="shared" si="0"/>
        <v>0.20676547591661465</v>
      </c>
      <c r="K33" s="270">
        <f>'Exhibit Q,9'!C$31*$I33+'Exhibit Q,9'!E$31*$I34+'Exhibit Q,9'!G$31*$I35+'Exhibit Q,9'!I$31*$I36+'Exhibit Q,9'!K$31*$I37+'Exhibit Q,9'!M$31*$I38</f>
        <v>5.2816207243050702E-2</v>
      </c>
      <c r="M33" s="270">
        <f>'Exhibit Q,9'!C$33*$I33+'Exhibit Q,9'!E$33*$I34+'Exhibit Q,9'!G$33*$I35+'Exhibit Q,9'!I$33*$I36+'Exhibit Q,9'!K$33*$I37+'Exhibit Q,9'!M$33*$I38</f>
        <v>6.7207447680291757E-2</v>
      </c>
      <c r="N33" s="74"/>
      <c r="P33" s="74"/>
      <c r="R33" s="74"/>
      <c r="S33" s="230">
        <v>36</v>
      </c>
      <c r="T33" s="72">
        <f t="shared" si="1"/>
        <v>0.25879917184265011</v>
      </c>
    </row>
    <row r="34" spans="1:20">
      <c r="A34" s="6">
        <v>23</v>
      </c>
      <c r="C34" s="323">
        <f>'Exhibit R,S4'!C136</f>
        <v>30.428999999999998</v>
      </c>
      <c r="E34" s="74">
        <f t="shared" si="2"/>
        <v>3.2863386900653983E-2</v>
      </c>
      <c r="G34" s="268">
        <v>24</v>
      </c>
      <c r="I34" s="73">
        <f>MIN(E34,T34*((12-J$45)/12)+T35*((J$45)/12))</f>
        <v>3.2863386900653983E-2</v>
      </c>
      <c r="K34" s="270">
        <f>'Exhibit Q,9'!C$31*$I34+'Exhibit Q,9'!E$31*$I35+'Exhibit Q,9'!G$31*$I36+'Exhibit Q,9'!I$31*$I37+'Exhibit Q,9'!K$31*$I38+'Exhibit Q,9'!M$31*$I39</f>
        <v>7.4138696494559699E-3</v>
      </c>
      <c r="M34" s="270">
        <f>'Exhibit Q,9'!C$33*$I34+'Exhibit Q,9'!E$33*$I35+'Exhibit Q,9'!G$33*$I36+'Exhibit Q,9'!I$33*$I37+'Exhibit Q,9'!K$33*$I38+'Exhibit Q,9'!M$33*$I39</f>
        <v>8.8208977591945244E-3</v>
      </c>
      <c r="N34" s="74"/>
      <c r="P34" s="74"/>
      <c r="R34" s="74"/>
      <c r="S34" s="230">
        <v>24</v>
      </c>
      <c r="T34" s="72">
        <f t="shared" si="1"/>
        <v>5.0664388138508223E-2</v>
      </c>
    </row>
    <row r="35" spans="1:20">
      <c r="A35" s="6">
        <v>11</v>
      </c>
      <c r="C35" s="323">
        <f>'Exhibit R,S4'!C137</f>
        <v>760.72499999999991</v>
      </c>
      <c r="E35" s="74">
        <f t="shared" si="2"/>
        <v>1.3145354760261594E-3</v>
      </c>
      <c r="G35" s="268">
        <v>12</v>
      </c>
      <c r="I35" s="73">
        <f>MIN(T35*((12-J$45)/12)+T36*((J$45)/12),(9/11)*E35)</f>
        <v>1.075529025839585E-3</v>
      </c>
      <c r="K35" s="270">
        <f>'Exhibit Q,9'!C$31*$I35+'Exhibit Q,9'!E$31*$I36+'Exhibit Q,9'!G$31*$I37+'Exhibit Q,9'!I$31*$I38+'Exhibit Q,9'!K$31*$I39+'Exhibit Q,9'!M$31*$I40</f>
        <v>2.3494657339825261E-4</v>
      </c>
      <c r="M35" s="270">
        <f>'Exhibit Q,9'!C$33*$I35+'Exhibit Q,9'!E$33*$I36+'Exhibit Q,9'!G$33*$I37+'Exhibit Q,9'!I$33*$I38+'Exhibit Q,9'!K$33*$I39+'Exhibit Q,9'!M$33*$I40</f>
        <v>2.7321928289191177E-4</v>
      </c>
      <c r="N35" s="74"/>
      <c r="P35" s="74"/>
      <c r="R35" s="74"/>
      <c r="S35" s="230">
        <v>12</v>
      </c>
      <c r="T35" s="72">
        <f>$E35*(11/12)+$E34*(1/12)</f>
        <v>3.9436064280784777E-3</v>
      </c>
    </row>
    <row r="39" spans="1:20">
      <c r="K39" s="26"/>
    </row>
    <row r="41" spans="1:20">
      <c r="A41" s="64" t="s">
        <v>141</v>
      </c>
      <c r="C41" s="3" t="s">
        <v>210</v>
      </c>
    </row>
    <row r="42" spans="1:20">
      <c r="A42" s="264">
        <v>-2</v>
      </c>
      <c r="C42" s="3" t="s">
        <v>946</v>
      </c>
    </row>
    <row r="43" spans="1:20">
      <c r="A43" s="264">
        <v>-3</v>
      </c>
      <c r="C43" s="3" t="s">
        <v>211</v>
      </c>
    </row>
    <row r="44" spans="1:20">
      <c r="A44" s="264">
        <v>-4</v>
      </c>
      <c r="C44" s="3" t="s">
        <v>212</v>
      </c>
    </row>
    <row r="45" spans="1:20">
      <c r="A45" s="264">
        <v>-5</v>
      </c>
      <c r="C45" s="3" t="s">
        <v>558</v>
      </c>
      <c r="J45" s="1">
        <f>'Exhibit Q,1'!J45</f>
        <v>3</v>
      </c>
      <c r="K45" s="1" t="s">
        <v>559</v>
      </c>
    </row>
    <row r="46" spans="1:20">
      <c r="A46" s="264">
        <v>-6</v>
      </c>
      <c r="C46" s="3" t="s">
        <v>1537</v>
      </c>
    </row>
    <row r="47" spans="1:20">
      <c r="A47" s="264">
        <v>-7</v>
      </c>
      <c r="C47" s="3" t="s">
        <v>364</v>
      </c>
    </row>
    <row r="48" spans="1:20">
      <c r="C48" s="3" t="s">
        <v>1538</v>
      </c>
    </row>
    <row r="49" spans="3:3">
      <c r="C49" s="3"/>
    </row>
  </sheetData>
  <printOptions horizontalCentered="1"/>
  <pageMargins left="0.7" right="0.7" top="0.75" bottom="0.75" header="0.3" footer="0.3"/>
  <pageSetup scale="86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>
    <pageSetUpPr fitToPage="1"/>
  </sheetPr>
  <dimension ref="A1:T48"/>
  <sheetViews>
    <sheetView zoomScaleNormal="100" workbookViewId="0"/>
  </sheetViews>
  <sheetFormatPr baseColWidth="10" defaultColWidth="8.7109375" defaultRowHeight="15"/>
  <cols>
    <col min="1" max="1" width="9.7109375" style="1" customWidth="1"/>
    <col min="2" max="2" width="1.7109375" style="1" customWidth="1"/>
    <col min="3" max="3" width="9.7109375" style="1" customWidth="1"/>
    <col min="4" max="4" width="1.7109375" style="1" customWidth="1"/>
    <col min="5" max="5" width="9.7109375" style="1" customWidth="1"/>
    <col min="6" max="6" width="1.7109375" style="1" customWidth="1"/>
    <col min="7" max="7" width="9.7109375" style="1" customWidth="1"/>
    <col min="8" max="8" width="1.7109375" style="1" customWidth="1"/>
    <col min="9" max="9" width="9.7109375" style="1" customWidth="1"/>
    <col min="10" max="10" width="1.7109375" style="1" customWidth="1"/>
    <col min="11" max="11" width="9.7109375" style="1" customWidth="1"/>
    <col min="12" max="12" width="1.7109375" style="1" customWidth="1"/>
    <col min="13" max="13" width="9.7109375" style="1" customWidth="1"/>
    <col min="14" max="16384" width="8.7109375" style="1"/>
  </cols>
  <sheetData>
    <row r="1" spans="1:20">
      <c r="M1" s="64" t="s">
        <v>935</v>
      </c>
    </row>
    <row r="2" spans="1:20">
      <c r="M2" s="64" t="s">
        <v>936</v>
      </c>
    </row>
    <row r="4" spans="1:20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20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20">
      <c r="A6" s="5" t="s">
        <v>208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20">
      <c r="A7" s="5" t="s">
        <v>444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20">
      <c r="A8" s="5"/>
      <c r="B8" s="5"/>
      <c r="C8" s="5"/>
      <c r="D8" s="5"/>
      <c r="E8" s="5"/>
      <c r="F8" s="5"/>
      <c r="G8" s="5"/>
      <c r="H8" s="5"/>
      <c r="I8" s="5"/>
      <c r="J8" s="5"/>
      <c r="K8" s="5"/>
    </row>
    <row r="11" spans="1:20">
      <c r="A11" s="6"/>
      <c r="B11" s="6"/>
      <c r="C11" s="6" t="s">
        <v>124</v>
      </c>
      <c r="D11" s="6"/>
      <c r="E11" s="6" t="s">
        <v>7</v>
      </c>
      <c r="F11" s="6"/>
      <c r="H11" s="6"/>
    </row>
    <row r="12" spans="1:20">
      <c r="A12" s="6" t="s">
        <v>122</v>
      </c>
      <c r="B12" s="6"/>
      <c r="C12" s="6" t="s">
        <v>125</v>
      </c>
      <c r="D12" s="6"/>
      <c r="E12" s="6" t="s">
        <v>62</v>
      </c>
      <c r="F12" s="6"/>
      <c r="G12" s="6" t="s">
        <v>122</v>
      </c>
      <c r="H12" s="6"/>
      <c r="I12" s="7" t="s">
        <v>206</v>
      </c>
      <c r="J12" s="8"/>
      <c r="K12" s="8"/>
      <c r="L12" s="8"/>
      <c r="M12" s="8"/>
      <c r="S12" s="25" t="s">
        <v>122</v>
      </c>
      <c r="T12" s="61"/>
    </row>
    <row r="13" spans="1:20">
      <c r="A13" s="6" t="s">
        <v>123</v>
      </c>
      <c r="B13" s="6"/>
      <c r="C13" s="6" t="s">
        <v>67</v>
      </c>
      <c r="D13" s="6"/>
      <c r="E13" s="6" t="s">
        <v>14</v>
      </c>
      <c r="F13" s="6"/>
      <c r="G13" s="6" t="s">
        <v>123</v>
      </c>
      <c r="H13" s="6"/>
      <c r="I13" s="2" t="s">
        <v>5</v>
      </c>
      <c r="J13" s="6"/>
      <c r="K13" s="2" t="s">
        <v>204</v>
      </c>
      <c r="M13" s="2" t="s">
        <v>198</v>
      </c>
      <c r="S13" s="25" t="s">
        <v>123</v>
      </c>
      <c r="T13" s="61"/>
    </row>
    <row r="14" spans="1:20">
      <c r="A14" s="106" t="s">
        <v>27</v>
      </c>
      <c r="C14" s="106" t="s">
        <v>33</v>
      </c>
      <c r="E14" s="106" t="s">
        <v>36</v>
      </c>
      <c r="G14" s="106" t="s">
        <v>38</v>
      </c>
      <c r="I14" s="106" t="s">
        <v>40</v>
      </c>
      <c r="K14" s="106" t="s">
        <v>42</v>
      </c>
      <c r="M14" s="118" t="s">
        <v>30</v>
      </c>
      <c r="S14" s="142" t="s">
        <v>38</v>
      </c>
      <c r="T14" s="61"/>
    </row>
    <row r="15" spans="1:20">
      <c r="C15" s="265"/>
      <c r="D15" s="252"/>
      <c r="E15" s="252"/>
      <c r="S15" s="61"/>
      <c r="T15" s="61"/>
    </row>
    <row r="16" spans="1:20">
      <c r="A16" s="6">
        <v>239</v>
      </c>
      <c r="C16" s="266">
        <v>1</v>
      </c>
      <c r="D16" s="267"/>
      <c r="E16" s="74">
        <f>1/C16</f>
        <v>1</v>
      </c>
      <c r="G16" s="268">
        <v>240</v>
      </c>
      <c r="I16" s="73">
        <f t="shared" ref="I16:I34" si="0">T16*((12-J$45)/12)+T17*((J$45)/12)</f>
        <v>0.9375</v>
      </c>
      <c r="K16" s="74">
        <v>0.99999999999999989</v>
      </c>
      <c r="M16" s="74">
        <v>1</v>
      </c>
      <c r="S16" s="230">
        <v>240</v>
      </c>
      <c r="T16" s="72">
        <f t="shared" ref="T16:T34" si="1">$E16*(11/12)+$E15*(1/12)</f>
        <v>0.91666666666666663</v>
      </c>
    </row>
    <row r="17" spans="1:20">
      <c r="A17" s="6">
        <v>227</v>
      </c>
      <c r="C17" s="266">
        <v>1</v>
      </c>
      <c r="D17" s="267"/>
      <c r="E17" s="74">
        <f t="shared" ref="E17:E35" si="2">1/C17</f>
        <v>1</v>
      </c>
      <c r="G17" s="268">
        <v>228</v>
      </c>
      <c r="I17" s="73">
        <f t="shared" si="0"/>
        <v>1</v>
      </c>
      <c r="K17" s="74">
        <v>0.99999999999999989</v>
      </c>
      <c r="M17" s="74">
        <v>1</v>
      </c>
      <c r="S17" s="230">
        <v>228</v>
      </c>
      <c r="T17" s="72">
        <f t="shared" si="1"/>
        <v>1</v>
      </c>
    </row>
    <row r="18" spans="1:20">
      <c r="A18" s="6">
        <v>215</v>
      </c>
      <c r="C18" s="266">
        <v>1</v>
      </c>
      <c r="D18" s="267"/>
      <c r="E18" s="74">
        <f t="shared" si="2"/>
        <v>1</v>
      </c>
      <c r="G18" s="268">
        <v>216</v>
      </c>
      <c r="I18" s="73">
        <f t="shared" si="0"/>
        <v>1</v>
      </c>
      <c r="K18" s="74">
        <v>0.99999999999999989</v>
      </c>
      <c r="M18" s="74">
        <v>1</v>
      </c>
      <c r="S18" s="230">
        <v>216</v>
      </c>
      <c r="T18" s="72">
        <f t="shared" si="1"/>
        <v>1</v>
      </c>
    </row>
    <row r="19" spans="1:20">
      <c r="A19" s="6">
        <v>203</v>
      </c>
      <c r="C19" s="266">
        <v>1</v>
      </c>
      <c r="D19" s="267"/>
      <c r="E19" s="74">
        <f t="shared" si="2"/>
        <v>1</v>
      </c>
      <c r="G19" s="268">
        <v>204</v>
      </c>
      <c r="I19" s="73">
        <f t="shared" si="0"/>
        <v>1</v>
      </c>
      <c r="K19" s="74">
        <v>0.99999999999999989</v>
      </c>
      <c r="M19" s="74">
        <v>1</v>
      </c>
      <c r="S19" s="230">
        <v>204</v>
      </c>
      <c r="T19" s="72">
        <f t="shared" si="1"/>
        <v>1</v>
      </c>
    </row>
    <row r="20" spans="1:20">
      <c r="A20" s="6">
        <v>191</v>
      </c>
      <c r="C20" s="266">
        <v>1</v>
      </c>
      <c r="D20" s="267"/>
      <c r="E20" s="74">
        <f t="shared" si="2"/>
        <v>1</v>
      </c>
      <c r="G20" s="268">
        <v>192</v>
      </c>
      <c r="I20" s="73">
        <f t="shared" si="0"/>
        <v>1</v>
      </c>
      <c r="K20" s="74">
        <v>0.99999999999999989</v>
      </c>
      <c r="M20" s="270">
        <f>'Exhibit Q,10'!C$32*$I20+'Exhibit Q,10'!E$32*$I21+'Exhibit Q,10'!G$32*$I22+'Exhibit Q,10'!I$32*$I23+'Exhibit Q,10'!K$32*$I24+'Exhibit Q,10'!M$32*$I25</f>
        <v>0.99999999999999989</v>
      </c>
      <c r="S20" s="230">
        <v>192</v>
      </c>
      <c r="T20" s="72">
        <f t="shared" si="1"/>
        <v>1</v>
      </c>
    </row>
    <row r="21" spans="1:20">
      <c r="A21" s="6">
        <v>179</v>
      </c>
      <c r="C21" s="266">
        <v>1</v>
      </c>
      <c r="D21" s="267"/>
      <c r="E21" s="74">
        <f t="shared" si="2"/>
        <v>1</v>
      </c>
      <c r="G21" s="268">
        <v>180</v>
      </c>
      <c r="I21" s="73">
        <f t="shared" si="0"/>
        <v>1</v>
      </c>
      <c r="K21" s="270">
        <f>'Exhibit Q,10'!C$31*$I21+'Exhibit Q,10'!E$31*$I22+'Exhibit Q,10'!G$31*$I23+'Exhibit Q,10'!I$31*$I24+'Exhibit Q,10'!K$31*$I25+'Exhibit Q,10'!M$31*$I26</f>
        <v>1</v>
      </c>
      <c r="M21" s="270">
        <f>'Exhibit Q,10'!C$32*$I21+'Exhibit Q,10'!E$32*$I22+'Exhibit Q,10'!G$32*$I23+'Exhibit Q,10'!I$32*$I24+'Exhibit Q,10'!K$32*$I25+'Exhibit Q,10'!M$32*$I26</f>
        <v>0.99999999999999989</v>
      </c>
      <c r="S21" s="230">
        <v>180</v>
      </c>
      <c r="T21" s="72">
        <f t="shared" si="1"/>
        <v>1</v>
      </c>
    </row>
    <row r="22" spans="1:20">
      <c r="A22" s="6">
        <v>167</v>
      </c>
      <c r="C22" s="266">
        <v>1</v>
      </c>
      <c r="D22" s="267"/>
      <c r="E22" s="74">
        <f t="shared" si="2"/>
        <v>1</v>
      </c>
      <c r="G22" s="268">
        <v>168</v>
      </c>
      <c r="I22" s="73">
        <f t="shared" si="0"/>
        <v>1</v>
      </c>
      <c r="K22" s="270">
        <f>'Exhibit Q,10'!C$31*$I22+'Exhibit Q,10'!E$31*$I23+'Exhibit Q,10'!G$31*$I24+'Exhibit Q,10'!I$31*$I25+'Exhibit Q,10'!K$31*$I26+'Exhibit Q,10'!M$31*$I27</f>
        <v>0.99999333191080764</v>
      </c>
      <c r="M22" s="270">
        <f>'Exhibit Q,10'!C$32*$I22+'Exhibit Q,10'!E$32*$I23+'Exhibit Q,10'!G$32*$I24+'Exhibit Q,10'!I$32*$I25+'Exhibit Q,10'!K$32*$I26+'Exhibit Q,10'!M$32*$I27</f>
        <v>0.99999999999999989</v>
      </c>
      <c r="S22" s="230">
        <v>168</v>
      </c>
      <c r="T22" s="72">
        <f t="shared" si="1"/>
        <v>1</v>
      </c>
    </row>
    <row r="23" spans="1:20">
      <c r="A23" s="6">
        <v>155</v>
      </c>
      <c r="C23" s="266">
        <v>1</v>
      </c>
      <c r="D23" s="267"/>
      <c r="E23" s="74">
        <f t="shared" si="2"/>
        <v>1</v>
      </c>
      <c r="G23" s="268">
        <v>156</v>
      </c>
      <c r="I23" s="73">
        <f t="shared" si="0"/>
        <v>1</v>
      </c>
      <c r="K23" s="270">
        <f>'Exhibit Q,10'!C$31*$I23+'Exhibit Q,10'!E$31*$I24+'Exhibit Q,10'!G$31*$I25+'Exhibit Q,10'!I$31*$I26+'Exhibit Q,10'!K$31*$I27+'Exhibit Q,10'!M$31*$I28</f>
        <v>0.9996262017043841</v>
      </c>
      <c r="M23" s="270">
        <f>'Exhibit Q,10'!C$32*$I23+'Exhibit Q,10'!E$32*$I24+'Exhibit Q,10'!G$32*$I25+'Exhibit Q,10'!I$32*$I26+'Exhibit Q,10'!K$32*$I27+'Exhibit Q,10'!M$32*$I28</f>
        <v>0.99999651377918042</v>
      </c>
      <c r="S23" s="230">
        <v>156</v>
      </c>
      <c r="T23" s="72">
        <f t="shared" si="1"/>
        <v>1</v>
      </c>
    </row>
    <row r="24" spans="1:20">
      <c r="A24" s="6">
        <v>143</v>
      </c>
      <c r="C24" s="266">
        <v>1</v>
      </c>
      <c r="D24" s="267"/>
      <c r="E24" s="74">
        <f t="shared" si="2"/>
        <v>1</v>
      </c>
      <c r="G24" s="268">
        <v>144</v>
      </c>
      <c r="I24" s="73">
        <f t="shared" si="0"/>
        <v>1</v>
      </c>
      <c r="K24" s="270">
        <f>'Exhibit Q,10'!C$31*$I24+'Exhibit Q,10'!E$31*$I25+'Exhibit Q,10'!G$31*$I26+'Exhibit Q,10'!I$31*$I27+'Exhibit Q,10'!K$31*$I28+'Exhibit Q,10'!M$31*$I29</f>
        <v>0.99671270545003843</v>
      </c>
      <c r="M24" s="270">
        <f>'Exhibit Q,10'!C$32*$I24+'Exhibit Q,10'!E$32*$I25+'Exhibit Q,10'!G$32*$I26+'Exhibit Q,10'!I$32*$I27+'Exhibit Q,10'!K$32*$I28+'Exhibit Q,10'!M$32*$I29</f>
        <v>0.99980115232697186</v>
      </c>
      <c r="S24" s="230">
        <v>144</v>
      </c>
      <c r="T24" s="72">
        <f t="shared" si="1"/>
        <v>1</v>
      </c>
    </row>
    <row r="25" spans="1:20">
      <c r="A25" s="6">
        <v>131</v>
      </c>
      <c r="C25" s="266">
        <v>1</v>
      </c>
      <c r="D25" s="267"/>
      <c r="E25" s="74">
        <f t="shared" si="2"/>
        <v>1</v>
      </c>
      <c r="G25" s="268">
        <v>132</v>
      </c>
      <c r="I25" s="73">
        <f t="shared" si="0"/>
        <v>1</v>
      </c>
      <c r="K25" s="270">
        <f>'Exhibit Q,10'!C$31*$I25+'Exhibit Q,10'!E$31*$I26+'Exhibit Q,10'!G$31*$I27+'Exhibit Q,10'!I$31*$I28+'Exhibit Q,10'!K$31*$I29+'Exhibit Q,10'!M$31*$I30</f>
        <v>0.98604064130765279</v>
      </c>
      <c r="M25" s="270">
        <f>'Exhibit Q,10'!C$32*$I25+'Exhibit Q,10'!E$32*$I26+'Exhibit Q,10'!G$32*$I27+'Exhibit Q,10'!I$32*$I28+'Exhibit Q,10'!K$32*$I29+'Exhibit Q,10'!M$32*$I30</f>
        <v>0.99808638282349549</v>
      </c>
      <c r="S25" s="230">
        <v>132</v>
      </c>
      <c r="T25" s="72">
        <f t="shared" si="1"/>
        <v>1</v>
      </c>
    </row>
    <row r="26" spans="1:20">
      <c r="A26" s="6">
        <v>119</v>
      </c>
      <c r="C26" s="266">
        <v>1</v>
      </c>
      <c r="D26" s="267"/>
      <c r="E26" s="74">
        <f t="shared" si="2"/>
        <v>1</v>
      </c>
      <c r="G26" s="268">
        <v>120</v>
      </c>
      <c r="I26" s="73">
        <f t="shared" si="0"/>
        <v>1</v>
      </c>
      <c r="K26" s="270">
        <f>'Exhibit Q,10'!C$31*$I26+'Exhibit Q,10'!E$31*$I27+'Exhibit Q,10'!G$31*$I28+'Exhibit Q,10'!I$31*$I29+'Exhibit Q,10'!K$31*$I30+'Exhibit Q,10'!M$31*$I31</f>
        <v>0.95946749874657722</v>
      </c>
      <c r="M26" s="270">
        <f>'Exhibit Q,10'!C$32*$I26+'Exhibit Q,10'!E$32*$I27+'Exhibit Q,10'!G$32*$I28+'Exhibit Q,10'!I$32*$I29+'Exhibit Q,10'!K$32*$I30+'Exhibit Q,10'!M$32*$I31</f>
        <v>0.99082565098699504</v>
      </c>
      <c r="S26" s="230">
        <v>120</v>
      </c>
      <c r="T26" s="72">
        <f t="shared" si="1"/>
        <v>1</v>
      </c>
    </row>
    <row r="27" spans="1:20">
      <c r="A27" s="6">
        <v>107</v>
      </c>
      <c r="C27" s="266">
        <v>1</v>
      </c>
      <c r="E27" s="74">
        <f t="shared" si="2"/>
        <v>1</v>
      </c>
      <c r="G27" s="268">
        <v>108</v>
      </c>
      <c r="I27" s="73">
        <f t="shared" si="0"/>
        <v>0.99977106227106227</v>
      </c>
      <c r="K27" s="270">
        <f>'Exhibit Q,10'!C$31*$I27+'Exhibit Q,10'!E$31*$I28+'Exhibit Q,10'!G$31*$I29+'Exhibit Q,10'!I$31*$I30+'Exhibit Q,10'!K$31*$I31+'Exhibit Q,10'!M$31*$I32</f>
        <v>0.90335137643649732</v>
      </c>
      <c r="M27" s="270">
        <f>'Exhibit Q,10'!C$32*$I27+'Exhibit Q,10'!E$32*$I28+'Exhibit Q,10'!G$32*$I29+'Exhibit Q,10'!I$32*$I30+'Exhibit Q,10'!K$32*$I31+'Exhibit Q,10'!M$32*$I32</f>
        <v>0.96981427449112867</v>
      </c>
      <c r="N27" s="74"/>
      <c r="P27" s="74"/>
      <c r="R27" s="74"/>
      <c r="S27" s="230">
        <v>108</v>
      </c>
      <c r="T27" s="72">
        <f t="shared" si="1"/>
        <v>1</v>
      </c>
    </row>
    <row r="28" spans="1:20">
      <c r="A28" s="6">
        <v>95</v>
      </c>
      <c r="C28" s="266">
        <v>1.0009999999999999</v>
      </c>
      <c r="E28" s="74">
        <f t="shared" si="2"/>
        <v>0.99900099900099915</v>
      </c>
      <c r="G28" s="268">
        <v>96</v>
      </c>
      <c r="I28" s="73">
        <f t="shared" si="0"/>
        <v>0.98816163994735429</v>
      </c>
      <c r="K28" s="270">
        <f>'Exhibit Q,10'!C$31*$I28+'Exhibit Q,10'!E$31*$I29+'Exhibit Q,10'!G$31*$I30+'Exhibit Q,10'!I$31*$I31+'Exhibit Q,10'!K$31*$I32+'Exhibit Q,10'!M$31*$I33</f>
        <v>0.80478859280259885</v>
      </c>
      <c r="M28" s="270">
        <f>'Exhibit Q,10'!C$32*$I28+'Exhibit Q,10'!E$32*$I29+'Exhibit Q,10'!G$32*$I30+'Exhibit Q,10'!I$32*$I31+'Exhibit Q,10'!K$32*$I32+'Exhibit Q,10'!M$32*$I33</f>
        <v>0.91999137155254351</v>
      </c>
      <c r="N28" s="74"/>
      <c r="P28" s="74"/>
      <c r="R28" s="74"/>
      <c r="S28" s="230">
        <v>96</v>
      </c>
      <c r="T28" s="72">
        <f t="shared" si="1"/>
        <v>0.9990842490842492</v>
      </c>
    </row>
    <row r="29" spans="1:20">
      <c r="A29" s="6">
        <v>83</v>
      </c>
      <c r="C29" s="266">
        <v>1.05105</v>
      </c>
      <c r="E29" s="74">
        <f t="shared" si="2"/>
        <v>0.95142952285809423</v>
      </c>
      <c r="G29" s="268">
        <v>84</v>
      </c>
      <c r="I29" s="73">
        <f t="shared" si="0"/>
        <v>0.94013870716140402</v>
      </c>
      <c r="K29" s="270">
        <f>'Exhibit Q,10'!C$31*$I29+'Exhibit Q,10'!E$31*$I30+'Exhibit Q,10'!G$31*$I31+'Exhibit Q,10'!I$31*$I32+'Exhibit Q,10'!K$31*$I33+'Exhibit Q,10'!M$31*$I34</f>
        <v>0.66587387004990795</v>
      </c>
      <c r="M29" s="270">
        <f>'Exhibit Q,10'!C$32*$I29+'Exhibit Q,10'!E$32*$I30+'Exhibit Q,10'!G$32*$I31+'Exhibit Q,10'!I$32*$I32+'Exhibit Q,10'!K$32*$I33+'Exhibit Q,10'!M$32*$I34</f>
        <v>0.82545666020508923</v>
      </c>
      <c r="N29" s="74"/>
      <c r="P29" s="74"/>
      <c r="R29" s="74"/>
      <c r="S29" s="230">
        <v>84</v>
      </c>
      <c r="T29" s="72">
        <f t="shared" si="1"/>
        <v>0.95539381253666966</v>
      </c>
    </row>
    <row r="30" spans="1:20">
      <c r="A30" s="6">
        <v>71</v>
      </c>
      <c r="C30" s="266">
        <v>1.1246235</v>
      </c>
      <c r="E30" s="74">
        <f t="shared" si="2"/>
        <v>0.88918646996083583</v>
      </c>
      <c r="G30" s="268">
        <v>72</v>
      </c>
      <c r="I30" s="73">
        <f t="shared" si="0"/>
        <v>0.86199281171108022</v>
      </c>
      <c r="K30" s="270">
        <f>'Exhibit Q,10'!C$31*$I30+'Exhibit Q,10'!E$31*$I31+'Exhibit Q,10'!G$31*$I32+'Exhibit Q,10'!I$31*$I33+'Exhibit Q,10'!K$31*$I34+'Exhibit Q,10'!M$31*$I35</f>
        <v>0.50057223572913878</v>
      </c>
      <c r="M30" s="270">
        <f>'Exhibit Q,10'!C$32*$I30+'Exhibit Q,10'!E$32*$I31+'Exhibit Q,10'!G$32*$I32+'Exhibit Q,10'!I$32*$I33+'Exhibit Q,10'!K$32*$I34+'Exhibit Q,10'!M$32*$I35</f>
        <v>0.68431375674386752</v>
      </c>
      <c r="N30" s="74"/>
      <c r="P30" s="74"/>
      <c r="R30" s="74"/>
      <c r="S30" s="230">
        <v>72</v>
      </c>
      <c r="T30" s="72">
        <f t="shared" si="1"/>
        <v>0.89437339103560742</v>
      </c>
    </row>
    <row r="31" spans="1:20">
      <c r="A31" s="6">
        <v>59</v>
      </c>
      <c r="C31" s="266">
        <v>1.3270557299999999</v>
      </c>
      <c r="E31" s="74">
        <f t="shared" si="2"/>
        <v>0.75354785589901341</v>
      </c>
      <c r="G31" s="268">
        <v>60</v>
      </c>
      <c r="I31" s="73">
        <f t="shared" si="0"/>
        <v>0.70446258584114707</v>
      </c>
      <c r="K31" s="270">
        <f>'Exhibit Q,10'!C$31*$I31+'Exhibit Q,10'!E$31*$I32+'Exhibit Q,10'!G$31*$I33+'Exhibit Q,10'!I$31*$I34+'Exhibit Q,10'!K$31*$I35+'Exhibit Q,10'!M$31*$I36</f>
        <v>0.32813744798328975</v>
      </c>
      <c r="M31" s="270">
        <f>'Exhibit Q,10'!C$32*$I31+'Exhibit Q,10'!E$32*$I32+'Exhibit Q,10'!G$32*$I33+'Exhibit Q,10'!I$32*$I34+'Exhibit Q,10'!K$32*$I35+'Exhibit Q,10'!M$32*$I36</f>
        <v>0.49883918903880481</v>
      </c>
      <c r="N31" s="74"/>
      <c r="P31" s="74"/>
      <c r="R31" s="74"/>
      <c r="S31" s="230">
        <v>60</v>
      </c>
      <c r="T31" s="72">
        <f t="shared" si="1"/>
        <v>0.76485107373749861</v>
      </c>
    </row>
    <row r="32" spans="1:20">
      <c r="A32" s="6">
        <v>47</v>
      </c>
      <c r="C32" s="266">
        <v>1.9905835949999999</v>
      </c>
      <c r="E32" s="74">
        <f t="shared" si="2"/>
        <v>0.5023652372660089</v>
      </c>
      <c r="G32" s="268">
        <v>48</v>
      </c>
      <c r="I32" s="73">
        <f t="shared" si="0"/>
        <v>0.46689732120903371</v>
      </c>
      <c r="K32" s="270">
        <f>'Exhibit Q,10'!C$31*$I32+'Exhibit Q,10'!E$31*$I33+'Exhibit Q,10'!G$31*$I34+'Exhibit Q,10'!I$31*$I35+'Exhibit Q,10'!K$31*$I36+'Exhibit Q,10'!M$31*$I37</f>
        <v>0.18300462196474462</v>
      </c>
      <c r="M32" s="270">
        <f>'Exhibit Q,10'!C$32*$I32+'Exhibit Q,10'!E$32*$I33+'Exhibit Q,10'!G$32*$I34+'Exhibit Q,10'!I$32*$I35+'Exhibit Q,10'!K$32*$I36+'Exhibit Q,10'!M$32*$I37</f>
        <v>0.30612012325650456</v>
      </c>
      <c r="N32" s="74"/>
      <c r="P32" s="74"/>
      <c r="R32" s="74"/>
      <c r="S32" s="230">
        <v>48</v>
      </c>
      <c r="T32" s="72">
        <f t="shared" si="1"/>
        <v>0.52329712215209256</v>
      </c>
    </row>
    <row r="33" spans="1:20">
      <c r="A33" s="6">
        <v>35</v>
      </c>
      <c r="C33" s="266">
        <v>3.583050471</v>
      </c>
      <c r="E33" s="74">
        <f t="shared" si="2"/>
        <v>0.27909179848111609</v>
      </c>
      <c r="G33" s="268">
        <v>36</v>
      </c>
      <c r="I33" s="73">
        <f t="shared" si="0"/>
        <v>0.26906193697320097</v>
      </c>
      <c r="K33" s="270">
        <f>'Exhibit Q,10'!C$31*$I33+'Exhibit Q,10'!E$31*$I34+'Exhibit Q,10'!G$31*$I35+'Exhibit Q,10'!I$31*$I36+'Exhibit Q,10'!K$31*$I37+'Exhibit Q,10'!M$31*$I38</f>
        <v>8.5904619395570272E-2</v>
      </c>
      <c r="M33" s="270">
        <f>'Exhibit Q,10'!C$32*$I33+'Exhibit Q,10'!E$32*$I34+'Exhibit Q,10'!G$32*$I35+'Exhibit Q,10'!I$32*$I36+'Exhibit Q,10'!K$32*$I37+'Exhibit Q,10'!M$32*$I38</f>
        <v>0.16084739234857415</v>
      </c>
      <c r="N33" s="74"/>
      <c r="P33" s="74"/>
      <c r="R33" s="74"/>
      <c r="S33" s="230">
        <v>36</v>
      </c>
      <c r="T33" s="72">
        <f t="shared" si="1"/>
        <v>0.29769791837985715</v>
      </c>
    </row>
    <row r="34" spans="1:20">
      <c r="A34" s="6">
        <v>23</v>
      </c>
      <c r="C34" s="266">
        <v>5.7328807535999999</v>
      </c>
      <c r="E34" s="74">
        <f t="shared" si="2"/>
        <v>0.17443237405069753</v>
      </c>
      <c r="G34" s="268">
        <v>24</v>
      </c>
      <c r="I34" s="73">
        <f t="shared" si="0"/>
        <v>0.1459962630726411</v>
      </c>
      <c r="K34" s="270">
        <f>'Exhibit Q,10'!C$31*$I34+'Exhibit Q,10'!E$31*$I35+'Exhibit Q,10'!G$31*$I36+'Exhibit Q,10'!I$31*$I37+'Exhibit Q,10'!K$31*$I38+'Exhibit Q,10'!M$31*$I39</f>
        <v>2.8952258651229849E-2</v>
      </c>
      <c r="M34" s="270">
        <f>'Exhibit Q,10'!C$32*$I34+'Exhibit Q,10'!E$32*$I35+'Exhibit Q,10'!G$32*$I36+'Exhibit Q,10'!I$32*$I37+'Exhibit Q,10'!K$32*$I38+'Exhibit Q,10'!M$32*$I39</f>
        <v>6.7210650957632664E-2</v>
      </c>
      <c r="N34" s="74"/>
      <c r="P34" s="74"/>
      <c r="R34" s="74"/>
      <c r="S34" s="230">
        <v>24</v>
      </c>
      <c r="T34" s="72">
        <f t="shared" si="1"/>
        <v>0.18315399275323241</v>
      </c>
    </row>
    <row r="35" spans="1:20">
      <c r="A35" s="6">
        <v>11</v>
      </c>
      <c r="C35" s="266">
        <v>45.863046028799999</v>
      </c>
      <c r="E35" s="74">
        <f t="shared" si="2"/>
        <v>2.1804046756337191E-2</v>
      </c>
      <c r="G35" s="268">
        <v>12</v>
      </c>
      <c r="I35" s="73">
        <f>MIN(T35*((12-J$45)/12)+T36*((J$45)/12),(9/11)*E35)</f>
        <v>1.7839674618821338E-2</v>
      </c>
      <c r="K35" s="270">
        <f>'Exhibit Q,10'!C$31*$I35+'Exhibit Q,10'!E$31*$I36+'Exhibit Q,10'!G$31*$I37+'Exhibit Q,10'!I$31*$I38+'Exhibit Q,10'!K$31*$I39+'Exhibit Q,10'!M$31*$I40</f>
        <v>2.9897632875965237E-3</v>
      </c>
      <c r="M35" s="270">
        <f>'Exhibit Q,10'!C$32*$I35+'Exhibit Q,10'!E$32*$I36+'Exhibit Q,10'!G$32*$I37+'Exhibit Q,10'!I$32*$I38+'Exhibit Q,10'!K$32*$I39+'Exhibit Q,10'!M$32*$I40</f>
        <v>7.5623374502027003E-3</v>
      </c>
      <c r="N35" s="74"/>
      <c r="P35" s="74"/>
      <c r="R35" s="74"/>
      <c r="S35" s="230">
        <v>12</v>
      </c>
      <c r="T35" s="72">
        <f>$E35*(11/12)+$E34*(1/12)</f>
        <v>3.4523074030867219E-2</v>
      </c>
    </row>
    <row r="39" spans="1:20">
      <c r="K39" s="26"/>
    </row>
    <row r="41" spans="1:20">
      <c r="A41" s="64" t="s">
        <v>141</v>
      </c>
      <c r="C41" s="3" t="s">
        <v>210</v>
      </c>
    </row>
    <row r="42" spans="1:20">
      <c r="A42" s="264">
        <v>-2</v>
      </c>
      <c r="C42" s="3" t="s">
        <v>947</v>
      </c>
    </row>
    <row r="43" spans="1:20">
      <c r="A43" s="264">
        <v>-3</v>
      </c>
      <c r="C43" s="3" t="s">
        <v>211</v>
      </c>
    </row>
    <row r="44" spans="1:20">
      <c r="A44" s="264">
        <v>-4</v>
      </c>
      <c r="C44" s="3" t="s">
        <v>212</v>
      </c>
    </row>
    <row r="45" spans="1:20">
      <c r="A45" s="264">
        <v>-5</v>
      </c>
      <c r="C45" s="3" t="s">
        <v>558</v>
      </c>
      <c r="J45" s="1">
        <f>'Exhibit Q,1'!J45</f>
        <v>3</v>
      </c>
      <c r="K45" s="1" t="s">
        <v>559</v>
      </c>
    </row>
    <row r="46" spans="1:20">
      <c r="A46" s="264">
        <v>-7</v>
      </c>
      <c r="C46" s="3" t="s">
        <v>364</v>
      </c>
    </row>
    <row r="47" spans="1:20">
      <c r="C47" s="3" t="s">
        <v>1536</v>
      </c>
    </row>
    <row r="48" spans="1:20">
      <c r="C48" s="3"/>
    </row>
  </sheetData>
  <printOptions horizontalCentered="1"/>
  <pageMargins left="0.7" right="0.7" top="0.75" bottom="0.75" header="0.3" footer="0.3"/>
  <pageSetup scale="92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>
    <pageSetUpPr fitToPage="1"/>
  </sheetPr>
  <dimension ref="A1:AI97"/>
  <sheetViews>
    <sheetView topLeftCell="A23" zoomScaleNormal="100" workbookViewId="0">
      <selection activeCell="X30" sqref="X30"/>
    </sheetView>
  </sheetViews>
  <sheetFormatPr baseColWidth="10" defaultColWidth="8.7109375" defaultRowHeight="15"/>
  <cols>
    <col min="1" max="1" width="12.7109375" style="1" customWidth="1"/>
    <col min="2" max="2" width="1.7109375" style="1" customWidth="1"/>
    <col min="3" max="3" width="9.7109375" style="1" customWidth="1"/>
    <col min="4" max="4" width="1.7109375" style="1" customWidth="1"/>
    <col min="5" max="5" width="9.7109375" style="1" customWidth="1"/>
    <col min="6" max="6" width="1.7109375" style="1" customWidth="1"/>
    <col min="7" max="7" width="9.7109375" style="1" customWidth="1"/>
    <col min="8" max="8" width="1.7109375" style="1" customWidth="1"/>
    <col min="9" max="9" width="9.7109375" style="1" customWidth="1"/>
    <col min="10" max="10" width="1.7109375" style="1" customWidth="1"/>
    <col min="11" max="11" width="9.7109375" style="1" customWidth="1"/>
    <col min="12" max="12" width="1.7109375" style="1" customWidth="1"/>
    <col min="13" max="13" width="9.7109375" style="1" customWidth="1"/>
    <col min="14" max="14" width="1.7109375" style="1" customWidth="1"/>
    <col min="15" max="15" width="10.7109375" style="1" customWidth="1"/>
    <col min="16" max="16" width="12.7109375" style="1" customWidth="1"/>
    <col min="17" max="17" width="1.7109375" style="1" customWidth="1"/>
    <col min="18" max="18" width="9.7109375" style="1" customWidth="1"/>
    <col min="19" max="19" width="1.7109375" style="1" customWidth="1"/>
    <col min="20" max="20" width="9.7109375" style="1" customWidth="1"/>
    <col min="21" max="21" width="1.7109375" style="1" customWidth="1"/>
    <col min="22" max="22" width="9.7109375" style="1" customWidth="1"/>
    <col min="23" max="23" width="1.7109375" style="1" customWidth="1"/>
    <col min="24" max="24" width="9.7109375" style="1" customWidth="1"/>
    <col min="25" max="25" width="1.7109375" style="1" customWidth="1"/>
    <col min="26" max="26" width="9.7109375" style="1" customWidth="1"/>
    <col min="27" max="27" width="1.7109375" style="1" customWidth="1"/>
    <col min="28" max="28" width="9.7109375" style="1" customWidth="1"/>
    <col min="29" max="29" width="1.7109375" style="1" customWidth="1"/>
    <col min="30" max="16384" width="8.7109375" style="1"/>
  </cols>
  <sheetData>
    <row r="1" spans="1:35">
      <c r="O1" s="64" t="s">
        <v>935</v>
      </c>
    </row>
    <row r="2" spans="1:35">
      <c r="O2" s="64" t="s">
        <v>937</v>
      </c>
    </row>
    <row r="4" spans="1:35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3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35">
      <c r="A6" s="5" t="s">
        <v>407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</row>
    <row r="7" spans="1:35">
      <c r="A7" s="5" t="s">
        <v>213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3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</row>
    <row r="9" spans="1:3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1" spans="1:35">
      <c r="AI11" s="1">
        <v>1.01</v>
      </c>
    </row>
    <row r="12" spans="1:35">
      <c r="A12" s="2" t="s">
        <v>138</v>
      </c>
      <c r="C12" s="7" t="s">
        <v>170</v>
      </c>
      <c r="D12" s="8"/>
      <c r="E12" s="8"/>
      <c r="F12" s="8"/>
      <c r="G12" s="8"/>
      <c r="H12" s="8"/>
      <c r="I12" s="8"/>
      <c r="J12" s="8"/>
      <c r="K12" s="8"/>
      <c r="L12" s="8"/>
      <c r="M12" s="8"/>
      <c r="R12" s="97" t="s">
        <v>138</v>
      </c>
      <c r="S12" s="61"/>
      <c r="T12" s="255" t="s">
        <v>170</v>
      </c>
      <c r="U12" s="256"/>
      <c r="V12" s="256"/>
      <c r="W12" s="256"/>
      <c r="X12" s="256"/>
      <c r="Y12" s="256"/>
      <c r="Z12" s="256"/>
      <c r="AA12" s="256"/>
      <c r="AB12" s="256"/>
      <c r="AC12" s="256"/>
      <c r="AD12" s="256"/>
      <c r="AE12" s="61"/>
      <c r="AF12" s="61"/>
    </row>
    <row r="13" spans="1:35">
      <c r="A13" s="2" t="s">
        <v>4</v>
      </c>
      <c r="C13" s="6">
        <v>6</v>
      </c>
      <c r="D13" s="6"/>
      <c r="E13" s="6">
        <v>7</v>
      </c>
      <c r="F13" s="6"/>
      <c r="G13" s="6">
        <v>8</v>
      </c>
      <c r="H13" s="6"/>
      <c r="I13" s="6">
        <v>9</v>
      </c>
      <c r="J13" s="6"/>
      <c r="K13" s="6">
        <v>10</v>
      </c>
      <c r="L13" s="6"/>
      <c r="M13" s="6">
        <v>11</v>
      </c>
      <c r="N13" s="6"/>
      <c r="O13" s="2" t="s">
        <v>0</v>
      </c>
      <c r="R13" s="97" t="s">
        <v>4</v>
      </c>
      <c r="S13" s="61"/>
      <c r="T13" s="25">
        <v>6</v>
      </c>
      <c r="U13" s="25"/>
      <c r="V13" s="25">
        <v>7</v>
      </c>
      <c r="W13" s="25"/>
      <c r="X13" s="25">
        <v>8</v>
      </c>
      <c r="Y13" s="25"/>
      <c r="Z13" s="25">
        <v>9</v>
      </c>
      <c r="AA13" s="25"/>
      <c r="AB13" s="25">
        <v>10</v>
      </c>
      <c r="AC13" s="25"/>
      <c r="AD13" s="25">
        <v>11</v>
      </c>
      <c r="AE13" s="25"/>
      <c r="AF13" s="97" t="s">
        <v>0</v>
      </c>
    </row>
    <row r="14" spans="1:35">
      <c r="A14" s="257">
        <v>-1</v>
      </c>
      <c r="C14" s="257">
        <v>-2</v>
      </c>
      <c r="E14" s="257">
        <v>-3</v>
      </c>
      <c r="G14" s="257">
        <v>-4</v>
      </c>
      <c r="I14" s="257">
        <v>-5</v>
      </c>
      <c r="K14" s="257">
        <v>-6</v>
      </c>
      <c r="M14" s="257">
        <v>-7</v>
      </c>
      <c r="O14" s="257">
        <v>-8</v>
      </c>
      <c r="R14" s="258">
        <v>-1</v>
      </c>
      <c r="S14" s="61"/>
      <c r="T14" s="258">
        <v>-2</v>
      </c>
      <c r="U14" s="61"/>
      <c r="V14" s="258">
        <v>-3</v>
      </c>
      <c r="W14" s="61"/>
      <c r="X14" s="258">
        <v>-4</v>
      </c>
      <c r="Y14" s="61"/>
      <c r="Z14" s="258">
        <v>-5</v>
      </c>
      <c r="AA14" s="61"/>
      <c r="AB14" s="258">
        <v>-6</v>
      </c>
      <c r="AC14" s="61"/>
      <c r="AD14" s="258">
        <v>-7</v>
      </c>
      <c r="AE14" s="61"/>
      <c r="AF14" s="258">
        <v>-8</v>
      </c>
    </row>
    <row r="15" spans="1:35"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</row>
    <row r="16" spans="1:35">
      <c r="A16" s="6">
        <v>1</v>
      </c>
      <c r="C16" s="60">
        <f t="shared" ref="C16:C21" si="0">T16*$T$25</f>
        <v>1.8301153195592678E-2</v>
      </c>
      <c r="D16" s="60"/>
      <c r="E16" s="60"/>
      <c r="F16" s="60"/>
      <c r="G16" s="60"/>
      <c r="H16" s="60"/>
      <c r="I16" s="60"/>
      <c r="J16" s="60"/>
      <c r="K16" s="60"/>
      <c r="L16" s="60"/>
      <c r="M16" s="60"/>
      <c r="O16" s="60">
        <f t="shared" ref="O16:O21" si="1">SUM(C16:M16)</f>
        <v>1.8301153195592678E-2</v>
      </c>
      <c r="R16" s="25">
        <v>1</v>
      </c>
      <c r="S16" s="61"/>
      <c r="T16" s="259">
        <f>V17/$X$29</f>
        <v>1.7759427643723874E-2</v>
      </c>
      <c r="U16" s="259"/>
      <c r="V16" s="259"/>
      <c r="W16" s="259"/>
      <c r="X16" s="259"/>
      <c r="Y16" s="259"/>
      <c r="Z16" s="259"/>
      <c r="AA16" s="259"/>
      <c r="AB16" s="259"/>
      <c r="AC16" s="259"/>
      <c r="AD16" s="259"/>
      <c r="AE16" s="61"/>
      <c r="AF16" s="259">
        <f t="shared" ref="AF16:AF21" si="2">SUM(T16:AD16)</f>
        <v>1.7759427643723874E-2</v>
      </c>
    </row>
    <row r="17" spans="1:35">
      <c r="A17" s="6">
        <v>2</v>
      </c>
      <c r="C17" s="60">
        <f t="shared" si="0"/>
        <v>1.830115319559256E-2</v>
      </c>
      <c r="D17" s="60"/>
      <c r="E17" s="60">
        <f>V17*$T$25</f>
        <v>1.866717625950453E-2</v>
      </c>
      <c r="F17" s="60"/>
      <c r="G17" s="60"/>
      <c r="H17" s="60"/>
      <c r="I17" s="60"/>
      <c r="J17" s="60"/>
      <c r="K17" s="60"/>
      <c r="L17" s="60"/>
      <c r="M17" s="60"/>
      <c r="O17" s="60">
        <f t="shared" si="1"/>
        <v>3.6968329455097093E-2</v>
      </c>
      <c r="R17" s="25">
        <v>2</v>
      </c>
      <c r="S17" s="61"/>
      <c r="T17" s="259">
        <f>V18/$X$29</f>
        <v>1.775942764372376E-2</v>
      </c>
      <c r="U17" s="259"/>
      <c r="V17" s="259">
        <f>X18/$X$29</f>
        <v>1.8114616196598352E-2</v>
      </c>
      <c r="W17" s="259"/>
      <c r="X17" s="259"/>
      <c r="Y17" s="259"/>
      <c r="Z17" s="259"/>
      <c r="AA17" s="259"/>
      <c r="AB17" s="259"/>
      <c r="AC17" s="259"/>
      <c r="AD17" s="259"/>
      <c r="AE17" s="61"/>
      <c r="AF17" s="259">
        <f t="shared" si="2"/>
        <v>3.5874043840322112E-2</v>
      </c>
      <c r="AI17" s="1" t="e">
        <f>1/T22</f>
        <v>#DIV/0!</v>
      </c>
    </row>
    <row r="18" spans="1:35">
      <c r="A18" s="6">
        <v>3</v>
      </c>
      <c r="C18" s="60">
        <f t="shared" si="0"/>
        <v>8.485080117956606E-2</v>
      </c>
      <c r="D18" s="60"/>
      <c r="E18" s="60">
        <f>V18*$T$25</f>
        <v>1.8667176259504408E-2</v>
      </c>
      <c r="F18" s="60"/>
      <c r="G18" s="60">
        <f>X18*$T$25</f>
        <v>1.9040519784694624E-2</v>
      </c>
      <c r="H18" s="60"/>
      <c r="I18" s="60"/>
      <c r="J18" s="60"/>
      <c r="K18" s="60"/>
      <c r="L18" s="60"/>
      <c r="M18" s="60"/>
      <c r="O18" s="60">
        <f t="shared" si="1"/>
        <v>0.12255849722376509</v>
      </c>
      <c r="R18" s="25">
        <v>3</v>
      </c>
      <c r="S18" s="61"/>
      <c r="T18" s="259">
        <f>V19/$X$29</f>
        <v>8.2339164529992515E-2</v>
      </c>
      <c r="U18" s="259"/>
      <c r="V18" s="259">
        <f>X19/$X$29</f>
        <v>1.8114616196598234E-2</v>
      </c>
      <c r="W18" s="259"/>
      <c r="X18" s="259">
        <f>Z19/$X$29</f>
        <v>1.847690852053032E-2</v>
      </c>
      <c r="Y18" s="259"/>
      <c r="Z18" s="259"/>
      <c r="AA18" s="259"/>
      <c r="AB18" s="259"/>
      <c r="AC18" s="259"/>
      <c r="AD18" s="259"/>
      <c r="AE18" s="61"/>
      <c r="AF18" s="259">
        <f t="shared" si="2"/>
        <v>0.11893068924712108</v>
      </c>
    </row>
    <row r="19" spans="1:35">
      <c r="A19" s="6">
        <v>4</v>
      </c>
      <c r="C19" s="60">
        <f t="shared" si="0"/>
        <v>0.43273908601578598</v>
      </c>
      <c r="D19" s="60"/>
      <c r="E19" s="60">
        <f>V19*$T$25</f>
        <v>8.6547817203157379E-2</v>
      </c>
      <c r="F19" s="60"/>
      <c r="G19" s="60">
        <f>X19*$T$25</f>
        <v>1.9040519784694499E-2</v>
      </c>
      <c r="H19" s="60"/>
      <c r="I19" s="60">
        <f>Z19*$T$25</f>
        <v>1.9421330180388517E-2</v>
      </c>
      <c r="J19" s="60"/>
      <c r="K19" s="60"/>
      <c r="L19" s="60"/>
      <c r="M19" s="60"/>
      <c r="O19" s="60">
        <f t="shared" si="1"/>
        <v>0.55774875318402628</v>
      </c>
      <c r="R19" s="25">
        <v>4</v>
      </c>
      <c r="S19" s="61"/>
      <c r="T19" s="259">
        <f>V20/$X$29</f>
        <v>0.41992973910296094</v>
      </c>
      <c r="U19" s="259"/>
      <c r="V19" s="259">
        <f>X20/$X$29</f>
        <v>8.3985947820592363E-2</v>
      </c>
      <c r="W19" s="259"/>
      <c r="X19" s="259">
        <f>Z20/$X$29</f>
        <v>1.8476908520530199E-2</v>
      </c>
      <c r="Y19" s="259"/>
      <c r="Z19" s="259">
        <f>AB20/$X$29</f>
        <v>1.8846446690940929E-2</v>
      </c>
      <c r="AA19" s="259"/>
      <c r="AB19" s="259"/>
      <c r="AC19" s="259"/>
      <c r="AD19" s="259"/>
      <c r="AE19" s="61"/>
      <c r="AF19" s="259">
        <f t="shared" si="2"/>
        <v>0.54123904213502438</v>
      </c>
    </row>
    <row r="20" spans="1:35">
      <c r="A20" s="6">
        <v>5</v>
      </c>
      <c r="C20" s="60">
        <f t="shared" si="0"/>
        <v>0.22069693386805084</v>
      </c>
      <c r="D20" s="60"/>
      <c r="E20" s="60">
        <f>V20*$T$25</f>
        <v>0.44139386773610167</v>
      </c>
      <c r="F20" s="60"/>
      <c r="G20" s="60">
        <f>X20*$T$25</f>
        <v>8.8278773547220524E-2</v>
      </c>
      <c r="H20" s="60"/>
      <c r="I20" s="60">
        <f>Z20*$T$25</f>
        <v>1.9421330180388389E-2</v>
      </c>
      <c r="J20" s="60"/>
      <c r="K20" s="60">
        <f>AB20*$T$25</f>
        <v>1.9809756783996289E-2</v>
      </c>
      <c r="L20" s="60"/>
      <c r="M20" s="60"/>
      <c r="O20" s="60">
        <f t="shared" si="1"/>
        <v>0.78960066211575775</v>
      </c>
      <c r="R20" s="25">
        <v>5</v>
      </c>
      <c r="S20" s="61"/>
      <c r="T20" s="259">
        <f>V21/$X$29</f>
        <v>0.21416416694251009</v>
      </c>
      <c r="U20" s="259"/>
      <c r="V20" s="259">
        <f>X21/$X$29</f>
        <v>0.42832833388502017</v>
      </c>
      <c r="W20" s="259"/>
      <c r="X20" s="259">
        <f>Z21/$X$29</f>
        <v>8.5665666777004212E-2</v>
      </c>
      <c r="Y20" s="259"/>
      <c r="Z20" s="259">
        <f>AB21/$X$29</f>
        <v>1.8846446690940804E-2</v>
      </c>
      <c r="AA20" s="259"/>
      <c r="AB20" s="259">
        <f>AD21/$X$29</f>
        <v>1.9223375624759748E-2</v>
      </c>
      <c r="AC20" s="259"/>
      <c r="AD20" s="259"/>
      <c r="AE20" s="61"/>
      <c r="AF20" s="259">
        <f t="shared" si="2"/>
        <v>0.76622798992023511</v>
      </c>
    </row>
    <row r="21" spans="1:35">
      <c r="A21" s="6">
        <v>6</v>
      </c>
      <c r="C21" s="60">
        <f t="shared" si="0"/>
        <v>0.22511087254541187</v>
      </c>
      <c r="D21" s="60"/>
      <c r="E21" s="60">
        <f>V21*$T$25</f>
        <v>0.22511087254541187</v>
      </c>
      <c r="F21" s="60"/>
      <c r="G21" s="60">
        <f>X21*$T$25</f>
        <v>0.45022174509082374</v>
      </c>
      <c r="H21" s="60"/>
      <c r="I21" s="60">
        <f>Z21*$T$25</f>
        <v>9.0044349018164938E-2</v>
      </c>
      <c r="J21" s="60"/>
      <c r="K21" s="60">
        <f>I20*$X$29</f>
        <v>1.9809756783996157E-2</v>
      </c>
      <c r="L21" s="60"/>
      <c r="M21" s="60">
        <f>K20*$X$29</f>
        <v>2.0205951919676217E-2</v>
      </c>
      <c r="O21" s="60">
        <f t="shared" si="1"/>
        <v>1.0305035479034848</v>
      </c>
      <c r="R21" s="25">
        <v>6</v>
      </c>
      <c r="S21" s="61"/>
      <c r="T21" s="259">
        <f>T31</f>
        <v>0.21844745028136028</v>
      </c>
      <c r="U21" s="259"/>
      <c r="V21" s="259">
        <f>V31</f>
        <v>0.21844745028136028</v>
      </c>
      <c r="W21" s="259"/>
      <c r="X21" s="259">
        <f>X31</f>
        <v>0.43689490056272057</v>
      </c>
      <c r="Y21" s="259"/>
      <c r="Z21" s="259">
        <f>Z31</f>
        <v>8.7378980112544302E-2</v>
      </c>
      <c r="AA21" s="259"/>
      <c r="AB21" s="259">
        <f>AB31</f>
        <v>1.922337562475962E-2</v>
      </c>
      <c r="AC21" s="259"/>
      <c r="AD21" s="259">
        <f>AD31</f>
        <v>1.9607843137254943E-2</v>
      </c>
      <c r="AE21" s="61"/>
      <c r="AF21" s="259">
        <f t="shared" si="2"/>
        <v>1</v>
      </c>
    </row>
    <row r="22" spans="1:35">
      <c r="C22" s="260"/>
      <c r="D22" s="60"/>
      <c r="E22" s="260"/>
      <c r="G22" s="260"/>
      <c r="I22" s="260"/>
      <c r="K22" s="260"/>
      <c r="M22" s="260"/>
      <c r="O22" s="260"/>
      <c r="R22" s="61"/>
      <c r="S22" s="61"/>
      <c r="T22" s="261"/>
      <c r="U22" s="259"/>
      <c r="V22" s="261"/>
      <c r="W22" s="61"/>
      <c r="X22" s="261"/>
      <c r="Y22" s="61"/>
      <c r="Z22" s="261"/>
      <c r="AA22" s="61"/>
      <c r="AB22" s="261"/>
      <c r="AC22" s="61"/>
      <c r="AD22" s="261"/>
      <c r="AE22" s="61"/>
      <c r="AF22" s="261"/>
    </row>
    <row r="23" spans="1:35">
      <c r="A23" s="2" t="s">
        <v>0</v>
      </c>
      <c r="C23" s="60">
        <f>SUM(C16:C22)</f>
        <v>1</v>
      </c>
      <c r="D23" s="60"/>
      <c r="E23" s="60">
        <f t="shared" ref="E23:O23" si="3">SUM(E16:E22)</f>
        <v>0.79038691000367978</v>
      </c>
      <c r="F23" s="60"/>
      <c r="G23" s="60">
        <f t="shared" si="3"/>
        <v>0.5765815582074334</v>
      </c>
      <c r="H23" s="60"/>
      <c r="I23" s="60">
        <f t="shared" si="3"/>
        <v>0.12888700937894185</v>
      </c>
      <c r="J23" s="60"/>
      <c r="K23" s="60">
        <f t="shared" si="3"/>
        <v>3.9619513567992447E-2</v>
      </c>
      <c r="L23" s="60"/>
      <c r="M23" s="60">
        <f t="shared" si="3"/>
        <v>2.0205951919676217E-2</v>
      </c>
      <c r="N23" s="60"/>
      <c r="O23" s="60">
        <f t="shared" si="3"/>
        <v>2.5556809430777236</v>
      </c>
      <c r="R23" s="97" t="s">
        <v>0</v>
      </c>
      <c r="S23" s="61"/>
      <c r="T23" s="259">
        <f>SUM(T16:T22)</f>
        <v>0.97039937614427141</v>
      </c>
      <c r="U23" s="259"/>
      <c r="V23" s="259">
        <f>SUM(V16:V22)</f>
        <v>0.76699096438016934</v>
      </c>
      <c r="W23" s="259"/>
      <c r="X23" s="259">
        <f>SUM(X16:X22)</f>
        <v>0.55951438438078527</v>
      </c>
      <c r="Y23" s="259"/>
      <c r="Z23" s="259">
        <f>SUM(Z16:Z22)</f>
        <v>0.12507187349442603</v>
      </c>
      <c r="AA23" s="259"/>
      <c r="AB23" s="259">
        <f>SUM(AB16:AB22)</f>
        <v>3.8446751249519365E-2</v>
      </c>
      <c r="AC23" s="259"/>
      <c r="AD23" s="259">
        <f>SUM(AD16:AD22)</f>
        <v>1.9607843137254943E-2</v>
      </c>
      <c r="AE23" s="259"/>
      <c r="AF23" s="259">
        <f>SUM(AF16:AF22)</f>
        <v>2.4800311927864267</v>
      </c>
    </row>
    <row r="24" spans="1:35">
      <c r="C24" s="60"/>
      <c r="D24" s="60"/>
      <c r="E24" s="60"/>
      <c r="F24" s="60"/>
      <c r="G24" s="60"/>
      <c r="H24" s="60"/>
      <c r="I24" s="60"/>
      <c r="J24" s="60"/>
      <c r="K24" s="60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</row>
    <row r="25" spans="1:35">
      <c r="C25" s="222">
        <v>1</v>
      </c>
      <c r="D25" s="6"/>
      <c r="E25" s="222">
        <v>2</v>
      </c>
      <c r="F25" s="6"/>
      <c r="G25" s="222">
        <v>3</v>
      </c>
      <c r="H25" s="6"/>
      <c r="I25" s="222">
        <v>4</v>
      </c>
      <c r="J25" s="6"/>
      <c r="K25" s="222">
        <v>5</v>
      </c>
      <c r="M25" s="222">
        <v>6</v>
      </c>
      <c r="R25" s="61" t="s">
        <v>657</v>
      </c>
      <c r="S25" s="61"/>
      <c r="T25" s="262">
        <f>1/T23</f>
        <v>1.0305035479034848</v>
      </c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</row>
    <row r="26" spans="1:35">
      <c r="A26" s="3" t="s">
        <v>413</v>
      </c>
      <c r="C26" s="60"/>
      <c r="D26" s="60"/>
      <c r="E26" s="60"/>
      <c r="F26" s="60"/>
      <c r="G26" s="60"/>
      <c r="H26" s="60"/>
      <c r="I26" s="60"/>
      <c r="J26" s="60"/>
      <c r="K26" s="60"/>
      <c r="M26" s="60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</row>
    <row r="27" spans="1:35">
      <c r="A27" s="3" t="s">
        <v>214</v>
      </c>
      <c r="C27" s="60">
        <f>C21</f>
        <v>0.22511087254541187</v>
      </c>
      <c r="D27" s="60"/>
      <c r="E27" s="60">
        <f>E21</f>
        <v>0.22511087254541187</v>
      </c>
      <c r="F27" s="60"/>
      <c r="G27" s="60">
        <f>G21</f>
        <v>0.45022174509082374</v>
      </c>
      <c r="H27" s="60"/>
      <c r="I27" s="60">
        <f>I21</f>
        <v>9.0044349018164938E-2</v>
      </c>
      <c r="K27" s="60">
        <f>K21</f>
        <v>1.9809756783996157E-2</v>
      </c>
      <c r="M27" s="60">
        <f>M21</f>
        <v>2.0205951919676217E-2</v>
      </c>
      <c r="O27" s="60">
        <f>SUM(C27:M27)</f>
        <v>1.0305035479034848</v>
      </c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</row>
    <row r="28" spans="1:35">
      <c r="A28" s="3" t="s">
        <v>215</v>
      </c>
      <c r="C28" s="60">
        <f>E23</f>
        <v>0.79038691000367978</v>
      </c>
      <c r="D28" s="60"/>
      <c r="E28" s="60">
        <f>G23</f>
        <v>0.5765815582074334</v>
      </c>
      <c r="F28" s="60"/>
      <c r="G28" s="60">
        <f>I23</f>
        <v>0.12888700937894185</v>
      </c>
      <c r="H28" s="60"/>
      <c r="I28" s="60">
        <f>K23</f>
        <v>3.9619513567992447E-2</v>
      </c>
      <c r="K28" s="60">
        <f>M23</f>
        <v>2.0205951919676217E-2</v>
      </c>
      <c r="O28" s="60">
        <f>SUM(C28:M28)</f>
        <v>1.5556809430777236</v>
      </c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</row>
    <row r="29" spans="1:35">
      <c r="C29" s="60"/>
      <c r="D29" s="60"/>
      <c r="E29" s="60"/>
      <c r="F29" s="60"/>
      <c r="G29" s="60"/>
      <c r="H29" s="60"/>
      <c r="I29" s="60"/>
      <c r="J29" s="60"/>
      <c r="K29" s="60"/>
      <c r="M29" s="60"/>
      <c r="R29" s="61"/>
      <c r="S29" s="61"/>
      <c r="T29" s="61"/>
      <c r="U29" s="61"/>
      <c r="V29" s="61" t="s">
        <v>487</v>
      </c>
      <c r="W29" s="61"/>
      <c r="X29" s="61">
        <v>1.02</v>
      </c>
      <c r="Y29" s="61"/>
      <c r="Z29" s="61"/>
      <c r="AA29" s="61"/>
      <c r="AB29" s="61"/>
      <c r="AC29" s="61"/>
      <c r="AD29" s="61"/>
      <c r="AE29" s="61"/>
      <c r="AF29" s="61"/>
    </row>
    <row r="30" spans="1:35">
      <c r="A30" s="3" t="s">
        <v>414</v>
      </c>
      <c r="C30" s="60"/>
      <c r="D30" s="60"/>
      <c r="E30" s="60">
        <f>C31+E31</f>
        <v>0.43689490056272057</v>
      </c>
      <c r="F30" s="60"/>
      <c r="G30" s="60">
        <f>E30+G31</f>
        <v>0.87378980112544113</v>
      </c>
      <c r="H30" s="60"/>
      <c r="I30" s="60">
        <f>G30+I31</f>
        <v>0.96116878123798544</v>
      </c>
      <c r="J30" s="60"/>
      <c r="K30" s="60">
        <f>I30+K31</f>
        <v>0.98039215686274506</v>
      </c>
      <c r="M30" s="60">
        <f>K30+M31</f>
        <v>1</v>
      </c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</row>
    <row r="31" spans="1:35">
      <c r="A31" s="3" t="s">
        <v>214</v>
      </c>
      <c r="C31" s="60">
        <f>C27/$O27</f>
        <v>0.21844745028136028</v>
      </c>
      <c r="D31" s="60"/>
      <c r="E31" s="60">
        <f t="shared" ref="E31:M31" si="4">E27/$O27</f>
        <v>0.21844745028136028</v>
      </c>
      <c r="F31" s="60"/>
      <c r="G31" s="60">
        <f t="shared" si="4"/>
        <v>0.43689490056272057</v>
      </c>
      <c r="H31" s="60"/>
      <c r="I31" s="60">
        <f t="shared" si="4"/>
        <v>8.7378980112544302E-2</v>
      </c>
      <c r="J31" s="60"/>
      <c r="K31" s="60">
        <f t="shared" si="4"/>
        <v>1.922337562475962E-2</v>
      </c>
      <c r="L31" s="60"/>
      <c r="M31" s="60">
        <f t="shared" si="4"/>
        <v>1.9607843137254947E-2</v>
      </c>
      <c r="O31" s="60">
        <f>SUM(C31:M31)</f>
        <v>1</v>
      </c>
      <c r="R31" s="61"/>
      <c r="S31" s="61"/>
      <c r="T31" s="259">
        <f>T32</f>
        <v>0.21844745028136028</v>
      </c>
      <c r="U31" s="61"/>
      <c r="V31" s="259">
        <f>V32-T32</f>
        <v>0.21844745028136028</v>
      </c>
      <c r="W31" s="61"/>
      <c r="X31" s="259">
        <f>X32-V32</f>
        <v>0.43689490056272057</v>
      </c>
      <c r="Y31" s="61"/>
      <c r="Z31" s="259">
        <f>Z32-X32</f>
        <v>8.7378980112544302E-2</v>
      </c>
      <c r="AA31" s="61"/>
      <c r="AB31" s="259">
        <f>AB32-Z32</f>
        <v>1.922337562475962E-2</v>
      </c>
      <c r="AC31" s="61"/>
      <c r="AD31" s="259">
        <f>AD32-AB32</f>
        <v>1.9607843137254943E-2</v>
      </c>
      <c r="AE31" s="61"/>
      <c r="AF31" s="61"/>
    </row>
    <row r="32" spans="1:35">
      <c r="A32" s="3" t="s">
        <v>1389</v>
      </c>
      <c r="C32" s="60">
        <f>C28/$O28</f>
        <v>0.5080649175016545</v>
      </c>
      <c r="E32" s="60">
        <f>E28/$O28</f>
        <v>0.37062969805796914</v>
      </c>
      <c r="G32" s="60">
        <f>G28/$O28</f>
        <v>8.2849256431691401E-2</v>
      </c>
      <c r="I32" s="60">
        <f>I28/$O28</f>
        <v>2.5467634442837686E-2</v>
      </c>
      <c r="K32" s="60">
        <f>K28/$O28</f>
        <v>1.2988493565847263E-2</v>
      </c>
      <c r="O32" s="60">
        <f>SUM(C33:M33)</f>
        <v>1</v>
      </c>
      <c r="R32" s="61"/>
      <c r="S32" s="61"/>
      <c r="T32" s="388">
        <v>0.21844745028136028</v>
      </c>
      <c r="V32" s="263">
        <v>0.43689490056272057</v>
      </c>
      <c r="X32" s="263">
        <v>0.87378980112544113</v>
      </c>
      <c r="Z32" s="263">
        <v>0.96116878123798544</v>
      </c>
      <c r="AB32" s="263">
        <v>0.98039215686274506</v>
      </c>
      <c r="AD32" s="263">
        <v>1</v>
      </c>
      <c r="AE32" s="61"/>
      <c r="AF32" s="61"/>
    </row>
    <row r="33" spans="1:32">
      <c r="A33" s="3" t="s">
        <v>1388</v>
      </c>
      <c r="C33" s="60">
        <f>C38</f>
        <v>0.25403245875082725</v>
      </c>
      <c r="D33" s="60"/>
      <c r="E33" s="60">
        <f>E38-C38</f>
        <v>0.43934730777981179</v>
      </c>
      <c r="F33" s="60"/>
      <c r="G33" s="60">
        <f>G38-E38</f>
        <v>0.22673947724483023</v>
      </c>
      <c r="H33" s="60"/>
      <c r="I33" s="60">
        <f>I38-G38</f>
        <v>5.4158445437264557E-2</v>
      </c>
      <c r="J33" s="60"/>
      <c r="K33" s="60">
        <f>K38-I38</f>
        <v>1.9228064004342516E-2</v>
      </c>
      <c r="M33" s="60">
        <f>M38-K38</f>
        <v>6.4942467829236517E-3</v>
      </c>
      <c r="O33" s="60">
        <f>SUM(C33:M33)</f>
        <v>1</v>
      </c>
      <c r="R33" s="61"/>
      <c r="S33" s="61"/>
      <c r="T33" s="388"/>
      <c r="V33" s="263"/>
      <c r="X33" s="263"/>
      <c r="Z33" s="263"/>
      <c r="AB33" s="263"/>
      <c r="AD33" s="263"/>
      <c r="AE33" s="61"/>
      <c r="AF33" s="61"/>
    </row>
    <row r="34" spans="1:32">
      <c r="C34" s="375"/>
      <c r="D34" s="60"/>
      <c r="E34" s="60"/>
      <c r="F34" s="60"/>
      <c r="G34" s="60"/>
      <c r="H34" s="60"/>
      <c r="I34" s="60"/>
      <c r="J34" s="60"/>
      <c r="K34" s="60"/>
      <c r="M34" s="60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</row>
    <row r="35" spans="1:32">
      <c r="A35" s="3" t="s">
        <v>415</v>
      </c>
      <c r="C35" s="60"/>
      <c r="D35" s="60"/>
      <c r="E35" s="60"/>
      <c r="F35" s="60"/>
      <c r="G35" s="60"/>
      <c r="H35" s="60"/>
      <c r="I35" s="60"/>
      <c r="J35" s="60"/>
      <c r="K35" s="60"/>
      <c r="M35" s="60"/>
    </row>
    <row r="36" spans="1:32">
      <c r="A36" s="3" t="s">
        <v>214</v>
      </c>
      <c r="C36" s="60">
        <f>C31</f>
        <v>0.21844745028136028</v>
      </c>
      <c r="D36" s="60"/>
      <c r="E36" s="60">
        <f>C36+E31</f>
        <v>0.43689490056272057</v>
      </c>
      <c r="F36" s="60"/>
      <c r="G36" s="60">
        <f>E36+G31</f>
        <v>0.87378980112544113</v>
      </c>
      <c r="H36" s="60"/>
      <c r="I36" s="60">
        <f>G36+I31</f>
        <v>0.96116878123798544</v>
      </c>
      <c r="J36" s="60"/>
      <c r="K36" s="60">
        <f>I36+K31</f>
        <v>0.98039215686274506</v>
      </c>
      <c r="M36" s="60">
        <f>K36+M31</f>
        <v>1</v>
      </c>
    </row>
    <row r="37" spans="1:32">
      <c r="A37" s="3" t="s">
        <v>215</v>
      </c>
      <c r="C37" s="60">
        <f>C32</f>
        <v>0.5080649175016545</v>
      </c>
      <c r="D37" s="60"/>
      <c r="E37" s="60">
        <f>C37+E32</f>
        <v>0.87869461555962358</v>
      </c>
      <c r="F37" s="60"/>
      <c r="G37" s="60">
        <f>E37+G32</f>
        <v>0.96154387199131497</v>
      </c>
      <c r="H37" s="60"/>
      <c r="I37" s="60">
        <f>G37+I32</f>
        <v>0.9870115064341527</v>
      </c>
      <c r="J37" s="60"/>
      <c r="K37" s="60">
        <f>I37+K32</f>
        <v>1</v>
      </c>
      <c r="M37" s="60">
        <f>K37+M32</f>
        <v>1</v>
      </c>
    </row>
    <row r="38" spans="1:32">
      <c r="A38" s="3" t="s">
        <v>1390</v>
      </c>
      <c r="C38" s="60">
        <f>0.5*C37</f>
        <v>0.25403245875082725</v>
      </c>
      <c r="E38" s="60">
        <f>(C37+E37)/2</f>
        <v>0.69337976653063904</v>
      </c>
      <c r="G38" s="60">
        <f>(E37+G37)/2</f>
        <v>0.92011924377546928</v>
      </c>
      <c r="I38" s="60">
        <f>(G37+I37)/2</f>
        <v>0.97427768921273383</v>
      </c>
      <c r="K38" s="60">
        <f>(I37+K37)/2</f>
        <v>0.99350575321707635</v>
      </c>
      <c r="M38" s="60">
        <f>(K37+M37)/2</f>
        <v>1</v>
      </c>
    </row>
    <row r="39" spans="1:32">
      <c r="A39" s="3" t="s">
        <v>416</v>
      </c>
    </row>
    <row r="40" spans="1:32">
      <c r="A40" s="3" t="s">
        <v>214</v>
      </c>
      <c r="C40" s="60">
        <f>C27</f>
        <v>0.22511087254541187</v>
      </c>
      <c r="E40" s="60">
        <f>C40+E27</f>
        <v>0.45022174509082374</v>
      </c>
      <c r="G40" s="60">
        <f>E40+G27</f>
        <v>0.90044349018164749</v>
      </c>
      <c r="I40" s="60">
        <f>G40+I27</f>
        <v>0.99048783919981243</v>
      </c>
      <c r="K40" s="60">
        <f>I40+K27</f>
        <v>1.0102975959838085</v>
      </c>
      <c r="M40" s="60">
        <f>K40+M27</f>
        <v>1.0305035479034848</v>
      </c>
      <c r="W40" s="60"/>
      <c r="Y40" s="60"/>
      <c r="AA40" s="60"/>
      <c r="AC40" s="60"/>
      <c r="AE40" s="60"/>
    </row>
    <row r="41" spans="1:32">
      <c r="A41" s="3" t="s">
        <v>215</v>
      </c>
      <c r="C41" s="60">
        <f>C28</f>
        <v>0.79038691000367978</v>
      </c>
      <c r="E41" s="60">
        <f>C41+E28</f>
        <v>1.3669684682111132</v>
      </c>
      <c r="G41" s="60">
        <f>E41+G28</f>
        <v>1.495855477590055</v>
      </c>
      <c r="I41" s="60">
        <f>G41+I28</f>
        <v>1.5354749911580474</v>
      </c>
      <c r="K41" s="60">
        <f>I41+K28</f>
        <v>1.5556809430777236</v>
      </c>
    </row>
    <row r="43" spans="1:32">
      <c r="A43" s="3" t="s">
        <v>417</v>
      </c>
    </row>
    <row r="44" spans="1:32">
      <c r="A44" s="3" t="s">
        <v>215</v>
      </c>
      <c r="C44" s="60">
        <f>C41/$M40</f>
        <v>0.76699096438016934</v>
      </c>
      <c r="D44" s="60"/>
      <c r="E44" s="60">
        <f>E41/$M40</f>
        <v>1.3265053487609546</v>
      </c>
      <c r="F44" s="60"/>
      <c r="G44" s="60">
        <f>G41/$M40</f>
        <v>1.4515772222553807</v>
      </c>
      <c r="H44" s="60"/>
      <c r="I44" s="60">
        <f>I41/$M40</f>
        <v>1.4900239735048999</v>
      </c>
      <c r="K44" s="60">
        <f>K41/$M40</f>
        <v>1.509631816642155</v>
      </c>
    </row>
    <row r="45" spans="1:32">
      <c r="A45" s="3"/>
      <c r="C45" s="60"/>
      <c r="D45" s="60"/>
      <c r="E45" s="60"/>
      <c r="F45" s="60"/>
      <c r="G45" s="60"/>
      <c r="H45" s="60"/>
      <c r="I45" s="60"/>
      <c r="K45" s="60"/>
    </row>
    <row r="46" spans="1:32">
      <c r="A46" s="3"/>
      <c r="C46" s="60"/>
      <c r="D46" s="60"/>
      <c r="E46" s="60"/>
      <c r="F46" s="60"/>
      <c r="G46" s="60"/>
      <c r="H46" s="60"/>
      <c r="I46" s="60"/>
      <c r="K46" s="60"/>
    </row>
    <row r="48" spans="1:32">
      <c r="A48" s="64" t="s">
        <v>104</v>
      </c>
      <c r="C48" s="3" t="s">
        <v>424</v>
      </c>
    </row>
    <row r="49" spans="1:18">
      <c r="A49" s="139" t="s">
        <v>418</v>
      </c>
      <c r="C49" s="3" t="s">
        <v>308</v>
      </c>
    </row>
    <row r="50" spans="1:18">
      <c r="A50" s="264">
        <v>-9</v>
      </c>
      <c r="C50" s="3" t="s">
        <v>419</v>
      </c>
    </row>
    <row r="51" spans="1:18">
      <c r="C51" s="3" t="s">
        <v>420</v>
      </c>
    </row>
    <row r="52" spans="1:18">
      <c r="A52" s="264">
        <v>-10</v>
      </c>
      <c r="C52" s="3" t="s">
        <v>1391</v>
      </c>
    </row>
    <row r="53" spans="1:18">
      <c r="A53" s="264">
        <v>-11</v>
      </c>
      <c r="C53" s="3" t="s">
        <v>422</v>
      </c>
    </row>
    <row r="54" spans="1:18">
      <c r="A54" s="264">
        <v>-12</v>
      </c>
      <c r="C54" s="3" t="s">
        <v>257</v>
      </c>
    </row>
    <row r="55" spans="1:18">
      <c r="A55" s="264">
        <v>-13</v>
      </c>
      <c r="C55" s="3" t="s">
        <v>423</v>
      </c>
      <c r="K55" s="61"/>
      <c r="R55" s="61"/>
    </row>
    <row r="97" spans="3:13">
      <c r="C97" s="1">
        <f>T21/T31</f>
        <v>1</v>
      </c>
      <c r="E97" s="1">
        <f>V21/V31</f>
        <v>1</v>
      </c>
      <c r="G97" s="1">
        <f>X21/X31</f>
        <v>1</v>
      </c>
      <c r="I97" s="1">
        <f>Z21/Z31</f>
        <v>1</v>
      </c>
      <c r="K97" s="1">
        <f>AB21/AB31</f>
        <v>1</v>
      </c>
      <c r="M97" s="1">
        <f>AD21/AD31</f>
        <v>1</v>
      </c>
    </row>
  </sheetData>
  <printOptions horizontalCentered="1"/>
  <pageMargins left="0.7" right="0.7" top="0.75" bottom="0.75" header="0.3" footer="0.3"/>
  <pageSetup scale="70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>
    <pageSetUpPr fitToPage="1"/>
  </sheetPr>
  <dimension ref="A1:AG94"/>
  <sheetViews>
    <sheetView topLeftCell="A18" zoomScaleNormal="100" workbookViewId="0"/>
  </sheetViews>
  <sheetFormatPr baseColWidth="10" defaultColWidth="8.7109375" defaultRowHeight="15"/>
  <cols>
    <col min="1" max="1" width="12.7109375" style="1" customWidth="1"/>
    <col min="2" max="2" width="1.7109375" style="1" customWidth="1"/>
    <col min="3" max="3" width="9.7109375" style="1" customWidth="1"/>
    <col min="4" max="4" width="1.7109375" style="1" customWidth="1"/>
    <col min="5" max="5" width="9.7109375" style="1" customWidth="1"/>
    <col min="6" max="6" width="1.7109375" style="1" customWidth="1"/>
    <col min="7" max="7" width="9.7109375" style="1" customWidth="1"/>
    <col min="8" max="8" width="1.7109375" style="1" customWidth="1"/>
    <col min="9" max="9" width="9.7109375" style="1" customWidth="1"/>
    <col min="10" max="10" width="1.7109375" style="1" customWidth="1"/>
    <col min="11" max="11" width="9.7109375" style="1" customWidth="1"/>
    <col min="12" max="12" width="1.7109375" style="1" customWidth="1"/>
    <col min="13" max="13" width="9.7109375" style="1" customWidth="1"/>
    <col min="14" max="14" width="1.7109375" style="1" customWidth="1"/>
    <col min="15" max="15" width="9.7109375" style="1" customWidth="1"/>
    <col min="16" max="16" width="10.7109375" style="1" customWidth="1"/>
    <col min="17" max="16384" width="8.7109375" style="1"/>
  </cols>
  <sheetData>
    <row r="1" spans="1:32">
      <c r="O1" s="64" t="s">
        <v>935</v>
      </c>
    </row>
    <row r="2" spans="1:32">
      <c r="O2" s="64" t="s">
        <v>938</v>
      </c>
    </row>
    <row r="4" spans="1:32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3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32">
      <c r="A6" s="5" t="s">
        <v>408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</row>
    <row r="7" spans="1:32">
      <c r="A7" s="5" t="s">
        <v>213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3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</row>
    <row r="9" spans="1:32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2" spans="1:32">
      <c r="A12" s="2" t="s">
        <v>138</v>
      </c>
      <c r="C12" s="7" t="s">
        <v>170</v>
      </c>
      <c r="D12" s="8"/>
      <c r="E12" s="8"/>
      <c r="F12" s="8"/>
      <c r="G12" s="8"/>
      <c r="H12" s="8"/>
      <c r="I12" s="8"/>
      <c r="J12" s="8"/>
      <c r="K12" s="8"/>
      <c r="L12" s="8"/>
      <c r="M12" s="8"/>
      <c r="R12" s="97" t="s">
        <v>138</v>
      </c>
      <c r="S12" s="61"/>
      <c r="T12" s="255" t="s">
        <v>170</v>
      </c>
      <c r="U12" s="256"/>
      <c r="V12" s="256"/>
      <c r="W12" s="256"/>
      <c r="X12" s="256"/>
      <c r="Y12" s="256"/>
      <c r="Z12" s="256"/>
      <c r="AA12" s="256"/>
      <c r="AB12" s="256"/>
      <c r="AC12" s="256"/>
      <c r="AD12" s="256"/>
      <c r="AE12" s="61"/>
      <c r="AF12" s="61"/>
    </row>
    <row r="13" spans="1:32">
      <c r="A13" s="2" t="s">
        <v>4</v>
      </c>
      <c r="C13" s="6">
        <v>6</v>
      </c>
      <c r="D13" s="6"/>
      <c r="E13" s="6">
        <v>7</v>
      </c>
      <c r="F13" s="6"/>
      <c r="G13" s="6">
        <v>8</v>
      </c>
      <c r="H13" s="6"/>
      <c r="I13" s="6">
        <v>9</v>
      </c>
      <c r="J13" s="6"/>
      <c r="K13" s="6">
        <v>10</v>
      </c>
      <c r="L13" s="6"/>
      <c r="M13" s="6">
        <v>11</v>
      </c>
      <c r="N13" s="6"/>
      <c r="O13" s="2" t="s">
        <v>0</v>
      </c>
      <c r="R13" s="97" t="s">
        <v>4</v>
      </c>
      <c r="S13" s="61"/>
      <c r="T13" s="25">
        <v>6</v>
      </c>
      <c r="U13" s="25"/>
      <c r="V13" s="25">
        <v>7</v>
      </c>
      <c r="W13" s="25"/>
      <c r="X13" s="25">
        <v>8</v>
      </c>
      <c r="Y13" s="25"/>
      <c r="Z13" s="25">
        <v>9</v>
      </c>
      <c r="AA13" s="25"/>
      <c r="AB13" s="25">
        <v>10</v>
      </c>
      <c r="AC13" s="25"/>
      <c r="AD13" s="25">
        <v>11</v>
      </c>
      <c r="AE13" s="25"/>
      <c r="AF13" s="97" t="s">
        <v>0</v>
      </c>
    </row>
    <row r="14" spans="1:32">
      <c r="A14" s="257">
        <v>-1</v>
      </c>
      <c r="C14" s="257">
        <v>-2</v>
      </c>
      <c r="E14" s="257">
        <v>-3</v>
      </c>
      <c r="G14" s="257">
        <v>-4</v>
      </c>
      <c r="I14" s="257">
        <v>-5</v>
      </c>
      <c r="K14" s="257">
        <v>-6</v>
      </c>
      <c r="M14" s="257">
        <v>-7</v>
      </c>
      <c r="O14" s="257">
        <v>-8</v>
      </c>
      <c r="R14" s="258">
        <v>-1</v>
      </c>
      <c r="S14" s="61"/>
      <c r="T14" s="258">
        <v>-2</v>
      </c>
      <c r="U14" s="61"/>
      <c r="V14" s="258">
        <v>-3</v>
      </c>
      <c r="W14" s="61"/>
      <c r="X14" s="258">
        <v>-4</v>
      </c>
      <c r="Y14" s="61"/>
      <c r="Z14" s="258">
        <v>-5</v>
      </c>
      <c r="AA14" s="61"/>
      <c r="AB14" s="258">
        <v>-6</v>
      </c>
      <c r="AC14" s="61"/>
      <c r="AD14" s="258">
        <v>-7</v>
      </c>
      <c r="AE14" s="61"/>
      <c r="AF14" s="258">
        <v>-8</v>
      </c>
    </row>
    <row r="15" spans="1:32"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</row>
    <row r="16" spans="1:32">
      <c r="A16" s="6">
        <v>1</v>
      </c>
      <c r="C16" s="60">
        <v>2.7408431875899943E-2</v>
      </c>
      <c r="D16" s="60"/>
      <c r="E16" s="60"/>
      <c r="F16" s="60"/>
      <c r="G16" s="60"/>
      <c r="H16" s="60"/>
      <c r="I16" s="60"/>
      <c r="J16" s="60"/>
      <c r="K16" s="60"/>
      <c r="L16" s="60"/>
      <c r="M16" s="60"/>
      <c r="O16" s="60">
        <f t="shared" ref="O16:O21" si="0">SUM(C16:M16)</f>
        <v>2.7408431875899943E-2</v>
      </c>
      <c r="R16" s="25">
        <v>1</v>
      </c>
      <c r="S16" s="61"/>
      <c r="T16" s="259">
        <f>V17/$X$29</f>
        <v>2.6380509024172293E-2</v>
      </c>
      <c r="U16" s="259"/>
      <c r="V16" s="259"/>
      <c r="W16" s="259"/>
      <c r="X16" s="259"/>
      <c r="Y16" s="259"/>
      <c r="Z16" s="259"/>
      <c r="AA16" s="259"/>
      <c r="AB16" s="259"/>
      <c r="AC16" s="259"/>
      <c r="AD16" s="259"/>
      <c r="AE16" s="61"/>
      <c r="AF16" s="259">
        <f t="shared" ref="AF16:AF21" si="1">SUM(T16:AD16)</f>
        <v>2.6380509024172293E-2</v>
      </c>
    </row>
    <row r="17" spans="1:32">
      <c r="A17" s="6">
        <v>2</v>
      </c>
      <c r="C17" s="60">
        <v>0.12155043701486064</v>
      </c>
      <c r="D17" s="60"/>
      <c r="E17" s="60">
        <f>C16*$X$29</f>
        <v>2.7956600513417942E-2</v>
      </c>
      <c r="F17" s="60"/>
      <c r="G17" s="60"/>
      <c r="H17" s="60"/>
      <c r="I17" s="60"/>
      <c r="J17" s="60"/>
      <c r="K17" s="60"/>
      <c r="L17" s="60"/>
      <c r="M17" s="60"/>
      <c r="O17" s="60">
        <f t="shared" si="0"/>
        <v>0.14950703752827857</v>
      </c>
      <c r="R17" s="25">
        <v>2</v>
      </c>
      <c r="S17" s="61"/>
      <c r="T17" s="259">
        <f>V18/$X$29</f>
        <v>0.11699182262893801</v>
      </c>
      <c r="U17" s="259"/>
      <c r="V17" s="259">
        <f>X18/$X$29</f>
        <v>2.6908119204655738E-2</v>
      </c>
      <c r="W17" s="259"/>
      <c r="X17" s="259"/>
      <c r="Y17" s="259"/>
      <c r="Z17" s="259"/>
      <c r="AA17" s="259"/>
      <c r="AB17" s="259"/>
      <c r="AC17" s="259"/>
      <c r="AD17" s="259"/>
      <c r="AE17" s="61"/>
      <c r="AF17" s="259">
        <f t="shared" si="1"/>
        <v>0.14389994183359375</v>
      </c>
    </row>
    <row r="18" spans="1:32">
      <c r="A18" s="6">
        <v>3</v>
      </c>
      <c r="C18" s="60">
        <v>0.19074068577716602</v>
      </c>
      <c r="D18" s="60"/>
      <c r="E18" s="60">
        <f>C17*$X$29</f>
        <v>0.12398144575515785</v>
      </c>
      <c r="F18" s="60"/>
      <c r="G18" s="60">
        <f>E17*$X$29</f>
        <v>2.8515732523686301E-2</v>
      </c>
      <c r="H18" s="60"/>
      <c r="I18" s="60"/>
      <c r="J18" s="60"/>
      <c r="K18" s="60"/>
      <c r="L18" s="60"/>
      <c r="M18" s="60"/>
      <c r="O18" s="60">
        <f t="shared" si="0"/>
        <v>0.34323786405601014</v>
      </c>
      <c r="R18" s="25">
        <v>3</v>
      </c>
      <c r="S18" s="61"/>
      <c r="T18" s="259">
        <f>V19/$X$29</f>
        <v>0.18358716781771819</v>
      </c>
      <c r="U18" s="259"/>
      <c r="V18" s="259">
        <f>X19/$X$29</f>
        <v>0.11933165908151677</v>
      </c>
      <c r="W18" s="259"/>
      <c r="X18" s="259">
        <f>Z19/$X$29</f>
        <v>2.7446281588748855E-2</v>
      </c>
      <c r="Y18" s="259"/>
      <c r="Z18" s="259"/>
      <c r="AA18" s="259"/>
      <c r="AB18" s="259"/>
      <c r="AC18" s="259"/>
      <c r="AD18" s="259"/>
      <c r="AE18" s="61"/>
      <c r="AF18" s="259">
        <f t="shared" si="1"/>
        <v>0.33036510848798384</v>
      </c>
    </row>
    <row r="19" spans="1:32">
      <c r="A19" s="6">
        <v>4</v>
      </c>
      <c r="C19" s="60">
        <v>0.23011940800212932</v>
      </c>
      <c r="D19" s="60"/>
      <c r="E19" s="60">
        <f>C18*$X$29</f>
        <v>0.19455549949270934</v>
      </c>
      <c r="F19" s="60"/>
      <c r="G19" s="60">
        <f>E18*$X$29</f>
        <v>0.12646107467026102</v>
      </c>
      <c r="H19" s="60"/>
      <c r="I19" s="60">
        <f>G18*$X$29</f>
        <v>2.9086047174160027E-2</v>
      </c>
      <c r="J19" s="60"/>
      <c r="K19" s="60"/>
      <c r="L19" s="60"/>
      <c r="M19" s="60"/>
      <c r="O19" s="60">
        <f t="shared" si="0"/>
        <v>0.5802220293392597</v>
      </c>
      <c r="R19" s="25">
        <v>4</v>
      </c>
      <c r="S19" s="61"/>
      <c r="T19" s="259">
        <f>V20/$X$29</f>
        <v>0.22148903472202131</v>
      </c>
      <c r="U19" s="259"/>
      <c r="V19" s="259">
        <f>X20/$X$29</f>
        <v>0.18725891117407256</v>
      </c>
      <c r="W19" s="259"/>
      <c r="X19" s="259">
        <f>Z20/$X$29</f>
        <v>0.12171829226314711</v>
      </c>
      <c r="Y19" s="259"/>
      <c r="Z19" s="259">
        <f>AB20/$X$29</f>
        <v>2.7995207220523833E-2</v>
      </c>
      <c r="AA19" s="259"/>
      <c r="AB19" s="259"/>
      <c r="AC19" s="259"/>
      <c r="AD19" s="259"/>
      <c r="AE19" s="61"/>
      <c r="AF19" s="259">
        <f t="shared" si="1"/>
        <v>0.55846144537976483</v>
      </c>
    </row>
    <row r="20" spans="1:32">
      <c r="A20" s="6">
        <v>5</v>
      </c>
      <c r="C20" s="60">
        <v>0.25606014126782389</v>
      </c>
      <c r="D20" s="60"/>
      <c r="E20" s="60">
        <f>C19*$X$29</f>
        <v>0.23472179616217193</v>
      </c>
      <c r="F20" s="60"/>
      <c r="G20" s="60">
        <f>E19*$X$29</f>
        <v>0.19844660948256354</v>
      </c>
      <c r="H20" s="60"/>
      <c r="I20" s="60">
        <f>G19*$X$29</f>
        <v>0.12899029616366625</v>
      </c>
      <c r="J20" s="60"/>
      <c r="K20" s="60">
        <f>I19*$X$29</f>
        <v>2.9667768117643229E-2</v>
      </c>
      <c r="L20" s="60"/>
      <c r="M20" s="60"/>
      <c r="O20" s="60">
        <f t="shared" si="0"/>
        <v>0.84788661119386888</v>
      </c>
      <c r="R20" s="25">
        <v>5</v>
      </c>
      <c r="S20" s="61"/>
      <c r="T20" s="259">
        <f>V21/$X$29</f>
        <v>0.24645688954523096</v>
      </c>
      <c r="U20" s="259"/>
      <c r="V20" s="259">
        <f>X21/$X$29</f>
        <v>0.22591881541646175</v>
      </c>
      <c r="W20" s="259"/>
      <c r="X20" s="259">
        <f>Z21/$X$29</f>
        <v>0.19100408939755401</v>
      </c>
      <c r="Y20" s="259"/>
      <c r="Z20" s="259">
        <f>AB21/$X$29</f>
        <v>0.12415265810841006</v>
      </c>
      <c r="AA20" s="259"/>
      <c r="AB20" s="259">
        <f>AD21/$X$29</f>
        <v>2.855511136493431E-2</v>
      </c>
      <c r="AC20" s="259"/>
      <c r="AD20" s="259"/>
      <c r="AE20" s="61"/>
      <c r="AF20" s="259">
        <f t="shared" si="1"/>
        <v>0.81608756383259096</v>
      </c>
    </row>
    <row r="21" spans="1:32">
      <c r="A21" s="6">
        <v>6</v>
      </c>
      <c r="C21" s="60">
        <v>0.17412089606212028</v>
      </c>
      <c r="D21" s="60"/>
      <c r="E21" s="60">
        <f>C20*$X$29</f>
        <v>0.26118134409318039</v>
      </c>
      <c r="F21" s="60"/>
      <c r="G21" s="60">
        <f>E20*$X$29</f>
        <v>0.23941623208541538</v>
      </c>
      <c r="H21" s="60"/>
      <c r="I21" s="60">
        <f>G20*$X$29</f>
        <v>0.20241554167221482</v>
      </c>
      <c r="J21" s="60"/>
      <c r="K21" s="60">
        <f>I20*$X$29</f>
        <v>0.13157010208693959</v>
      </c>
      <c r="L21" s="60"/>
      <c r="M21" s="60">
        <f>K20*$X$29</f>
        <v>3.0261123479996096E-2</v>
      </c>
      <c r="O21" s="60">
        <f t="shared" si="0"/>
        <v>1.0389652394798665</v>
      </c>
      <c r="R21" s="25">
        <v>6</v>
      </c>
      <c r="S21" s="61"/>
      <c r="T21" s="259">
        <f>T31</f>
        <v>0.16759068489075707</v>
      </c>
      <c r="U21" s="259"/>
      <c r="V21" s="259">
        <f>V31</f>
        <v>0.25138602733613558</v>
      </c>
      <c r="W21" s="259"/>
      <c r="X21" s="259">
        <f>X31</f>
        <v>0.23043719172479099</v>
      </c>
      <c r="Y21" s="259"/>
      <c r="Z21" s="259">
        <f>Z31</f>
        <v>0.1948241711855051</v>
      </c>
      <c r="AA21" s="259"/>
      <c r="AB21" s="259">
        <f>AB31</f>
        <v>0.12663571127057827</v>
      </c>
      <c r="AC21" s="259"/>
      <c r="AD21" s="259">
        <f>AD31</f>
        <v>2.9126213592232997E-2</v>
      </c>
      <c r="AE21" s="61"/>
      <c r="AF21" s="259">
        <f t="shared" si="1"/>
        <v>1</v>
      </c>
    </row>
    <row r="22" spans="1:32">
      <c r="C22" s="260"/>
      <c r="D22" s="60"/>
      <c r="E22" s="260"/>
      <c r="G22" s="260"/>
      <c r="I22" s="260"/>
      <c r="K22" s="260"/>
      <c r="L22" s="60"/>
      <c r="M22" s="260"/>
      <c r="O22" s="260"/>
      <c r="R22" s="61"/>
      <c r="S22" s="61"/>
      <c r="T22" s="261"/>
      <c r="U22" s="259"/>
      <c r="V22" s="261"/>
      <c r="W22" s="61"/>
      <c r="X22" s="261"/>
      <c r="Y22" s="61"/>
      <c r="Z22" s="261"/>
      <c r="AA22" s="61"/>
      <c r="AB22" s="261"/>
      <c r="AC22" s="61"/>
      <c r="AD22" s="261"/>
      <c r="AE22" s="61"/>
      <c r="AF22" s="261"/>
    </row>
    <row r="23" spans="1:32">
      <c r="A23" s="2" t="s">
        <v>0</v>
      </c>
      <c r="C23" s="60">
        <f>SUM(C16:C22)</f>
        <v>1</v>
      </c>
      <c r="D23" s="60"/>
      <c r="E23" s="60">
        <f t="shared" ref="E23:O23" si="2">SUM(E16:E22)</f>
        <v>0.84239668601663742</v>
      </c>
      <c r="F23" s="60"/>
      <c r="G23" s="60">
        <f t="shared" si="2"/>
        <v>0.5928396487619263</v>
      </c>
      <c r="H23" s="60"/>
      <c r="I23" s="60">
        <f t="shared" si="2"/>
        <v>0.36049188501004109</v>
      </c>
      <c r="J23" s="60"/>
      <c r="K23" s="60">
        <f t="shared" si="2"/>
        <v>0.16123787020458283</v>
      </c>
      <c r="L23" s="60"/>
      <c r="M23" s="60">
        <f t="shared" si="2"/>
        <v>3.0261123479996096E-2</v>
      </c>
      <c r="N23" s="60"/>
      <c r="O23" s="60">
        <f t="shared" si="2"/>
        <v>2.9872272134731839</v>
      </c>
      <c r="R23" s="97" t="s">
        <v>0</v>
      </c>
      <c r="S23" s="61"/>
      <c r="T23" s="259">
        <f>SUM(T16:T22)</f>
        <v>0.96249610862883772</v>
      </c>
      <c r="U23" s="259"/>
      <c r="V23" s="259">
        <f>SUM(V16:V22)</f>
        <v>0.8108035322128424</v>
      </c>
      <c r="W23" s="259"/>
      <c r="X23" s="259">
        <f>SUM(X16:X22)</f>
        <v>0.57060585497424099</v>
      </c>
      <c r="Y23" s="259"/>
      <c r="Z23" s="259">
        <f>SUM(Z16:Z22)</f>
        <v>0.34697203651443898</v>
      </c>
      <c r="AA23" s="259"/>
      <c r="AB23" s="259">
        <f>SUM(AB16:AB22)</f>
        <v>0.15519082263551257</v>
      </c>
      <c r="AC23" s="259"/>
      <c r="AD23" s="259">
        <f>SUM(AD16:AD22)</f>
        <v>2.9126213592232997E-2</v>
      </c>
      <c r="AE23" s="259"/>
      <c r="AF23" s="259">
        <f>SUM(AF16:AF22)</f>
        <v>2.8751945685581055</v>
      </c>
    </row>
    <row r="24" spans="1:32"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</row>
    <row r="25" spans="1:32">
      <c r="C25" s="222">
        <v>1</v>
      </c>
      <c r="D25" s="6"/>
      <c r="E25" s="222">
        <v>2</v>
      </c>
      <c r="F25" s="6"/>
      <c r="G25" s="222">
        <v>3</v>
      </c>
      <c r="H25" s="6"/>
      <c r="I25" s="222">
        <v>4</v>
      </c>
      <c r="J25" s="6"/>
      <c r="K25" s="222">
        <v>5</v>
      </c>
      <c r="L25" s="6"/>
      <c r="M25" s="222">
        <v>6</v>
      </c>
      <c r="R25" s="61" t="s">
        <v>657</v>
      </c>
      <c r="S25" s="61"/>
      <c r="T25" s="262">
        <f>1/T23</f>
        <v>1.0389652394798665</v>
      </c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</row>
    <row r="26" spans="1:32">
      <c r="A26" s="3" t="s">
        <v>413</v>
      </c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</row>
    <row r="27" spans="1:32">
      <c r="A27" s="3" t="s">
        <v>214</v>
      </c>
      <c r="C27" s="60">
        <f>C21</f>
        <v>0.17412089606212028</v>
      </c>
      <c r="D27" s="60"/>
      <c r="E27" s="60">
        <f>E21</f>
        <v>0.26118134409318039</v>
      </c>
      <c r="F27" s="60"/>
      <c r="G27" s="60">
        <f>G21</f>
        <v>0.23941623208541538</v>
      </c>
      <c r="H27" s="60"/>
      <c r="I27" s="60">
        <f>I21</f>
        <v>0.20241554167221482</v>
      </c>
      <c r="K27" s="60">
        <f>K21</f>
        <v>0.13157010208693959</v>
      </c>
      <c r="M27" s="60">
        <f>M21</f>
        <v>3.0261123479996096E-2</v>
      </c>
      <c r="O27" s="60">
        <f>SUM(C27:M27)</f>
        <v>1.0389652394798665</v>
      </c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</row>
    <row r="28" spans="1:32">
      <c r="A28" s="3" t="s">
        <v>215</v>
      </c>
      <c r="C28" s="60">
        <f>E23</f>
        <v>0.84239668601663742</v>
      </c>
      <c r="D28" s="60"/>
      <c r="E28" s="60">
        <f>G23</f>
        <v>0.5928396487619263</v>
      </c>
      <c r="F28" s="60"/>
      <c r="G28" s="60">
        <f>I23</f>
        <v>0.36049188501004109</v>
      </c>
      <c r="H28" s="60"/>
      <c r="I28" s="60">
        <f>K23</f>
        <v>0.16123787020458283</v>
      </c>
      <c r="K28" s="60">
        <f>M23</f>
        <v>3.0261123479996096E-2</v>
      </c>
      <c r="O28" s="60">
        <f>SUM(C28:M28)</f>
        <v>1.9872272134731839</v>
      </c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</row>
    <row r="29" spans="1:32"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R29" s="61"/>
      <c r="S29" s="61"/>
      <c r="T29" s="61"/>
      <c r="U29" s="61"/>
      <c r="V29" s="61" t="s">
        <v>487</v>
      </c>
      <c r="W29" s="61"/>
      <c r="X29" s="61">
        <v>1.02</v>
      </c>
      <c r="Y29" s="61"/>
      <c r="Z29" s="61"/>
      <c r="AA29" s="61"/>
      <c r="AB29" s="61"/>
      <c r="AC29" s="61"/>
      <c r="AD29" s="61"/>
      <c r="AE29" s="61"/>
      <c r="AF29" s="61"/>
    </row>
    <row r="30" spans="1:32">
      <c r="A30" s="3" t="s">
        <v>414</v>
      </c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</row>
    <row r="31" spans="1:32">
      <c r="A31" s="3" t="s">
        <v>214</v>
      </c>
      <c r="C31" s="60">
        <f>C27/$O27</f>
        <v>0.16759068489075707</v>
      </c>
      <c r="D31" s="60"/>
      <c r="E31" s="60">
        <f t="shared" ref="E31:M31" si="3">E27/$O27</f>
        <v>0.25138602733613558</v>
      </c>
      <c r="F31" s="60"/>
      <c r="G31" s="60">
        <f t="shared" si="3"/>
        <v>0.23043719172479099</v>
      </c>
      <c r="H31" s="60"/>
      <c r="I31" s="60">
        <f t="shared" si="3"/>
        <v>0.1948241711855051</v>
      </c>
      <c r="J31" s="60"/>
      <c r="K31" s="60">
        <f t="shared" si="3"/>
        <v>0.12663571127057827</v>
      </c>
      <c r="L31" s="60"/>
      <c r="M31" s="60">
        <f t="shared" si="3"/>
        <v>2.9126213592232993E-2</v>
      </c>
      <c r="O31" s="60">
        <f>SUM(C31:M31)</f>
        <v>1</v>
      </c>
      <c r="R31" s="61"/>
      <c r="S31" s="61"/>
      <c r="T31" s="259">
        <f>T32</f>
        <v>0.16759068489075707</v>
      </c>
      <c r="U31" s="61"/>
      <c r="V31" s="259">
        <f>V32-T32</f>
        <v>0.25138602733613558</v>
      </c>
      <c r="W31" s="61"/>
      <c r="X31" s="259">
        <f>X32-V32</f>
        <v>0.23043719172479099</v>
      </c>
      <c r="Y31" s="61"/>
      <c r="Z31" s="259">
        <f>Z32-X32</f>
        <v>0.1948241711855051</v>
      </c>
      <c r="AA31" s="61"/>
      <c r="AB31" s="259">
        <f>AB32-Z32</f>
        <v>0.12663571127057827</v>
      </c>
      <c r="AC31" s="61"/>
      <c r="AD31" s="259">
        <f>AD32-AB32</f>
        <v>2.9126213592232997E-2</v>
      </c>
      <c r="AE31" s="61"/>
      <c r="AF31" s="61"/>
    </row>
    <row r="32" spans="1:32">
      <c r="A32" s="3" t="s">
        <v>215</v>
      </c>
      <c r="C32" s="60">
        <f>C28/$O28</f>
        <v>0.42390557068928997</v>
      </c>
      <c r="D32" s="60"/>
      <c r="E32" s="60">
        <f>E28/$O28</f>
        <v>0.29832504544147648</v>
      </c>
      <c r="F32" s="60"/>
      <c r="G32" s="60">
        <f>G28/$O28</f>
        <v>0.18140446274383995</v>
      </c>
      <c r="H32" s="60"/>
      <c r="I32" s="60">
        <f>I28/$O28</f>
        <v>8.1137108585977308E-2</v>
      </c>
      <c r="J32" s="60"/>
      <c r="K32" s="60">
        <f>K28/$O28</f>
        <v>1.5227812539416217E-2</v>
      </c>
      <c r="M32" s="60"/>
      <c r="O32" s="60">
        <f>SUM(C32:M32)</f>
        <v>0.99999999999999989</v>
      </c>
      <c r="R32" s="61"/>
      <c r="S32" s="61"/>
      <c r="T32" s="263">
        <v>0.16759068489075707</v>
      </c>
      <c r="V32" s="263">
        <v>0.41897671222689264</v>
      </c>
      <c r="X32" s="263">
        <v>0.64941390395168364</v>
      </c>
      <c r="Z32" s="263">
        <v>0.84423807513718874</v>
      </c>
      <c r="AB32" s="263">
        <v>0.970873786407767</v>
      </c>
      <c r="AD32" s="263">
        <v>1</v>
      </c>
      <c r="AE32" s="61"/>
      <c r="AF32" s="61"/>
    </row>
    <row r="33" spans="1:33"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W33" s="60"/>
      <c r="Y33" s="60"/>
      <c r="AA33" s="60"/>
      <c r="AC33" s="60"/>
      <c r="AE33" s="60"/>
      <c r="AG33" s="60"/>
    </row>
    <row r="34" spans="1:33">
      <c r="A34" s="3" t="s">
        <v>415</v>
      </c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33">
      <c r="A35" s="3" t="s">
        <v>214</v>
      </c>
      <c r="C35" s="60">
        <f>C31</f>
        <v>0.16759068489075707</v>
      </c>
      <c r="D35" s="60"/>
      <c r="E35" s="60">
        <f>C35+E31</f>
        <v>0.41897671222689264</v>
      </c>
      <c r="F35" s="60"/>
      <c r="G35" s="60">
        <f>E35+G31</f>
        <v>0.64941390395168364</v>
      </c>
      <c r="H35" s="60"/>
      <c r="I35" s="60">
        <f>G35+I31</f>
        <v>0.84423807513718874</v>
      </c>
      <c r="J35" s="60"/>
      <c r="K35" s="60">
        <f>I35+K31</f>
        <v>0.970873786407767</v>
      </c>
      <c r="M35" s="60">
        <f>K35+M31</f>
        <v>1</v>
      </c>
    </row>
    <row r="36" spans="1:33">
      <c r="A36" s="3" t="s">
        <v>215</v>
      </c>
      <c r="C36" s="60">
        <f>C32</f>
        <v>0.42390557068928997</v>
      </c>
      <c r="D36" s="60"/>
      <c r="E36" s="60">
        <f>C36+E32</f>
        <v>0.72223061613076645</v>
      </c>
      <c r="F36" s="60"/>
      <c r="G36" s="60">
        <f>E36+G32</f>
        <v>0.90363507887460637</v>
      </c>
      <c r="H36" s="60"/>
      <c r="I36" s="60">
        <f>G36+I32</f>
        <v>0.9847721874605837</v>
      </c>
      <c r="J36" s="60"/>
      <c r="K36" s="60">
        <f>I36+K32</f>
        <v>0.99999999999999989</v>
      </c>
      <c r="M36" s="60"/>
    </row>
    <row r="37" spans="1:33">
      <c r="W37" s="60"/>
      <c r="Y37" s="60"/>
      <c r="AA37" s="60"/>
      <c r="AC37" s="60"/>
      <c r="AE37" s="60"/>
      <c r="AG37" s="60"/>
    </row>
    <row r="38" spans="1:33">
      <c r="A38" s="3" t="s">
        <v>416</v>
      </c>
    </row>
    <row r="39" spans="1:33">
      <c r="A39" s="3" t="s">
        <v>214</v>
      </c>
      <c r="C39" s="60">
        <f>C27</f>
        <v>0.17412089606212028</v>
      </c>
      <c r="E39" s="60">
        <f>C39+E27</f>
        <v>0.43530224015530067</v>
      </c>
      <c r="G39" s="60">
        <f>E39+G27</f>
        <v>0.67471847224071602</v>
      </c>
      <c r="I39" s="60">
        <f>G39+I27</f>
        <v>0.87713401391293089</v>
      </c>
      <c r="K39" s="60">
        <f>I39+K27</f>
        <v>1.0087041159998704</v>
      </c>
      <c r="M39" s="60">
        <f>K39+M27</f>
        <v>1.0389652394798665</v>
      </c>
    </row>
    <row r="40" spans="1:33">
      <c r="A40" s="3" t="s">
        <v>215</v>
      </c>
      <c r="C40" s="60">
        <f>C28</f>
        <v>0.84239668601663742</v>
      </c>
      <c r="E40" s="60">
        <f>C40+E28</f>
        <v>1.4352363347785637</v>
      </c>
      <c r="G40" s="60">
        <f>E40+G28</f>
        <v>1.7957282197886049</v>
      </c>
      <c r="I40" s="60">
        <f>G40+I28</f>
        <v>1.9569660899931878</v>
      </c>
      <c r="K40" s="60">
        <f>I40+K28</f>
        <v>1.9872272134731839</v>
      </c>
    </row>
    <row r="42" spans="1:33">
      <c r="A42" s="3" t="s">
        <v>417</v>
      </c>
    </row>
    <row r="43" spans="1:33">
      <c r="A43" s="3" t="s">
        <v>215</v>
      </c>
      <c r="C43" s="60">
        <f>C40/$M39</f>
        <v>0.8108035322128424</v>
      </c>
      <c r="D43" s="60"/>
      <c r="E43" s="60">
        <f>E40/$M39</f>
        <v>1.3814093871870834</v>
      </c>
      <c r="F43" s="60"/>
      <c r="G43" s="60">
        <f>G40/$M39</f>
        <v>1.7283814237015225</v>
      </c>
      <c r="H43" s="60"/>
      <c r="I43" s="60">
        <f>I40/$M39</f>
        <v>1.883572246337035</v>
      </c>
      <c r="K43" s="60">
        <f>K40/$M39</f>
        <v>1.912698459929268</v>
      </c>
    </row>
    <row r="44" spans="1:33">
      <c r="A44" s="3"/>
      <c r="C44" s="60"/>
      <c r="D44" s="60"/>
      <c r="E44" s="60"/>
      <c r="F44" s="60"/>
      <c r="G44" s="60"/>
      <c r="H44" s="60"/>
      <c r="I44" s="60"/>
      <c r="K44" s="60"/>
    </row>
    <row r="45" spans="1:33">
      <c r="A45" s="3"/>
      <c r="C45" s="60"/>
      <c r="D45" s="60"/>
      <c r="E45" s="60"/>
      <c r="F45" s="60"/>
      <c r="G45" s="60"/>
      <c r="H45" s="60"/>
      <c r="I45" s="60"/>
      <c r="K45" s="60"/>
    </row>
    <row r="47" spans="1:33">
      <c r="A47" s="64" t="s">
        <v>104</v>
      </c>
      <c r="C47" s="3" t="s">
        <v>412</v>
      </c>
    </row>
    <row r="48" spans="1:33">
      <c r="A48" s="139" t="s">
        <v>418</v>
      </c>
      <c r="C48" s="3" t="s">
        <v>409</v>
      </c>
    </row>
    <row r="49" spans="1:19">
      <c r="A49" s="264">
        <v>-9</v>
      </c>
      <c r="C49" s="3" t="s">
        <v>419</v>
      </c>
    </row>
    <row r="50" spans="1:19">
      <c r="C50" s="3" t="s">
        <v>420</v>
      </c>
    </row>
    <row r="51" spans="1:19">
      <c r="A51" s="264">
        <v>-10</v>
      </c>
      <c r="C51" s="3" t="s">
        <v>421</v>
      </c>
    </row>
    <row r="52" spans="1:19">
      <c r="A52" s="264">
        <v>-11</v>
      </c>
      <c r="C52" s="3" t="s">
        <v>422</v>
      </c>
    </row>
    <row r="53" spans="1:19">
      <c r="A53" s="264">
        <v>-12</v>
      </c>
      <c r="C53" s="3" t="s">
        <v>257</v>
      </c>
    </row>
    <row r="54" spans="1:19">
      <c r="A54" s="264">
        <v>-13</v>
      </c>
      <c r="C54" s="3" t="s">
        <v>423</v>
      </c>
      <c r="K54" s="61"/>
      <c r="S54" s="61" t="s">
        <v>555</v>
      </c>
    </row>
    <row r="80" spans="1:13">
      <c r="A80" s="2" t="s">
        <v>138</v>
      </c>
      <c r="C80" s="7" t="s">
        <v>170</v>
      </c>
      <c r="D80" s="8"/>
      <c r="E80" s="8"/>
      <c r="F80" s="8"/>
      <c r="G80" s="8"/>
      <c r="H80" s="8"/>
      <c r="I80" s="8"/>
      <c r="J80" s="8"/>
      <c r="K80" s="8"/>
      <c r="L80" s="8"/>
      <c r="M80" s="8"/>
    </row>
    <row r="81" spans="1:17">
      <c r="A81" s="2" t="s">
        <v>4</v>
      </c>
      <c r="C81" s="6">
        <v>6</v>
      </c>
      <c r="D81" s="6"/>
      <c r="E81" s="6">
        <v>7</v>
      </c>
      <c r="F81" s="6"/>
      <c r="G81" s="6">
        <v>8</v>
      </c>
      <c r="H81" s="6"/>
      <c r="I81" s="6">
        <v>9</v>
      </c>
      <c r="J81" s="6"/>
      <c r="K81" s="6">
        <v>10</v>
      </c>
      <c r="L81" s="6"/>
      <c r="M81" s="6">
        <v>11</v>
      </c>
      <c r="N81" s="6"/>
      <c r="O81" s="2" t="s">
        <v>0</v>
      </c>
    </row>
    <row r="82" spans="1:17">
      <c r="A82" s="257">
        <v>-1</v>
      </c>
      <c r="C82" s="257">
        <v>-2</v>
      </c>
      <c r="E82" s="257">
        <v>-3</v>
      </c>
      <c r="G82" s="257">
        <v>-4</v>
      </c>
      <c r="I82" s="257">
        <v>-5</v>
      </c>
      <c r="K82" s="257">
        <v>-6</v>
      </c>
      <c r="M82" s="257">
        <v>-7</v>
      </c>
      <c r="O82" s="257">
        <v>-8</v>
      </c>
    </row>
    <row r="84" spans="1:17">
      <c r="A84" s="6">
        <v>1</v>
      </c>
      <c r="C84" s="60">
        <f>E85/$Q$84</f>
        <v>2.6380509024172289E-2</v>
      </c>
      <c r="D84" s="60"/>
      <c r="E84" s="60"/>
      <c r="F84" s="60"/>
      <c r="G84" s="60"/>
      <c r="H84" s="60"/>
      <c r="I84" s="60"/>
      <c r="J84" s="60"/>
      <c r="K84" s="60"/>
      <c r="L84" s="60"/>
      <c r="M84" s="60"/>
      <c r="O84" s="60">
        <f t="shared" ref="O84:O89" si="4">SUM(C84:M84)</f>
        <v>2.6380509024172289E-2</v>
      </c>
      <c r="Q84" s="1">
        <v>1.02</v>
      </c>
    </row>
    <row r="85" spans="1:17">
      <c r="A85" s="6">
        <v>2</v>
      </c>
      <c r="C85" s="60">
        <f>E86/$Q$84</f>
        <v>0.11699182262893801</v>
      </c>
      <c r="D85" s="60"/>
      <c r="E85" s="60">
        <f>G86/$Q$84</f>
        <v>2.6908119204655735E-2</v>
      </c>
      <c r="F85" s="60"/>
      <c r="G85" s="60"/>
      <c r="H85" s="60"/>
      <c r="I85" s="60"/>
      <c r="J85" s="60"/>
      <c r="K85" s="60"/>
      <c r="L85" s="60"/>
      <c r="M85" s="60"/>
      <c r="O85" s="60">
        <f t="shared" si="4"/>
        <v>0.14389994183359375</v>
      </c>
    </row>
    <row r="86" spans="1:17">
      <c r="A86" s="6">
        <v>3</v>
      </c>
      <c r="C86" s="60">
        <f>E87/$Q$84</f>
        <v>0.18358716781771819</v>
      </c>
      <c r="D86" s="60"/>
      <c r="E86" s="60">
        <f>G87/$Q$84</f>
        <v>0.11933165908151677</v>
      </c>
      <c r="F86" s="60"/>
      <c r="G86" s="60">
        <f>I87/$Q$84</f>
        <v>2.7446281588748851E-2</v>
      </c>
      <c r="H86" s="60"/>
      <c r="I86" s="60"/>
      <c r="J86" s="60"/>
      <c r="K86" s="60"/>
      <c r="L86" s="60"/>
      <c r="M86" s="60"/>
      <c r="O86" s="60">
        <f t="shared" si="4"/>
        <v>0.33036510848798384</v>
      </c>
    </row>
    <row r="87" spans="1:17">
      <c r="A87" s="6">
        <v>4</v>
      </c>
      <c r="C87" s="60">
        <f>E88/$Q$84</f>
        <v>0.22148903472202131</v>
      </c>
      <c r="D87" s="60"/>
      <c r="E87" s="60">
        <f>G88/$Q$84</f>
        <v>0.18725891117407256</v>
      </c>
      <c r="F87" s="60"/>
      <c r="G87" s="60">
        <f>I88/$Q$84</f>
        <v>0.12171829226314711</v>
      </c>
      <c r="H87" s="60"/>
      <c r="I87" s="60">
        <f>K88/$Q$84</f>
        <v>2.7995207220523829E-2</v>
      </c>
      <c r="J87" s="60"/>
      <c r="K87" s="60"/>
      <c r="L87" s="60"/>
      <c r="M87" s="60"/>
      <c r="O87" s="60">
        <f t="shared" si="4"/>
        <v>0.55846144537976483</v>
      </c>
    </row>
    <row r="88" spans="1:17">
      <c r="A88" s="6">
        <v>5</v>
      </c>
      <c r="C88" s="60">
        <f>E89/$Q$84</f>
        <v>0.24645688954523096</v>
      </c>
      <c r="D88" s="60"/>
      <c r="E88" s="60">
        <f>G89/$Q$84</f>
        <v>0.22591881541646175</v>
      </c>
      <c r="F88" s="60"/>
      <c r="G88" s="60">
        <f>I89/$Q$84</f>
        <v>0.19100408939755401</v>
      </c>
      <c r="H88" s="60"/>
      <c r="I88" s="60">
        <f>K89/$Q$84</f>
        <v>0.12415265810841006</v>
      </c>
      <c r="J88" s="60"/>
      <c r="K88" s="60">
        <f>M89/$Q$84</f>
        <v>2.8555111364934306E-2</v>
      </c>
      <c r="L88" s="60"/>
      <c r="M88" s="60"/>
      <c r="O88" s="60">
        <f t="shared" si="4"/>
        <v>0.81608756383259096</v>
      </c>
    </row>
    <row r="89" spans="1:17">
      <c r="A89" s="6">
        <v>6</v>
      </c>
      <c r="C89" s="60">
        <f>C94</f>
        <v>0.16759068489075707</v>
      </c>
      <c r="D89" s="60"/>
      <c r="E89" s="60">
        <f>E94</f>
        <v>0.25138602733613558</v>
      </c>
      <c r="F89" s="60"/>
      <c r="G89" s="60">
        <f>G94</f>
        <v>0.23043719172479099</v>
      </c>
      <c r="H89" s="60"/>
      <c r="I89" s="60">
        <f>I94</f>
        <v>0.1948241711855051</v>
      </c>
      <c r="J89" s="60"/>
      <c r="K89" s="60">
        <f>K94</f>
        <v>0.12663571127057827</v>
      </c>
      <c r="L89" s="60"/>
      <c r="M89" s="60">
        <f>M94</f>
        <v>2.9126213592232993E-2</v>
      </c>
      <c r="O89" s="60">
        <f t="shared" si="4"/>
        <v>1</v>
      </c>
    </row>
    <row r="90" spans="1:17">
      <c r="C90" s="260">
        <f>SUM(C84:C89)</f>
        <v>0.96249610862883772</v>
      </c>
      <c r="D90" s="60"/>
      <c r="E90" s="260"/>
      <c r="G90" s="260"/>
      <c r="I90" s="260"/>
      <c r="K90" s="260"/>
      <c r="M90" s="260"/>
      <c r="O90" s="260"/>
      <c r="Q90" s="1">
        <f>1/C90</f>
        <v>1.0389652394798665</v>
      </c>
    </row>
    <row r="91" spans="1:17">
      <c r="A91" s="2" t="s">
        <v>0</v>
      </c>
      <c r="C91" s="60">
        <f>SUM(C84:C90)</f>
        <v>1.9249922172576754</v>
      </c>
      <c r="D91" s="60"/>
      <c r="E91" s="60">
        <f>SUM(E84:E90)</f>
        <v>0.8108035322128424</v>
      </c>
      <c r="F91" s="60"/>
      <c r="G91" s="60">
        <f>SUM(G84:G90)</f>
        <v>0.57060585497424099</v>
      </c>
      <c r="H91" s="60"/>
      <c r="I91" s="60">
        <f>SUM(I84:I90)</f>
        <v>0.34697203651443898</v>
      </c>
      <c r="J91" s="60"/>
      <c r="K91" s="60">
        <f>SUM(K84:K90)</f>
        <v>0.15519082263551257</v>
      </c>
      <c r="L91" s="60"/>
      <c r="M91" s="60">
        <f>SUM(M84:M90)</f>
        <v>2.9126213592232993E-2</v>
      </c>
      <c r="N91" s="60"/>
      <c r="O91" s="60">
        <f>SUM(O84:O90)</f>
        <v>2.8751945685581055</v>
      </c>
    </row>
    <row r="94" spans="1:17">
      <c r="C94" s="60">
        <f>C$31</f>
        <v>0.16759068489075707</v>
      </c>
      <c r="E94" s="60">
        <f>E$31</f>
        <v>0.25138602733613558</v>
      </c>
      <c r="G94" s="60">
        <f>G$31</f>
        <v>0.23043719172479099</v>
      </c>
      <c r="I94" s="60">
        <f>I$31</f>
        <v>0.1948241711855051</v>
      </c>
      <c r="K94" s="60">
        <f>K$31</f>
        <v>0.12663571127057827</v>
      </c>
      <c r="M94" s="60">
        <f>M$31</f>
        <v>2.9126213592232993E-2</v>
      </c>
    </row>
  </sheetData>
  <printOptions horizontalCentered="1"/>
  <pageMargins left="0.7" right="0.7" top="0.75" bottom="0.75" header="0.3" footer="0.3"/>
  <pageSetup scale="72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126">
    <pageSetUpPr fitToPage="1"/>
  </sheetPr>
  <dimension ref="A1:AG54"/>
  <sheetViews>
    <sheetView zoomScaleNormal="100" workbookViewId="0">
      <selection activeCell="A33" sqref="A33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1.7109375" style="1" customWidth="1"/>
    <col min="14" max="14" width="1.7109375" style="1" customWidth="1"/>
    <col min="15" max="15" width="11.7109375" style="1" customWidth="1"/>
    <col min="16" max="16" width="1.7109375" style="1" customWidth="1"/>
    <col min="17" max="17" width="11.7109375" style="1" customWidth="1"/>
    <col min="18" max="18" width="1.7109375" style="1" customWidth="1"/>
    <col min="19" max="19" width="9.7109375" style="1" customWidth="1"/>
    <col min="20" max="20" width="1.7109375" style="1" customWidth="1"/>
    <col min="21" max="21" width="10.7109375" style="1" customWidth="1"/>
    <col min="22" max="22" width="1.7109375" style="1" customWidth="1"/>
    <col min="23" max="23" width="11.7109375" style="1" customWidth="1"/>
    <col min="24" max="16384" width="8.7109375" style="1"/>
  </cols>
  <sheetData>
    <row r="1" spans="1:33">
      <c r="W1" s="64" t="s">
        <v>939</v>
      </c>
    </row>
    <row r="2" spans="1:33">
      <c r="U2" s="3"/>
      <c r="W2" s="64" t="s">
        <v>56</v>
      </c>
    </row>
    <row r="3" spans="1:33">
      <c r="U3" s="3"/>
    </row>
    <row r="4" spans="1:33" ht="16">
      <c r="A4" s="4" t="s">
        <v>872</v>
      </c>
      <c r="B4" s="4"/>
      <c r="C4" s="4"/>
      <c r="D4" s="4"/>
      <c r="E4" s="4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33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33">
      <c r="A6" s="5" t="s">
        <v>128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33">
      <c r="A7" s="5" t="s">
        <v>325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33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33">
      <c r="A9" s="5"/>
      <c r="B9" s="5"/>
      <c r="C9" s="5"/>
      <c r="D9" s="5"/>
      <c r="E9" s="5"/>
      <c r="F9" s="5"/>
      <c r="G9" s="5"/>
      <c r="H9" s="5"/>
    </row>
    <row r="11" spans="1:33">
      <c r="C11" s="7" t="s">
        <v>282</v>
      </c>
      <c r="D11" s="8"/>
      <c r="E11" s="8"/>
      <c r="F11" s="8"/>
      <c r="G11" s="8"/>
      <c r="H11" s="8"/>
      <c r="I11" s="8"/>
      <c r="J11" s="8"/>
      <c r="K11" s="8"/>
      <c r="M11" s="7" t="s">
        <v>132</v>
      </c>
      <c r="N11" s="8"/>
      <c r="O11" s="8"/>
      <c r="P11" s="8"/>
      <c r="Q11" s="8"/>
      <c r="S11" s="7" t="s">
        <v>197</v>
      </c>
      <c r="T11" s="8"/>
      <c r="U11" s="8"/>
      <c r="V11" s="8"/>
      <c r="W11" s="8"/>
    </row>
    <row r="12" spans="1:33">
      <c r="A12" s="2" t="s">
        <v>6</v>
      </c>
      <c r="B12" s="2"/>
      <c r="C12" s="2" t="s">
        <v>177</v>
      </c>
      <c r="D12" s="2"/>
      <c r="E12" s="2" t="s">
        <v>280</v>
      </c>
      <c r="G12" s="2" t="s">
        <v>321</v>
      </c>
      <c r="I12" s="2" t="s">
        <v>12</v>
      </c>
      <c r="K12" s="2" t="s">
        <v>14</v>
      </c>
      <c r="M12" s="2" t="s">
        <v>177</v>
      </c>
      <c r="O12" s="2" t="s">
        <v>12</v>
      </c>
      <c r="Q12" s="2" t="s">
        <v>14</v>
      </c>
      <c r="S12" s="2" t="s">
        <v>177</v>
      </c>
      <c r="U12" s="2" t="s">
        <v>12</v>
      </c>
      <c r="W12" s="2" t="s">
        <v>14</v>
      </c>
      <c r="Z12" s="61"/>
      <c r="AA12" s="61"/>
      <c r="AB12" s="61"/>
      <c r="AC12" s="61"/>
      <c r="AD12" s="61"/>
      <c r="AE12" s="61"/>
      <c r="AF12" s="61"/>
      <c r="AG12" s="61"/>
    </row>
    <row r="13" spans="1:33">
      <c r="A13" s="2" t="s">
        <v>4</v>
      </c>
      <c r="B13" s="2"/>
      <c r="C13" s="2" t="s">
        <v>16</v>
      </c>
      <c r="D13" s="2"/>
      <c r="E13" s="2" t="s">
        <v>119</v>
      </c>
      <c r="G13" s="2" t="s">
        <v>177</v>
      </c>
      <c r="I13" s="2" t="s">
        <v>55</v>
      </c>
      <c r="K13" s="2" t="s">
        <v>55</v>
      </c>
      <c r="M13" s="2" t="s">
        <v>16</v>
      </c>
      <c r="O13" s="2" t="s">
        <v>55</v>
      </c>
      <c r="Q13" s="2" t="s">
        <v>55</v>
      </c>
      <c r="S13" s="2" t="s">
        <v>16</v>
      </c>
      <c r="U13" s="2" t="s">
        <v>55</v>
      </c>
      <c r="W13" s="2" t="s">
        <v>55</v>
      </c>
      <c r="Z13" s="61"/>
      <c r="AA13" s="61"/>
      <c r="AB13" s="61"/>
      <c r="AC13" s="61"/>
      <c r="AD13" s="61"/>
      <c r="AE13" s="61"/>
      <c r="AF13" s="61"/>
      <c r="AG13" s="61"/>
    </row>
    <row r="14" spans="1:33">
      <c r="A14" s="473">
        <v>-1</v>
      </c>
      <c r="B14" s="11"/>
      <c r="C14" s="473">
        <v>-2</v>
      </c>
      <c r="E14" s="473">
        <v>-3</v>
      </c>
      <c r="G14" s="473">
        <v>-4</v>
      </c>
      <c r="I14" s="473">
        <v>-5</v>
      </c>
      <c r="K14" s="473">
        <v>-6</v>
      </c>
      <c r="M14" s="473">
        <v>-7</v>
      </c>
      <c r="O14" s="473">
        <v>-8</v>
      </c>
      <c r="Q14" s="473">
        <v>-9</v>
      </c>
      <c r="S14" s="473">
        <v>-10</v>
      </c>
      <c r="U14" s="473">
        <v>-11</v>
      </c>
      <c r="W14" s="473">
        <v>-12</v>
      </c>
      <c r="Z14" s="61"/>
      <c r="AA14" s="61"/>
      <c r="AB14" s="61"/>
      <c r="AC14" s="61"/>
      <c r="AD14" s="61"/>
      <c r="AE14" s="61"/>
      <c r="AF14" s="61"/>
      <c r="AG14" s="61"/>
    </row>
    <row r="15" spans="1:33">
      <c r="G15" s="62"/>
      <c r="H15" s="11"/>
      <c r="I15" s="62"/>
      <c r="J15" s="11"/>
      <c r="K15" s="62"/>
      <c r="L15" s="11"/>
      <c r="M15" s="62"/>
      <c r="O15" s="62"/>
      <c r="Q15" s="62"/>
      <c r="S15" s="62"/>
      <c r="U15" s="62"/>
      <c r="W15" s="62"/>
      <c r="Z15" s="61"/>
      <c r="AA15" s="61"/>
      <c r="AB15" s="61"/>
      <c r="AC15" s="61"/>
      <c r="AD15" s="61"/>
      <c r="AE15" s="61"/>
      <c r="AF15" s="61"/>
      <c r="AG15" s="61"/>
    </row>
    <row r="16" spans="1:33">
      <c r="A16" s="65" t="s">
        <v>77</v>
      </c>
      <c r="B16" s="65"/>
      <c r="C16" s="65"/>
      <c r="D16" s="65"/>
      <c r="E16" s="65"/>
      <c r="Z16" s="61"/>
      <c r="AA16" s="61"/>
      <c r="AB16" s="61"/>
      <c r="AC16" s="61"/>
      <c r="AD16" s="61"/>
      <c r="AE16" s="61"/>
      <c r="AF16" s="61"/>
      <c r="AG16" s="61"/>
    </row>
    <row r="17" spans="1:33">
      <c r="A17" s="6"/>
      <c r="B17" s="65"/>
      <c r="C17" s="65"/>
      <c r="D17" s="65"/>
      <c r="E17" s="65"/>
      <c r="Z17" s="61"/>
      <c r="AA17" s="61"/>
      <c r="AB17" s="61"/>
      <c r="AC17" s="61"/>
      <c r="AD17" s="61"/>
      <c r="AE17" s="61"/>
      <c r="AF17" s="61"/>
      <c r="AG17" s="61"/>
    </row>
    <row r="18" spans="1:33">
      <c r="A18" s="6">
        <v>2013</v>
      </c>
      <c r="B18" s="65"/>
      <c r="C18" s="505">
        <f>30482879.38+1711000</f>
        <v>32193879.379999999</v>
      </c>
      <c r="D18" s="513"/>
      <c r="E18" s="505">
        <v>0</v>
      </c>
      <c r="F18" s="505"/>
      <c r="G18" s="497">
        <f t="shared" ref="G18:G27" si="0">C18-E18</f>
        <v>32193879.379999999</v>
      </c>
      <c r="H18" s="505"/>
      <c r="I18" s="497">
        <f>'AD8'!B34+'AD10'!B34+'AD12'!B34+'Exhibit N,2'!I35+'Exhibit O,2'!I35+'Exhibit U,2'!I22+'Exhibit V,1'!G16</f>
        <v>45003113.724585079</v>
      </c>
      <c r="J18" s="505"/>
      <c r="K18" s="505">
        <f>'AD8'!B34+'AD10'!B34+'AD12'!B34+'Exhibit N,3'!I35+'Exhibit O,3'!I35+'Exhibit U,1'!I22+'Exhibit V,1'!E16</f>
        <v>45003113.724585079</v>
      </c>
      <c r="L18" s="505"/>
      <c r="M18" s="505">
        <v>32194000</v>
      </c>
      <c r="N18" s="505"/>
      <c r="O18" s="505">
        <v>28211000</v>
      </c>
      <c r="P18" s="505"/>
      <c r="Q18" s="505">
        <v>28091000</v>
      </c>
      <c r="R18" s="505"/>
      <c r="S18" s="497">
        <f t="shared" ref="S18:S27" si="1">M18-G18</f>
        <v>120.62000000104308</v>
      </c>
      <c r="T18" s="497"/>
      <c r="U18" s="497">
        <f t="shared" ref="U18:U27" si="2">O18-I18</f>
        <v>-16792113.724585079</v>
      </c>
      <c r="V18" s="497"/>
      <c r="W18" s="497">
        <f t="shared" ref="W18:W27" si="3">Q18-K18</f>
        <v>-16912113.724585079</v>
      </c>
      <c r="Z18" s="61"/>
      <c r="AA18" s="61"/>
      <c r="AB18" s="61"/>
      <c r="AC18" s="61"/>
      <c r="AD18" s="61"/>
      <c r="AE18" s="61"/>
      <c r="AF18" s="61"/>
      <c r="AG18" s="61"/>
    </row>
    <row r="19" spans="1:33">
      <c r="A19" s="6">
        <f t="shared" ref="A19:A27" si="4">A18+1</f>
        <v>2014</v>
      </c>
      <c r="B19" s="65"/>
      <c r="C19" s="187">
        <f>31783495.3-2784000</f>
        <v>28999495.300000001</v>
      </c>
      <c r="D19" s="514"/>
      <c r="E19" s="187">
        <v>0</v>
      </c>
      <c r="F19" s="187"/>
      <c r="G19" s="515">
        <f t="shared" si="0"/>
        <v>28999495.300000001</v>
      </c>
      <c r="H19" s="187"/>
      <c r="I19" s="515">
        <f>'AD8'!B35+'AD10'!B35+'AD12'!B35+'Exhibit N,2'!I36+'Exhibit O,2'!I36+'Exhibit U,2'!I23+'Exhibit V,1'!G17</f>
        <v>37392380.340349451</v>
      </c>
      <c r="J19" s="515"/>
      <c r="K19" s="501">
        <f>'AD8'!B35+'AD10'!B35+'AD12'!B35+'Exhibit N,3'!I36+'Exhibit O,3'!I36+'Exhibit U,1'!I23+'Exhibit V,1'!E17</f>
        <v>35375888.670349449</v>
      </c>
      <c r="L19" s="187"/>
      <c r="M19" s="516">
        <v>28999000</v>
      </c>
      <c r="N19" s="187"/>
      <c r="O19" s="501">
        <v>21282000</v>
      </c>
      <c r="P19" s="187"/>
      <c r="Q19" s="501">
        <v>21282000</v>
      </c>
      <c r="R19" s="187"/>
      <c r="S19" s="515">
        <f t="shared" si="1"/>
        <v>-495.30000000074506</v>
      </c>
      <c r="T19" s="515"/>
      <c r="U19" s="515">
        <f t="shared" si="2"/>
        <v>-16110380.340349451</v>
      </c>
      <c r="V19" s="515"/>
      <c r="W19" s="515">
        <f t="shared" si="3"/>
        <v>-14093888.670349449</v>
      </c>
      <c r="Z19" s="61"/>
      <c r="AA19" s="61"/>
      <c r="AB19" s="61"/>
      <c r="AC19" s="61"/>
      <c r="AD19" s="61"/>
      <c r="AE19" s="61"/>
      <c r="AF19" s="61"/>
      <c r="AG19" s="61"/>
    </row>
    <row r="20" spans="1:33">
      <c r="A20" s="6">
        <f t="shared" si="4"/>
        <v>2015</v>
      </c>
      <c r="B20" s="65"/>
      <c r="C20" s="187">
        <f>27971430.97-1462000</f>
        <v>26509430.969999999</v>
      </c>
      <c r="D20" s="514"/>
      <c r="E20" s="187">
        <v>-4000000</v>
      </c>
      <c r="F20" s="187"/>
      <c r="G20" s="515">
        <f t="shared" si="0"/>
        <v>30509430.969999999</v>
      </c>
      <c r="H20" s="187"/>
      <c r="I20" s="515">
        <f>'AD8'!B36+'AD10'!B36+'AD12'!B36+'Exhibit N,2'!I37+'Exhibit O,2'!I37+'Exhibit U,2'!I24+'Exhibit V,1'!G18</f>
        <v>44520564.938760862</v>
      </c>
      <c r="J20" s="515"/>
      <c r="K20" s="501">
        <f>'AD8'!B36+'AD10'!B36+'AD12'!B36+'Exhibit N,3'!I37+'Exhibit O,3'!I37+'Exhibit U,1'!I24+'Exhibit V,1'!E18</f>
        <v>42232218.598760866</v>
      </c>
      <c r="L20" s="187"/>
      <c r="M20" s="516">
        <v>30509000</v>
      </c>
      <c r="N20" s="187"/>
      <c r="O20" s="501">
        <v>22585000</v>
      </c>
      <c r="P20" s="187"/>
      <c r="Q20" s="501">
        <v>20266000</v>
      </c>
      <c r="R20" s="187"/>
      <c r="S20" s="515">
        <f t="shared" si="1"/>
        <v>-430.96999999880791</v>
      </c>
      <c r="T20" s="515"/>
      <c r="U20" s="515">
        <f t="shared" si="2"/>
        <v>-21935564.938760862</v>
      </c>
      <c r="V20" s="515"/>
      <c r="W20" s="515">
        <f t="shared" si="3"/>
        <v>-21966218.598760866</v>
      </c>
      <c r="Y20" s="18"/>
      <c r="Z20" s="61"/>
      <c r="AA20" s="61"/>
      <c r="AB20" s="61"/>
      <c r="AC20" s="61"/>
      <c r="AD20" s="61"/>
      <c r="AE20" s="61"/>
      <c r="AF20" s="61"/>
      <c r="AG20" s="61"/>
    </row>
    <row r="21" spans="1:33">
      <c r="A21" s="6">
        <f t="shared" si="4"/>
        <v>2016</v>
      </c>
      <c r="B21" s="65"/>
      <c r="C21" s="187">
        <f>25564766.09-2645000</f>
        <v>22919766.09</v>
      </c>
      <c r="D21" s="514"/>
      <c r="E21" s="187">
        <v>-6250000</v>
      </c>
      <c r="F21" s="187"/>
      <c r="G21" s="515">
        <f t="shared" si="0"/>
        <v>29169766.09</v>
      </c>
      <c r="H21" s="187"/>
      <c r="I21" s="515">
        <f>'AD8'!B37+'AD10'!B37+'AD12'!B37+'Exhibit N,2'!I38+'Exhibit O,2'!I38+'Exhibit U,2'!I25+'Exhibit V,1'!G19</f>
        <v>35807280.851710036</v>
      </c>
      <c r="J21" s="515"/>
      <c r="K21" s="501">
        <f>'AD8'!B37+'AD10'!B37+'AD12'!B37+'Exhibit N,3'!I38+'Exhibit O,3'!I38+'Exhibit U,1'!I25+'Exhibit V,1'!E19</f>
        <v>33350701.431710035</v>
      </c>
      <c r="L21" s="187"/>
      <c r="M21" s="516">
        <v>29169000</v>
      </c>
      <c r="N21" s="187"/>
      <c r="O21" s="501">
        <v>25061000</v>
      </c>
      <c r="P21" s="187"/>
      <c r="Q21" s="501">
        <v>21995000</v>
      </c>
      <c r="R21" s="187"/>
      <c r="S21" s="515">
        <f t="shared" si="1"/>
        <v>-766.08999999985099</v>
      </c>
      <c r="T21" s="515"/>
      <c r="U21" s="515">
        <f t="shared" si="2"/>
        <v>-10746280.851710036</v>
      </c>
      <c r="V21" s="515"/>
      <c r="W21" s="515">
        <f t="shared" si="3"/>
        <v>-11355701.431710035</v>
      </c>
      <c r="Y21" s="18"/>
      <c r="Z21" s="61"/>
      <c r="AA21" s="61"/>
      <c r="AB21" s="61"/>
      <c r="AC21" s="61"/>
      <c r="AD21" s="61"/>
      <c r="AE21" s="61"/>
      <c r="AF21" s="61"/>
      <c r="AG21" s="61"/>
    </row>
    <row r="22" spans="1:33">
      <c r="A22" s="6">
        <f t="shared" si="4"/>
        <v>2017</v>
      </c>
      <c r="B22" s="65"/>
      <c r="C22" s="187">
        <f>22735481.32+765000</f>
        <v>23500481.32</v>
      </c>
      <c r="D22" s="514"/>
      <c r="E22" s="187">
        <v>-5750000</v>
      </c>
      <c r="F22" s="187"/>
      <c r="G22" s="515">
        <f t="shared" si="0"/>
        <v>29250481.32</v>
      </c>
      <c r="H22" s="187"/>
      <c r="I22" s="515">
        <f>'AD8'!B38+'AD10'!B38+'AD12'!B38+'Exhibit N,2'!I39+'Exhibit O,2'!I39+'Exhibit U,2'!I26+'Exhibit V,1'!G20</f>
        <v>23805396.198027678</v>
      </c>
      <c r="J22" s="515"/>
      <c r="K22" s="501">
        <f>'AD8'!B38+'AD10'!B38+'AD12'!B38+'Exhibit N,3'!I39+'Exhibit O,3'!I39+'Exhibit U,1'!I26+'Exhibit V,1'!E20</f>
        <v>22050748.00802768</v>
      </c>
      <c r="L22" s="187"/>
      <c r="M22" s="516">
        <v>29251000</v>
      </c>
      <c r="N22" s="187"/>
      <c r="O22" s="501">
        <v>20640000</v>
      </c>
      <c r="P22" s="187"/>
      <c r="Q22" s="501">
        <v>17727000</v>
      </c>
      <c r="R22" s="187"/>
      <c r="S22" s="515">
        <f t="shared" si="1"/>
        <v>518.67999999970198</v>
      </c>
      <c r="T22" s="515"/>
      <c r="U22" s="515">
        <f t="shared" si="2"/>
        <v>-3165396.1980276778</v>
      </c>
      <c r="V22" s="515"/>
      <c r="W22" s="515">
        <f t="shared" si="3"/>
        <v>-4323748.0080276802</v>
      </c>
      <c r="Y22" s="18"/>
      <c r="Z22" s="61"/>
      <c r="AA22" s="61"/>
      <c r="AB22" s="61"/>
      <c r="AC22" s="61"/>
      <c r="AD22" s="61"/>
      <c r="AE22" s="61"/>
      <c r="AF22" s="61"/>
      <c r="AG22" s="61"/>
    </row>
    <row r="23" spans="1:33">
      <c r="A23" s="6">
        <f t="shared" si="4"/>
        <v>2018</v>
      </c>
      <c r="B23" s="65"/>
      <c r="C23" s="187">
        <f>19585374.5+803000</f>
        <v>20388374.5</v>
      </c>
      <c r="D23" s="514"/>
      <c r="E23" s="187">
        <v>-3750000</v>
      </c>
      <c r="F23" s="187"/>
      <c r="G23" s="515">
        <f t="shared" si="0"/>
        <v>24138374.5</v>
      </c>
      <c r="H23" s="187"/>
      <c r="I23" s="515">
        <f>'AD8'!B39+'AD10'!B39+'AD12'!B39+'Exhibit N,2'!I40+'Exhibit O,2'!I40+'Exhibit U,2'!I27+'Exhibit V,1'!G21</f>
        <v>29169848.492905367</v>
      </c>
      <c r="J23" s="515"/>
      <c r="K23" s="501">
        <f>'AD8'!B39+'AD10'!B39+'AD12'!B39+'Exhibit N,3'!I40+'Exhibit O,3'!I40+'Exhibit U,1'!I27+'Exhibit V,1'!E21</f>
        <v>21488469.632905368</v>
      </c>
      <c r="L23" s="187"/>
      <c r="M23" s="516">
        <v>24139000</v>
      </c>
      <c r="N23" s="187"/>
      <c r="O23" s="501">
        <v>11078000</v>
      </c>
      <c r="P23" s="187"/>
      <c r="Q23" s="501">
        <v>5488000</v>
      </c>
      <c r="R23" s="187"/>
      <c r="S23" s="515">
        <f t="shared" si="1"/>
        <v>625.5</v>
      </c>
      <c r="T23" s="515"/>
      <c r="U23" s="515">
        <f t="shared" si="2"/>
        <v>-18091848.492905367</v>
      </c>
      <c r="V23" s="515"/>
      <c r="W23" s="515">
        <f t="shared" si="3"/>
        <v>-16000469.632905368</v>
      </c>
      <c r="Y23" s="18"/>
      <c r="Z23" s="61"/>
      <c r="AA23" s="61"/>
      <c r="AB23" s="61"/>
      <c r="AC23" s="61"/>
      <c r="AD23" s="61"/>
      <c r="AE23" s="61"/>
      <c r="AF23" s="61"/>
      <c r="AG23" s="61"/>
    </row>
    <row r="24" spans="1:33">
      <c r="A24" s="6">
        <f t="shared" si="4"/>
        <v>2019</v>
      </c>
      <c r="B24" s="65"/>
      <c r="C24" s="187">
        <f>17833193.04+453000</f>
        <v>18286193.039999999</v>
      </c>
      <c r="D24" s="514"/>
      <c r="E24" s="187">
        <v>-3500000</v>
      </c>
      <c r="F24" s="187"/>
      <c r="G24" s="515">
        <f t="shared" si="0"/>
        <v>21786193.039999999</v>
      </c>
      <c r="H24" s="187"/>
      <c r="I24" s="515">
        <f>'AD8'!B40+'AD10'!B40+'AD12'!B40+'Exhibit N,2'!I41+'Exhibit O,2'!I41+'Exhibit U,2'!I28+'Exhibit V,1'!G22</f>
        <v>23237965.810086582</v>
      </c>
      <c r="J24" s="515"/>
      <c r="K24" s="501">
        <f>'AD8'!B40+'AD10'!B40+'AD12'!B40+'Exhibit N,3'!I41+'Exhibit O,3'!I41+'Exhibit U,1'!I28+'Exhibit V,1'!E22</f>
        <v>18602834.670086581</v>
      </c>
      <c r="L24" s="187"/>
      <c r="M24" s="516">
        <v>21787000</v>
      </c>
      <c r="N24" s="187"/>
      <c r="O24" s="501">
        <v>13010000</v>
      </c>
      <c r="P24" s="187"/>
      <c r="Q24" s="501">
        <v>6573000</v>
      </c>
      <c r="R24" s="187"/>
      <c r="S24" s="515">
        <f t="shared" si="1"/>
        <v>806.96000000089407</v>
      </c>
      <c r="T24" s="515"/>
      <c r="U24" s="515">
        <f t="shared" si="2"/>
        <v>-10227965.810086582</v>
      </c>
      <c r="V24" s="515"/>
      <c r="W24" s="515">
        <f t="shared" si="3"/>
        <v>-12029834.670086581</v>
      </c>
      <c r="Y24" s="18"/>
      <c r="Z24" s="61"/>
      <c r="AA24" s="61"/>
      <c r="AB24" s="61"/>
      <c r="AC24" s="61"/>
      <c r="AD24" s="61"/>
      <c r="AE24" s="61"/>
      <c r="AF24" s="61"/>
      <c r="AG24" s="61"/>
    </row>
    <row r="25" spans="1:33">
      <c r="A25" s="6">
        <f t="shared" si="4"/>
        <v>2020</v>
      </c>
      <c r="B25" s="65"/>
      <c r="C25" s="187">
        <f>17129845.4-301000</f>
        <v>16828845.399999999</v>
      </c>
      <c r="D25" s="514"/>
      <c r="E25" s="187">
        <v>-8850000</v>
      </c>
      <c r="F25" s="187"/>
      <c r="G25" s="515">
        <f t="shared" si="0"/>
        <v>25678845.399999999</v>
      </c>
      <c r="H25" s="187"/>
      <c r="I25" s="515">
        <f>'AD8'!B41+'AD10'!B41+'AD12'!B41+'Exhibit N,2'!I42+'Exhibit O,2'!I42+'Exhibit U,2'!I29+'Exhibit V,1'!G23</f>
        <v>23565023.982093584</v>
      </c>
      <c r="J25" s="515"/>
      <c r="K25" s="501">
        <f>'AD8'!B41+'AD10'!B41+'AD12'!B41+'Exhibit N,3'!I42+'Exhibit O,3'!I42+'Exhibit U,1'!I29+'Exhibit V,1'!E23</f>
        <v>19573310.207093585</v>
      </c>
      <c r="L25" s="187"/>
      <c r="M25" s="516">
        <v>25678000</v>
      </c>
      <c r="N25" s="187"/>
      <c r="O25" s="501">
        <v>12216000</v>
      </c>
      <c r="P25" s="187"/>
      <c r="Q25" s="501">
        <v>5898000</v>
      </c>
      <c r="R25" s="187"/>
      <c r="S25" s="515">
        <f t="shared" si="1"/>
        <v>-845.39999999850988</v>
      </c>
      <c r="T25" s="515"/>
      <c r="U25" s="515">
        <f t="shared" si="2"/>
        <v>-11349023.982093584</v>
      </c>
      <c r="V25" s="515"/>
      <c r="W25" s="515">
        <f t="shared" si="3"/>
        <v>-13675310.207093585</v>
      </c>
      <c r="Y25" s="18"/>
      <c r="Z25" s="61"/>
      <c r="AA25" s="61"/>
      <c r="AB25" s="61"/>
      <c r="AC25" s="61"/>
      <c r="AD25" s="61"/>
      <c r="AE25" s="61"/>
      <c r="AF25" s="61"/>
      <c r="AG25" s="61"/>
    </row>
    <row r="26" spans="1:33">
      <c r="A26" s="6">
        <f t="shared" si="4"/>
        <v>2021</v>
      </c>
      <c r="B26" s="65"/>
      <c r="C26" s="187">
        <v>17683667.179999933</v>
      </c>
      <c r="D26" s="514"/>
      <c r="E26" s="187">
        <v>310000</v>
      </c>
      <c r="F26" s="187"/>
      <c r="G26" s="515">
        <f t="shared" si="0"/>
        <v>17373667.179999933</v>
      </c>
      <c r="H26" s="187"/>
      <c r="I26" s="515">
        <f>'AD8'!B42+'AD10'!B42+'AD12'!B42+'Exhibit N,2'!I43+'Exhibit O,2'!I43+'Exhibit U,2'!I30+'Exhibit V,1'!G24</f>
        <v>18651753.593580604</v>
      </c>
      <c r="J26" s="515"/>
      <c r="K26" s="501">
        <f>'AD8'!B42+'AD10'!B42+'AD12'!B42+'Exhibit N,3'!I43+'Exhibit O,3'!I43+'Exhibit U,1'!I30+'Exhibit V,1'!E24</f>
        <v>16927995.923580602</v>
      </c>
      <c r="L26" s="187"/>
      <c r="M26" s="516">
        <v>17373000</v>
      </c>
      <c r="N26" s="187"/>
      <c r="O26" s="501">
        <v>3826000</v>
      </c>
      <c r="P26" s="187"/>
      <c r="Q26" s="501">
        <v>1108000</v>
      </c>
      <c r="R26" s="187"/>
      <c r="S26" s="515">
        <f t="shared" si="1"/>
        <v>-667.17999993264675</v>
      </c>
      <c r="T26" s="515"/>
      <c r="U26" s="515">
        <f t="shared" si="2"/>
        <v>-14825753.593580604</v>
      </c>
      <c r="V26" s="515"/>
      <c r="W26" s="515">
        <f t="shared" si="3"/>
        <v>-15819995.923580602</v>
      </c>
      <c r="Y26" s="18"/>
      <c r="Z26" s="61"/>
      <c r="AA26" s="61"/>
      <c r="AB26" s="61"/>
      <c r="AC26" s="61"/>
      <c r="AD26" s="61"/>
      <c r="AE26" s="61"/>
      <c r="AF26" s="61"/>
      <c r="AG26" s="61"/>
    </row>
    <row r="27" spans="1:33">
      <c r="A27" s="6">
        <f t="shared" si="4"/>
        <v>2022</v>
      </c>
      <c r="B27" s="65"/>
      <c r="C27" s="187">
        <v>21137066.809999987</v>
      </c>
      <c r="D27" s="514"/>
      <c r="E27" s="187">
        <v>-1992000</v>
      </c>
      <c r="F27" s="187"/>
      <c r="G27" s="515">
        <f t="shared" si="0"/>
        <v>23129066.809999987</v>
      </c>
      <c r="H27" s="187"/>
      <c r="I27" s="515">
        <f>'AD8'!B43+'AD10'!B43+'AD12'!B43+'Exhibit N,2'!I44+'Exhibit O,2'!I44+'Exhibit U,2'!I31+'Exhibit V,1'!G25</f>
        <v>25099440.548471078</v>
      </c>
      <c r="J27" s="515"/>
      <c r="K27" s="501">
        <f>'AD8'!B43+'AD10'!B43+'AD12'!B43+'Exhibit N,3'!I44+'Exhibit O,3'!I44+'Exhibit U,1'!I31+'Exhibit V,1'!E25</f>
        <v>20783087.704471081</v>
      </c>
      <c r="L27" s="187"/>
      <c r="M27" s="516">
        <v>23129067</v>
      </c>
      <c r="N27" s="187"/>
      <c r="O27" s="501">
        <v>1490000</v>
      </c>
      <c r="P27" s="187"/>
      <c r="Q27" s="501">
        <v>235000</v>
      </c>
      <c r="R27" s="187"/>
      <c r="S27" s="515">
        <f t="shared" si="1"/>
        <v>0.1900000125169754</v>
      </c>
      <c r="T27" s="515"/>
      <c r="U27" s="515">
        <f t="shared" si="2"/>
        <v>-23609440.548471078</v>
      </c>
      <c r="V27" s="515"/>
      <c r="W27" s="515">
        <f t="shared" si="3"/>
        <v>-20548087.704471081</v>
      </c>
      <c r="Y27" s="18"/>
      <c r="Z27" s="61"/>
      <c r="AA27" s="61"/>
      <c r="AB27" s="61"/>
      <c r="AC27" s="61"/>
      <c r="AD27" s="61"/>
      <c r="AE27" s="61"/>
      <c r="AF27" s="61"/>
      <c r="AG27" s="61"/>
    </row>
    <row r="28" spans="1:33">
      <c r="A28" s="6"/>
      <c r="B28" s="65"/>
      <c r="C28" s="471"/>
      <c r="D28" s="6"/>
      <c r="E28" s="472"/>
      <c r="G28" s="345"/>
      <c r="I28" s="345"/>
      <c r="K28" s="345"/>
      <c r="M28" s="345"/>
      <c r="O28" s="345"/>
      <c r="Q28" s="345"/>
      <c r="S28" s="345"/>
      <c r="U28" s="345"/>
      <c r="W28" s="345"/>
      <c r="Z28" s="61"/>
      <c r="AA28" s="61"/>
      <c r="AB28" s="61"/>
      <c r="AC28" s="61"/>
      <c r="AD28" s="61"/>
      <c r="AE28" s="61"/>
      <c r="AF28" s="61"/>
      <c r="AG28" s="61"/>
    </row>
    <row r="29" spans="1:33">
      <c r="A29" s="2" t="s">
        <v>0</v>
      </c>
      <c r="B29" s="65"/>
      <c r="C29" s="26">
        <f>SUM(C19:C28)</f>
        <v>196253320.60999995</v>
      </c>
      <c r="E29" s="26">
        <f>SUM(E19:E28)</f>
        <v>-33782000</v>
      </c>
      <c r="G29" s="26">
        <f>SUM(G19:G28)</f>
        <v>230035320.60999995</v>
      </c>
      <c r="I29" s="26">
        <f>SUM(I19:I28)</f>
        <v>261249654.75598526</v>
      </c>
      <c r="K29" s="26">
        <f>SUM(K19:K28)</f>
        <v>230385254.84698525</v>
      </c>
      <c r="M29" s="26">
        <f>SUM(M19:M28)</f>
        <v>230034067</v>
      </c>
      <c r="O29" s="26">
        <f>SUM(O19:O28)</f>
        <v>131188000</v>
      </c>
      <c r="Q29" s="26">
        <f>SUM(Q19:Q28)</f>
        <v>100572000</v>
      </c>
      <c r="S29" s="26">
        <f>SUM(S19:S28)</f>
        <v>-1253.6099999174476</v>
      </c>
      <c r="U29" s="26">
        <f>SUM(U19:U28)</f>
        <v>-130061654.75598525</v>
      </c>
      <c r="V29" s="26"/>
      <c r="W29" s="26">
        <f>SUM(W19:W28)</f>
        <v>-129813254.84698524</v>
      </c>
      <c r="Z29" s="61"/>
      <c r="AA29" s="61"/>
      <c r="AB29" s="61"/>
      <c r="AC29" s="61"/>
      <c r="AD29" s="61"/>
      <c r="AE29" s="61"/>
      <c r="AF29" s="61"/>
      <c r="AG29" s="61"/>
    </row>
    <row r="30" spans="1:33">
      <c r="B30" s="65"/>
      <c r="C30" s="26"/>
      <c r="D30" s="2"/>
      <c r="E30" s="26"/>
      <c r="G30" s="26"/>
      <c r="I30" s="26"/>
      <c r="K30" s="26"/>
      <c r="M30" s="26"/>
      <c r="O30" s="26"/>
      <c r="Q30" s="26"/>
      <c r="S30" s="26"/>
      <c r="U30" s="26"/>
      <c r="W30" s="26"/>
    </row>
    <row r="31" spans="1:33">
      <c r="A31" s="65" t="s">
        <v>118</v>
      </c>
      <c r="B31" s="65"/>
      <c r="C31" s="65"/>
      <c r="D31" s="65"/>
      <c r="E31" s="65"/>
    </row>
    <row r="32" spans="1:33">
      <c r="A32" s="6"/>
      <c r="B32" s="65"/>
      <c r="C32" s="65"/>
      <c r="D32" s="65"/>
      <c r="E32" s="65"/>
    </row>
    <row r="33" spans="1:23">
      <c r="A33" s="6">
        <f>A18</f>
        <v>2013</v>
      </c>
      <c r="B33" s="65"/>
      <c r="C33" s="513"/>
      <c r="D33" s="513"/>
      <c r="E33" s="513"/>
      <c r="F33" s="505"/>
      <c r="G33" s="505"/>
      <c r="H33" s="505"/>
      <c r="I33" s="505">
        <f>I18-'Exhibit H,4'!C35-'Exhibit U,2'!I22+'Exhibit U,2'!I41-'Exhibit V,1'!G30</f>
        <v>38927719.744585082</v>
      </c>
      <c r="J33" s="505"/>
      <c r="K33" s="505">
        <f>K18-'Exhibit H,5'!C35-'Exhibit U,1'!I22+'Exhibit U,1'!I41-'Exhibit V,1'!E30</f>
        <v>38927719.744585082</v>
      </c>
      <c r="L33" s="505"/>
      <c r="M33" s="505"/>
      <c r="N33" s="505"/>
      <c r="O33" s="497">
        <v>21649000</v>
      </c>
      <c r="P33" s="505"/>
      <c r="Q33" s="505">
        <v>21529000</v>
      </c>
      <c r="R33" s="505"/>
      <c r="S33" s="505"/>
      <c r="T33" s="505"/>
      <c r="U33" s="497">
        <f>O33-I33</f>
        <v>-17278719.744585082</v>
      </c>
      <c r="V33" s="497"/>
      <c r="W33" s="497">
        <f t="shared" ref="W33:W42" si="5">Q33-K33</f>
        <v>-17398719.744585082</v>
      </c>
    </row>
    <row r="34" spans="1:23">
      <c r="A34" s="6">
        <f t="shared" ref="A34:A42" si="6">A33+1</f>
        <v>2014</v>
      </c>
      <c r="B34" s="6"/>
      <c r="C34" s="514"/>
      <c r="D34" s="514"/>
      <c r="E34" s="514"/>
      <c r="F34" s="187"/>
      <c r="G34" s="187"/>
      <c r="H34" s="187"/>
      <c r="I34" s="187">
        <f>I19-'Exhibit H,4'!C36-'Exhibit U,2'!I23+'Exhibit U,2'!I42-'Exhibit V,1'!G31</f>
        <v>35532757.420349449</v>
      </c>
      <c r="J34" s="515"/>
      <c r="K34" s="187">
        <f>K19-'Exhibit H,5'!C36-'Exhibit U,1'!I23+'Exhibit U,1'!I42-'Exhibit V,1'!E31</f>
        <v>33516265.750349447</v>
      </c>
      <c r="L34" s="187"/>
      <c r="M34" s="187"/>
      <c r="N34" s="187"/>
      <c r="O34" s="515">
        <v>15207000</v>
      </c>
      <c r="P34" s="515"/>
      <c r="Q34" s="187">
        <v>15207000</v>
      </c>
      <c r="R34" s="187"/>
      <c r="S34" s="187"/>
      <c r="T34" s="187"/>
      <c r="U34" s="515">
        <f t="shared" ref="U34:U42" si="7">O34-I34</f>
        <v>-20325757.420349449</v>
      </c>
      <c r="V34" s="515"/>
      <c r="W34" s="515">
        <f t="shared" si="5"/>
        <v>-18309265.750349447</v>
      </c>
    </row>
    <row r="35" spans="1:23">
      <c r="A35" s="6">
        <f t="shared" si="6"/>
        <v>2015</v>
      </c>
      <c r="B35" s="6"/>
      <c r="C35" s="514"/>
      <c r="D35" s="514"/>
      <c r="E35" s="514"/>
      <c r="F35" s="187"/>
      <c r="G35" s="187"/>
      <c r="H35" s="187"/>
      <c r="I35" s="187">
        <f>I20-'Exhibit H,4'!C37-'Exhibit U,2'!I24+'Exhibit U,2'!I43-'Exhibit V,1'!G32</f>
        <v>40297524.638760865</v>
      </c>
      <c r="J35" s="515"/>
      <c r="K35" s="187">
        <f>K20-'Exhibit H,5'!C37-'Exhibit U,1'!I24+'Exhibit U,1'!I43-'Exhibit V,1'!E32</f>
        <v>38009178.298760869</v>
      </c>
      <c r="L35" s="187"/>
      <c r="M35" s="187"/>
      <c r="N35" s="187"/>
      <c r="O35" s="515">
        <v>17828000</v>
      </c>
      <c r="P35" s="515"/>
      <c r="Q35" s="187">
        <v>15509000</v>
      </c>
      <c r="R35" s="187"/>
      <c r="S35" s="187"/>
      <c r="T35" s="187"/>
      <c r="U35" s="515">
        <f t="shared" si="7"/>
        <v>-22469524.638760865</v>
      </c>
      <c r="V35" s="515"/>
      <c r="W35" s="515">
        <f t="shared" si="5"/>
        <v>-22500178.298760869</v>
      </c>
    </row>
    <row r="36" spans="1:23">
      <c r="A36" s="6">
        <f t="shared" si="6"/>
        <v>2016</v>
      </c>
      <c r="B36" s="6"/>
      <c r="C36" s="514"/>
      <c r="D36" s="514"/>
      <c r="E36" s="514"/>
      <c r="F36" s="187"/>
      <c r="G36" s="187"/>
      <c r="H36" s="187"/>
      <c r="I36" s="187">
        <f>I21-'Exhibit H,4'!C38-'Exhibit U,2'!I25+'Exhibit U,2'!I44-'Exhibit V,1'!G33</f>
        <v>30405012.781710036</v>
      </c>
      <c r="J36" s="515"/>
      <c r="K36" s="187">
        <f>K21-'Exhibit H,5'!C38-'Exhibit U,1'!I25+'Exhibit U,1'!I44-'Exhibit V,1'!E33</f>
        <v>28500647.361710038</v>
      </c>
      <c r="L36" s="187"/>
      <c r="M36" s="187"/>
      <c r="N36" s="187"/>
      <c r="O36" s="515">
        <v>23735000</v>
      </c>
      <c r="P36" s="515"/>
      <c r="Q36" s="187">
        <v>20669000</v>
      </c>
      <c r="R36" s="187"/>
      <c r="S36" s="187"/>
      <c r="T36" s="187"/>
      <c r="U36" s="515">
        <f t="shared" si="7"/>
        <v>-6670012.7817100361</v>
      </c>
      <c r="V36" s="515"/>
      <c r="W36" s="515">
        <f t="shared" si="5"/>
        <v>-7831647.361710038</v>
      </c>
    </row>
    <row r="37" spans="1:23">
      <c r="A37" s="6">
        <f t="shared" si="6"/>
        <v>2017</v>
      </c>
      <c r="B37" s="6"/>
      <c r="C37" s="514"/>
      <c r="D37" s="514"/>
      <c r="E37" s="514"/>
      <c r="F37" s="187"/>
      <c r="G37" s="187"/>
      <c r="H37" s="187"/>
      <c r="I37" s="187">
        <f>I22-'Exhibit H,4'!C39-'Exhibit U,2'!I26+'Exhibit U,2'!I45-'Exhibit V,1'!G34</f>
        <v>22723731.258027676</v>
      </c>
      <c r="J37" s="515"/>
      <c r="K37" s="187">
        <f>K22-'Exhibit H,5'!C39-'Exhibit U,1'!I26+'Exhibit U,1'!I45-'Exhibit V,1'!E34</f>
        <v>21189243.068027679</v>
      </c>
      <c r="L37" s="187"/>
      <c r="M37" s="187"/>
      <c r="N37" s="187"/>
      <c r="O37" s="515">
        <v>14377000</v>
      </c>
      <c r="P37" s="515"/>
      <c r="Q37" s="187">
        <v>12015000</v>
      </c>
      <c r="R37" s="187"/>
      <c r="S37" s="187"/>
      <c r="T37" s="187"/>
      <c r="U37" s="515">
        <f t="shared" si="7"/>
        <v>-8346731.2580276765</v>
      </c>
      <c r="V37" s="515"/>
      <c r="W37" s="515">
        <f t="shared" si="5"/>
        <v>-9174243.0680276789</v>
      </c>
    </row>
    <row r="38" spans="1:23">
      <c r="A38" s="6">
        <f t="shared" si="6"/>
        <v>2018</v>
      </c>
      <c r="B38" s="6"/>
      <c r="C38" s="514"/>
      <c r="D38" s="514"/>
      <c r="E38" s="514"/>
      <c r="F38" s="187"/>
      <c r="G38" s="187"/>
      <c r="H38" s="187"/>
      <c r="I38" s="187">
        <f>I23-'Exhibit H,4'!C40-'Exhibit U,2'!I27+'Exhibit U,2'!I46-'Exhibit V,1'!G35</f>
        <v>27169848.492905367</v>
      </c>
      <c r="J38" s="515"/>
      <c r="K38" s="187">
        <f>K23-'Exhibit H,5'!C40-'Exhibit U,1'!I27+'Exhibit U,1'!I46-'Exhibit V,1'!E35</f>
        <v>21488469.632905368</v>
      </c>
      <c r="L38" s="187"/>
      <c r="M38" s="187"/>
      <c r="N38" s="187"/>
      <c r="O38" s="515">
        <v>10026000</v>
      </c>
      <c r="P38" s="515"/>
      <c r="Q38" s="187">
        <v>5488000</v>
      </c>
      <c r="R38" s="187"/>
      <c r="S38" s="187"/>
      <c r="T38" s="187"/>
      <c r="U38" s="515">
        <f t="shared" si="7"/>
        <v>-17143848.492905367</v>
      </c>
      <c r="V38" s="515"/>
      <c r="W38" s="515">
        <f t="shared" si="5"/>
        <v>-16000469.632905368</v>
      </c>
    </row>
    <row r="39" spans="1:23">
      <c r="A39" s="6">
        <f t="shared" si="6"/>
        <v>2019</v>
      </c>
      <c r="B39" s="6"/>
      <c r="C39" s="514"/>
      <c r="D39" s="514"/>
      <c r="E39" s="514"/>
      <c r="F39" s="187"/>
      <c r="G39" s="187"/>
      <c r="H39" s="187"/>
      <c r="I39" s="187">
        <f>I24-'Exhibit H,4'!C41-'Exhibit U,2'!I28+'Exhibit U,2'!I47-'Exhibit V,1'!G36</f>
        <v>23043588.940086581</v>
      </c>
      <c r="J39" s="515"/>
      <c r="K39" s="187">
        <f>K24-'Exhibit H,5'!C41-'Exhibit U,1'!I28+'Exhibit U,1'!I47-'Exhibit V,1'!E36</f>
        <v>18600958.80008658</v>
      </c>
      <c r="L39" s="187"/>
      <c r="M39" s="187"/>
      <c r="N39" s="187"/>
      <c r="O39" s="515">
        <v>13010000</v>
      </c>
      <c r="P39" s="515"/>
      <c r="Q39" s="187">
        <v>6573000</v>
      </c>
      <c r="R39" s="187"/>
      <c r="S39" s="187"/>
      <c r="T39" s="187"/>
      <c r="U39" s="515">
        <f t="shared" si="7"/>
        <v>-10033588.940086581</v>
      </c>
      <c r="V39" s="515"/>
      <c r="W39" s="515">
        <f t="shared" si="5"/>
        <v>-12027958.80008658</v>
      </c>
    </row>
    <row r="40" spans="1:23">
      <c r="A40" s="6">
        <f t="shared" si="6"/>
        <v>2020</v>
      </c>
      <c r="B40" s="6"/>
      <c r="C40" s="514"/>
      <c r="D40" s="514"/>
      <c r="E40" s="514"/>
      <c r="F40" s="187"/>
      <c r="G40" s="187"/>
      <c r="H40" s="187"/>
      <c r="I40" s="187">
        <f>I25-'Exhibit H,4'!C42-'Exhibit U,2'!I29+'Exhibit U,2'!I48-'Exhibit V,1'!G37</f>
        <v>22337460.632093582</v>
      </c>
      <c r="J40" s="515"/>
      <c r="K40" s="187">
        <f>K25-'Exhibit H,5'!C42-'Exhibit U,1'!I29+'Exhibit U,1'!I48-'Exhibit V,1'!E37</f>
        <v>18980121.857093584</v>
      </c>
      <c r="L40" s="187"/>
      <c r="M40" s="187"/>
      <c r="N40" s="187"/>
      <c r="O40" s="515">
        <v>12007000</v>
      </c>
      <c r="P40" s="515"/>
      <c r="Q40" s="187">
        <v>5896000</v>
      </c>
      <c r="R40" s="187"/>
      <c r="S40" s="187"/>
      <c r="T40" s="187"/>
      <c r="U40" s="515">
        <f t="shared" si="7"/>
        <v>-10330460.632093582</v>
      </c>
      <c r="V40" s="515"/>
      <c r="W40" s="515">
        <f t="shared" si="5"/>
        <v>-13084121.857093584</v>
      </c>
    </row>
    <row r="41" spans="1:23">
      <c r="A41" s="6">
        <f t="shared" si="6"/>
        <v>2021</v>
      </c>
      <c r="B41" s="6"/>
      <c r="C41" s="514"/>
      <c r="D41" s="514"/>
      <c r="E41" s="514"/>
      <c r="F41" s="187"/>
      <c r="G41" s="187"/>
      <c r="H41" s="187"/>
      <c r="I41" s="187">
        <f>I26-'Exhibit H,4'!C43-'Exhibit U,2'!I30+'Exhibit U,2'!I49-'Exhibit V,1'!G38</f>
        <v>18272945.593580604</v>
      </c>
      <c r="J41" s="515"/>
      <c r="K41" s="187">
        <f>K26-'Exhibit H,5'!C43-'Exhibit U,1'!I30+'Exhibit U,1'!I49-'Exhibit V,1'!E38</f>
        <v>16927995.923580602</v>
      </c>
      <c r="L41" s="187"/>
      <c r="M41" s="187"/>
      <c r="N41" s="187"/>
      <c r="O41" s="515">
        <v>3826000</v>
      </c>
      <c r="P41" s="515"/>
      <c r="Q41" s="187">
        <v>1108000</v>
      </c>
      <c r="R41" s="187"/>
      <c r="S41" s="187"/>
      <c r="T41" s="187"/>
      <c r="U41" s="515">
        <f t="shared" si="7"/>
        <v>-14446945.593580604</v>
      </c>
      <c r="V41" s="187"/>
      <c r="W41" s="515">
        <f t="shared" si="5"/>
        <v>-15819995.923580602</v>
      </c>
    </row>
    <row r="42" spans="1:23">
      <c r="A42" s="6">
        <f t="shared" si="6"/>
        <v>2022</v>
      </c>
      <c r="B42" s="6"/>
      <c r="C42" s="514"/>
      <c r="D42" s="514"/>
      <c r="E42" s="514"/>
      <c r="F42" s="187"/>
      <c r="G42" s="187"/>
      <c r="H42" s="187"/>
      <c r="I42" s="187">
        <f>I27-'Exhibit H,4'!C44-'Exhibit U,2'!I31+'Exhibit U,2'!I50-'Exhibit V,1'!G39</f>
        <v>24329090.548471078</v>
      </c>
      <c r="J42" s="515"/>
      <c r="K42" s="187">
        <f>K27-'Exhibit H,5'!C44-'Exhibit U,1'!I31+'Exhibit U,1'!I50-'Exhibit V,1'!E39</f>
        <v>20783087.704471081</v>
      </c>
      <c r="L42" s="187"/>
      <c r="M42" s="187"/>
      <c r="N42" s="187"/>
      <c r="O42" s="515">
        <v>1490000</v>
      </c>
      <c r="P42" s="515"/>
      <c r="Q42" s="187">
        <v>235000</v>
      </c>
      <c r="R42" s="187"/>
      <c r="S42" s="187"/>
      <c r="T42" s="187"/>
      <c r="U42" s="515">
        <f t="shared" si="7"/>
        <v>-22839090.548471078</v>
      </c>
      <c r="V42" s="187"/>
      <c r="W42" s="515">
        <f t="shared" si="5"/>
        <v>-20548087.704471081</v>
      </c>
    </row>
    <row r="43" spans="1:23">
      <c r="A43" s="6"/>
      <c r="B43" s="6"/>
      <c r="C43" s="6"/>
      <c r="D43" s="6"/>
      <c r="E43" s="6"/>
      <c r="I43" s="345"/>
      <c r="K43" s="345"/>
      <c r="O43" s="345"/>
      <c r="Q43" s="345"/>
      <c r="U43" s="345"/>
      <c r="W43" s="345"/>
    </row>
    <row r="44" spans="1:23">
      <c r="A44" s="2" t="s">
        <v>0</v>
      </c>
      <c r="B44" s="2"/>
      <c r="C44" s="2"/>
      <c r="D44" s="2"/>
      <c r="E44" s="2"/>
      <c r="I44" s="26">
        <f>SUM(I34:I43)</f>
        <v>244111960.30598521</v>
      </c>
      <c r="K44" s="26">
        <f>SUM(K34:K43)</f>
        <v>217995968.39698526</v>
      </c>
      <c r="O44" s="26">
        <f>SUM(O33:O43)</f>
        <v>133155000</v>
      </c>
      <c r="Q44" s="26">
        <f>SUM(Q34:Q43)</f>
        <v>82700000</v>
      </c>
      <c r="U44" s="26">
        <f>SUM(U34:U43)</f>
        <v>-132605960.30598523</v>
      </c>
      <c r="W44" s="26">
        <f>SUM(W34:W43)</f>
        <v>-135295968.39698523</v>
      </c>
    </row>
    <row r="45" spans="1:23">
      <c r="A45" s="2"/>
      <c r="B45" s="2"/>
      <c r="C45" s="2"/>
      <c r="D45" s="2"/>
      <c r="E45" s="2"/>
      <c r="I45" s="26"/>
      <c r="K45" s="26"/>
      <c r="O45" s="26"/>
      <c r="Q45" s="26"/>
      <c r="U45" s="26"/>
      <c r="W45" s="26"/>
    </row>
    <row r="46" spans="1:23">
      <c r="A46" s="64" t="s">
        <v>104</v>
      </c>
      <c r="B46" s="2"/>
      <c r="C46" s="3" t="s">
        <v>995</v>
      </c>
      <c r="D46" s="2"/>
      <c r="E46" s="2"/>
    </row>
    <row r="47" spans="1:23">
      <c r="A47" s="64" t="s">
        <v>36</v>
      </c>
      <c r="B47" s="2"/>
      <c r="C47" s="3" t="s">
        <v>995</v>
      </c>
      <c r="D47" s="2"/>
      <c r="E47" s="2"/>
    </row>
    <row r="48" spans="1:23">
      <c r="A48" s="64" t="s">
        <v>38</v>
      </c>
      <c r="B48" s="64"/>
      <c r="C48" s="3" t="s">
        <v>120</v>
      </c>
      <c r="D48" s="64"/>
      <c r="E48" s="64"/>
    </row>
    <row r="49" spans="1:5">
      <c r="A49" s="64" t="s">
        <v>323</v>
      </c>
      <c r="B49" s="64"/>
      <c r="C49" s="3" t="s">
        <v>1503</v>
      </c>
      <c r="D49" s="64"/>
      <c r="E49" s="64"/>
    </row>
    <row r="50" spans="1:5">
      <c r="A50" s="64" t="s">
        <v>324</v>
      </c>
      <c r="B50" s="64"/>
      <c r="C50" s="3" t="s">
        <v>1504</v>
      </c>
      <c r="D50" s="64"/>
      <c r="E50" s="64"/>
    </row>
    <row r="51" spans="1:5">
      <c r="A51" s="64" t="s">
        <v>106</v>
      </c>
      <c r="B51" s="64"/>
      <c r="C51" s="3" t="s">
        <v>367</v>
      </c>
      <c r="D51" s="64"/>
      <c r="E51" s="64"/>
    </row>
    <row r="52" spans="1:5">
      <c r="A52" s="64" t="s">
        <v>108</v>
      </c>
      <c r="B52" s="64"/>
      <c r="C52" s="3" t="s">
        <v>368</v>
      </c>
      <c r="D52" s="64"/>
      <c r="E52" s="64"/>
    </row>
    <row r="53" spans="1:5">
      <c r="A53" s="64" t="s">
        <v>134</v>
      </c>
      <c r="B53" s="64"/>
      <c r="C53" s="3" t="s">
        <v>369</v>
      </c>
      <c r="D53" s="64"/>
      <c r="E53" s="64"/>
    </row>
    <row r="54" spans="1:5">
      <c r="C54" s="3"/>
    </row>
  </sheetData>
  <printOptions horizontalCentered="1"/>
  <pageMargins left="0.7" right="0.7" top="0.75" bottom="0.75" header="0.3" footer="0.3"/>
  <pageSetup scale="60" orientation="landscape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127">
    <pageSetUpPr fitToPage="1"/>
  </sheetPr>
  <dimension ref="A1:AF54"/>
  <sheetViews>
    <sheetView zoomScaleNormal="100" workbookViewId="0">
      <selection activeCell="A19" sqref="A19"/>
    </sheetView>
  </sheetViews>
  <sheetFormatPr baseColWidth="10" defaultColWidth="8.7109375" defaultRowHeight="15"/>
  <cols>
    <col min="1" max="1" width="11.7109375" style="91" customWidth="1"/>
    <col min="2" max="2" width="1.7109375" style="91" customWidth="1"/>
    <col min="3" max="3" width="11.7109375" style="91" customWidth="1"/>
    <col min="4" max="4" width="1.7109375" style="91" customWidth="1"/>
    <col min="5" max="5" width="11.7109375" style="91" customWidth="1"/>
    <col min="6" max="6" width="1.7109375" style="91" customWidth="1"/>
    <col min="7" max="7" width="11.7109375" style="91" customWidth="1"/>
    <col min="8" max="8" width="1.7109375" style="91" customWidth="1"/>
    <col min="9" max="9" width="11.7109375" style="91" customWidth="1"/>
    <col min="10" max="10" width="1.7109375" style="91" customWidth="1"/>
    <col min="11" max="11" width="11.7109375" style="91" customWidth="1"/>
    <col min="12" max="12" width="1.7109375" style="91" customWidth="1"/>
    <col min="13" max="13" width="11.7109375" style="91" customWidth="1"/>
    <col min="14" max="14" width="1.7109375" style="91" customWidth="1"/>
    <col min="15" max="15" width="11.7109375" style="91" customWidth="1"/>
    <col min="16" max="16" width="1.7109375" style="91" customWidth="1"/>
    <col min="17" max="17" width="11.7109375" style="91" customWidth="1"/>
    <col min="18" max="18" width="1.7109375" style="91" customWidth="1"/>
    <col min="19" max="19" width="11.7109375" style="91" customWidth="1"/>
    <col min="20" max="21" width="8.7109375" style="91"/>
    <col min="22" max="23" width="10.28515625" style="91" bestFit="1" customWidth="1"/>
    <col min="24" max="24" width="9.42578125" style="91" bestFit="1" customWidth="1"/>
    <col min="25" max="25" width="10.28515625" style="91" bestFit="1" customWidth="1"/>
    <col min="26" max="16384" width="8.7109375" style="91"/>
  </cols>
  <sheetData>
    <row r="1" spans="1:30">
      <c r="S1" s="475" t="s">
        <v>939</v>
      </c>
    </row>
    <row r="2" spans="1:30">
      <c r="Q2" s="474"/>
      <c r="S2" s="475" t="s">
        <v>45</v>
      </c>
    </row>
    <row r="3" spans="1:30">
      <c r="Q3" s="474"/>
    </row>
    <row r="4" spans="1:30" ht="16">
      <c r="A4" s="4" t="s">
        <v>872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6"/>
      <c r="O4" s="486"/>
      <c r="P4" s="486"/>
      <c r="Q4" s="486"/>
      <c r="R4" s="486"/>
      <c r="S4" s="486"/>
    </row>
    <row r="5" spans="1:30">
      <c r="A5" s="486"/>
      <c r="B5" s="486"/>
      <c r="C5" s="486"/>
      <c r="D5" s="486"/>
      <c r="E5" s="486"/>
      <c r="F5" s="486"/>
      <c r="G5" s="486"/>
      <c r="H5" s="486"/>
      <c r="I5" s="486"/>
      <c r="J5" s="486"/>
      <c r="K5" s="486"/>
      <c r="L5" s="486"/>
      <c r="M5" s="486"/>
      <c r="N5" s="486"/>
      <c r="O5" s="486"/>
      <c r="P5" s="486"/>
      <c r="Q5" s="486"/>
      <c r="R5" s="486"/>
      <c r="S5" s="486"/>
    </row>
    <row r="6" spans="1:30">
      <c r="A6" s="486" t="s">
        <v>128</v>
      </c>
      <c r="B6" s="486"/>
      <c r="C6" s="486"/>
      <c r="D6" s="486"/>
      <c r="E6" s="486"/>
      <c r="F6" s="486"/>
      <c r="G6" s="486"/>
      <c r="H6" s="486"/>
      <c r="I6" s="486"/>
      <c r="J6" s="486"/>
      <c r="K6" s="486"/>
      <c r="L6" s="486"/>
      <c r="M6" s="486"/>
      <c r="N6" s="486"/>
      <c r="O6" s="486"/>
      <c r="P6" s="486"/>
      <c r="Q6" s="486"/>
      <c r="R6" s="486"/>
      <c r="S6" s="486"/>
    </row>
    <row r="7" spans="1:30">
      <c r="A7" s="486" t="s">
        <v>1548</v>
      </c>
      <c r="B7" s="486"/>
      <c r="C7" s="486"/>
      <c r="D7" s="486"/>
      <c r="E7" s="486"/>
      <c r="F7" s="486"/>
      <c r="G7" s="486"/>
      <c r="H7" s="486"/>
      <c r="I7" s="486"/>
      <c r="J7" s="486"/>
      <c r="K7" s="486"/>
      <c r="L7" s="486"/>
      <c r="M7" s="486"/>
      <c r="N7" s="486"/>
      <c r="O7" s="486"/>
      <c r="P7" s="486"/>
      <c r="Q7" s="486"/>
      <c r="R7" s="486"/>
      <c r="S7" s="486"/>
    </row>
    <row r="8" spans="1:30">
      <c r="A8" s="486"/>
      <c r="B8" s="486"/>
      <c r="C8" s="486"/>
      <c r="D8" s="486"/>
      <c r="E8" s="486"/>
      <c r="F8" s="486"/>
      <c r="G8" s="486"/>
      <c r="H8" s="486"/>
      <c r="I8" s="486"/>
      <c r="J8" s="486"/>
      <c r="K8" s="486"/>
      <c r="L8" s="486"/>
      <c r="M8" s="486"/>
      <c r="N8" s="486"/>
      <c r="O8" s="486"/>
      <c r="P8" s="486"/>
      <c r="Q8" s="486"/>
      <c r="R8" s="486"/>
      <c r="S8" s="486"/>
    </row>
    <row r="9" spans="1:30">
      <c r="A9" s="486"/>
      <c r="B9" s="486"/>
      <c r="C9" s="486"/>
      <c r="D9" s="486"/>
    </row>
    <row r="11" spans="1:30">
      <c r="C11" s="485" t="s">
        <v>282</v>
      </c>
      <c r="D11" s="484"/>
      <c r="E11" s="484"/>
      <c r="F11" s="484"/>
      <c r="G11" s="484"/>
      <c r="I11" s="485" t="s">
        <v>132</v>
      </c>
      <c r="J11" s="484"/>
      <c r="K11" s="484"/>
      <c r="L11" s="484"/>
      <c r="M11" s="484"/>
      <c r="O11" s="485" t="s">
        <v>197</v>
      </c>
      <c r="P11" s="484"/>
      <c r="Q11" s="484"/>
      <c r="R11" s="484"/>
      <c r="S11" s="484"/>
    </row>
    <row r="12" spans="1:30">
      <c r="A12" s="476" t="s">
        <v>203</v>
      </c>
      <c r="C12" s="476" t="s">
        <v>177</v>
      </c>
      <c r="E12" s="476" t="s">
        <v>12</v>
      </c>
      <c r="G12" s="476" t="s">
        <v>14</v>
      </c>
      <c r="I12" s="476" t="s">
        <v>177</v>
      </c>
      <c r="K12" s="476" t="s">
        <v>12</v>
      </c>
      <c r="M12" s="476" t="s">
        <v>14</v>
      </c>
      <c r="O12" s="476" t="s">
        <v>177</v>
      </c>
      <c r="Q12" s="476" t="s">
        <v>12</v>
      </c>
      <c r="S12" s="476" t="s">
        <v>14</v>
      </c>
      <c r="V12" s="25" t="s">
        <v>703</v>
      </c>
      <c r="W12" s="480"/>
      <c r="X12" s="480"/>
      <c r="Y12" s="480"/>
      <c r="Z12" s="480"/>
      <c r="AA12" s="480"/>
      <c r="AB12" s="480"/>
      <c r="AC12" s="480"/>
      <c r="AD12" s="480"/>
    </row>
    <row r="13" spans="1:30">
      <c r="A13" s="476" t="s">
        <v>4</v>
      </c>
      <c r="C13" s="476" t="s">
        <v>16</v>
      </c>
      <c r="E13" s="476" t="s">
        <v>55</v>
      </c>
      <c r="G13" s="476" t="s">
        <v>55</v>
      </c>
      <c r="I13" s="476" t="s">
        <v>16</v>
      </c>
      <c r="K13" s="476" t="s">
        <v>55</v>
      </c>
      <c r="M13" s="476" t="s">
        <v>55</v>
      </c>
      <c r="O13" s="476" t="s">
        <v>16</v>
      </c>
      <c r="Q13" s="476" t="s">
        <v>55</v>
      </c>
      <c r="S13" s="476" t="s">
        <v>55</v>
      </c>
      <c r="V13" s="487" t="s">
        <v>19</v>
      </c>
      <c r="W13" s="480"/>
      <c r="X13" s="480"/>
      <c r="Y13" s="480"/>
      <c r="Z13" s="480"/>
      <c r="AA13" s="480"/>
      <c r="AB13" s="480"/>
      <c r="AC13" s="480"/>
      <c r="AD13" s="480"/>
    </row>
    <row r="14" spans="1:30">
      <c r="A14" s="483">
        <v>-1</v>
      </c>
      <c r="C14" s="483">
        <v>-2</v>
      </c>
      <c r="E14" s="483">
        <v>-3</v>
      </c>
      <c r="G14" s="483">
        <v>-4</v>
      </c>
      <c r="I14" s="483">
        <v>-5</v>
      </c>
      <c r="K14" s="483">
        <v>-6</v>
      </c>
      <c r="M14" s="483">
        <v>-7</v>
      </c>
      <c r="O14" s="483">
        <v>-8</v>
      </c>
      <c r="Q14" s="483">
        <v>-9</v>
      </c>
      <c r="S14" s="483">
        <v>-10</v>
      </c>
      <c r="W14" s="480"/>
      <c r="X14" s="480"/>
      <c r="Y14" s="480"/>
      <c r="Z14" s="480"/>
      <c r="AA14" s="480"/>
      <c r="AB14" s="480"/>
      <c r="AC14" s="480"/>
      <c r="AD14" s="480"/>
    </row>
    <row r="15" spans="1:30">
      <c r="C15" s="481"/>
      <c r="D15" s="482"/>
      <c r="E15" s="481"/>
      <c r="F15" s="482"/>
      <c r="G15" s="481"/>
      <c r="H15" s="482"/>
      <c r="I15" s="481"/>
      <c r="K15" s="481"/>
      <c r="M15" s="481"/>
      <c r="O15" s="481"/>
      <c r="Q15" s="481"/>
      <c r="S15" s="481"/>
      <c r="W15" s="480"/>
      <c r="X15" s="480"/>
      <c r="Y15" s="480"/>
      <c r="Z15" s="480"/>
      <c r="AA15" s="480"/>
      <c r="AB15" s="480"/>
      <c r="AC15" s="480"/>
      <c r="AD15" s="480"/>
    </row>
    <row r="16" spans="1:30">
      <c r="A16" s="479" t="s">
        <v>77</v>
      </c>
      <c r="C16" s="477"/>
      <c r="E16" s="477"/>
      <c r="F16" s="477"/>
      <c r="G16" s="477"/>
      <c r="I16" s="31"/>
      <c r="K16" s="356"/>
      <c r="L16" s="477"/>
      <c r="M16" s="477"/>
      <c r="O16" s="477"/>
      <c r="Q16" s="477"/>
      <c r="R16" s="477"/>
      <c r="S16" s="477"/>
      <c r="W16" s="480"/>
      <c r="X16" s="480"/>
      <c r="Y16" s="480"/>
      <c r="Z16" s="480"/>
      <c r="AA16" s="480"/>
      <c r="AB16" s="480"/>
      <c r="AC16" s="480"/>
      <c r="AD16" s="480"/>
    </row>
    <row r="17" spans="1:32">
      <c r="A17" s="94"/>
      <c r="C17" s="477"/>
      <c r="E17" s="477"/>
      <c r="F17" s="477"/>
      <c r="G17" s="477"/>
      <c r="I17" s="31"/>
      <c r="K17" s="356"/>
      <c r="L17" s="477"/>
      <c r="M17" s="477"/>
      <c r="O17" s="477"/>
      <c r="Q17" s="477"/>
      <c r="R17" s="477"/>
      <c r="S17" s="477"/>
      <c r="W17" s="480"/>
      <c r="X17" s="480"/>
      <c r="Y17" s="480"/>
      <c r="Z17" s="480"/>
      <c r="AA17" s="480"/>
      <c r="AB17" s="480"/>
      <c r="AC17" s="480"/>
      <c r="AD17" s="480"/>
    </row>
    <row r="18" spans="1:32">
      <c r="A18" s="94">
        <v>2013</v>
      </c>
      <c r="C18" s="517">
        <f>9654519.49-1469000</f>
        <v>8185519.4900000002</v>
      </c>
      <c r="D18" s="517"/>
      <c r="E18" s="505">
        <f>-V18*0.95+'Exhibit L,2'!I35+'Exhibit M,2'!I35+'Exhibit U,2'!K22+'Exhibit V,1'!W16</f>
        <v>19350188.379999999</v>
      </c>
      <c r="F18" s="517"/>
      <c r="G18" s="517">
        <f>-V18*0.95+'Exhibit L,3'!I35+'Exhibit M,3'!I35+'Exhibit U,1'!K22+'Exhibit V,1'!U16</f>
        <v>17110930.019999996</v>
      </c>
      <c r="H18" s="517"/>
      <c r="I18" s="517">
        <v>8185000</v>
      </c>
      <c r="J18" s="517"/>
      <c r="K18" s="518">
        <v>20241000</v>
      </c>
      <c r="L18" s="517"/>
      <c r="M18" s="517">
        <v>17438000</v>
      </c>
      <c r="N18" s="517"/>
      <c r="O18" s="518">
        <f t="shared" ref="O18:O27" si="0">I18-C18</f>
        <v>-519.49000000022352</v>
      </c>
      <c r="P18" s="517"/>
      <c r="Q18" s="518">
        <f t="shared" ref="Q18:Q27" si="1">K18-E18</f>
        <v>890811.62000000104</v>
      </c>
      <c r="R18" s="517"/>
      <c r="S18" s="497">
        <f t="shared" ref="S18:S27" si="2">M18-G18</f>
        <v>327069.98000000417</v>
      </c>
      <c r="V18" s="61">
        <v>0</v>
      </c>
      <c r="W18" s="480"/>
      <c r="X18" s="23"/>
      <c r="Y18" s="1"/>
      <c r="Z18" s="1"/>
      <c r="AA18" s="23"/>
      <c r="AB18" s="1"/>
      <c r="AC18" s="23"/>
      <c r="AD18" s="1"/>
      <c r="AE18" s="1"/>
      <c r="AF18" s="23"/>
    </row>
    <row r="19" spans="1:32">
      <c r="A19" s="94">
        <f t="shared" ref="A19:A27" si="3">A18+1</f>
        <v>2014</v>
      </c>
      <c r="C19" s="515">
        <f>10498862.59+2470000</f>
        <v>12968862.59</v>
      </c>
      <c r="D19" s="515"/>
      <c r="E19" s="501">
        <f>-V19*0.95+'Exhibit L,2'!I36+'Exhibit M,2'!I36+'Exhibit U,2'!K23+'Exhibit V,1'!W17</f>
        <v>21584825.34</v>
      </c>
      <c r="F19" s="515"/>
      <c r="G19" s="501">
        <f>-V19*0.95+'Exhibit L,3'!I36+'Exhibit M,3'!I36+'Exhibit U,1'!K23+'Exhibit V,1'!U17</f>
        <v>18167195.009999998</v>
      </c>
      <c r="H19" s="516"/>
      <c r="I19" s="516">
        <v>12969000</v>
      </c>
      <c r="J19" s="516"/>
      <c r="K19" s="515">
        <v>20931000</v>
      </c>
      <c r="L19" s="516"/>
      <c r="M19" s="519">
        <v>12749000</v>
      </c>
      <c r="N19" s="516"/>
      <c r="O19" s="515">
        <f t="shared" si="0"/>
        <v>137.41000000014901</v>
      </c>
      <c r="P19" s="515"/>
      <c r="Q19" s="515">
        <f t="shared" si="1"/>
        <v>-653825.33999999985</v>
      </c>
      <c r="R19" s="515"/>
      <c r="S19" s="515">
        <f t="shared" si="2"/>
        <v>-5418195.0099999979</v>
      </c>
      <c r="V19" s="61">
        <v>0</v>
      </c>
      <c r="W19" s="480"/>
      <c r="X19" s="480"/>
      <c r="Y19" s="480"/>
      <c r="Z19" s="480"/>
      <c r="AA19" s="480"/>
      <c r="AB19" s="480"/>
      <c r="AC19" s="480"/>
      <c r="AD19" s="480"/>
    </row>
    <row r="20" spans="1:32">
      <c r="A20" s="94">
        <f t="shared" si="3"/>
        <v>2015</v>
      </c>
      <c r="C20" s="515">
        <f>10647735.78+1426000</f>
        <v>12073735.779999999</v>
      </c>
      <c r="D20" s="515"/>
      <c r="E20" s="501">
        <f>-V20*0.95+'Exhibit L,2'!I37+'Exhibit M,2'!I37+'Exhibit U,2'!K24+'Exhibit V,1'!W18</f>
        <v>5682429.4199999999</v>
      </c>
      <c r="F20" s="515"/>
      <c r="G20" s="501">
        <f>-V20*0.95+'Exhibit L,3'!I37+'Exhibit M,3'!I37+'Exhibit U,1'!K24+'Exhibit V,1'!U18</f>
        <v>3606021.9059999995</v>
      </c>
      <c r="H20" s="516"/>
      <c r="I20" s="516">
        <v>12074000</v>
      </c>
      <c r="J20" s="516"/>
      <c r="K20" s="515">
        <v>24196000</v>
      </c>
      <c r="L20" s="516"/>
      <c r="M20" s="519">
        <v>16922000</v>
      </c>
      <c r="N20" s="516"/>
      <c r="O20" s="515">
        <f t="shared" si="0"/>
        <v>264.22000000067055</v>
      </c>
      <c r="P20" s="515"/>
      <c r="Q20" s="515">
        <f t="shared" si="1"/>
        <v>18513570.579999998</v>
      </c>
      <c r="R20" s="515"/>
      <c r="S20" s="515">
        <f t="shared" si="2"/>
        <v>13315978.094000001</v>
      </c>
      <c r="V20" s="61">
        <v>0</v>
      </c>
      <c r="W20" s="480"/>
      <c r="X20" s="480"/>
      <c r="Y20" s="480"/>
      <c r="Z20" s="480"/>
      <c r="AA20" s="480"/>
      <c r="AB20" s="480"/>
      <c r="AC20" s="480"/>
      <c r="AD20" s="480"/>
    </row>
    <row r="21" spans="1:32">
      <c r="A21" s="94">
        <f t="shared" si="3"/>
        <v>2016</v>
      </c>
      <c r="C21" s="515">
        <f>10762992.44+1927000</f>
        <v>12689992.439999999</v>
      </c>
      <c r="D21" s="515"/>
      <c r="E21" s="501">
        <f>-V21*0.95+'Exhibit L,2'!I38+'Exhibit M,2'!I38+'Exhibit U,2'!K25+'Exhibit V,1'!W19</f>
        <v>14886622.5075</v>
      </c>
      <c r="F21" s="515"/>
      <c r="G21" s="501">
        <f>-V21*0.95+'Exhibit L,3'!I38+'Exhibit M,3'!I38+'Exhibit U,1'!K25+'Exhibit V,1'!U19</f>
        <v>11414608.927499998</v>
      </c>
      <c r="H21" s="516"/>
      <c r="I21" s="516">
        <v>12690000</v>
      </c>
      <c r="J21" s="516"/>
      <c r="K21" s="515">
        <v>4726000</v>
      </c>
      <c r="L21" s="516"/>
      <c r="M21" s="519">
        <v>2119000</v>
      </c>
      <c r="N21" s="516"/>
      <c r="O21" s="515">
        <f t="shared" si="0"/>
        <v>7.5600000005215406</v>
      </c>
      <c r="P21" s="515"/>
      <c r="Q21" s="515">
        <f t="shared" si="1"/>
        <v>-10160622.5075</v>
      </c>
      <c r="R21" s="515"/>
      <c r="S21" s="515">
        <f t="shared" si="2"/>
        <v>-9295608.9274999984</v>
      </c>
      <c r="V21" s="61">
        <v>0</v>
      </c>
      <c r="W21" s="480"/>
      <c r="X21" s="480"/>
      <c r="Y21" s="480"/>
      <c r="Z21" s="480"/>
      <c r="AA21" s="480"/>
      <c r="AB21" s="480"/>
      <c r="AC21" s="480"/>
      <c r="AD21" s="480"/>
    </row>
    <row r="22" spans="1:32">
      <c r="A22" s="94">
        <f t="shared" si="3"/>
        <v>2017</v>
      </c>
      <c r="C22" s="515">
        <f>13602482.55+265000</f>
        <v>13867482.550000001</v>
      </c>
      <c r="D22" s="515"/>
      <c r="E22" s="501">
        <f>-V22*0.95+'Exhibit L,2'!I39+'Exhibit M,2'!I39+'Exhibit U,2'!K26+'Exhibit V,1'!W20</f>
        <v>19672258.927999999</v>
      </c>
      <c r="F22" s="515"/>
      <c r="G22" s="501">
        <f>-V22*0.95+'Exhibit L,3'!I39+'Exhibit M,3'!I39+'Exhibit U,1'!K26+'Exhibit V,1'!U20</f>
        <v>17440495.137499999</v>
      </c>
      <c r="H22" s="516"/>
      <c r="I22" s="516">
        <v>13868000</v>
      </c>
      <c r="J22" s="516"/>
      <c r="K22" s="515">
        <v>23875000</v>
      </c>
      <c r="L22" s="516"/>
      <c r="M22" s="519">
        <v>16668000</v>
      </c>
      <c r="N22" s="516"/>
      <c r="O22" s="515">
        <f t="shared" si="0"/>
        <v>517.44999999925494</v>
      </c>
      <c r="P22" s="515"/>
      <c r="Q22" s="515">
        <f t="shared" si="1"/>
        <v>4202741.0720000006</v>
      </c>
      <c r="R22" s="515"/>
      <c r="S22" s="515">
        <f t="shared" si="2"/>
        <v>-772495.13749999925</v>
      </c>
      <c r="V22" s="61">
        <v>500000</v>
      </c>
      <c r="W22" s="480"/>
      <c r="X22" s="480"/>
      <c r="Y22" s="480"/>
      <c r="Z22" s="480"/>
      <c r="AA22" s="480"/>
      <c r="AB22" s="480"/>
      <c r="AC22" s="480"/>
      <c r="AD22" s="480"/>
    </row>
    <row r="23" spans="1:32">
      <c r="A23" s="94">
        <f t="shared" si="3"/>
        <v>2018</v>
      </c>
      <c r="C23" s="515">
        <f>15940266.78-833000</f>
        <v>15107266.779999999</v>
      </c>
      <c r="D23" s="515"/>
      <c r="E23" s="501">
        <f>-V23*0.95+'Exhibit L,2'!I40+'Exhibit M,2'!I40+'Exhibit U,2'!K27+'Exhibit V,1'!W21</f>
        <v>12635573.92</v>
      </c>
      <c r="F23" s="515"/>
      <c r="G23" s="501">
        <f>-V23*0.95+'Exhibit L,3'!I40+'Exhibit M,3'!I40+'Exhibit U,1'!K27+'Exhibit V,1'!U21</f>
        <v>8542785.5804999992</v>
      </c>
      <c r="H23" s="516"/>
      <c r="I23" s="516">
        <v>15107000</v>
      </c>
      <c r="J23" s="516"/>
      <c r="K23" s="515">
        <v>14877000</v>
      </c>
      <c r="L23" s="516"/>
      <c r="M23" s="519">
        <v>11007000</v>
      </c>
      <c r="N23" s="516"/>
      <c r="O23" s="515">
        <f t="shared" si="0"/>
        <v>-266.77999999932945</v>
      </c>
      <c r="P23" s="515"/>
      <c r="Q23" s="515">
        <f t="shared" si="1"/>
        <v>2241426.08</v>
      </c>
      <c r="R23" s="515"/>
      <c r="S23" s="515">
        <f t="shared" si="2"/>
        <v>2464214.4195000008</v>
      </c>
      <c r="V23" s="61">
        <v>0</v>
      </c>
      <c r="W23" s="480"/>
      <c r="X23" s="480"/>
      <c r="Y23" s="480"/>
      <c r="Z23" s="480"/>
      <c r="AA23" s="480"/>
      <c r="AB23" s="480"/>
      <c r="AC23" s="480"/>
      <c r="AD23" s="480"/>
    </row>
    <row r="24" spans="1:32">
      <c r="A24" s="94">
        <f t="shared" si="3"/>
        <v>2019</v>
      </c>
      <c r="C24" s="515">
        <f>12088982.11-453000</f>
        <v>11635982.109999999</v>
      </c>
      <c r="D24" s="515"/>
      <c r="E24" s="501">
        <f>-V24*0.95+'Exhibit L,2'!I41+'Exhibit M,2'!I41+'Exhibit U,2'!K28+'Exhibit V,1'!W22</f>
        <v>14346133.581</v>
      </c>
      <c r="F24" s="515"/>
      <c r="G24" s="501">
        <f>-V24*0.95+'Exhibit L,3'!I41+'Exhibit M,3'!I41+'Exhibit U,1'!K28+'Exhibit V,1'!U22</f>
        <v>8189313.4129999997</v>
      </c>
      <c r="H24" s="516"/>
      <c r="I24" s="516">
        <v>11635000</v>
      </c>
      <c r="J24" s="516"/>
      <c r="K24" s="515">
        <v>9051000</v>
      </c>
      <c r="L24" s="516"/>
      <c r="M24" s="519">
        <v>6536000</v>
      </c>
      <c r="N24" s="516"/>
      <c r="O24" s="515">
        <f t="shared" si="0"/>
        <v>-982.10999999940395</v>
      </c>
      <c r="P24" s="515"/>
      <c r="Q24" s="515">
        <f t="shared" si="1"/>
        <v>-5295133.5810000002</v>
      </c>
      <c r="R24" s="515"/>
      <c r="S24" s="515">
        <f t="shared" si="2"/>
        <v>-1653313.4129999997</v>
      </c>
      <c r="V24" s="61">
        <v>300000</v>
      </c>
      <c r="W24" s="480"/>
      <c r="X24" s="480"/>
      <c r="Y24" s="480"/>
      <c r="Z24" s="480"/>
      <c r="AA24" s="480"/>
      <c r="AB24" s="480"/>
      <c r="AC24" s="480"/>
      <c r="AD24" s="480"/>
    </row>
    <row r="25" spans="1:32">
      <c r="A25" s="94">
        <f t="shared" si="3"/>
        <v>2020</v>
      </c>
      <c r="C25" s="515">
        <f>10215586.99+301000</f>
        <v>10516586.99</v>
      </c>
      <c r="D25" s="515"/>
      <c r="E25" s="501">
        <f>-V25*0.95+'Exhibit L,2'!I42+'Exhibit M,2'!I42+'Exhibit U,2'!K29+'Exhibit V,1'!W23</f>
        <v>8043473.5130000003</v>
      </c>
      <c r="F25" s="515"/>
      <c r="G25" s="501">
        <f>-V25*0.95+'Exhibit L,3'!I42+'Exhibit M,3'!I42+'Exhibit U,1'!K29+'Exhibit V,1'!U23</f>
        <v>6624460.1275000004</v>
      </c>
      <c r="H25" s="516"/>
      <c r="I25" s="516">
        <v>10517000</v>
      </c>
      <c r="J25" s="516"/>
      <c r="K25" s="515">
        <v>7777000</v>
      </c>
      <c r="L25" s="516"/>
      <c r="M25" s="519">
        <v>4335000</v>
      </c>
      <c r="N25" s="516"/>
      <c r="O25" s="515">
        <f t="shared" si="0"/>
        <v>413.00999999977648</v>
      </c>
      <c r="P25" s="515"/>
      <c r="Q25" s="515">
        <f t="shared" si="1"/>
        <v>-266473.51300000027</v>
      </c>
      <c r="R25" s="515"/>
      <c r="S25" s="515">
        <f t="shared" si="2"/>
        <v>-2289460.1275000004</v>
      </c>
      <c r="V25" s="61">
        <v>100000</v>
      </c>
      <c r="W25" s="480"/>
      <c r="X25" s="480"/>
      <c r="Y25" s="480"/>
      <c r="Z25" s="480"/>
      <c r="AA25" s="480"/>
      <c r="AB25" s="480"/>
      <c r="AC25" s="480"/>
      <c r="AD25" s="480"/>
    </row>
    <row r="26" spans="1:32">
      <c r="A26" s="94">
        <f t="shared" si="3"/>
        <v>2021</v>
      </c>
      <c r="C26" s="515">
        <v>6668195.3600000003</v>
      </c>
      <c r="D26" s="515"/>
      <c r="E26" s="501">
        <f>-V26*0.95+'Exhibit L,2'!I43+'Exhibit M,2'!I43+'Exhibit U,2'!K30+'Exhibit V,1'!W24</f>
        <v>784354.56049999991</v>
      </c>
      <c r="F26" s="515"/>
      <c r="G26" s="501">
        <f>-V26*0.95+'Exhibit L,3'!I43+'Exhibit M,3'!I43+'Exhibit U,1'!K30+'Exhibit V,1'!U24</f>
        <v>178606.75699999998</v>
      </c>
      <c r="H26" s="516"/>
      <c r="I26" s="516">
        <v>6670000</v>
      </c>
      <c r="J26" s="516"/>
      <c r="K26" s="515">
        <v>782000</v>
      </c>
      <c r="L26" s="516"/>
      <c r="M26" s="519">
        <v>240000</v>
      </c>
      <c r="N26" s="516"/>
      <c r="O26" s="515">
        <f t="shared" si="0"/>
        <v>1804.6399999996647</v>
      </c>
      <c r="P26" s="515"/>
      <c r="Q26" s="515">
        <f t="shared" si="1"/>
        <v>-2354.560499999905</v>
      </c>
      <c r="R26" s="515"/>
      <c r="S26" s="515">
        <f t="shared" si="2"/>
        <v>61393.243000000017</v>
      </c>
      <c r="V26" s="61">
        <v>0</v>
      </c>
      <c r="W26" s="480"/>
      <c r="X26" s="480"/>
      <c r="Y26" s="480"/>
      <c r="Z26" s="480"/>
      <c r="AA26" s="480"/>
      <c r="AB26" s="480"/>
      <c r="AC26" s="480"/>
      <c r="AD26" s="480"/>
    </row>
    <row r="27" spans="1:32">
      <c r="A27" s="94">
        <f t="shared" si="3"/>
        <v>2022</v>
      </c>
      <c r="C27" s="515">
        <v>5681508.0599999931</v>
      </c>
      <c r="D27" s="515"/>
      <c r="E27" s="501">
        <f>-V27*0.95+'Exhibit L,2'!I44+'Exhibit M,2'!I44+'Exhibit U,2'!K31+'Exhibit V,1'!W25</f>
        <v>183825</v>
      </c>
      <c r="F27" s="515"/>
      <c r="G27" s="501">
        <f>-V27*0.95+'Exhibit L,3'!I44+'Exhibit M,3'!I44+'Exhibit U,1'!K31+'Exhibit V,1'!U25</f>
        <v>10156.654500000001</v>
      </c>
      <c r="H27" s="516"/>
      <c r="I27" s="516">
        <v>5681508</v>
      </c>
      <c r="J27" s="516"/>
      <c r="K27" s="515">
        <v>70000</v>
      </c>
      <c r="L27" s="516"/>
      <c r="M27" s="519">
        <v>14000</v>
      </c>
      <c r="N27" s="516"/>
      <c r="O27" s="515">
        <f t="shared" si="0"/>
        <v>-5.9999993070960045E-2</v>
      </c>
      <c r="P27" s="515"/>
      <c r="Q27" s="515">
        <f t="shared" si="1"/>
        <v>-113825</v>
      </c>
      <c r="R27" s="515"/>
      <c r="S27" s="515">
        <f t="shared" si="2"/>
        <v>3843.3454999999994</v>
      </c>
      <c r="V27" s="61">
        <v>0</v>
      </c>
      <c r="W27" s="480"/>
      <c r="X27" s="480"/>
      <c r="Y27" s="480"/>
      <c r="Z27" s="480"/>
      <c r="AA27" s="480"/>
      <c r="AB27" s="480"/>
      <c r="AC27" s="480"/>
      <c r="AD27" s="480"/>
    </row>
    <row r="28" spans="1:32">
      <c r="A28" s="94"/>
      <c r="C28" s="478"/>
      <c r="E28" s="478"/>
      <c r="G28" s="478"/>
      <c r="I28" s="478"/>
      <c r="K28" s="478"/>
      <c r="M28" s="478"/>
      <c r="O28" s="478"/>
      <c r="Q28" s="478"/>
      <c r="S28" s="478"/>
      <c r="V28" s="61"/>
      <c r="W28" s="480"/>
      <c r="X28" s="480"/>
      <c r="Y28" s="480"/>
      <c r="Z28" s="480"/>
      <c r="AA28" s="480"/>
      <c r="AB28" s="480"/>
      <c r="AC28" s="480"/>
      <c r="AD28" s="480"/>
    </row>
    <row r="29" spans="1:32">
      <c r="A29" s="476" t="s">
        <v>0</v>
      </c>
      <c r="C29" s="477">
        <f>SUM(C19:C28)</f>
        <v>101209612.65999998</v>
      </c>
      <c r="E29" s="477">
        <f>SUM(E19:E28)</f>
        <v>97819496.769999996</v>
      </c>
      <c r="G29" s="477">
        <f>SUM(G19:G28)</f>
        <v>74173643.513499975</v>
      </c>
      <c r="I29" s="477">
        <f>SUM(I19:I28)</f>
        <v>101211508</v>
      </c>
      <c r="K29" s="477">
        <f>SUM(K19:K28)</f>
        <v>106285000</v>
      </c>
      <c r="M29" s="477">
        <f>SUM(M19:M28)</f>
        <v>70590000</v>
      </c>
      <c r="O29" s="477">
        <f>SUM(O19:O28)</f>
        <v>1895.3400000082329</v>
      </c>
      <c r="Q29" s="477">
        <f>SUM(Q19:Q28)</f>
        <v>8465503.2299999986</v>
      </c>
      <c r="S29" s="477">
        <f>SUM(S19:S28)</f>
        <v>-3583643.5134999948</v>
      </c>
      <c r="V29" s="61"/>
      <c r="W29" s="480"/>
      <c r="X29" s="480"/>
      <c r="Y29" s="480"/>
      <c r="Z29" s="480"/>
      <c r="AA29" s="480"/>
      <c r="AB29" s="480"/>
      <c r="AC29" s="480"/>
      <c r="AD29" s="480"/>
    </row>
    <row r="30" spans="1:32">
      <c r="K30" s="477"/>
      <c r="M30" s="477"/>
      <c r="V30" s="61"/>
    </row>
    <row r="31" spans="1:32">
      <c r="A31" s="479" t="s">
        <v>118</v>
      </c>
      <c r="E31" s="477"/>
      <c r="F31" s="477"/>
      <c r="G31" s="477"/>
      <c r="K31" s="477"/>
      <c r="L31" s="477"/>
      <c r="M31" s="477"/>
      <c r="Q31" s="477"/>
      <c r="R31" s="477"/>
      <c r="S31" s="477"/>
      <c r="V31" s="61"/>
      <c r="X31" s="23"/>
      <c r="Y31" s="1"/>
      <c r="Z31" s="121"/>
      <c r="AA31" s="1"/>
      <c r="AB31" s="1"/>
      <c r="AC31" s="23"/>
    </row>
    <row r="32" spans="1:32">
      <c r="A32" s="94"/>
      <c r="C32" s="488"/>
      <c r="E32" s="477"/>
      <c r="F32" s="477"/>
      <c r="G32" s="477"/>
      <c r="K32" s="477"/>
      <c r="L32" s="477"/>
      <c r="M32" s="477"/>
      <c r="Q32" s="477"/>
      <c r="R32" s="477"/>
      <c r="S32" s="477"/>
    </row>
    <row r="33" spans="1:30">
      <c r="A33" s="94">
        <f>A18</f>
        <v>2013</v>
      </c>
      <c r="C33" s="505"/>
      <c r="D33" s="505"/>
      <c r="E33" s="505">
        <f>E18-'Exhibit G,2'!G35-'Exhibit U,2'!K22+'Exhibit U,2'!K41-'Exhibit V,1'!W30</f>
        <v>16428776.829999998</v>
      </c>
      <c r="F33" s="505"/>
      <c r="G33" s="505">
        <f>G18-'Exhibit G,3'!G35-'Exhibit U,1'!K22+'Exhibit U,1'!K41-'Exhibit V,1'!U30</f>
        <v>14464518.469999997</v>
      </c>
      <c r="H33" s="505"/>
      <c r="I33" s="505"/>
      <c r="J33" s="505"/>
      <c r="K33" s="505">
        <v>16046000</v>
      </c>
      <c r="L33" s="505"/>
      <c r="M33" s="505">
        <v>13680000</v>
      </c>
      <c r="N33" s="505"/>
      <c r="O33" s="505"/>
      <c r="P33" s="505"/>
      <c r="Q33" s="497">
        <f t="shared" ref="Q33:Q42" si="4">K33-E33</f>
        <v>-382776.82999999821</v>
      </c>
      <c r="R33" s="505"/>
      <c r="S33" s="497">
        <f t="shared" ref="S33:S42" si="5">M33-G33</f>
        <v>-784518.46999999695</v>
      </c>
    </row>
    <row r="34" spans="1:30">
      <c r="A34" s="94">
        <f t="shared" ref="A34:A42" si="6">A33+1</f>
        <v>2014</v>
      </c>
      <c r="C34" s="520"/>
      <c r="D34" s="520"/>
      <c r="E34" s="501">
        <f>E19-'Exhibit G,2'!G36-'Exhibit U,2'!K23+'Exhibit U,2'!K42-'Exhibit V,1'!W31</f>
        <v>16944717.859999999</v>
      </c>
      <c r="F34" s="494"/>
      <c r="G34" s="501">
        <f>G19-'Exhibit G,3'!G36-'Exhibit U,1'!K23+'Exhibit U,1'!K42-'Exhibit V,1'!U31</f>
        <v>13527087.529999997</v>
      </c>
      <c r="H34" s="520"/>
      <c r="I34" s="520"/>
      <c r="J34" s="520"/>
      <c r="K34" s="501">
        <v>18025000</v>
      </c>
      <c r="L34" s="515"/>
      <c r="M34" s="515">
        <v>12227000</v>
      </c>
      <c r="N34" s="520"/>
      <c r="O34" s="520"/>
      <c r="P34" s="520"/>
      <c r="Q34" s="515">
        <f t="shared" si="4"/>
        <v>1080282.1400000006</v>
      </c>
      <c r="R34" s="515"/>
      <c r="S34" s="515">
        <f t="shared" si="5"/>
        <v>-1300087.5299999975</v>
      </c>
      <c r="V34" s="353"/>
      <c r="W34" s="353"/>
      <c r="X34" s="23"/>
      <c r="Y34" s="1"/>
      <c r="Z34" s="23"/>
      <c r="AA34" s="1"/>
      <c r="AB34" s="1"/>
      <c r="AC34" s="23"/>
      <c r="AD34" s="1"/>
    </row>
    <row r="35" spans="1:30">
      <c r="A35" s="94">
        <f t="shared" si="6"/>
        <v>2015</v>
      </c>
      <c r="C35" s="520"/>
      <c r="D35" s="520"/>
      <c r="E35" s="501">
        <f>E20-'Exhibit G,2'!G37-'Exhibit U,2'!K24+'Exhibit U,2'!K43-'Exhibit V,1'!W32</f>
        <v>5242867.7200000007</v>
      </c>
      <c r="F35" s="494"/>
      <c r="G35" s="501">
        <f>G20-'Exhibit G,3'!G37-'Exhibit U,1'!K24+'Exhibit U,1'!K43-'Exhibit V,1'!U32</f>
        <v>3166460.2059999993</v>
      </c>
      <c r="H35" s="520"/>
      <c r="I35" s="520"/>
      <c r="J35" s="520"/>
      <c r="K35" s="501">
        <v>18456000</v>
      </c>
      <c r="L35" s="515"/>
      <c r="M35" s="515">
        <v>12282000</v>
      </c>
      <c r="N35" s="520"/>
      <c r="O35" s="520"/>
      <c r="P35" s="520"/>
      <c r="Q35" s="515">
        <f t="shared" si="4"/>
        <v>13213132.279999999</v>
      </c>
      <c r="R35" s="515"/>
      <c r="S35" s="515">
        <f t="shared" si="5"/>
        <v>9115539.7939999998</v>
      </c>
      <c r="V35" s="353"/>
      <c r="W35" s="353"/>
      <c r="X35" s="353"/>
      <c r="Y35" s="353"/>
    </row>
    <row r="36" spans="1:30">
      <c r="A36" s="94">
        <f t="shared" si="6"/>
        <v>2016</v>
      </c>
      <c r="C36" s="520"/>
      <c r="D36" s="520"/>
      <c r="E36" s="501">
        <f>E21-'Exhibit G,2'!G38-'Exhibit U,2'!K25+'Exhibit U,2'!K44-'Exhibit V,1'!W33</f>
        <v>11462700.807500001</v>
      </c>
      <c r="F36" s="494"/>
      <c r="G36" s="501">
        <f>G21-'Exhibit G,3'!G38-'Exhibit U,1'!K25+'Exhibit U,1'!K44-'Exhibit V,1'!U33</f>
        <v>8484020.2274999991</v>
      </c>
      <c r="H36" s="520"/>
      <c r="I36" s="520"/>
      <c r="J36" s="520"/>
      <c r="K36" s="501">
        <v>4726000</v>
      </c>
      <c r="L36" s="515"/>
      <c r="M36" s="515">
        <v>2119000</v>
      </c>
      <c r="N36" s="520"/>
      <c r="O36" s="520"/>
      <c r="P36" s="520"/>
      <c r="Q36" s="515">
        <f t="shared" si="4"/>
        <v>-6736700.807500001</v>
      </c>
      <c r="R36" s="515"/>
      <c r="S36" s="515">
        <f t="shared" si="5"/>
        <v>-6365020.2274999991</v>
      </c>
      <c r="V36" s="353"/>
      <c r="W36" s="353"/>
      <c r="X36" s="353"/>
      <c r="Y36" s="353"/>
    </row>
    <row r="37" spans="1:30">
      <c r="A37" s="94">
        <f t="shared" si="6"/>
        <v>2017</v>
      </c>
      <c r="C37" s="520"/>
      <c r="D37" s="520"/>
      <c r="E37" s="501">
        <f>E22-'Exhibit G,2'!G39-'Exhibit U,2'!K26+'Exhibit U,2'!K45-'Exhibit V,1'!W34</f>
        <v>16329783.697999999</v>
      </c>
      <c r="F37" s="494"/>
      <c r="G37" s="501">
        <f>G22-'Exhibit G,3'!G39-'Exhibit U,1'!K26+'Exhibit U,1'!K45-'Exhibit V,1'!U34</f>
        <v>14098019.907499999</v>
      </c>
      <c r="H37" s="520"/>
      <c r="I37" s="520"/>
      <c r="J37" s="520"/>
      <c r="K37" s="501">
        <v>19786000</v>
      </c>
      <c r="L37" s="515"/>
      <c r="M37" s="515">
        <v>13941000</v>
      </c>
      <c r="N37" s="520"/>
      <c r="O37" s="520"/>
      <c r="P37" s="520"/>
      <c r="Q37" s="515">
        <f t="shared" si="4"/>
        <v>3456216.3020000011</v>
      </c>
      <c r="R37" s="515"/>
      <c r="S37" s="515">
        <f t="shared" si="5"/>
        <v>-157019.90749999881</v>
      </c>
      <c r="V37" s="353"/>
      <c r="W37" s="353"/>
      <c r="X37" s="353"/>
      <c r="Y37" s="353"/>
    </row>
    <row r="38" spans="1:30">
      <c r="A38" s="94">
        <f t="shared" si="6"/>
        <v>2018</v>
      </c>
      <c r="C38" s="520"/>
      <c r="D38" s="520"/>
      <c r="E38" s="501">
        <f>E23-'Exhibit G,2'!G40-'Exhibit U,2'!K27+'Exhibit U,2'!K46-'Exhibit V,1'!W35</f>
        <v>11807100.030000001</v>
      </c>
      <c r="F38" s="494"/>
      <c r="G38" s="501">
        <f>G23-'Exhibit G,3'!G40-'Exhibit U,1'!K27+'Exhibit U,1'!K46-'Exhibit V,1'!U35</f>
        <v>7714311.6904999996</v>
      </c>
      <c r="H38" s="520"/>
      <c r="I38" s="520"/>
      <c r="J38" s="520"/>
      <c r="K38" s="501">
        <v>11567000</v>
      </c>
      <c r="L38" s="515"/>
      <c r="M38" s="515">
        <v>7792000</v>
      </c>
      <c r="N38" s="520"/>
      <c r="O38" s="520"/>
      <c r="P38" s="520"/>
      <c r="Q38" s="515">
        <f t="shared" si="4"/>
        <v>-240100.03000000119</v>
      </c>
      <c r="R38" s="515"/>
      <c r="S38" s="515">
        <f t="shared" si="5"/>
        <v>77688.30950000044</v>
      </c>
      <c r="V38" s="353"/>
      <c r="W38" s="353"/>
      <c r="X38" s="353"/>
      <c r="Y38" s="353"/>
    </row>
    <row r="39" spans="1:30">
      <c r="A39" s="94">
        <f t="shared" si="6"/>
        <v>2019</v>
      </c>
      <c r="C39" s="520"/>
      <c r="D39" s="520"/>
      <c r="E39" s="501">
        <f>E24-'Exhibit G,2'!G41-'Exhibit U,2'!K28+'Exhibit U,2'!K47-'Exhibit V,1'!W36</f>
        <v>14087920.870999999</v>
      </c>
      <c r="F39" s="494"/>
      <c r="G39" s="501">
        <f>G24-'Exhibit G,3'!G41-'Exhibit U,1'!K28+'Exhibit U,1'!K47-'Exhibit V,1'!U36</f>
        <v>8022100.7029999997</v>
      </c>
      <c r="H39" s="520"/>
      <c r="I39" s="520"/>
      <c r="J39" s="520"/>
      <c r="K39" s="501">
        <v>8680000</v>
      </c>
      <c r="L39" s="515"/>
      <c r="M39" s="515">
        <v>6536000</v>
      </c>
      <c r="N39" s="520"/>
      <c r="O39" s="520"/>
      <c r="P39" s="520"/>
      <c r="Q39" s="515">
        <f t="shared" si="4"/>
        <v>-5407920.8709999993</v>
      </c>
      <c r="R39" s="515"/>
      <c r="S39" s="515">
        <f t="shared" si="5"/>
        <v>-1486100.7029999997</v>
      </c>
      <c r="V39" s="353"/>
      <c r="W39" s="353"/>
      <c r="X39" s="353"/>
      <c r="Y39" s="353"/>
    </row>
    <row r="40" spans="1:30">
      <c r="A40" s="94">
        <f t="shared" si="6"/>
        <v>2020</v>
      </c>
      <c r="C40" s="520"/>
      <c r="D40" s="520"/>
      <c r="E40" s="501">
        <f>E25-'Exhibit G,2'!G42-'Exhibit U,2'!K29+'Exhibit U,2'!K48-'Exhibit V,1'!W37</f>
        <v>7359900.7230000002</v>
      </c>
      <c r="F40" s="494"/>
      <c r="G40" s="501">
        <f>G25-'Exhibit G,3'!G42-'Exhibit U,1'!K29+'Exhibit U,1'!K48-'Exhibit V,1'!U37</f>
        <v>5940887.3375000004</v>
      </c>
      <c r="H40" s="520"/>
      <c r="I40" s="520"/>
      <c r="J40" s="520"/>
      <c r="K40" s="501">
        <v>7093000</v>
      </c>
      <c r="L40" s="515"/>
      <c r="M40" s="515">
        <v>4215000</v>
      </c>
      <c r="N40" s="520"/>
      <c r="O40" s="520"/>
      <c r="P40" s="520"/>
      <c r="Q40" s="515">
        <f t="shared" si="4"/>
        <v>-266900.72300000023</v>
      </c>
      <c r="R40" s="515"/>
      <c r="S40" s="515">
        <f t="shared" si="5"/>
        <v>-1725887.3375000004</v>
      </c>
      <c r="V40" s="353"/>
      <c r="W40" s="353"/>
      <c r="X40" s="353"/>
      <c r="Y40" s="353"/>
    </row>
    <row r="41" spans="1:30">
      <c r="A41" s="94">
        <f t="shared" si="6"/>
        <v>2021</v>
      </c>
      <c r="C41" s="520"/>
      <c r="D41" s="520"/>
      <c r="E41" s="501">
        <f>E26-'Exhibit G,2'!G43-'Exhibit U,2'!K30+'Exhibit U,2'!K49-'Exhibit V,1'!W38</f>
        <v>784354.56049999991</v>
      </c>
      <c r="F41" s="494"/>
      <c r="G41" s="501">
        <f>G26-'Exhibit G,3'!G43-'Exhibit U,1'!K30+'Exhibit U,1'!K49-'Exhibit V,1'!U38</f>
        <v>178606.75699999998</v>
      </c>
      <c r="H41" s="520"/>
      <c r="I41" s="520"/>
      <c r="J41" s="520"/>
      <c r="K41" s="501">
        <v>782000</v>
      </c>
      <c r="L41" s="515"/>
      <c r="M41" s="515">
        <v>240000</v>
      </c>
      <c r="N41" s="520"/>
      <c r="O41" s="520"/>
      <c r="P41" s="520"/>
      <c r="Q41" s="515">
        <f t="shared" si="4"/>
        <v>-2354.560499999905</v>
      </c>
      <c r="R41" s="515"/>
      <c r="S41" s="515">
        <f t="shared" si="5"/>
        <v>61393.243000000017</v>
      </c>
      <c r="V41" s="353"/>
      <c r="W41" s="353"/>
      <c r="X41" s="353"/>
      <c r="Y41" s="353"/>
    </row>
    <row r="42" spans="1:30">
      <c r="A42" s="94">
        <f t="shared" si="6"/>
        <v>2022</v>
      </c>
      <c r="C42" s="520"/>
      <c r="D42" s="520"/>
      <c r="E42" s="501">
        <f>E27-'Exhibit G,2'!G44-'Exhibit U,2'!K31+'Exhibit U,2'!K50-'Exhibit V,1'!W39</f>
        <v>183825</v>
      </c>
      <c r="F42" s="494"/>
      <c r="G42" s="501">
        <f>G27-'Exhibit G,3'!G44-'Exhibit U,1'!K31+'Exhibit U,1'!K50-'Exhibit V,1'!U39</f>
        <v>10156.654500000001</v>
      </c>
      <c r="H42" s="520"/>
      <c r="I42" s="520"/>
      <c r="J42" s="520"/>
      <c r="K42" s="501">
        <v>70000</v>
      </c>
      <c r="L42" s="515"/>
      <c r="M42" s="515">
        <v>14000</v>
      </c>
      <c r="N42" s="520"/>
      <c r="O42" s="520"/>
      <c r="P42" s="520"/>
      <c r="Q42" s="515">
        <f t="shared" si="4"/>
        <v>-113825</v>
      </c>
      <c r="R42" s="515"/>
      <c r="S42" s="515">
        <f t="shared" si="5"/>
        <v>3843.3454999999994</v>
      </c>
      <c r="V42" s="353"/>
      <c r="W42" s="353"/>
      <c r="X42" s="353"/>
      <c r="Y42" s="353"/>
    </row>
    <row r="43" spans="1:30">
      <c r="A43" s="94"/>
      <c r="E43" s="478"/>
      <c r="G43" s="478"/>
      <c r="K43" s="478"/>
      <c r="M43" s="478"/>
      <c r="Q43" s="478"/>
      <c r="S43" s="478"/>
    </row>
    <row r="44" spans="1:30">
      <c r="A44" s="476" t="s">
        <v>0</v>
      </c>
      <c r="C44" s="477"/>
      <c r="E44" s="477">
        <f>SUM(E34:E43)</f>
        <v>84203171.269999996</v>
      </c>
      <c r="G44" s="477">
        <f>SUM(G34:G43)</f>
        <v>61141651.01349999</v>
      </c>
      <c r="I44" s="477"/>
      <c r="K44" s="477">
        <f>SUM(K34:K43)</f>
        <v>89185000</v>
      </c>
      <c r="M44" s="477">
        <f>SUM(M34:M43)</f>
        <v>59366000</v>
      </c>
      <c r="O44" s="477">
        <f>SUM(O34:O43)</f>
        <v>0</v>
      </c>
      <c r="Q44" s="477">
        <f>SUM(Q34:Q43)</f>
        <v>4981828.7299999995</v>
      </c>
      <c r="S44" s="477">
        <f>SUM(S34:S43)</f>
        <v>-1775651.0134999952</v>
      </c>
    </row>
    <row r="45" spans="1:30">
      <c r="A45" s="476"/>
    </row>
    <row r="46" spans="1:30">
      <c r="A46" s="476"/>
      <c r="C46" s="3"/>
    </row>
    <row r="47" spans="1:30">
      <c r="A47" s="475" t="s">
        <v>104</v>
      </c>
      <c r="C47" s="3" t="s">
        <v>995</v>
      </c>
    </row>
    <row r="48" spans="1:30">
      <c r="A48" s="475" t="s">
        <v>36</v>
      </c>
      <c r="B48" s="476"/>
      <c r="C48" s="474" t="s">
        <v>1534</v>
      </c>
    </row>
    <row r="49" spans="1:15">
      <c r="A49" s="475" t="s">
        <v>38</v>
      </c>
      <c r="B49" s="476"/>
      <c r="C49" s="474" t="s">
        <v>1535</v>
      </c>
    </row>
    <row r="50" spans="1:15">
      <c r="A50" s="475" t="s">
        <v>996</v>
      </c>
      <c r="B50" s="476"/>
      <c r="C50" s="474" t="s">
        <v>1507</v>
      </c>
    </row>
    <row r="51" spans="1:15">
      <c r="A51" s="475" t="s">
        <v>186</v>
      </c>
      <c r="B51" s="475"/>
      <c r="C51" s="474" t="s">
        <v>1508</v>
      </c>
    </row>
    <row r="52" spans="1:15">
      <c r="A52" s="475" t="s">
        <v>31</v>
      </c>
      <c r="B52" s="475"/>
      <c r="C52" s="474" t="s">
        <v>1509</v>
      </c>
    </row>
    <row r="53" spans="1:15">
      <c r="A53" s="475" t="s">
        <v>103</v>
      </c>
      <c r="B53" s="475"/>
      <c r="C53" s="474" t="s">
        <v>363</v>
      </c>
      <c r="O53" s="474"/>
    </row>
    <row r="54" spans="1:15">
      <c r="A54" s="475" t="s">
        <v>106</v>
      </c>
      <c r="B54" s="475"/>
      <c r="C54" s="474" t="s">
        <v>367</v>
      </c>
      <c r="O54" s="474"/>
    </row>
  </sheetData>
  <printOptions horizontalCentered="1"/>
  <pageMargins left="0.7" right="0.7" top="0.75" bottom="0.75" header="0.3" footer="0.3"/>
  <pageSetup scale="60" orientation="landscape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128">
    <pageSetUpPr fitToPage="1"/>
  </sheetPr>
  <dimension ref="A1:AG55"/>
  <sheetViews>
    <sheetView zoomScaleNormal="100" workbookViewId="0">
      <selection activeCell="A19" sqref="A19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1.7109375" style="1" customWidth="1"/>
    <col min="14" max="14" width="1.7109375" style="1" customWidth="1"/>
    <col min="15" max="15" width="11.7109375" style="1" customWidth="1"/>
    <col min="16" max="16" width="1.7109375" style="1" customWidth="1"/>
    <col min="17" max="17" width="11.7109375" style="1" customWidth="1"/>
    <col min="18" max="18" width="1.7109375" style="1" customWidth="1"/>
    <col min="19" max="19" width="11.7109375" style="1" customWidth="1"/>
    <col min="20" max="16384" width="8.7109375" style="1"/>
  </cols>
  <sheetData>
    <row r="1" spans="1:21">
      <c r="S1" s="64" t="s">
        <v>939</v>
      </c>
    </row>
    <row r="2" spans="1:21">
      <c r="Q2" s="3"/>
      <c r="S2" s="64" t="s">
        <v>66</v>
      </c>
    </row>
    <row r="3" spans="1:21">
      <c r="Q3" s="3"/>
    </row>
    <row r="4" spans="1:21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</row>
    <row r="5" spans="1:2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21">
      <c r="A6" s="5" t="s">
        <v>128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21">
      <c r="A7" s="5" t="s">
        <v>326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2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21">
      <c r="A9" s="5"/>
      <c r="B9" s="5"/>
      <c r="C9" s="5"/>
      <c r="D9" s="5"/>
    </row>
    <row r="10" spans="1:21">
      <c r="U10" s="120"/>
    </row>
    <row r="11" spans="1:21">
      <c r="C11" s="7" t="s">
        <v>282</v>
      </c>
      <c r="D11" s="8"/>
      <c r="E11" s="8"/>
      <c r="F11" s="8"/>
      <c r="G11" s="8"/>
      <c r="I11" s="7" t="s">
        <v>132</v>
      </c>
      <c r="J11" s="8"/>
      <c r="K11" s="8"/>
      <c r="L11" s="8"/>
      <c r="M11" s="8"/>
      <c r="O11" s="7" t="s">
        <v>197</v>
      </c>
      <c r="P11" s="8"/>
      <c r="Q11" s="8"/>
      <c r="R11" s="8"/>
      <c r="S11" s="8"/>
    </row>
    <row r="12" spans="1:21">
      <c r="A12" s="2" t="s">
        <v>3</v>
      </c>
      <c r="C12" s="2" t="s">
        <v>177</v>
      </c>
      <c r="E12" s="2" t="s">
        <v>12</v>
      </c>
      <c r="G12" s="2" t="s">
        <v>14</v>
      </c>
      <c r="I12" s="2" t="s">
        <v>177</v>
      </c>
      <c r="K12" s="2" t="s">
        <v>12</v>
      </c>
      <c r="M12" s="2" t="s">
        <v>14</v>
      </c>
      <c r="O12" s="2" t="s">
        <v>177</v>
      </c>
      <c r="Q12" s="2" t="s">
        <v>12</v>
      </c>
      <c r="S12" s="2" t="s">
        <v>14</v>
      </c>
    </row>
    <row r="13" spans="1:21">
      <c r="A13" s="2" t="s">
        <v>4</v>
      </c>
      <c r="C13" s="2" t="s">
        <v>16</v>
      </c>
      <c r="E13" s="2" t="s">
        <v>55</v>
      </c>
      <c r="G13" s="2" t="s">
        <v>55</v>
      </c>
      <c r="I13" s="2" t="s">
        <v>16</v>
      </c>
      <c r="K13" s="2" t="s">
        <v>55</v>
      </c>
      <c r="M13" s="2" t="s">
        <v>55</v>
      </c>
      <c r="O13" s="2" t="s">
        <v>16</v>
      </c>
      <c r="Q13" s="2" t="s">
        <v>55</v>
      </c>
      <c r="S13" s="2" t="s">
        <v>55</v>
      </c>
    </row>
    <row r="14" spans="1:21">
      <c r="A14" s="473">
        <v>-1</v>
      </c>
      <c r="C14" s="473">
        <v>-2</v>
      </c>
      <c r="E14" s="473">
        <v>-3</v>
      </c>
      <c r="G14" s="473">
        <v>-4</v>
      </c>
      <c r="I14" s="473">
        <v>-5</v>
      </c>
      <c r="K14" s="473">
        <v>-6</v>
      </c>
      <c r="M14" s="473">
        <v>-7</v>
      </c>
      <c r="O14" s="473">
        <v>-8</v>
      </c>
      <c r="Q14" s="473">
        <v>-9</v>
      </c>
      <c r="S14" s="473">
        <v>-10</v>
      </c>
    </row>
    <row r="15" spans="1:21">
      <c r="C15" s="62"/>
      <c r="D15" s="11"/>
      <c r="E15" s="62"/>
      <c r="F15" s="11"/>
      <c r="G15" s="62"/>
      <c r="H15" s="11"/>
      <c r="I15" s="62"/>
      <c r="K15" s="62"/>
      <c r="M15" s="62"/>
      <c r="O15" s="62"/>
      <c r="Q15" s="62"/>
      <c r="S15" s="62"/>
    </row>
    <row r="16" spans="1:21">
      <c r="A16" s="65" t="s">
        <v>77</v>
      </c>
    </row>
    <row r="17" spans="1:22">
      <c r="A17" s="6"/>
      <c r="C17" s="356"/>
      <c r="E17" s="356"/>
      <c r="F17" s="26"/>
      <c r="G17" s="356"/>
      <c r="I17" s="356"/>
      <c r="K17" s="356"/>
      <c r="L17" s="26"/>
      <c r="M17" s="356"/>
      <c r="O17" s="26"/>
      <c r="Q17" s="26"/>
      <c r="R17" s="26"/>
      <c r="S17" s="26"/>
    </row>
    <row r="18" spans="1:22">
      <c r="A18" s="6">
        <v>2013</v>
      </c>
      <c r="C18" s="497">
        <f>'Exhibit S,1'!G18+'Exhibit S,2'!C18</f>
        <v>40379398.869999997</v>
      </c>
      <c r="D18" s="505"/>
      <c r="E18" s="496">
        <f>'Exhibit S,1'!I18+'Exhibit S,2'!E18</f>
        <v>64353302.104585081</v>
      </c>
      <c r="F18" s="505"/>
      <c r="G18" s="496">
        <f>'Exhibit S,1'!K18+'Exhibit S,2'!G18</f>
        <v>62114043.744585074</v>
      </c>
      <c r="H18" s="505"/>
      <c r="I18" s="497">
        <f>'Exhibit S,1'!M18+'Exhibit S,2'!I18</f>
        <v>40379000</v>
      </c>
      <c r="J18" s="505"/>
      <c r="K18" s="497">
        <f>'Exhibit S,1'!O18+'Exhibit S,2'!K18</f>
        <v>48452000</v>
      </c>
      <c r="L18" s="505"/>
      <c r="M18" s="497">
        <f>'Exhibit S,1'!Q18+'Exhibit S,2'!M18</f>
        <v>45529000</v>
      </c>
      <c r="N18" s="505"/>
      <c r="O18" s="505">
        <f>I18-C18</f>
        <v>-398.86999999731779</v>
      </c>
      <c r="P18" s="505"/>
      <c r="Q18" s="497">
        <f>K18-E18</f>
        <v>-15901302.104585081</v>
      </c>
      <c r="R18" s="505"/>
      <c r="S18" s="497">
        <f>M18-G18</f>
        <v>-16585043.744585074</v>
      </c>
    </row>
    <row r="19" spans="1:22">
      <c r="A19" s="6">
        <f>A18+1</f>
        <v>2014</v>
      </c>
      <c r="C19" s="515">
        <f>'Exhibit S,1'!G19+'Exhibit S,2'!C19</f>
        <v>41968357.890000001</v>
      </c>
      <c r="D19" s="515"/>
      <c r="E19" s="522">
        <f>'Exhibit S,1'!I19+'Exhibit S,2'!E19</f>
        <v>58977205.680349454</v>
      </c>
      <c r="F19" s="515"/>
      <c r="G19" s="522">
        <f>'Exhibit S,1'!K19+'Exhibit S,2'!G19</f>
        <v>53543083.680349447</v>
      </c>
      <c r="H19" s="515"/>
      <c r="I19" s="515">
        <f>'Exhibit S,1'!M19+'Exhibit S,2'!I19</f>
        <v>41968000</v>
      </c>
      <c r="J19" s="515"/>
      <c r="K19" s="515">
        <f>'Exhibit S,1'!O19+'Exhibit S,2'!K19</f>
        <v>42213000</v>
      </c>
      <c r="L19" s="515"/>
      <c r="M19" s="515">
        <f>'Exhibit S,1'!Q19+'Exhibit S,2'!M19</f>
        <v>34031000</v>
      </c>
      <c r="N19" s="515"/>
      <c r="O19" s="515">
        <f>I19-C19</f>
        <v>-357.89000000059605</v>
      </c>
      <c r="P19" s="515"/>
      <c r="Q19" s="515">
        <f>K19-E19</f>
        <v>-16764205.680349454</v>
      </c>
      <c r="R19" s="515"/>
      <c r="S19" s="515">
        <f>M19-G19</f>
        <v>-19512083.680349447</v>
      </c>
      <c r="V19" s="185"/>
    </row>
    <row r="20" spans="1:22">
      <c r="A20" s="6">
        <f t="shared" ref="A20:A27" si="0">A19+1</f>
        <v>2015</v>
      </c>
      <c r="C20" s="515">
        <f>'Exhibit S,1'!G20+'Exhibit S,2'!C20</f>
        <v>42583166.75</v>
      </c>
      <c r="D20" s="515"/>
      <c r="E20" s="522">
        <f>'Exhibit S,1'!I20+'Exhibit S,2'!E20</f>
        <v>50202994.358760864</v>
      </c>
      <c r="F20" s="515"/>
      <c r="G20" s="522">
        <f>'Exhibit S,1'!K20+'Exhibit S,2'!G20</f>
        <v>45838240.504760861</v>
      </c>
      <c r="H20" s="515"/>
      <c r="I20" s="515">
        <f>'Exhibit S,1'!M20+'Exhibit S,2'!I20</f>
        <v>42583000</v>
      </c>
      <c r="J20" s="515"/>
      <c r="K20" s="515">
        <f>'Exhibit S,1'!O20+'Exhibit S,2'!K20</f>
        <v>46781000</v>
      </c>
      <c r="L20" s="515"/>
      <c r="M20" s="515">
        <f>'Exhibit S,1'!Q20+'Exhibit S,2'!M20</f>
        <v>37188000</v>
      </c>
      <c r="N20" s="515"/>
      <c r="O20" s="515">
        <f t="shared" ref="O20:O27" si="1">I20-C20</f>
        <v>-166.75</v>
      </c>
      <c r="P20" s="515"/>
      <c r="Q20" s="515">
        <f t="shared" ref="Q20:Q27" si="2">K20-E20</f>
        <v>-3421994.3587608635</v>
      </c>
      <c r="R20" s="515"/>
      <c r="S20" s="515">
        <f t="shared" ref="S20:S27" si="3">M20-G20</f>
        <v>-8650240.5047608614</v>
      </c>
    </row>
    <row r="21" spans="1:22">
      <c r="A21" s="6">
        <f t="shared" si="0"/>
        <v>2016</v>
      </c>
      <c r="C21" s="515">
        <f>'Exhibit S,1'!G21+'Exhibit S,2'!C21</f>
        <v>41859758.530000001</v>
      </c>
      <c r="D21" s="515"/>
      <c r="E21" s="522">
        <f>'Exhibit S,1'!I21+'Exhibit S,2'!E21</f>
        <v>50693903.359210037</v>
      </c>
      <c r="F21" s="515"/>
      <c r="G21" s="522">
        <f>'Exhibit S,1'!K21+'Exhibit S,2'!G21</f>
        <v>44765310.359210029</v>
      </c>
      <c r="H21" s="515"/>
      <c r="I21" s="515">
        <f>'Exhibit S,1'!M21+'Exhibit S,2'!I21</f>
        <v>41859000</v>
      </c>
      <c r="J21" s="515"/>
      <c r="K21" s="515">
        <f>'Exhibit S,1'!O21+'Exhibit S,2'!K21</f>
        <v>29787000</v>
      </c>
      <c r="L21" s="515"/>
      <c r="M21" s="515">
        <f>'Exhibit S,1'!Q21+'Exhibit S,2'!M21</f>
        <v>24114000</v>
      </c>
      <c r="N21" s="515"/>
      <c r="O21" s="515">
        <f t="shared" si="1"/>
        <v>-758.53000000119209</v>
      </c>
      <c r="P21" s="515"/>
      <c r="Q21" s="515">
        <f t="shared" si="2"/>
        <v>-20906903.359210037</v>
      </c>
      <c r="R21" s="515"/>
      <c r="S21" s="515">
        <f t="shared" si="3"/>
        <v>-20651310.359210029</v>
      </c>
    </row>
    <row r="22" spans="1:22">
      <c r="A22" s="6">
        <f t="shared" si="0"/>
        <v>2017</v>
      </c>
      <c r="C22" s="515">
        <f>'Exhibit S,1'!G22+'Exhibit S,2'!C22</f>
        <v>43117963.870000005</v>
      </c>
      <c r="D22" s="515"/>
      <c r="E22" s="522">
        <f>'Exhibit S,1'!I22+'Exhibit S,2'!E22</f>
        <v>43477655.126027673</v>
      </c>
      <c r="F22" s="515"/>
      <c r="G22" s="522">
        <f>'Exhibit S,1'!K22+'Exhibit S,2'!G22</f>
        <v>39491243.145527676</v>
      </c>
      <c r="H22" s="515"/>
      <c r="I22" s="515">
        <f>'Exhibit S,1'!M22+'Exhibit S,2'!I22</f>
        <v>43119000</v>
      </c>
      <c r="J22" s="515"/>
      <c r="K22" s="515">
        <f>'Exhibit S,1'!O22+'Exhibit S,2'!K22</f>
        <v>44515000</v>
      </c>
      <c r="L22" s="515"/>
      <c r="M22" s="515">
        <f>'Exhibit S,1'!Q22+'Exhibit S,2'!M22</f>
        <v>34395000</v>
      </c>
      <c r="N22" s="515"/>
      <c r="O22" s="515">
        <f t="shared" si="1"/>
        <v>1036.1299999952316</v>
      </c>
      <c r="P22" s="515"/>
      <c r="Q22" s="515">
        <f t="shared" si="2"/>
        <v>1037344.8739723265</v>
      </c>
      <c r="R22" s="515"/>
      <c r="S22" s="515">
        <f t="shared" si="3"/>
        <v>-5096243.1455276757</v>
      </c>
    </row>
    <row r="23" spans="1:22">
      <c r="A23" s="6">
        <f t="shared" si="0"/>
        <v>2018</v>
      </c>
      <c r="C23" s="515">
        <f>'Exhibit S,1'!G23+'Exhibit S,2'!C23</f>
        <v>39245641.280000001</v>
      </c>
      <c r="D23" s="515"/>
      <c r="E23" s="522">
        <f>'Exhibit S,1'!I23+'Exhibit S,2'!E23</f>
        <v>41805422.412905365</v>
      </c>
      <c r="F23" s="515"/>
      <c r="G23" s="522">
        <f>'Exhibit S,1'!K23+'Exhibit S,2'!G23</f>
        <v>30031255.213405367</v>
      </c>
      <c r="H23" s="515"/>
      <c r="I23" s="515">
        <f>'Exhibit S,1'!M23+'Exhibit S,2'!I23</f>
        <v>39246000</v>
      </c>
      <c r="J23" s="515"/>
      <c r="K23" s="515">
        <f>'Exhibit S,1'!O23+'Exhibit S,2'!K23</f>
        <v>25955000</v>
      </c>
      <c r="L23" s="515"/>
      <c r="M23" s="515">
        <f>'Exhibit S,1'!Q23+'Exhibit S,2'!M23</f>
        <v>16495000</v>
      </c>
      <c r="N23" s="515"/>
      <c r="O23" s="515">
        <f t="shared" si="1"/>
        <v>358.71999999880791</v>
      </c>
      <c r="P23" s="515"/>
      <c r="Q23" s="515">
        <f t="shared" si="2"/>
        <v>-15850422.412905365</v>
      </c>
      <c r="R23" s="515"/>
      <c r="S23" s="515">
        <f t="shared" si="3"/>
        <v>-13536255.213405367</v>
      </c>
    </row>
    <row r="24" spans="1:22">
      <c r="A24" s="6">
        <f t="shared" si="0"/>
        <v>2019</v>
      </c>
      <c r="C24" s="515">
        <f>'Exhibit S,1'!G24+'Exhibit S,2'!C24</f>
        <v>33422175.149999999</v>
      </c>
      <c r="D24" s="515"/>
      <c r="E24" s="522">
        <f>'Exhibit S,1'!I24+'Exhibit S,2'!E24</f>
        <v>37584099.391086578</v>
      </c>
      <c r="F24" s="515"/>
      <c r="G24" s="522">
        <f>'Exhibit S,1'!K24+'Exhibit S,2'!G24</f>
        <v>26792148.08308658</v>
      </c>
      <c r="H24" s="515"/>
      <c r="I24" s="515">
        <f>'Exhibit S,1'!M24+'Exhibit S,2'!I24</f>
        <v>33422000</v>
      </c>
      <c r="J24" s="515"/>
      <c r="K24" s="515">
        <f>'Exhibit S,1'!O24+'Exhibit S,2'!K24</f>
        <v>22061000</v>
      </c>
      <c r="L24" s="515"/>
      <c r="M24" s="515">
        <f>'Exhibit S,1'!Q24+'Exhibit S,2'!M24</f>
        <v>13109000</v>
      </c>
      <c r="N24" s="515"/>
      <c r="O24" s="515">
        <f t="shared" si="1"/>
        <v>-175.14999999850988</v>
      </c>
      <c r="P24" s="515"/>
      <c r="Q24" s="515">
        <f t="shared" si="2"/>
        <v>-15523099.391086578</v>
      </c>
      <c r="R24" s="515"/>
      <c r="S24" s="515">
        <f t="shared" si="3"/>
        <v>-13683148.08308658</v>
      </c>
    </row>
    <row r="25" spans="1:22">
      <c r="A25" s="6">
        <f t="shared" si="0"/>
        <v>2020</v>
      </c>
      <c r="C25" s="515">
        <f>'Exhibit S,1'!G25+'Exhibit S,2'!C25</f>
        <v>36195432.390000001</v>
      </c>
      <c r="D25" s="515"/>
      <c r="E25" s="522">
        <f>'Exhibit S,1'!I25+'Exhibit S,2'!E25</f>
        <v>31608497.495093584</v>
      </c>
      <c r="F25" s="515"/>
      <c r="G25" s="522">
        <f>'Exhibit S,1'!K25+'Exhibit S,2'!G25</f>
        <v>26197770.334593587</v>
      </c>
      <c r="H25" s="515"/>
      <c r="I25" s="515">
        <f>'Exhibit S,1'!M25+'Exhibit S,2'!I25</f>
        <v>36195000</v>
      </c>
      <c r="J25" s="515"/>
      <c r="K25" s="515">
        <f>'Exhibit S,1'!O25+'Exhibit S,2'!K25</f>
        <v>19993000</v>
      </c>
      <c r="L25" s="515"/>
      <c r="M25" s="515">
        <f>'Exhibit S,1'!Q25+'Exhibit S,2'!M25</f>
        <v>10233000</v>
      </c>
      <c r="N25" s="515"/>
      <c r="O25" s="515">
        <f t="shared" si="1"/>
        <v>-432.39000000059605</v>
      </c>
      <c r="P25" s="515"/>
      <c r="Q25" s="515">
        <f t="shared" si="2"/>
        <v>-11615497.495093584</v>
      </c>
      <c r="R25" s="515"/>
      <c r="S25" s="515">
        <f t="shared" si="3"/>
        <v>-15964770.334593587</v>
      </c>
    </row>
    <row r="26" spans="1:22">
      <c r="A26" s="6">
        <f t="shared" si="0"/>
        <v>2021</v>
      </c>
      <c r="C26" s="515">
        <f>'Exhibit S,1'!G26+'Exhibit S,2'!C26</f>
        <v>24041862.539999932</v>
      </c>
      <c r="D26" s="515"/>
      <c r="E26" s="522">
        <f>'Exhibit S,1'!I26+'Exhibit S,2'!E26</f>
        <v>19436108.154080603</v>
      </c>
      <c r="F26" s="515"/>
      <c r="G26" s="522">
        <f>'Exhibit S,1'!K26+'Exhibit S,2'!G26</f>
        <v>17106602.680580601</v>
      </c>
      <c r="H26" s="515"/>
      <c r="I26" s="515">
        <f>'Exhibit S,1'!M26+'Exhibit S,2'!I26</f>
        <v>24043000</v>
      </c>
      <c r="J26" s="515"/>
      <c r="K26" s="515">
        <f>'Exhibit S,1'!O26+'Exhibit S,2'!K26</f>
        <v>4608000</v>
      </c>
      <c r="L26" s="515"/>
      <c r="M26" s="515">
        <f>'Exhibit S,1'!Q26+'Exhibit S,2'!M26</f>
        <v>1348000</v>
      </c>
      <c r="N26" s="515"/>
      <c r="O26" s="515">
        <f t="shared" si="1"/>
        <v>1137.4600000679493</v>
      </c>
      <c r="P26" s="515"/>
      <c r="Q26" s="515">
        <f t="shared" si="2"/>
        <v>-14828108.154080603</v>
      </c>
      <c r="R26" s="515"/>
      <c r="S26" s="515">
        <f t="shared" si="3"/>
        <v>-15758602.680580601</v>
      </c>
    </row>
    <row r="27" spans="1:22">
      <c r="A27" s="6">
        <f t="shared" si="0"/>
        <v>2022</v>
      </c>
      <c r="C27" s="515">
        <f>'Exhibit S,1'!G27+'Exhibit S,2'!C27</f>
        <v>28810574.869999982</v>
      </c>
      <c r="D27" s="515"/>
      <c r="E27" s="522">
        <f>'Exhibit S,1'!I27+'Exhibit S,2'!E27</f>
        <v>25283265.548471078</v>
      </c>
      <c r="F27" s="515"/>
      <c r="G27" s="522">
        <f>'Exhibit S,1'!K27+'Exhibit S,2'!G27</f>
        <v>20793244.358971082</v>
      </c>
      <c r="H27" s="515"/>
      <c r="I27" s="515">
        <f>'Exhibit S,1'!M27+'Exhibit S,2'!I27</f>
        <v>28810575</v>
      </c>
      <c r="J27" s="515"/>
      <c r="K27" s="515">
        <f>'Exhibit S,1'!O27+'Exhibit S,2'!K27</f>
        <v>1560000</v>
      </c>
      <c r="L27" s="515"/>
      <c r="M27" s="515">
        <f>'Exhibit S,1'!Q27+'Exhibit S,2'!M27</f>
        <v>249000</v>
      </c>
      <c r="N27" s="515"/>
      <c r="O27" s="515">
        <f t="shared" si="1"/>
        <v>0.13000001758337021</v>
      </c>
      <c r="P27" s="515"/>
      <c r="Q27" s="515">
        <f t="shared" si="2"/>
        <v>-23723265.548471078</v>
      </c>
      <c r="R27" s="515"/>
      <c r="S27" s="515">
        <f t="shared" si="3"/>
        <v>-20544244.358971082</v>
      </c>
    </row>
    <row r="28" spans="1:22">
      <c r="A28" s="6"/>
      <c r="C28" s="345"/>
      <c r="E28" s="345"/>
      <c r="G28" s="345"/>
      <c r="I28" s="345"/>
      <c r="K28" s="345"/>
      <c r="M28" s="345"/>
      <c r="O28" s="345"/>
      <c r="Q28" s="345"/>
      <c r="S28" s="345"/>
    </row>
    <row r="29" spans="1:22">
      <c r="A29" s="2" t="s">
        <v>0</v>
      </c>
      <c r="C29" s="26">
        <f>SUM(C19:C28)</f>
        <v>331244933.26999998</v>
      </c>
      <c r="E29" s="26">
        <f>SUM(E19:E28)</f>
        <v>359069151.52598524</v>
      </c>
      <c r="G29" s="26">
        <f>SUM(G19:G28)</f>
        <v>304558898.3604852</v>
      </c>
      <c r="I29" s="26">
        <f>SUM(I19:I28)</f>
        <v>331245575</v>
      </c>
      <c r="K29" s="26">
        <f>SUM(K19:K28)</f>
        <v>237473000</v>
      </c>
      <c r="M29" s="26">
        <f>SUM(M19:M28)</f>
        <v>171162000</v>
      </c>
      <c r="O29" s="26">
        <f>SUM(O19:O28)</f>
        <v>641.73000007867813</v>
      </c>
      <c r="Q29" s="26">
        <f>SUM(Q19:Q28)</f>
        <v>-121596151.52598523</v>
      </c>
      <c r="S29" s="26">
        <f>SUM(S19:S28)</f>
        <v>-133396898.36048523</v>
      </c>
    </row>
    <row r="31" spans="1:22">
      <c r="A31" s="65" t="s">
        <v>118</v>
      </c>
    </row>
    <row r="32" spans="1:22">
      <c r="A32" s="6"/>
      <c r="E32" s="356"/>
      <c r="F32" s="26"/>
      <c r="G32" s="356"/>
      <c r="K32" s="356"/>
      <c r="L32" s="26"/>
      <c r="M32" s="184"/>
      <c r="Q32" s="26"/>
      <c r="R32" s="26"/>
      <c r="S32" s="26"/>
    </row>
    <row r="33" spans="1:33">
      <c r="A33" s="6">
        <f>A18</f>
        <v>2013</v>
      </c>
      <c r="C33" s="505"/>
      <c r="D33" s="505"/>
      <c r="E33" s="496">
        <f>'Exhibit S,1'!I33+'Exhibit S,2'!E33</f>
        <v>55356496.57458508</v>
      </c>
      <c r="F33" s="505"/>
      <c r="G33" s="496">
        <f>'Exhibit S,1'!K33+'Exhibit S,2'!G33</f>
        <v>53392238.214585081</v>
      </c>
      <c r="H33" s="505"/>
      <c r="I33" s="505"/>
      <c r="J33" s="505"/>
      <c r="K33" s="521">
        <f>'Exhibit S,1'!O33+'Exhibit S,2'!K33</f>
        <v>37695000</v>
      </c>
      <c r="L33" s="505"/>
      <c r="M33" s="521">
        <f>'Exhibit S,1'!Q33+'Exhibit S,2'!M33</f>
        <v>35209000</v>
      </c>
      <c r="N33" s="505"/>
      <c r="O33" s="505"/>
      <c r="P33" s="505"/>
      <c r="Q33" s="497">
        <f>K33-E33</f>
        <v>-17661496.57458508</v>
      </c>
      <c r="R33" s="505"/>
      <c r="S33" s="505">
        <f>M33-G33</f>
        <v>-18183238.214585081</v>
      </c>
    </row>
    <row r="34" spans="1:33">
      <c r="A34" s="6">
        <f>A33+1</f>
        <v>2014</v>
      </c>
      <c r="C34" s="187"/>
      <c r="D34" s="187"/>
      <c r="E34" s="522">
        <f>'Exhibit S,1'!I34+'Exhibit S,2'!E34</f>
        <v>52477475.280349448</v>
      </c>
      <c r="F34" s="187"/>
      <c r="G34" s="522">
        <f>'Exhibit S,1'!K34+'Exhibit S,2'!G34</f>
        <v>47043353.280349448</v>
      </c>
      <c r="H34" s="187"/>
      <c r="I34" s="187"/>
      <c r="J34" s="187"/>
      <c r="K34" s="515">
        <f>'Exhibit S,1'!O34+'Exhibit S,2'!K34</f>
        <v>33232000</v>
      </c>
      <c r="L34" s="187"/>
      <c r="M34" s="522">
        <f>'Exhibit S,1'!Q34+'Exhibit S,2'!M34</f>
        <v>27434000</v>
      </c>
      <c r="N34" s="187"/>
      <c r="O34" s="187"/>
      <c r="P34" s="187"/>
      <c r="Q34" s="515">
        <f>K34-E34</f>
        <v>-19245475.280349448</v>
      </c>
      <c r="R34" s="187"/>
      <c r="S34" s="515">
        <f>M34-G34</f>
        <v>-19609353.280349448</v>
      </c>
      <c r="AB34" s="366"/>
    </row>
    <row r="35" spans="1:33">
      <c r="A35" s="6">
        <f>A34+1</f>
        <v>2015</v>
      </c>
      <c r="C35" s="187"/>
      <c r="D35" s="187"/>
      <c r="E35" s="522">
        <f>'Exhibit S,1'!I35+'Exhibit S,2'!E35</f>
        <v>45540392.358760864</v>
      </c>
      <c r="F35" s="187"/>
      <c r="G35" s="522">
        <f>'Exhibit S,1'!K35+'Exhibit S,2'!G35</f>
        <v>41175638.504760869</v>
      </c>
      <c r="H35" s="187"/>
      <c r="I35" s="187"/>
      <c r="J35" s="187"/>
      <c r="K35" s="515">
        <f>'Exhibit S,1'!O35+'Exhibit S,2'!K35</f>
        <v>36284000</v>
      </c>
      <c r="L35" s="187"/>
      <c r="M35" s="522">
        <f>'Exhibit S,1'!Q35+'Exhibit S,2'!M35</f>
        <v>27791000</v>
      </c>
      <c r="N35" s="187"/>
      <c r="O35" s="187"/>
      <c r="P35" s="187"/>
      <c r="Q35" s="515">
        <f t="shared" ref="Q35:Q42" si="4">K35-E35</f>
        <v>-9256392.3587608635</v>
      </c>
      <c r="R35" s="187"/>
      <c r="S35" s="515">
        <f t="shared" ref="S35:S42" si="5">M35-G35</f>
        <v>-13384638.504760869</v>
      </c>
      <c r="AB35" s="366"/>
    </row>
    <row r="36" spans="1:33">
      <c r="A36" s="6">
        <f t="shared" ref="A36:A42" si="6">A35+1</f>
        <v>2016</v>
      </c>
      <c r="C36" s="187"/>
      <c r="D36" s="187"/>
      <c r="E36" s="522">
        <f>'Exhibit S,1'!I36+'Exhibit S,2'!E36</f>
        <v>41867713.589210033</v>
      </c>
      <c r="F36" s="187"/>
      <c r="G36" s="522">
        <f>'Exhibit S,1'!K36+'Exhibit S,2'!G36</f>
        <v>36984667.589210033</v>
      </c>
      <c r="H36" s="187"/>
      <c r="I36" s="187"/>
      <c r="J36" s="187"/>
      <c r="K36" s="515">
        <f>'Exhibit S,1'!O36+'Exhibit S,2'!K36</f>
        <v>28461000</v>
      </c>
      <c r="L36" s="187"/>
      <c r="M36" s="522">
        <f>'Exhibit S,1'!Q36+'Exhibit S,2'!M36</f>
        <v>22788000</v>
      </c>
      <c r="N36" s="187"/>
      <c r="O36" s="187"/>
      <c r="P36" s="187"/>
      <c r="Q36" s="515">
        <f t="shared" si="4"/>
        <v>-13406713.589210033</v>
      </c>
      <c r="R36" s="187"/>
      <c r="S36" s="515">
        <f t="shared" si="5"/>
        <v>-14196667.589210033</v>
      </c>
      <c r="AB36" s="366"/>
    </row>
    <row r="37" spans="1:33">
      <c r="A37" s="6">
        <f t="shared" si="6"/>
        <v>2017</v>
      </c>
      <c r="C37" s="187"/>
      <c r="D37" s="187"/>
      <c r="E37" s="522">
        <f>'Exhibit S,1'!I37+'Exhibit S,2'!E37</f>
        <v>39053514.956027672</v>
      </c>
      <c r="F37" s="187"/>
      <c r="G37" s="522">
        <f>'Exhibit S,1'!K37+'Exhibit S,2'!G37</f>
        <v>35287262.975527674</v>
      </c>
      <c r="H37" s="187"/>
      <c r="I37" s="187"/>
      <c r="J37" s="187"/>
      <c r="K37" s="515">
        <f>'Exhibit S,1'!O37+'Exhibit S,2'!K37</f>
        <v>34163000</v>
      </c>
      <c r="L37" s="187"/>
      <c r="M37" s="522">
        <f>'Exhibit S,1'!Q37+'Exhibit S,2'!M37</f>
        <v>25956000</v>
      </c>
      <c r="N37" s="187"/>
      <c r="O37" s="187"/>
      <c r="P37" s="187"/>
      <c r="Q37" s="515">
        <f t="shared" si="4"/>
        <v>-4890514.9560276717</v>
      </c>
      <c r="R37" s="187"/>
      <c r="S37" s="515">
        <f t="shared" si="5"/>
        <v>-9331262.975527674</v>
      </c>
      <c r="AB37" s="366"/>
    </row>
    <row r="38" spans="1:33">
      <c r="A38" s="6">
        <f t="shared" si="6"/>
        <v>2018</v>
      </c>
      <c r="C38" s="187"/>
      <c r="D38" s="187"/>
      <c r="E38" s="522">
        <f>'Exhibit S,1'!I38+'Exhibit S,2'!E38</f>
        <v>38976948.522905365</v>
      </c>
      <c r="F38" s="187"/>
      <c r="G38" s="522">
        <f>'Exhibit S,1'!K38+'Exhibit S,2'!G38</f>
        <v>29202781.323405366</v>
      </c>
      <c r="H38" s="187"/>
      <c r="I38" s="187"/>
      <c r="J38" s="187"/>
      <c r="K38" s="515">
        <f>'Exhibit S,1'!O38+'Exhibit S,2'!K38</f>
        <v>21593000</v>
      </c>
      <c r="L38" s="187"/>
      <c r="M38" s="522">
        <f>'Exhibit S,1'!Q38+'Exhibit S,2'!M38</f>
        <v>13280000</v>
      </c>
      <c r="N38" s="187"/>
      <c r="O38" s="187"/>
      <c r="P38" s="187"/>
      <c r="Q38" s="515">
        <f t="shared" si="4"/>
        <v>-17383948.522905365</v>
      </c>
      <c r="R38" s="187"/>
      <c r="S38" s="515">
        <f t="shared" si="5"/>
        <v>-15922781.323405366</v>
      </c>
      <c r="AB38" s="366"/>
    </row>
    <row r="39" spans="1:33">
      <c r="A39" s="6">
        <f t="shared" si="6"/>
        <v>2019</v>
      </c>
      <c r="C39" s="187"/>
      <c r="D39" s="187"/>
      <c r="E39" s="522">
        <f>'Exhibit S,1'!I39+'Exhibit S,2'!E39</f>
        <v>37131509.81108658</v>
      </c>
      <c r="F39" s="187"/>
      <c r="G39" s="522">
        <f>'Exhibit S,1'!K39+'Exhibit S,2'!G39</f>
        <v>26623059.503086582</v>
      </c>
      <c r="H39" s="187"/>
      <c r="I39" s="187"/>
      <c r="J39" s="187"/>
      <c r="K39" s="515">
        <f>'Exhibit S,1'!O39+'Exhibit S,2'!K39</f>
        <v>21690000</v>
      </c>
      <c r="L39" s="187"/>
      <c r="M39" s="522">
        <f>'Exhibit S,1'!Q39+'Exhibit S,2'!M39</f>
        <v>13109000</v>
      </c>
      <c r="N39" s="187"/>
      <c r="O39" s="187"/>
      <c r="P39" s="187"/>
      <c r="Q39" s="515">
        <f t="shared" si="4"/>
        <v>-15441509.81108658</v>
      </c>
      <c r="R39" s="187"/>
      <c r="S39" s="515">
        <f t="shared" si="5"/>
        <v>-13514059.503086582</v>
      </c>
      <c r="AB39" s="366"/>
    </row>
    <row r="40" spans="1:33">
      <c r="A40" s="6">
        <f t="shared" si="6"/>
        <v>2020</v>
      </c>
      <c r="C40" s="187"/>
      <c r="D40" s="187"/>
      <c r="E40" s="522">
        <f>'Exhibit S,1'!I40+'Exhibit S,2'!E40</f>
        <v>29697361.355093583</v>
      </c>
      <c r="F40" s="187"/>
      <c r="G40" s="522">
        <f>'Exhibit S,1'!K40+'Exhibit S,2'!G40</f>
        <v>24921009.194593586</v>
      </c>
      <c r="H40" s="187"/>
      <c r="I40" s="187"/>
      <c r="J40" s="187"/>
      <c r="K40" s="515">
        <f>'Exhibit S,1'!O40+'Exhibit S,2'!K40</f>
        <v>19100000</v>
      </c>
      <c r="L40" s="187"/>
      <c r="M40" s="522">
        <f>'Exhibit S,1'!Q40+'Exhibit S,2'!M40</f>
        <v>10111000</v>
      </c>
      <c r="N40" s="187"/>
      <c r="O40" s="187"/>
      <c r="P40" s="187"/>
      <c r="Q40" s="515">
        <f t="shared" si="4"/>
        <v>-10597361.355093583</v>
      </c>
      <c r="R40" s="187"/>
      <c r="S40" s="515">
        <f t="shared" si="5"/>
        <v>-14810009.194593586</v>
      </c>
      <c r="AB40" s="366"/>
    </row>
    <row r="41" spans="1:33">
      <c r="A41" s="6">
        <f t="shared" si="6"/>
        <v>2021</v>
      </c>
      <c r="C41" s="187"/>
      <c r="D41" s="187"/>
      <c r="E41" s="522">
        <f>'Exhibit S,1'!I41+'Exhibit S,2'!E41</f>
        <v>19057300.154080603</v>
      </c>
      <c r="F41" s="187"/>
      <c r="G41" s="522">
        <f>'Exhibit S,1'!K41+'Exhibit S,2'!G41</f>
        <v>17106602.680580601</v>
      </c>
      <c r="H41" s="187"/>
      <c r="I41" s="187"/>
      <c r="J41" s="187"/>
      <c r="K41" s="515">
        <f>'Exhibit S,1'!O41+'Exhibit S,2'!K41</f>
        <v>4608000</v>
      </c>
      <c r="L41" s="187"/>
      <c r="M41" s="522">
        <f>'Exhibit S,1'!Q41+'Exhibit S,2'!M41</f>
        <v>1348000</v>
      </c>
      <c r="N41" s="187"/>
      <c r="O41" s="187"/>
      <c r="P41" s="187"/>
      <c r="Q41" s="515">
        <f t="shared" si="4"/>
        <v>-14449300.154080603</v>
      </c>
      <c r="R41" s="187"/>
      <c r="S41" s="515">
        <f t="shared" si="5"/>
        <v>-15758602.680580601</v>
      </c>
      <c r="AB41" s="366"/>
    </row>
    <row r="42" spans="1:33">
      <c r="A42" s="6">
        <f t="shared" si="6"/>
        <v>2022</v>
      </c>
      <c r="C42" s="187"/>
      <c r="D42" s="187"/>
      <c r="E42" s="522">
        <f>'Exhibit S,1'!I42+'Exhibit S,2'!E42</f>
        <v>24512915.548471078</v>
      </c>
      <c r="F42" s="187"/>
      <c r="G42" s="522">
        <f>'Exhibit S,1'!K42+'Exhibit S,2'!G42</f>
        <v>20793244.358971082</v>
      </c>
      <c r="H42" s="187"/>
      <c r="I42" s="187"/>
      <c r="J42" s="187"/>
      <c r="K42" s="515">
        <f>'Exhibit S,1'!O42+'Exhibit S,2'!K42</f>
        <v>1560000</v>
      </c>
      <c r="L42" s="187"/>
      <c r="M42" s="522">
        <f>'Exhibit S,1'!Q42+'Exhibit S,2'!M42</f>
        <v>249000</v>
      </c>
      <c r="N42" s="187"/>
      <c r="O42" s="187"/>
      <c r="P42" s="187"/>
      <c r="Q42" s="515">
        <f t="shared" si="4"/>
        <v>-22952915.548471078</v>
      </c>
      <c r="R42" s="187"/>
      <c r="S42" s="515">
        <f t="shared" si="5"/>
        <v>-20544244.358971082</v>
      </c>
      <c r="AB42" s="366"/>
    </row>
    <row r="43" spans="1:33">
      <c r="A43" s="6"/>
      <c r="E43" s="345"/>
      <c r="G43" s="345"/>
      <c r="K43" s="345"/>
      <c r="M43" s="345"/>
      <c r="Q43" s="345"/>
      <c r="S43" s="345"/>
    </row>
    <row r="44" spans="1:33">
      <c r="A44" s="2" t="s">
        <v>0</v>
      </c>
      <c r="E44" s="26">
        <f>SUM(E34:E43)</f>
        <v>328315131.57598531</v>
      </c>
      <c r="G44" s="26">
        <f>SUM(G34:G43)</f>
        <v>279137619.41048521</v>
      </c>
      <c r="K44" s="26">
        <f>SUM(K34:K43)</f>
        <v>200691000</v>
      </c>
      <c r="M44" s="26">
        <f>SUM(M34:M43)</f>
        <v>142066000</v>
      </c>
      <c r="Q44" s="26">
        <f>SUM(Q34:Q43)</f>
        <v>-127624131.57598522</v>
      </c>
      <c r="S44" s="26">
        <f>SUM(S34:S43)</f>
        <v>-137071619.41048524</v>
      </c>
    </row>
    <row r="45" spans="1:33">
      <c r="A45" s="2"/>
    </row>
    <row r="46" spans="1:33">
      <c r="A46" s="2"/>
      <c r="AG46" s="366"/>
    </row>
    <row r="47" spans="1:33">
      <c r="A47" s="64" t="s">
        <v>322</v>
      </c>
      <c r="C47" s="3" t="s">
        <v>1510</v>
      </c>
      <c r="AA47" s="365"/>
      <c r="AB47" s="366"/>
      <c r="AD47" s="366"/>
      <c r="AG47" s="366"/>
    </row>
    <row r="48" spans="1:33">
      <c r="A48" s="64"/>
      <c r="C48" s="3"/>
      <c r="AA48" s="365"/>
      <c r="AB48" s="366"/>
      <c r="AD48" s="366"/>
      <c r="AG48" s="366"/>
    </row>
    <row r="49" spans="27:30">
      <c r="AA49" s="365"/>
      <c r="AB49" s="366"/>
      <c r="AD49" s="366"/>
    </row>
    <row r="50" spans="27:30">
      <c r="AA50" s="365"/>
      <c r="AB50" s="366"/>
      <c r="AD50" s="366"/>
    </row>
    <row r="51" spans="27:30">
      <c r="AA51" s="365"/>
      <c r="AB51" s="366"/>
      <c r="AD51" s="366"/>
    </row>
    <row r="52" spans="27:30">
      <c r="AA52" s="365"/>
      <c r="AB52" s="366"/>
      <c r="AD52" s="366"/>
    </row>
    <row r="53" spans="27:30">
      <c r="AA53" s="365"/>
      <c r="AB53" s="366"/>
      <c r="AD53" s="366"/>
    </row>
    <row r="54" spans="27:30">
      <c r="AA54" s="365"/>
      <c r="AB54" s="366"/>
      <c r="AD54" s="366"/>
    </row>
    <row r="55" spans="27:30">
      <c r="AA55" s="365"/>
      <c r="AB55" s="366"/>
      <c r="AD55" s="366"/>
    </row>
  </sheetData>
  <printOptions horizontalCentered="1"/>
  <pageMargins left="0.7" right="0.7" top="0.75" bottom="0.75" header="0.3" footer="0.3"/>
  <pageSetup scale="66" orientation="landscape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8">
    <tabColor rgb="FFFF0000"/>
    <pageSetUpPr fitToPage="1"/>
  </sheetPr>
  <dimension ref="A1:AA42"/>
  <sheetViews>
    <sheetView topLeftCell="A16" zoomScaleNormal="100" workbookViewId="0">
      <selection activeCell="K33" sqref="K33"/>
    </sheetView>
  </sheetViews>
  <sheetFormatPr baseColWidth="10" defaultColWidth="8.7109375" defaultRowHeight="15"/>
  <cols>
    <col min="1" max="1" width="10.7109375" style="1" customWidth="1"/>
    <col min="2" max="2" width="1.7109375" style="1" customWidth="1"/>
    <col min="3" max="3" width="10.7109375" style="1" customWidth="1"/>
    <col min="4" max="4" width="1.7109375" style="1" customWidth="1"/>
    <col min="5" max="5" width="10.7109375" style="1" customWidth="1"/>
    <col min="6" max="6" width="1.7109375" style="1" customWidth="1"/>
    <col min="7" max="7" width="10.7109375" style="1" customWidth="1"/>
    <col min="8" max="8" width="1.7109375" style="1" customWidth="1"/>
    <col min="9" max="9" width="10.7109375" style="1" customWidth="1"/>
    <col min="10" max="10" width="1.7109375" style="1" customWidth="1"/>
    <col min="11" max="11" width="10.7109375" style="1" customWidth="1"/>
    <col min="12" max="12" width="1.7109375" style="1" customWidth="1"/>
    <col min="13" max="13" width="13.28515625" style="1" customWidth="1"/>
    <col min="14" max="15" width="8.7109375" style="1"/>
    <col min="16" max="16" width="14.7109375" style="1" bestFit="1" customWidth="1"/>
    <col min="17" max="17" width="8.7109375" style="1"/>
    <col min="18" max="18" width="9.28515625" style="1" bestFit="1" customWidth="1"/>
    <col min="19" max="19" width="8.7109375" style="1"/>
    <col min="20" max="20" width="19.28515625" style="1" bestFit="1" customWidth="1"/>
    <col min="21" max="21" width="8.7109375" style="1"/>
    <col min="22" max="24" width="10.7109375" style="1" customWidth="1"/>
    <col min="25" max="16384" width="8.7109375" style="1"/>
  </cols>
  <sheetData>
    <row r="1" spans="1:27">
      <c r="M1" s="64" t="s">
        <v>951</v>
      </c>
    </row>
    <row r="2" spans="1:27">
      <c r="A2" s="140"/>
      <c r="M2" s="52" t="s">
        <v>56</v>
      </c>
    </row>
    <row r="3" spans="1:27">
      <c r="A3" s="140"/>
    </row>
    <row r="4" spans="1:27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27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27">
      <c r="A6" s="5" t="s">
        <v>140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27">
      <c r="A7" s="5" t="s">
        <v>49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27">
      <c r="A8" s="5" t="s">
        <v>1371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T8" s="174"/>
    </row>
    <row r="9" spans="1:27">
      <c r="A9" s="5">
        <v>2022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S9" s="25" t="s">
        <v>5</v>
      </c>
      <c r="AA9" s="25" t="s">
        <v>1436</v>
      </c>
    </row>
    <row r="10" spans="1:27">
      <c r="A10" s="140"/>
      <c r="R10" s="25"/>
      <c r="S10" s="25" t="s">
        <v>1379</v>
      </c>
      <c r="V10" s="25" t="s">
        <v>1436</v>
      </c>
      <c r="Y10" s="25" t="s">
        <v>170</v>
      </c>
      <c r="AA10" s="25" t="s">
        <v>177</v>
      </c>
    </row>
    <row r="11" spans="1:27">
      <c r="R11" s="25" t="s">
        <v>170</v>
      </c>
      <c r="S11" s="25" t="s">
        <v>1380</v>
      </c>
      <c r="T11" s="25" t="s">
        <v>170</v>
      </c>
      <c r="U11" s="61"/>
      <c r="V11" s="25" t="s">
        <v>177</v>
      </c>
      <c r="Y11" s="25" t="s">
        <v>1382</v>
      </c>
      <c r="AA11" s="25" t="s">
        <v>16</v>
      </c>
    </row>
    <row r="12" spans="1:27">
      <c r="R12" s="25" t="s">
        <v>4</v>
      </c>
      <c r="S12" s="25" t="s">
        <v>1381</v>
      </c>
      <c r="T12" s="25" t="s">
        <v>1382</v>
      </c>
      <c r="U12" s="61" t="s">
        <v>1308</v>
      </c>
      <c r="V12" s="25" t="s">
        <v>16</v>
      </c>
      <c r="W12" s="61" t="s">
        <v>1308</v>
      </c>
      <c r="Y12" s="25" t="s">
        <v>1456</v>
      </c>
      <c r="Z12" s="6"/>
      <c r="AA12" s="25" t="s">
        <v>1456</v>
      </c>
    </row>
    <row r="13" spans="1:27">
      <c r="A13" s="52" t="s">
        <v>27</v>
      </c>
      <c r="C13" s="1" t="s">
        <v>144</v>
      </c>
      <c r="R13" s="61">
        <v>2011</v>
      </c>
      <c r="S13" s="61">
        <v>77</v>
      </c>
      <c r="T13" s="172">
        <f>'Exhibit P,3'!M34</f>
        <v>1811.1678999999999</v>
      </c>
      <c r="U13" s="376">
        <f>S13/T13</f>
        <v>4.2514004361495147E-2</v>
      </c>
      <c r="V13" s="137">
        <v>45392952.630036339</v>
      </c>
      <c r="W13" s="377">
        <f>S13/V13*10000</f>
        <v>1.6962985560240777E-2</v>
      </c>
      <c r="Y13" s="259">
        <f t="shared" ref="Y13:Y22" si="0">T13/T$23</f>
        <v>1.3081534801179855</v>
      </c>
      <c r="AA13" s="259">
        <f t="shared" ref="AA13:AA22" si="1">V13/V$23</f>
        <v>1.4280734804145598</v>
      </c>
    </row>
    <row r="14" spans="1:27">
      <c r="C14" s="2" t="s">
        <v>1347</v>
      </c>
      <c r="K14" s="523">
        <f>'Exhibit T,3'!M47</f>
        <v>8018.490927733008</v>
      </c>
      <c r="O14" s="25"/>
      <c r="P14" s="25"/>
      <c r="Q14" s="25"/>
      <c r="R14" s="61">
        <v>2012</v>
      </c>
      <c r="S14" s="61">
        <v>93</v>
      </c>
      <c r="T14" s="172">
        <f>'Exhibit P,3'!M35</f>
        <v>1778.2047</v>
      </c>
      <c r="U14" s="376">
        <f t="shared" ref="U14:U23" si="2">S14/T14</f>
        <v>5.2299940496164474E-2</v>
      </c>
      <c r="V14" s="137">
        <v>42106221.321185812</v>
      </c>
      <c r="W14" s="377">
        <f t="shared" ref="W14:W23" si="3">S14/V14*10000</f>
        <v>2.2086997379935136E-2</v>
      </c>
      <c r="X14" s="25"/>
      <c r="Y14" s="259">
        <f t="shared" si="0"/>
        <v>1.284345127068097</v>
      </c>
      <c r="AA14" s="259">
        <f t="shared" si="1"/>
        <v>1.324672103163945</v>
      </c>
    </row>
    <row r="15" spans="1:27">
      <c r="C15" s="2" t="s">
        <v>1348</v>
      </c>
      <c r="K15" s="526">
        <f>'Exhibit T,3'!M48</f>
        <v>7510.1225783729224</v>
      </c>
      <c r="O15" s="25"/>
      <c r="P15" s="25"/>
      <c r="Q15" s="25"/>
      <c r="R15" s="61">
        <v>2013</v>
      </c>
      <c r="S15" s="61">
        <v>88</v>
      </c>
      <c r="T15" s="172">
        <f>'Exhibit P,3'!M36</f>
        <v>1598.8430000000003</v>
      </c>
      <c r="U15" s="376">
        <f t="shared" si="2"/>
        <v>5.503980065584925E-2</v>
      </c>
      <c r="V15" s="137">
        <v>42461322.459770419</v>
      </c>
      <c r="W15" s="377">
        <f t="shared" si="3"/>
        <v>2.0724743107889482E-2</v>
      </c>
      <c r="X15" s="25"/>
      <c r="Y15" s="259">
        <f t="shared" si="0"/>
        <v>1.1547974291131597</v>
      </c>
      <c r="AA15" s="259">
        <f t="shared" si="1"/>
        <v>1.3358436725265015</v>
      </c>
    </row>
    <row r="16" spans="1:27">
      <c r="C16" s="3" t="s">
        <v>1349</v>
      </c>
      <c r="K16" s="526">
        <f>'Exhibit T,3'!M49</f>
        <v>7702.842495128386</v>
      </c>
      <c r="O16" s="25"/>
      <c r="P16" s="25"/>
      <c r="Q16" s="25"/>
      <c r="R16" s="61">
        <v>2014</v>
      </c>
      <c r="S16" s="61">
        <v>66</v>
      </c>
      <c r="T16" s="172">
        <f>'Exhibit P,3'!M37</f>
        <v>1492.7619</v>
      </c>
      <c r="U16" s="376">
        <f t="shared" si="2"/>
        <v>4.4213347085024078E-2</v>
      </c>
      <c r="V16" s="137">
        <v>36785258.174826995</v>
      </c>
      <c r="W16" s="377">
        <f t="shared" si="3"/>
        <v>1.7941970037650933E-2</v>
      </c>
      <c r="X16" s="25"/>
      <c r="Y16" s="259">
        <f t="shared" si="0"/>
        <v>1.0781781603309866</v>
      </c>
      <c r="AA16" s="259">
        <f t="shared" si="1"/>
        <v>1.1572732908084298</v>
      </c>
    </row>
    <row r="17" spans="1:27">
      <c r="K17" s="526"/>
      <c r="M17" s="19"/>
      <c r="O17" s="25"/>
      <c r="P17" s="25"/>
      <c r="Q17" s="25"/>
      <c r="R17" s="61">
        <v>2015</v>
      </c>
      <c r="S17" s="61">
        <v>61</v>
      </c>
      <c r="T17" s="172">
        <f>'Exhibit P,3'!M38</f>
        <v>1447.8647000000001</v>
      </c>
      <c r="U17" s="376">
        <f t="shared" si="2"/>
        <v>4.2131008512052266E-2</v>
      </c>
      <c r="V17" s="137">
        <v>34690518.654915422</v>
      </c>
      <c r="W17" s="377">
        <f t="shared" si="3"/>
        <v>1.7584055345726775E-2</v>
      </c>
      <c r="Y17" s="259">
        <f t="shared" si="0"/>
        <v>1.045750228924101</v>
      </c>
      <c r="AA17" s="259">
        <f t="shared" si="1"/>
        <v>1.0913722690982313</v>
      </c>
    </row>
    <row r="18" spans="1:27">
      <c r="K18" s="527"/>
      <c r="O18" s="25"/>
      <c r="P18" s="25"/>
      <c r="Q18" s="25"/>
      <c r="R18" s="61">
        <v>2016</v>
      </c>
      <c r="S18" s="61">
        <v>59</v>
      </c>
      <c r="T18" s="172">
        <f>'Exhibit P,3'!M39</f>
        <v>1334.3542999999997</v>
      </c>
      <c r="U18" s="376">
        <f t="shared" si="2"/>
        <v>4.4216142594212055E-2</v>
      </c>
      <c r="V18" s="137">
        <v>34755211.110923126</v>
      </c>
      <c r="W18" s="377">
        <f t="shared" si="3"/>
        <v>1.6975871564036349E-2</v>
      </c>
      <c r="Y18" s="259">
        <f t="shared" si="0"/>
        <v>0.96376499454048303</v>
      </c>
      <c r="AA18" s="259">
        <f t="shared" si="1"/>
        <v>1.093407509712792</v>
      </c>
    </row>
    <row r="19" spans="1:27">
      <c r="A19" s="52" t="s">
        <v>33</v>
      </c>
      <c r="C19" s="1" t="s">
        <v>145</v>
      </c>
      <c r="K19" s="526"/>
      <c r="O19" s="25"/>
      <c r="P19" s="67"/>
      <c r="Q19" s="232"/>
      <c r="R19" s="61">
        <v>2017</v>
      </c>
      <c r="S19" s="61">
        <v>49</v>
      </c>
      <c r="T19" s="172">
        <f>'Exhibit P,3'!M40</f>
        <v>1313.2749999999999</v>
      </c>
      <c r="U19" s="376">
        <f t="shared" si="2"/>
        <v>3.7311301897926939E-2</v>
      </c>
      <c r="V19" s="137">
        <v>31119864.128855422</v>
      </c>
      <c r="W19" s="377">
        <f t="shared" si="3"/>
        <v>1.5745570031125391E-2</v>
      </c>
      <c r="Y19" s="259">
        <f t="shared" si="0"/>
        <v>0.94854003408626397</v>
      </c>
      <c r="AA19" s="259">
        <f t="shared" si="1"/>
        <v>0.97903859743893462</v>
      </c>
    </row>
    <row r="20" spans="1:27">
      <c r="C20" s="2" t="s">
        <v>1347</v>
      </c>
      <c r="K20" s="526">
        <f>'Exhibit T,2'!M47</f>
        <v>8215.9700993447514</v>
      </c>
      <c r="O20" s="25"/>
      <c r="P20" s="67"/>
      <c r="Q20" s="232"/>
      <c r="R20" s="61">
        <v>2018</v>
      </c>
      <c r="S20" s="61">
        <v>39</v>
      </c>
      <c r="T20" s="172">
        <f>'Exhibit P,3'!M41</f>
        <v>1177.6818000000001</v>
      </c>
      <c r="U20" s="376">
        <f t="shared" si="2"/>
        <v>3.3115906181109357E-2</v>
      </c>
      <c r="V20" s="137">
        <v>30673902.14603705</v>
      </c>
      <c r="W20" s="377">
        <f t="shared" si="3"/>
        <v>1.271439147661187E-2</v>
      </c>
      <c r="X20" s="72"/>
      <c r="Y20" s="259">
        <f t="shared" si="0"/>
        <v>0.8506050406158443</v>
      </c>
      <c r="AA20" s="259">
        <f t="shared" si="1"/>
        <v>0.96500852351696198</v>
      </c>
    </row>
    <row r="21" spans="1:27">
      <c r="C21" s="2" t="s">
        <v>1348</v>
      </c>
      <c r="K21" s="526">
        <f>'Exhibit T,2'!M48</f>
        <v>8954.7872084390237</v>
      </c>
      <c r="O21" s="25"/>
      <c r="P21" s="25"/>
      <c r="Q21" s="25"/>
      <c r="R21" s="61">
        <v>2019</v>
      </c>
      <c r="S21" s="61">
        <v>55</v>
      </c>
      <c r="T21" s="172">
        <f>'Exhibit P,3'!M42</f>
        <v>1203.3188</v>
      </c>
      <c r="U21" s="376">
        <f t="shared" si="2"/>
        <v>4.5706923219349688E-2</v>
      </c>
      <c r="V21" s="137">
        <v>28463901.14724391</v>
      </c>
      <c r="W21" s="377">
        <f t="shared" si="3"/>
        <v>1.9322720281905389E-2</v>
      </c>
      <c r="Y21" s="259">
        <f t="shared" si="0"/>
        <v>0.86912189417193075</v>
      </c>
      <c r="AA21" s="259">
        <f t="shared" si="1"/>
        <v>0.89548134726586637</v>
      </c>
    </row>
    <row r="22" spans="1:27">
      <c r="C22" s="3" t="s">
        <v>1349</v>
      </c>
      <c r="K22" s="526">
        <f>'Exhibit T,2'!M49</f>
        <v>7972.7637431522799</v>
      </c>
      <c r="O22" s="61"/>
      <c r="P22" s="61"/>
      <c r="Q22" s="61"/>
      <c r="R22" s="61">
        <v>2020</v>
      </c>
      <c r="S22" s="61">
        <v>37</v>
      </c>
      <c r="T22" s="172">
        <f>'Exhibit P,3'!M43</f>
        <v>1323.6506800000002</v>
      </c>
      <c r="U22" s="376">
        <f t="shared" si="2"/>
        <v>2.7952994365552698E-2</v>
      </c>
      <c r="V22" s="137">
        <v>30388639.285188183</v>
      </c>
      <c r="W22" s="377">
        <f t="shared" si="3"/>
        <v>1.2175602748371258E-2</v>
      </c>
      <c r="Y22" s="259">
        <f t="shared" si="0"/>
        <v>0.95603408358912401</v>
      </c>
      <c r="AA22" s="259">
        <f t="shared" si="1"/>
        <v>0.95603408358912412</v>
      </c>
    </row>
    <row r="23" spans="1:27">
      <c r="K23" s="526"/>
      <c r="M23" s="19"/>
      <c r="O23" s="25"/>
      <c r="P23" s="61"/>
      <c r="Q23" s="61"/>
      <c r="R23" s="61">
        <v>2021</v>
      </c>
      <c r="S23" s="61">
        <v>30</v>
      </c>
      <c r="T23" s="419">
        <f>T22*V23/V22</f>
        <v>1384.5224796073978</v>
      </c>
      <c r="U23" s="376">
        <f t="shared" si="2"/>
        <v>2.1668120555548474E-2</v>
      </c>
      <c r="V23" s="137">
        <v>31786146.338113554</v>
      </c>
      <c r="W23" s="377">
        <f t="shared" si="3"/>
        <v>9.4380739586629736E-3</v>
      </c>
      <c r="Y23" s="259">
        <f>T23/T$23</f>
        <v>1</v>
      </c>
      <c r="AA23" s="259">
        <f>V23/V$23</f>
        <v>1</v>
      </c>
    </row>
    <row r="24" spans="1:27">
      <c r="K24" s="527"/>
      <c r="O24" s="25"/>
      <c r="P24" s="61"/>
      <c r="Q24" s="61"/>
      <c r="R24" s="61"/>
      <c r="S24" s="61"/>
      <c r="T24" s="61"/>
      <c r="U24" s="61"/>
      <c r="V24" s="61"/>
      <c r="W24" s="61"/>
      <c r="X24" s="61"/>
      <c r="Y24" s="61"/>
    </row>
    <row r="25" spans="1:27">
      <c r="A25" s="52" t="s">
        <v>36</v>
      </c>
      <c r="C25" s="3" t="s">
        <v>1581</v>
      </c>
      <c r="K25" s="527">
        <f>8080</f>
        <v>8080</v>
      </c>
      <c r="O25" s="25"/>
      <c r="P25" s="61"/>
      <c r="Q25" s="61"/>
      <c r="R25" s="61" t="s">
        <v>1383</v>
      </c>
      <c r="S25" s="61"/>
      <c r="T25" s="61"/>
      <c r="U25" s="259">
        <f>SUMPRODUCT(U13:U23,T13:T23)/SUM(T13:T23)</f>
        <v>4.1221140980948888E-2</v>
      </c>
      <c r="V25" s="61"/>
      <c r="W25" s="259">
        <f>SUMPRODUCT(W13:W23,V13:V23)/SUM(V13:V23)</f>
        <v>1.682860825250047E-2</v>
      </c>
      <c r="X25" s="61"/>
    </row>
    <row r="26" spans="1:27">
      <c r="K26" s="526"/>
      <c r="O26" s="25"/>
      <c r="P26" s="172"/>
      <c r="Q26" s="149"/>
      <c r="R26" s="259"/>
      <c r="S26" s="149"/>
      <c r="U26" s="61"/>
      <c r="V26" s="61"/>
      <c r="W26" s="61"/>
      <c r="X26" s="61"/>
    </row>
    <row r="27" spans="1:27">
      <c r="K27" s="527"/>
      <c r="O27" s="25"/>
      <c r="P27" s="172"/>
      <c r="Q27" s="61"/>
      <c r="R27" s="61"/>
      <c r="S27" s="61"/>
      <c r="T27" s="72"/>
      <c r="U27" s="246"/>
      <c r="V27" s="232" t="s">
        <v>1308</v>
      </c>
      <c r="W27" s="247"/>
      <c r="X27" s="149"/>
    </row>
    <row r="28" spans="1:27">
      <c r="A28" s="52" t="s">
        <v>38</v>
      </c>
      <c r="C28" s="1" t="s">
        <v>1582</v>
      </c>
      <c r="K28" s="527">
        <v>8000</v>
      </c>
      <c r="O28" s="61"/>
      <c r="P28" s="61"/>
      <c r="Q28" s="61"/>
      <c r="R28" s="61"/>
      <c r="S28" s="61"/>
      <c r="T28" s="61"/>
      <c r="U28" s="61"/>
      <c r="V28" s="25" t="s">
        <v>321</v>
      </c>
      <c r="W28" s="25"/>
      <c r="X28" s="61"/>
    </row>
    <row r="29" spans="1:27">
      <c r="O29" s="61"/>
      <c r="P29" s="61"/>
      <c r="Q29" s="61"/>
      <c r="R29" s="61"/>
      <c r="S29" s="61"/>
      <c r="T29" s="61"/>
      <c r="U29" s="61"/>
      <c r="V29" s="25" t="s">
        <v>564</v>
      </c>
      <c r="W29" s="25" t="s">
        <v>1</v>
      </c>
      <c r="X29" s="72"/>
    </row>
    <row r="30" spans="1:27">
      <c r="K30" s="26"/>
      <c r="O30" s="61"/>
      <c r="P30" s="61"/>
      <c r="Q30" s="61"/>
      <c r="R30" s="61"/>
      <c r="S30" s="61"/>
      <c r="T30" s="61"/>
      <c r="U30" s="61"/>
      <c r="V30" s="25" t="s">
        <v>1457</v>
      </c>
      <c r="W30" s="25" t="s">
        <v>1457</v>
      </c>
      <c r="X30" s="61"/>
    </row>
    <row r="31" spans="1:27">
      <c r="A31" s="52" t="s">
        <v>40</v>
      </c>
      <c r="C31" s="1" t="s">
        <v>1350</v>
      </c>
      <c r="K31" s="524">
        <f>0.75*K28</f>
        <v>6000</v>
      </c>
    </row>
    <row r="32" spans="1:27">
      <c r="V32" s="67">
        <f>K28/1.01*W22/W25</f>
        <v>5730.7423383957912</v>
      </c>
      <c r="W32" s="67">
        <f>W33/1.01</f>
        <v>5940.5940594059402</v>
      </c>
    </row>
    <row r="33" spans="1:23">
      <c r="A33" s="64" t="s">
        <v>42</v>
      </c>
      <c r="C33" s="1" t="s">
        <v>1594</v>
      </c>
      <c r="K33" s="525">
        <f>K31/(1+'Exhibit T,2'!I58)</f>
        <v>5940.5940594059402</v>
      </c>
      <c r="M33" s="339"/>
      <c r="V33" s="84">
        <f>K28*W23/W22</f>
        <v>6201.3021638213449</v>
      </c>
      <c r="W33" s="137">
        <f>K31</f>
        <v>6000</v>
      </c>
    </row>
    <row r="35" spans="1:23">
      <c r="T35" s="420"/>
      <c r="U35" s="61" t="s">
        <v>1458</v>
      </c>
    </row>
    <row r="36" spans="1:23">
      <c r="P36" s="137"/>
    </row>
    <row r="37" spans="1:23">
      <c r="A37" s="52" t="s">
        <v>141</v>
      </c>
      <c r="C37" s="3" t="s">
        <v>953</v>
      </c>
    </row>
    <row r="38" spans="1:23">
      <c r="A38" s="52" t="s">
        <v>33</v>
      </c>
      <c r="C38" s="3" t="s">
        <v>954</v>
      </c>
      <c r="T38" s="20"/>
    </row>
    <row r="39" spans="1:23">
      <c r="A39" s="52" t="s">
        <v>36</v>
      </c>
      <c r="C39" s="3" t="s">
        <v>1583</v>
      </c>
      <c r="M39" s="73">
        <v>0.01</v>
      </c>
      <c r="N39" s="1" t="s">
        <v>1552</v>
      </c>
    </row>
    <row r="40" spans="1:23">
      <c r="A40" s="64" t="s">
        <v>38</v>
      </c>
      <c r="C40" s="1" t="s">
        <v>1551</v>
      </c>
      <c r="E40" s="3"/>
    </row>
    <row r="41" spans="1:23">
      <c r="A41" s="52" t="s">
        <v>40</v>
      </c>
      <c r="C41" s="140" t="s">
        <v>1374</v>
      </c>
      <c r="H41" s="248"/>
      <c r="I41" s="190"/>
    </row>
    <row r="42" spans="1:23">
      <c r="H42" s="248"/>
      <c r="I42" s="190"/>
    </row>
  </sheetData>
  <phoneticPr fontId="8" type="noConversion"/>
  <printOptions horizontalCentered="1"/>
  <pageMargins left="0.7" right="0.7" top="0.75" bottom="0.75" header="0.3" footer="0.3"/>
  <pageSetup scale="85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9">
    <tabColor rgb="FFFF0000"/>
    <pageSetUpPr fitToPage="1"/>
  </sheetPr>
  <dimension ref="A1:W58"/>
  <sheetViews>
    <sheetView topLeftCell="A26" zoomScaleNormal="100" workbookViewId="0">
      <selection activeCell="M16" sqref="M16"/>
    </sheetView>
  </sheetViews>
  <sheetFormatPr baseColWidth="10" defaultColWidth="8.7109375" defaultRowHeight="15"/>
  <cols>
    <col min="1" max="1" width="10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0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0.7109375" style="1" customWidth="1"/>
    <col min="10" max="10" width="1.7109375" style="1" customWidth="1"/>
    <col min="11" max="11" width="10.7109375" style="1" customWidth="1"/>
    <col min="12" max="12" width="1.7109375" style="1" customWidth="1"/>
    <col min="13" max="13" width="10.7109375" style="1" customWidth="1"/>
    <col min="14" max="15" width="8.7109375" style="1"/>
    <col min="16" max="21" width="12.7109375" style="1" customWidth="1"/>
    <col min="22" max="16384" width="8.7109375" style="1"/>
  </cols>
  <sheetData>
    <row r="1" spans="1:23">
      <c r="M1" s="64" t="s">
        <v>951</v>
      </c>
    </row>
    <row r="2" spans="1:23">
      <c r="M2" s="52" t="s">
        <v>45</v>
      </c>
    </row>
    <row r="4" spans="1:23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6" spans="1:23">
      <c r="A6" s="5" t="s">
        <v>140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23">
      <c r="A7" s="5" t="s">
        <v>223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23">
      <c r="A8" s="5" t="s">
        <v>1371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23">
      <c r="A9" s="5">
        <v>2022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P9" s="121"/>
      <c r="Q9" s="61"/>
      <c r="R9" s="61"/>
      <c r="S9" s="61"/>
      <c r="T9" s="61"/>
      <c r="U9" s="61"/>
    </row>
    <row r="11" spans="1:23">
      <c r="I11" s="6" t="s">
        <v>705</v>
      </c>
    </row>
    <row r="12" spans="1:23">
      <c r="A12" s="6" t="s">
        <v>6</v>
      </c>
      <c r="C12" s="6" t="s">
        <v>14</v>
      </c>
      <c r="E12" s="2" t="s">
        <v>91</v>
      </c>
      <c r="G12" s="6" t="s">
        <v>67</v>
      </c>
      <c r="I12" s="6" t="s">
        <v>47</v>
      </c>
      <c r="K12" s="5" t="s">
        <v>147</v>
      </c>
      <c r="L12" s="5"/>
      <c r="M12" s="5"/>
    </row>
    <row r="13" spans="1:23">
      <c r="A13" s="6" t="s">
        <v>4</v>
      </c>
      <c r="B13" s="6"/>
      <c r="C13" s="109" t="s">
        <v>55</v>
      </c>
      <c r="D13" s="6"/>
      <c r="E13" s="2" t="s">
        <v>22</v>
      </c>
      <c r="F13" s="6"/>
      <c r="G13" s="6" t="s">
        <v>55</v>
      </c>
      <c r="H13" s="6"/>
      <c r="I13" s="6" t="s">
        <v>48</v>
      </c>
      <c r="J13" s="6"/>
      <c r="K13" s="106" t="s">
        <v>79</v>
      </c>
      <c r="L13" s="106"/>
      <c r="M13" s="106" t="s">
        <v>148</v>
      </c>
      <c r="W13" s="6"/>
    </row>
    <row r="14" spans="1:23">
      <c r="A14" s="106" t="s">
        <v>27</v>
      </c>
      <c r="B14" s="6"/>
      <c r="C14" s="106" t="s">
        <v>33</v>
      </c>
      <c r="D14" s="6"/>
      <c r="E14" s="106" t="s">
        <v>36</v>
      </c>
      <c r="F14" s="6"/>
      <c r="G14" s="106" t="s">
        <v>38</v>
      </c>
      <c r="H14" s="6"/>
      <c r="I14" s="106" t="s">
        <v>40</v>
      </c>
      <c r="J14" s="6"/>
      <c r="K14" s="106" t="s">
        <v>42</v>
      </c>
      <c r="L14" s="6"/>
      <c r="M14" s="106" t="s">
        <v>30</v>
      </c>
      <c r="W14" s="6"/>
    </row>
    <row r="16" spans="1:23">
      <c r="A16" s="6">
        <v>1994</v>
      </c>
      <c r="C16" s="497">
        <f>'Exhibit O,3'!I16</f>
        <v>25659084.629999999</v>
      </c>
      <c r="E16" s="74">
        <v>1</v>
      </c>
      <c r="G16" s="495">
        <f t="shared" ref="G16:G43" si="0">C16/E16</f>
        <v>25659084.629999999</v>
      </c>
      <c r="I16" s="509">
        <f>'Exhibit P,3'!M16</f>
        <v>4511.1579999999994</v>
      </c>
      <c r="K16" s="147">
        <f>G16/I16</f>
        <v>5687.9153046734345</v>
      </c>
      <c r="L16" s="19"/>
      <c r="M16" s="497">
        <f t="shared" ref="M16:M43" si="1">K16*(1+I$58)^(A$9-A16)</f>
        <v>7515.3911125473232</v>
      </c>
    </row>
    <row r="17" spans="1:21">
      <c r="A17" s="6">
        <f>A16+1</f>
        <v>1995</v>
      </c>
      <c r="C17" s="494">
        <f>'Exhibit O,3'!I17</f>
        <v>27896034.309999995</v>
      </c>
      <c r="E17" s="74">
        <v>1</v>
      </c>
      <c r="G17" s="494">
        <f t="shared" si="0"/>
        <v>27896034.309999995</v>
      </c>
      <c r="I17" s="114">
        <f>'Exhibit P,3'!M17</f>
        <v>4562.8492000000006</v>
      </c>
      <c r="J17" s="187"/>
      <c r="K17" s="494">
        <f t="shared" ref="K17:K43" si="2">G17/I17</f>
        <v>6113.7313742474753</v>
      </c>
      <c r="L17" s="187"/>
      <c r="M17" s="187">
        <f t="shared" si="1"/>
        <v>7998.0376622134845</v>
      </c>
    </row>
    <row r="18" spans="1:21">
      <c r="A18" s="6">
        <f t="shared" ref="A18:A43" si="3">A17+1</f>
        <v>1996</v>
      </c>
      <c r="C18" s="494">
        <f>'Exhibit O,3'!I18</f>
        <v>30198928.089999996</v>
      </c>
      <c r="E18" s="74">
        <v>1</v>
      </c>
      <c r="G18" s="494">
        <f t="shared" si="0"/>
        <v>30198928.089999996</v>
      </c>
      <c r="I18" s="114">
        <f>'Exhibit P,3'!M18</f>
        <v>4624.8005999999996</v>
      </c>
      <c r="J18" s="187"/>
      <c r="K18" s="494">
        <f t="shared" si="2"/>
        <v>6529.7794871415645</v>
      </c>
      <c r="L18" s="187"/>
      <c r="M18" s="187">
        <f t="shared" si="1"/>
        <v>8457.7381160647456</v>
      </c>
      <c r="P18" s="172"/>
      <c r="Q18" s="72"/>
      <c r="R18" s="137"/>
      <c r="S18" s="172"/>
      <c r="T18" s="137"/>
      <c r="U18" s="137"/>
    </row>
    <row r="19" spans="1:21">
      <c r="A19" s="6">
        <f t="shared" si="3"/>
        <v>1997</v>
      </c>
      <c r="C19" s="494">
        <f>'Exhibit O,3'!I19</f>
        <v>26713733.369999997</v>
      </c>
      <c r="E19" s="74">
        <v>1</v>
      </c>
      <c r="G19" s="494">
        <f t="shared" si="0"/>
        <v>26713733.369999997</v>
      </c>
      <c r="I19" s="114">
        <f>'Exhibit P,3'!M19</f>
        <v>4072.9379999999996</v>
      </c>
      <c r="J19" s="187"/>
      <c r="K19" s="494">
        <f t="shared" si="2"/>
        <v>6558.8362430265324</v>
      </c>
      <c r="L19" s="187"/>
      <c r="M19" s="187">
        <f t="shared" si="1"/>
        <v>8411.2614481358578</v>
      </c>
      <c r="P19" s="172"/>
      <c r="Q19" s="72"/>
      <c r="R19" s="137"/>
      <c r="S19" s="172"/>
      <c r="T19" s="137"/>
      <c r="U19" s="137"/>
    </row>
    <row r="20" spans="1:21">
      <c r="A20" s="6">
        <f t="shared" si="3"/>
        <v>1998</v>
      </c>
      <c r="C20" s="494">
        <f>'Exhibit O,3'!I20</f>
        <v>29164670.75</v>
      </c>
      <c r="E20" s="74">
        <v>1</v>
      </c>
      <c r="G20" s="494">
        <f t="shared" si="0"/>
        <v>29164670.75</v>
      </c>
      <c r="I20" s="114">
        <f>'Exhibit P,3'!M20</f>
        <v>4048.5936999999999</v>
      </c>
      <c r="J20" s="187"/>
      <c r="K20" s="494">
        <f t="shared" si="2"/>
        <v>7203.654629507525</v>
      </c>
      <c r="L20" s="187"/>
      <c r="M20" s="187">
        <f t="shared" si="1"/>
        <v>9146.7298791430403</v>
      </c>
      <c r="P20" s="172"/>
      <c r="Q20" s="72"/>
      <c r="R20" s="137"/>
      <c r="S20" s="172"/>
      <c r="T20" s="137"/>
      <c r="U20" s="137"/>
    </row>
    <row r="21" spans="1:21">
      <c r="A21" s="6">
        <f t="shared" si="3"/>
        <v>1999</v>
      </c>
      <c r="C21" s="494">
        <f>'Exhibit O,3'!I21</f>
        <v>35137110.340000004</v>
      </c>
      <c r="E21" s="74">
        <v>1</v>
      </c>
      <c r="G21" s="494">
        <f t="shared" si="0"/>
        <v>35137110.340000004</v>
      </c>
      <c r="I21" s="114">
        <f>'Exhibit P,3'!M21</f>
        <v>4212.7678000000005</v>
      </c>
      <c r="J21" s="187"/>
      <c r="K21" s="494">
        <f t="shared" si="2"/>
        <v>8340.6235539494955</v>
      </c>
      <c r="L21" s="187"/>
      <c r="M21" s="187">
        <f t="shared" si="1"/>
        <v>10485.52348199116</v>
      </c>
      <c r="P21" s="172"/>
      <c r="Q21" s="72"/>
      <c r="R21" s="137"/>
      <c r="S21" s="172"/>
      <c r="T21" s="137"/>
      <c r="U21" s="137"/>
    </row>
    <row r="22" spans="1:21">
      <c r="A22" s="6">
        <f t="shared" si="3"/>
        <v>2000</v>
      </c>
      <c r="C22" s="494">
        <f>'Exhibit O,3'!I22</f>
        <v>27795495.93</v>
      </c>
      <c r="E22" s="74">
        <v>1</v>
      </c>
      <c r="G22" s="494">
        <f t="shared" si="0"/>
        <v>27795495.93</v>
      </c>
      <c r="I22" s="114">
        <f>'Exhibit P,3'!M22</f>
        <v>4146.0517999999993</v>
      </c>
      <c r="J22" s="187"/>
      <c r="K22" s="494">
        <f t="shared" si="2"/>
        <v>6704.0879542315424</v>
      </c>
      <c r="L22" s="187"/>
      <c r="M22" s="187">
        <f t="shared" si="1"/>
        <v>8344.6846017971093</v>
      </c>
      <c r="P22" s="172"/>
      <c r="Q22" s="72"/>
      <c r="R22" s="137"/>
      <c r="S22" s="172"/>
      <c r="T22" s="137"/>
      <c r="U22" s="137"/>
    </row>
    <row r="23" spans="1:21">
      <c r="A23" s="6">
        <f t="shared" si="3"/>
        <v>2001</v>
      </c>
      <c r="C23" s="494">
        <f>'Exhibit O,3'!I23</f>
        <v>22560712.330000006</v>
      </c>
      <c r="E23" s="74">
        <v>1</v>
      </c>
      <c r="G23" s="494">
        <f t="shared" si="0"/>
        <v>22560712.330000006</v>
      </c>
      <c r="I23" s="114">
        <f>'Exhibit P,3'!M23</f>
        <v>3863.9497000000001</v>
      </c>
      <c r="J23" s="187"/>
      <c r="K23" s="494">
        <f t="shared" si="2"/>
        <v>5838.7696739427029</v>
      </c>
      <c r="L23" s="187"/>
      <c r="M23" s="187">
        <f t="shared" si="1"/>
        <v>7195.6526877120759</v>
      </c>
      <c r="P23" s="172"/>
      <c r="Q23" s="72"/>
      <c r="R23" s="137"/>
      <c r="S23" s="172"/>
      <c r="T23" s="137"/>
      <c r="U23" s="137"/>
    </row>
    <row r="24" spans="1:21">
      <c r="A24" s="6">
        <f t="shared" si="3"/>
        <v>2002</v>
      </c>
      <c r="C24" s="494">
        <f>'Exhibit O,3'!I24</f>
        <v>26310397.339999992</v>
      </c>
      <c r="E24" s="74">
        <v>1</v>
      </c>
      <c r="G24" s="494">
        <f t="shared" si="0"/>
        <v>26310397.339999992</v>
      </c>
      <c r="I24" s="114">
        <f>'Exhibit P,3'!M24</f>
        <v>3456.9573</v>
      </c>
      <c r="J24" s="187"/>
      <c r="K24" s="494">
        <f t="shared" si="2"/>
        <v>7610.8540131519685</v>
      </c>
      <c r="L24" s="187"/>
      <c r="M24" s="187">
        <f t="shared" si="1"/>
        <v>9286.688262346046</v>
      </c>
      <c r="P24" s="172"/>
      <c r="Q24" s="72"/>
      <c r="R24" s="137"/>
      <c r="S24" s="172"/>
      <c r="T24" s="137"/>
      <c r="U24" s="137"/>
    </row>
    <row r="25" spans="1:21">
      <c r="A25" s="6">
        <f t="shared" si="3"/>
        <v>2003</v>
      </c>
      <c r="C25" s="494">
        <f>'Exhibit O,3'!I25</f>
        <v>20878044.309999999</v>
      </c>
      <c r="E25" s="74">
        <f>'Exhibit Q,3'!I16</f>
        <v>1</v>
      </c>
      <c r="G25" s="494">
        <f t="shared" si="0"/>
        <v>20878044.309999999</v>
      </c>
      <c r="I25" s="114">
        <f>'Exhibit P,3'!M25</f>
        <v>2679.9839999999999</v>
      </c>
      <c r="J25" s="187"/>
      <c r="K25" s="494">
        <f t="shared" si="2"/>
        <v>7790.3615506659735</v>
      </c>
      <c r="L25" s="187"/>
      <c r="M25" s="187">
        <f t="shared" si="1"/>
        <v>9411.6055165507132</v>
      </c>
      <c r="P25" s="172"/>
      <c r="Q25" s="72"/>
      <c r="R25" s="137"/>
      <c r="S25" s="172"/>
      <c r="T25" s="137"/>
      <c r="U25" s="137"/>
    </row>
    <row r="26" spans="1:21">
      <c r="A26" s="6">
        <f t="shared" si="3"/>
        <v>2004</v>
      </c>
      <c r="C26" s="494">
        <f>'Exhibit O,3'!I26</f>
        <v>14303436.559999997</v>
      </c>
      <c r="E26" s="74">
        <f>'Exhibit Q,3'!I17</f>
        <v>1</v>
      </c>
      <c r="G26" s="494">
        <f t="shared" si="0"/>
        <v>14303436.559999997</v>
      </c>
      <c r="I26" s="114">
        <f>'Exhibit P,3'!M26</f>
        <v>2444.1657</v>
      </c>
      <c r="J26" s="187"/>
      <c r="K26" s="494">
        <f t="shared" si="2"/>
        <v>5852.073188000305</v>
      </c>
      <c r="L26" s="187"/>
      <c r="M26" s="187">
        <f t="shared" si="1"/>
        <v>6999.9425713601804</v>
      </c>
      <c r="P26" s="172"/>
      <c r="Q26" s="72"/>
      <c r="R26" s="137"/>
      <c r="S26" s="172"/>
      <c r="T26" s="137"/>
      <c r="U26" s="137"/>
    </row>
    <row r="27" spans="1:21">
      <c r="A27" s="6">
        <f t="shared" si="3"/>
        <v>2005</v>
      </c>
      <c r="C27" s="494">
        <f>'Exhibit O,3'!I27</f>
        <v>16243160.280000001</v>
      </c>
      <c r="E27" s="74">
        <f>'Exhibit Q,3'!I18</f>
        <v>1</v>
      </c>
      <c r="G27" s="494">
        <f t="shared" si="0"/>
        <v>16243160.280000001</v>
      </c>
      <c r="I27" s="114">
        <f>'Exhibit P,3'!M27</f>
        <v>2274.9785999999999</v>
      </c>
      <c r="J27" s="187"/>
      <c r="K27" s="494">
        <f t="shared" si="2"/>
        <v>7139.9178348315018</v>
      </c>
      <c r="L27" s="187"/>
      <c r="M27" s="187">
        <f t="shared" si="1"/>
        <v>8455.8363314296057</v>
      </c>
      <c r="P27" s="172"/>
      <c r="Q27" s="72"/>
      <c r="R27" s="137"/>
      <c r="S27" s="172"/>
      <c r="T27" s="137"/>
      <c r="U27" s="137"/>
    </row>
    <row r="28" spans="1:21">
      <c r="A28" s="6">
        <f t="shared" si="3"/>
        <v>2006</v>
      </c>
      <c r="C28" s="494">
        <f>'Exhibit O,3'!I28</f>
        <v>14659669.499999998</v>
      </c>
      <c r="E28" s="74">
        <f>'Exhibit Q,3'!I19</f>
        <v>1</v>
      </c>
      <c r="G28" s="494">
        <f t="shared" si="0"/>
        <v>14659669.499999998</v>
      </c>
      <c r="I28" s="114">
        <f>'Exhibit P,3'!M28</f>
        <v>2233.3467000000001</v>
      </c>
      <c r="J28" s="187"/>
      <c r="K28" s="494">
        <f t="shared" si="2"/>
        <v>6563.991833422011</v>
      </c>
      <c r="L28" s="187"/>
      <c r="M28" s="187">
        <f t="shared" si="1"/>
        <v>7696.7966493242066</v>
      </c>
      <c r="P28" s="172"/>
      <c r="Q28" s="72"/>
      <c r="R28" s="137"/>
      <c r="S28" s="172"/>
      <c r="T28" s="137"/>
      <c r="U28" s="137"/>
    </row>
    <row r="29" spans="1:21">
      <c r="A29" s="6">
        <f t="shared" si="3"/>
        <v>2007</v>
      </c>
      <c r="C29" s="494">
        <f>'Exhibit O,3'!I29</f>
        <v>16719584.209999999</v>
      </c>
      <c r="E29" s="74">
        <f>'Exhibit Q,3'!I20</f>
        <v>1</v>
      </c>
      <c r="G29" s="494">
        <f t="shared" si="0"/>
        <v>16719584.209999999</v>
      </c>
      <c r="I29" s="114">
        <f>'Exhibit P,3'!M29</f>
        <v>2202.5099</v>
      </c>
      <c r="J29" s="187"/>
      <c r="K29" s="494">
        <f t="shared" si="2"/>
        <v>7591.1505369396973</v>
      </c>
      <c r="L29" s="187"/>
      <c r="M29" s="187">
        <f t="shared" si="1"/>
        <v>8813.0901089272829</v>
      </c>
      <c r="P29" s="172"/>
      <c r="Q29" s="72"/>
      <c r="R29" s="137"/>
      <c r="S29" s="172"/>
      <c r="T29" s="137"/>
      <c r="U29" s="137"/>
    </row>
    <row r="30" spans="1:21">
      <c r="A30" s="6">
        <f t="shared" si="3"/>
        <v>2008</v>
      </c>
      <c r="C30" s="494">
        <f>'Exhibit O,3'!I30</f>
        <v>15508781.949999999</v>
      </c>
      <c r="E30" s="74">
        <f>'Exhibit Q,3'!I21</f>
        <v>1</v>
      </c>
      <c r="G30" s="494">
        <f t="shared" si="0"/>
        <v>15508781.949999999</v>
      </c>
      <c r="I30" s="114">
        <f>'Exhibit P,3'!M30</f>
        <v>2097.5783999999999</v>
      </c>
      <c r="J30" s="187"/>
      <c r="K30" s="494">
        <f t="shared" si="2"/>
        <v>7393.6602083621765</v>
      </c>
      <c r="L30" s="187"/>
      <c r="M30" s="187">
        <f t="shared" si="1"/>
        <v>8498.8217509534297</v>
      </c>
      <c r="P30" s="172"/>
      <c r="Q30" s="72"/>
      <c r="R30" s="137"/>
      <c r="S30" s="172"/>
      <c r="T30" s="137"/>
      <c r="U30" s="137"/>
    </row>
    <row r="31" spans="1:21">
      <c r="A31" s="6">
        <f t="shared" si="3"/>
        <v>2009</v>
      </c>
      <c r="C31" s="494">
        <f>'Exhibit O,3'!I31</f>
        <v>12635738.100000003</v>
      </c>
      <c r="E31" s="74">
        <f>'Exhibit Q,3'!I22</f>
        <v>0.99885986733001664</v>
      </c>
      <c r="G31" s="494">
        <f t="shared" si="0"/>
        <v>12650160.961793091</v>
      </c>
      <c r="I31" s="114">
        <f>'Exhibit P,3'!M31</f>
        <v>1981.5272</v>
      </c>
      <c r="J31" s="187"/>
      <c r="K31" s="494">
        <f t="shared" si="2"/>
        <v>6384.0460841481718</v>
      </c>
      <c r="L31" s="187"/>
      <c r="M31" s="187">
        <f t="shared" si="1"/>
        <v>7265.6399503454886</v>
      </c>
      <c r="P31" s="172"/>
      <c r="Q31" s="72"/>
      <c r="R31" s="137"/>
      <c r="S31" s="172"/>
      <c r="T31" s="137"/>
      <c r="U31" s="137"/>
    </row>
    <row r="32" spans="1:21">
      <c r="A32" s="6">
        <f t="shared" si="3"/>
        <v>2010</v>
      </c>
      <c r="C32" s="494">
        <f>'Exhibit O,3'!I32</f>
        <v>16673387.52</v>
      </c>
      <c r="E32" s="74">
        <f>'Exhibit Q,3'!I23</f>
        <v>0.99510802216026106</v>
      </c>
      <c r="G32" s="494">
        <f t="shared" si="0"/>
        <v>16755354.342138715</v>
      </c>
      <c r="I32" s="114">
        <f>'Exhibit P,3'!M32</f>
        <v>1927.9458</v>
      </c>
      <c r="J32" s="187"/>
      <c r="K32" s="494">
        <f t="shared" si="2"/>
        <v>8690.7808000301229</v>
      </c>
      <c r="L32" s="187"/>
      <c r="M32" s="187">
        <f t="shared" si="1"/>
        <v>9792.9893368642879</v>
      </c>
      <c r="P32" s="172"/>
      <c r="Q32" s="72"/>
      <c r="R32" s="137"/>
      <c r="S32" s="172"/>
      <c r="T32" s="137"/>
      <c r="U32" s="137"/>
    </row>
    <row r="33" spans="1:22">
      <c r="A33" s="6">
        <f t="shared" si="3"/>
        <v>2011</v>
      </c>
      <c r="C33" s="494">
        <f>'Exhibit O,3'!I33</f>
        <v>9644676.9399999995</v>
      </c>
      <c r="E33" s="74">
        <f>'Exhibit Q,3'!I24</f>
        <v>0.99363828361057793</v>
      </c>
      <c r="G33" s="494">
        <f t="shared" si="0"/>
        <v>9706426.4723720085</v>
      </c>
      <c r="I33" s="114">
        <f>'Exhibit P,3'!M33</f>
        <v>1855.6618999999998</v>
      </c>
      <c r="J33" s="187"/>
      <c r="K33" s="494">
        <f t="shared" si="2"/>
        <v>5230.7084994157658</v>
      </c>
      <c r="L33" s="187"/>
      <c r="M33" s="187">
        <f t="shared" si="1"/>
        <v>5835.7359034314068</v>
      </c>
      <c r="P33" s="172"/>
      <c r="Q33" s="72"/>
      <c r="R33" s="137"/>
      <c r="S33" s="172"/>
      <c r="T33" s="137"/>
      <c r="U33" s="137"/>
    </row>
    <row r="34" spans="1:22">
      <c r="A34" s="6">
        <f t="shared" si="3"/>
        <v>2012</v>
      </c>
      <c r="C34" s="494">
        <f>'Exhibit O,3'!I34</f>
        <v>13501663.920000002</v>
      </c>
      <c r="E34" s="74">
        <f>'Exhibit Q,3'!I25</f>
        <v>0.99149076495346744</v>
      </c>
      <c r="G34" s="494">
        <f t="shared" si="0"/>
        <v>13617538.758047495</v>
      </c>
      <c r="I34" s="114">
        <f>'Exhibit P,3'!M34</f>
        <v>1811.1678999999999</v>
      </c>
      <c r="J34" s="187"/>
      <c r="K34" s="494">
        <f t="shared" si="2"/>
        <v>7518.6506773046804</v>
      </c>
      <c r="L34" s="187"/>
      <c r="M34" s="187">
        <f t="shared" si="1"/>
        <v>8305.2678913886903</v>
      </c>
      <c r="P34" s="172"/>
      <c r="Q34" s="72"/>
      <c r="R34" s="137"/>
      <c r="S34" s="172"/>
      <c r="T34" s="137"/>
      <c r="U34" s="137"/>
      <c r="V34" s="22"/>
    </row>
    <row r="35" spans="1:22">
      <c r="A35" s="6">
        <f t="shared" si="3"/>
        <v>2013</v>
      </c>
      <c r="C35" s="494">
        <f>'Exhibit O,3'!I35</f>
        <v>11521638.42</v>
      </c>
      <c r="E35" s="74">
        <f>'Exhibit Q,3'!I26</f>
        <v>0.98813728327931161</v>
      </c>
      <c r="G35" s="494">
        <f t="shared" si="0"/>
        <v>11659957.189109763</v>
      </c>
      <c r="I35" s="114">
        <f>'Exhibit P,3'!M35</f>
        <v>1778.2047</v>
      </c>
      <c r="J35" s="187"/>
      <c r="K35" s="494">
        <f t="shared" si="2"/>
        <v>6557.1512599813523</v>
      </c>
      <c r="L35" s="187"/>
      <c r="M35" s="187">
        <f t="shared" si="1"/>
        <v>7171.4597638053074</v>
      </c>
      <c r="P35" s="172"/>
      <c r="Q35" s="72"/>
      <c r="R35" s="137"/>
      <c r="S35" s="172"/>
      <c r="T35" s="137"/>
      <c r="U35" s="137"/>
      <c r="V35" s="22"/>
    </row>
    <row r="36" spans="1:22">
      <c r="A36" s="6">
        <f t="shared" si="3"/>
        <v>2014</v>
      </c>
      <c r="C36" s="494">
        <f>'Exhibit O,3'!I36</f>
        <v>10461936.190000001</v>
      </c>
      <c r="E36" s="74">
        <f>'Exhibit Q,3'!I27</f>
        <v>0.98223323534299367</v>
      </c>
      <c r="G36" s="494">
        <f t="shared" si="0"/>
        <v>10651173.075350801</v>
      </c>
      <c r="I36" s="114">
        <f>'Exhibit P,3'!M36</f>
        <v>1598.8430000000003</v>
      </c>
      <c r="J36" s="187"/>
      <c r="K36" s="494">
        <f t="shared" si="2"/>
        <v>6661.8004865711009</v>
      </c>
      <c r="L36" s="187"/>
      <c r="M36" s="187">
        <f t="shared" si="1"/>
        <v>7213.7753284399241</v>
      </c>
      <c r="P36" s="172"/>
      <c r="Q36" s="72"/>
      <c r="R36" s="137"/>
      <c r="S36" s="172"/>
      <c r="T36" s="137"/>
      <c r="U36" s="137"/>
      <c r="V36" s="22"/>
    </row>
    <row r="37" spans="1:22">
      <c r="A37" s="6">
        <f t="shared" si="3"/>
        <v>2015</v>
      </c>
      <c r="C37" s="494">
        <f>'Exhibit O,3'!I37</f>
        <v>12346657.799999997</v>
      </c>
      <c r="E37" s="74">
        <f>'Exhibit Q,3'!I28</f>
        <v>0.96238377083162541</v>
      </c>
      <c r="G37" s="494">
        <f t="shared" si="0"/>
        <v>12829245.644209972</v>
      </c>
      <c r="I37" s="114">
        <f>'Exhibit P,3'!M37</f>
        <v>1492.7619</v>
      </c>
      <c r="J37" s="187"/>
      <c r="K37" s="494">
        <f t="shared" si="2"/>
        <v>8594.3013713104356</v>
      </c>
      <c r="L37" s="187"/>
      <c r="M37" s="187">
        <f t="shared" si="1"/>
        <v>9214.2543268436712</v>
      </c>
      <c r="P37" s="172"/>
      <c r="Q37" s="72"/>
      <c r="R37" s="137"/>
      <c r="S37" s="172"/>
      <c r="T37" s="137"/>
      <c r="U37" s="137"/>
      <c r="V37" s="22"/>
    </row>
    <row r="38" spans="1:22">
      <c r="A38" s="6">
        <f t="shared" si="3"/>
        <v>2016</v>
      </c>
      <c r="C38" s="494">
        <f>'Exhibit O,3'!I38</f>
        <v>7828612.1600000001</v>
      </c>
      <c r="E38" s="74">
        <f>'Exhibit Q,3'!I29</f>
        <v>0.89764935747632868</v>
      </c>
      <c r="G38" s="494">
        <f t="shared" si="0"/>
        <v>8721236.2987810001</v>
      </c>
      <c r="I38" s="114">
        <f>'Exhibit P,3'!M38</f>
        <v>1447.8647000000001</v>
      </c>
      <c r="J38" s="187"/>
      <c r="K38" s="494">
        <f t="shared" si="2"/>
        <v>6023.5160776977291</v>
      </c>
      <c r="L38" s="187"/>
      <c r="M38" s="187">
        <f t="shared" si="1"/>
        <v>6394.0836939452392</v>
      </c>
      <c r="P38" s="172"/>
      <c r="Q38" s="72"/>
      <c r="R38" s="137"/>
      <c r="S38" s="172"/>
      <c r="T38" s="137"/>
      <c r="U38" s="137"/>
      <c r="V38" s="22"/>
    </row>
    <row r="39" spans="1:22">
      <c r="A39" s="6">
        <f t="shared" si="3"/>
        <v>2017</v>
      </c>
      <c r="C39" s="494">
        <f>'Exhibit O,3'!I39</f>
        <v>4491655.9499999993</v>
      </c>
      <c r="E39" s="74">
        <f>'Exhibit Q,3'!I30</f>
        <v>0.78204661899494354</v>
      </c>
      <c r="G39" s="494">
        <f t="shared" si="0"/>
        <v>5743463.1656262437</v>
      </c>
      <c r="I39" s="114">
        <f>'Exhibit P,3'!M39</f>
        <v>1334.3542999999997</v>
      </c>
      <c r="J39" s="187"/>
      <c r="K39" s="494">
        <f t="shared" si="2"/>
        <v>4304.3014629819418</v>
      </c>
      <c r="L39" s="187"/>
      <c r="M39" s="187">
        <f t="shared" si="1"/>
        <v>4523.864096254154</v>
      </c>
      <c r="P39" s="172"/>
      <c r="Q39" s="72"/>
      <c r="R39" s="137"/>
      <c r="S39" s="172"/>
      <c r="T39" s="137"/>
      <c r="U39" s="137"/>
    </row>
    <row r="40" spans="1:22">
      <c r="A40" s="6">
        <f t="shared" si="3"/>
        <v>2018</v>
      </c>
      <c r="C40" s="494">
        <f>'Exhibit O,3'!I40</f>
        <v>5586887.2999999998</v>
      </c>
      <c r="E40" s="74">
        <f>'Exhibit Q,3'!I31</f>
        <v>0.62004045851520007</v>
      </c>
      <c r="G40" s="494">
        <f t="shared" si="0"/>
        <v>9010520.5608337559</v>
      </c>
      <c r="I40" s="114">
        <f>'Exhibit P,3'!M40</f>
        <v>1313.2749999999999</v>
      </c>
      <c r="J40" s="187"/>
      <c r="K40" s="494">
        <f t="shared" si="2"/>
        <v>6861.1072020968622</v>
      </c>
      <c r="L40" s="187"/>
      <c r="M40" s="187">
        <f t="shared" si="1"/>
        <v>7139.6956675418751</v>
      </c>
      <c r="P40" s="172"/>
      <c r="Q40" s="72"/>
      <c r="R40" s="137"/>
      <c r="S40" s="172"/>
      <c r="T40" s="137"/>
      <c r="U40" s="137"/>
      <c r="V40" s="22"/>
    </row>
    <row r="41" spans="1:22">
      <c r="A41" s="6">
        <f t="shared" si="3"/>
        <v>2019</v>
      </c>
      <c r="C41" s="494">
        <f>'Exhibit O,3'!I41</f>
        <v>6040883.4400000004</v>
      </c>
      <c r="E41" s="74">
        <f>'Exhibit Q,3'!I32</f>
        <v>0.4225269240715428</v>
      </c>
      <c r="G41" s="494">
        <f t="shared" si="0"/>
        <v>14297037.882909328</v>
      </c>
      <c r="I41" s="114">
        <f>'Exhibit P,3'!M41</f>
        <v>1177.6818000000001</v>
      </c>
      <c r="J41" s="187"/>
      <c r="K41" s="494">
        <f t="shared" si="2"/>
        <v>12139.983723030557</v>
      </c>
      <c r="L41" s="187"/>
      <c r="M41" s="187">
        <f t="shared" si="1"/>
        <v>12507.837369822104</v>
      </c>
      <c r="P41" s="172"/>
      <c r="Q41" s="72"/>
      <c r="R41" s="137"/>
      <c r="S41" s="172"/>
      <c r="T41" s="137"/>
      <c r="U41" s="137"/>
    </row>
    <row r="42" spans="1:22">
      <c r="A42" s="6">
        <f t="shared" si="3"/>
        <v>2020</v>
      </c>
      <c r="C42" s="494">
        <f>'Exhibit O,3'!I42</f>
        <v>4165458.2</v>
      </c>
      <c r="E42" s="74">
        <f>'Exhibit Q,3'!I33</f>
        <v>0.2485295100407226</v>
      </c>
      <c r="G42" s="494">
        <f t="shared" si="0"/>
        <v>16760416.899053447</v>
      </c>
      <c r="I42" s="114">
        <f>'Exhibit P,3'!M42</f>
        <v>1203.3188</v>
      </c>
      <c r="J42" s="187"/>
      <c r="K42" s="494">
        <f t="shared" si="2"/>
        <v>13928.492515078669</v>
      </c>
      <c r="L42" s="187"/>
      <c r="M42" s="187">
        <f t="shared" si="1"/>
        <v>14208.455214631751</v>
      </c>
      <c r="P42" s="172"/>
      <c r="Q42" s="72"/>
      <c r="R42" s="137"/>
      <c r="S42" s="172"/>
      <c r="T42" s="137"/>
      <c r="U42" s="137"/>
      <c r="V42" s="22"/>
    </row>
    <row r="43" spans="1:22">
      <c r="A43" s="6">
        <f t="shared" si="3"/>
        <v>2021</v>
      </c>
      <c r="C43" s="494">
        <f>'Exhibit O,3'!I43</f>
        <v>497480.03</v>
      </c>
      <c r="E43" s="74">
        <f>'Exhibit Q,3'!I34</f>
        <v>0.10105618501620665</v>
      </c>
      <c r="G43" s="494">
        <f t="shared" si="0"/>
        <v>4922806.356881747</v>
      </c>
      <c r="I43" s="114">
        <f>'Exhibit P,3'!M43</f>
        <v>1323.6506800000002</v>
      </c>
      <c r="J43" s="187"/>
      <c r="K43" s="494">
        <f t="shared" si="2"/>
        <v>3719.1129285573638</v>
      </c>
      <c r="L43" s="187"/>
      <c r="M43" s="187">
        <f t="shared" si="1"/>
        <v>3756.3040578429377</v>
      </c>
      <c r="P43" s="172"/>
      <c r="Q43" s="72"/>
      <c r="R43" s="137"/>
      <c r="S43" s="172"/>
      <c r="T43" s="223"/>
      <c r="U43" s="61"/>
    </row>
    <row r="44" spans="1:22">
      <c r="P44" s="61"/>
      <c r="Q44" s="61"/>
      <c r="R44" s="61"/>
      <c r="S44" s="61"/>
      <c r="T44" s="61"/>
      <c r="U44" s="61"/>
    </row>
    <row r="45" spans="1:22">
      <c r="C45" s="18">
        <f>SUM(C16:C44)</f>
        <v>465145519.87</v>
      </c>
      <c r="G45" s="187">
        <f>SUM(G16:G44)</f>
        <v>497074181.50710726</v>
      </c>
      <c r="P45" s="172"/>
      <c r="Q45" s="172"/>
      <c r="R45" s="172"/>
      <c r="S45" s="61"/>
      <c r="T45" s="172"/>
      <c r="U45" s="61"/>
      <c r="V45" s="18"/>
    </row>
    <row r="46" spans="1:22">
      <c r="G46" s="494">
        <f>G45-G43</f>
        <v>492151375.15022552</v>
      </c>
      <c r="I46" s="1" t="s">
        <v>146</v>
      </c>
      <c r="P46" s="61"/>
      <c r="Q46" s="61"/>
      <c r="R46" s="61"/>
      <c r="S46" s="61"/>
      <c r="T46" s="61"/>
      <c r="U46" s="61"/>
    </row>
    <row r="47" spans="1:22">
      <c r="I47" s="2" t="s">
        <v>1347</v>
      </c>
      <c r="M47" s="66">
        <f>AVERAGE(M16:M43)</f>
        <v>8215.9700993447514</v>
      </c>
      <c r="O47" s="18"/>
      <c r="P47" s="61"/>
      <c r="Q47" s="61"/>
      <c r="R47" s="61"/>
      <c r="S47" s="61"/>
      <c r="T47" s="97"/>
      <c r="U47" s="122"/>
    </row>
    <row r="48" spans="1:22">
      <c r="I48" s="2" t="s">
        <v>1373</v>
      </c>
      <c r="M48" s="494">
        <f>AVERAGE(M38:M42)</f>
        <v>8954.7872084390237</v>
      </c>
      <c r="P48" s="61"/>
      <c r="Q48" s="61"/>
      <c r="R48" s="61"/>
      <c r="S48" s="61"/>
      <c r="T48" s="97"/>
      <c r="U48" s="137"/>
    </row>
    <row r="49" spans="1:21">
      <c r="I49" s="3" t="s">
        <v>1372</v>
      </c>
      <c r="M49" s="494">
        <f>(SUM(M33:M42)-MAX(M33:M42)-MIN(M33:M42))/8</f>
        <v>7972.7637431522799</v>
      </c>
      <c r="P49" s="61"/>
      <c r="Q49" s="61"/>
      <c r="R49" s="61"/>
      <c r="S49" s="61"/>
      <c r="T49" s="115"/>
      <c r="U49" s="137"/>
    </row>
    <row r="53" spans="1:21">
      <c r="A53" s="52" t="s">
        <v>104</v>
      </c>
      <c r="C53" s="3" t="s">
        <v>1021</v>
      </c>
    </row>
    <row r="54" spans="1:21">
      <c r="A54" s="52" t="s">
        <v>36</v>
      </c>
      <c r="C54" s="3" t="s">
        <v>952</v>
      </c>
    </row>
    <row r="55" spans="1:21">
      <c r="A55" s="52" t="s">
        <v>38</v>
      </c>
      <c r="C55" s="3" t="s">
        <v>222</v>
      </c>
    </row>
    <row r="56" spans="1:21">
      <c r="A56" s="52" t="s">
        <v>40</v>
      </c>
      <c r="C56" s="3" t="s">
        <v>453</v>
      </c>
    </row>
    <row r="57" spans="1:21">
      <c r="A57" s="52" t="s">
        <v>42</v>
      </c>
      <c r="C57" s="1" t="s">
        <v>143</v>
      </c>
    </row>
    <row r="58" spans="1:21">
      <c r="A58" s="52" t="s">
        <v>30</v>
      </c>
      <c r="C58" s="3" t="s">
        <v>1584</v>
      </c>
      <c r="I58" s="73">
        <v>0.01</v>
      </c>
      <c r="J58" s="1" t="s">
        <v>1552</v>
      </c>
      <c r="M58" s="73"/>
    </row>
  </sheetData>
  <printOptions horizontalCentered="1"/>
  <pageMargins left="0.7" right="0.7" top="0.75" bottom="0.75" header="0.3" footer="0.3"/>
  <pageSetup scale="77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60">
    <tabColor rgb="FFFF0000"/>
    <pageSetUpPr fitToPage="1"/>
  </sheetPr>
  <dimension ref="A1:O58"/>
  <sheetViews>
    <sheetView topLeftCell="A31" zoomScaleNormal="100" workbookViewId="0">
      <selection activeCell="I16" sqref="I16"/>
    </sheetView>
  </sheetViews>
  <sheetFormatPr baseColWidth="10" defaultColWidth="8.7109375" defaultRowHeight="15"/>
  <cols>
    <col min="1" max="1" width="10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0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0.7109375" style="1" customWidth="1"/>
    <col min="10" max="10" width="1.7109375" style="1" customWidth="1"/>
    <col min="11" max="11" width="10.7109375" style="1" customWidth="1"/>
    <col min="12" max="12" width="1.7109375" style="1" customWidth="1"/>
    <col min="13" max="13" width="10.7109375" style="1" customWidth="1"/>
    <col min="14" max="14" width="9.7109375" style="1" bestFit="1" customWidth="1"/>
    <col min="15" max="15" width="8.7109375" style="1"/>
    <col min="16" max="16" width="11" style="1" bestFit="1" customWidth="1"/>
    <col min="17" max="16384" width="8.7109375" style="1"/>
  </cols>
  <sheetData>
    <row r="1" spans="1:13">
      <c r="M1" s="64" t="s">
        <v>951</v>
      </c>
    </row>
    <row r="2" spans="1:13">
      <c r="M2" s="64" t="s">
        <v>159</v>
      </c>
    </row>
    <row r="4" spans="1:13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6" spans="1:13">
      <c r="A6" s="5" t="s">
        <v>140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13">
      <c r="A7" s="5" t="s">
        <v>224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13">
      <c r="A8" s="5" t="s">
        <v>1371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3">
      <c r="A9" s="5">
        <v>2022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1" spans="1:13">
      <c r="I11" s="6" t="s">
        <v>705</v>
      </c>
    </row>
    <row r="12" spans="1:13">
      <c r="A12" s="6" t="s">
        <v>6</v>
      </c>
      <c r="C12" s="6" t="s">
        <v>12</v>
      </c>
      <c r="E12" s="2" t="s">
        <v>87</v>
      </c>
      <c r="G12" s="6" t="s">
        <v>67</v>
      </c>
      <c r="I12" s="6" t="s">
        <v>47</v>
      </c>
      <c r="K12" s="5" t="s">
        <v>147</v>
      </c>
      <c r="L12" s="5"/>
      <c r="M12" s="5"/>
    </row>
    <row r="13" spans="1:13">
      <c r="A13" s="6" t="s">
        <v>4</v>
      </c>
      <c r="B13" s="6"/>
      <c r="C13" s="109" t="s">
        <v>55</v>
      </c>
      <c r="D13" s="6"/>
      <c r="E13" s="2" t="s">
        <v>22</v>
      </c>
      <c r="F13" s="6"/>
      <c r="G13" s="6" t="s">
        <v>55</v>
      </c>
      <c r="H13" s="6"/>
      <c r="I13" s="6" t="s">
        <v>48</v>
      </c>
      <c r="J13" s="6"/>
      <c r="K13" s="106" t="s">
        <v>79</v>
      </c>
      <c r="L13" s="106"/>
      <c r="M13" s="106" t="s">
        <v>148</v>
      </c>
    </row>
    <row r="14" spans="1:13">
      <c r="A14" s="106" t="s">
        <v>27</v>
      </c>
      <c r="B14" s="6"/>
      <c r="C14" s="106" t="s">
        <v>33</v>
      </c>
      <c r="D14" s="6"/>
      <c r="E14" s="106" t="s">
        <v>36</v>
      </c>
      <c r="F14" s="6"/>
      <c r="G14" s="106" t="s">
        <v>38</v>
      </c>
      <c r="H14" s="6"/>
      <c r="I14" s="106" t="s">
        <v>40</v>
      </c>
      <c r="J14" s="6"/>
      <c r="K14" s="106" t="s">
        <v>42</v>
      </c>
      <c r="L14" s="6"/>
      <c r="M14" s="106" t="s">
        <v>30</v>
      </c>
    </row>
    <row r="16" spans="1:13">
      <c r="A16" s="6">
        <v>1994</v>
      </c>
      <c r="C16" s="147">
        <f>'Exhibit O,2'!I16</f>
        <v>25659084.629999999</v>
      </c>
      <c r="E16" s="74">
        <v>1</v>
      </c>
      <c r="G16" s="147">
        <f>C16/E16</f>
        <v>25659084.629999999</v>
      </c>
      <c r="I16" s="509">
        <f>'Exhibit P,3'!M16</f>
        <v>4511.1579999999994</v>
      </c>
      <c r="K16" s="147">
        <f>G16/I16</f>
        <v>5687.9153046734345</v>
      </c>
      <c r="L16" s="19"/>
      <c r="M16" s="497">
        <f t="shared" ref="M16:M43" si="0">K16*(1+I$58)^(A$9-A16)</f>
        <v>7515.3911125473232</v>
      </c>
    </row>
    <row r="17" spans="1:13">
      <c r="A17" s="6">
        <f>A16+1</f>
        <v>1995</v>
      </c>
      <c r="C17" s="494">
        <f>'Exhibit O,2'!I17</f>
        <v>27896034.309999995</v>
      </c>
      <c r="E17" s="74">
        <v>1</v>
      </c>
      <c r="G17" s="494">
        <f t="shared" ref="G17:G43" si="1">C17/E17</f>
        <v>27896034.309999995</v>
      </c>
      <c r="I17" s="187">
        <f>'Exhibit P,3'!M17</f>
        <v>4562.8492000000006</v>
      </c>
      <c r="J17" s="187"/>
      <c r="K17" s="494">
        <f t="shared" ref="K17:K43" si="2">G17/I17</f>
        <v>6113.7313742474753</v>
      </c>
      <c r="L17" s="187"/>
      <c r="M17" s="187">
        <f t="shared" si="0"/>
        <v>7998.0376622134845</v>
      </c>
    </row>
    <row r="18" spans="1:13">
      <c r="A18" s="6">
        <f t="shared" ref="A18:A43" si="3">A17+1</f>
        <v>1996</v>
      </c>
      <c r="C18" s="494">
        <f>'Exhibit O,2'!I18</f>
        <v>30198928.089999996</v>
      </c>
      <c r="E18" s="74">
        <v>1</v>
      </c>
      <c r="G18" s="494">
        <f t="shared" si="1"/>
        <v>30198928.089999996</v>
      </c>
      <c r="I18" s="187">
        <f>'Exhibit P,3'!M18</f>
        <v>4624.8005999999996</v>
      </c>
      <c r="J18" s="187"/>
      <c r="K18" s="494">
        <f t="shared" si="2"/>
        <v>6529.7794871415645</v>
      </c>
      <c r="L18" s="187"/>
      <c r="M18" s="187">
        <f t="shared" si="0"/>
        <v>8457.7381160647456</v>
      </c>
    </row>
    <row r="19" spans="1:13">
      <c r="A19" s="6">
        <f t="shared" si="3"/>
        <v>1997</v>
      </c>
      <c r="C19" s="494">
        <f>'Exhibit O,2'!I19</f>
        <v>26713733.369999997</v>
      </c>
      <c r="E19" s="74">
        <v>1</v>
      </c>
      <c r="G19" s="494">
        <f t="shared" si="1"/>
        <v>26713733.369999997</v>
      </c>
      <c r="I19" s="187">
        <f>'Exhibit P,3'!M19</f>
        <v>4072.9379999999996</v>
      </c>
      <c r="J19" s="187"/>
      <c r="K19" s="494">
        <f t="shared" si="2"/>
        <v>6558.8362430265324</v>
      </c>
      <c r="L19" s="187"/>
      <c r="M19" s="187">
        <f t="shared" si="0"/>
        <v>8411.2614481358578</v>
      </c>
    </row>
    <row r="20" spans="1:13">
      <c r="A20" s="6">
        <f t="shared" si="3"/>
        <v>1998</v>
      </c>
      <c r="C20" s="494">
        <f>'Exhibit O,2'!I20</f>
        <v>29164670.75</v>
      </c>
      <c r="E20" s="74">
        <v>1</v>
      </c>
      <c r="G20" s="494">
        <f t="shared" si="1"/>
        <v>29164670.75</v>
      </c>
      <c r="I20" s="187">
        <f>'Exhibit P,3'!M20</f>
        <v>4048.5936999999999</v>
      </c>
      <c r="J20" s="187"/>
      <c r="K20" s="494">
        <f t="shared" si="2"/>
        <v>7203.654629507525</v>
      </c>
      <c r="L20" s="187"/>
      <c r="M20" s="187">
        <f t="shared" si="0"/>
        <v>9146.7298791430403</v>
      </c>
    </row>
    <row r="21" spans="1:13">
      <c r="A21" s="6">
        <f t="shared" si="3"/>
        <v>1999</v>
      </c>
      <c r="C21" s="494">
        <f>'Exhibit O,2'!I21</f>
        <v>35137110.340000004</v>
      </c>
      <c r="E21" s="74">
        <v>1</v>
      </c>
      <c r="G21" s="494">
        <f t="shared" si="1"/>
        <v>35137110.340000004</v>
      </c>
      <c r="I21" s="187">
        <f>'Exhibit P,3'!M21</f>
        <v>4212.7678000000005</v>
      </c>
      <c r="J21" s="187"/>
      <c r="K21" s="494">
        <f t="shared" si="2"/>
        <v>8340.6235539494955</v>
      </c>
      <c r="L21" s="187"/>
      <c r="M21" s="187">
        <f t="shared" si="0"/>
        <v>10485.52348199116</v>
      </c>
    </row>
    <row r="22" spans="1:13">
      <c r="A22" s="6">
        <f t="shared" si="3"/>
        <v>2000</v>
      </c>
      <c r="C22" s="494">
        <f>'Exhibit O,2'!I22</f>
        <v>27795495.93</v>
      </c>
      <c r="E22" s="74">
        <v>1</v>
      </c>
      <c r="G22" s="494">
        <f t="shared" si="1"/>
        <v>27795495.93</v>
      </c>
      <c r="I22" s="187">
        <f>'Exhibit P,3'!M22</f>
        <v>4146.0517999999993</v>
      </c>
      <c r="J22" s="187"/>
      <c r="K22" s="494">
        <f t="shared" si="2"/>
        <v>6704.0879542315424</v>
      </c>
      <c r="L22" s="187"/>
      <c r="M22" s="187">
        <f t="shared" si="0"/>
        <v>8344.6846017971093</v>
      </c>
    </row>
    <row r="23" spans="1:13">
      <c r="A23" s="6">
        <f t="shared" si="3"/>
        <v>2001</v>
      </c>
      <c r="C23" s="494">
        <f>'Exhibit O,2'!I23</f>
        <v>22560712.330000006</v>
      </c>
      <c r="E23" s="74">
        <v>1</v>
      </c>
      <c r="G23" s="494">
        <f t="shared" si="1"/>
        <v>22560712.330000006</v>
      </c>
      <c r="I23" s="187">
        <f>'Exhibit P,3'!M23</f>
        <v>3863.9497000000001</v>
      </c>
      <c r="J23" s="187"/>
      <c r="K23" s="494">
        <f t="shared" si="2"/>
        <v>5838.7696739427029</v>
      </c>
      <c r="L23" s="187"/>
      <c r="M23" s="187">
        <f t="shared" si="0"/>
        <v>7195.6526877120759</v>
      </c>
    </row>
    <row r="24" spans="1:13">
      <c r="A24" s="6">
        <f t="shared" si="3"/>
        <v>2002</v>
      </c>
      <c r="C24" s="494">
        <f>'Exhibit O,2'!I24</f>
        <v>26310397.339999992</v>
      </c>
      <c r="E24" s="74">
        <v>1</v>
      </c>
      <c r="G24" s="494">
        <f t="shared" si="1"/>
        <v>26310397.339999992</v>
      </c>
      <c r="I24" s="187">
        <f>'Exhibit P,3'!M24</f>
        <v>3456.9573</v>
      </c>
      <c r="J24" s="187"/>
      <c r="K24" s="494">
        <f t="shared" si="2"/>
        <v>7610.8540131519685</v>
      </c>
      <c r="L24" s="187"/>
      <c r="M24" s="187">
        <f t="shared" si="0"/>
        <v>9286.688262346046</v>
      </c>
    </row>
    <row r="25" spans="1:13">
      <c r="A25" s="6">
        <f t="shared" si="3"/>
        <v>2003</v>
      </c>
      <c r="C25" s="494">
        <f>'Exhibit O,2'!I25</f>
        <v>20878044.309999999</v>
      </c>
      <c r="E25" s="74">
        <f>'Exhibit Q,1'!I16</f>
        <v>1</v>
      </c>
      <c r="G25" s="494">
        <f t="shared" si="1"/>
        <v>20878044.309999999</v>
      </c>
      <c r="I25" s="187">
        <f>'Exhibit P,3'!M25</f>
        <v>2679.9839999999999</v>
      </c>
      <c r="J25" s="187"/>
      <c r="K25" s="494">
        <f t="shared" si="2"/>
        <v>7790.3615506659735</v>
      </c>
      <c r="L25" s="187"/>
      <c r="M25" s="187">
        <f t="shared" si="0"/>
        <v>9411.6055165507132</v>
      </c>
    </row>
    <row r="26" spans="1:13">
      <c r="A26" s="6">
        <f t="shared" si="3"/>
        <v>2004</v>
      </c>
      <c r="C26" s="494">
        <f>'Exhibit O,2'!I26</f>
        <v>14303436.559999997</v>
      </c>
      <c r="E26" s="74">
        <f>'Exhibit Q,1'!I17</f>
        <v>1</v>
      </c>
      <c r="G26" s="494">
        <f t="shared" si="1"/>
        <v>14303436.559999997</v>
      </c>
      <c r="I26" s="187">
        <f>'Exhibit P,3'!M26</f>
        <v>2444.1657</v>
      </c>
      <c r="J26" s="187"/>
      <c r="K26" s="494">
        <f t="shared" si="2"/>
        <v>5852.073188000305</v>
      </c>
      <c r="L26" s="187"/>
      <c r="M26" s="187">
        <f t="shared" si="0"/>
        <v>6999.9425713601804</v>
      </c>
    </row>
    <row r="27" spans="1:13">
      <c r="A27" s="6">
        <f t="shared" si="3"/>
        <v>2005</v>
      </c>
      <c r="C27" s="494">
        <f>'Exhibit O,2'!I27</f>
        <v>16243160.280000001</v>
      </c>
      <c r="E27" s="74">
        <f>'Exhibit Q,1'!I18</f>
        <v>1</v>
      </c>
      <c r="G27" s="494">
        <f t="shared" si="1"/>
        <v>16243160.280000001</v>
      </c>
      <c r="I27" s="187">
        <f>'Exhibit P,3'!M27</f>
        <v>2274.9785999999999</v>
      </c>
      <c r="J27" s="187"/>
      <c r="K27" s="494">
        <f t="shared" si="2"/>
        <v>7139.9178348315018</v>
      </c>
      <c r="L27" s="187"/>
      <c r="M27" s="187">
        <f t="shared" si="0"/>
        <v>8455.8363314296057</v>
      </c>
    </row>
    <row r="28" spans="1:13">
      <c r="A28" s="6">
        <f t="shared" si="3"/>
        <v>2006</v>
      </c>
      <c r="C28" s="494">
        <f>'Exhibit O,2'!I28</f>
        <v>14659669.499999998</v>
      </c>
      <c r="E28" s="74">
        <f>'Exhibit Q,1'!I19</f>
        <v>1</v>
      </c>
      <c r="G28" s="494">
        <f t="shared" si="1"/>
        <v>14659669.499999998</v>
      </c>
      <c r="I28" s="187">
        <f>'Exhibit P,3'!M28</f>
        <v>2233.3467000000001</v>
      </c>
      <c r="J28" s="187"/>
      <c r="K28" s="494">
        <f t="shared" si="2"/>
        <v>6563.991833422011</v>
      </c>
      <c r="L28" s="187"/>
      <c r="M28" s="187">
        <f t="shared" si="0"/>
        <v>7696.7966493242066</v>
      </c>
    </row>
    <row r="29" spans="1:13">
      <c r="A29" s="6">
        <f t="shared" si="3"/>
        <v>2007</v>
      </c>
      <c r="C29" s="494">
        <f>'Exhibit O,2'!I29</f>
        <v>16719584.209999999</v>
      </c>
      <c r="E29" s="74">
        <f>'Exhibit Q,1'!I20</f>
        <v>1</v>
      </c>
      <c r="G29" s="494">
        <f t="shared" si="1"/>
        <v>16719584.209999999</v>
      </c>
      <c r="I29" s="187">
        <f>'Exhibit P,3'!M29</f>
        <v>2202.5099</v>
      </c>
      <c r="J29" s="187"/>
      <c r="K29" s="494">
        <f t="shared" si="2"/>
        <v>7591.1505369396973</v>
      </c>
      <c r="L29" s="187"/>
      <c r="M29" s="187">
        <f t="shared" si="0"/>
        <v>8813.0901089272829</v>
      </c>
    </row>
    <row r="30" spans="1:13">
      <c r="A30" s="6">
        <f t="shared" si="3"/>
        <v>2008</v>
      </c>
      <c r="C30" s="494">
        <f>'Exhibit O,2'!I30</f>
        <v>15508781.949999999</v>
      </c>
      <c r="E30" s="74">
        <f>'Exhibit Q,1'!I21</f>
        <v>1</v>
      </c>
      <c r="G30" s="494">
        <f t="shared" si="1"/>
        <v>15508781.949999999</v>
      </c>
      <c r="I30" s="187">
        <f>'Exhibit P,3'!M30</f>
        <v>2097.5783999999999</v>
      </c>
      <c r="J30" s="187"/>
      <c r="K30" s="494">
        <f t="shared" si="2"/>
        <v>7393.6602083621765</v>
      </c>
      <c r="L30" s="187"/>
      <c r="M30" s="187">
        <f t="shared" si="0"/>
        <v>8498.8217509534297</v>
      </c>
    </row>
    <row r="31" spans="1:13">
      <c r="A31" s="6">
        <f t="shared" si="3"/>
        <v>2009</v>
      </c>
      <c r="C31" s="494">
        <f>'Exhibit O,2'!I31</f>
        <v>12635738.100000003</v>
      </c>
      <c r="E31" s="74">
        <f>'Exhibit Q,1'!I22</f>
        <v>1</v>
      </c>
      <c r="G31" s="494">
        <f t="shared" si="1"/>
        <v>12635738.100000003</v>
      </c>
      <c r="I31" s="187">
        <f>'Exhibit P,3'!M31</f>
        <v>1981.5272</v>
      </c>
      <c r="J31" s="187"/>
      <c r="K31" s="494">
        <f t="shared" si="2"/>
        <v>6376.7674246409551</v>
      </c>
      <c r="L31" s="187"/>
      <c r="M31" s="187">
        <f t="shared" si="0"/>
        <v>7257.3561568697642</v>
      </c>
    </row>
    <row r="32" spans="1:13">
      <c r="A32" s="6">
        <f t="shared" si="3"/>
        <v>2010</v>
      </c>
      <c r="C32" s="494">
        <f>'Exhibit O,2'!I32</f>
        <v>16673387.52</v>
      </c>
      <c r="E32" s="74">
        <f>'Exhibit Q,1'!I23</f>
        <v>1</v>
      </c>
      <c r="G32" s="494">
        <f t="shared" si="1"/>
        <v>16673387.52</v>
      </c>
      <c r="I32" s="187">
        <f>'Exhibit P,3'!M32</f>
        <v>1927.9458</v>
      </c>
      <c r="J32" s="187"/>
      <c r="K32" s="494">
        <f t="shared" si="2"/>
        <v>8648.2656929463465</v>
      </c>
      <c r="L32" s="187"/>
      <c r="M32" s="187">
        <f t="shared" si="0"/>
        <v>9745.0822500435479</v>
      </c>
    </row>
    <row r="33" spans="1:15">
      <c r="A33" s="6">
        <f t="shared" si="3"/>
        <v>2011</v>
      </c>
      <c r="C33" s="494">
        <f>'Exhibit O,2'!I33</f>
        <v>9644676.9399999995</v>
      </c>
      <c r="E33" s="74">
        <f>'Exhibit Q,1'!I24</f>
        <v>1</v>
      </c>
      <c r="G33" s="494">
        <f t="shared" si="1"/>
        <v>9644676.9399999995</v>
      </c>
      <c r="I33" s="187">
        <f>'Exhibit P,3'!M33</f>
        <v>1855.6618999999998</v>
      </c>
      <c r="J33" s="187"/>
      <c r="K33" s="494">
        <f t="shared" si="2"/>
        <v>5197.4322154267438</v>
      </c>
      <c r="L33" s="187"/>
      <c r="M33" s="187">
        <f t="shared" si="0"/>
        <v>5798.6106066902084</v>
      </c>
    </row>
    <row r="34" spans="1:15">
      <c r="A34" s="6">
        <f t="shared" si="3"/>
        <v>2012</v>
      </c>
      <c r="C34" s="494">
        <f>'Exhibit O,2'!I34</f>
        <v>13600663.920000002</v>
      </c>
      <c r="E34" s="74">
        <f>'Exhibit Q,1'!I25</f>
        <v>1</v>
      </c>
      <c r="G34" s="494">
        <f t="shared" si="1"/>
        <v>13600663.920000002</v>
      </c>
      <c r="I34" s="187">
        <f>'Exhibit P,3'!M34</f>
        <v>1811.1678999999999</v>
      </c>
      <c r="J34" s="187"/>
      <c r="K34" s="494">
        <f t="shared" si="2"/>
        <v>7509.3335742092177</v>
      </c>
      <c r="L34" s="187"/>
      <c r="M34" s="187">
        <f t="shared" si="0"/>
        <v>8294.9760131647054</v>
      </c>
    </row>
    <row r="35" spans="1:15">
      <c r="A35" s="6">
        <f t="shared" si="3"/>
        <v>2013</v>
      </c>
      <c r="C35" s="494">
        <f>'Exhibit O,2'!I35</f>
        <v>11521638.42</v>
      </c>
      <c r="E35" s="74">
        <f>'Exhibit Q,1'!I26</f>
        <v>1</v>
      </c>
      <c r="G35" s="494">
        <f t="shared" si="1"/>
        <v>11521638.42</v>
      </c>
      <c r="I35" s="187">
        <f>'Exhibit P,3'!M35</f>
        <v>1778.2047</v>
      </c>
      <c r="J35" s="187"/>
      <c r="K35" s="494">
        <f t="shared" si="2"/>
        <v>6479.3656320894888</v>
      </c>
      <c r="L35" s="187"/>
      <c r="M35" s="187">
        <f t="shared" si="0"/>
        <v>7086.3867681534703</v>
      </c>
    </row>
    <row r="36" spans="1:15">
      <c r="A36" s="6">
        <f t="shared" si="3"/>
        <v>2014</v>
      </c>
      <c r="C36" s="494">
        <f>'Exhibit O,2'!I36</f>
        <v>11478427.860000001</v>
      </c>
      <c r="E36" s="74">
        <f>'Exhibit Q,1'!I27</f>
        <v>1</v>
      </c>
      <c r="G36" s="494">
        <f t="shared" si="1"/>
        <v>11478427.860000001</v>
      </c>
      <c r="I36" s="187">
        <f>'Exhibit P,3'!M36</f>
        <v>1598.8430000000003</v>
      </c>
      <c r="J36" s="187"/>
      <c r="K36" s="494">
        <f t="shared" si="2"/>
        <v>7179.2088779198448</v>
      </c>
      <c r="L36" s="187"/>
      <c r="M36" s="187">
        <f t="shared" si="0"/>
        <v>7774.0544745601492</v>
      </c>
    </row>
    <row r="37" spans="1:15">
      <c r="A37" s="6">
        <f t="shared" si="3"/>
        <v>2015</v>
      </c>
      <c r="C37" s="494">
        <f>'Exhibit O,2'!I37</f>
        <v>13635004.139999997</v>
      </c>
      <c r="E37" s="74">
        <f>'Exhibit Q,1'!I28</f>
        <v>0.99773102310231021</v>
      </c>
      <c r="G37" s="494">
        <f t="shared" si="1"/>
        <v>13666012.005524082</v>
      </c>
      <c r="I37" s="187">
        <f>'Exhibit P,3'!M37</f>
        <v>1492.7619</v>
      </c>
      <c r="J37" s="187"/>
      <c r="K37" s="494">
        <f t="shared" si="2"/>
        <v>9154.8504858839733</v>
      </c>
      <c r="L37" s="187"/>
      <c r="M37" s="187">
        <f t="shared" si="0"/>
        <v>9815.2388491702441</v>
      </c>
    </row>
    <row r="38" spans="1:15">
      <c r="A38" s="6">
        <f t="shared" si="3"/>
        <v>2016</v>
      </c>
      <c r="C38" s="494">
        <f>'Exhibit O,2'!I38</f>
        <v>8877784.629999999</v>
      </c>
      <c r="E38" s="74">
        <f>'Exhibit Q,1'!I29</f>
        <v>0.98692503837404399</v>
      </c>
      <c r="G38" s="494">
        <f t="shared" si="1"/>
        <v>8995399.1284141727</v>
      </c>
      <c r="I38" s="187">
        <f>'Exhibit P,3'!M38</f>
        <v>1447.8647000000001</v>
      </c>
      <c r="J38" s="187"/>
      <c r="K38" s="494">
        <f t="shared" si="2"/>
        <v>6212.8727417790988</v>
      </c>
      <c r="L38" s="187"/>
      <c r="M38" s="187">
        <f t="shared" si="0"/>
        <v>6595.0896085181976</v>
      </c>
    </row>
    <row r="39" spans="1:15">
      <c r="A39" s="6">
        <f t="shared" si="3"/>
        <v>2017</v>
      </c>
      <c r="C39" s="494">
        <f>'Exhibit O,2'!I39</f>
        <v>5987304.1399999987</v>
      </c>
      <c r="E39" s="74">
        <f>'Exhibit Q,1'!I30</f>
        <v>0.96600211983984874</v>
      </c>
      <c r="G39" s="494">
        <f t="shared" si="1"/>
        <v>6198023.8107475583</v>
      </c>
      <c r="I39" s="187">
        <f>'Exhibit P,3'!M39</f>
        <v>1334.3542999999997</v>
      </c>
      <c r="J39" s="187"/>
      <c r="K39" s="494">
        <f t="shared" si="2"/>
        <v>4644.9610952260273</v>
      </c>
      <c r="L39" s="187"/>
      <c r="M39" s="187">
        <f t="shared" si="0"/>
        <v>4881.9007934060573</v>
      </c>
    </row>
    <row r="40" spans="1:15">
      <c r="A40" s="6">
        <f t="shared" si="3"/>
        <v>2018</v>
      </c>
      <c r="C40" s="494">
        <f>'Exhibit O,2'!I40</f>
        <v>9540028.9600000009</v>
      </c>
      <c r="E40" s="74">
        <f>'Exhibit Q,1'!I31</f>
        <v>0.92441048646916535</v>
      </c>
      <c r="G40" s="494">
        <f t="shared" si="1"/>
        <v>10320121.958415514</v>
      </c>
      <c r="I40" s="187">
        <f>'Exhibit P,3'!M40</f>
        <v>1313.2749999999999</v>
      </c>
      <c r="J40" s="187"/>
      <c r="K40" s="494">
        <f t="shared" si="2"/>
        <v>7858.3099186503323</v>
      </c>
      <c r="L40" s="187"/>
      <c r="M40" s="187">
        <f t="shared" si="0"/>
        <v>8177.3888131703097</v>
      </c>
    </row>
    <row r="41" spans="1:15">
      <c r="A41" s="6">
        <f t="shared" si="3"/>
        <v>2019</v>
      </c>
      <c r="C41" s="494">
        <f>'Exhibit O,2'!I41</f>
        <v>9372609.4299999997</v>
      </c>
      <c r="E41" s="74">
        <f>'Exhibit Q,1'!I32</f>
        <v>0.8452766056135772</v>
      </c>
      <c r="G41" s="494">
        <f t="shared" si="1"/>
        <v>11088215.819242416</v>
      </c>
      <c r="I41" s="187">
        <f>'Exhibit P,3'!M41</f>
        <v>1177.6818000000001</v>
      </c>
      <c r="J41" s="187"/>
      <c r="K41" s="494">
        <f t="shared" si="2"/>
        <v>9415.2901227160128</v>
      </c>
      <c r="L41" s="187"/>
      <c r="M41" s="187">
        <f t="shared" si="0"/>
        <v>9700.5828287244294</v>
      </c>
    </row>
    <row r="42" spans="1:15">
      <c r="A42" s="6">
        <f t="shared" si="3"/>
        <v>2020</v>
      </c>
      <c r="C42" s="494">
        <f>'Exhibit O,2'!I42</f>
        <v>6406174.7300000004</v>
      </c>
      <c r="E42" s="74">
        <f>'Exhibit Q,1'!I33</f>
        <v>0.66263958650038568</v>
      </c>
      <c r="G42" s="494">
        <f t="shared" si="1"/>
        <v>9667660.7623656839</v>
      </c>
      <c r="I42" s="187">
        <f>'Exhibit P,3'!M42</f>
        <v>1203.3188</v>
      </c>
      <c r="J42" s="187"/>
      <c r="K42" s="494">
        <f t="shared" si="2"/>
        <v>8034.1641486575991</v>
      </c>
      <c r="L42" s="187"/>
      <c r="M42" s="187">
        <f t="shared" si="0"/>
        <v>8195.6508480456177</v>
      </c>
    </row>
    <row r="43" spans="1:15">
      <c r="A43" s="6">
        <f t="shared" si="3"/>
        <v>2021</v>
      </c>
      <c r="C43" s="494">
        <f>'Exhibit O,2'!I43</f>
        <v>2146692.9499999997</v>
      </c>
      <c r="E43" s="74">
        <f>'Exhibit Q,1'!I34</f>
        <v>0.36582209102601632</v>
      </c>
      <c r="G43" s="494">
        <f t="shared" si="1"/>
        <v>5868133.7258206541</v>
      </c>
      <c r="I43" s="187">
        <f>'Exhibit P,3'!M43</f>
        <v>1323.6506800000002</v>
      </c>
      <c r="J43" s="187"/>
      <c r="K43" s="494">
        <f t="shared" si="2"/>
        <v>4433.2948371398516</v>
      </c>
      <c r="L43" s="187"/>
      <c r="M43" s="187">
        <f t="shared" si="0"/>
        <v>4477.6277855112503</v>
      </c>
    </row>
    <row r="45" spans="1:15">
      <c r="C45" s="19"/>
    </row>
    <row r="46" spans="1:15">
      <c r="I46" s="1" t="s">
        <v>146</v>
      </c>
    </row>
    <row r="47" spans="1:15">
      <c r="I47" s="2" t="s">
        <v>1347</v>
      </c>
      <c r="M47" s="66">
        <f>AVERAGE(M16:M43)</f>
        <v>8018.490927733008</v>
      </c>
    </row>
    <row r="48" spans="1:15">
      <c r="I48" s="2" t="s">
        <v>1373</v>
      </c>
      <c r="M48" s="494">
        <f>AVERAGE(M38:M42)</f>
        <v>7510.1225783729224</v>
      </c>
      <c r="O48" s="20"/>
    </row>
    <row r="49" spans="1:13">
      <c r="I49" s="3" t="s">
        <v>1372</v>
      </c>
      <c r="M49" s="494">
        <f>(SUM(M33:M42)-MAX(M33:M42)-MIN(M33:M42))/8</f>
        <v>7702.842495128386</v>
      </c>
    </row>
    <row r="50" spans="1:13">
      <c r="M50" s="20"/>
    </row>
    <row r="53" spans="1:13">
      <c r="A53" s="52" t="s">
        <v>104</v>
      </c>
      <c r="C53" s="3" t="s">
        <v>1021</v>
      </c>
    </row>
    <row r="54" spans="1:13">
      <c r="A54" s="52" t="s">
        <v>36</v>
      </c>
      <c r="C54" s="3" t="s">
        <v>406</v>
      </c>
    </row>
    <row r="55" spans="1:13">
      <c r="A55" s="52" t="s">
        <v>38</v>
      </c>
      <c r="C55" s="3" t="s">
        <v>222</v>
      </c>
    </row>
    <row r="56" spans="1:13">
      <c r="A56" s="52" t="s">
        <v>40</v>
      </c>
      <c r="C56" s="3" t="s">
        <v>453</v>
      </c>
    </row>
    <row r="57" spans="1:13">
      <c r="A57" s="52" t="s">
        <v>42</v>
      </c>
      <c r="C57" s="1" t="s">
        <v>143</v>
      </c>
    </row>
    <row r="58" spans="1:13">
      <c r="A58" s="52" t="s">
        <v>30</v>
      </c>
      <c r="C58" s="3" t="s">
        <v>1584</v>
      </c>
      <c r="I58" s="73">
        <v>0.01</v>
      </c>
      <c r="J58" s="1" t="s">
        <v>1552</v>
      </c>
      <c r="M58" s="73"/>
    </row>
  </sheetData>
  <printOptions horizontalCentered="1"/>
  <pageMargins left="0.7" right="0.7" top="0.75" bottom="0.75" header="0.3" footer="0.3"/>
  <pageSetup scale="76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2">
    <pageSetUpPr fitToPage="1"/>
  </sheetPr>
  <dimension ref="A1:AT80"/>
  <sheetViews>
    <sheetView topLeftCell="AA38" zoomScale="85" zoomScaleNormal="85" workbookViewId="0">
      <selection activeCell="AO59" sqref="AO59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1.7109375" style="1" customWidth="1"/>
    <col min="14" max="14" width="1.7109375" style="1" customWidth="1"/>
    <col min="15" max="15" width="11.7109375" style="1" customWidth="1"/>
    <col min="16" max="16" width="1.7109375" style="1" customWidth="1"/>
    <col min="17" max="17" width="11.7109375" style="1" customWidth="1"/>
    <col min="18" max="18" width="1.7109375" style="1" customWidth="1"/>
    <col min="19" max="19" width="11.7109375" style="1" customWidth="1"/>
    <col min="20" max="20" width="8.7109375" style="1"/>
    <col min="21" max="21" width="11.7109375" style="1" bestFit="1" customWidth="1"/>
    <col min="22" max="27" width="12.7109375" style="1" customWidth="1"/>
    <col min="28" max="28" width="1.7109375" style="1" customWidth="1"/>
    <col min="29" max="29" width="12.7109375" style="1" customWidth="1"/>
    <col min="30" max="30" width="1.7109375" style="1" customWidth="1"/>
    <col min="31" max="31" width="11.7109375" style="1" customWidth="1"/>
    <col min="32" max="32" width="1.7109375" style="1" customWidth="1"/>
    <col min="33" max="33" width="11.7109375" style="1" customWidth="1"/>
    <col min="34" max="34" width="1.7109375" style="1" customWidth="1"/>
    <col min="35" max="35" width="11.7109375" style="1" customWidth="1"/>
    <col min="36" max="36" width="1.7109375" style="1" customWidth="1"/>
    <col min="37" max="37" width="11.7109375" style="1" customWidth="1"/>
    <col min="38" max="38" width="1.7109375" style="1" customWidth="1"/>
    <col min="39" max="39" width="11.7109375" style="1" customWidth="1"/>
    <col min="40" max="40" width="1.7109375" style="1" customWidth="1"/>
    <col min="41" max="41" width="11.7109375" style="1" customWidth="1"/>
    <col min="42" max="44" width="8.7109375" style="1"/>
    <col min="45" max="45" width="12.28515625" style="1" bestFit="1" customWidth="1"/>
    <col min="46" max="16384" width="8.7109375" style="1"/>
  </cols>
  <sheetData>
    <row r="1" spans="1:37">
      <c r="A1" s="1" t="s">
        <v>452</v>
      </c>
      <c r="S1" s="64" t="s">
        <v>955</v>
      </c>
    </row>
    <row r="2" spans="1:37">
      <c r="S2" s="52" t="s">
        <v>56</v>
      </c>
    </row>
    <row r="3" spans="1:37">
      <c r="S3" s="5"/>
    </row>
    <row r="4" spans="1:37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</row>
    <row r="6" spans="1:37">
      <c r="A6" s="5" t="s">
        <v>835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37">
      <c r="A7" s="5" t="s">
        <v>152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37">
      <c r="A8" s="5" t="s">
        <v>834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37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37">
      <c r="V10" s="24"/>
      <c r="W10" s="24"/>
      <c r="X10" s="25"/>
    </row>
    <row r="11" spans="1:37">
      <c r="N11" s="6"/>
      <c r="O11" s="6"/>
      <c r="P11" s="6"/>
      <c r="Q11" s="6"/>
      <c r="V11" s="25"/>
      <c r="W11" s="25"/>
      <c r="X11" s="25"/>
    </row>
    <row r="12" spans="1:37">
      <c r="A12" s="2" t="s">
        <v>3</v>
      </c>
      <c r="C12" s="8" t="s">
        <v>168</v>
      </c>
      <c r="D12" s="8"/>
      <c r="E12" s="8"/>
      <c r="F12" s="8"/>
      <c r="G12" s="8"/>
      <c r="I12" s="8" t="s">
        <v>275</v>
      </c>
      <c r="J12" s="8"/>
      <c r="K12" s="8"/>
      <c r="L12" s="8"/>
      <c r="M12" s="8"/>
      <c r="N12" s="6"/>
      <c r="O12" s="8" t="s">
        <v>276</v>
      </c>
      <c r="P12" s="8"/>
      <c r="Q12" s="8"/>
      <c r="R12" s="8"/>
      <c r="S12" s="8"/>
      <c r="V12" s="61"/>
      <c r="W12" s="97" t="s">
        <v>2</v>
      </c>
      <c r="X12" s="25"/>
      <c r="AA12" s="2" t="s">
        <v>3</v>
      </c>
      <c r="AC12" s="6" t="s">
        <v>1719</v>
      </c>
      <c r="AD12" s="8"/>
      <c r="AI12" s="1" t="s">
        <v>1708</v>
      </c>
    </row>
    <row r="13" spans="1:37">
      <c r="A13" s="6" t="s">
        <v>4</v>
      </c>
      <c r="B13" s="6"/>
      <c r="C13" s="2" t="s">
        <v>160</v>
      </c>
      <c r="D13" s="6"/>
      <c r="E13" s="2" t="s">
        <v>395</v>
      </c>
      <c r="F13" s="6"/>
      <c r="G13" s="2" t="s">
        <v>0</v>
      </c>
      <c r="H13" s="2"/>
      <c r="I13" s="2" t="s">
        <v>160</v>
      </c>
      <c r="J13" s="6"/>
      <c r="K13" s="2" t="s">
        <v>395</v>
      </c>
      <c r="L13" s="6"/>
      <c r="M13" s="2" t="s">
        <v>0</v>
      </c>
      <c r="N13" s="6"/>
      <c r="O13" s="2" t="s">
        <v>160</v>
      </c>
      <c r="P13" s="6"/>
      <c r="Q13" s="2" t="s">
        <v>395</v>
      </c>
      <c r="R13" s="6"/>
      <c r="S13" s="2" t="s">
        <v>0</v>
      </c>
      <c r="V13" s="61"/>
      <c r="W13" s="97" t="s">
        <v>171</v>
      </c>
      <c r="X13" s="97" t="s">
        <v>18</v>
      </c>
      <c r="Y13" s="2"/>
      <c r="AA13" s="6" t="s">
        <v>4</v>
      </c>
      <c r="AC13" s="2" t="s">
        <v>5</v>
      </c>
      <c r="AE13" s="2" t="s">
        <v>1712</v>
      </c>
      <c r="AG13" s="1" t="s">
        <v>1</v>
      </c>
      <c r="AI13" s="1" t="s">
        <v>16</v>
      </c>
      <c r="AK13" s="1" t="s">
        <v>162</v>
      </c>
    </row>
    <row r="14" spans="1:37">
      <c r="A14" s="9">
        <v>-1</v>
      </c>
      <c r="B14" s="11"/>
      <c r="C14" s="9">
        <v>-2</v>
      </c>
      <c r="D14" s="11"/>
      <c r="E14" s="9">
        <v>-3</v>
      </c>
      <c r="F14" s="11"/>
      <c r="G14" s="9">
        <v>-4</v>
      </c>
      <c r="H14" s="11"/>
      <c r="I14" s="9">
        <v>-5</v>
      </c>
      <c r="J14" s="11"/>
      <c r="K14" s="9">
        <v>-6</v>
      </c>
      <c r="L14" s="11"/>
      <c r="M14" s="9">
        <v>-7</v>
      </c>
      <c r="N14" s="11"/>
      <c r="O14" s="9">
        <v>-8</v>
      </c>
      <c r="P14" s="11"/>
      <c r="Q14" s="9">
        <v>-9</v>
      </c>
      <c r="R14" s="11"/>
      <c r="S14" s="9">
        <v>-10</v>
      </c>
      <c r="V14" s="61"/>
      <c r="W14" s="9"/>
      <c r="X14" s="9"/>
      <c r="AA14" s="9">
        <v>-1</v>
      </c>
      <c r="AC14" s="9">
        <v>-2</v>
      </c>
      <c r="AE14" s="9">
        <v>-2</v>
      </c>
      <c r="AG14" s="9">
        <v>-3</v>
      </c>
      <c r="AH14" s="9">
        <v>-2</v>
      </c>
      <c r="AI14" s="9">
        <v>-4</v>
      </c>
      <c r="AJ14" s="9">
        <v>-2</v>
      </c>
      <c r="AK14" s="9">
        <v>-5</v>
      </c>
    </row>
    <row r="15" spans="1:37">
      <c r="U15" s="61"/>
      <c r="V15" s="61"/>
      <c r="W15" s="238"/>
      <c r="X15" s="25"/>
      <c r="Y15" s="61"/>
      <c r="Z15" s="61"/>
    </row>
    <row r="16" spans="1:37" ht="16">
      <c r="A16" s="15" t="s">
        <v>77</v>
      </c>
      <c r="O16" s="26"/>
      <c r="P16" s="26"/>
      <c r="Q16" s="26"/>
      <c r="S16" s="26"/>
      <c r="U16" s="61"/>
      <c r="V16" s="61"/>
      <c r="W16" s="238"/>
      <c r="X16" s="25"/>
      <c r="Y16" s="61"/>
      <c r="Z16" s="61"/>
      <c r="AA16" s="15" t="s">
        <v>77</v>
      </c>
    </row>
    <row r="17" spans="1:41">
      <c r="A17" s="6">
        <v>2008</v>
      </c>
      <c r="C17" s="147">
        <f>'Exhibit U,4'!K17</f>
        <v>577451.15</v>
      </c>
      <c r="D17" s="147"/>
      <c r="E17" s="147">
        <f>'Exhibit U,7'!Q17</f>
        <v>1911758.4000000001</v>
      </c>
      <c r="F17" s="147"/>
      <c r="G17" s="147">
        <f>C17+E17</f>
        <v>2489209.5500000003</v>
      </c>
      <c r="H17" s="147"/>
      <c r="I17" s="509">
        <f>'Exhibit U,5'!AB17</f>
        <v>577451.15</v>
      </c>
      <c r="J17" s="147"/>
      <c r="K17" s="509">
        <f>'Exhibit U,8'!AB17</f>
        <v>1911758.4000000001</v>
      </c>
      <c r="L17" s="147"/>
      <c r="M17" s="147">
        <f>I17+K17</f>
        <v>2489209.5500000003</v>
      </c>
      <c r="N17" s="147"/>
      <c r="O17" s="147">
        <f>C17-I17</f>
        <v>0</v>
      </c>
      <c r="P17" s="147"/>
      <c r="Q17" s="147">
        <f>E17-K17</f>
        <v>0</v>
      </c>
      <c r="R17" s="147"/>
      <c r="S17" s="147">
        <f>G17-M17</f>
        <v>0</v>
      </c>
      <c r="U17" s="169"/>
      <c r="V17" s="61"/>
      <c r="W17" s="230">
        <f>'Exhibit U,7'!Y17+'Exhibit U,4'!S17</f>
        <v>2489209.5500000003</v>
      </c>
      <c r="X17" s="240">
        <f>G17-W17</f>
        <v>0</v>
      </c>
      <c r="Y17" s="173"/>
      <c r="Z17" s="173"/>
      <c r="AA17" s="6">
        <v>2008</v>
      </c>
      <c r="AC17" s="147"/>
      <c r="AE17" s="26"/>
    </row>
    <row r="18" spans="1:41">
      <c r="A18" s="6">
        <f>A17+1</f>
        <v>2009</v>
      </c>
      <c r="C18" s="494">
        <f>'Exhibit U,4'!K18</f>
        <v>28875.5</v>
      </c>
      <c r="D18" s="494"/>
      <c r="E18" s="494">
        <f>'Exhibit U,7'!Q18</f>
        <v>2191506.25</v>
      </c>
      <c r="F18" s="494"/>
      <c r="G18" s="494">
        <f t="shared" ref="G18:G31" si="0">C18+E18</f>
        <v>2220381.75</v>
      </c>
      <c r="H18" s="494"/>
      <c r="I18" s="499">
        <f>'Exhibit U,5'!AB18</f>
        <v>28875.5</v>
      </c>
      <c r="J18" s="494"/>
      <c r="K18" s="499">
        <f>'Exhibit U,8'!AB18</f>
        <v>2191506.25</v>
      </c>
      <c r="L18" s="494"/>
      <c r="M18" s="494">
        <f t="shared" ref="M18:M31" si="1">I18+K18</f>
        <v>2220381.75</v>
      </c>
      <c r="N18" s="494"/>
      <c r="O18" s="494">
        <f t="shared" ref="O18:O31" si="2">C18-I18</f>
        <v>0</v>
      </c>
      <c r="P18" s="494"/>
      <c r="Q18" s="494">
        <f t="shared" ref="Q18:Q31" si="3">E18-K18</f>
        <v>0</v>
      </c>
      <c r="R18" s="494"/>
      <c r="S18" s="494">
        <f t="shared" ref="S18:S31" si="4">G18-M18</f>
        <v>0</v>
      </c>
      <c r="U18" s="169"/>
      <c r="V18" s="61"/>
      <c r="W18" s="230">
        <f>'Exhibit U,7'!Y18+'Exhibit U,4'!S18</f>
        <v>2220381.75</v>
      </c>
      <c r="X18" s="67">
        <f t="shared" ref="X18:X30" si="5">G18-W18</f>
        <v>0</v>
      </c>
      <c r="Y18" s="173"/>
      <c r="Z18" s="173"/>
      <c r="AA18" s="6">
        <f>AA17+1</f>
        <v>2009</v>
      </c>
      <c r="AC18" s="17"/>
      <c r="AE18" s="20"/>
    </row>
    <row r="19" spans="1:41">
      <c r="A19" s="6">
        <f t="shared" ref="A19:A31" si="6">A18+1</f>
        <v>2010</v>
      </c>
      <c r="C19" s="494">
        <f>'Exhibit U,4'!K19</f>
        <v>1056390.7999999998</v>
      </c>
      <c r="D19" s="494"/>
      <c r="E19" s="494">
        <f>'Exhibit U,7'!Q19</f>
        <v>8479335.2699999996</v>
      </c>
      <c r="F19" s="494"/>
      <c r="G19" s="494">
        <f t="shared" si="0"/>
        <v>9535726.0700000003</v>
      </c>
      <c r="H19" s="494"/>
      <c r="I19" s="499">
        <f>'Exhibit U,5'!AB19</f>
        <v>1056390.7999999998</v>
      </c>
      <c r="J19" s="494"/>
      <c r="K19" s="499">
        <f>'Exhibit U,8'!AB19</f>
        <v>8479335.2699999996</v>
      </c>
      <c r="L19" s="494"/>
      <c r="M19" s="494">
        <f t="shared" si="1"/>
        <v>9535726.0700000003</v>
      </c>
      <c r="N19" s="494"/>
      <c r="O19" s="494">
        <f t="shared" si="2"/>
        <v>0</v>
      </c>
      <c r="P19" s="494"/>
      <c r="Q19" s="494">
        <f t="shared" si="3"/>
        <v>0</v>
      </c>
      <c r="R19" s="494"/>
      <c r="S19" s="494">
        <f t="shared" si="4"/>
        <v>0</v>
      </c>
      <c r="U19" s="169"/>
      <c r="V19" s="61"/>
      <c r="W19" s="230">
        <f>'Exhibit U,7'!Y19+'Exhibit U,4'!S19</f>
        <v>9535482.8900000006</v>
      </c>
      <c r="X19" s="67">
        <f t="shared" si="5"/>
        <v>243.17999999970198</v>
      </c>
      <c r="Y19" s="173"/>
      <c r="Z19" s="173"/>
      <c r="AA19" s="6">
        <f t="shared" ref="AA19:AA31" si="7">AA18+1</f>
        <v>2010</v>
      </c>
      <c r="AB19" s="494"/>
      <c r="AC19" s="494"/>
      <c r="AD19" s="494"/>
      <c r="AE19" s="499"/>
      <c r="AF19" s="494"/>
      <c r="AG19" s="499"/>
      <c r="AH19" s="494"/>
      <c r="AI19" s="494"/>
      <c r="AJ19" s="494"/>
      <c r="AK19" s="494"/>
      <c r="AL19" s="494"/>
      <c r="AM19" s="494"/>
      <c r="AN19" s="494"/>
      <c r="AO19" s="494">
        <f t="shared" ref="AO19" si="8">AC19-AI19</f>
        <v>0</v>
      </c>
    </row>
    <row r="20" spans="1:41">
      <c r="A20" s="6">
        <f t="shared" si="6"/>
        <v>2011</v>
      </c>
      <c r="C20" s="494">
        <f>'Exhibit U,4'!K20</f>
        <v>640869.17000000004</v>
      </c>
      <c r="D20" s="494"/>
      <c r="E20" s="494">
        <f>'Exhibit U,7'!Q20</f>
        <v>6315267.6400000006</v>
      </c>
      <c r="F20" s="494"/>
      <c r="G20" s="494">
        <f t="shared" si="0"/>
        <v>6956136.8100000005</v>
      </c>
      <c r="H20" s="494"/>
      <c r="I20" s="499">
        <f>'Exhibit U,5'!AB20</f>
        <v>640869.17000000004</v>
      </c>
      <c r="J20" s="494"/>
      <c r="K20" s="499">
        <f>'Exhibit U,8'!AB20</f>
        <v>6315267.6400000006</v>
      </c>
      <c r="L20" s="494"/>
      <c r="M20" s="494">
        <f t="shared" si="1"/>
        <v>6956136.8100000005</v>
      </c>
      <c r="N20" s="494"/>
      <c r="O20" s="494">
        <f t="shared" si="2"/>
        <v>0</v>
      </c>
      <c r="P20" s="494"/>
      <c r="Q20" s="494">
        <f t="shared" si="3"/>
        <v>0</v>
      </c>
      <c r="R20" s="494"/>
      <c r="S20" s="494">
        <f t="shared" si="4"/>
        <v>0</v>
      </c>
      <c r="U20" s="169"/>
      <c r="V20" s="61"/>
      <c r="W20" s="230">
        <f>'Exhibit U,7'!Y20+'Exhibit U,4'!S20</f>
        <v>7477101.4000000004</v>
      </c>
      <c r="X20" s="67">
        <f t="shared" si="5"/>
        <v>-520964.58999999985</v>
      </c>
      <c r="Y20" s="173"/>
      <c r="Z20" s="173"/>
      <c r="AA20" s="6">
        <f t="shared" si="7"/>
        <v>2011</v>
      </c>
      <c r="AC20" s="17"/>
      <c r="AE20" s="20"/>
    </row>
    <row r="21" spans="1:41">
      <c r="A21" s="6">
        <f t="shared" si="6"/>
        <v>2012</v>
      </c>
      <c r="C21" s="494">
        <f>'Exhibit U,4'!K21</f>
        <v>4744399.03</v>
      </c>
      <c r="D21" s="494"/>
      <c r="E21" s="494">
        <f>'Exhibit U,7'!Q21</f>
        <v>17569452.739999998</v>
      </c>
      <c r="F21" s="494"/>
      <c r="G21" s="494">
        <f t="shared" si="0"/>
        <v>22313851.77</v>
      </c>
      <c r="H21" s="494"/>
      <c r="I21" s="499">
        <f>'Exhibit U,5'!AB21</f>
        <v>4744399.03</v>
      </c>
      <c r="J21" s="494"/>
      <c r="K21" s="499">
        <f>'Exhibit U,8'!AB21</f>
        <v>17224733.84</v>
      </c>
      <c r="L21" s="494"/>
      <c r="M21" s="494">
        <f t="shared" si="1"/>
        <v>21969132.870000001</v>
      </c>
      <c r="N21" s="494"/>
      <c r="O21" s="494">
        <f t="shared" si="2"/>
        <v>0</v>
      </c>
      <c r="P21" s="494"/>
      <c r="Q21" s="494">
        <f t="shared" si="3"/>
        <v>344718.89999999851</v>
      </c>
      <c r="R21" s="494"/>
      <c r="S21" s="494">
        <f t="shared" si="4"/>
        <v>344718.89999999851</v>
      </c>
      <c r="U21" s="169"/>
      <c r="V21" s="61"/>
      <c r="W21" s="230">
        <f>'Exhibit U,7'!Y21+'Exhibit U,4'!S21</f>
        <v>23884065.07</v>
      </c>
      <c r="X21" s="67">
        <f t="shared" si="5"/>
        <v>-1570213.3000000007</v>
      </c>
      <c r="Y21" s="173"/>
      <c r="Z21" s="173"/>
      <c r="AA21" s="6">
        <f t="shared" si="7"/>
        <v>2012</v>
      </c>
      <c r="AC21" s="17">
        <f>'Exhibit U,4'!C21</f>
        <v>4744399.03</v>
      </c>
      <c r="AE21" s="20">
        <v>4744399.03</v>
      </c>
      <c r="AG21" s="22">
        <f>AE21</f>
        <v>4744399.03</v>
      </c>
      <c r="AI21" s="54">
        <v>2473686.1224250719</v>
      </c>
      <c r="AK21" s="55">
        <f>AG21/AI21</f>
        <v>1.9179470616703953</v>
      </c>
    </row>
    <row r="22" spans="1:41">
      <c r="A22" s="6">
        <f t="shared" si="6"/>
        <v>2013</v>
      </c>
      <c r="C22" s="494">
        <f>'Exhibit U,4'!K22</f>
        <v>714842.25</v>
      </c>
      <c r="D22" s="494"/>
      <c r="E22" s="494">
        <f>'Exhibit U,7'!Q22</f>
        <v>17358241.969999999</v>
      </c>
      <c r="F22" s="494"/>
      <c r="G22" s="494">
        <f t="shared" si="0"/>
        <v>18073084.219999999</v>
      </c>
      <c r="H22" s="494"/>
      <c r="I22" s="499">
        <f>'Exhibit U,5'!AB22</f>
        <v>714842.25</v>
      </c>
      <c r="J22" s="494"/>
      <c r="K22" s="499">
        <f>'Exhibit U,8'!AB22</f>
        <v>15118983.609999998</v>
      </c>
      <c r="L22" s="494"/>
      <c r="M22" s="494">
        <f t="shared" si="1"/>
        <v>15833825.859999998</v>
      </c>
      <c r="N22" s="494"/>
      <c r="O22" s="494">
        <f t="shared" si="2"/>
        <v>0</v>
      </c>
      <c r="P22" s="494"/>
      <c r="Q22" s="494">
        <f t="shared" si="3"/>
        <v>2239258.3600000013</v>
      </c>
      <c r="R22" s="494"/>
      <c r="S22" s="494">
        <f t="shared" si="4"/>
        <v>2239258.3600000013</v>
      </c>
      <c r="U22" s="169"/>
      <c r="V22" s="61"/>
      <c r="W22" s="230">
        <f>'Exhibit U,7'!Y22+'Exhibit U,4'!S22</f>
        <v>19688030.195806205</v>
      </c>
      <c r="X22" s="67">
        <f t="shared" si="5"/>
        <v>-1614945.9758062065</v>
      </c>
      <c r="Y22" s="173"/>
      <c r="Z22" s="173"/>
      <c r="AA22" s="6">
        <f t="shared" si="7"/>
        <v>2013</v>
      </c>
      <c r="AC22" s="17">
        <f>'Exhibit U,4'!C22</f>
        <v>714842.25</v>
      </c>
      <c r="AE22" s="20">
        <v>714842.25</v>
      </c>
      <c r="AG22" s="22">
        <f t="shared" ref="AG22:AG29" si="9">AE22</f>
        <v>714842.25</v>
      </c>
      <c r="AI22" s="54">
        <v>1900876.1759489316</v>
      </c>
      <c r="AK22" s="55">
        <f t="shared" ref="AK22:AK30" si="10">AG22/AI22</f>
        <v>0.37605934518230544</v>
      </c>
    </row>
    <row r="23" spans="1:41">
      <c r="A23" s="6">
        <f t="shared" si="6"/>
        <v>2014</v>
      </c>
      <c r="C23" s="494">
        <f>'Exhibit U,4'!K23</f>
        <v>3172203.93</v>
      </c>
      <c r="D23" s="494"/>
      <c r="E23" s="494">
        <f>'Exhibit U,7'!Q23</f>
        <v>21073817.018735245</v>
      </c>
      <c r="F23" s="494"/>
      <c r="G23" s="494">
        <f t="shared" si="0"/>
        <v>24246020.948735245</v>
      </c>
      <c r="H23" s="494"/>
      <c r="I23" s="499">
        <f>'Exhibit U,5'!AB23</f>
        <v>3172203.93</v>
      </c>
      <c r="J23" s="494"/>
      <c r="K23" s="499">
        <f>'Exhibit U,8'!AB23</f>
        <v>17623388.829999998</v>
      </c>
      <c r="L23" s="494"/>
      <c r="M23" s="494">
        <f t="shared" si="1"/>
        <v>20795592.759999998</v>
      </c>
      <c r="N23" s="494"/>
      <c r="O23" s="494">
        <f t="shared" si="2"/>
        <v>0</v>
      </c>
      <c r="P23" s="494"/>
      <c r="Q23" s="494">
        <f t="shared" si="3"/>
        <v>3450428.1887352467</v>
      </c>
      <c r="R23" s="494"/>
      <c r="S23" s="494">
        <f t="shared" si="4"/>
        <v>3450428.1887352467</v>
      </c>
      <c r="U23" s="169"/>
      <c r="V23" s="61"/>
      <c r="W23" s="230">
        <f>'Exhibit U,7'!Y23+'Exhibit U,4'!S23</f>
        <v>27231830.039986342</v>
      </c>
      <c r="X23" s="67">
        <f t="shared" si="5"/>
        <v>-2985809.0912510976</v>
      </c>
      <c r="Y23" s="173"/>
      <c r="Z23" s="173"/>
      <c r="AA23" s="6">
        <f t="shared" si="7"/>
        <v>2014</v>
      </c>
      <c r="AC23" s="17">
        <f>'Exhibit U,4'!C23</f>
        <v>3172203.93</v>
      </c>
      <c r="AE23" s="20">
        <v>3172203.9299999997</v>
      </c>
      <c r="AG23" s="22">
        <f t="shared" si="9"/>
        <v>3172203.9299999997</v>
      </c>
      <c r="AI23" s="54">
        <v>2704797.2491015382</v>
      </c>
      <c r="AK23" s="55">
        <f t="shared" si="10"/>
        <v>1.1728065499377898</v>
      </c>
    </row>
    <row r="24" spans="1:41">
      <c r="A24" s="6">
        <f t="shared" si="6"/>
        <v>2015</v>
      </c>
      <c r="C24" s="494">
        <f>'Exhibit U,4'!K24</f>
        <v>1881397.8199999998</v>
      </c>
      <c r="D24" s="494"/>
      <c r="E24" s="494">
        <f>'Exhibit U,7'!Q24</f>
        <v>4064067.5546318418</v>
      </c>
      <c r="F24" s="494"/>
      <c r="G24" s="494">
        <f t="shared" si="0"/>
        <v>5945465.3746318417</v>
      </c>
      <c r="H24" s="494"/>
      <c r="I24" s="499">
        <f>'Exhibit U,5'!AB24</f>
        <v>1881397.8199999998</v>
      </c>
      <c r="J24" s="494"/>
      <c r="K24" s="499">
        <f>'Exhibit U,8'!AB24</f>
        <v>2896938.19</v>
      </c>
      <c r="L24" s="494"/>
      <c r="M24" s="494">
        <f t="shared" si="1"/>
        <v>4778336.01</v>
      </c>
      <c r="N24" s="494"/>
      <c r="O24" s="494">
        <f t="shared" si="2"/>
        <v>0</v>
      </c>
      <c r="P24" s="494"/>
      <c r="Q24" s="494">
        <f t="shared" si="3"/>
        <v>1167129.3646318419</v>
      </c>
      <c r="R24" s="494"/>
      <c r="S24" s="494">
        <f t="shared" si="4"/>
        <v>1167129.3646318419</v>
      </c>
      <c r="U24" s="169"/>
      <c r="V24" s="61"/>
      <c r="W24" s="230">
        <f>'Exhibit U,7'!Y24+'Exhibit U,4'!S24</f>
        <v>5641447.0181367854</v>
      </c>
      <c r="X24" s="67">
        <f t="shared" si="5"/>
        <v>304018.3564950563</v>
      </c>
      <c r="Y24" s="173"/>
      <c r="Z24" s="173"/>
      <c r="AA24" s="6">
        <f t="shared" si="7"/>
        <v>2015</v>
      </c>
      <c r="AC24" s="17">
        <f>'Exhibit U,4'!C24</f>
        <v>1881397.8199999998</v>
      </c>
      <c r="AE24" s="20">
        <v>1881580.536424421</v>
      </c>
      <c r="AG24" s="22">
        <f t="shared" si="9"/>
        <v>1881580.536424421</v>
      </c>
      <c r="AI24" s="54">
        <v>2684270.3805815815</v>
      </c>
      <c r="AK24" s="55">
        <f t="shared" si="10"/>
        <v>0.70096535357840983</v>
      </c>
    </row>
    <row r="25" spans="1:41">
      <c r="A25" s="6">
        <f t="shared" si="6"/>
        <v>2016</v>
      </c>
      <c r="C25" s="494">
        <f>'Exhibit U,4'!K25</f>
        <v>5152134.53</v>
      </c>
      <c r="D25" s="494"/>
      <c r="E25" s="494">
        <f>'Exhibit U,7'!Q25</f>
        <v>11631693.045840388</v>
      </c>
      <c r="F25" s="494"/>
      <c r="G25" s="494">
        <f t="shared" si="0"/>
        <v>16783827.575840387</v>
      </c>
      <c r="H25" s="494"/>
      <c r="I25" s="499">
        <f>'Exhibit U,5'!AB25</f>
        <v>4349527.58</v>
      </c>
      <c r="J25" s="494"/>
      <c r="K25" s="499">
        <f>'Exhibit U,8'!AB25</f>
        <v>6553623.2299999995</v>
      </c>
      <c r="L25" s="494"/>
      <c r="M25" s="494">
        <f t="shared" si="1"/>
        <v>10903150.809999999</v>
      </c>
      <c r="N25" s="494"/>
      <c r="O25" s="494">
        <f t="shared" si="2"/>
        <v>802606.95000000019</v>
      </c>
      <c r="P25" s="494"/>
      <c r="Q25" s="494">
        <f t="shared" si="3"/>
        <v>5078069.8158403886</v>
      </c>
      <c r="R25" s="494"/>
      <c r="S25" s="494">
        <f t="shared" si="4"/>
        <v>5880676.7658403888</v>
      </c>
      <c r="U25" s="169"/>
      <c r="V25" s="61"/>
      <c r="W25" s="230">
        <f>'Exhibit U,7'!Y25+'Exhibit U,4'!S25</f>
        <v>17580868.143283047</v>
      </c>
      <c r="X25" s="67">
        <f t="shared" si="5"/>
        <v>-797040.56744265929</v>
      </c>
      <c r="Y25" s="173"/>
      <c r="Z25" s="173"/>
      <c r="AA25" s="6">
        <f t="shared" si="7"/>
        <v>2016</v>
      </c>
      <c r="AC25" s="17">
        <f>'Exhibit U,4'!C25</f>
        <v>5152134.53</v>
      </c>
      <c r="AE25" s="20">
        <v>4763224.15647869</v>
      </c>
      <c r="AG25" s="22">
        <f t="shared" si="9"/>
        <v>4763224.15647869</v>
      </c>
      <c r="AI25" s="54">
        <v>2417635.2539591677</v>
      </c>
      <c r="AK25" s="55">
        <f t="shared" si="10"/>
        <v>1.9701996604650511</v>
      </c>
    </row>
    <row r="26" spans="1:41">
      <c r="A26" s="6">
        <f t="shared" si="6"/>
        <v>2017</v>
      </c>
      <c r="C26" s="494">
        <f>'Exhibit U,4'!K26</f>
        <v>305163.03999999998</v>
      </c>
      <c r="D26" s="494"/>
      <c r="E26" s="494">
        <f>'Exhibit U,7'!Q26</f>
        <v>11261564.203882288</v>
      </c>
      <c r="F26" s="494"/>
      <c r="G26" s="494">
        <f t="shared" si="0"/>
        <v>11566727.243882287</v>
      </c>
      <c r="H26" s="494"/>
      <c r="I26" s="499">
        <f>'Exhibit U,5'!AB26</f>
        <v>296163.03999999998</v>
      </c>
      <c r="J26" s="494"/>
      <c r="K26" s="499">
        <f>'Exhibit U,8'!AB26</f>
        <v>6540671.2999999998</v>
      </c>
      <c r="L26" s="494"/>
      <c r="M26" s="494">
        <f t="shared" si="1"/>
        <v>6836834.3399999999</v>
      </c>
      <c r="N26" s="494"/>
      <c r="O26" s="494">
        <f t="shared" si="2"/>
        <v>9000</v>
      </c>
      <c r="P26" s="494"/>
      <c r="Q26" s="494">
        <f t="shared" si="3"/>
        <v>4720892.9038822884</v>
      </c>
      <c r="R26" s="494"/>
      <c r="S26" s="494">
        <f t="shared" si="4"/>
        <v>4729892.9038822874</v>
      </c>
      <c r="U26" s="169"/>
      <c r="V26" s="61"/>
      <c r="W26" s="230">
        <f>'Exhibit U,7'!Y26+'Exhibit U,4'!S26</f>
        <v>13454238.994726909</v>
      </c>
      <c r="X26" s="67">
        <f t="shared" si="5"/>
        <v>-1887511.750844622</v>
      </c>
      <c r="Y26" s="173"/>
      <c r="Z26" s="173"/>
      <c r="AA26" s="6">
        <f t="shared" si="7"/>
        <v>2017</v>
      </c>
      <c r="AC26" s="17">
        <f>'Exhibit U,4'!C26</f>
        <v>305163.03999999998</v>
      </c>
      <c r="AE26" s="20">
        <v>308241.66475600522</v>
      </c>
      <c r="AG26" s="22">
        <f t="shared" si="9"/>
        <v>308241.66475600522</v>
      </c>
      <c r="AI26" s="54">
        <v>1964020.0296252344</v>
      </c>
      <c r="AK26" s="55">
        <f t="shared" si="10"/>
        <v>0.15694425724101324</v>
      </c>
    </row>
    <row r="27" spans="1:41">
      <c r="A27" s="6">
        <f t="shared" si="6"/>
        <v>2018</v>
      </c>
      <c r="C27" s="494">
        <f>'Exhibit U,4'!K27</f>
        <v>898335.37</v>
      </c>
      <c r="D27" s="494"/>
      <c r="E27" s="494">
        <f>'Exhibit U,7'!Q27</f>
        <v>7006078.1762927808</v>
      </c>
      <c r="F27" s="494"/>
      <c r="G27" s="494">
        <f t="shared" si="0"/>
        <v>7904413.5462927809</v>
      </c>
      <c r="H27" s="494"/>
      <c r="I27" s="499">
        <f>'Exhibit U,5'!AB27</f>
        <v>409498.17</v>
      </c>
      <c r="J27" s="494"/>
      <c r="K27" s="499">
        <f>'Exhibit U,8'!AB27</f>
        <v>1434620.3199999998</v>
      </c>
      <c r="L27" s="494"/>
      <c r="M27" s="494">
        <f t="shared" si="1"/>
        <v>1844118.4899999998</v>
      </c>
      <c r="N27" s="494"/>
      <c r="O27" s="494">
        <f t="shared" si="2"/>
        <v>488837.2</v>
      </c>
      <c r="P27" s="494"/>
      <c r="Q27" s="494">
        <f t="shared" si="3"/>
        <v>5571457.8562927805</v>
      </c>
      <c r="R27" s="494"/>
      <c r="S27" s="494">
        <f t="shared" si="4"/>
        <v>6060295.0562927816</v>
      </c>
      <c r="U27" s="169"/>
      <c r="V27" s="61"/>
      <c r="W27" s="230">
        <f>'Exhibit U,7'!Y27+'Exhibit U,4'!S27</f>
        <v>9388763.5824659485</v>
      </c>
      <c r="X27" s="67">
        <f t="shared" si="5"/>
        <v>-1484350.0361731676</v>
      </c>
      <c r="Y27" s="173"/>
      <c r="Z27" s="173"/>
      <c r="AA27" s="6">
        <f t="shared" si="7"/>
        <v>2018</v>
      </c>
      <c r="AC27" s="17">
        <f>'Exhibit U,4'!C27</f>
        <v>898335.37</v>
      </c>
      <c r="AE27" s="20">
        <v>915997.9787131052</v>
      </c>
      <c r="AG27" s="22">
        <f t="shared" si="9"/>
        <v>915997.9787131052</v>
      </c>
      <c r="AI27" s="54">
        <v>1293829.2604429992</v>
      </c>
      <c r="AK27" s="55">
        <f t="shared" si="10"/>
        <v>0.70797438790298584</v>
      </c>
    </row>
    <row r="28" spans="1:41">
      <c r="A28" s="6">
        <f t="shared" si="6"/>
        <v>2019</v>
      </c>
      <c r="C28" s="494">
        <f>'Exhibit U,4'!K28</f>
        <v>485623.37068461761</v>
      </c>
      <c r="D28" s="494"/>
      <c r="E28" s="494">
        <f>'Exhibit U,7'!Q28</f>
        <v>6712613.7859857585</v>
      </c>
      <c r="F28" s="494"/>
      <c r="G28" s="494">
        <f t="shared" si="0"/>
        <v>7198237.1566703757</v>
      </c>
      <c r="H28" s="494"/>
      <c r="I28" s="499">
        <f>'Exhibit U,5'!AB28</f>
        <v>112278.38</v>
      </c>
      <c r="J28" s="494"/>
      <c r="K28" s="499">
        <f>'Exhibit U,8'!AB28</f>
        <v>720132.63</v>
      </c>
      <c r="L28" s="494"/>
      <c r="M28" s="494">
        <f t="shared" si="1"/>
        <v>832411.01</v>
      </c>
      <c r="N28" s="494"/>
      <c r="O28" s="494">
        <f t="shared" si="2"/>
        <v>373344.9906846176</v>
      </c>
      <c r="P28" s="494"/>
      <c r="Q28" s="494">
        <f t="shared" si="3"/>
        <v>5992481.1559857586</v>
      </c>
      <c r="R28" s="494"/>
      <c r="S28" s="494">
        <f t="shared" si="4"/>
        <v>6365826.146670376</v>
      </c>
      <c r="U28" s="169"/>
      <c r="V28" s="61"/>
      <c r="W28" s="230">
        <f>'Exhibit U,7'!Y28+'Exhibit U,4'!S28</f>
        <v>7414874.0975032598</v>
      </c>
      <c r="X28" s="67">
        <f t="shared" si="5"/>
        <v>-216636.94083288405</v>
      </c>
      <c r="Y28" s="173"/>
      <c r="Z28" s="173"/>
      <c r="AA28" s="6">
        <f t="shared" si="7"/>
        <v>2019</v>
      </c>
      <c r="AC28" s="17">
        <f>'Exhibit U,4'!C28</f>
        <v>485623.37068461761</v>
      </c>
      <c r="AE28" s="20">
        <v>479276.42699804378</v>
      </c>
      <c r="AG28" s="22">
        <f t="shared" si="9"/>
        <v>479276.42699804378</v>
      </c>
      <c r="AI28" s="54">
        <v>1061790.6495861828</v>
      </c>
      <c r="AK28" s="55">
        <f t="shared" si="10"/>
        <v>0.45138505145513824</v>
      </c>
    </row>
    <row r="29" spans="1:41">
      <c r="A29" s="6">
        <f t="shared" si="6"/>
        <v>2020</v>
      </c>
      <c r="C29" s="494">
        <f>'Exhibit U,4'!K29</f>
        <v>555909.07518209331</v>
      </c>
      <c r="D29" s="494"/>
      <c r="E29" s="494">
        <f>'Exhibit U,7'!Q29</f>
        <v>6369884.1204675306</v>
      </c>
      <c r="F29" s="494"/>
      <c r="G29" s="494">
        <f t="shared" si="0"/>
        <v>6925793.1956496239</v>
      </c>
      <c r="H29" s="494"/>
      <c r="I29" s="499">
        <f>'Exhibit U,5'!AB29</f>
        <v>97657.46</v>
      </c>
      <c r="J29" s="494"/>
      <c r="K29" s="499">
        <f>'Exhibit U,8'!AB29</f>
        <v>289419.82</v>
      </c>
      <c r="L29" s="494"/>
      <c r="M29" s="494">
        <f t="shared" si="1"/>
        <v>387077.28</v>
      </c>
      <c r="N29" s="494"/>
      <c r="O29" s="494">
        <f t="shared" si="2"/>
        <v>458251.61518209329</v>
      </c>
      <c r="P29" s="494"/>
      <c r="Q29" s="494">
        <f t="shared" si="3"/>
        <v>6080464.3004675303</v>
      </c>
      <c r="R29" s="494"/>
      <c r="S29" s="494">
        <f t="shared" si="4"/>
        <v>6538715.9156496236</v>
      </c>
      <c r="U29" s="169"/>
      <c r="V29" s="61"/>
      <c r="W29" s="230">
        <f>'Exhibit U,7'!Y29+'Exhibit U,4'!S29</f>
        <v>5124377.193859566</v>
      </c>
      <c r="X29" s="67">
        <f t="shared" si="5"/>
        <v>1801416.0017900579</v>
      </c>
      <c r="Y29" s="173"/>
      <c r="Z29" s="173"/>
      <c r="AA29" s="6">
        <f t="shared" si="7"/>
        <v>2020</v>
      </c>
      <c r="AC29" s="17">
        <f>'Exhibit U,4'!C29</f>
        <v>555909.07518209331</v>
      </c>
      <c r="AE29" s="20">
        <v>798303.39807405462</v>
      </c>
      <c r="AG29" s="22">
        <f t="shared" si="9"/>
        <v>798303.39807405462</v>
      </c>
      <c r="AI29" s="54">
        <v>936668.81703050539</v>
      </c>
      <c r="AK29" s="55">
        <f t="shared" si="10"/>
        <v>0.8522792512778351</v>
      </c>
    </row>
    <row r="30" spans="1:41">
      <c r="A30" s="6">
        <f t="shared" si="6"/>
        <v>2021</v>
      </c>
      <c r="C30" s="494">
        <f>'Exhibit U,4'!K30</f>
        <v>1205091.1091501559</v>
      </c>
      <c r="D30" s="494"/>
      <c r="E30" s="494">
        <f>'Exhibit U,7'!Q30</f>
        <v>5015175.93877168</v>
      </c>
      <c r="F30" s="494"/>
      <c r="G30" s="494">
        <f t="shared" si="0"/>
        <v>6220267.0479218364</v>
      </c>
      <c r="H30" s="494"/>
      <c r="I30" s="499">
        <f>'Exhibit U,5'!AB30</f>
        <v>11934.19</v>
      </c>
      <c r="J30" s="494"/>
      <c r="K30" s="499">
        <f>'Exhibit U,8'!AB30</f>
        <v>17823.86</v>
      </c>
      <c r="L30" s="494"/>
      <c r="M30" s="494">
        <f t="shared" si="1"/>
        <v>29758.050000000003</v>
      </c>
      <c r="N30" s="494"/>
      <c r="O30" s="494">
        <f t="shared" si="2"/>
        <v>1193156.919150156</v>
      </c>
      <c r="P30" s="494"/>
      <c r="Q30" s="494">
        <f t="shared" si="3"/>
        <v>4997352.0787716797</v>
      </c>
      <c r="R30" s="494"/>
      <c r="S30" s="494">
        <f t="shared" si="4"/>
        <v>6190508.9979218366</v>
      </c>
      <c r="U30" s="169"/>
      <c r="V30" s="61"/>
      <c r="W30" s="230">
        <f>'Exhibit U,7'!Y30+'Exhibit U,4'!S30</f>
        <v>4762811.261127945</v>
      </c>
      <c r="X30" s="67">
        <f t="shared" si="5"/>
        <v>1457455.7867938913</v>
      </c>
      <c r="Y30" s="173"/>
      <c r="Z30" s="173"/>
      <c r="AA30" s="6">
        <f t="shared" si="7"/>
        <v>2021</v>
      </c>
      <c r="AC30" s="17">
        <f>'Exhibit U,4'!C30</f>
        <v>1205091.1091501559</v>
      </c>
      <c r="AE30" s="20">
        <v>299113.95205219137</v>
      </c>
      <c r="AG30" s="22">
        <f t="shared" ref="AG30" si="11">AC30</f>
        <v>1205091.1091501559</v>
      </c>
      <c r="AI30" s="54">
        <v>2035858.1849546945</v>
      </c>
      <c r="AK30" s="55">
        <f t="shared" si="10"/>
        <v>0.59193273777906774</v>
      </c>
    </row>
    <row r="31" spans="1:41">
      <c r="A31" s="6">
        <f t="shared" si="6"/>
        <v>2022</v>
      </c>
      <c r="C31" s="494">
        <f>'Exhibit U,4'!K31</f>
        <v>1541153.4039999996</v>
      </c>
      <c r="D31" s="494"/>
      <c r="E31" s="494">
        <f>'Exhibit U,7'!Q31</f>
        <v>3621932.1370738312</v>
      </c>
      <c r="F31" s="494"/>
      <c r="G31" s="494">
        <f t="shared" si="0"/>
        <v>5163085.5410738308</v>
      </c>
      <c r="H31" s="494"/>
      <c r="I31" s="499">
        <f>'Exhibit U,5'!AB31</f>
        <v>21947.98</v>
      </c>
      <c r="J31" s="494"/>
      <c r="K31" s="499">
        <f>'Exhibit U,8'!AB31</f>
        <v>4500</v>
      </c>
      <c r="L31" s="494"/>
      <c r="M31" s="494">
        <f t="shared" si="1"/>
        <v>26447.98</v>
      </c>
      <c r="N31" s="494"/>
      <c r="O31" s="494">
        <f t="shared" si="2"/>
        <v>1519205.4239999996</v>
      </c>
      <c r="P31" s="494"/>
      <c r="Q31" s="494">
        <f t="shared" si="3"/>
        <v>3617432.1370738312</v>
      </c>
      <c r="R31" s="494"/>
      <c r="S31" s="494">
        <f t="shared" si="4"/>
        <v>5136637.5610738304</v>
      </c>
      <c r="U31" s="169"/>
      <c r="V31" s="61"/>
      <c r="W31" s="230"/>
      <c r="X31" s="67"/>
      <c r="Y31" s="173"/>
      <c r="Z31" s="173"/>
      <c r="AA31" s="6">
        <f t="shared" si="7"/>
        <v>2022</v>
      </c>
      <c r="AC31" s="17">
        <f>'Exhibit U,4'!C31</f>
        <v>1987902.6296314495</v>
      </c>
      <c r="AE31" s="20">
        <v>804806.13453178224</v>
      </c>
      <c r="AG31" s="22">
        <f>AI31*AK31</f>
        <v>1541153.4039999996</v>
      </c>
      <c r="AI31" s="54">
        <v>2201647.7199999997</v>
      </c>
      <c r="AK31" s="55">
        <v>0.7</v>
      </c>
    </row>
    <row r="32" spans="1:41">
      <c r="A32" s="6"/>
      <c r="C32" s="200"/>
      <c r="E32" s="200"/>
      <c r="G32" s="200"/>
      <c r="H32" s="18"/>
      <c r="I32" s="200"/>
      <c r="K32" s="200"/>
      <c r="M32" s="200"/>
      <c r="N32" s="18"/>
      <c r="O32" s="200"/>
      <c r="Q32" s="200"/>
      <c r="S32" s="200"/>
      <c r="U32" s="61"/>
      <c r="V32" s="61"/>
      <c r="W32" s="242"/>
      <c r="X32" s="242"/>
      <c r="Y32" s="137"/>
      <c r="Z32" s="137"/>
      <c r="AA32" s="137"/>
      <c r="AC32" s="200"/>
      <c r="AE32" s="200"/>
      <c r="AG32" s="200"/>
    </row>
    <row r="33" spans="1:39">
      <c r="A33" s="2" t="s">
        <v>0</v>
      </c>
      <c r="C33" s="19">
        <f>SUM(C17:C32)</f>
        <v>22959839.549016863</v>
      </c>
      <c r="D33" s="19"/>
      <c r="E33" s="19">
        <f>SUM(E17:E32)</f>
        <v>130582388.25168133</v>
      </c>
      <c r="F33" s="6"/>
      <c r="G33" s="19">
        <f>SUM(G17:G32)</f>
        <v>153542227.80069819</v>
      </c>
      <c r="H33" s="19"/>
      <c r="I33" s="19">
        <f>SUM(I17:I32)</f>
        <v>18115436.450000003</v>
      </c>
      <c r="J33" s="6"/>
      <c r="K33" s="19">
        <f>SUM(K17:K32)</f>
        <v>87322703.189999983</v>
      </c>
      <c r="L33" s="19"/>
      <c r="M33" s="19">
        <f>SUM(M17:M32)</f>
        <v>105438139.64</v>
      </c>
      <c r="N33" s="19"/>
      <c r="O33" s="19">
        <f>SUM(O17:O32)</f>
        <v>4844403.0990168666</v>
      </c>
      <c r="P33" s="6"/>
      <c r="Q33" s="19">
        <f>SUM(Q17:Q32)</f>
        <v>43259685.061681345</v>
      </c>
      <c r="R33" s="19"/>
      <c r="S33" s="19">
        <f>SUM(S17:S32)</f>
        <v>48104088.16069822</v>
      </c>
      <c r="T33" s="6"/>
      <c r="U33" s="223"/>
      <c r="V33" s="241"/>
      <c r="W33" s="241">
        <f>SUM(W17:W32)</f>
        <v>155893481.18689603</v>
      </c>
      <c r="X33" s="241">
        <f>SUM(X17:X32)</f>
        <v>-7514338.9272716306</v>
      </c>
      <c r="Y33" s="241"/>
      <c r="Z33" s="241"/>
      <c r="AA33" s="241"/>
      <c r="AC33" s="19">
        <f>SUM(AC17:AC32)</f>
        <v>21103002.154648315</v>
      </c>
      <c r="AD33" s="241"/>
      <c r="AE33" s="19">
        <f>SUM(AE17:AE32)</f>
        <v>18881989.45802829</v>
      </c>
      <c r="AG33" s="19">
        <f>SUM(AG17:AG32)</f>
        <v>20524313.884594474</v>
      </c>
    </row>
    <row r="34" spans="1:39">
      <c r="C34" s="147">
        <f>SUM(C17:C30)</f>
        <v>21418686.145016864</v>
      </c>
      <c r="I34" s="22"/>
      <c r="W34" s="66"/>
      <c r="Y34" s="20"/>
      <c r="Z34" s="20"/>
      <c r="AA34" s="20"/>
      <c r="AC34" s="66"/>
    </row>
    <row r="35" spans="1:39" ht="16">
      <c r="A35" s="15" t="s">
        <v>118</v>
      </c>
      <c r="W35" s="66"/>
      <c r="Y35" s="20"/>
      <c r="Z35" s="20"/>
      <c r="AA35" s="20"/>
    </row>
    <row r="36" spans="1:39">
      <c r="A36" s="6">
        <f>A17</f>
        <v>2008</v>
      </c>
      <c r="C36" s="147">
        <f>'Exhibit U,4'!K36</f>
        <v>577451.15</v>
      </c>
      <c r="D36" s="147"/>
      <c r="E36" s="147">
        <f>'Exhibit U,7'!Q36</f>
        <v>1871146.2100000002</v>
      </c>
      <c r="F36" s="147"/>
      <c r="G36" s="147">
        <f>C36+E36</f>
        <v>2448597.3600000003</v>
      </c>
      <c r="H36" s="147"/>
      <c r="I36" s="509">
        <f>'Exhibit U,5'!AB36</f>
        <v>577451.15</v>
      </c>
      <c r="J36" s="147"/>
      <c r="K36" s="509">
        <f>'Exhibit U,8'!AB36</f>
        <v>1871146.2100000002</v>
      </c>
      <c r="L36" s="147"/>
      <c r="M36" s="147">
        <f>I36+K36</f>
        <v>2448597.3600000003</v>
      </c>
      <c r="N36" s="147"/>
      <c r="O36" s="147">
        <f>C36-I36</f>
        <v>0</v>
      </c>
      <c r="P36" s="147"/>
      <c r="Q36" s="147">
        <f>E36-K36</f>
        <v>0</v>
      </c>
      <c r="R36" s="147"/>
      <c r="S36" s="147">
        <f>G36-M36</f>
        <v>0</v>
      </c>
      <c r="V36" s="239"/>
      <c r="W36" s="230">
        <f>'Exhibit U,7'!Y36+'Exhibit U,4'!S36</f>
        <v>2448597.3600000003</v>
      </c>
      <c r="X36" s="240">
        <f>G36-W36</f>
        <v>0</v>
      </c>
      <c r="Y36" s="173"/>
      <c r="Z36" s="173"/>
      <c r="AA36" s="2" t="s">
        <v>3</v>
      </c>
      <c r="AC36" s="6" t="s">
        <v>1717</v>
      </c>
      <c r="AD36" s="8"/>
      <c r="AK36" s="1" t="s">
        <v>1708</v>
      </c>
    </row>
    <row r="37" spans="1:39">
      <c r="A37" s="6">
        <f>A36+1</f>
        <v>2009</v>
      </c>
      <c r="C37" s="494">
        <f>'Exhibit U,4'!K37</f>
        <v>28875.5</v>
      </c>
      <c r="D37" s="494"/>
      <c r="E37" s="494">
        <f>'Exhibit U,7'!Q37</f>
        <v>2191506.25</v>
      </c>
      <c r="F37" s="494"/>
      <c r="G37" s="494">
        <f t="shared" ref="G37:G50" si="12">C37+E37</f>
        <v>2220381.75</v>
      </c>
      <c r="H37" s="494"/>
      <c r="I37" s="499">
        <f>'Exhibit U,5'!AB37</f>
        <v>28875.5</v>
      </c>
      <c r="J37" s="494"/>
      <c r="K37" s="499">
        <f>'Exhibit U,8'!AB37</f>
        <v>2191506.25</v>
      </c>
      <c r="L37" s="494"/>
      <c r="M37" s="494">
        <f t="shared" ref="M37:M50" si="13">I37+K37</f>
        <v>2220381.75</v>
      </c>
      <c r="N37" s="494"/>
      <c r="O37" s="494">
        <f t="shared" ref="O37:O50" si="14">C37-I37</f>
        <v>0</v>
      </c>
      <c r="P37" s="494"/>
      <c r="Q37" s="494">
        <f t="shared" ref="Q37:Q50" si="15">E37-K37</f>
        <v>0</v>
      </c>
      <c r="R37" s="494"/>
      <c r="S37" s="494">
        <f t="shared" ref="S37:S50" si="16">G37-M37</f>
        <v>0</v>
      </c>
      <c r="V37" s="239"/>
      <c r="W37" s="230">
        <f>'Exhibit U,7'!Y37+'Exhibit U,4'!S37</f>
        <v>2220381.75</v>
      </c>
      <c r="X37" s="67">
        <f t="shared" ref="X37:X49" si="17">G37-W37</f>
        <v>0</v>
      </c>
      <c r="Y37" s="173"/>
      <c r="Z37" s="173"/>
      <c r="AA37" s="6" t="s">
        <v>4</v>
      </c>
      <c r="AC37" s="2" t="s">
        <v>395</v>
      </c>
      <c r="AE37" s="2" t="s">
        <v>1713</v>
      </c>
      <c r="AG37" s="2" t="s">
        <v>1777</v>
      </c>
      <c r="AI37" s="1" t="s">
        <v>1</v>
      </c>
      <c r="AK37" s="1" t="s">
        <v>16</v>
      </c>
      <c r="AM37" s="1" t="s">
        <v>162</v>
      </c>
    </row>
    <row r="38" spans="1:39">
      <c r="A38" s="6">
        <f t="shared" ref="A38:A50" si="18">A37+1</f>
        <v>2010</v>
      </c>
      <c r="C38" s="494">
        <f>'Exhibit U,4'!K38</f>
        <v>1056390.7999999998</v>
      </c>
      <c r="D38" s="494"/>
      <c r="E38" s="494">
        <f>'Exhibit U,7'!Q38</f>
        <v>6627825.4199999999</v>
      </c>
      <c r="F38" s="494"/>
      <c r="G38" s="494">
        <f t="shared" si="12"/>
        <v>7684216.2199999997</v>
      </c>
      <c r="H38" s="494"/>
      <c r="I38" s="499">
        <f>'Exhibit U,5'!AB38</f>
        <v>1056390.7999999998</v>
      </c>
      <c r="J38" s="494"/>
      <c r="K38" s="499">
        <f>'Exhibit U,8'!AB38</f>
        <v>6627825.4199999999</v>
      </c>
      <c r="L38" s="494"/>
      <c r="M38" s="494">
        <f t="shared" si="13"/>
        <v>7684216.2199999997</v>
      </c>
      <c r="N38" s="494"/>
      <c r="O38" s="494">
        <f t="shared" si="14"/>
        <v>0</v>
      </c>
      <c r="P38" s="494"/>
      <c r="Q38" s="494">
        <f t="shared" si="15"/>
        <v>0</v>
      </c>
      <c r="R38" s="494"/>
      <c r="S38" s="494">
        <f t="shared" si="16"/>
        <v>0</v>
      </c>
      <c r="V38" s="239"/>
      <c r="W38" s="230">
        <f>'Exhibit U,7'!Y38+'Exhibit U,4'!S38</f>
        <v>7683973.04</v>
      </c>
      <c r="X38" s="67">
        <f t="shared" si="17"/>
        <v>243.17999999970198</v>
      </c>
      <c r="Y38" s="173"/>
      <c r="Z38" s="173"/>
      <c r="AA38" s="9">
        <v>-1</v>
      </c>
      <c r="AC38" s="9">
        <v>-2</v>
      </c>
      <c r="AE38" s="9">
        <v>-2</v>
      </c>
      <c r="AG38" s="9">
        <v>-3</v>
      </c>
      <c r="AH38" s="9"/>
      <c r="AI38" s="9">
        <v>-4</v>
      </c>
      <c r="AJ38" s="9"/>
      <c r="AK38" s="9">
        <v>-5</v>
      </c>
      <c r="AM38" s="9">
        <v>-6</v>
      </c>
    </row>
    <row r="39" spans="1:39">
      <c r="A39" s="6">
        <f t="shared" si="18"/>
        <v>2011</v>
      </c>
      <c r="C39" s="494">
        <f>'Exhibit U,4'!K39</f>
        <v>640869.17000000004</v>
      </c>
      <c r="D39" s="494"/>
      <c r="E39" s="494">
        <f>'Exhibit U,7'!Q39</f>
        <v>6221285.9700000007</v>
      </c>
      <c r="F39" s="494"/>
      <c r="G39" s="494">
        <f t="shared" si="12"/>
        <v>6862155.1400000006</v>
      </c>
      <c r="H39" s="494"/>
      <c r="I39" s="499">
        <f>'Exhibit U,5'!AB39</f>
        <v>640869.17000000004</v>
      </c>
      <c r="J39" s="494"/>
      <c r="K39" s="499">
        <f>'Exhibit U,8'!AB39</f>
        <v>6221285.9700000007</v>
      </c>
      <c r="L39" s="494"/>
      <c r="M39" s="494">
        <f t="shared" si="13"/>
        <v>6862155.1400000006</v>
      </c>
      <c r="N39" s="494"/>
      <c r="O39" s="494">
        <f t="shared" si="14"/>
        <v>0</v>
      </c>
      <c r="P39" s="494"/>
      <c r="Q39" s="494">
        <f t="shared" si="15"/>
        <v>0</v>
      </c>
      <c r="R39" s="494"/>
      <c r="S39" s="494">
        <f t="shared" si="16"/>
        <v>0</v>
      </c>
      <c r="V39" s="239"/>
      <c r="W39" s="230">
        <f>'Exhibit U,7'!Y39+'Exhibit U,4'!S39</f>
        <v>7383119.7300000004</v>
      </c>
      <c r="X39" s="67">
        <f t="shared" si="17"/>
        <v>-520964.58999999985</v>
      </c>
      <c r="Y39" s="173"/>
      <c r="Z39" s="173"/>
    </row>
    <row r="40" spans="1:39" ht="16">
      <c r="A40" s="6">
        <f t="shared" si="18"/>
        <v>2012</v>
      </c>
      <c r="C40" s="494">
        <f>'Exhibit U,4'!K40</f>
        <v>4175261.5</v>
      </c>
      <c r="D40" s="494"/>
      <c r="E40" s="494">
        <f>'Exhibit U,7'!Q40</f>
        <v>13811692.24</v>
      </c>
      <c r="F40" s="494"/>
      <c r="G40" s="494">
        <f t="shared" si="12"/>
        <v>17986953.740000002</v>
      </c>
      <c r="H40" s="494"/>
      <c r="I40" s="499">
        <f>'Exhibit U,5'!AB40</f>
        <v>4175261.5</v>
      </c>
      <c r="J40" s="494"/>
      <c r="K40" s="499">
        <f>'Exhibit U,8'!AB40</f>
        <v>13466973.34</v>
      </c>
      <c r="L40" s="494"/>
      <c r="M40" s="494">
        <f t="shared" si="13"/>
        <v>17642234.84</v>
      </c>
      <c r="N40" s="494"/>
      <c r="O40" s="494">
        <f t="shared" si="14"/>
        <v>0</v>
      </c>
      <c r="P40" s="494"/>
      <c r="Q40" s="494">
        <f t="shared" si="15"/>
        <v>344718.90000000037</v>
      </c>
      <c r="R40" s="494"/>
      <c r="S40" s="494">
        <f t="shared" si="16"/>
        <v>344718.90000000224</v>
      </c>
      <c r="V40" s="239"/>
      <c r="W40" s="230">
        <f>'Exhibit U,7'!Y40+'Exhibit U,4'!S40</f>
        <v>19120024.039999999</v>
      </c>
      <c r="X40" s="67">
        <f t="shared" si="17"/>
        <v>-1133070.299999997</v>
      </c>
      <c r="Y40" s="173"/>
      <c r="Z40" s="173"/>
      <c r="AA40" s="15" t="s">
        <v>77</v>
      </c>
    </row>
    <row r="41" spans="1:39">
      <c r="A41" s="6">
        <f t="shared" si="18"/>
        <v>2013</v>
      </c>
      <c r="C41" s="494">
        <f>'Exhibit U,4'!K41</f>
        <v>714842.25</v>
      </c>
      <c r="D41" s="494"/>
      <c r="E41" s="494">
        <f>'Exhibit U,7'!Q41</f>
        <v>14436830.419999998</v>
      </c>
      <c r="F41" s="494"/>
      <c r="G41" s="494">
        <f t="shared" si="12"/>
        <v>15151672.669999998</v>
      </c>
      <c r="H41" s="494"/>
      <c r="I41" s="499">
        <f>'Exhibit U,5'!AB41</f>
        <v>714842.25</v>
      </c>
      <c r="J41" s="494"/>
      <c r="K41" s="499">
        <f>'Exhibit U,8'!AB41</f>
        <v>12472572.059999999</v>
      </c>
      <c r="L41" s="494"/>
      <c r="M41" s="494">
        <f t="shared" si="13"/>
        <v>13187414.309999999</v>
      </c>
      <c r="N41" s="494"/>
      <c r="O41" s="494">
        <f t="shared" si="14"/>
        <v>0</v>
      </c>
      <c r="P41" s="494"/>
      <c r="Q41" s="494">
        <f t="shared" si="15"/>
        <v>1964258.3599999994</v>
      </c>
      <c r="R41" s="494"/>
      <c r="S41" s="494">
        <f t="shared" si="16"/>
        <v>1964258.3599999994</v>
      </c>
      <c r="V41" s="223"/>
      <c r="W41" s="230">
        <f>'Exhibit U,7'!Y41+'Exhibit U,4'!S41</f>
        <v>16773856.392125499</v>
      </c>
      <c r="X41" s="67">
        <f t="shared" si="17"/>
        <v>-1622183.7221255004</v>
      </c>
      <c r="Y41" s="173"/>
      <c r="Z41" s="173"/>
      <c r="AA41" s="6">
        <v>2008</v>
      </c>
      <c r="AC41" s="147"/>
      <c r="AE41" s="26"/>
    </row>
    <row r="42" spans="1:39">
      <c r="A42" s="6">
        <f t="shared" si="18"/>
        <v>2014</v>
      </c>
      <c r="C42" s="494">
        <f>'Exhibit U,4'!K42</f>
        <v>2642156.08</v>
      </c>
      <c r="D42" s="494"/>
      <c r="E42" s="494">
        <f>'Exhibit U,7'!Q42</f>
        <v>16424629.659670547</v>
      </c>
      <c r="F42" s="494"/>
      <c r="G42" s="494">
        <f t="shared" si="12"/>
        <v>19066785.739670545</v>
      </c>
      <c r="H42" s="494"/>
      <c r="I42" s="499">
        <f>'Exhibit U,5'!AB42</f>
        <v>2642156.08</v>
      </c>
      <c r="J42" s="494"/>
      <c r="K42" s="499">
        <f>'Exhibit U,8'!AB42</f>
        <v>12983281.349999998</v>
      </c>
      <c r="L42" s="494"/>
      <c r="M42" s="494">
        <f t="shared" si="13"/>
        <v>15625437.429999998</v>
      </c>
      <c r="N42" s="494"/>
      <c r="O42" s="494">
        <f t="shared" si="14"/>
        <v>0</v>
      </c>
      <c r="P42" s="494"/>
      <c r="Q42" s="494">
        <f t="shared" si="15"/>
        <v>3441348.3096705489</v>
      </c>
      <c r="R42" s="494"/>
      <c r="S42" s="494">
        <f t="shared" si="16"/>
        <v>3441348.309670547</v>
      </c>
      <c r="V42" s="172"/>
      <c r="W42" s="230">
        <f>'Exhibit U,7'!Y42+'Exhibit U,4'!S42</f>
        <v>20876196.037991934</v>
      </c>
      <c r="X42" s="67">
        <f t="shared" si="17"/>
        <v>-1809410.2983213887</v>
      </c>
      <c r="Y42" s="173"/>
      <c r="Z42" s="173"/>
      <c r="AA42" s="6">
        <f>AA41+1</f>
        <v>2009</v>
      </c>
      <c r="AC42" s="17"/>
      <c r="AE42" s="20"/>
    </row>
    <row r="43" spans="1:39">
      <c r="A43" s="6">
        <f t="shared" si="18"/>
        <v>2015</v>
      </c>
      <c r="C43" s="494">
        <f>'Exhibit U,4'!K43</f>
        <v>1881397.8199999998</v>
      </c>
      <c r="D43" s="494"/>
      <c r="E43" s="494">
        <f>'Exhibit U,7'!Q43</f>
        <v>3610515.3318520281</v>
      </c>
      <c r="F43" s="494"/>
      <c r="G43" s="494">
        <f t="shared" si="12"/>
        <v>5491913.1518520284</v>
      </c>
      <c r="H43" s="494"/>
      <c r="I43" s="499">
        <f>'Exhibit U,5'!AB43</f>
        <v>1881397.8199999998</v>
      </c>
      <c r="J43" s="494"/>
      <c r="K43" s="499">
        <f>'Exhibit U,8'!AB43</f>
        <v>2457376.4899999998</v>
      </c>
      <c r="L43" s="494"/>
      <c r="M43" s="494">
        <f t="shared" si="13"/>
        <v>4338774.3099999996</v>
      </c>
      <c r="N43" s="494"/>
      <c r="O43" s="494">
        <f t="shared" si="14"/>
        <v>0</v>
      </c>
      <c r="P43" s="494"/>
      <c r="Q43" s="494">
        <f t="shared" si="15"/>
        <v>1153138.8418520284</v>
      </c>
      <c r="R43" s="494"/>
      <c r="S43" s="494">
        <f t="shared" si="16"/>
        <v>1153138.8418520289</v>
      </c>
      <c r="V43" s="172"/>
      <c r="W43" s="230">
        <f>'Exhibit U,7'!Y43+'Exhibit U,4'!S43</f>
        <v>5624437.9808451729</v>
      </c>
      <c r="X43" s="67">
        <f t="shared" si="17"/>
        <v>-132524.82899314445</v>
      </c>
      <c r="Y43" s="173"/>
      <c r="Z43" s="173"/>
      <c r="AA43" s="6">
        <f t="shared" ref="AA43:AA55" si="19">AA42+1</f>
        <v>2010</v>
      </c>
      <c r="AB43" s="494"/>
      <c r="AC43" s="494"/>
      <c r="AD43" s="494"/>
      <c r="AE43" s="499"/>
      <c r="AF43" s="494"/>
      <c r="AI43" s="499"/>
      <c r="AJ43" s="494"/>
      <c r="AK43" s="494"/>
      <c r="AL43" s="494"/>
      <c r="AM43" s="494"/>
    </row>
    <row r="44" spans="1:39">
      <c r="A44" s="6">
        <f t="shared" si="18"/>
        <v>2016</v>
      </c>
      <c r="C44" s="494">
        <f>'Exhibit U,4'!K44</f>
        <v>2097568.7800000003</v>
      </c>
      <c r="D44" s="494"/>
      <c r="E44" s="494">
        <f>'Exhibit U,7'!Q44</f>
        <v>8608263.2542770319</v>
      </c>
      <c r="F44" s="494"/>
      <c r="G44" s="494">
        <f t="shared" si="12"/>
        <v>10705832.034277033</v>
      </c>
      <c r="H44" s="494"/>
      <c r="I44" s="499">
        <f>'Exhibit U,5'!AB44</f>
        <v>1294961.8300000005</v>
      </c>
      <c r="J44" s="494"/>
      <c r="K44" s="499">
        <f>'Exhibit U,8'!AB44</f>
        <v>4736396.97</v>
      </c>
      <c r="L44" s="494"/>
      <c r="M44" s="494">
        <f t="shared" si="13"/>
        <v>6031358.8000000007</v>
      </c>
      <c r="N44" s="494"/>
      <c r="O44" s="494">
        <f t="shared" si="14"/>
        <v>802606.94999999972</v>
      </c>
      <c r="P44" s="494"/>
      <c r="Q44" s="494">
        <f t="shared" si="15"/>
        <v>3871866.2842770321</v>
      </c>
      <c r="R44" s="494"/>
      <c r="S44" s="494">
        <f t="shared" si="16"/>
        <v>4674473.2342770323</v>
      </c>
      <c r="V44" s="172"/>
      <c r="W44" s="230">
        <f>'Exhibit U,7'!Y44+'Exhibit U,4'!S44</f>
        <v>11720961.391771397</v>
      </c>
      <c r="X44" s="67">
        <f t="shared" si="17"/>
        <v>-1015129.3574943636</v>
      </c>
      <c r="Y44" s="173"/>
      <c r="Z44" s="173"/>
      <c r="AA44" s="6">
        <f t="shared" si="19"/>
        <v>2011</v>
      </c>
      <c r="AC44" s="17"/>
      <c r="AE44" s="20"/>
    </row>
    <row r="45" spans="1:39">
      <c r="A45" s="6">
        <f t="shared" si="18"/>
        <v>2017</v>
      </c>
      <c r="C45" s="494">
        <f>'Exhibit U,4'!K45</f>
        <v>305163.03999999998</v>
      </c>
      <c r="D45" s="494"/>
      <c r="E45" s="494">
        <f>'Exhibit U,7'!Q45</f>
        <v>8555253.1997112818</v>
      </c>
      <c r="F45" s="494"/>
      <c r="G45" s="494">
        <f t="shared" si="12"/>
        <v>8860416.2397112809</v>
      </c>
      <c r="H45" s="494"/>
      <c r="I45" s="499">
        <f>'Exhibit U,5'!AB45</f>
        <v>296163.03999999998</v>
      </c>
      <c r="J45" s="494"/>
      <c r="K45" s="499">
        <f>'Exhibit U,8'!AB45</f>
        <v>4058756.9299999997</v>
      </c>
      <c r="L45" s="494"/>
      <c r="M45" s="494">
        <f t="shared" si="13"/>
        <v>4354919.97</v>
      </c>
      <c r="N45" s="494"/>
      <c r="O45" s="494">
        <f t="shared" si="14"/>
        <v>9000</v>
      </c>
      <c r="P45" s="494"/>
      <c r="Q45" s="494">
        <f t="shared" si="15"/>
        <v>4496496.2697112821</v>
      </c>
      <c r="R45" s="494"/>
      <c r="S45" s="494">
        <f t="shared" si="16"/>
        <v>4505496.2697112812</v>
      </c>
      <c r="V45" s="172"/>
      <c r="W45" s="230">
        <f>'Exhibit U,7'!Y45+'Exhibit U,4'!S45</f>
        <v>10070386.607329162</v>
      </c>
      <c r="X45" s="67">
        <f t="shared" si="17"/>
        <v>-1209970.3676178809</v>
      </c>
      <c r="Y45" s="173"/>
      <c r="Z45" s="173"/>
      <c r="AA45" s="6">
        <f t="shared" si="19"/>
        <v>2012</v>
      </c>
      <c r="AC45" s="17">
        <f>'Exhibit U,7'!C21</f>
        <v>17569452.739999998</v>
      </c>
      <c r="AE45" s="20">
        <v>18473907.353724234</v>
      </c>
      <c r="AG45" s="17">
        <f>'Exhibit U,3'!K21</f>
        <v>19139666.039999999</v>
      </c>
      <c r="AI45" s="22">
        <f>AC45</f>
        <v>17569452.739999998</v>
      </c>
      <c r="AK45" s="54">
        <v>8550158.1002682857</v>
      </c>
      <c r="AM45" s="55">
        <f>AI45/AK45</f>
        <v>2.0548687561050722</v>
      </c>
    </row>
    <row r="46" spans="1:39">
      <c r="A46" s="6">
        <f t="shared" si="18"/>
        <v>2018</v>
      </c>
      <c r="C46" s="494">
        <f>'Exhibit U,4'!K46</f>
        <v>898335.37</v>
      </c>
      <c r="D46" s="494"/>
      <c r="E46" s="494">
        <f>'Exhibit U,7'!Q46</f>
        <v>6273734.8345578294</v>
      </c>
      <c r="F46" s="494"/>
      <c r="G46" s="494">
        <f t="shared" si="12"/>
        <v>7172070.2045578295</v>
      </c>
      <c r="H46" s="494"/>
      <c r="I46" s="499">
        <f>'Exhibit U,5'!AB46</f>
        <v>409498.17</v>
      </c>
      <c r="J46" s="494"/>
      <c r="K46" s="499">
        <f>'Exhibit U,8'!AB46</f>
        <v>1434620.3199999998</v>
      </c>
      <c r="L46" s="494"/>
      <c r="M46" s="494">
        <f t="shared" si="13"/>
        <v>1844118.4899999998</v>
      </c>
      <c r="N46" s="494"/>
      <c r="O46" s="494">
        <f t="shared" si="14"/>
        <v>488837.2</v>
      </c>
      <c r="P46" s="494"/>
      <c r="Q46" s="494">
        <f t="shared" si="15"/>
        <v>4839114.5145578291</v>
      </c>
      <c r="R46" s="494"/>
      <c r="S46" s="494">
        <f t="shared" si="16"/>
        <v>5327951.7145578302</v>
      </c>
      <c r="V46" s="172"/>
      <c r="W46" s="230">
        <f>'Exhibit U,7'!Y46+'Exhibit U,4'!S46</f>
        <v>8190270.2281775745</v>
      </c>
      <c r="X46" s="67">
        <f t="shared" si="17"/>
        <v>-1018200.0236197449</v>
      </c>
      <c r="Y46" s="173"/>
      <c r="Z46" s="173"/>
      <c r="AA46" s="6">
        <f t="shared" si="19"/>
        <v>2013</v>
      </c>
      <c r="AC46" s="17">
        <f>'Exhibit U,7'!C22</f>
        <v>17358241.969999999</v>
      </c>
      <c r="AE46" s="20">
        <v>18961088.781658906</v>
      </c>
      <c r="AG46" s="17">
        <f>'Exhibit U,3'!K22</f>
        <v>18975821.675806206</v>
      </c>
      <c r="AI46" s="22">
        <f>AC46</f>
        <v>17358241.969999999</v>
      </c>
      <c r="AK46" s="54">
        <v>8932640.9561710563</v>
      </c>
      <c r="AM46" s="55">
        <f t="shared" ref="AM46:AM55" si="20">AI46/AK46</f>
        <v>1.9432373981188813</v>
      </c>
    </row>
    <row r="47" spans="1:39">
      <c r="A47" s="6">
        <f t="shared" si="18"/>
        <v>2019</v>
      </c>
      <c r="C47" s="494">
        <f>'Exhibit U,4'!K47</f>
        <v>443585.02751689998</v>
      </c>
      <c r="D47" s="494"/>
      <c r="E47" s="494">
        <f>'Exhibit U,7'!Q47</f>
        <v>4949533.3278978486</v>
      </c>
      <c r="F47" s="494"/>
      <c r="G47" s="494">
        <f t="shared" si="12"/>
        <v>5393118.3554147482</v>
      </c>
      <c r="H47" s="494"/>
      <c r="I47" s="499">
        <f>'Exhibit U,5'!AB47</f>
        <v>112278.38</v>
      </c>
      <c r="J47" s="494"/>
      <c r="K47" s="499">
        <f>'Exhibit U,8'!AB47</f>
        <v>720132.63</v>
      </c>
      <c r="L47" s="494"/>
      <c r="M47" s="494">
        <f t="shared" si="13"/>
        <v>832411.01</v>
      </c>
      <c r="N47" s="494"/>
      <c r="O47" s="494">
        <f t="shared" si="14"/>
        <v>331306.64751689998</v>
      </c>
      <c r="P47" s="494"/>
      <c r="Q47" s="494">
        <f t="shared" si="15"/>
        <v>4229400.6978978487</v>
      </c>
      <c r="R47" s="494"/>
      <c r="S47" s="494">
        <f t="shared" si="16"/>
        <v>4560707.3454147484</v>
      </c>
      <c r="V47" s="172"/>
      <c r="W47" s="230">
        <f>'Exhibit U,7'!Y47+'Exhibit U,4'!S47</f>
        <v>6451566.2953901347</v>
      </c>
      <c r="X47" s="67">
        <f>G47-W47</f>
        <v>-1058447.9399753865</v>
      </c>
      <c r="Y47" s="173"/>
      <c r="Z47" s="173"/>
      <c r="AA47" s="6">
        <f t="shared" si="19"/>
        <v>2014</v>
      </c>
      <c r="AC47" s="17">
        <f>'Exhibit U,7'!C23</f>
        <v>21073817.018735245</v>
      </c>
      <c r="AE47" s="20">
        <v>23176241.3468532</v>
      </c>
      <c r="AG47" s="17">
        <f>'Exhibit U,3'!K23</f>
        <v>23846677.819986343</v>
      </c>
      <c r="AI47" s="22">
        <f>AC47</f>
        <v>21073817.018735245</v>
      </c>
      <c r="AK47" s="54">
        <v>9072247.9293209873</v>
      </c>
      <c r="AM47" s="55">
        <f t="shared" si="20"/>
        <v>2.3228881290408601</v>
      </c>
    </row>
    <row r="48" spans="1:39">
      <c r="A48" s="6">
        <f t="shared" si="18"/>
        <v>2020</v>
      </c>
      <c r="C48" s="494">
        <f>'Exhibit U,4'!K48</f>
        <v>328697.36398441909</v>
      </c>
      <c r="D48" s="494"/>
      <c r="E48" s="494">
        <f>'Exhibit U,7'!Q48</f>
        <v>4946139.9316030554</v>
      </c>
      <c r="F48" s="494"/>
      <c r="G48" s="494">
        <f t="shared" si="12"/>
        <v>5274837.2955874745</v>
      </c>
      <c r="H48" s="494"/>
      <c r="I48" s="499">
        <f>'Exhibit U,5'!AB48</f>
        <v>97657.46</v>
      </c>
      <c r="J48" s="494"/>
      <c r="K48" s="499">
        <f>'Exhibit U,8'!AB48</f>
        <v>289419.82</v>
      </c>
      <c r="L48" s="494"/>
      <c r="M48" s="494">
        <f t="shared" si="13"/>
        <v>387077.28</v>
      </c>
      <c r="N48" s="494"/>
      <c r="O48" s="494">
        <f t="shared" si="14"/>
        <v>231039.90398441907</v>
      </c>
      <c r="P48" s="494"/>
      <c r="Q48" s="494">
        <f t="shared" si="15"/>
        <v>4656720.1116030551</v>
      </c>
      <c r="R48" s="494"/>
      <c r="S48" s="494">
        <f t="shared" si="16"/>
        <v>4887760.0155874742</v>
      </c>
      <c r="V48" s="172"/>
      <c r="W48" s="230">
        <f>'Exhibit U,7'!Y48+'Exhibit U,4'!S48</f>
        <v>4282363.8094355902</v>
      </c>
      <c r="X48" s="67">
        <f t="shared" si="17"/>
        <v>992473.48615188431</v>
      </c>
      <c r="Y48" s="173"/>
      <c r="Z48" s="173"/>
      <c r="AA48" s="6">
        <f t="shared" si="19"/>
        <v>2015</v>
      </c>
      <c r="AC48" s="17">
        <f>'Exhibit U,7'!C24</f>
        <v>4064067.5546318418</v>
      </c>
      <c r="AE48" s="20">
        <v>6394942.0262125125</v>
      </c>
      <c r="AG48" s="17">
        <f>'Exhibit U,3'!K24</f>
        <v>4084998.0681367856</v>
      </c>
      <c r="AI48" s="22">
        <f>AC48</f>
        <v>4064067.5546318418</v>
      </c>
      <c r="AK48" s="54">
        <v>9255071.6795390565</v>
      </c>
      <c r="AM48" s="55">
        <f t="shared" si="20"/>
        <v>0.43911789074703855</v>
      </c>
    </row>
    <row r="49" spans="1:46">
      <c r="A49" s="6">
        <f t="shared" si="18"/>
        <v>2021</v>
      </c>
      <c r="C49" s="494">
        <f>'Exhibit U,4'!K49</f>
        <v>671037.38841891964</v>
      </c>
      <c r="D49" s="494"/>
      <c r="E49" s="494">
        <f>'Exhibit U,7'!Q49</f>
        <v>4047614.0804731995</v>
      </c>
      <c r="F49" s="494"/>
      <c r="G49" s="494">
        <f t="shared" si="12"/>
        <v>4718651.4688921189</v>
      </c>
      <c r="H49" s="494"/>
      <c r="I49" s="499">
        <f>'Exhibit U,5'!AB49</f>
        <v>11934.19</v>
      </c>
      <c r="J49" s="494"/>
      <c r="K49" s="499">
        <f>'Exhibit U,8'!AB49</f>
        <v>17823.86</v>
      </c>
      <c r="L49" s="494"/>
      <c r="M49" s="494">
        <f t="shared" si="13"/>
        <v>29758.050000000003</v>
      </c>
      <c r="N49" s="494"/>
      <c r="O49" s="494">
        <f t="shared" si="14"/>
        <v>659103.1984189197</v>
      </c>
      <c r="P49" s="494"/>
      <c r="Q49" s="494">
        <f t="shared" si="15"/>
        <v>4029790.2204731996</v>
      </c>
      <c r="R49" s="494"/>
      <c r="S49" s="494">
        <f t="shared" si="16"/>
        <v>4688893.4188921191</v>
      </c>
      <c r="V49" s="172"/>
      <c r="W49" s="230">
        <f>'Exhibit U,7'!Y49+'Exhibit U,4'!S49</f>
        <v>3879425.5873154616</v>
      </c>
      <c r="X49" s="67">
        <f t="shared" si="17"/>
        <v>839225.8815766573</v>
      </c>
      <c r="Y49" s="173"/>
      <c r="Z49" s="173"/>
      <c r="AA49" s="6">
        <f t="shared" si="19"/>
        <v>2016</v>
      </c>
      <c r="AC49" s="17">
        <f>'Exhibit U,7'!C25</f>
        <v>11154026.204164745</v>
      </c>
      <c r="AE49" s="20">
        <v>12109359.887516031</v>
      </c>
      <c r="AG49" s="17">
        <f>'Exhibit U,3'!K25</f>
        <v>13111591.223283047</v>
      </c>
      <c r="AI49" s="22">
        <f>(AC49+AE49)/2</f>
        <v>11631693.045840388</v>
      </c>
      <c r="AK49" s="54">
        <v>10442673.509791283</v>
      </c>
      <c r="AM49" s="55">
        <f t="shared" si="20"/>
        <v>1.1138616021016317</v>
      </c>
    </row>
    <row r="50" spans="1:46">
      <c r="A50" s="6">
        <f t="shared" si="18"/>
        <v>2022</v>
      </c>
      <c r="C50" s="494">
        <f>'Exhibit U,4'!K50</f>
        <v>1315092.6956908247</v>
      </c>
      <c r="D50" s="494"/>
      <c r="E50" s="494">
        <f>'Exhibit U,7'!Q50</f>
        <v>3038384.4169053682</v>
      </c>
      <c r="F50" s="494"/>
      <c r="G50" s="494">
        <f t="shared" si="12"/>
        <v>4353477.1125961933</v>
      </c>
      <c r="H50" s="494"/>
      <c r="I50" s="499">
        <f>'Exhibit U,5'!AB50</f>
        <v>21947.98</v>
      </c>
      <c r="J50" s="494"/>
      <c r="K50" s="499">
        <f>'Exhibit U,8'!AB50</f>
        <v>4500</v>
      </c>
      <c r="L50" s="494"/>
      <c r="M50" s="494">
        <f t="shared" si="13"/>
        <v>26447.98</v>
      </c>
      <c r="N50" s="494"/>
      <c r="O50" s="494">
        <f t="shared" si="14"/>
        <v>1293144.7156908247</v>
      </c>
      <c r="P50" s="494"/>
      <c r="Q50" s="494">
        <f t="shared" si="15"/>
        <v>3033884.4169053682</v>
      </c>
      <c r="R50" s="494"/>
      <c r="S50" s="494">
        <f t="shared" si="16"/>
        <v>4327029.1325961929</v>
      </c>
      <c r="W50" s="230"/>
      <c r="X50" s="67"/>
      <c r="Y50" s="173"/>
      <c r="Z50" s="173"/>
      <c r="AA50" s="6">
        <f t="shared" si="19"/>
        <v>2017</v>
      </c>
      <c r="AC50" s="17">
        <f>'Exhibit U,7'!C26</f>
        <v>11261564.203882288</v>
      </c>
      <c r="AE50" s="20">
        <v>4195805.0111789182</v>
      </c>
      <c r="AG50" s="17">
        <f>'Exhibit U,3'!K26</f>
        <v>13149598.05472691</v>
      </c>
      <c r="AI50" s="22">
        <f>AC50</f>
        <v>11261564.203882288</v>
      </c>
      <c r="AK50" s="54">
        <v>10497173.623191494</v>
      </c>
      <c r="AM50" s="55">
        <f t="shared" si="20"/>
        <v>1.0728187041702368</v>
      </c>
    </row>
    <row r="51" spans="1:46">
      <c r="A51" s="6"/>
      <c r="C51" s="200"/>
      <c r="E51" s="200"/>
      <c r="G51" s="200"/>
      <c r="H51" s="18"/>
      <c r="I51" s="200"/>
      <c r="K51" s="200"/>
      <c r="M51" s="200"/>
      <c r="N51" s="18"/>
      <c r="O51" s="200"/>
      <c r="Q51" s="200"/>
      <c r="S51" s="200"/>
      <c r="W51" s="242"/>
      <c r="X51" s="242"/>
      <c r="Y51" s="137"/>
      <c r="Z51" s="137"/>
      <c r="AA51" s="6">
        <f t="shared" si="19"/>
        <v>2018</v>
      </c>
      <c r="AC51" s="17">
        <f>'Exhibit U,7'!C27</f>
        <v>7006078.1762927808</v>
      </c>
      <c r="AE51" s="20">
        <v>4851934.816293912</v>
      </c>
      <c r="AG51" s="17">
        <f>'Exhibit U,3'!K27</f>
        <v>7350933.7734010313</v>
      </c>
      <c r="AI51" s="22">
        <f>AC51</f>
        <v>7006078.1762927808</v>
      </c>
      <c r="AK51" s="54">
        <v>7634986.498921114</v>
      </c>
      <c r="AM51" s="55">
        <f t="shared" si="20"/>
        <v>0.91762810285031893</v>
      </c>
    </row>
    <row r="52" spans="1:46">
      <c r="A52" s="2" t="s">
        <v>0</v>
      </c>
      <c r="C52" s="19">
        <f>SUM(C36:C51)</f>
        <v>17776723.935611062</v>
      </c>
      <c r="D52" s="19"/>
      <c r="E52" s="19">
        <f>SUM(E36:E51)</f>
        <v>105614354.54694819</v>
      </c>
      <c r="F52" s="6"/>
      <c r="G52" s="19">
        <f>SUM(G36:G51)</f>
        <v>123391078.48255926</v>
      </c>
      <c r="H52" s="19"/>
      <c r="I52" s="19">
        <f>SUM(I36:I51)</f>
        <v>13961685.32</v>
      </c>
      <c r="J52" s="6"/>
      <c r="K52" s="19">
        <f>SUM(K36:K51)</f>
        <v>69553617.619999975</v>
      </c>
      <c r="L52" s="19"/>
      <c r="M52" s="19">
        <f>SUM(M36:M51)</f>
        <v>83515302.939999998</v>
      </c>
      <c r="N52" s="19"/>
      <c r="O52" s="19">
        <f>SUM(O36:O51)</f>
        <v>3815038.6156110629</v>
      </c>
      <c r="P52" s="6"/>
      <c r="Q52" s="19">
        <f>SUM(Q36:Q51)</f>
        <v>36060736.92694819</v>
      </c>
      <c r="R52" s="19"/>
      <c r="S52" s="19">
        <f>SUM(S36:S51)</f>
        <v>39875775.542559259</v>
      </c>
      <c r="V52" s="241"/>
      <c r="W52" s="241">
        <f>SUM(W36:W51)</f>
        <v>126725560.25038192</v>
      </c>
      <c r="X52" s="241">
        <f>SUM(X36:X51)</f>
        <v>-7687958.8804188669</v>
      </c>
      <c r="Y52" s="241"/>
      <c r="Z52" s="241"/>
      <c r="AA52" s="6">
        <f t="shared" si="19"/>
        <v>2019</v>
      </c>
      <c r="AC52" s="17">
        <f>'Exhibit U,7'!C28</f>
        <v>6712613.7859857585</v>
      </c>
      <c r="AE52" s="20">
        <v>2798357.1612182702</v>
      </c>
      <c r="AG52" s="17">
        <f>'Exhibit U,3'!K28</f>
        <v>6787157.8581031607</v>
      </c>
      <c r="AI52" s="22">
        <f>AC52</f>
        <v>6712613.7859857585</v>
      </c>
      <c r="AK52" s="54">
        <v>6905762.9071533298</v>
      </c>
      <c r="AM52" s="55">
        <f t="shared" si="20"/>
        <v>0.97203073378503946</v>
      </c>
    </row>
    <row r="53" spans="1:46">
      <c r="C53" s="19"/>
      <c r="E53" s="19"/>
      <c r="Y53" s="20"/>
      <c r="Z53" s="20"/>
      <c r="AA53" s="6">
        <f t="shared" si="19"/>
        <v>2020</v>
      </c>
      <c r="AC53" s="17">
        <f>'Exhibit U,7'!C29</f>
        <v>6957904.1733448869</v>
      </c>
      <c r="AE53" s="20">
        <v>3658569.360767663</v>
      </c>
      <c r="AG53" s="17">
        <f>'Exhibit U,3'!K29</f>
        <v>4417725.2002898194</v>
      </c>
      <c r="AI53" s="22">
        <f>AK53*AM53</f>
        <v>6369884.1204675306</v>
      </c>
      <c r="AK53" s="54">
        <v>5853388.0158001306</v>
      </c>
      <c r="AM53" s="55">
        <f>AR53</f>
        <v>1.0882388290803915</v>
      </c>
      <c r="AR53" s="55">
        <f>AT53*AS53/AK53</f>
        <v>1.0882388290803915</v>
      </c>
      <c r="AS53" s="17">
        <f>AVERAGE(AC53:AE53)</f>
        <v>5308236.7670562752</v>
      </c>
      <c r="AT53" s="625">
        <v>1.2</v>
      </c>
    </row>
    <row r="54" spans="1:46" ht="16">
      <c r="A54" s="15" t="s">
        <v>85</v>
      </c>
      <c r="AA54" s="6">
        <f t="shared" si="19"/>
        <v>2021</v>
      </c>
      <c r="AC54" s="17">
        <f>'Exhibit U,7'!C30</f>
        <v>5315691.4827055149</v>
      </c>
      <c r="AE54" s="20">
        <v>3042935.0819139513</v>
      </c>
      <c r="AG54" s="17">
        <f>'Exhibit U,3'!K30</f>
        <v>3298841.3216398931</v>
      </c>
      <c r="AI54" s="22">
        <f>AK54*AM54</f>
        <v>5015175.93877168</v>
      </c>
      <c r="AK54" s="54">
        <v>4006814.5891225571</v>
      </c>
      <c r="AM54" s="55">
        <f>AR54</f>
        <v>1.2516615948206233</v>
      </c>
      <c r="AO54" s="61" t="s">
        <v>1738</v>
      </c>
      <c r="AR54" s="55">
        <f>AT54*AS54/AK54</f>
        <v>1.2516615948206233</v>
      </c>
      <c r="AS54" s="17">
        <f>AVERAGE(AC54:AE54)</f>
        <v>4179313.2823097333</v>
      </c>
      <c r="AT54" s="625">
        <v>1.2</v>
      </c>
    </row>
    <row r="55" spans="1:46">
      <c r="A55" s="6">
        <f>A36</f>
        <v>2008</v>
      </c>
      <c r="C55" s="147">
        <f>C17-C36</f>
        <v>0</v>
      </c>
      <c r="D55" s="147"/>
      <c r="E55" s="147">
        <f>E17-E36</f>
        <v>40612.189999999944</v>
      </c>
      <c r="F55" s="147"/>
      <c r="G55" s="147">
        <f>G17-G36</f>
        <v>40612.189999999944</v>
      </c>
      <c r="H55" s="147"/>
      <c r="I55" s="147">
        <f>I17-I36</f>
        <v>0</v>
      </c>
      <c r="J55" s="147"/>
      <c r="K55" s="147">
        <f>K17-K36</f>
        <v>40612.189999999944</v>
      </c>
      <c r="L55" s="147"/>
      <c r="M55" s="147">
        <f>M17-M36</f>
        <v>40612.189999999944</v>
      </c>
      <c r="N55" s="147"/>
      <c r="O55" s="147">
        <f>O17-O36</f>
        <v>0</v>
      </c>
      <c r="P55" s="147"/>
      <c r="Q55" s="147">
        <f>Q17-Q36</f>
        <v>0</v>
      </c>
      <c r="R55" s="147"/>
      <c r="S55" s="147">
        <f>S17-S36</f>
        <v>0</v>
      </c>
      <c r="AA55" s="6">
        <f t="shared" si="19"/>
        <v>2022</v>
      </c>
      <c r="AC55" s="17">
        <f>'Exhibit U,7'!C31</f>
        <v>5490684.4693694944</v>
      </c>
      <c r="AE55" s="20">
        <v>3621932.1370738312</v>
      </c>
      <c r="AG55" s="17">
        <f>'Exhibit U,3'!K31</f>
        <v>0</v>
      </c>
      <c r="AI55" s="22">
        <f>AE55</f>
        <v>3621932.1370738312</v>
      </c>
      <c r="AK55" s="54">
        <v>4017772.8</v>
      </c>
      <c r="AM55" s="55">
        <f t="shared" si="20"/>
        <v>0.9014775890448139</v>
      </c>
    </row>
    <row r="56" spans="1:46">
      <c r="A56" s="6">
        <f t="shared" ref="A56:A69" si="21">A55+1</f>
        <v>2009</v>
      </c>
      <c r="C56" s="494">
        <f t="shared" ref="C56:E69" si="22">C18-C37</f>
        <v>0</v>
      </c>
      <c r="D56" s="187"/>
      <c r="E56" s="494">
        <f t="shared" si="22"/>
        <v>0</v>
      </c>
      <c r="F56" s="187"/>
      <c r="G56" s="494">
        <f t="shared" ref="G56:G69" si="23">G18-G37</f>
        <v>0</v>
      </c>
      <c r="H56" s="187"/>
      <c r="I56" s="494">
        <f t="shared" ref="I56:I69" si="24">I18-I37</f>
        <v>0</v>
      </c>
      <c r="J56" s="187"/>
      <c r="K56" s="494">
        <f t="shared" ref="K56:K69" si="25">K18-K37</f>
        <v>0</v>
      </c>
      <c r="L56" s="187"/>
      <c r="M56" s="494">
        <f t="shared" ref="M56:M69" si="26">M18-M37</f>
        <v>0</v>
      </c>
      <c r="N56" s="187"/>
      <c r="O56" s="494">
        <f t="shared" ref="O56:O69" si="27">O18-O37</f>
        <v>0</v>
      </c>
      <c r="P56" s="187"/>
      <c r="Q56" s="494">
        <f t="shared" ref="Q56:S69" si="28">Q18-Q37</f>
        <v>0</v>
      </c>
      <c r="R56" s="187"/>
      <c r="S56" s="494">
        <f t="shared" si="28"/>
        <v>0</v>
      </c>
      <c r="AA56" s="137"/>
      <c r="AC56" s="200"/>
      <c r="AE56" s="200"/>
      <c r="AI56" s="200"/>
      <c r="AK56" s="200"/>
    </row>
    <row r="57" spans="1:46">
      <c r="A57" s="6">
        <f t="shared" si="21"/>
        <v>2010</v>
      </c>
      <c r="C57" s="494">
        <f t="shared" si="22"/>
        <v>0</v>
      </c>
      <c r="D57" s="187"/>
      <c r="E57" s="494">
        <f t="shared" si="22"/>
        <v>1851509.8499999996</v>
      </c>
      <c r="F57" s="187"/>
      <c r="G57" s="494">
        <f t="shared" si="23"/>
        <v>1851509.8500000006</v>
      </c>
      <c r="H57" s="187"/>
      <c r="I57" s="494">
        <f t="shared" si="24"/>
        <v>0</v>
      </c>
      <c r="J57" s="187"/>
      <c r="K57" s="494">
        <f t="shared" si="25"/>
        <v>1851509.8499999996</v>
      </c>
      <c r="L57" s="187"/>
      <c r="M57" s="494">
        <f t="shared" si="26"/>
        <v>1851509.8500000006</v>
      </c>
      <c r="N57" s="187"/>
      <c r="O57" s="494">
        <f t="shared" si="27"/>
        <v>0</v>
      </c>
      <c r="P57" s="187"/>
      <c r="Q57" s="494">
        <f t="shared" si="28"/>
        <v>0</v>
      </c>
      <c r="R57" s="187"/>
      <c r="S57" s="494">
        <f t="shared" si="28"/>
        <v>0</v>
      </c>
      <c r="AA57" s="241"/>
      <c r="AC57" s="19">
        <f>SUM(AC41:AC56)</f>
        <v>113964141.77911255</v>
      </c>
      <c r="AD57" s="241"/>
      <c r="AE57" s="19">
        <f>SUM(AE41:AE56)</f>
        <v>101285072.96441142</v>
      </c>
      <c r="AI57" s="19">
        <f>SUM(AI41:AI56)</f>
        <v>111684520.69168133</v>
      </c>
      <c r="AK57" s="19">
        <f>SUM(AK41:AK56)</f>
        <v>85168690.60927929</v>
      </c>
    </row>
    <row r="58" spans="1:46">
      <c r="A58" s="6">
        <f t="shared" si="21"/>
        <v>2011</v>
      </c>
      <c r="C58" s="494">
        <f t="shared" si="22"/>
        <v>0</v>
      </c>
      <c r="D58" s="187"/>
      <c r="E58" s="494">
        <f t="shared" si="22"/>
        <v>93981.669999999925</v>
      </c>
      <c r="F58" s="187"/>
      <c r="G58" s="494">
        <f t="shared" si="23"/>
        <v>93981.669999999925</v>
      </c>
      <c r="H58" s="187"/>
      <c r="I58" s="494">
        <f t="shared" si="24"/>
        <v>0</v>
      </c>
      <c r="J58" s="187"/>
      <c r="K58" s="494">
        <f t="shared" si="25"/>
        <v>93981.669999999925</v>
      </c>
      <c r="L58" s="187"/>
      <c r="M58" s="494">
        <f t="shared" si="26"/>
        <v>93981.669999999925</v>
      </c>
      <c r="N58" s="187"/>
      <c r="O58" s="494">
        <f t="shared" si="27"/>
        <v>0</v>
      </c>
      <c r="P58" s="187"/>
      <c r="Q58" s="494">
        <f t="shared" si="28"/>
        <v>0</v>
      </c>
      <c r="R58" s="187"/>
      <c r="S58" s="494">
        <f t="shared" si="28"/>
        <v>0</v>
      </c>
    </row>
    <row r="59" spans="1:46">
      <c r="A59" s="6">
        <f t="shared" si="21"/>
        <v>2012</v>
      </c>
      <c r="C59" s="494">
        <f t="shared" si="22"/>
        <v>569137.53000000026</v>
      </c>
      <c r="D59" s="187"/>
      <c r="E59" s="494">
        <f t="shared" si="22"/>
        <v>3757760.4999999981</v>
      </c>
      <c r="F59" s="187"/>
      <c r="G59" s="494">
        <f t="shared" si="23"/>
        <v>4326898.0299999975</v>
      </c>
      <c r="H59" s="187"/>
      <c r="I59" s="494">
        <f t="shared" si="24"/>
        <v>569137.53000000026</v>
      </c>
      <c r="J59" s="187"/>
      <c r="K59" s="494">
        <f t="shared" si="25"/>
        <v>3757760.5</v>
      </c>
      <c r="L59" s="187"/>
      <c r="M59" s="494">
        <f t="shared" si="26"/>
        <v>4326898.0300000012</v>
      </c>
      <c r="N59" s="187"/>
      <c r="O59" s="494">
        <f t="shared" si="27"/>
        <v>0</v>
      </c>
      <c r="P59" s="187"/>
      <c r="Q59" s="494">
        <f t="shared" si="28"/>
        <v>-1.862645149230957E-9</v>
      </c>
      <c r="R59" s="187"/>
      <c r="S59" s="494">
        <f t="shared" si="28"/>
        <v>-3.7252902984619141E-9</v>
      </c>
      <c r="AC59" s="1" t="s">
        <v>1736</v>
      </c>
      <c r="AE59" s="59">
        <f>AE57/AC57</f>
        <v>0.88874510335649315</v>
      </c>
    </row>
    <row r="60" spans="1:46">
      <c r="A60" s="6">
        <f t="shared" si="21"/>
        <v>2013</v>
      </c>
      <c r="C60" s="494">
        <f t="shared" si="22"/>
        <v>0</v>
      </c>
      <c r="D60" s="187"/>
      <c r="E60" s="494">
        <f t="shared" si="22"/>
        <v>2921411.5500000007</v>
      </c>
      <c r="F60" s="187"/>
      <c r="G60" s="494">
        <f t="shared" si="23"/>
        <v>2921411.5500000007</v>
      </c>
      <c r="H60" s="187"/>
      <c r="I60" s="494">
        <f t="shared" si="24"/>
        <v>0</v>
      </c>
      <c r="J60" s="187"/>
      <c r="K60" s="494">
        <f t="shared" si="25"/>
        <v>2646411.5499999989</v>
      </c>
      <c r="L60" s="187"/>
      <c r="M60" s="494">
        <f t="shared" si="26"/>
        <v>2646411.5499999989</v>
      </c>
      <c r="N60" s="187"/>
      <c r="O60" s="494">
        <f t="shared" si="27"/>
        <v>0</v>
      </c>
      <c r="P60" s="187"/>
      <c r="Q60" s="494">
        <f t="shared" si="28"/>
        <v>275000.00000000186</v>
      </c>
      <c r="R60" s="187"/>
      <c r="S60" s="494">
        <f t="shared" si="28"/>
        <v>275000.00000000186</v>
      </c>
      <c r="AC60" s="1" t="s">
        <v>1737</v>
      </c>
      <c r="AE60" s="1">
        <v>0.89</v>
      </c>
    </row>
    <row r="61" spans="1:46">
      <c r="A61" s="6">
        <f t="shared" si="21"/>
        <v>2014</v>
      </c>
      <c r="C61" s="494">
        <f t="shared" si="22"/>
        <v>530047.85000000009</v>
      </c>
      <c r="D61" s="187"/>
      <c r="E61" s="494">
        <f t="shared" si="22"/>
        <v>4649187.3590646982</v>
      </c>
      <c r="F61" s="187"/>
      <c r="G61" s="494">
        <f t="shared" si="23"/>
        <v>5179235.2090646997</v>
      </c>
      <c r="H61" s="187"/>
      <c r="I61" s="494">
        <f t="shared" si="24"/>
        <v>530047.85000000009</v>
      </c>
      <c r="J61" s="187"/>
      <c r="K61" s="494">
        <f t="shared" si="25"/>
        <v>4640107.4800000004</v>
      </c>
      <c r="L61" s="187"/>
      <c r="M61" s="494">
        <f t="shared" si="26"/>
        <v>5170155.33</v>
      </c>
      <c r="N61" s="187"/>
      <c r="O61" s="494">
        <f t="shared" si="27"/>
        <v>0</v>
      </c>
      <c r="P61" s="187"/>
      <c r="Q61" s="494">
        <f t="shared" si="28"/>
        <v>9079.8790646977723</v>
      </c>
      <c r="R61" s="187"/>
      <c r="S61" s="494">
        <f t="shared" si="28"/>
        <v>9079.8790646996349</v>
      </c>
      <c r="AI61" s="1">
        <v>5853</v>
      </c>
    </row>
    <row r="62" spans="1:46">
      <c r="A62" s="6">
        <f t="shared" si="21"/>
        <v>2015</v>
      </c>
      <c r="C62" s="494">
        <f t="shared" si="22"/>
        <v>0</v>
      </c>
      <c r="D62" s="187"/>
      <c r="E62" s="494">
        <f t="shared" si="22"/>
        <v>453552.22277981369</v>
      </c>
      <c r="F62" s="187"/>
      <c r="G62" s="494">
        <f t="shared" si="23"/>
        <v>453552.22277981322</v>
      </c>
      <c r="H62" s="187"/>
      <c r="I62" s="494">
        <f t="shared" si="24"/>
        <v>0</v>
      </c>
      <c r="J62" s="187"/>
      <c r="K62" s="494">
        <f t="shared" si="25"/>
        <v>439561.70000000019</v>
      </c>
      <c r="L62" s="187"/>
      <c r="M62" s="494">
        <f t="shared" si="26"/>
        <v>439561.70000000019</v>
      </c>
      <c r="N62" s="187"/>
      <c r="O62" s="494">
        <f t="shared" si="27"/>
        <v>0</v>
      </c>
      <c r="P62" s="187"/>
      <c r="Q62" s="494">
        <f t="shared" si="28"/>
        <v>13990.522779813502</v>
      </c>
      <c r="R62" s="187"/>
      <c r="S62" s="494">
        <f t="shared" si="28"/>
        <v>13990.522779813036</v>
      </c>
      <c r="AG62" s="22"/>
    </row>
    <row r="63" spans="1:46">
      <c r="A63" s="6">
        <f t="shared" si="21"/>
        <v>2016</v>
      </c>
      <c r="C63" s="494">
        <f t="shared" si="22"/>
        <v>3054565.75</v>
      </c>
      <c r="D63" s="187"/>
      <c r="E63" s="494">
        <f t="shared" si="22"/>
        <v>3023429.7915633563</v>
      </c>
      <c r="F63" s="187"/>
      <c r="G63" s="494">
        <f t="shared" si="23"/>
        <v>6077995.5415633544</v>
      </c>
      <c r="H63" s="187"/>
      <c r="I63" s="494">
        <f t="shared" si="24"/>
        <v>3054565.7499999995</v>
      </c>
      <c r="J63" s="187"/>
      <c r="K63" s="494">
        <f t="shared" si="25"/>
        <v>1817226.2599999998</v>
      </c>
      <c r="L63" s="187"/>
      <c r="M63" s="494">
        <f t="shared" si="26"/>
        <v>4871792.0099999979</v>
      </c>
      <c r="N63" s="187"/>
      <c r="O63" s="494">
        <f t="shared" si="27"/>
        <v>0</v>
      </c>
      <c r="P63" s="187"/>
      <c r="Q63" s="494">
        <f t="shared" si="28"/>
        <v>1206203.5315633565</v>
      </c>
      <c r="R63" s="187"/>
      <c r="S63" s="494">
        <f t="shared" si="28"/>
        <v>1206203.5315633565</v>
      </c>
    </row>
    <row r="64" spans="1:46">
      <c r="A64" s="6">
        <f t="shared" si="21"/>
        <v>2017</v>
      </c>
      <c r="C64" s="494">
        <f t="shared" si="22"/>
        <v>0</v>
      </c>
      <c r="D64" s="187"/>
      <c r="E64" s="494">
        <f t="shared" si="22"/>
        <v>2706311.0041710064</v>
      </c>
      <c r="F64" s="187"/>
      <c r="G64" s="494">
        <f t="shared" si="23"/>
        <v>2706311.0041710064</v>
      </c>
      <c r="H64" s="187"/>
      <c r="I64" s="494">
        <f t="shared" si="24"/>
        <v>0</v>
      </c>
      <c r="J64" s="187"/>
      <c r="K64" s="494">
        <f t="shared" si="25"/>
        <v>2481914.37</v>
      </c>
      <c r="L64" s="187"/>
      <c r="M64" s="494">
        <f t="shared" si="26"/>
        <v>2481914.37</v>
      </c>
      <c r="N64" s="187"/>
      <c r="O64" s="494">
        <f t="shared" si="27"/>
        <v>0</v>
      </c>
      <c r="P64" s="187"/>
      <c r="Q64" s="494">
        <f t="shared" si="28"/>
        <v>224396.63417100627</v>
      </c>
      <c r="R64" s="187"/>
      <c r="S64" s="494">
        <f t="shared" si="28"/>
        <v>224396.63417100627</v>
      </c>
    </row>
    <row r="65" spans="1:19">
      <c r="A65" s="6">
        <f t="shared" si="21"/>
        <v>2018</v>
      </c>
      <c r="C65" s="494">
        <f t="shared" si="22"/>
        <v>0</v>
      </c>
      <c r="D65" s="187"/>
      <c r="E65" s="494">
        <f t="shared" si="22"/>
        <v>732343.34173495136</v>
      </c>
      <c r="F65" s="187"/>
      <c r="G65" s="494">
        <f t="shared" si="23"/>
        <v>732343.34173495136</v>
      </c>
      <c r="H65" s="187"/>
      <c r="I65" s="494">
        <f t="shared" si="24"/>
        <v>0</v>
      </c>
      <c r="J65" s="187"/>
      <c r="K65" s="494">
        <f t="shared" si="25"/>
        <v>0</v>
      </c>
      <c r="L65" s="187"/>
      <c r="M65" s="494">
        <f t="shared" si="26"/>
        <v>0</v>
      </c>
      <c r="N65" s="187"/>
      <c r="O65" s="494">
        <f t="shared" si="27"/>
        <v>0</v>
      </c>
      <c r="P65" s="187"/>
      <c r="Q65" s="494">
        <f t="shared" si="28"/>
        <v>732343.34173495136</v>
      </c>
      <c r="R65" s="187"/>
      <c r="S65" s="494">
        <f t="shared" si="28"/>
        <v>732343.34173495136</v>
      </c>
    </row>
    <row r="66" spans="1:19">
      <c r="A66" s="6">
        <f t="shared" si="21"/>
        <v>2019</v>
      </c>
      <c r="C66" s="494">
        <f t="shared" si="22"/>
        <v>42038.343167717627</v>
      </c>
      <c r="D66" s="187"/>
      <c r="E66" s="494">
        <f t="shared" si="22"/>
        <v>1763080.45808791</v>
      </c>
      <c r="F66" s="187"/>
      <c r="G66" s="494">
        <f t="shared" si="23"/>
        <v>1805118.8012556275</v>
      </c>
      <c r="H66" s="187"/>
      <c r="I66" s="494">
        <f t="shared" si="24"/>
        <v>0</v>
      </c>
      <c r="J66" s="187"/>
      <c r="K66" s="494">
        <f t="shared" si="25"/>
        <v>0</v>
      </c>
      <c r="L66" s="187"/>
      <c r="M66" s="494">
        <f t="shared" si="26"/>
        <v>0</v>
      </c>
      <c r="N66" s="187"/>
      <c r="O66" s="494">
        <f t="shared" si="27"/>
        <v>42038.343167717627</v>
      </c>
      <c r="P66" s="187"/>
      <c r="Q66" s="494">
        <f t="shared" si="28"/>
        <v>1763080.45808791</v>
      </c>
      <c r="R66" s="187"/>
      <c r="S66" s="494">
        <f t="shared" si="28"/>
        <v>1805118.8012556275</v>
      </c>
    </row>
    <row r="67" spans="1:19">
      <c r="A67" s="6">
        <f t="shared" si="21"/>
        <v>2020</v>
      </c>
      <c r="C67" s="494">
        <f t="shared" si="22"/>
        <v>227211.71119767422</v>
      </c>
      <c r="D67" s="187"/>
      <c r="E67" s="494">
        <f t="shared" si="22"/>
        <v>1423744.1888644751</v>
      </c>
      <c r="F67" s="187"/>
      <c r="G67" s="494">
        <f t="shared" si="23"/>
        <v>1650955.9000621494</v>
      </c>
      <c r="H67" s="187"/>
      <c r="I67" s="494">
        <f t="shared" si="24"/>
        <v>0</v>
      </c>
      <c r="J67" s="187"/>
      <c r="K67" s="494">
        <f t="shared" si="25"/>
        <v>0</v>
      </c>
      <c r="L67" s="187"/>
      <c r="M67" s="494">
        <f t="shared" si="26"/>
        <v>0</v>
      </c>
      <c r="N67" s="187"/>
      <c r="O67" s="494">
        <f t="shared" si="27"/>
        <v>227211.71119767422</v>
      </c>
      <c r="P67" s="187"/>
      <c r="Q67" s="494">
        <f t="shared" si="28"/>
        <v>1423744.1888644751</v>
      </c>
      <c r="R67" s="187"/>
      <c r="S67" s="494">
        <f t="shared" si="28"/>
        <v>1650955.9000621494</v>
      </c>
    </row>
    <row r="68" spans="1:19">
      <c r="A68" s="6">
        <f t="shared" si="21"/>
        <v>2021</v>
      </c>
      <c r="C68" s="494">
        <f t="shared" si="22"/>
        <v>534053.72073123627</v>
      </c>
      <c r="D68" s="187"/>
      <c r="E68" s="494">
        <f t="shared" si="22"/>
        <v>967561.85829848051</v>
      </c>
      <c r="F68" s="187"/>
      <c r="G68" s="494">
        <f t="shared" si="23"/>
        <v>1501615.5790297175</v>
      </c>
      <c r="H68" s="187"/>
      <c r="I68" s="494">
        <f t="shared" si="24"/>
        <v>0</v>
      </c>
      <c r="J68" s="187"/>
      <c r="K68" s="494">
        <f t="shared" si="25"/>
        <v>0</v>
      </c>
      <c r="L68" s="187"/>
      <c r="M68" s="494">
        <f t="shared" si="26"/>
        <v>0</v>
      </c>
      <c r="N68" s="187"/>
      <c r="O68" s="494">
        <f t="shared" si="27"/>
        <v>534053.72073123627</v>
      </c>
      <c r="P68" s="187"/>
      <c r="Q68" s="494">
        <f t="shared" si="28"/>
        <v>967561.85829848005</v>
      </c>
      <c r="R68" s="187"/>
      <c r="S68" s="494">
        <f t="shared" si="28"/>
        <v>1501615.5790297175</v>
      </c>
    </row>
    <row r="69" spans="1:19">
      <c r="A69" s="6">
        <f t="shared" si="21"/>
        <v>2022</v>
      </c>
      <c r="C69" s="494">
        <f t="shared" si="22"/>
        <v>226060.70830917498</v>
      </c>
      <c r="D69" s="187"/>
      <c r="E69" s="494">
        <f t="shared" si="22"/>
        <v>583547.72016846295</v>
      </c>
      <c r="F69" s="187"/>
      <c r="G69" s="494">
        <f t="shared" si="23"/>
        <v>809608.42847763747</v>
      </c>
      <c r="H69" s="187"/>
      <c r="I69" s="494">
        <f t="shared" si="24"/>
        <v>0</v>
      </c>
      <c r="J69" s="187"/>
      <c r="K69" s="494">
        <f t="shared" si="25"/>
        <v>0</v>
      </c>
      <c r="L69" s="187"/>
      <c r="M69" s="494">
        <f t="shared" si="26"/>
        <v>0</v>
      </c>
      <c r="N69" s="187"/>
      <c r="O69" s="494">
        <f t="shared" si="27"/>
        <v>226060.70830917498</v>
      </c>
      <c r="P69" s="187"/>
      <c r="Q69" s="494">
        <f t="shared" si="28"/>
        <v>583547.72016846295</v>
      </c>
      <c r="R69" s="187"/>
      <c r="S69" s="494">
        <f t="shared" si="28"/>
        <v>809608.42847763747</v>
      </c>
    </row>
    <row r="70" spans="1:19">
      <c r="A70" s="6"/>
      <c r="C70" s="200"/>
      <c r="E70" s="200"/>
      <c r="G70" s="200"/>
      <c r="H70" s="18"/>
      <c r="I70" s="200"/>
      <c r="K70" s="200"/>
      <c r="M70" s="200"/>
      <c r="N70" s="18"/>
      <c r="O70" s="200"/>
      <c r="Q70" s="200"/>
      <c r="S70" s="200"/>
    </row>
    <row r="71" spans="1:19">
      <c r="A71" s="2" t="s">
        <v>0</v>
      </c>
      <c r="C71" s="19">
        <f>SUM(C55:C70)</f>
        <v>5183115.6134058032</v>
      </c>
      <c r="D71" s="19"/>
      <c r="E71" s="19">
        <f>SUM(E55:E70)</f>
        <v>24968033.704733156</v>
      </c>
      <c r="F71" s="6"/>
      <c r="G71" s="19">
        <f>SUM(G55:G70)</f>
        <v>30151149.318138957</v>
      </c>
      <c r="H71" s="19"/>
      <c r="I71" s="19">
        <f>SUM(I55:I70)</f>
        <v>4153751.13</v>
      </c>
      <c r="J71" s="6"/>
      <c r="K71" s="19">
        <f>SUM(K55:K70)</f>
        <v>17769085.569999997</v>
      </c>
      <c r="L71" s="19"/>
      <c r="M71" s="19">
        <f>SUM(M55:M70)</f>
        <v>21922836.699999999</v>
      </c>
      <c r="N71" s="19"/>
      <c r="O71" s="19">
        <f>SUM(O55:O70)</f>
        <v>1029364.4834058031</v>
      </c>
      <c r="P71" s="6"/>
      <c r="Q71" s="19">
        <f>SUM(Q55:Q70)</f>
        <v>7198948.1347331544</v>
      </c>
      <c r="R71" s="19"/>
      <c r="S71" s="19">
        <f>SUM(S55:S70)</f>
        <v>8228312.6181389568</v>
      </c>
    </row>
    <row r="74" spans="1:19">
      <c r="A74" s="64" t="s">
        <v>104</v>
      </c>
      <c r="C74" s="3" t="s">
        <v>956</v>
      </c>
    </row>
    <row r="75" spans="1:19">
      <c r="A75" s="64" t="s">
        <v>36</v>
      </c>
      <c r="C75" s="3" t="s">
        <v>957</v>
      </c>
    </row>
    <row r="76" spans="1:19">
      <c r="A76" s="64" t="s">
        <v>38</v>
      </c>
      <c r="C76" s="3" t="s">
        <v>174</v>
      </c>
    </row>
    <row r="77" spans="1:19">
      <c r="A77" s="64" t="s">
        <v>186</v>
      </c>
      <c r="C77" s="1" t="s">
        <v>529</v>
      </c>
    </row>
    <row r="78" spans="1:19">
      <c r="A78" s="64" t="s">
        <v>31</v>
      </c>
      <c r="C78" s="3" t="s">
        <v>273</v>
      </c>
    </row>
    <row r="79" spans="1:19">
      <c r="A79" s="64" t="s">
        <v>103</v>
      </c>
      <c r="C79" s="3" t="s">
        <v>274</v>
      </c>
    </row>
    <row r="80" spans="1:19">
      <c r="A80" s="64" t="s">
        <v>106</v>
      </c>
      <c r="C80" s="3" t="s">
        <v>277</v>
      </c>
    </row>
  </sheetData>
  <phoneticPr fontId="8" type="noConversion"/>
  <printOptions horizontalCentered="1"/>
  <pageMargins left="0.7" right="0.7" top="0.75" bottom="0.75" header="0.3" footer="0.3"/>
  <pageSetup scale="55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3">
    <pageSetUpPr fitToPage="1"/>
  </sheetPr>
  <dimension ref="A1:AF80"/>
  <sheetViews>
    <sheetView topLeftCell="A13" workbookViewId="0">
      <selection activeCell="E36" sqref="A36:E36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1.7109375" style="1" customWidth="1"/>
    <col min="14" max="14" width="1.7109375" style="1" customWidth="1"/>
    <col min="15" max="15" width="11.7109375" style="1" customWidth="1"/>
    <col min="16" max="16" width="1.7109375" style="1" customWidth="1"/>
    <col min="17" max="17" width="11.7109375" style="1" customWidth="1"/>
    <col min="18" max="18" width="1.7109375" style="1" customWidth="1"/>
    <col min="19" max="19" width="11.7109375" style="1" customWidth="1"/>
    <col min="20" max="21" width="8.7109375" style="1"/>
    <col min="22" max="22" width="12.7109375" style="1" customWidth="1"/>
    <col min="23" max="23" width="1.7109375" style="1" customWidth="1"/>
    <col min="24" max="24" width="12.7109375" style="1" customWidth="1"/>
    <col min="25" max="25" width="1.7109375" style="1" customWidth="1"/>
    <col min="26" max="26" width="12.7109375" style="1" customWidth="1"/>
    <col min="27" max="27" width="8.7109375" style="1"/>
    <col min="28" max="28" width="12.7109375" style="1" customWidth="1"/>
    <col min="29" max="29" width="1.7109375" style="1" customWidth="1"/>
    <col min="30" max="30" width="12.7109375" style="1" customWidth="1"/>
    <col min="31" max="31" width="1.7109375" style="1" customWidth="1"/>
    <col min="32" max="32" width="12.7109375" style="1" customWidth="1"/>
    <col min="33" max="16384" width="8.7109375" style="1"/>
  </cols>
  <sheetData>
    <row r="1" spans="1:32">
      <c r="A1" s="1" t="s">
        <v>452</v>
      </c>
      <c r="S1" s="52" t="s">
        <v>955</v>
      </c>
    </row>
    <row r="2" spans="1:32">
      <c r="S2" s="64" t="s">
        <v>45</v>
      </c>
    </row>
    <row r="4" spans="1:32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</row>
    <row r="6" spans="1:32">
      <c r="A6" s="5" t="s">
        <v>151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32">
      <c r="A7" s="5" t="s">
        <v>152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32">
      <c r="A8" s="5" t="s">
        <v>647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10" spans="1:32">
      <c r="Q10" s="1" t="s">
        <v>1735</v>
      </c>
    </row>
    <row r="11" spans="1:32">
      <c r="N11" s="6"/>
      <c r="O11" s="6"/>
      <c r="P11" s="6"/>
      <c r="Q11" s="6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</row>
    <row r="12" spans="1:32">
      <c r="A12" s="2" t="s">
        <v>3</v>
      </c>
      <c r="C12" s="8" t="s">
        <v>168</v>
      </c>
      <c r="D12" s="8"/>
      <c r="E12" s="8"/>
      <c r="F12" s="8"/>
      <c r="G12" s="8"/>
      <c r="I12" s="8" t="s">
        <v>648</v>
      </c>
      <c r="J12" s="8"/>
      <c r="K12" s="8"/>
      <c r="L12" s="8"/>
      <c r="M12" s="8"/>
      <c r="N12" s="6"/>
      <c r="O12" s="8" t="s">
        <v>649</v>
      </c>
      <c r="P12" s="8"/>
      <c r="Q12" s="8"/>
      <c r="R12" s="8"/>
      <c r="S12" s="8"/>
      <c r="U12" s="97" t="s">
        <v>3</v>
      </c>
      <c r="V12" s="256"/>
      <c r="W12" s="256"/>
      <c r="X12" s="596" t="s">
        <v>841</v>
      </c>
      <c r="Y12" s="256"/>
      <c r="Z12" s="256"/>
      <c r="AA12" s="61"/>
      <c r="AB12" s="256"/>
      <c r="AC12" s="256"/>
      <c r="AD12" s="596" t="s">
        <v>162</v>
      </c>
      <c r="AE12" s="256"/>
      <c r="AF12" s="256"/>
    </row>
    <row r="13" spans="1:32">
      <c r="A13" s="6" t="s">
        <v>4</v>
      </c>
      <c r="B13" s="6"/>
      <c r="C13" s="2" t="s">
        <v>160</v>
      </c>
      <c r="D13" s="6"/>
      <c r="E13" s="2" t="s">
        <v>395</v>
      </c>
      <c r="F13" s="6"/>
      <c r="G13" s="2" t="s">
        <v>0</v>
      </c>
      <c r="H13" s="2"/>
      <c r="I13" s="2" t="s">
        <v>160</v>
      </c>
      <c r="J13" s="6"/>
      <c r="K13" s="2" t="s">
        <v>395</v>
      </c>
      <c r="L13" s="6"/>
      <c r="M13" s="2" t="s">
        <v>0</v>
      </c>
      <c r="N13" s="6"/>
      <c r="O13" s="2" t="s">
        <v>160</v>
      </c>
      <c r="P13" s="6"/>
      <c r="Q13" s="2" t="s">
        <v>395</v>
      </c>
      <c r="R13" s="6"/>
      <c r="S13" s="2" t="s">
        <v>0</v>
      </c>
      <c r="U13" s="25" t="s">
        <v>4</v>
      </c>
      <c r="V13" s="97" t="s">
        <v>160</v>
      </c>
      <c r="W13" s="25"/>
      <c r="X13" s="97" t="s">
        <v>395</v>
      </c>
      <c r="Y13" s="25"/>
      <c r="Z13" s="97" t="s">
        <v>0</v>
      </c>
      <c r="AA13" s="61"/>
      <c r="AB13" s="97" t="s">
        <v>160</v>
      </c>
      <c r="AC13" s="25"/>
      <c r="AD13" s="97" t="s">
        <v>395</v>
      </c>
      <c r="AE13" s="25"/>
      <c r="AF13" s="97" t="s">
        <v>0</v>
      </c>
    </row>
    <row r="14" spans="1:32">
      <c r="A14" s="9">
        <v>-1</v>
      </c>
      <c r="B14" s="11"/>
      <c r="C14" s="9">
        <v>-2</v>
      </c>
      <c r="D14" s="11"/>
      <c r="E14" s="9">
        <v>-3</v>
      </c>
      <c r="F14" s="11"/>
      <c r="G14" s="9">
        <v>-4</v>
      </c>
      <c r="H14" s="11"/>
      <c r="I14" s="9">
        <v>-5</v>
      </c>
      <c r="J14" s="11"/>
      <c r="K14" s="9">
        <v>-6</v>
      </c>
      <c r="L14" s="11"/>
      <c r="M14" s="9">
        <v>-7</v>
      </c>
      <c r="N14" s="11"/>
      <c r="O14" s="9">
        <v>-8</v>
      </c>
      <c r="P14" s="11"/>
      <c r="Q14" s="9">
        <v>-9</v>
      </c>
      <c r="R14" s="11"/>
      <c r="S14" s="9">
        <v>-10</v>
      </c>
      <c r="U14" s="193">
        <f>S14-1</f>
        <v>-11</v>
      </c>
      <c r="V14" s="193">
        <f>U14-1</f>
        <v>-12</v>
      </c>
      <c r="W14" s="164"/>
      <c r="X14" s="193">
        <f>V14-1</f>
        <v>-13</v>
      </c>
      <c r="Y14" s="164"/>
      <c r="Z14" s="193">
        <f>X14-1</f>
        <v>-14</v>
      </c>
      <c r="AA14" s="61"/>
      <c r="AB14" s="193">
        <f>Z14-1</f>
        <v>-15</v>
      </c>
      <c r="AC14" s="164"/>
      <c r="AD14" s="193">
        <f>AB14-1</f>
        <v>-16</v>
      </c>
      <c r="AE14" s="164"/>
      <c r="AF14" s="193">
        <f>AD14-1</f>
        <v>-17</v>
      </c>
    </row>
    <row r="15" spans="1:32"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</row>
    <row r="16" spans="1:32" ht="16">
      <c r="A16" s="15" t="s">
        <v>77</v>
      </c>
      <c r="I16" s="20"/>
      <c r="U16" s="226" t="s">
        <v>77</v>
      </c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</row>
    <row r="17" spans="1:32">
      <c r="A17" s="6">
        <v>2008</v>
      </c>
      <c r="C17" s="147">
        <f>'Exhibit U,4'!K17</f>
        <v>577451.15</v>
      </c>
      <c r="D17" s="147"/>
      <c r="E17" s="147">
        <f>'Exhibit U,7'!Q17</f>
        <v>1911758.4000000001</v>
      </c>
      <c r="F17" s="147"/>
      <c r="G17" s="147">
        <f>C17+E17</f>
        <v>2489209.5500000003</v>
      </c>
      <c r="H17" s="147"/>
      <c r="I17" s="147">
        <f>'Exhibit U,6'!K17+'Exhibit U,6'!M17</f>
        <v>577451.15</v>
      </c>
      <c r="J17" s="147"/>
      <c r="K17" s="147">
        <f>'Exhibit U,9'!K17+'Exhibit U,9'!M17</f>
        <v>1911758.4000000001</v>
      </c>
      <c r="L17" s="147"/>
      <c r="M17" s="147">
        <f>I17+K17</f>
        <v>2489209.5500000003</v>
      </c>
      <c r="N17" s="147"/>
      <c r="O17" s="147">
        <f>C17-I17</f>
        <v>0</v>
      </c>
      <c r="P17" s="147"/>
      <c r="Q17" s="147">
        <f>E17-K17</f>
        <v>0</v>
      </c>
      <c r="R17" s="147"/>
      <c r="S17" s="147">
        <f>G17-M17</f>
        <v>0</v>
      </c>
      <c r="U17" s="25">
        <f>A17</f>
        <v>2008</v>
      </c>
      <c r="V17" s="220">
        <f>'Exhibit U,5'!V17</f>
        <v>0</v>
      </c>
      <c r="W17" s="220"/>
      <c r="X17" s="220">
        <f>'Exhibit U,8'!V17</f>
        <v>0</v>
      </c>
      <c r="Y17" s="220"/>
      <c r="Z17" s="223">
        <f>V17+X17</f>
        <v>0</v>
      </c>
      <c r="AA17" s="61"/>
      <c r="AB17" s="123" t="e">
        <f>C17/V17</f>
        <v>#DIV/0!</v>
      </c>
      <c r="AC17" s="61"/>
      <c r="AD17" s="123" t="e">
        <f>E17/X17</f>
        <v>#DIV/0!</v>
      </c>
      <c r="AE17" s="61"/>
      <c r="AF17" s="123" t="e">
        <f>G17/Z17</f>
        <v>#DIV/0!</v>
      </c>
    </row>
    <row r="18" spans="1:32">
      <c r="A18" s="6">
        <f>A17+1</f>
        <v>2009</v>
      </c>
      <c r="C18" s="494">
        <f>'Exhibit U,4'!K18</f>
        <v>28875.5</v>
      </c>
      <c r="D18" s="494"/>
      <c r="E18" s="494">
        <f>'Exhibit U,7'!Q18</f>
        <v>2191506.25</v>
      </c>
      <c r="F18" s="494"/>
      <c r="G18" s="494">
        <f t="shared" ref="G18:G31" si="0">C18+E18</f>
        <v>2220381.75</v>
      </c>
      <c r="H18" s="494"/>
      <c r="I18" s="494">
        <f>'Exhibit U,6'!K18+'Exhibit U,6'!M18</f>
        <v>28875.5</v>
      </c>
      <c r="J18" s="494"/>
      <c r="K18" s="494">
        <f>'Exhibit U,9'!K18+'Exhibit U,9'!M18</f>
        <v>2191506.25</v>
      </c>
      <c r="L18" s="494"/>
      <c r="M18" s="494">
        <f t="shared" ref="M18:M31" si="1">I18+K18</f>
        <v>2220381.75</v>
      </c>
      <c r="N18" s="494"/>
      <c r="O18" s="494">
        <f t="shared" ref="O18:O31" si="2">C18-I18</f>
        <v>0</v>
      </c>
      <c r="P18" s="494"/>
      <c r="Q18" s="494">
        <f t="shared" ref="Q18:Q31" si="3">E18-K18</f>
        <v>0</v>
      </c>
      <c r="R18" s="494"/>
      <c r="S18" s="494">
        <f t="shared" ref="S18:S31" si="4">G18-M18</f>
        <v>0</v>
      </c>
      <c r="U18" s="25">
        <f>U17+1</f>
        <v>2009</v>
      </c>
      <c r="V18" s="172">
        <f>'Exhibit U,5'!V18</f>
        <v>0</v>
      </c>
      <c r="W18" s="61"/>
      <c r="X18" s="69">
        <f>'Exhibit U,8'!V18</f>
        <v>0</v>
      </c>
      <c r="Y18" s="61"/>
      <c r="Z18" s="137">
        <f t="shared" ref="Z18:Z31" si="5">V18+X18</f>
        <v>0</v>
      </c>
      <c r="AA18" s="61"/>
      <c r="AB18" s="123" t="e">
        <f t="shared" ref="AB18:AF31" si="6">C18/V18</f>
        <v>#DIV/0!</v>
      </c>
      <c r="AC18" s="61"/>
      <c r="AD18" s="123" t="e">
        <f t="shared" si="6"/>
        <v>#DIV/0!</v>
      </c>
      <c r="AE18" s="61"/>
      <c r="AF18" s="123" t="e">
        <f t="shared" si="6"/>
        <v>#DIV/0!</v>
      </c>
    </row>
    <row r="19" spans="1:32">
      <c r="A19" s="6">
        <f t="shared" ref="A19:A31" si="7">A18+1</f>
        <v>2010</v>
      </c>
      <c r="C19" s="494">
        <f>'Exhibit U,4'!K19</f>
        <v>1056390.7999999998</v>
      </c>
      <c r="D19" s="494"/>
      <c r="E19" s="494">
        <f>'Exhibit U,7'!Q19</f>
        <v>8479335.2699999996</v>
      </c>
      <c r="F19" s="494"/>
      <c r="G19" s="494">
        <f t="shared" si="0"/>
        <v>9535726.0700000003</v>
      </c>
      <c r="H19" s="494"/>
      <c r="I19" s="494">
        <f>'Exhibit U,6'!K19+'Exhibit U,6'!M19</f>
        <v>1056390.7999999998</v>
      </c>
      <c r="J19" s="494"/>
      <c r="K19" s="494">
        <f>'Exhibit U,9'!K19+'Exhibit U,9'!M19</f>
        <v>8479335.2699999996</v>
      </c>
      <c r="L19" s="494"/>
      <c r="M19" s="494">
        <f t="shared" si="1"/>
        <v>9535726.0700000003</v>
      </c>
      <c r="N19" s="494"/>
      <c r="O19" s="494">
        <f t="shared" si="2"/>
        <v>0</v>
      </c>
      <c r="P19" s="494"/>
      <c r="Q19" s="494">
        <f t="shared" si="3"/>
        <v>0</v>
      </c>
      <c r="R19" s="494"/>
      <c r="S19" s="494">
        <f t="shared" si="4"/>
        <v>0</v>
      </c>
      <c r="U19" s="25">
        <f t="shared" ref="U19:U31" si="8">U18+1</f>
        <v>2010</v>
      </c>
      <c r="V19" s="172">
        <f>'Exhibit U,5'!V19</f>
        <v>0</v>
      </c>
      <c r="W19" s="61"/>
      <c r="X19" s="69">
        <f>'Exhibit U,8'!V19</f>
        <v>0</v>
      </c>
      <c r="Y19" s="61"/>
      <c r="Z19" s="137">
        <f t="shared" si="5"/>
        <v>0</v>
      </c>
      <c r="AA19" s="61"/>
      <c r="AB19" s="123" t="e">
        <f t="shared" si="6"/>
        <v>#DIV/0!</v>
      </c>
      <c r="AC19" s="61"/>
      <c r="AD19" s="123" t="e">
        <f t="shared" si="6"/>
        <v>#DIV/0!</v>
      </c>
      <c r="AE19" s="61"/>
      <c r="AF19" s="123" t="e">
        <f t="shared" si="6"/>
        <v>#DIV/0!</v>
      </c>
    </row>
    <row r="20" spans="1:32">
      <c r="A20" s="6">
        <f t="shared" si="7"/>
        <v>2011</v>
      </c>
      <c r="C20" s="494">
        <f>'Exhibit U,4'!K20</f>
        <v>640869.17000000004</v>
      </c>
      <c r="D20" s="494"/>
      <c r="E20" s="494">
        <f>'Exhibit U,7'!Q20</f>
        <v>6315267.6400000006</v>
      </c>
      <c r="F20" s="494"/>
      <c r="G20" s="494">
        <f t="shared" si="0"/>
        <v>6956136.8100000005</v>
      </c>
      <c r="H20" s="494"/>
      <c r="I20" s="494">
        <f>'Exhibit U,6'!K20+'Exhibit U,6'!M20</f>
        <v>640869.17000000004</v>
      </c>
      <c r="J20" s="494"/>
      <c r="K20" s="494">
        <f>'Exhibit U,9'!K20+'Exhibit U,9'!M20</f>
        <v>6315267.6400000006</v>
      </c>
      <c r="L20" s="494"/>
      <c r="M20" s="494">
        <f t="shared" si="1"/>
        <v>6956136.8100000005</v>
      </c>
      <c r="N20" s="494"/>
      <c r="O20" s="494">
        <f t="shared" si="2"/>
        <v>0</v>
      </c>
      <c r="P20" s="494"/>
      <c r="Q20" s="494">
        <f t="shared" si="3"/>
        <v>0</v>
      </c>
      <c r="R20" s="494"/>
      <c r="S20" s="494">
        <f t="shared" si="4"/>
        <v>0</v>
      </c>
      <c r="U20" s="25">
        <f t="shared" si="8"/>
        <v>2011</v>
      </c>
      <c r="V20" s="172">
        <f>'Exhibit U,5'!V20</f>
        <v>2347564.830000001</v>
      </c>
      <c r="W20" s="61"/>
      <c r="X20" s="69">
        <f>'Exhibit U,8'!V20</f>
        <v>6435696.0700000077</v>
      </c>
      <c r="Y20" s="61"/>
      <c r="Z20" s="137">
        <f t="shared" si="5"/>
        <v>8783260.9000000097</v>
      </c>
      <c r="AA20" s="61"/>
      <c r="AB20" s="123">
        <f t="shared" si="6"/>
        <v>0.27299317224819719</v>
      </c>
      <c r="AC20" s="61"/>
      <c r="AD20" s="123">
        <f t="shared" si="6"/>
        <v>0.98128742739089492</v>
      </c>
      <c r="AE20" s="61"/>
      <c r="AF20" s="123">
        <f t="shared" si="6"/>
        <v>0.79197656647088699</v>
      </c>
    </row>
    <row r="21" spans="1:32">
      <c r="A21" s="6">
        <f t="shared" si="7"/>
        <v>2012</v>
      </c>
      <c r="C21" s="494">
        <f>'Exhibit U,4'!K21</f>
        <v>4744399.03</v>
      </c>
      <c r="D21" s="494"/>
      <c r="E21" s="494">
        <f>'Exhibit U,7'!Q21</f>
        <v>17569452.739999998</v>
      </c>
      <c r="F21" s="494"/>
      <c r="G21" s="494">
        <f t="shared" si="0"/>
        <v>22313851.77</v>
      </c>
      <c r="H21" s="494"/>
      <c r="I21" s="494">
        <f>'Exhibit U,6'!K21+'Exhibit U,6'!M21</f>
        <v>4744399.03</v>
      </c>
      <c r="J21" s="494"/>
      <c r="K21" s="494">
        <f>'Exhibit U,9'!K21+'Exhibit U,9'!M21</f>
        <v>17569452.739999998</v>
      </c>
      <c r="L21" s="494"/>
      <c r="M21" s="494">
        <f t="shared" si="1"/>
        <v>22313851.77</v>
      </c>
      <c r="N21" s="494"/>
      <c r="O21" s="494">
        <f t="shared" si="2"/>
        <v>0</v>
      </c>
      <c r="P21" s="494"/>
      <c r="Q21" s="494">
        <f t="shared" si="3"/>
        <v>0</v>
      </c>
      <c r="R21" s="494"/>
      <c r="S21" s="494">
        <f t="shared" si="4"/>
        <v>0</v>
      </c>
      <c r="U21" s="25">
        <f t="shared" si="8"/>
        <v>2012</v>
      </c>
      <c r="V21" s="172">
        <f>'Exhibit U,5'!V21</f>
        <v>2872338.1099999971</v>
      </c>
      <c r="W21" s="61"/>
      <c r="X21" s="69">
        <f>'Exhibit U,8'!V21</f>
        <v>9294169.459999999</v>
      </c>
      <c r="Y21" s="61"/>
      <c r="Z21" s="137">
        <f t="shared" si="5"/>
        <v>12166507.569999997</v>
      </c>
      <c r="AA21" s="61"/>
      <c r="AB21" s="123">
        <f t="shared" si="6"/>
        <v>1.6517550679296613</v>
      </c>
      <c r="AC21" s="61"/>
      <c r="AD21" s="123">
        <f t="shared" si="6"/>
        <v>1.8903736170956367</v>
      </c>
      <c r="AE21" s="61"/>
      <c r="AF21" s="123">
        <f t="shared" si="6"/>
        <v>1.8340391966731013</v>
      </c>
    </row>
    <row r="22" spans="1:32">
      <c r="A22" s="6">
        <f t="shared" si="7"/>
        <v>2013</v>
      </c>
      <c r="C22" s="494">
        <f>'Exhibit U,4'!K22</f>
        <v>714842.25</v>
      </c>
      <c r="D22" s="494"/>
      <c r="E22" s="494">
        <f>'Exhibit U,7'!Q22</f>
        <v>17358241.969999999</v>
      </c>
      <c r="F22" s="494"/>
      <c r="G22" s="494">
        <f t="shared" si="0"/>
        <v>18073084.219999999</v>
      </c>
      <c r="H22" s="494"/>
      <c r="I22" s="494">
        <f>'Exhibit U,6'!K22+'Exhibit U,6'!M22</f>
        <v>714842.25</v>
      </c>
      <c r="J22" s="494"/>
      <c r="K22" s="494">
        <f>'Exhibit U,9'!K22+'Exhibit U,9'!M22</f>
        <v>17358241.969999999</v>
      </c>
      <c r="L22" s="494"/>
      <c r="M22" s="494">
        <f t="shared" si="1"/>
        <v>18073084.219999999</v>
      </c>
      <c r="N22" s="494"/>
      <c r="O22" s="494">
        <f t="shared" si="2"/>
        <v>0</v>
      </c>
      <c r="P22" s="494"/>
      <c r="Q22" s="494">
        <f t="shared" si="3"/>
        <v>0</v>
      </c>
      <c r="R22" s="494"/>
      <c r="S22" s="494">
        <f t="shared" si="4"/>
        <v>0</v>
      </c>
      <c r="U22" s="25">
        <f t="shared" si="8"/>
        <v>2013</v>
      </c>
      <c r="V22" s="172">
        <f>'Exhibit U,5'!V22</f>
        <v>2483025.370000002</v>
      </c>
      <c r="W22" s="61"/>
      <c r="X22" s="69">
        <f>'Exhibit U,8'!V22</f>
        <v>10085012.299999949</v>
      </c>
      <c r="Y22" s="61"/>
      <c r="Z22" s="137">
        <f t="shared" si="5"/>
        <v>12568037.66999995</v>
      </c>
      <c r="AA22" s="61"/>
      <c r="AB22" s="123">
        <f t="shared" si="6"/>
        <v>0.28789164163876402</v>
      </c>
      <c r="AC22" s="61"/>
      <c r="AD22" s="123">
        <f t="shared" si="6"/>
        <v>1.7211919483727438</v>
      </c>
      <c r="AE22" s="61"/>
      <c r="AF22" s="123">
        <f t="shared" si="6"/>
        <v>1.4380195774827012</v>
      </c>
    </row>
    <row r="23" spans="1:32">
      <c r="A23" s="6">
        <f t="shared" si="7"/>
        <v>2014</v>
      </c>
      <c r="C23" s="494">
        <f>'Exhibit U,4'!K23</f>
        <v>3172203.93</v>
      </c>
      <c r="D23" s="494"/>
      <c r="E23" s="494">
        <f>'Exhibit U,7'!Q23</f>
        <v>21073817.018735245</v>
      </c>
      <c r="F23" s="494"/>
      <c r="G23" s="494">
        <f t="shared" si="0"/>
        <v>24246020.948735245</v>
      </c>
      <c r="H23" s="494"/>
      <c r="I23" s="494">
        <f>'Exhibit U,6'!K23+'Exhibit U,6'!M23</f>
        <v>3172203.93</v>
      </c>
      <c r="J23" s="494"/>
      <c r="K23" s="494">
        <f>'Exhibit U,9'!K23+'Exhibit U,9'!M23</f>
        <v>21041019.16</v>
      </c>
      <c r="L23" s="494"/>
      <c r="M23" s="494">
        <f t="shared" si="1"/>
        <v>24213223.09</v>
      </c>
      <c r="N23" s="494"/>
      <c r="O23" s="494">
        <f t="shared" si="2"/>
        <v>0</v>
      </c>
      <c r="P23" s="494"/>
      <c r="Q23" s="494">
        <f t="shared" si="3"/>
        <v>32797.858735244721</v>
      </c>
      <c r="R23" s="494"/>
      <c r="S23" s="494">
        <f t="shared" si="4"/>
        <v>32797.858735244721</v>
      </c>
      <c r="U23" s="25">
        <f t="shared" si="8"/>
        <v>2014</v>
      </c>
      <c r="V23" s="172">
        <f>'Exhibit U,5'!V23</f>
        <v>3591317.23</v>
      </c>
      <c r="W23" s="61"/>
      <c r="X23" s="69">
        <f>'Exhibit U,8'!V23</f>
        <v>10240662.590000011</v>
      </c>
      <c r="Y23" s="61"/>
      <c r="Z23" s="137">
        <f t="shared" si="5"/>
        <v>13831979.820000011</v>
      </c>
      <c r="AA23" s="61"/>
      <c r="AB23" s="123">
        <f t="shared" si="6"/>
        <v>0.88329816800951333</v>
      </c>
      <c r="AC23" s="61"/>
      <c r="AD23" s="123">
        <f t="shared" si="6"/>
        <v>2.0578567874420344</v>
      </c>
      <c r="AE23" s="61"/>
      <c r="AF23" s="123">
        <f t="shared" si="6"/>
        <v>1.7528959168720957</v>
      </c>
    </row>
    <row r="24" spans="1:32">
      <c r="A24" s="6">
        <f t="shared" si="7"/>
        <v>2015</v>
      </c>
      <c r="C24" s="494">
        <f>'Exhibit U,4'!K24</f>
        <v>1881397.8199999998</v>
      </c>
      <c r="D24" s="494"/>
      <c r="E24" s="494">
        <f>'Exhibit U,7'!Q24</f>
        <v>4064067.5546318418</v>
      </c>
      <c r="F24" s="494"/>
      <c r="G24" s="494">
        <f t="shared" si="0"/>
        <v>5945465.3746318417</v>
      </c>
      <c r="H24" s="494"/>
      <c r="I24" s="494">
        <f>'Exhibit U,6'!K24+'Exhibit U,6'!M24</f>
        <v>1881397.8199999998</v>
      </c>
      <c r="J24" s="494"/>
      <c r="K24" s="494">
        <f>'Exhibit U,9'!K24+'Exhibit U,9'!M24</f>
        <v>3985794.1799999997</v>
      </c>
      <c r="L24" s="494"/>
      <c r="M24" s="494">
        <f t="shared" si="1"/>
        <v>5867192</v>
      </c>
      <c r="N24" s="494"/>
      <c r="O24" s="494">
        <f t="shared" si="2"/>
        <v>0</v>
      </c>
      <c r="P24" s="494"/>
      <c r="Q24" s="494">
        <f t="shared" si="3"/>
        <v>78273.374631842133</v>
      </c>
      <c r="R24" s="494"/>
      <c r="S24" s="494">
        <f t="shared" si="4"/>
        <v>78273.374631841667</v>
      </c>
      <c r="U24" s="25">
        <f t="shared" si="8"/>
        <v>2015</v>
      </c>
      <c r="V24" s="172">
        <f>'Exhibit U,5'!V24</f>
        <v>3461301.9600000018</v>
      </c>
      <c r="W24" s="61"/>
      <c r="X24" s="69">
        <f>'Exhibit U,8'!V24</f>
        <v>9968876.8200000003</v>
      </c>
      <c r="Y24" s="61"/>
      <c r="Z24" s="137">
        <f t="shared" si="5"/>
        <v>13430178.780000001</v>
      </c>
      <c r="AA24" s="61"/>
      <c r="AB24" s="123">
        <f t="shared" si="6"/>
        <v>0.54355206270417356</v>
      </c>
      <c r="AC24" s="61"/>
      <c r="AD24" s="123">
        <f t="shared" si="6"/>
        <v>0.40767557148246936</v>
      </c>
      <c r="AE24" s="61"/>
      <c r="AF24" s="123">
        <f t="shared" si="6"/>
        <v>0.44269443259279095</v>
      </c>
    </row>
    <row r="25" spans="1:32">
      <c r="A25" s="6">
        <f t="shared" si="7"/>
        <v>2016</v>
      </c>
      <c r="C25" s="494">
        <f>'Exhibit U,4'!K25</f>
        <v>5152134.53</v>
      </c>
      <c r="D25" s="494"/>
      <c r="E25" s="494">
        <f>'Exhibit U,7'!Q25</f>
        <v>11631693.045840388</v>
      </c>
      <c r="F25" s="494"/>
      <c r="G25" s="494">
        <f t="shared" si="0"/>
        <v>16783827.575840387</v>
      </c>
      <c r="H25" s="494"/>
      <c r="I25" s="494">
        <f>'Exhibit U,6'!K25+'Exhibit U,6'!M25</f>
        <v>4756934.53</v>
      </c>
      <c r="J25" s="494"/>
      <c r="K25" s="494">
        <f>'Exhibit U,9'!K25+'Exhibit U,9'!M25</f>
        <v>9990093.5099999998</v>
      </c>
      <c r="L25" s="494"/>
      <c r="M25" s="494">
        <f t="shared" si="1"/>
        <v>14747028.039999999</v>
      </c>
      <c r="N25" s="494"/>
      <c r="O25" s="494">
        <f t="shared" si="2"/>
        <v>395200</v>
      </c>
      <c r="P25" s="494"/>
      <c r="Q25" s="494">
        <f t="shared" si="3"/>
        <v>1641599.5358403884</v>
      </c>
      <c r="R25" s="494"/>
      <c r="S25" s="494">
        <f t="shared" si="4"/>
        <v>2036799.5358403884</v>
      </c>
      <c r="U25" s="25">
        <f t="shared" si="8"/>
        <v>2016</v>
      </c>
      <c r="V25" s="172">
        <f>'Exhibit U,5'!V25</f>
        <v>3133438.399999999</v>
      </c>
      <c r="W25" s="61"/>
      <c r="X25" s="69">
        <f>'Exhibit U,8'!V25</f>
        <v>11089131.659999976</v>
      </c>
      <c r="Y25" s="61"/>
      <c r="Z25" s="137">
        <f t="shared" si="5"/>
        <v>14222570.059999974</v>
      </c>
      <c r="AA25" s="61"/>
      <c r="AB25" s="123">
        <f t="shared" si="6"/>
        <v>1.6442431196349678</v>
      </c>
      <c r="AC25" s="61"/>
      <c r="AD25" s="123">
        <f t="shared" si="6"/>
        <v>1.048927310313891</v>
      </c>
      <c r="AE25" s="61"/>
      <c r="AF25" s="123">
        <f t="shared" si="6"/>
        <v>1.1800840147058778</v>
      </c>
    </row>
    <row r="26" spans="1:32">
      <c r="A26" s="6">
        <f t="shared" si="7"/>
        <v>2017</v>
      </c>
      <c r="C26" s="494">
        <f>'Exhibit U,4'!K26</f>
        <v>305163.03999999998</v>
      </c>
      <c r="D26" s="494"/>
      <c r="E26" s="494">
        <f>'Exhibit U,7'!Q26</f>
        <v>11261564.203882288</v>
      </c>
      <c r="F26" s="494"/>
      <c r="G26" s="494">
        <f t="shared" si="0"/>
        <v>11566727.243882287</v>
      </c>
      <c r="H26" s="494"/>
      <c r="I26" s="494">
        <f>'Exhibit U,6'!K26+'Exhibit U,6'!M26</f>
        <v>305163.03999999998</v>
      </c>
      <c r="J26" s="494"/>
      <c r="K26" s="494">
        <f>'Exhibit U,9'!K26+'Exhibit U,9'!M26</f>
        <v>8166424.1099999994</v>
      </c>
      <c r="L26" s="494"/>
      <c r="M26" s="494">
        <f t="shared" si="1"/>
        <v>8471587.1499999985</v>
      </c>
      <c r="N26" s="494"/>
      <c r="O26" s="494">
        <f t="shared" si="2"/>
        <v>0</v>
      </c>
      <c r="P26" s="494"/>
      <c r="Q26" s="494">
        <f t="shared" si="3"/>
        <v>3095140.0938822888</v>
      </c>
      <c r="R26" s="494"/>
      <c r="S26" s="494">
        <f t="shared" si="4"/>
        <v>3095140.0938822888</v>
      </c>
      <c r="U26" s="25">
        <f t="shared" si="8"/>
        <v>2017</v>
      </c>
      <c r="V26" s="172">
        <f>'Exhibit U,5'!V26</f>
        <v>2328348.7299999991</v>
      </c>
      <c r="W26" s="61"/>
      <c r="X26" s="69">
        <f>'Exhibit U,8'!V26</f>
        <v>11045038.820000034</v>
      </c>
      <c r="Y26" s="61"/>
      <c r="Z26" s="137">
        <f t="shared" si="5"/>
        <v>13373387.550000032</v>
      </c>
      <c r="AA26" s="61"/>
      <c r="AB26" s="123">
        <f t="shared" si="6"/>
        <v>0.13106414690723761</v>
      </c>
      <c r="AC26" s="61"/>
      <c r="AD26" s="123">
        <f t="shared" si="6"/>
        <v>1.019603859018601</v>
      </c>
      <c r="AE26" s="61"/>
      <c r="AF26" s="123">
        <f t="shared" si="6"/>
        <v>0.86490630744356611</v>
      </c>
    </row>
    <row r="27" spans="1:32">
      <c r="A27" s="6">
        <f t="shared" si="7"/>
        <v>2018</v>
      </c>
      <c r="C27" s="494">
        <f>'Exhibit U,4'!K27</f>
        <v>898335.37</v>
      </c>
      <c r="D27" s="494"/>
      <c r="E27" s="494">
        <f>'Exhibit U,7'!Q27</f>
        <v>7006078.1762927808</v>
      </c>
      <c r="F27" s="494"/>
      <c r="G27" s="494">
        <f t="shared" si="0"/>
        <v>7904413.5462927809</v>
      </c>
      <c r="H27" s="494"/>
      <c r="I27" s="494">
        <f>'Exhibit U,6'!K27+'Exhibit U,6'!M27</f>
        <v>898335.37</v>
      </c>
      <c r="J27" s="494"/>
      <c r="K27" s="494">
        <f>'Exhibit U,9'!K27+'Exhibit U,9'!M27</f>
        <v>3244321.46</v>
      </c>
      <c r="L27" s="494"/>
      <c r="M27" s="494">
        <f t="shared" si="1"/>
        <v>4142656.83</v>
      </c>
      <c r="N27" s="494"/>
      <c r="O27" s="494">
        <f t="shared" si="2"/>
        <v>0</v>
      </c>
      <c r="P27" s="494"/>
      <c r="Q27" s="494">
        <f t="shared" si="3"/>
        <v>3761756.7162927808</v>
      </c>
      <c r="R27" s="494"/>
      <c r="S27" s="494">
        <f t="shared" si="4"/>
        <v>3761756.7162927808</v>
      </c>
      <c r="U27" s="25">
        <f t="shared" si="8"/>
        <v>2018</v>
      </c>
      <c r="V27" s="172">
        <f>'Exhibit U,5'!V27</f>
        <v>1529273.7700000005</v>
      </c>
      <c r="W27" s="61"/>
      <c r="X27" s="69">
        <f>'Exhibit U,8'!V27</f>
        <v>7536562.6900000451</v>
      </c>
      <c r="Y27" s="61"/>
      <c r="Z27" s="137">
        <f t="shared" si="5"/>
        <v>9065836.4600000456</v>
      </c>
      <c r="AA27" s="61"/>
      <c r="AB27" s="123">
        <f t="shared" si="6"/>
        <v>0.58742612841649644</v>
      </c>
      <c r="AC27" s="61"/>
      <c r="AD27" s="123">
        <f t="shared" si="6"/>
        <v>0.9296118753963073</v>
      </c>
      <c r="AE27" s="61"/>
      <c r="AF27" s="123">
        <f t="shared" si="6"/>
        <v>0.87189015389460722</v>
      </c>
    </row>
    <row r="28" spans="1:32">
      <c r="A28" s="6">
        <f t="shared" si="7"/>
        <v>2019</v>
      </c>
      <c r="C28" s="494">
        <f>'Exhibit U,4'!K28</f>
        <v>485623.37068461761</v>
      </c>
      <c r="D28" s="494"/>
      <c r="E28" s="494">
        <f>'Exhibit U,7'!Q28</f>
        <v>6712613.7859857585</v>
      </c>
      <c r="F28" s="494"/>
      <c r="G28" s="494">
        <f t="shared" si="0"/>
        <v>7198237.1566703757</v>
      </c>
      <c r="H28" s="494"/>
      <c r="I28" s="494">
        <f>'Exhibit U,6'!K28+'Exhibit U,6'!M28</f>
        <v>415683.53</v>
      </c>
      <c r="J28" s="494"/>
      <c r="K28" s="494">
        <f>'Exhibit U,9'!K28+'Exhibit U,9'!M28</f>
        <v>1608117.88</v>
      </c>
      <c r="L28" s="494"/>
      <c r="M28" s="494">
        <f t="shared" si="1"/>
        <v>2023801.41</v>
      </c>
      <c r="N28" s="494"/>
      <c r="O28" s="494">
        <f t="shared" si="2"/>
        <v>69939.840684617579</v>
      </c>
      <c r="P28" s="494"/>
      <c r="Q28" s="494">
        <f t="shared" si="3"/>
        <v>5104495.9059857586</v>
      </c>
      <c r="R28" s="494"/>
      <c r="S28" s="494">
        <f t="shared" si="4"/>
        <v>5174435.7466703756</v>
      </c>
      <c r="U28" s="25">
        <f t="shared" si="8"/>
        <v>2019</v>
      </c>
      <c r="V28" s="172">
        <f>'Exhibit U,5'!V28</f>
        <v>1256355.6100000001</v>
      </c>
      <c r="W28" s="61"/>
      <c r="X28" s="69">
        <f>'Exhibit U,8'!V28</f>
        <v>6209470.9400000097</v>
      </c>
      <c r="Y28" s="61"/>
      <c r="Z28" s="137">
        <f t="shared" si="5"/>
        <v>7465826.5500000101</v>
      </c>
      <c r="AA28" s="61"/>
      <c r="AB28" s="123">
        <f t="shared" si="6"/>
        <v>0.38653337225486467</v>
      </c>
      <c r="AC28" s="61"/>
      <c r="AD28" s="123">
        <f t="shared" si="6"/>
        <v>1.0810282954614725</v>
      </c>
      <c r="AE28" s="61"/>
      <c r="AF28" s="123">
        <f t="shared" si="6"/>
        <v>0.96415810204837482</v>
      </c>
    </row>
    <row r="29" spans="1:32">
      <c r="A29" s="6">
        <f t="shared" si="7"/>
        <v>2020</v>
      </c>
      <c r="C29" s="494">
        <f>'Exhibit U,4'!K29</f>
        <v>555909.07518209331</v>
      </c>
      <c r="D29" s="494"/>
      <c r="E29" s="494">
        <f>'Exhibit U,7'!Q29</f>
        <v>6369884.1204675306</v>
      </c>
      <c r="F29" s="494"/>
      <c r="G29" s="494">
        <f t="shared" si="0"/>
        <v>6925793.1956496239</v>
      </c>
      <c r="H29" s="494"/>
      <c r="I29" s="494">
        <f>'Exhibit U,6'!K29+'Exhibit U,6'!M29</f>
        <v>172246.52000000002</v>
      </c>
      <c r="J29" s="494"/>
      <c r="K29" s="494">
        <f>'Exhibit U,9'!K29+'Exhibit U,9'!M29</f>
        <v>899244.04</v>
      </c>
      <c r="L29" s="494"/>
      <c r="M29" s="494">
        <f t="shared" si="1"/>
        <v>1071490.5600000001</v>
      </c>
      <c r="N29" s="494"/>
      <c r="O29" s="494">
        <f t="shared" si="2"/>
        <v>383662.55518209329</v>
      </c>
      <c r="P29" s="494"/>
      <c r="Q29" s="494">
        <f t="shared" si="3"/>
        <v>5470640.0804675305</v>
      </c>
      <c r="R29" s="494"/>
      <c r="S29" s="494">
        <f t="shared" si="4"/>
        <v>5854302.6356496233</v>
      </c>
      <c r="U29" s="25">
        <f t="shared" si="8"/>
        <v>2020</v>
      </c>
      <c r="V29" s="172">
        <f>'Exhibit U,5'!V29</f>
        <v>1060963.32</v>
      </c>
      <c r="W29" s="61"/>
      <c r="X29" s="69">
        <f>'Exhibit U,8'!V29</f>
        <v>4965992.7600000119</v>
      </c>
      <c r="Y29" s="61"/>
      <c r="Z29" s="137">
        <f t="shared" si="5"/>
        <v>6026956.0800000122</v>
      </c>
      <c r="AA29" s="61"/>
      <c r="AB29" s="123">
        <f t="shared" si="6"/>
        <v>0.52396634709491485</v>
      </c>
      <c r="AC29" s="61"/>
      <c r="AD29" s="123">
        <f t="shared" si="6"/>
        <v>1.2827010485749308</v>
      </c>
      <c r="AE29" s="61"/>
      <c r="AF29" s="123">
        <f t="shared" si="6"/>
        <v>1.1491361648763847</v>
      </c>
    </row>
    <row r="30" spans="1:32">
      <c r="A30" s="6">
        <f t="shared" si="7"/>
        <v>2021</v>
      </c>
      <c r="C30" s="494">
        <f>'Exhibit U,4'!K30</f>
        <v>1205091.1091501559</v>
      </c>
      <c r="D30" s="494"/>
      <c r="E30" s="494">
        <f>'Exhibit U,7'!Q30</f>
        <v>5015175.93877168</v>
      </c>
      <c r="F30" s="494"/>
      <c r="G30" s="494">
        <f t="shared" si="0"/>
        <v>6220267.0479218364</v>
      </c>
      <c r="H30" s="494"/>
      <c r="I30" s="494">
        <f>'Exhibit U,6'!K30+'Exhibit U,6'!M30</f>
        <v>51134.19</v>
      </c>
      <c r="J30" s="494"/>
      <c r="K30" s="494">
        <f>'Exhibit U,9'!K30+'Exhibit U,9'!M30</f>
        <v>356398.98</v>
      </c>
      <c r="L30" s="494"/>
      <c r="M30" s="494">
        <f t="shared" si="1"/>
        <v>407533.17</v>
      </c>
      <c r="N30" s="494"/>
      <c r="O30" s="494">
        <f t="shared" si="2"/>
        <v>1153956.919150156</v>
      </c>
      <c r="P30" s="494"/>
      <c r="Q30" s="494">
        <f t="shared" si="3"/>
        <v>4658776.9587716796</v>
      </c>
      <c r="R30" s="494"/>
      <c r="S30" s="494">
        <f t="shared" si="4"/>
        <v>5812733.8779218365</v>
      </c>
      <c r="U30" s="25">
        <f t="shared" si="8"/>
        <v>2021</v>
      </c>
      <c r="V30" s="172">
        <f>'Exhibit U,5'!V30</f>
        <v>2177171.58</v>
      </c>
      <c r="W30" s="61"/>
      <c r="X30" s="69">
        <f>'Exhibit U,8'!V30</f>
        <v>3657900.3700000038</v>
      </c>
      <c r="Y30" s="61"/>
      <c r="Z30" s="137">
        <f t="shared" si="5"/>
        <v>5835071.9500000039</v>
      </c>
      <c r="AA30" s="61"/>
      <c r="AB30" s="123">
        <f t="shared" si="6"/>
        <v>0.55351223588457643</v>
      </c>
      <c r="AC30" s="61"/>
      <c r="AD30" s="123">
        <f t="shared" si="6"/>
        <v>1.3710531811919402</v>
      </c>
      <c r="AE30" s="61"/>
      <c r="AF30" s="123">
        <f t="shared" si="6"/>
        <v>1.0660137700481709</v>
      </c>
    </row>
    <row r="31" spans="1:32">
      <c r="A31" s="6">
        <f t="shared" si="7"/>
        <v>2022</v>
      </c>
      <c r="C31" s="494">
        <f>'Exhibit U,4'!K31</f>
        <v>1541153.4039999996</v>
      </c>
      <c r="D31" s="494"/>
      <c r="E31" s="494">
        <f>'Exhibit U,7'!Q31</f>
        <v>3621932.1370738312</v>
      </c>
      <c r="F31" s="494"/>
      <c r="G31" s="494">
        <f t="shared" si="0"/>
        <v>5163085.5410738308</v>
      </c>
      <c r="H31" s="494"/>
      <c r="I31" s="494">
        <f>'Exhibit U,6'!K31+'Exhibit U,6'!M31</f>
        <v>174500</v>
      </c>
      <c r="J31" s="494"/>
      <c r="K31" s="494">
        <f>'Exhibit U,9'!K31+'Exhibit U,9'!M31</f>
        <v>32500</v>
      </c>
      <c r="L31" s="494"/>
      <c r="M31" s="494">
        <f t="shared" si="1"/>
        <v>207000</v>
      </c>
      <c r="N31" s="494"/>
      <c r="O31" s="494">
        <f t="shared" si="2"/>
        <v>1366653.4039999996</v>
      </c>
      <c r="P31" s="494"/>
      <c r="Q31" s="494">
        <f t="shared" si="3"/>
        <v>3589432.1370738312</v>
      </c>
      <c r="R31" s="494"/>
      <c r="S31" s="494">
        <f t="shared" si="4"/>
        <v>4956085.5410738308</v>
      </c>
      <c r="U31" s="25">
        <f t="shared" si="8"/>
        <v>2022</v>
      </c>
      <c r="V31" s="172">
        <f>'Exhibit U,5'!V31</f>
        <v>2201647.7199999997</v>
      </c>
      <c r="W31" s="61"/>
      <c r="X31" s="69">
        <f>'Exhibit U,8'!V31</f>
        <v>4017772.8</v>
      </c>
      <c r="Y31" s="61"/>
      <c r="Z31" s="137">
        <f t="shared" si="5"/>
        <v>6219420.5199999996</v>
      </c>
      <c r="AA31" s="61"/>
      <c r="AB31" s="123">
        <f t="shared" si="6"/>
        <v>0.7</v>
      </c>
      <c r="AC31" s="61"/>
      <c r="AD31" s="123">
        <f t="shared" si="6"/>
        <v>0.9014775890448139</v>
      </c>
      <c r="AE31" s="61"/>
      <c r="AF31" s="123">
        <f t="shared" si="6"/>
        <v>0.83015540185307024</v>
      </c>
    </row>
    <row r="32" spans="1:32">
      <c r="A32" s="6"/>
      <c r="C32" s="200"/>
      <c r="E32" s="200"/>
      <c r="G32" s="200"/>
      <c r="H32" s="18"/>
      <c r="I32" s="200"/>
      <c r="K32" s="200"/>
      <c r="M32" s="200"/>
      <c r="N32" s="18"/>
      <c r="O32" s="200"/>
      <c r="Q32" s="200"/>
      <c r="S32" s="200"/>
      <c r="U32" s="25"/>
      <c r="V32" s="233"/>
      <c r="W32" s="61"/>
      <c r="X32" s="233"/>
      <c r="Y32" s="61"/>
      <c r="Z32" s="233"/>
      <c r="AA32" s="61"/>
      <c r="AB32" s="233"/>
      <c r="AC32" s="61"/>
      <c r="AD32" s="233"/>
      <c r="AE32" s="61"/>
      <c r="AF32" s="233"/>
    </row>
    <row r="33" spans="1:32">
      <c r="A33" s="2" t="s">
        <v>0</v>
      </c>
      <c r="C33" s="19">
        <f>SUM(C17:C32)</f>
        <v>22959839.549016863</v>
      </c>
      <c r="D33" s="19"/>
      <c r="E33" s="19">
        <f>SUM(E17:E32)</f>
        <v>130582388.25168133</v>
      </c>
      <c r="F33" s="6"/>
      <c r="G33" s="19">
        <f>SUM(G17:G32)</f>
        <v>153542227.80069819</v>
      </c>
      <c r="H33" s="19"/>
      <c r="I33" s="19">
        <f>SUM(I17:I32)</f>
        <v>19590426.830000002</v>
      </c>
      <c r="J33" s="6"/>
      <c r="K33" s="19">
        <f>SUM(K17:K32)</f>
        <v>103149475.58999999</v>
      </c>
      <c r="L33" s="19"/>
      <c r="M33" s="19">
        <f>SUM(M17:M32)</f>
        <v>122739902.42000002</v>
      </c>
      <c r="N33" s="19"/>
      <c r="O33" s="19">
        <f>SUM(O17:O32)</f>
        <v>3369412.7190168668</v>
      </c>
      <c r="P33" s="6"/>
      <c r="Q33" s="19">
        <f>SUM(Q17:Q32)</f>
        <v>27432912.661681343</v>
      </c>
      <c r="R33" s="19"/>
      <c r="S33" s="19">
        <f>SUM(S17:S32)</f>
        <v>30802325.380698204</v>
      </c>
      <c r="T33" s="6"/>
      <c r="U33" s="97" t="s">
        <v>0</v>
      </c>
      <c r="V33" s="223">
        <f>SUM(V17:V32)</f>
        <v>28442746.629999995</v>
      </c>
      <c r="W33" s="61"/>
      <c r="X33" s="223">
        <f>SUM(X17:X32)</f>
        <v>94546287.280000031</v>
      </c>
      <c r="Y33" s="61"/>
      <c r="Z33" s="223">
        <f>SUM(Z17:Z32)</f>
        <v>122989033.91000003</v>
      </c>
      <c r="AA33" s="61"/>
      <c r="AB33" s="123">
        <f>I33/V33</f>
        <v>0.68876705491364165</v>
      </c>
      <c r="AC33" s="61"/>
      <c r="AD33" s="123">
        <f>K33/X33</f>
        <v>1.0909944595129526</v>
      </c>
      <c r="AE33" s="61"/>
      <c r="AF33" s="123">
        <f>M33/Z33</f>
        <v>0.99797436013537344</v>
      </c>
    </row>
    <row r="34" spans="1:32">
      <c r="I34" s="147"/>
      <c r="K34" s="147"/>
    </row>
    <row r="35" spans="1:32" ht="16">
      <c r="A35" s="15" t="s">
        <v>118</v>
      </c>
    </row>
    <row r="36" spans="1:32">
      <c r="A36" s="6">
        <f>A17</f>
        <v>2008</v>
      </c>
      <c r="C36" s="147">
        <f>'Exhibit U,4'!K36</f>
        <v>577451.15</v>
      </c>
      <c r="D36" s="147"/>
      <c r="E36" s="147">
        <f>'Exhibit U,7'!Q36</f>
        <v>1871146.2100000002</v>
      </c>
      <c r="F36" s="147"/>
      <c r="G36" s="147">
        <f>C36+E36</f>
        <v>2448597.3600000003</v>
      </c>
      <c r="H36" s="147"/>
      <c r="I36" s="147">
        <f>'Exhibit U,6'!K36+'Exhibit U,6'!M36</f>
        <v>577451.15</v>
      </c>
      <c r="J36" s="147"/>
      <c r="K36" s="147">
        <f>'Exhibit U,9'!K36+'Exhibit U,9'!M36</f>
        <v>1871146.2100000002</v>
      </c>
      <c r="L36" s="147"/>
      <c r="M36" s="147">
        <f>I36+K36</f>
        <v>2448597.3600000003</v>
      </c>
      <c r="N36" s="147"/>
      <c r="O36" s="147">
        <f>C36-I36</f>
        <v>0</v>
      </c>
      <c r="P36" s="147"/>
      <c r="Q36" s="147">
        <f>E36-K36</f>
        <v>0</v>
      </c>
      <c r="R36" s="147"/>
      <c r="S36" s="147">
        <f>G36-M36</f>
        <v>0</v>
      </c>
    </row>
    <row r="37" spans="1:32">
      <c r="A37" s="6">
        <f>A36+1</f>
        <v>2009</v>
      </c>
      <c r="C37" s="494">
        <f>'Exhibit U,4'!K37</f>
        <v>28875.5</v>
      </c>
      <c r="D37" s="494"/>
      <c r="E37" s="494">
        <f>'Exhibit U,7'!Q37</f>
        <v>2191506.25</v>
      </c>
      <c r="F37" s="494"/>
      <c r="G37" s="494">
        <f t="shared" ref="G37:G50" si="9">C37+E37</f>
        <v>2220381.75</v>
      </c>
      <c r="H37" s="494"/>
      <c r="I37" s="494">
        <f>'Exhibit U,6'!K37+'Exhibit U,6'!M37</f>
        <v>28875.5</v>
      </c>
      <c r="J37" s="494"/>
      <c r="K37" s="494">
        <f>'Exhibit U,9'!K37+'Exhibit U,9'!M37</f>
        <v>2191506.25</v>
      </c>
      <c r="L37" s="494"/>
      <c r="M37" s="494">
        <f t="shared" ref="M37:M50" si="10">I37+K37</f>
        <v>2220381.75</v>
      </c>
      <c r="N37" s="494"/>
      <c r="O37" s="494">
        <f t="shared" ref="O37:O50" si="11">C37-I37</f>
        <v>0</v>
      </c>
      <c r="P37" s="494"/>
      <c r="Q37" s="494">
        <f t="shared" ref="Q37:Q50" si="12">E37-K37</f>
        <v>0</v>
      </c>
      <c r="R37" s="494"/>
      <c r="S37" s="494">
        <f t="shared" ref="S37:S50" si="13">G37-M37</f>
        <v>0</v>
      </c>
      <c r="U37" s="61" t="s">
        <v>531</v>
      </c>
      <c r="V37" s="61"/>
      <c r="W37" s="61"/>
      <c r="X37" s="61" t="s">
        <v>1688</v>
      </c>
      <c r="Z37" s="61" t="s">
        <v>1685</v>
      </c>
    </row>
    <row r="38" spans="1:32">
      <c r="A38" s="6">
        <f t="shared" ref="A38:A50" si="14">A37+1</f>
        <v>2010</v>
      </c>
      <c r="C38" s="494">
        <f>'Exhibit U,4'!K38</f>
        <v>1056390.7999999998</v>
      </c>
      <c r="D38" s="494"/>
      <c r="E38" s="494">
        <f>'Exhibit U,7'!Q38</f>
        <v>6627825.4199999999</v>
      </c>
      <c r="F38" s="494"/>
      <c r="G38" s="494">
        <f t="shared" si="9"/>
        <v>7684216.2199999997</v>
      </c>
      <c r="H38" s="494"/>
      <c r="I38" s="494">
        <f>'Exhibit U,6'!K38+'Exhibit U,6'!M38</f>
        <v>1056390.7999999998</v>
      </c>
      <c r="J38" s="494"/>
      <c r="K38" s="494">
        <f>'Exhibit U,9'!K38+'Exhibit U,9'!M38</f>
        <v>6627825.4199999999</v>
      </c>
      <c r="L38" s="494"/>
      <c r="M38" s="494">
        <f t="shared" si="10"/>
        <v>7684216.2199999997</v>
      </c>
      <c r="N38" s="494"/>
      <c r="O38" s="494">
        <f t="shared" si="11"/>
        <v>0</v>
      </c>
      <c r="P38" s="494"/>
      <c r="Q38" s="494">
        <f t="shared" si="12"/>
        <v>0</v>
      </c>
      <c r="R38" s="494"/>
      <c r="S38" s="494">
        <f t="shared" si="13"/>
        <v>0</v>
      </c>
      <c r="U38" s="61" t="s">
        <v>1686</v>
      </c>
      <c r="V38" s="61"/>
      <c r="W38" s="61"/>
      <c r="X38" s="69"/>
      <c r="Z38" s="69"/>
      <c r="AB38" s="69"/>
    </row>
    <row r="39" spans="1:32">
      <c r="A39" s="6">
        <f t="shared" si="14"/>
        <v>2011</v>
      </c>
      <c r="C39" s="494">
        <f>'Exhibit U,4'!K39</f>
        <v>640869.17000000004</v>
      </c>
      <c r="D39" s="494"/>
      <c r="E39" s="494">
        <f>'Exhibit U,7'!Q39</f>
        <v>6221285.9700000007</v>
      </c>
      <c r="F39" s="494"/>
      <c r="G39" s="494">
        <f t="shared" si="9"/>
        <v>6862155.1400000006</v>
      </c>
      <c r="H39" s="494"/>
      <c r="I39" s="494">
        <f>'Exhibit U,6'!K39+'Exhibit U,6'!M39</f>
        <v>640869.17000000004</v>
      </c>
      <c r="J39" s="494"/>
      <c r="K39" s="494">
        <f>'Exhibit U,9'!K39+'Exhibit U,9'!M39</f>
        <v>6221285.9700000007</v>
      </c>
      <c r="L39" s="494"/>
      <c r="M39" s="494">
        <f t="shared" si="10"/>
        <v>6862155.1400000006</v>
      </c>
      <c r="N39" s="494"/>
      <c r="O39" s="494">
        <f t="shared" si="11"/>
        <v>0</v>
      </c>
      <c r="P39" s="494"/>
      <c r="Q39" s="494">
        <f t="shared" si="12"/>
        <v>0</v>
      </c>
      <c r="R39" s="494"/>
      <c r="S39" s="494">
        <f t="shared" si="13"/>
        <v>0</v>
      </c>
      <c r="U39" s="61" t="s">
        <v>1687</v>
      </c>
      <c r="V39" s="61"/>
      <c r="W39" s="61"/>
      <c r="X39" s="69"/>
      <c r="Z39" s="69"/>
      <c r="AB39" s="69"/>
    </row>
    <row r="40" spans="1:32">
      <c r="A40" s="6">
        <f t="shared" si="14"/>
        <v>2012</v>
      </c>
      <c r="C40" s="494">
        <f>'Exhibit U,4'!K40</f>
        <v>4175261.5</v>
      </c>
      <c r="D40" s="494"/>
      <c r="E40" s="494">
        <f>'Exhibit U,7'!Q40</f>
        <v>13811692.24</v>
      </c>
      <c r="F40" s="494"/>
      <c r="G40" s="494">
        <f t="shared" si="9"/>
        <v>17986953.740000002</v>
      </c>
      <c r="H40" s="494"/>
      <c r="I40" s="494">
        <f>'Exhibit U,6'!K40+'Exhibit U,6'!M40</f>
        <v>4175261.5</v>
      </c>
      <c r="J40" s="494"/>
      <c r="K40" s="494">
        <f>'Exhibit U,9'!K40+'Exhibit U,9'!M40</f>
        <v>13811692.24</v>
      </c>
      <c r="L40" s="494"/>
      <c r="M40" s="494">
        <f t="shared" si="10"/>
        <v>17986953.740000002</v>
      </c>
      <c r="N40" s="494"/>
      <c r="O40" s="494">
        <f t="shared" si="11"/>
        <v>0</v>
      </c>
      <c r="P40" s="494"/>
      <c r="Q40" s="494">
        <f t="shared" si="12"/>
        <v>0</v>
      </c>
      <c r="R40" s="494"/>
      <c r="S40" s="494">
        <f t="shared" si="13"/>
        <v>0</v>
      </c>
    </row>
    <row r="41" spans="1:32">
      <c r="A41" s="6">
        <f t="shared" si="14"/>
        <v>2013</v>
      </c>
      <c r="C41" s="494">
        <f>'Exhibit U,4'!K41</f>
        <v>714842.25</v>
      </c>
      <c r="D41" s="494"/>
      <c r="E41" s="494">
        <f>'Exhibit U,7'!Q41</f>
        <v>14436830.419999998</v>
      </c>
      <c r="F41" s="494"/>
      <c r="G41" s="494">
        <f t="shared" si="9"/>
        <v>15151672.669999998</v>
      </c>
      <c r="H41" s="494"/>
      <c r="I41" s="494">
        <f>'Exhibit U,6'!K41+'Exhibit U,6'!M41</f>
        <v>714842.25</v>
      </c>
      <c r="J41" s="494"/>
      <c r="K41" s="494">
        <f>'Exhibit U,9'!K41+'Exhibit U,9'!M41</f>
        <v>14436830.419999998</v>
      </c>
      <c r="L41" s="494"/>
      <c r="M41" s="494">
        <f t="shared" si="10"/>
        <v>15151672.669999998</v>
      </c>
      <c r="N41" s="494"/>
      <c r="O41" s="494">
        <f t="shared" si="11"/>
        <v>0</v>
      </c>
      <c r="P41" s="494"/>
      <c r="Q41" s="494">
        <f t="shared" si="12"/>
        <v>0</v>
      </c>
      <c r="R41" s="494"/>
      <c r="S41" s="494">
        <f t="shared" si="13"/>
        <v>0</v>
      </c>
      <c r="U41" s="61" t="s">
        <v>505</v>
      </c>
      <c r="V41" s="61"/>
      <c r="W41" s="61"/>
      <c r="X41" s="61" t="s">
        <v>1688</v>
      </c>
      <c r="Z41" s="61" t="s">
        <v>1685</v>
      </c>
    </row>
    <row r="42" spans="1:32">
      <c r="A42" s="6">
        <f t="shared" si="14"/>
        <v>2014</v>
      </c>
      <c r="C42" s="494">
        <f>'Exhibit U,4'!K42</f>
        <v>2642156.08</v>
      </c>
      <c r="D42" s="494"/>
      <c r="E42" s="494">
        <f>'Exhibit U,7'!Q42</f>
        <v>16424629.659670547</v>
      </c>
      <c r="F42" s="494"/>
      <c r="G42" s="494">
        <f t="shared" si="9"/>
        <v>19066785.739670545</v>
      </c>
      <c r="H42" s="494"/>
      <c r="I42" s="494">
        <f>'Exhibit U,6'!K42+'Exhibit U,6'!M42</f>
        <v>2642156.08</v>
      </c>
      <c r="J42" s="494"/>
      <c r="K42" s="494">
        <f>'Exhibit U,9'!K42+'Exhibit U,9'!M42</f>
        <v>16400911.679999998</v>
      </c>
      <c r="L42" s="494"/>
      <c r="M42" s="494">
        <f t="shared" si="10"/>
        <v>19043067.759999998</v>
      </c>
      <c r="N42" s="494"/>
      <c r="O42" s="494">
        <f t="shared" si="11"/>
        <v>0</v>
      </c>
      <c r="P42" s="494"/>
      <c r="Q42" s="494">
        <f t="shared" si="12"/>
        <v>23717.979670548812</v>
      </c>
      <c r="R42" s="494"/>
      <c r="S42" s="494">
        <f t="shared" si="13"/>
        <v>23717.979670546949</v>
      </c>
      <c r="U42" s="61" t="s">
        <v>1686</v>
      </c>
      <c r="V42" s="61"/>
      <c r="W42" s="61"/>
      <c r="X42" s="69"/>
      <c r="Y42" s="69">
        <f>SUM(I25:I35)</f>
        <v>26364424.010000002</v>
      </c>
      <c r="AB42" s="69"/>
    </row>
    <row r="43" spans="1:32">
      <c r="A43" s="6">
        <f t="shared" si="14"/>
        <v>2015</v>
      </c>
      <c r="C43" s="494">
        <f>'Exhibit U,4'!K43</f>
        <v>1881397.8199999998</v>
      </c>
      <c r="D43" s="494"/>
      <c r="E43" s="494">
        <f>'Exhibit U,7'!Q43</f>
        <v>3610515.3318520281</v>
      </c>
      <c r="F43" s="494"/>
      <c r="G43" s="494">
        <f t="shared" si="9"/>
        <v>5491913.1518520284</v>
      </c>
      <c r="H43" s="494"/>
      <c r="I43" s="494">
        <f>'Exhibit U,6'!K43+'Exhibit U,6'!M43</f>
        <v>1881397.8199999998</v>
      </c>
      <c r="J43" s="494"/>
      <c r="K43" s="494">
        <f>'Exhibit U,9'!K43+'Exhibit U,9'!M43</f>
        <v>3546232.48</v>
      </c>
      <c r="L43" s="494"/>
      <c r="M43" s="494">
        <f t="shared" si="10"/>
        <v>5427630.2999999998</v>
      </c>
      <c r="N43" s="494"/>
      <c r="O43" s="494">
        <f t="shared" si="11"/>
        <v>0</v>
      </c>
      <c r="P43" s="494"/>
      <c r="Q43" s="494">
        <f t="shared" si="12"/>
        <v>64282.851852028165</v>
      </c>
      <c r="R43" s="494"/>
      <c r="S43" s="494">
        <f t="shared" si="13"/>
        <v>64282.851852028631</v>
      </c>
      <c r="U43" s="61" t="s">
        <v>1687</v>
      </c>
      <c r="V43" s="61"/>
      <c r="W43" s="61"/>
      <c r="X43" s="69"/>
      <c r="Y43" s="69">
        <f>SUM(C25:C35)</f>
        <v>33103249.448033728</v>
      </c>
      <c r="AB43" s="69"/>
    </row>
    <row r="44" spans="1:32">
      <c r="A44" s="6">
        <f t="shared" si="14"/>
        <v>2016</v>
      </c>
      <c r="C44" s="494">
        <f>'Exhibit U,4'!K44</f>
        <v>2097568.7800000003</v>
      </c>
      <c r="D44" s="494"/>
      <c r="E44" s="494">
        <f>'Exhibit U,7'!Q44</f>
        <v>8608263.2542770319</v>
      </c>
      <c r="F44" s="494"/>
      <c r="G44" s="494">
        <f t="shared" si="9"/>
        <v>10705832.034277033</v>
      </c>
      <c r="H44" s="494"/>
      <c r="I44" s="494">
        <f>'Exhibit U,6'!K44+'Exhibit U,6'!M44</f>
        <v>1702368.7800000003</v>
      </c>
      <c r="J44" s="494"/>
      <c r="K44" s="494">
        <f>'Exhibit U,9'!K44+'Exhibit U,9'!M44</f>
        <v>7679534.25</v>
      </c>
      <c r="L44" s="494"/>
      <c r="M44" s="494">
        <f t="shared" si="10"/>
        <v>9381903.0300000012</v>
      </c>
      <c r="N44" s="494"/>
      <c r="O44" s="494">
        <f t="shared" si="11"/>
        <v>395200</v>
      </c>
      <c r="P44" s="494"/>
      <c r="Q44" s="494">
        <f t="shared" si="12"/>
        <v>928729.00427703187</v>
      </c>
      <c r="R44" s="494"/>
      <c r="S44" s="494">
        <f t="shared" si="13"/>
        <v>1323929.0042770319</v>
      </c>
    </row>
    <row r="45" spans="1:32">
      <c r="A45" s="6">
        <f t="shared" si="14"/>
        <v>2017</v>
      </c>
      <c r="C45" s="494">
        <f>'Exhibit U,4'!K45</f>
        <v>305163.03999999998</v>
      </c>
      <c r="D45" s="494"/>
      <c r="E45" s="494">
        <f>'Exhibit U,7'!Q45</f>
        <v>8555253.1997112818</v>
      </c>
      <c r="F45" s="494"/>
      <c r="G45" s="494">
        <f t="shared" si="9"/>
        <v>8860416.2397112809</v>
      </c>
      <c r="H45" s="494"/>
      <c r="I45" s="494">
        <f>'Exhibit U,6'!K45+'Exhibit U,6'!M45</f>
        <v>305163.03999999998</v>
      </c>
      <c r="J45" s="494"/>
      <c r="K45" s="494">
        <f>'Exhibit U,9'!K45+'Exhibit U,9'!M45</f>
        <v>5684509.7400000002</v>
      </c>
      <c r="L45" s="494"/>
      <c r="M45" s="494">
        <f t="shared" si="10"/>
        <v>5989672.7800000003</v>
      </c>
      <c r="N45" s="494"/>
      <c r="O45" s="494">
        <f t="shared" si="11"/>
        <v>0</v>
      </c>
      <c r="P45" s="494"/>
      <c r="Q45" s="494">
        <f t="shared" si="12"/>
        <v>2870743.4597112816</v>
      </c>
      <c r="R45" s="494"/>
      <c r="S45" s="494">
        <f t="shared" si="13"/>
        <v>2870743.4597112807</v>
      </c>
    </row>
    <row r="46" spans="1:32">
      <c r="A46" s="6">
        <f t="shared" si="14"/>
        <v>2018</v>
      </c>
      <c r="C46" s="494">
        <f>'Exhibit U,4'!K46</f>
        <v>898335.37</v>
      </c>
      <c r="D46" s="494"/>
      <c r="E46" s="494">
        <f>'Exhibit U,7'!Q46</f>
        <v>6273734.8345578294</v>
      </c>
      <c r="F46" s="494"/>
      <c r="G46" s="494">
        <f t="shared" si="9"/>
        <v>7172070.2045578295</v>
      </c>
      <c r="H46" s="494"/>
      <c r="I46" s="494">
        <f>'Exhibit U,6'!K46+'Exhibit U,6'!M46</f>
        <v>898335.37</v>
      </c>
      <c r="J46" s="494"/>
      <c r="K46" s="494">
        <f>'Exhibit U,9'!K46+'Exhibit U,9'!M46</f>
        <v>3244321.46</v>
      </c>
      <c r="L46" s="494"/>
      <c r="M46" s="494">
        <f t="shared" si="10"/>
        <v>4142656.83</v>
      </c>
      <c r="N46" s="494"/>
      <c r="O46" s="494">
        <f t="shared" si="11"/>
        <v>0</v>
      </c>
      <c r="P46" s="494"/>
      <c r="Q46" s="494">
        <f t="shared" si="12"/>
        <v>3029413.3745578295</v>
      </c>
      <c r="R46" s="494"/>
      <c r="S46" s="494">
        <f t="shared" si="13"/>
        <v>3029413.3745578295</v>
      </c>
    </row>
    <row r="47" spans="1:32">
      <c r="A47" s="6">
        <f t="shared" si="14"/>
        <v>2019</v>
      </c>
      <c r="C47" s="494">
        <f>'Exhibit U,4'!K47</f>
        <v>443585.02751689998</v>
      </c>
      <c r="D47" s="494"/>
      <c r="E47" s="494">
        <f>'Exhibit U,7'!Q47</f>
        <v>4949533.3278978486</v>
      </c>
      <c r="F47" s="494"/>
      <c r="G47" s="494">
        <f t="shared" si="9"/>
        <v>5393118.3554147482</v>
      </c>
      <c r="H47" s="494"/>
      <c r="I47" s="494">
        <f>'Exhibit U,6'!K47+'Exhibit U,6'!M47</f>
        <v>415683.53</v>
      </c>
      <c r="J47" s="494"/>
      <c r="K47" s="494">
        <f>'Exhibit U,9'!K47+'Exhibit U,9'!M47</f>
        <v>1608117.88</v>
      </c>
      <c r="L47" s="494"/>
      <c r="M47" s="494">
        <f t="shared" si="10"/>
        <v>2023801.41</v>
      </c>
      <c r="N47" s="494"/>
      <c r="O47" s="494">
        <f t="shared" si="11"/>
        <v>27901.497516899952</v>
      </c>
      <c r="P47" s="494"/>
      <c r="Q47" s="494">
        <f t="shared" si="12"/>
        <v>3341415.4478978487</v>
      </c>
      <c r="R47" s="494"/>
      <c r="S47" s="494">
        <f t="shared" si="13"/>
        <v>3369316.945414748</v>
      </c>
    </row>
    <row r="48" spans="1:32">
      <c r="A48" s="6">
        <f t="shared" si="14"/>
        <v>2020</v>
      </c>
      <c r="C48" s="494">
        <f>'Exhibit U,4'!K48</f>
        <v>328697.36398441909</v>
      </c>
      <c r="D48" s="494"/>
      <c r="E48" s="494">
        <f>'Exhibit U,7'!Q48</f>
        <v>4946139.9316030554</v>
      </c>
      <c r="F48" s="494"/>
      <c r="G48" s="494">
        <f t="shared" si="9"/>
        <v>5274837.2955874745</v>
      </c>
      <c r="H48" s="494"/>
      <c r="I48" s="494">
        <f>'Exhibit U,6'!K48+'Exhibit U,6'!M48</f>
        <v>172246.52000000002</v>
      </c>
      <c r="J48" s="494"/>
      <c r="K48" s="494">
        <f>'Exhibit U,9'!K48+'Exhibit U,9'!M48</f>
        <v>899244.04</v>
      </c>
      <c r="L48" s="494"/>
      <c r="M48" s="494">
        <f t="shared" si="10"/>
        <v>1071490.5600000001</v>
      </c>
      <c r="N48" s="494"/>
      <c r="O48" s="494">
        <f t="shared" si="11"/>
        <v>156450.84398441907</v>
      </c>
      <c r="P48" s="494"/>
      <c r="Q48" s="494">
        <f t="shared" si="12"/>
        <v>4046895.8916030554</v>
      </c>
      <c r="R48" s="494"/>
      <c r="S48" s="494">
        <f t="shared" si="13"/>
        <v>4203346.735587474</v>
      </c>
    </row>
    <row r="49" spans="1:19">
      <c r="A49" s="6">
        <f t="shared" si="14"/>
        <v>2021</v>
      </c>
      <c r="C49" s="494">
        <f>'Exhibit U,4'!K49</f>
        <v>671037.38841891964</v>
      </c>
      <c r="D49" s="494"/>
      <c r="E49" s="494">
        <f>'Exhibit U,7'!Q49</f>
        <v>4047614.0804731995</v>
      </c>
      <c r="F49" s="494"/>
      <c r="G49" s="494">
        <f t="shared" si="9"/>
        <v>4718651.4688921189</v>
      </c>
      <c r="H49" s="494"/>
      <c r="I49" s="494">
        <f>'Exhibit U,6'!K49+'Exhibit U,6'!M49</f>
        <v>51134.19</v>
      </c>
      <c r="J49" s="494"/>
      <c r="K49" s="494">
        <f>'Exhibit U,9'!K49+'Exhibit U,9'!M49</f>
        <v>356398.98</v>
      </c>
      <c r="L49" s="494"/>
      <c r="M49" s="494">
        <f t="shared" si="10"/>
        <v>407533.17</v>
      </c>
      <c r="N49" s="494"/>
      <c r="O49" s="494">
        <f t="shared" si="11"/>
        <v>619903.1984189197</v>
      </c>
      <c r="P49" s="494"/>
      <c r="Q49" s="494">
        <f t="shared" si="12"/>
        <v>3691215.1004731995</v>
      </c>
      <c r="R49" s="494"/>
      <c r="S49" s="494">
        <f t="shared" si="13"/>
        <v>4311118.298892119</v>
      </c>
    </row>
    <row r="50" spans="1:19">
      <c r="A50" s="6">
        <f t="shared" si="14"/>
        <v>2022</v>
      </c>
      <c r="C50" s="494">
        <f>'Exhibit U,4'!K50</f>
        <v>1315092.6956908247</v>
      </c>
      <c r="D50" s="494"/>
      <c r="E50" s="494">
        <f>'Exhibit U,7'!Q50</f>
        <v>3038384.4169053682</v>
      </c>
      <c r="F50" s="494"/>
      <c r="G50" s="494">
        <f t="shared" si="9"/>
        <v>4353477.1125961933</v>
      </c>
      <c r="H50" s="494"/>
      <c r="I50" s="494">
        <f>'Exhibit U,6'!K50+'Exhibit U,6'!M50</f>
        <v>174500</v>
      </c>
      <c r="J50" s="494"/>
      <c r="K50" s="494">
        <f>'Exhibit U,9'!K50+'Exhibit U,9'!M50</f>
        <v>32500</v>
      </c>
      <c r="L50" s="494"/>
      <c r="M50" s="494">
        <f t="shared" si="10"/>
        <v>207000</v>
      </c>
      <c r="N50" s="494"/>
      <c r="O50" s="494">
        <f t="shared" si="11"/>
        <v>1140592.6956908247</v>
      </c>
      <c r="P50" s="494"/>
      <c r="Q50" s="494">
        <f t="shared" si="12"/>
        <v>3005884.4169053682</v>
      </c>
      <c r="R50" s="494"/>
      <c r="S50" s="494">
        <f t="shared" si="13"/>
        <v>4146477.1125961933</v>
      </c>
    </row>
    <row r="51" spans="1:19">
      <c r="A51" s="6"/>
      <c r="C51" s="200"/>
      <c r="E51" s="200"/>
      <c r="G51" s="200"/>
      <c r="H51" s="18"/>
      <c r="I51" s="200"/>
      <c r="K51" s="200"/>
      <c r="M51" s="200"/>
      <c r="N51" s="18"/>
      <c r="O51" s="200"/>
      <c r="Q51" s="200"/>
      <c r="S51" s="200"/>
    </row>
    <row r="52" spans="1:19">
      <c r="A52" s="2" t="s">
        <v>0</v>
      </c>
      <c r="C52" s="19">
        <f>SUM(C36:C51)</f>
        <v>17776723.935611062</v>
      </c>
      <c r="D52" s="19"/>
      <c r="E52" s="19">
        <f>SUM(E36:E51)</f>
        <v>105614354.54694819</v>
      </c>
      <c r="F52" s="6"/>
      <c r="G52" s="19">
        <f>SUM(G36:G51)</f>
        <v>123391078.48255926</v>
      </c>
      <c r="H52" s="19"/>
      <c r="I52" s="19">
        <f>SUM(I36:I51)</f>
        <v>15436675.699999997</v>
      </c>
      <c r="J52" s="6"/>
      <c r="K52" s="19">
        <f>SUM(K36:K51)</f>
        <v>84612057.019999996</v>
      </c>
      <c r="L52" s="19"/>
      <c r="M52" s="19">
        <f>SUM(M36:M51)</f>
        <v>100048732.71999998</v>
      </c>
      <c r="N52" s="19"/>
      <c r="O52" s="19">
        <f>SUM(O36:O51)</f>
        <v>2340048.2356110634</v>
      </c>
      <c r="P52" s="6"/>
      <c r="Q52" s="19">
        <f>SUM(Q36:Q51)</f>
        <v>21002297.526948195</v>
      </c>
      <c r="R52" s="19"/>
      <c r="S52" s="19">
        <f>SUM(S36:S51)</f>
        <v>23342345.76255925</v>
      </c>
    </row>
    <row r="53" spans="1:19">
      <c r="F53" s="61"/>
      <c r="G53" s="61" t="s">
        <v>1601</v>
      </c>
      <c r="H53" s="61"/>
      <c r="I53" s="157">
        <v>15380096.539999997</v>
      </c>
      <c r="J53" s="61"/>
      <c r="K53" s="157">
        <v>86609673.439999998</v>
      </c>
    </row>
    <row r="54" spans="1:19" ht="16">
      <c r="A54" s="15" t="s">
        <v>85</v>
      </c>
    </row>
    <row r="55" spans="1:19">
      <c r="A55" s="6">
        <f>A36</f>
        <v>2008</v>
      </c>
      <c r="C55" s="147">
        <f>C17-C36</f>
        <v>0</v>
      </c>
      <c r="D55" s="147"/>
      <c r="E55" s="147">
        <f>E17-E36</f>
        <v>40612.189999999944</v>
      </c>
      <c r="F55" s="147"/>
      <c r="G55" s="147">
        <f t="shared" ref="G55:G69" si="15">G17-G36</f>
        <v>40612.189999999944</v>
      </c>
      <c r="H55" s="147"/>
      <c r="I55" s="147">
        <f t="shared" ref="I55:I69" si="16">I17-I36</f>
        <v>0</v>
      </c>
      <c r="J55" s="147"/>
      <c r="K55" s="147">
        <f t="shared" ref="K55:K69" si="17">K17-K36</f>
        <v>40612.189999999944</v>
      </c>
      <c r="L55" s="147"/>
      <c r="M55" s="147">
        <f t="shared" ref="M55:M69" si="18">M17-M36</f>
        <v>40612.189999999944</v>
      </c>
      <c r="N55" s="147"/>
      <c r="O55" s="147">
        <f t="shared" ref="O55:O69" si="19">O17-O36</f>
        <v>0</v>
      </c>
      <c r="P55" s="147"/>
      <c r="Q55" s="147">
        <f>Q17-Q36</f>
        <v>0</v>
      </c>
      <c r="R55" s="147"/>
      <c r="S55" s="147">
        <f>S17-S36</f>
        <v>0</v>
      </c>
    </row>
    <row r="56" spans="1:19">
      <c r="A56" s="6">
        <f>A37</f>
        <v>2009</v>
      </c>
      <c r="C56" s="494">
        <f t="shared" ref="C56:E69" si="20">C18-C37</f>
        <v>0</v>
      </c>
      <c r="D56" s="187"/>
      <c r="E56" s="494">
        <f t="shared" si="20"/>
        <v>0</v>
      </c>
      <c r="F56" s="187"/>
      <c r="G56" s="494">
        <f t="shared" si="15"/>
        <v>0</v>
      </c>
      <c r="H56" s="187"/>
      <c r="I56" s="494">
        <f t="shared" si="16"/>
        <v>0</v>
      </c>
      <c r="J56" s="187"/>
      <c r="K56" s="494">
        <f t="shared" si="17"/>
        <v>0</v>
      </c>
      <c r="L56" s="187"/>
      <c r="M56" s="494">
        <f t="shared" si="18"/>
        <v>0</v>
      </c>
      <c r="N56" s="187"/>
      <c r="O56" s="494">
        <f t="shared" si="19"/>
        <v>0</v>
      </c>
      <c r="P56" s="187"/>
      <c r="Q56" s="494">
        <f t="shared" ref="Q56:S69" si="21">Q18-Q37</f>
        <v>0</v>
      </c>
      <c r="R56" s="187"/>
      <c r="S56" s="494">
        <f t="shared" si="21"/>
        <v>0</v>
      </c>
    </row>
    <row r="57" spans="1:19">
      <c r="A57" s="6">
        <f t="shared" ref="A57:A69" si="22">A38</f>
        <v>2010</v>
      </c>
      <c r="C57" s="494">
        <f t="shared" si="20"/>
        <v>0</v>
      </c>
      <c r="D57" s="187"/>
      <c r="E57" s="494">
        <f t="shared" si="20"/>
        <v>1851509.8499999996</v>
      </c>
      <c r="F57" s="187"/>
      <c r="G57" s="494">
        <f t="shared" si="15"/>
        <v>1851509.8500000006</v>
      </c>
      <c r="H57" s="187"/>
      <c r="I57" s="494">
        <f t="shared" si="16"/>
        <v>0</v>
      </c>
      <c r="J57" s="187"/>
      <c r="K57" s="494">
        <f t="shared" si="17"/>
        <v>1851509.8499999996</v>
      </c>
      <c r="L57" s="187"/>
      <c r="M57" s="494">
        <f t="shared" si="18"/>
        <v>1851509.8500000006</v>
      </c>
      <c r="N57" s="187"/>
      <c r="O57" s="494">
        <f t="shared" si="19"/>
        <v>0</v>
      </c>
      <c r="P57" s="187"/>
      <c r="Q57" s="494">
        <f t="shared" si="21"/>
        <v>0</v>
      </c>
      <c r="R57" s="187"/>
      <c r="S57" s="494">
        <f t="shared" si="21"/>
        <v>0</v>
      </c>
    </row>
    <row r="58" spans="1:19">
      <c r="A58" s="6">
        <f t="shared" si="22"/>
        <v>2011</v>
      </c>
      <c r="C58" s="494">
        <f t="shared" si="20"/>
        <v>0</v>
      </c>
      <c r="D58" s="187"/>
      <c r="E58" s="494">
        <f t="shared" si="20"/>
        <v>93981.669999999925</v>
      </c>
      <c r="F58" s="187"/>
      <c r="G58" s="494">
        <f t="shared" si="15"/>
        <v>93981.669999999925</v>
      </c>
      <c r="H58" s="187"/>
      <c r="I58" s="494">
        <f t="shared" si="16"/>
        <v>0</v>
      </c>
      <c r="J58" s="187"/>
      <c r="K58" s="494">
        <f t="shared" si="17"/>
        <v>93981.669999999925</v>
      </c>
      <c r="L58" s="187"/>
      <c r="M58" s="494">
        <f t="shared" si="18"/>
        <v>93981.669999999925</v>
      </c>
      <c r="N58" s="187"/>
      <c r="O58" s="494">
        <f t="shared" si="19"/>
        <v>0</v>
      </c>
      <c r="P58" s="187"/>
      <c r="Q58" s="494">
        <f t="shared" si="21"/>
        <v>0</v>
      </c>
      <c r="R58" s="187"/>
      <c r="S58" s="494">
        <f t="shared" si="21"/>
        <v>0</v>
      </c>
    </row>
    <row r="59" spans="1:19">
      <c r="A59" s="6">
        <f t="shared" si="22"/>
        <v>2012</v>
      </c>
      <c r="C59" s="494">
        <f t="shared" si="20"/>
        <v>569137.53000000026</v>
      </c>
      <c r="D59" s="187"/>
      <c r="E59" s="494">
        <f t="shared" si="20"/>
        <v>3757760.4999999981</v>
      </c>
      <c r="F59" s="187"/>
      <c r="G59" s="494">
        <f t="shared" si="15"/>
        <v>4326898.0299999975</v>
      </c>
      <c r="H59" s="187"/>
      <c r="I59" s="494">
        <f t="shared" si="16"/>
        <v>569137.53000000026</v>
      </c>
      <c r="J59" s="187"/>
      <c r="K59" s="494">
        <f t="shared" si="17"/>
        <v>3757760.4999999981</v>
      </c>
      <c r="L59" s="187"/>
      <c r="M59" s="494">
        <f t="shared" si="18"/>
        <v>4326898.0299999975</v>
      </c>
      <c r="N59" s="187"/>
      <c r="O59" s="494">
        <f t="shared" si="19"/>
        <v>0</v>
      </c>
      <c r="P59" s="187"/>
      <c r="Q59" s="494">
        <f t="shared" si="21"/>
        <v>0</v>
      </c>
      <c r="R59" s="187"/>
      <c r="S59" s="494">
        <f t="shared" si="21"/>
        <v>0</v>
      </c>
    </row>
    <row r="60" spans="1:19">
      <c r="A60" s="6">
        <f t="shared" si="22"/>
        <v>2013</v>
      </c>
      <c r="C60" s="494">
        <f t="shared" si="20"/>
        <v>0</v>
      </c>
      <c r="D60" s="187"/>
      <c r="E60" s="494">
        <f t="shared" si="20"/>
        <v>2921411.5500000007</v>
      </c>
      <c r="F60" s="187"/>
      <c r="G60" s="494">
        <f t="shared" si="15"/>
        <v>2921411.5500000007</v>
      </c>
      <c r="H60" s="187"/>
      <c r="I60" s="494">
        <f t="shared" si="16"/>
        <v>0</v>
      </c>
      <c r="J60" s="187"/>
      <c r="K60" s="494">
        <f t="shared" si="17"/>
        <v>2921411.5500000007</v>
      </c>
      <c r="L60" s="187"/>
      <c r="M60" s="494">
        <f t="shared" si="18"/>
        <v>2921411.5500000007</v>
      </c>
      <c r="N60" s="187"/>
      <c r="O60" s="494">
        <f t="shared" si="19"/>
        <v>0</v>
      </c>
      <c r="P60" s="187"/>
      <c r="Q60" s="494">
        <f t="shared" si="21"/>
        <v>0</v>
      </c>
      <c r="R60" s="187"/>
      <c r="S60" s="494">
        <f t="shared" si="21"/>
        <v>0</v>
      </c>
    </row>
    <row r="61" spans="1:19">
      <c r="A61" s="6">
        <f t="shared" si="22"/>
        <v>2014</v>
      </c>
      <c r="C61" s="494">
        <f t="shared" si="20"/>
        <v>530047.85000000009</v>
      </c>
      <c r="D61" s="187"/>
      <c r="E61" s="494">
        <f t="shared" si="20"/>
        <v>4649187.3590646982</v>
      </c>
      <c r="F61" s="187"/>
      <c r="G61" s="494">
        <f t="shared" si="15"/>
        <v>5179235.2090646997</v>
      </c>
      <c r="H61" s="187"/>
      <c r="I61" s="494">
        <f t="shared" si="16"/>
        <v>530047.85000000009</v>
      </c>
      <c r="J61" s="187"/>
      <c r="K61" s="494">
        <f t="shared" si="17"/>
        <v>4640107.4800000023</v>
      </c>
      <c r="L61" s="187"/>
      <c r="M61" s="494">
        <f t="shared" si="18"/>
        <v>5170155.3300000019</v>
      </c>
      <c r="N61" s="187"/>
      <c r="O61" s="494">
        <f t="shared" si="19"/>
        <v>0</v>
      </c>
      <c r="P61" s="187"/>
      <c r="Q61" s="494">
        <f t="shared" si="21"/>
        <v>9079.8790646959096</v>
      </c>
      <c r="R61" s="187"/>
      <c r="S61" s="494">
        <f t="shared" si="21"/>
        <v>9079.8790646977723</v>
      </c>
    </row>
    <row r="62" spans="1:19">
      <c r="A62" s="6">
        <f t="shared" si="22"/>
        <v>2015</v>
      </c>
      <c r="C62" s="494">
        <f t="shared" si="20"/>
        <v>0</v>
      </c>
      <c r="D62" s="187"/>
      <c r="E62" s="494">
        <f t="shared" si="20"/>
        <v>453552.22277981369</v>
      </c>
      <c r="F62" s="187"/>
      <c r="G62" s="494">
        <f t="shared" si="15"/>
        <v>453552.22277981322</v>
      </c>
      <c r="H62" s="187"/>
      <c r="I62" s="494">
        <f t="shared" si="16"/>
        <v>0</v>
      </c>
      <c r="J62" s="187"/>
      <c r="K62" s="494">
        <f t="shared" si="17"/>
        <v>439561.69999999972</v>
      </c>
      <c r="L62" s="187"/>
      <c r="M62" s="494">
        <f t="shared" si="18"/>
        <v>439561.70000000019</v>
      </c>
      <c r="N62" s="187"/>
      <c r="O62" s="494">
        <f t="shared" si="19"/>
        <v>0</v>
      </c>
      <c r="P62" s="187"/>
      <c r="Q62" s="494">
        <f t="shared" si="21"/>
        <v>13990.522779813968</v>
      </c>
      <c r="R62" s="187"/>
      <c r="S62" s="494">
        <f t="shared" si="21"/>
        <v>13990.522779813036</v>
      </c>
    </row>
    <row r="63" spans="1:19">
      <c r="A63" s="6">
        <f t="shared" si="22"/>
        <v>2016</v>
      </c>
      <c r="C63" s="494">
        <f t="shared" si="20"/>
        <v>3054565.75</v>
      </c>
      <c r="D63" s="187"/>
      <c r="E63" s="494">
        <f t="shared" si="20"/>
        <v>3023429.7915633563</v>
      </c>
      <c r="F63" s="187"/>
      <c r="G63" s="494">
        <f t="shared" si="15"/>
        <v>6077995.5415633544</v>
      </c>
      <c r="H63" s="187"/>
      <c r="I63" s="494">
        <f t="shared" si="16"/>
        <v>3054565.75</v>
      </c>
      <c r="J63" s="187"/>
      <c r="K63" s="494">
        <f t="shared" si="17"/>
        <v>2310559.2599999998</v>
      </c>
      <c r="L63" s="187"/>
      <c r="M63" s="494">
        <f t="shared" si="18"/>
        <v>5365125.0099999979</v>
      </c>
      <c r="N63" s="187"/>
      <c r="O63" s="494">
        <f t="shared" si="19"/>
        <v>0</v>
      </c>
      <c r="P63" s="187"/>
      <c r="Q63" s="494">
        <f t="shared" si="21"/>
        <v>712870.53156335652</v>
      </c>
      <c r="R63" s="187"/>
      <c r="S63" s="494">
        <f t="shared" si="21"/>
        <v>712870.53156335652</v>
      </c>
    </row>
    <row r="64" spans="1:19">
      <c r="A64" s="6">
        <f t="shared" si="22"/>
        <v>2017</v>
      </c>
      <c r="C64" s="494">
        <f t="shared" si="20"/>
        <v>0</v>
      </c>
      <c r="D64" s="187"/>
      <c r="E64" s="494">
        <f t="shared" si="20"/>
        <v>2706311.0041710064</v>
      </c>
      <c r="F64" s="187"/>
      <c r="G64" s="494">
        <f t="shared" si="15"/>
        <v>2706311.0041710064</v>
      </c>
      <c r="H64" s="187"/>
      <c r="I64" s="494">
        <f t="shared" si="16"/>
        <v>0</v>
      </c>
      <c r="J64" s="187"/>
      <c r="K64" s="494">
        <f t="shared" si="17"/>
        <v>2481914.3699999992</v>
      </c>
      <c r="L64" s="187"/>
      <c r="M64" s="494">
        <f t="shared" si="18"/>
        <v>2481914.3699999982</v>
      </c>
      <c r="N64" s="187"/>
      <c r="O64" s="494">
        <f t="shared" si="19"/>
        <v>0</v>
      </c>
      <c r="P64" s="187"/>
      <c r="Q64" s="494">
        <f t="shared" si="21"/>
        <v>224396.6341710072</v>
      </c>
      <c r="R64" s="187"/>
      <c r="S64" s="494">
        <f t="shared" si="21"/>
        <v>224396.63417100813</v>
      </c>
    </row>
    <row r="65" spans="1:19">
      <c r="A65" s="6">
        <f t="shared" si="22"/>
        <v>2018</v>
      </c>
      <c r="C65" s="494">
        <f t="shared" si="20"/>
        <v>0</v>
      </c>
      <c r="D65" s="187"/>
      <c r="E65" s="494">
        <f t="shared" si="20"/>
        <v>732343.34173495136</v>
      </c>
      <c r="F65" s="187"/>
      <c r="G65" s="494">
        <f t="shared" si="15"/>
        <v>732343.34173495136</v>
      </c>
      <c r="H65" s="187"/>
      <c r="I65" s="494">
        <f t="shared" si="16"/>
        <v>0</v>
      </c>
      <c r="J65" s="187"/>
      <c r="K65" s="494">
        <f t="shared" si="17"/>
        <v>0</v>
      </c>
      <c r="L65" s="187"/>
      <c r="M65" s="494">
        <f t="shared" si="18"/>
        <v>0</v>
      </c>
      <c r="N65" s="187"/>
      <c r="O65" s="494">
        <f t="shared" si="19"/>
        <v>0</v>
      </c>
      <c r="P65" s="187"/>
      <c r="Q65" s="494">
        <f t="shared" si="21"/>
        <v>732343.34173495136</v>
      </c>
      <c r="R65" s="187"/>
      <c r="S65" s="494">
        <f t="shared" si="21"/>
        <v>732343.34173495136</v>
      </c>
    </row>
    <row r="66" spans="1:19">
      <c r="A66" s="6">
        <f t="shared" si="22"/>
        <v>2019</v>
      </c>
      <c r="C66" s="494">
        <f t="shared" si="20"/>
        <v>42038.343167717627</v>
      </c>
      <c r="D66" s="187"/>
      <c r="E66" s="494">
        <f t="shared" si="20"/>
        <v>1763080.45808791</v>
      </c>
      <c r="F66" s="187"/>
      <c r="G66" s="494">
        <f t="shared" si="15"/>
        <v>1805118.8012556275</v>
      </c>
      <c r="H66" s="187"/>
      <c r="I66" s="494">
        <f t="shared" si="16"/>
        <v>0</v>
      </c>
      <c r="J66" s="187"/>
      <c r="K66" s="494">
        <f t="shared" si="17"/>
        <v>0</v>
      </c>
      <c r="L66" s="187"/>
      <c r="M66" s="494">
        <f t="shared" si="18"/>
        <v>0</v>
      </c>
      <c r="N66" s="187"/>
      <c r="O66" s="494">
        <f t="shared" si="19"/>
        <v>42038.343167717627</v>
      </c>
      <c r="P66" s="187"/>
      <c r="Q66" s="494">
        <f t="shared" si="21"/>
        <v>1763080.45808791</v>
      </c>
      <c r="R66" s="187"/>
      <c r="S66" s="494">
        <f t="shared" si="21"/>
        <v>1805118.8012556275</v>
      </c>
    </row>
    <row r="67" spans="1:19">
      <c r="A67" s="6">
        <f t="shared" si="22"/>
        <v>2020</v>
      </c>
      <c r="C67" s="494">
        <f t="shared" si="20"/>
        <v>227211.71119767422</v>
      </c>
      <c r="D67" s="187"/>
      <c r="E67" s="494">
        <f t="shared" si="20"/>
        <v>1423744.1888644751</v>
      </c>
      <c r="F67" s="187"/>
      <c r="G67" s="494">
        <f t="shared" si="15"/>
        <v>1650955.9000621494</v>
      </c>
      <c r="H67" s="187"/>
      <c r="I67" s="494">
        <f t="shared" si="16"/>
        <v>0</v>
      </c>
      <c r="J67" s="187"/>
      <c r="K67" s="494">
        <f t="shared" si="17"/>
        <v>0</v>
      </c>
      <c r="L67" s="187"/>
      <c r="M67" s="494">
        <f t="shared" si="18"/>
        <v>0</v>
      </c>
      <c r="N67" s="187"/>
      <c r="O67" s="494">
        <f t="shared" si="19"/>
        <v>227211.71119767422</v>
      </c>
      <c r="P67" s="187"/>
      <c r="Q67" s="494">
        <f t="shared" si="21"/>
        <v>1423744.1888644751</v>
      </c>
      <c r="R67" s="187"/>
      <c r="S67" s="494">
        <f t="shared" si="21"/>
        <v>1650955.9000621494</v>
      </c>
    </row>
    <row r="68" spans="1:19">
      <c r="A68" s="6">
        <f t="shared" si="22"/>
        <v>2021</v>
      </c>
      <c r="C68" s="494">
        <f t="shared" si="20"/>
        <v>534053.72073123627</v>
      </c>
      <c r="D68" s="187"/>
      <c r="E68" s="494">
        <f t="shared" si="20"/>
        <v>967561.85829848051</v>
      </c>
      <c r="F68" s="187"/>
      <c r="G68" s="494">
        <f t="shared" si="15"/>
        <v>1501615.5790297175</v>
      </c>
      <c r="H68" s="187"/>
      <c r="I68" s="494">
        <f t="shared" si="16"/>
        <v>0</v>
      </c>
      <c r="J68" s="187"/>
      <c r="K68" s="494">
        <f t="shared" si="17"/>
        <v>0</v>
      </c>
      <c r="L68" s="187"/>
      <c r="M68" s="494">
        <f t="shared" si="18"/>
        <v>0</v>
      </c>
      <c r="N68" s="187"/>
      <c r="O68" s="494">
        <f t="shared" si="19"/>
        <v>534053.72073123627</v>
      </c>
      <c r="P68" s="187"/>
      <c r="Q68" s="494">
        <f t="shared" si="21"/>
        <v>967561.85829848005</v>
      </c>
      <c r="R68" s="187"/>
      <c r="S68" s="494">
        <f t="shared" si="21"/>
        <v>1501615.5790297175</v>
      </c>
    </row>
    <row r="69" spans="1:19">
      <c r="A69" s="6">
        <f t="shared" si="22"/>
        <v>2022</v>
      </c>
      <c r="C69" s="494">
        <f t="shared" si="20"/>
        <v>226060.70830917498</v>
      </c>
      <c r="D69" s="187"/>
      <c r="E69" s="494">
        <f t="shared" si="20"/>
        <v>583547.72016846295</v>
      </c>
      <c r="F69" s="187"/>
      <c r="G69" s="494">
        <f t="shared" si="15"/>
        <v>809608.42847763747</v>
      </c>
      <c r="H69" s="187"/>
      <c r="I69" s="494">
        <f t="shared" si="16"/>
        <v>0</v>
      </c>
      <c r="J69" s="187"/>
      <c r="K69" s="494">
        <f t="shared" si="17"/>
        <v>0</v>
      </c>
      <c r="L69" s="187"/>
      <c r="M69" s="494">
        <f t="shared" si="18"/>
        <v>0</v>
      </c>
      <c r="N69" s="187"/>
      <c r="O69" s="494">
        <f t="shared" si="19"/>
        <v>226060.70830917498</v>
      </c>
      <c r="P69" s="187"/>
      <c r="Q69" s="494">
        <f t="shared" si="21"/>
        <v>583547.72016846295</v>
      </c>
      <c r="R69" s="187"/>
      <c r="S69" s="494">
        <f t="shared" si="21"/>
        <v>809608.42847763747</v>
      </c>
    </row>
    <row r="70" spans="1:19">
      <c r="A70" s="6"/>
      <c r="C70" s="200"/>
      <c r="E70" s="200"/>
      <c r="G70" s="200"/>
      <c r="H70" s="18"/>
      <c r="I70" s="200"/>
      <c r="K70" s="200"/>
      <c r="M70" s="200"/>
      <c r="N70" s="18"/>
      <c r="O70" s="200"/>
      <c r="Q70" s="200"/>
      <c r="S70" s="200"/>
    </row>
    <row r="71" spans="1:19">
      <c r="A71" s="2" t="s">
        <v>0</v>
      </c>
      <c r="C71" s="19">
        <f>SUM(C55:C70)</f>
        <v>5183115.6134058032</v>
      </c>
      <c r="D71" s="19"/>
      <c r="E71" s="19">
        <f>SUM(E55:E70)</f>
        <v>24968033.704733156</v>
      </c>
      <c r="F71" s="6"/>
      <c r="G71" s="19">
        <f>SUM(G55:G70)</f>
        <v>30151149.318138957</v>
      </c>
      <c r="H71" s="19"/>
      <c r="I71" s="19">
        <f>SUM(I55:I70)</f>
        <v>4153751.1300000004</v>
      </c>
      <c r="J71" s="6"/>
      <c r="K71" s="19">
        <f>SUM(K55:K70)</f>
        <v>18537418.57</v>
      </c>
      <c r="L71" s="19"/>
      <c r="M71" s="19">
        <f>SUM(M55:M70)</f>
        <v>22691169.699999996</v>
      </c>
      <c r="N71" s="19"/>
      <c r="O71" s="19">
        <f>SUM(O55:O70)</f>
        <v>1029364.4834058031</v>
      </c>
      <c r="P71" s="6"/>
      <c r="Q71" s="19">
        <f>SUM(Q55:Q70)</f>
        <v>6430615.1347331526</v>
      </c>
      <c r="R71" s="19"/>
      <c r="S71" s="19">
        <f>SUM(S55:S70)</f>
        <v>7459979.6181389587</v>
      </c>
    </row>
    <row r="74" spans="1:19">
      <c r="A74" s="64" t="s">
        <v>104</v>
      </c>
      <c r="C74" s="3" t="s">
        <v>956</v>
      </c>
    </row>
    <row r="75" spans="1:19">
      <c r="A75" s="64" t="s">
        <v>36</v>
      </c>
      <c r="C75" s="3" t="s">
        <v>957</v>
      </c>
    </row>
    <row r="76" spans="1:19">
      <c r="A76" s="64" t="s">
        <v>38</v>
      </c>
      <c r="C76" s="3" t="s">
        <v>174</v>
      </c>
    </row>
    <row r="77" spans="1:19">
      <c r="A77" s="64" t="s">
        <v>186</v>
      </c>
      <c r="C77" s="1" t="s">
        <v>529</v>
      </c>
    </row>
    <row r="78" spans="1:19">
      <c r="A78" s="64" t="s">
        <v>31</v>
      </c>
      <c r="C78" s="3" t="s">
        <v>273</v>
      </c>
    </row>
    <row r="79" spans="1:19">
      <c r="A79" s="64" t="s">
        <v>103</v>
      </c>
      <c r="C79" s="3" t="s">
        <v>274</v>
      </c>
    </row>
    <row r="80" spans="1:19">
      <c r="A80" s="64" t="s">
        <v>106</v>
      </c>
      <c r="C80" s="3" t="s">
        <v>277</v>
      </c>
    </row>
  </sheetData>
  <printOptions horizontalCentered="1"/>
  <pageMargins left="0.7" right="0.7" top="0.75" bottom="0.75" header="0.3" footer="0.3"/>
  <pageSetup scale="55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4">
    <pageSetUpPr fitToPage="1"/>
  </sheetPr>
  <dimension ref="A1:U80"/>
  <sheetViews>
    <sheetView topLeftCell="A11" zoomScaleNormal="100" workbookViewId="0">
      <selection activeCell="E28" sqref="E28:G31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1.7109375" style="1" customWidth="1"/>
    <col min="14" max="14" width="1.7109375" style="1" customWidth="1"/>
    <col min="15" max="15" width="11.7109375" style="1" customWidth="1"/>
    <col min="16" max="16" width="1.7109375" style="1" customWidth="1"/>
    <col min="17" max="17" width="11.7109375" style="1" customWidth="1"/>
    <col min="18" max="18" width="1.7109375" style="1" customWidth="1"/>
    <col min="19" max="19" width="11.7109375" style="1" customWidth="1"/>
    <col min="20" max="20" width="11.140625" style="1" bestFit="1" customWidth="1"/>
    <col min="21" max="21" width="11.7109375" style="1" bestFit="1" customWidth="1"/>
    <col min="22" max="16384" width="8.7109375" style="1"/>
  </cols>
  <sheetData>
    <row r="1" spans="1:20">
      <c r="A1" s="1" t="s">
        <v>452</v>
      </c>
      <c r="S1" s="52" t="s">
        <v>955</v>
      </c>
    </row>
    <row r="2" spans="1:20">
      <c r="S2" s="64" t="s">
        <v>66</v>
      </c>
    </row>
    <row r="4" spans="1:20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</row>
    <row r="6" spans="1:20">
      <c r="A6" s="5" t="s">
        <v>755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20">
      <c r="A7" s="5" t="s">
        <v>49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20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11" spans="1:20">
      <c r="N11" s="6"/>
      <c r="O11" s="6"/>
      <c r="P11" s="6"/>
      <c r="Q11" s="6"/>
    </row>
    <row r="12" spans="1:20">
      <c r="A12" s="2" t="s">
        <v>3</v>
      </c>
      <c r="C12" s="8" t="s">
        <v>310</v>
      </c>
      <c r="D12" s="8"/>
      <c r="E12" s="8"/>
      <c r="F12" s="8"/>
      <c r="G12" s="8"/>
      <c r="I12" s="8" t="s">
        <v>184</v>
      </c>
      <c r="J12" s="8"/>
      <c r="K12" s="8"/>
      <c r="L12" s="8"/>
      <c r="M12" s="8"/>
      <c r="N12" s="6"/>
      <c r="O12" s="8" t="s">
        <v>119</v>
      </c>
      <c r="P12" s="8"/>
      <c r="Q12" s="8"/>
      <c r="R12" s="8"/>
      <c r="S12" s="8"/>
    </row>
    <row r="13" spans="1:20">
      <c r="A13" s="6" t="s">
        <v>4</v>
      </c>
      <c r="B13" s="6"/>
      <c r="C13" s="2" t="s">
        <v>160</v>
      </c>
      <c r="D13" s="6"/>
      <c r="E13" s="2" t="s">
        <v>395</v>
      </c>
      <c r="F13" s="6"/>
      <c r="G13" s="2" t="s">
        <v>0</v>
      </c>
      <c r="H13" s="2"/>
      <c r="I13" s="2" t="s">
        <v>160</v>
      </c>
      <c r="J13" s="6"/>
      <c r="K13" s="2" t="s">
        <v>395</v>
      </c>
      <c r="L13" s="6"/>
      <c r="M13" s="2" t="s">
        <v>0</v>
      </c>
      <c r="N13" s="6"/>
      <c r="O13" s="2" t="s">
        <v>160</v>
      </c>
      <c r="P13" s="6"/>
      <c r="Q13" s="2" t="s">
        <v>395</v>
      </c>
      <c r="R13" s="6"/>
      <c r="S13" s="2" t="s">
        <v>0</v>
      </c>
      <c r="T13" s="25"/>
    </row>
    <row r="14" spans="1:20">
      <c r="A14" s="9">
        <v>-1</v>
      </c>
      <c r="B14" s="11"/>
      <c r="C14" s="9">
        <v>-2</v>
      </c>
      <c r="D14" s="11"/>
      <c r="E14" s="9">
        <v>-3</v>
      </c>
      <c r="F14" s="11"/>
      <c r="G14" s="9">
        <v>-4</v>
      </c>
      <c r="H14" s="11"/>
      <c r="I14" s="9">
        <v>-5</v>
      </c>
      <c r="J14" s="11"/>
      <c r="K14" s="9">
        <v>-6</v>
      </c>
      <c r="L14" s="11"/>
      <c r="M14" s="9">
        <v>-7</v>
      </c>
      <c r="N14" s="11"/>
      <c r="O14" s="9">
        <v>-8</v>
      </c>
      <c r="P14" s="11"/>
      <c r="Q14" s="9">
        <v>-9</v>
      </c>
      <c r="R14" s="11"/>
      <c r="S14" s="9">
        <v>-10</v>
      </c>
      <c r="T14" s="25"/>
    </row>
    <row r="16" spans="1:20" ht="16">
      <c r="A16" s="15" t="s">
        <v>77</v>
      </c>
      <c r="I16" s="66"/>
      <c r="J16" s="66"/>
      <c r="K16" s="66"/>
      <c r="L16" s="66"/>
      <c r="M16" s="66"/>
      <c r="O16" s="26"/>
      <c r="P16" s="26"/>
      <c r="Q16" s="26"/>
      <c r="S16" s="26"/>
    </row>
    <row r="17" spans="1:20">
      <c r="A17" s="6">
        <v>2008</v>
      </c>
      <c r="C17" s="147">
        <f>'Exhibit U,4'!K17</f>
        <v>577451.15</v>
      </c>
      <c r="D17" s="147"/>
      <c r="E17" s="147">
        <f>'Exhibit U,7'!Q17</f>
        <v>1911758.4000000001</v>
      </c>
      <c r="F17" s="147"/>
      <c r="G17" s="147">
        <f>C17+E17</f>
        <v>2489209.5500000003</v>
      </c>
      <c r="H17" s="147"/>
      <c r="I17" s="497">
        <f>'Exhibit U,4'!S17</f>
        <v>577451.15</v>
      </c>
      <c r="J17" s="497"/>
      <c r="K17" s="497">
        <f>'Exhibit U,7'!K17</f>
        <v>1911758.4000000001</v>
      </c>
      <c r="L17" s="497"/>
      <c r="M17" s="147">
        <f>I17+K17</f>
        <v>2489209.5500000003</v>
      </c>
      <c r="N17" s="147"/>
      <c r="O17" s="147">
        <f>C17-I17</f>
        <v>0</v>
      </c>
      <c r="P17" s="147"/>
      <c r="Q17" s="147">
        <f>E17-K17</f>
        <v>0</v>
      </c>
      <c r="R17" s="147"/>
      <c r="S17" s="147">
        <f>G17-M17</f>
        <v>0</v>
      </c>
      <c r="T17" s="147"/>
    </row>
    <row r="18" spans="1:20">
      <c r="A18" s="6">
        <f>A17+1</f>
        <v>2009</v>
      </c>
      <c r="C18" s="494">
        <f>'Exhibit U,4'!K18</f>
        <v>28875.5</v>
      </c>
      <c r="D18" s="494"/>
      <c r="E18" s="494">
        <f>'Exhibit U,7'!Q18</f>
        <v>2191506.25</v>
      </c>
      <c r="F18" s="494"/>
      <c r="G18" s="494">
        <f t="shared" ref="G18:G31" si="0">C18+E18</f>
        <v>2220381.75</v>
      </c>
      <c r="H18" s="494"/>
      <c r="I18" s="20">
        <f>'Exhibit U,4'!S18</f>
        <v>28875.5</v>
      </c>
      <c r="J18" s="494"/>
      <c r="K18" s="20">
        <f>'Exhibit U,7'!K18</f>
        <v>2191506.25</v>
      </c>
      <c r="L18" s="494"/>
      <c r="M18" s="494">
        <f t="shared" ref="M18:M30" si="1">I18+K18</f>
        <v>2220381.75</v>
      </c>
      <c r="N18" s="494"/>
      <c r="O18" s="494">
        <f t="shared" ref="O18:O30" si="2">C18-I18</f>
        <v>0</v>
      </c>
      <c r="P18" s="494"/>
      <c r="Q18" s="494">
        <f t="shared" ref="Q18:Q30" si="3">E18-K18</f>
        <v>0</v>
      </c>
      <c r="R18" s="494"/>
      <c r="S18" s="494">
        <f t="shared" ref="S18:S30" si="4">G18-M18</f>
        <v>0</v>
      </c>
      <c r="T18" s="147"/>
    </row>
    <row r="19" spans="1:20">
      <c r="A19" s="6">
        <f t="shared" ref="A19:A31" si="5">A18+1</f>
        <v>2010</v>
      </c>
      <c r="C19" s="494">
        <f>'Exhibit U,4'!K19</f>
        <v>1056390.7999999998</v>
      </c>
      <c r="D19" s="494"/>
      <c r="E19" s="494">
        <f>'Exhibit U,7'!Q19</f>
        <v>8479335.2699999996</v>
      </c>
      <c r="F19" s="494"/>
      <c r="G19" s="494">
        <f t="shared" si="0"/>
        <v>9535726.0700000003</v>
      </c>
      <c r="H19" s="494"/>
      <c r="I19" s="20">
        <f>'Exhibit U,4'!S19</f>
        <v>1056390.7999999998</v>
      </c>
      <c r="J19" s="494"/>
      <c r="K19" s="20">
        <f>'Exhibit U,7'!K19</f>
        <v>8479092.0899999999</v>
      </c>
      <c r="L19" s="494"/>
      <c r="M19" s="494">
        <f t="shared" si="1"/>
        <v>9535482.8900000006</v>
      </c>
      <c r="N19" s="494"/>
      <c r="O19" s="494">
        <f t="shared" si="2"/>
        <v>0</v>
      </c>
      <c r="P19" s="494"/>
      <c r="Q19" s="494">
        <f t="shared" si="3"/>
        <v>243.17999999970198</v>
      </c>
      <c r="R19" s="494"/>
      <c r="S19" s="494">
        <f t="shared" si="4"/>
        <v>243.17999999970198</v>
      </c>
      <c r="T19" s="147"/>
    </row>
    <row r="20" spans="1:20">
      <c r="A20" s="6">
        <f t="shared" si="5"/>
        <v>2011</v>
      </c>
      <c r="C20" s="494">
        <f>'Exhibit U,4'!K20</f>
        <v>640869.17000000004</v>
      </c>
      <c r="D20" s="494"/>
      <c r="E20" s="494">
        <f>'Exhibit U,7'!Q20</f>
        <v>6315267.6400000006</v>
      </c>
      <c r="F20" s="494"/>
      <c r="G20" s="494">
        <f t="shared" si="0"/>
        <v>6956136.8100000005</v>
      </c>
      <c r="H20" s="494"/>
      <c r="I20" s="20">
        <f>'Exhibit U,4'!S20</f>
        <v>640869.17000000004</v>
      </c>
      <c r="J20" s="494"/>
      <c r="K20" s="20">
        <f>'Exhibit U,7'!K20</f>
        <v>6836232.2300000004</v>
      </c>
      <c r="L20" s="494"/>
      <c r="M20" s="494">
        <f t="shared" si="1"/>
        <v>7477101.4000000004</v>
      </c>
      <c r="N20" s="494"/>
      <c r="O20" s="494">
        <f t="shared" si="2"/>
        <v>0</v>
      </c>
      <c r="P20" s="494"/>
      <c r="Q20" s="494">
        <f t="shared" si="3"/>
        <v>-520964.58999999985</v>
      </c>
      <c r="R20" s="494"/>
      <c r="S20" s="494">
        <f t="shared" si="4"/>
        <v>-520964.58999999985</v>
      </c>
      <c r="T20" s="147"/>
    </row>
    <row r="21" spans="1:20">
      <c r="A21" s="6">
        <f t="shared" si="5"/>
        <v>2012</v>
      </c>
      <c r="C21" s="494">
        <f>'Exhibit U,4'!K21</f>
        <v>4744399.03</v>
      </c>
      <c r="D21" s="494"/>
      <c r="E21" s="494">
        <f>'Exhibit U,7'!Q21</f>
        <v>17569452.739999998</v>
      </c>
      <c r="F21" s="494"/>
      <c r="G21" s="494">
        <f t="shared" si="0"/>
        <v>22313851.77</v>
      </c>
      <c r="H21" s="494"/>
      <c r="I21" s="20">
        <f>'Exhibit U,4'!S21</f>
        <v>4744399.03</v>
      </c>
      <c r="J21" s="494"/>
      <c r="K21" s="20">
        <f>'Exhibit U,7'!K21</f>
        <v>19139666.039999999</v>
      </c>
      <c r="L21" s="494"/>
      <c r="M21" s="494">
        <f t="shared" si="1"/>
        <v>23884065.07</v>
      </c>
      <c r="N21" s="494"/>
      <c r="O21" s="494">
        <f t="shared" si="2"/>
        <v>0</v>
      </c>
      <c r="P21" s="494"/>
      <c r="Q21" s="494">
        <f t="shared" si="3"/>
        <v>-1570213.3000000007</v>
      </c>
      <c r="R21" s="494"/>
      <c r="S21" s="494">
        <f t="shared" si="4"/>
        <v>-1570213.3000000007</v>
      </c>
      <c r="T21" s="147"/>
    </row>
    <row r="22" spans="1:20">
      <c r="A22" s="6">
        <f t="shared" si="5"/>
        <v>2013</v>
      </c>
      <c r="C22" s="494">
        <f>'Exhibit U,4'!K22</f>
        <v>714842.25</v>
      </c>
      <c r="D22" s="494"/>
      <c r="E22" s="494">
        <f>'Exhibit U,7'!Q22</f>
        <v>17358241.969999999</v>
      </c>
      <c r="F22" s="494"/>
      <c r="G22" s="494">
        <f t="shared" si="0"/>
        <v>18073084.219999999</v>
      </c>
      <c r="H22" s="494"/>
      <c r="I22" s="20">
        <f>'Exhibit U,4'!S22</f>
        <v>712208.5199999999</v>
      </c>
      <c r="J22" s="494"/>
      <c r="K22" s="20">
        <f>'Exhibit U,7'!K22</f>
        <v>18975821.675806206</v>
      </c>
      <c r="L22" s="494"/>
      <c r="M22" s="494">
        <f t="shared" si="1"/>
        <v>19688030.195806205</v>
      </c>
      <c r="N22" s="494"/>
      <c r="O22" s="494">
        <f t="shared" si="2"/>
        <v>2633.7300000000978</v>
      </c>
      <c r="P22" s="494"/>
      <c r="Q22" s="494">
        <f t="shared" si="3"/>
        <v>-1617579.7058062069</v>
      </c>
      <c r="R22" s="494"/>
      <c r="S22" s="494">
        <f t="shared" si="4"/>
        <v>-1614945.9758062065</v>
      </c>
      <c r="T22" s="147"/>
    </row>
    <row r="23" spans="1:20">
      <c r="A23" s="6">
        <f t="shared" si="5"/>
        <v>2014</v>
      </c>
      <c r="C23" s="494">
        <f>'Exhibit U,4'!K23</f>
        <v>3172203.93</v>
      </c>
      <c r="D23" s="494"/>
      <c r="E23" s="494">
        <f>'Exhibit U,7'!Q23</f>
        <v>21073817.018735245</v>
      </c>
      <c r="F23" s="494"/>
      <c r="G23" s="494">
        <f t="shared" si="0"/>
        <v>24246020.948735245</v>
      </c>
      <c r="H23" s="494"/>
      <c r="I23" s="20">
        <f>'Exhibit U,4'!S23</f>
        <v>3385152.22</v>
      </c>
      <c r="J23" s="494"/>
      <c r="K23" s="20">
        <f>'Exhibit U,7'!K23</f>
        <v>23846677.819986343</v>
      </c>
      <c r="L23" s="494"/>
      <c r="M23" s="494">
        <f t="shared" si="1"/>
        <v>27231830.039986342</v>
      </c>
      <c r="N23" s="494"/>
      <c r="O23" s="494">
        <f t="shared" si="2"/>
        <v>-212948.29000000004</v>
      </c>
      <c r="P23" s="494"/>
      <c r="Q23" s="494">
        <f t="shared" si="3"/>
        <v>-2772860.8012510985</v>
      </c>
      <c r="R23" s="494"/>
      <c r="S23" s="494">
        <f t="shared" si="4"/>
        <v>-2985809.0912510976</v>
      </c>
      <c r="T23" s="147"/>
    </row>
    <row r="24" spans="1:20">
      <c r="A24" s="6">
        <f t="shared" si="5"/>
        <v>2015</v>
      </c>
      <c r="C24" s="494">
        <f>'Exhibit U,4'!K24</f>
        <v>1881397.8199999998</v>
      </c>
      <c r="D24" s="494"/>
      <c r="E24" s="494">
        <f>'Exhibit U,7'!Q24</f>
        <v>4064067.5546318418</v>
      </c>
      <c r="F24" s="494"/>
      <c r="G24" s="494">
        <f t="shared" si="0"/>
        <v>5945465.3746318417</v>
      </c>
      <c r="H24" s="494"/>
      <c r="I24" s="20">
        <f>'Exhibit U,4'!S24</f>
        <v>1556448.95</v>
      </c>
      <c r="J24" s="494"/>
      <c r="K24" s="20">
        <f>'Exhibit U,7'!K24</f>
        <v>4084998.0681367856</v>
      </c>
      <c r="L24" s="494"/>
      <c r="M24" s="494">
        <f t="shared" si="1"/>
        <v>5641447.0181367854</v>
      </c>
      <c r="N24" s="494"/>
      <c r="O24" s="494">
        <f t="shared" si="2"/>
        <v>324948.86999999988</v>
      </c>
      <c r="P24" s="494"/>
      <c r="Q24" s="494">
        <f t="shared" si="3"/>
        <v>-20930.51350494381</v>
      </c>
      <c r="R24" s="494"/>
      <c r="S24" s="494">
        <f t="shared" si="4"/>
        <v>304018.3564950563</v>
      </c>
      <c r="T24" s="147"/>
    </row>
    <row r="25" spans="1:20">
      <c r="A25" s="6">
        <f t="shared" si="5"/>
        <v>2016</v>
      </c>
      <c r="C25" s="494">
        <f>'Exhibit U,4'!K25</f>
        <v>5152134.53</v>
      </c>
      <c r="D25" s="494"/>
      <c r="E25" s="494">
        <f>'Exhibit U,7'!Q25</f>
        <v>11631693.045840388</v>
      </c>
      <c r="F25" s="494"/>
      <c r="G25" s="494">
        <f t="shared" si="0"/>
        <v>16783827.575840387</v>
      </c>
      <c r="H25" s="494"/>
      <c r="I25" s="20">
        <f>'Exhibit U,4'!S25</f>
        <v>4469276.92</v>
      </c>
      <c r="J25" s="494"/>
      <c r="K25" s="20">
        <f>'Exhibit U,7'!K25</f>
        <v>13111591.223283047</v>
      </c>
      <c r="L25" s="494"/>
      <c r="M25" s="494">
        <f t="shared" si="1"/>
        <v>17580868.143283047</v>
      </c>
      <c r="N25" s="494"/>
      <c r="O25" s="494">
        <f t="shared" si="2"/>
        <v>682857.61000000034</v>
      </c>
      <c r="P25" s="494"/>
      <c r="Q25" s="494">
        <f t="shared" si="3"/>
        <v>-1479898.1774426587</v>
      </c>
      <c r="R25" s="494"/>
      <c r="S25" s="494">
        <f t="shared" si="4"/>
        <v>-797040.56744265929</v>
      </c>
      <c r="T25" s="147"/>
    </row>
    <row r="26" spans="1:20">
      <c r="A26" s="6">
        <f t="shared" si="5"/>
        <v>2017</v>
      </c>
      <c r="C26" s="494">
        <f>'Exhibit U,4'!K26</f>
        <v>305163.03999999998</v>
      </c>
      <c r="D26" s="494"/>
      <c r="E26" s="494">
        <f>'Exhibit U,7'!Q26</f>
        <v>11261564.203882288</v>
      </c>
      <c r="F26" s="494"/>
      <c r="G26" s="494">
        <f t="shared" si="0"/>
        <v>11566727.243882287</v>
      </c>
      <c r="H26" s="494"/>
      <c r="I26" s="20">
        <f>'Exhibit U,4'!S26</f>
        <v>304640.94</v>
      </c>
      <c r="J26" s="494"/>
      <c r="K26" s="20">
        <f>'Exhibit U,7'!K26</f>
        <v>13149598.05472691</v>
      </c>
      <c r="L26" s="494"/>
      <c r="M26" s="494">
        <f t="shared" si="1"/>
        <v>13454238.994726909</v>
      </c>
      <c r="N26" s="494"/>
      <c r="O26" s="494">
        <f t="shared" si="2"/>
        <v>522.09999999997672</v>
      </c>
      <c r="P26" s="494"/>
      <c r="Q26" s="494">
        <f t="shared" si="3"/>
        <v>-1888033.8508446217</v>
      </c>
      <c r="R26" s="494"/>
      <c r="S26" s="494">
        <f t="shared" si="4"/>
        <v>-1887511.750844622</v>
      </c>
      <c r="T26" s="147"/>
    </row>
    <row r="27" spans="1:20">
      <c r="A27" s="6">
        <f t="shared" si="5"/>
        <v>2018</v>
      </c>
      <c r="C27" s="494">
        <f>'Exhibit U,4'!K27</f>
        <v>898335.37</v>
      </c>
      <c r="D27" s="494"/>
      <c r="E27" s="494">
        <f>'Exhibit U,7'!Q27</f>
        <v>7006078.1762927808</v>
      </c>
      <c r="F27" s="494"/>
      <c r="G27" s="494">
        <f t="shared" si="0"/>
        <v>7904413.5462927809</v>
      </c>
      <c r="H27" s="494"/>
      <c r="I27" s="20">
        <f>'Exhibit U,4'!S27</f>
        <v>2037829.809064918</v>
      </c>
      <c r="J27" s="494"/>
      <c r="K27" s="20">
        <f>'Exhibit U,7'!K27</f>
        <v>7350933.7734010313</v>
      </c>
      <c r="L27" s="494"/>
      <c r="M27" s="494">
        <f t="shared" si="1"/>
        <v>9388763.5824659485</v>
      </c>
      <c r="N27" s="494"/>
      <c r="O27" s="494">
        <f t="shared" si="2"/>
        <v>-1139494.4390649181</v>
      </c>
      <c r="P27" s="494"/>
      <c r="Q27" s="494">
        <f t="shared" si="3"/>
        <v>-344855.59710825048</v>
      </c>
      <c r="R27" s="494"/>
      <c r="S27" s="494">
        <f t="shared" si="4"/>
        <v>-1484350.0361731676</v>
      </c>
      <c r="T27" s="147"/>
    </row>
    <row r="28" spans="1:20">
      <c r="A28" s="6">
        <f t="shared" si="5"/>
        <v>2019</v>
      </c>
      <c r="C28" s="494">
        <f>'Exhibit U,4'!K28</f>
        <v>485623.37068461761</v>
      </c>
      <c r="D28" s="494"/>
      <c r="E28" s="494">
        <f>'Exhibit U,7'!Q28</f>
        <v>6712613.7859857585</v>
      </c>
      <c r="F28" s="494"/>
      <c r="G28" s="494">
        <f t="shared" si="0"/>
        <v>7198237.1566703757</v>
      </c>
      <c r="H28" s="494"/>
      <c r="I28" s="20">
        <f>'Exhibit U,4'!S28</f>
        <v>627716.23940009926</v>
      </c>
      <c r="J28" s="494"/>
      <c r="K28" s="20">
        <f>'Exhibit U,7'!K28</f>
        <v>6787157.8581031607</v>
      </c>
      <c r="L28" s="494"/>
      <c r="M28" s="494">
        <f t="shared" si="1"/>
        <v>7414874.0975032598</v>
      </c>
      <c r="N28" s="494"/>
      <c r="O28" s="494">
        <f t="shared" si="2"/>
        <v>-142092.86871548166</v>
      </c>
      <c r="P28" s="494"/>
      <c r="Q28" s="494">
        <f t="shared" si="3"/>
        <v>-74544.072117402218</v>
      </c>
      <c r="R28" s="494"/>
      <c r="S28" s="494">
        <f t="shared" si="4"/>
        <v>-216636.94083288405</v>
      </c>
      <c r="T28" s="147"/>
    </row>
    <row r="29" spans="1:20">
      <c r="A29" s="6">
        <f t="shared" si="5"/>
        <v>2020</v>
      </c>
      <c r="C29" s="494">
        <f>'Exhibit U,4'!K29</f>
        <v>555909.07518209331</v>
      </c>
      <c r="D29" s="494"/>
      <c r="E29" s="494">
        <f>'Exhibit U,7'!Q29</f>
        <v>6369884.1204675306</v>
      </c>
      <c r="F29" s="494"/>
      <c r="G29" s="494">
        <f t="shared" si="0"/>
        <v>6925793.1956496239</v>
      </c>
      <c r="H29" s="494"/>
      <c r="I29" s="20">
        <f>'Exhibit U,4'!S29</f>
        <v>706651.99356974626</v>
      </c>
      <c r="J29" s="494"/>
      <c r="K29" s="20">
        <f>'Exhibit U,7'!K29</f>
        <v>4417725.2002898194</v>
      </c>
      <c r="L29" s="494"/>
      <c r="M29" s="494">
        <f t="shared" si="1"/>
        <v>5124377.193859566</v>
      </c>
      <c r="N29" s="494"/>
      <c r="O29" s="494">
        <f t="shared" si="2"/>
        <v>-150742.91838765296</v>
      </c>
      <c r="P29" s="494"/>
      <c r="Q29" s="494">
        <f t="shared" si="3"/>
        <v>1952158.9201777112</v>
      </c>
      <c r="R29" s="494"/>
      <c r="S29" s="494">
        <f t="shared" si="4"/>
        <v>1801416.0017900579</v>
      </c>
      <c r="T29" s="147"/>
    </row>
    <row r="30" spans="1:20">
      <c r="A30" s="6">
        <f t="shared" si="5"/>
        <v>2021</v>
      </c>
      <c r="C30" s="494">
        <f>'Exhibit U,4'!K30</f>
        <v>1205091.1091501559</v>
      </c>
      <c r="D30" s="494"/>
      <c r="E30" s="494">
        <f>'Exhibit U,7'!Q30</f>
        <v>5015175.93877168</v>
      </c>
      <c r="F30" s="494"/>
      <c r="G30" s="494">
        <f t="shared" si="0"/>
        <v>6220267.0479218364</v>
      </c>
      <c r="H30" s="494"/>
      <c r="I30" s="20">
        <f>'Exhibit U,4'!S30</f>
        <v>1463969.9394880519</v>
      </c>
      <c r="J30" s="494"/>
      <c r="K30" s="20">
        <f>'Exhibit U,7'!K30</f>
        <v>3298841.3216398931</v>
      </c>
      <c r="L30" s="494"/>
      <c r="M30" s="494">
        <f t="shared" si="1"/>
        <v>4762811.261127945</v>
      </c>
      <c r="N30" s="494"/>
      <c r="O30" s="494">
        <f t="shared" si="2"/>
        <v>-258878.83033789601</v>
      </c>
      <c r="P30" s="494"/>
      <c r="Q30" s="494">
        <f t="shared" si="3"/>
        <v>1716334.6171317869</v>
      </c>
      <c r="R30" s="494"/>
      <c r="S30" s="494">
        <f t="shared" si="4"/>
        <v>1457455.7867938913</v>
      </c>
      <c r="T30" s="147"/>
    </row>
    <row r="31" spans="1:20">
      <c r="A31" s="6">
        <f t="shared" si="5"/>
        <v>2022</v>
      </c>
      <c r="C31" s="494">
        <f>'Exhibit U,4'!K31</f>
        <v>1541153.4039999996</v>
      </c>
      <c r="D31" s="494"/>
      <c r="E31" s="494">
        <f>'Exhibit U,7'!Q31</f>
        <v>3621932.1370738312</v>
      </c>
      <c r="F31" s="494"/>
      <c r="G31" s="494">
        <f t="shared" si="0"/>
        <v>5163085.5410738308</v>
      </c>
      <c r="H31" s="494"/>
      <c r="I31" s="187"/>
      <c r="J31" s="494"/>
      <c r="K31" s="499"/>
      <c r="L31" s="494"/>
      <c r="M31" s="494"/>
      <c r="N31" s="494"/>
      <c r="O31" s="494"/>
      <c r="P31" s="494"/>
      <c r="Q31" s="494"/>
      <c r="R31" s="494"/>
      <c r="S31" s="494"/>
      <c r="T31" s="153"/>
    </row>
    <row r="32" spans="1:20">
      <c r="A32" s="6"/>
      <c r="C32" s="200"/>
      <c r="E32" s="200"/>
      <c r="G32" s="200"/>
      <c r="H32" s="18"/>
      <c r="I32" s="200"/>
      <c r="K32" s="200"/>
      <c r="M32" s="200"/>
      <c r="N32" s="18"/>
      <c r="O32" s="200"/>
      <c r="Q32" s="200"/>
      <c r="S32" s="200"/>
    </row>
    <row r="33" spans="1:21">
      <c r="A33" s="2" t="s">
        <v>0</v>
      </c>
      <c r="C33" s="147">
        <f>SUM(C17:C32)</f>
        <v>22959839.549016863</v>
      </c>
      <c r="D33" s="147"/>
      <c r="E33" s="147">
        <f>SUM(E17:E32)</f>
        <v>130582388.25168133</v>
      </c>
      <c r="F33" s="508"/>
      <c r="G33" s="147">
        <f>SUM(G17:G32)</f>
        <v>153542227.80069819</v>
      </c>
      <c r="H33" s="147"/>
      <c r="I33" s="147">
        <f>SUM(I17:I32)</f>
        <v>22311881.181522816</v>
      </c>
      <c r="J33" s="508"/>
      <c r="K33" s="147">
        <f>SUM(K17:K32)</f>
        <v>133581600.00537319</v>
      </c>
      <c r="L33" s="147"/>
      <c r="M33" s="147">
        <f>SUM(M17:M32)</f>
        <v>155893481.18689603</v>
      </c>
      <c r="N33" s="147"/>
      <c r="O33" s="147">
        <f>SUM(O17:O32)</f>
        <v>-893195.03650594852</v>
      </c>
      <c r="P33" s="508"/>
      <c r="Q33" s="147">
        <f>SUM(Q17:Q32)</f>
        <v>-6621143.8907656856</v>
      </c>
      <c r="R33" s="147"/>
      <c r="S33" s="147">
        <f>SUM(S17:S32)</f>
        <v>-7514338.9272716306</v>
      </c>
      <c r="T33" s="147"/>
    </row>
    <row r="34" spans="1:21">
      <c r="C34" s="147"/>
      <c r="K34" s="147"/>
    </row>
    <row r="35" spans="1:21" ht="16">
      <c r="A35" s="15" t="s">
        <v>118</v>
      </c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</row>
    <row r="36" spans="1:21">
      <c r="A36" s="6">
        <f>A17</f>
        <v>2008</v>
      </c>
      <c r="C36" s="497">
        <f>'Exhibit U,4'!K36</f>
        <v>577451.15</v>
      </c>
      <c r="D36" s="497"/>
      <c r="E36" s="497">
        <f>'Exhibit U,7'!Q36</f>
        <v>1871146.2100000002</v>
      </c>
      <c r="F36" s="497"/>
      <c r="G36" s="497">
        <f>C36+E36</f>
        <v>2448597.3600000003</v>
      </c>
      <c r="H36" s="497"/>
      <c r="I36" s="497">
        <f>'Exhibit U,4'!S36</f>
        <v>577451.15</v>
      </c>
      <c r="J36" s="497"/>
      <c r="K36" s="497">
        <f>'Exhibit U,7'!Y36</f>
        <v>1871146.2100000002</v>
      </c>
      <c r="L36" s="497"/>
      <c r="M36" s="497">
        <f>I36+K36</f>
        <v>2448597.3600000003</v>
      </c>
      <c r="N36" s="497"/>
      <c r="O36" s="497">
        <f>C36-I36</f>
        <v>0</v>
      </c>
      <c r="P36" s="497"/>
      <c r="Q36" s="497">
        <f>E36-K36</f>
        <v>0</v>
      </c>
      <c r="R36" s="497"/>
      <c r="S36" s="147">
        <f>G36-M36</f>
        <v>0</v>
      </c>
      <c r="U36" s="21"/>
    </row>
    <row r="37" spans="1:21">
      <c r="A37" s="6">
        <f>A36+1</f>
        <v>2009</v>
      </c>
      <c r="C37" s="494">
        <f>'Exhibit U,4'!K37</f>
        <v>28875.5</v>
      </c>
      <c r="D37" s="494"/>
      <c r="E37" s="494">
        <f>'Exhibit U,7'!Q37</f>
        <v>2191506.25</v>
      </c>
      <c r="F37" s="494"/>
      <c r="G37" s="494">
        <f t="shared" ref="G37:G50" si="6">C37+E37</f>
        <v>2220381.75</v>
      </c>
      <c r="H37" s="494"/>
      <c r="I37" s="20">
        <f>'Exhibit U,4'!S37</f>
        <v>28875.5</v>
      </c>
      <c r="J37" s="187"/>
      <c r="K37" s="20">
        <f>'Exhibit U,7'!Y37</f>
        <v>2191506.25</v>
      </c>
      <c r="L37" s="187"/>
      <c r="M37" s="494">
        <f t="shared" ref="M37:M49" si="7">I37+K37</f>
        <v>2220381.75</v>
      </c>
      <c r="N37" s="494"/>
      <c r="O37" s="494">
        <f t="shared" ref="O37:O49" si="8">C37-I37</f>
        <v>0</v>
      </c>
      <c r="P37" s="494"/>
      <c r="Q37" s="494">
        <f t="shared" ref="Q37:Q49" si="9">E37-K37</f>
        <v>0</v>
      </c>
      <c r="R37" s="494"/>
      <c r="S37" s="494">
        <f t="shared" ref="S37:S49" si="10">G37-M37</f>
        <v>0</v>
      </c>
      <c r="U37" s="21"/>
    </row>
    <row r="38" spans="1:21">
      <c r="A38" s="6">
        <f t="shared" ref="A38:A50" si="11">A37+1</f>
        <v>2010</v>
      </c>
      <c r="C38" s="494">
        <f>'Exhibit U,4'!K38</f>
        <v>1056390.7999999998</v>
      </c>
      <c r="D38" s="494"/>
      <c r="E38" s="494">
        <f>'Exhibit U,7'!Q38</f>
        <v>6627825.4199999999</v>
      </c>
      <c r="F38" s="494"/>
      <c r="G38" s="494">
        <f t="shared" si="6"/>
        <v>7684216.2199999997</v>
      </c>
      <c r="H38" s="494"/>
      <c r="I38" s="20">
        <f>'Exhibit U,4'!S38</f>
        <v>1056390.7999999998</v>
      </c>
      <c r="J38" s="187"/>
      <c r="K38" s="20">
        <f>'Exhibit U,7'!Y38</f>
        <v>6627582.2400000002</v>
      </c>
      <c r="L38" s="187"/>
      <c r="M38" s="494">
        <f t="shared" si="7"/>
        <v>7683973.04</v>
      </c>
      <c r="N38" s="494"/>
      <c r="O38" s="494">
        <f t="shared" si="8"/>
        <v>0</v>
      </c>
      <c r="P38" s="494"/>
      <c r="Q38" s="494">
        <f t="shared" si="9"/>
        <v>243.17999999970198</v>
      </c>
      <c r="R38" s="494"/>
      <c r="S38" s="494">
        <f t="shared" si="10"/>
        <v>243.17999999970198</v>
      </c>
      <c r="U38" s="21"/>
    </row>
    <row r="39" spans="1:21">
      <c r="A39" s="6">
        <f t="shared" si="11"/>
        <v>2011</v>
      </c>
      <c r="C39" s="494">
        <f>'Exhibit U,4'!K39</f>
        <v>640869.17000000004</v>
      </c>
      <c r="D39" s="494"/>
      <c r="E39" s="494">
        <f>'Exhibit U,7'!Q39</f>
        <v>6221285.9700000007</v>
      </c>
      <c r="F39" s="494"/>
      <c r="G39" s="494">
        <f t="shared" si="6"/>
        <v>6862155.1400000006</v>
      </c>
      <c r="H39" s="494"/>
      <c r="I39" s="20">
        <f>'Exhibit U,4'!S39</f>
        <v>640869.17000000004</v>
      </c>
      <c r="J39" s="187"/>
      <c r="K39" s="20">
        <f>'Exhibit U,7'!Y39</f>
        <v>6742250.5600000005</v>
      </c>
      <c r="L39" s="187"/>
      <c r="M39" s="494">
        <f t="shared" si="7"/>
        <v>7383119.7300000004</v>
      </c>
      <c r="N39" s="494"/>
      <c r="O39" s="494">
        <f t="shared" si="8"/>
        <v>0</v>
      </c>
      <c r="P39" s="494"/>
      <c r="Q39" s="494">
        <f t="shared" si="9"/>
        <v>-520964.58999999985</v>
      </c>
      <c r="R39" s="494"/>
      <c r="S39" s="494">
        <f t="shared" si="10"/>
        <v>-520964.58999999985</v>
      </c>
      <c r="U39" s="21"/>
    </row>
    <row r="40" spans="1:21">
      <c r="A40" s="6">
        <f t="shared" si="11"/>
        <v>2012</v>
      </c>
      <c r="C40" s="494">
        <f>'Exhibit U,4'!K40</f>
        <v>4175261.5</v>
      </c>
      <c r="D40" s="494"/>
      <c r="E40" s="494">
        <f>'Exhibit U,7'!Q40</f>
        <v>13811692.24</v>
      </c>
      <c r="F40" s="494"/>
      <c r="G40" s="494">
        <f t="shared" si="6"/>
        <v>17986953.740000002</v>
      </c>
      <c r="H40" s="494"/>
      <c r="I40" s="20">
        <f>'Exhibit U,4'!S40</f>
        <v>4175261.5</v>
      </c>
      <c r="J40" s="187"/>
      <c r="K40" s="20">
        <f>'Exhibit U,7'!Y40</f>
        <v>14944762.539999999</v>
      </c>
      <c r="L40" s="187"/>
      <c r="M40" s="494">
        <f t="shared" si="7"/>
        <v>19120024.039999999</v>
      </c>
      <c r="N40" s="494"/>
      <c r="O40" s="494">
        <f t="shared" si="8"/>
        <v>0</v>
      </c>
      <c r="P40" s="494"/>
      <c r="Q40" s="494">
        <f t="shared" si="9"/>
        <v>-1133070.2999999989</v>
      </c>
      <c r="R40" s="494"/>
      <c r="S40" s="494">
        <f t="shared" si="10"/>
        <v>-1133070.299999997</v>
      </c>
      <c r="U40" s="21"/>
    </row>
    <row r="41" spans="1:21">
      <c r="A41" s="6">
        <f t="shared" si="11"/>
        <v>2013</v>
      </c>
      <c r="C41" s="494">
        <f>'Exhibit U,4'!K41</f>
        <v>714842.25</v>
      </c>
      <c r="D41" s="494"/>
      <c r="E41" s="494">
        <f>'Exhibit U,7'!Q41</f>
        <v>14436830.419999998</v>
      </c>
      <c r="F41" s="494"/>
      <c r="G41" s="494">
        <f t="shared" si="6"/>
        <v>15151672.669999998</v>
      </c>
      <c r="H41" s="494"/>
      <c r="I41" s="20">
        <f>'Exhibit U,4'!S41</f>
        <v>712208.5199999999</v>
      </c>
      <c r="J41" s="187"/>
      <c r="K41" s="20">
        <f>'Exhibit U,7'!Y41</f>
        <v>16061647.872125499</v>
      </c>
      <c r="L41" s="187"/>
      <c r="M41" s="494">
        <f t="shared" si="7"/>
        <v>16773856.392125499</v>
      </c>
      <c r="N41" s="494"/>
      <c r="O41" s="494">
        <f t="shared" si="8"/>
        <v>2633.7300000000978</v>
      </c>
      <c r="P41" s="494"/>
      <c r="Q41" s="494">
        <f t="shared" si="9"/>
        <v>-1624817.4521255009</v>
      </c>
      <c r="R41" s="494"/>
      <c r="S41" s="494">
        <f t="shared" si="10"/>
        <v>-1622183.7221255004</v>
      </c>
      <c r="U41" s="21"/>
    </row>
    <row r="42" spans="1:21">
      <c r="A42" s="6">
        <f t="shared" si="11"/>
        <v>2014</v>
      </c>
      <c r="C42" s="494">
        <f>'Exhibit U,4'!K42</f>
        <v>2642156.08</v>
      </c>
      <c r="D42" s="494"/>
      <c r="E42" s="494">
        <f>'Exhibit U,7'!Q42</f>
        <v>16424629.659670547</v>
      </c>
      <c r="F42" s="494"/>
      <c r="G42" s="494">
        <f t="shared" si="6"/>
        <v>19066785.739670545</v>
      </c>
      <c r="H42" s="494"/>
      <c r="I42" s="20">
        <f>'Exhibit U,4'!S42</f>
        <v>2855104.37</v>
      </c>
      <c r="J42" s="187"/>
      <c r="K42" s="20">
        <f>'Exhibit U,7'!Y42</f>
        <v>18021091.667991932</v>
      </c>
      <c r="L42" s="187"/>
      <c r="M42" s="494">
        <f t="shared" si="7"/>
        <v>20876196.037991934</v>
      </c>
      <c r="N42" s="494"/>
      <c r="O42" s="494">
        <f t="shared" si="8"/>
        <v>-212948.29000000004</v>
      </c>
      <c r="P42" s="494"/>
      <c r="Q42" s="494">
        <f t="shared" si="9"/>
        <v>-1596462.0083213858</v>
      </c>
      <c r="R42" s="494"/>
      <c r="S42" s="494">
        <f t="shared" si="10"/>
        <v>-1809410.2983213887</v>
      </c>
      <c r="U42" s="21"/>
    </row>
    <row r="43" spans="1:21">
      <c r="A43" s="6">
        <f t="shared" si="11"/>
        <v>2015</v>
      </c>
      <c r="C43" s="494">
        <f>'Exhibit U,4'!K43</f>
        <v>1881397.8199999998</v>
      </c>
      <c r="D43" s="494"/>
      <c r="E43" s="494">
        <f>'Exhibit U,7'!Q43</f>
        <v>3610515.3318520281</v>
      </c>
      <c r="F43" s="494"/>
      <c r="G43" s="494">
        <f t="shared" si="6"/>
        <v>5491913.1518520284</v>
      </c>
      <c r="H43" s="494"/>
      <c r="I43" s="20">
        <f>'Exhibit U,4'!S43</f>
        <v>1556448.95</v>
      </c>
      <c r="J43" s="187"/>
      <c r="K43" s="20">
        <f>'Exhibit U,7'!Y43</f>
        <v>4067989.0308451727</v>
      </c>
      <c r="L43" s="187"/>
      <c r="M43" s="494">
        <f t="shared" si="7"/>
        <v>5624437.9808451729</v>
      </c>
      <c r="N43" s="494"/>
      <c r="O43" s="494">
        <f t="shared" si="8"/>
        <v>324948.86999999988</v>
      </c>
      <c r="P43" s="494"/>
      <c r="Q43" s="494">
        <f t="shared" si="9"/>
        <v>-457473.69899314456</v>
      </c>
      <c r="R43" s="494"/>
      <c r="S43" s="494">
        <f t="shared" si="10"/>
        <v>-132524.82899314445</v>
      </c>
      <c r="U43" s="21"/>
    </row>
    <row r="44" spans="1:21">
      <c r="A44" s="6">
        <f t="shared" si="11"/>
        <v>2016</v>
      </c>
      <c r="C44" s="494">
        <f>'Exhibit U,4'!K44</f>
        <v>2097568.7800000003</v>
      </c>
      <c r="D44" s="494"/>
      <c r="E44" s="494">
        <f>'Exhibit U,7'!Q44</f>
        <v>8608263.2542770319</v>
      </c>
      <c r="F44" s="494"/>
      <c r="G44" s="494">
        <f t="shared" si="6"/>
        <v>10705832.034277033</v>
      </c>
      <c r="H44" s="494"/>
      <c r="I44" s="20">
        <f>'Exhibit U,4'!S44</f>
        <v>1414711.1700000004</v>
      </c>
      <c r="J44" s="187"/>
      <c r="K44" s="20">
        <f>'Exhibit U,7'!Y44</f>
        <v>10306250.221771397</v>
      </c>
      <c r="L44" s="187"/>
      <c r="M44" s="494">
        <f t="shared" si="7"/>
        <v>11720961.391771397</v>
      </c>
      <c r="N44" s="494"/>
      <c r="O44" s="494">
        <f t="shared" si="8"/>
        <v>682857.60999999987</v>
      </c>
      <c r="P44" s="494"/>
      <c r="Q44" s="494">
        <f t="shared" si="9"/>
        <v>-1697986.9674943648</v>
      </c>
      <c r="R44" s="494"/>
      <c r="S44" s="494">
        <f t="shared" si="10"/>
        <v>-1015129.3574943636</v>
      </c>
      <c r="U44" s="21"/>
    </row>
    <row r="45" spans="1:21">
      <c r="A45" s="6">
        <f t="shared" si="11"/>
        <v>2017</v>
      </c>
      <c r="C45" s="494">
        <f>'Exhibit U,4'!K45</f>
        <v>305163.03999999998</v>
      </c>
      <c r="D45" s="494"/>
      <c r="E45" s="494">
        <f>'Exhibit U,7'!Q45</f>
        <v>8555253.1997112818</v>
      </c>
      <c r="F45" s="494"/>
      <c r="G45" s="494">
        <f t="shared" si="6"/>
        <v>8860416.2397112809</v>
      </c>
      <c r="H45" s="494"/>
      <c r="I45" s="20">
        <f>'Exhibit U,4'!S45</f>
        <v>304640.94</v>
      </c>
      <c r="J45" s="187"/>
      <c r="K45" s="20">
        <f>'Exhibit U,7'!Y45</f>
        <v>9765745.6673291624</v>
      </c>
      <c r="L45" s="187"/>
      <c r="M45" s="494">
        <f t="shared" si="7"/>
        <v>10070386.607329162</v>
      </c>
      <c r="N45" s="494"/>
      <c r="O45" s="494">
        <f t="shared" si="8"/>
        <v>522.09999999997672</v>
      </c>
      <c r="P45" s="494"/>
      <c r="Q45" s="494">
        <f t="shared" si="9"/>
        <v>-1210492.4676178806</v>
      </c>
      <c r="R45" s="494"/>
      <c r="S45" s="494">
        <f t="shared" si="10"/>
        <v>-1209970.3676178809</v>
      </c>
      <c r="U45" s="21"/>
    </row>
    <row r="46" spans="1:21">
      <c r="A46" s="6">
        <f t="shared" si="11"/>
        <v>2018</v>
      </c>
      <c r="C46" s="494">
        <f>'Exhibit U,4'!K46</f>
        <v>898335.37</v>
      </c>
      <c r="D46" s="494"/>
      <c r="E46" s="494">
        <f>'Exhibit U,7'!Q46</f>
        <v>6273734.8345578294</v>
      </c>
      <c r="F46" s="494"/>
      <c r="G46" s="494">
        <f t="shared" si="6"/>
        <v>7172070.2045578295</v>
      </c>
      <c r="H46" s="494"/>
      <c r="I46" s="20">
        <f>'Exhibit U,4'!S46</f>
        <v>1868146.1184840575</v>
      </c>
      <c r="J46" s="187"/>
      <c r="K46" s="20">
        <f>'Exhibit U,7'!Y46</f>
        <v>6322124.109693517</v>
      </c>
      <c r="L46" s="187"/>
      <c r="M46" s="494">
        <f t="shared" si="7"/>
        <v>8190270.2281775745</v>
      </c>
      <c r="N46" s="494"/>
      <c r="O46" s="494">
        <f t="shared" si="8"/>
        <v>-969810.74848405749</v>
      </c>
      <c r="P46" s="494"/>
      <c r="Q46" s="494">
        <f t="shared" si="9"/>
        <v>-48389.275135687552</v>
      </c>
      <c r="R46" s="494"/>
      <c r="S46" s="494">
        <f t="shared" si="10"/>
        <v>-1018200.0236197449</v>
      </c>
      <c r="U46" s="21"/>
    </row>
    <row r="47" spans="1:21">
      <c r="A47" s="6">
        <f t="shared" si="11"/>
        <v>2019</v>
      </c>
      <c r="C47" s="494">
        <f>'Exhibit U,4'!K47</f>
        <v>443585.02751689998</v>
      </c>
      <c r="D47" s="494"/>
      <c r="E47" s="494">
        <f>'Exhibit U,7'!Q47</f>
        <v>4949533.3278978486</v>
      </c>
      <c r="F47" s="494"/>
      <c r="G47" s="494">
        <f t="shared" si="6"/>
        <v>5393118.3554147482</v>
      </c>
      <c r="H47" s="494"/>
      <c r="I47" s="20">
        <f>'Exhibit U,4'!S47</f>
        <v>583356.58558453247</v>
      </c>
      <c r="J47" s="187"/>
      <c r="K47" s="20">
        <f>'Exhibit U,7'!Y47</f>
        <v>5868209.7098056022</v>
      </c>
      <c r="L47" s="187"/>
      <c r="M47" s="494">
        <f t="shared" si="7"/>
        <v>6451566.2953901347</v>
      </c>
      <c r="N47" s="494"/>
      <c r="O47" s="494">
        <f t="shared" si="8"/>
        <v>-139771.55806763249</v>
      </c>
      <c r="P47" s="494"/>
      <c r="Q47" s="494">
        <f t="shared" si="9"/>
        <v>-918676.38190775365</v>
      </c>
      <c r="R47" s="494"/>
      <c r="S47" s="494">
        <f t="shared" si="10"/>
        <v>-1058447.9399753865</v>
      </c>
      <c r="U47" s="21"/>
    </row>
    <row r="48" spans="1:21">
      <c r="A48" s="6">
        <f t="shared" si="11"/>
        <v>2020</v>
      </c>
      <c r="C48" s="494">
        <f>'Exhibit U,4'!K48</f>
        <v>328697.36398441909</v>
      </c>
      <c r="D48" s="494"/>
      <c r="E48" s="494">
        <f>'Exhibit U,7'!Q48</f>
        <v>4946139.9316030554</v>
      </c>
      <c r="F48" s="494"/>
      <c r="G48" s="494">
        <f t="shared" si="6"/>
        <v>5274837.2955874745</v>
      </c>
      <c r="H48" s="494"/>
      <c r="I48" s="20">
        <f>'Exhibit U,4'!S48</f>
        <v>620540.57829513052</v>
      </c>
      <c r="J48" s="187"/>
      <c r="K48" s="20">
        <f>'Exhibit U,7'!Y48</f>
        <v>3661823.2311404599</v>
      </c>
      <c r="L48" s="187"/>
      <c r="M48" s="494">
        <f t="shared" si="7"/>
        <v>4282363.8094355902</v>
      </c>
      <c r="N48" s="494"/>
      <c r="O48" s="494">
        <f t="shared" si="8"/>
        <v>-291843.21431071142</v>
      </c>
      <c r="P48" s="494"/>
      <c r="Q48" s="494">
        <f t="shared" si="9"/>
        <v>1284316.7004625956</v>
      </c>
      <c r="R48" s="494"/>
      <c r="S48" s="494">
        <f t="shared" si="10"/>
        <v>992473.48615188431</v>
      </c>
      <c r="U48" s="21"/>
    </row>
    <row r="49" spans="1:21">
      <c r="A49" s="6">
        <f t="shared" si="11"/>
        <v>2021</v>
      </c>
      <c r="C49" s="494">
        <f>'Exhibit U,4'!K49</f>
        <v>671037.38841891964</v>
      </c>
      <c r="D49" s="494"/>
      <c r="E49" s="494">
        <f>'Exhibit U,7'!Q49</f>
        <v>4047614.0804731995</v>
      </c>
      <c r="F49" s="494"/>
      <c r="G49" s="494">
        <f t="shared" si="6"/>
        <v>4718651.4688921189</v>
      </c>
      <c r="H49" s="494"/>
      <c r="I49" s="20">
        <f>'Exhibit U,4'!S49</f>
        <v>1181588.4477077133</v>
      </c>
      <c r="J49" s="187"/>
      <c r="K49" s="20">
        <f>'Exhibit U,7'!Y49</f>
        <v>2697837.1396077485</v>
      </c>
      <c r="L49" s="187"/>
      <c r="M49" s="494">
        <f t="shared" si="7"/>
        <v>3879425.5873154616</v>
      </c>
      <c r="N49" s="494"/>
      <c r="O49" s="494">
        <f t="shared" si="8"/>
        <v>-510551.05928879371</v>
      </c>
      <c r="P49" s="494"/>
      <c r="Q49" s="494">
        <f t="shared" si="9"/>
        <v>1349776.940865451</v>
      </c>
      <c r="R49" s="494"/>
      <c r="S49" s="494">
        <f t="shared" si="10"/>
        <v>839225.8815766573</v>
      </c>
      <c r="U49" s="21"/>
    </row>
    <row r="50" spans="1:21">
      <c r="A50" s="6">
        <f t="shared" si="11"/>
        <v>2022</v>
      </c>
      <c r="C50" s="494">
        <f>'Exhibit U,4'!K50</f>
        <v>1315092.6956908247</v>
      </c>
      <c r="D50" s="494"/>
      <c r="E50" s="494">
        <f>'Exhibit U,7'!Q50</f>
        <v>3038384.4169053682</v>
      </c>
      <c r="F50" s="494"/>
      <c r="G50" s="494">
        <f t="shared" si="6"/>
        <v>4353477.1125961933</v>
      </c>
      <c r="H50" s="494"/>
      <c r="I50" s="494"/>
      <c r="J50" s="494"/>
      <c r="K50" s="499"/>
      <c r="L50" s="494"/>
      <c r="M50" s="494"/>
      <c r="N50" s="494"/>
      <c r="O50" s="494"/>
      <c r="P50" s="494"/>
      <c r="Q50" s="494"/>
      <c r="R50" s="494"/>
      <c r="S50" s="494"/>
    </row>
    <row r="51" spans="1:21">
      <c r="A51" s="6"/>
      <c r="C51" s="200"/>
      <c r="E51" s="200"/>
      <c r="G51" s="200"/>
      <c r="H51" s="18"/>
      <c r="I51" s="200"/>
      <c r="K51" s="200"/>
      <c r="M51" s="200"/>
      <c r="N51" s="18"/>
      <c r="O51" s="200"/>
      <c r="Q51" s="200"/>
      <c r="S51" s="200"/>
      <c r="U51" s="21"/>
    </row>
    <row r="52" spans="1:21">
      <c r="A52" s="2" t="s">
        <v>0</v>
      </c>
      <c r="C52" s="147">
        <f>SUM(C36:C51)</f>
        <v>17776723.935611062</v>
      </c>
      <c r="D52" s="147"/>
      <c r="E52" s="147">
        <f>SUM(E36:E51)</f>
        <v>105614354.54694819</v>
      </c>
      <c r="F52" s="508"/>
      <c r="G52" s="147">
        <f>SUM(G36:G51)</f>
        <v>123391078.48255926</v>
      </c>
      <c r="H52" s="147"/>
      <c r="I52" s="147">
        <f>SUM(I36:I51)</f>
        <v>17575593.800071429</v>
      </c>
      <c r="J52" s="508"/>
      <c r="K52" s="147">
        <f>SUM(K36:K51)</f>
        <v>109149966.45031047</v>
      </c>
      <c r="L52" s="147"/>
      <c r="M52" s="147">
        <f>SUM(M36:M51)</f>
        <v>126725560.25038192</v>
      </c>
      <c r="N52" s="147"/>
      <c r="O52" s="147">
        <f>SUM(O36:O51)</f>
        <v>-1113962.5601511954</v>
      </c>
      <c r="P52" s="508"/>
      <c r="Q52" s="147">
        <f>SUM(Q36:Q51)</f>
        <v>-6573996.3202676717</v>
      </c>
      <c r="R52" s="147"/>
      <c r="S52" s="147">
        <f>SUM(S36:S51)</f>
        <v>-7687958.8804188669</v>
      </c>
    </row>
    <row r="53" spans="1:21">
      <c r="Q53" s="19"/>
    </row>
    <row r="54" spans="1:21" ht="16">
      <c r="A54" s="15" t="s">
        <v>85</v>
      </c>
    </row>
    <row r="55" spans="1:21">
      <c r="A55" s="6">
        <f>A36</f>
        <v>2008</v>
      </c>
      <c r="C55" s="147">
        <f>C17-C36</f>
        <v>0</v>
      </c>
      <c r="D55" s="147"/>
      <c r="E55" s="147">
        <f>E17-E36</f>
        <v>40612.189999999944</v>
      </c>
      <c r="F55" s="147"/>
      <c r="G55" s="147">
        <f>G17-G36</f>
        <v>40612.189999999944</v>
      </c>
      <c r="H55" s="147"/>
      <c r="I55" s="147">
        <f>I17-I36</f>
        <v>0</v>
      </c>
      <c r="J55" s="147"/>
      <c r="K55" s="147">
        <f>K17-K36</f>
        <v>40612.189999999944</v>
      </c>
      <c r="L55" s="147"/>
      <c r="M55" s="147">
        <f>M17-M36</f>
        <v>40612.189999999944</v>
      </c>
      <c r="N55" s="147"/>
      <c r="O55" s="147">
        <f>O17-O36</f>
        <v>0</v>
      </c>
      <c r="P55" s="147"/>
      <c r="Q55" s="147">
        <f>Q17-Q36</f>
        <v>0</v>
      </c>
      <c r="R55" s="147"/>
      <c r="S55" s="147">
        <f>S17-S36</f>
        <v>0</v>
      </c>
    </row>
    <row r="56" spans="1:21">
      <c r="A56" s="6">
        <f>A55+1</f>
        <v>2009</v>
      </c>
      <c r="C56" s="494">
        <f t="shared" ref="C56:E69" si="12">C18-C37</f>
        <v>0</v>
      </c>
      <c r="D56" s="187"/>
      <c r="E56" s="494">
        <f t="shared" si="12"/>
        <v>0</v>
      </c>
      <c r="F56" s="187"/>
      <c r="G56" s="494">
        <f t="shared" ref="G56:G69" si="13">G18-G37</f>
        <v>0</v>
      </c>
      <c r="H56" s="187"/>
      <c r="I56" s="494">
        <f t="shared" ref="I56:I69" si="14">I18-I37</f>
        <v>0</v>
      </c>
      <c r="J56" s="187"/>
      <c r="K56" s="494">
        <f t="shared" ref="K56:K69" si="15">K18-K37</f>
        <v>0</v>
      </c>
      <c r="L56" s="187"/>
      <c r="M56" s="494">
        <f t="shared" ref="M56:M69" si="16">M18-M37</f>
        <v>0</v>
      </c>
      <c r="N56" s="187"/>
      <c r="O56" s="494">
        <f t="shared" ref="O56:O69" si="17">O18-O37</f>
        <v>0</v>
      </c>
      <c r="P56" s="187"/>
      <c r="Q56" s="494">
        <f t="shared" ref="Q56:S69" si="18">Q18-Q37</f>
        <v>0</v>
      </c>
      <c r="R56" s="187"/>
      <c r="S56" s="494">
        <f t="shared" si="18"/>
        <v>0</v>
      </c>
    </row>
    <row r="57" spans="1:21">
      <c r="A57" s="6">
        <f t="shared" ref="A57:A69" si="19">A56+1</f>
        <v>2010</v>
      </c>
      <c r="C57" s="494">
        <f t="shared" si="12"/>
        <v>0</v>
      </c>
      <c r="D57" s="187"/>
      <c r="E57" s="494">
        <f t="shared" si="12"/>
        <v>1851509.8499999996</v>
      </c>
      <c r="F57" s="187"/>
      <c r="G57" s="494">
        <f t="shared" si="13"/>
        <v>1851509.8500000006</v>
      </c>
      <c r="H57" s="187"/>
      <c r="I57" s="494">
        <f t="shared" si="14"/>
        <v>0</v>
      </c>
      <c r="J57" s="187"/>
      <c r="K57" s="494">
        <f t="shared" si="15"/>
        <v>1851509.8499999996</v>
      </c>
      <c r="L57" s="187"/>
      <c r="M57" s="494">
        <f t="shared" si="16"/>
        <v>1851509.8500000006</v>
      </c>
      <c r="N57" s="187"/>
      <c r="O57" s="494">
        <f t="shared" si="17"/>
        <v>0</v>
      </c>
      <c r="P57" s="187"/>
      <c r="Q57" s="494">
        <f t="shared" si="18"/>
        <v>0</v>
      </c>
      <c r="R57" s="187"/>
      <c r="S57" s="494">
        <f t="shared" si="18"/>
        <v>0</v>
      </c>
    </row>
    <row r="58" spans="1:21">
      <c r="A58" s="6">
        <f t="shared" si="19"/>
        <v>2011</v>
      </c>
      <c r="C58" s="494">
        <f t="shared" si="12"/>
        <v>0</v>
      </c>
      <c r="D58" s="187"/>
      <c r="E58" s="494">
        <f t="shared" si="12"/>
        <v>93981.669999999925</v>
      </c>
      <c r="F58" s="187"/>
      <c r="G58" s="494">
        <f t="shared" si="13"/>
        <v>93981.669999999925</v>
      </c>
      <c r="H58" s="187"/>
      <c r="I58" s="494">
        <f t="shared" si="14"/>
        <v>0</v>
      </c>
      <c r="J58" s="187"/>
      <c r="K58" s="494">
        <f t="shared" si="15"/>
        <v>93981.669999999925</v>
      </c>
      <c r="L58" s="187"/>
      <c r="M58" s="494">
        <f t="shared" si="16"/>
        <v>93981.669999999925</v>
      </c>
      <c r="N58" s="187"/>
      <c r="O58" s="494">
        <f t="shared" si="17"/>
        <v>0</v>
      </c>
      <c r="P58" s="187"/>
      <c r="Q58" s="494">
        <f t="shared" si="18"/>
        <v>0</v>
      </c>
      <c r="R58" s="187"/>
      <c r="S58" s="494">
        <f t="shared" si="18"/>
        <v>0</v>
      </c>
    </row>
    <row r="59" spans="1:21">
      <c r="A59" s="6">
        <f t="shared" si="19"/>
        <v>2012</v>
      </c>
      <c r="C59" s="494">
        <f t="shared" si="12"/>
        <v>569137.53000000026</v>
      </c>
      <c r="D59" s="187"/>
      <c r="E59" s="494">
        <f t="shared" si="12"/>
        <v>3757760.4999999981</v>
      </c>
      <c r="F59" s="187"/>
      <c r="G59" s="494">
        <f t="shared" si="13"/>
        <v>4326898.0299999975</v>
      </c>
      <c r="H59" s="187"/>
      <c r="I59" s="494">
        <f t="shared" si="14"/>
        <v>569137.53000000026</v>
      </c>
      <c r="J59" s="187"/>
      <c r="K59" s="494">
        <f t="shared" si="15"/>
        <v>4194903.5</v>
      </c>
      <c r="L59" s="187"/>
      <c r="M59" s="494">
        <f t="shared" si="16"/>
        <v>4764041.0300000012</v>
      </c>
      <c r="N59" s="187"/>
      <c r="O59" s="494">
        <f t="shared" si="17"/>
        <v>0</v>
      </c>
      <c r="P59" s="187"/>
      <c r="Q59" s="494">
        <f t="shared" si="18"/>
        <v>-437143.00000000186</v>
      </c>
      <c r="R59" s="187"/>
      <c r="S59" s="494">
        <f t="shared" si="18"/>
        <v>-437143.00000000373</v>
      </c>
    </row>
    <row r="60" spans="1:21">
      <c r="A60" s="6">
        <f t="shared" si="19"/>
        <v>2013</v>
      </c>
      <c r="C60" s="494">
        <f t="shared" si="12"/>
        <v>0</v>
      </c>
      <c r="D60" s="187"/>
      <c r="E60" s="494">
        <f t="shared" si="12"/>
        <v>2921411.5500000007</v>
      </c>
      <c r="F60" s="187"/>
      <c r="G60" s="494">
        <f t="shared" si="13"/>
        <v>2921411.5500000007</v>
      </c>
      <c r="H60" s="187"/>
      <c r="I60" s="494">
        <f t="shared" si="14"/>
        <v>0</v>
      </c>
      <c r="J60" s="187"/>
      <c r="K60" s="494">
        <f t="shared" si="15"/>
        <v>2914173.8036807068</v>
      </c>
      <c r="L60" s="187"/>
      <c r="M60" s="494">
        <f t="shared" si="16"/>
        <v>2914173.8036807068</v>
      </c>
      <c r="N60" s="187"/>
      <c r="O60" s="494">
        <f t="shared" si="17"/>
        <v>0</v>
      </c>
      <c r="P60" s="187"/>
      <c r="Q60" s="494">
        <f t="shared" si="18"/>
        <v>7237.7463192939758</v>
      </c>
      <c r="R60" s="187"/>
      <c r="S60" s="494">
        <f t="shared" si="18"/>
        <v>7237.7463192939758</v>
      </c>
    </row>
    <row r="61" spans="1:21">
      <c r="A61" s="6">
        <f t="shared" si="19"/>
        <v>2014</v>
      </c>
      <c r="C61" s="494">
        <f t="shared" si="12"/>
        <v>530047.85000000009</v>
      </c>
      <c r="D61" s="187"/>
      <c r="E61" s="494">
        <f t="shared" si="12"/>
        <v>4649187.3590646982</v>
      </c>
      <c r="F61" s="187"/>
      <c r="G61" s="494">
        <f t="shared" si="13"/>
        <v>5179235.2090646997</v>
      </c>
      <c r="H61" s="187"/>
      <c r="I61" s="494">
        <f t="shared" si="14"/>
        <v>530047.85000000009</v>
      </c>
      <c r="J61" s="187"/>
      <c r="K61" s="494">
        <f t="shared" si="15"/>
        <v>5825586.1519944109</v>
      </c>
      <c r="L61" s="187"/>
      <c r="M61" s="494">
        <f t="shared" si="16"/>
        <v>6355634.0019944087</v>
      </c>
      <c r="N61" s="187"/>
      <c r="O61" s="494">
        <f t="shared" si="17"/>
        <v>0</v>
      </c>
      <c r="P61" s="187"/>
      <c r="Q61" s="494">
        <f t="shared" si="18"/>
        <v>-1176398.7929297127</v>
      </c>
      <c r="R61" s="187"/>
      <c r="S61" s="494">
        <f t="shared" si="18"/>
        <v>-1176398.792929709</v>
      </c>
    </row>
    <row r="62" spans="1:21">
      <c r="A62" s="6">
        <f t="shared" si="19"/>
        <v>2015</v>
      </c>
      <c r="C62" s="494">
        <f t="shared" si="12"/>
        <v>0</v>
      </c>
      <c r="D62" s="187"/>
      <c r="E62" s="494">
        <f t="shared" si="12"/>
        <v>453552.22277981369</v>
      </c>
      <c r="F62" s="187"/>
      <c r="G62" s="494">
        <f t="shared" si="13"/>
        <v>453552.22277981322</v>
      </c>
      <c r="H62" s="187"/>
      <c r="I62" s="494">
        <f t="shared" si="14"/>
        <v>0</v>
      </c>
      <c r="J62" s="187"/>
      <c r="K62" s="494">
        <f t="shared" si="15"/>
        <v>17009.037291612942</v>
      </c>
      <c r="L62" s="187"/>
      <c r="M62" s="494">
        <f t="shared" si="16"/>
        <v>17009.037291612476</v>
      </c>
      <c r="N62" s="187"/>
      <c r="O62" s="494">
        <f t="shared" si="17"/>
        <v>0</v>
      </c>
      <c r="P62" s="187"/>
      <c r="Q62" s="494">
        <f t="shared" si="18"/>
        <v>436543.18548820075</v>
      </c>
      <c r="R62" s="187"/>
      <c r="S62" s="494">
        <f t="shared" si="18"/>
        <v>436543.18548820075</v>
      </c>
    </row>
    <row r="63" spans="1:21">
      <c r="A63" s="6">
        <f t="shared" si="19"/>
        <v>2016</v>
      </c>
      <c r="C63" s="494">
        <f t="shared" si="12"/>
        <v>3054565.75</v>
      </c>
      <c r="D63" s="187"/>
      <c r="E63" s="494">
        <f t="shared" si="12"/>
        <v>3023429.7915633563</v>
      </c>
      <c r="F63" s="187"/>
      <c r="G63" s="494">
        <f t="shared" si="13"/>
        <v>6077995.5415633544</v>
      </c>
      <c r="H63" s="187"/>
      <c r="I63" s="494">
        <f t="shared" si="14"/>
        <v>3054565.7499999995</v>
      </c>
      <c r="J63" s="187"/>
      <c r="K63" s="494">
        <f t="shared" si="15"/>
        <v>2805341.0015116502</v>
      </c>
      <c r="L63" s="187"/>
      <c r="M63" s="494">
        <f t="shared" si="16"/>
        <v>5859906.7515116502</v>
      </c>
      <c r="N63" s="187"/>
      <c r="O63" s="494">
        <f t="shared" si="17"/>
        <v>0</v>
      </c>
      <c r="P63" s="187"/>
      <c r="Q63" s="494">
        <f t="shared" si="18"/>
        <v>218088.79005170614</v>
      </c>
      <c r="R63" s="187"/>
      <c r="S63" s="494">
        <f t="shared" si="18"/>
        <v>218088.79005170427</v>
      </c>
    </row>
    <row r="64" spans="1:21">
      <c r="A64" s="6">
        <f t="shared" si="19"/>
        <v>2017</v>
      </c>
      <c r="C64" s="494">
        <f t="shared" si="12"/>
        <v>0</v>
      </c>
      <c r="D64" s="187"/>
      <c r="E64" s="494">
        <f t="shared" si="12"/>
        <v>2706311.0041710064</v>
      </c>
      <c r="F64" s="187"/>
      <c r="G64" s="494">
        <f t="shared" si="13"/>
        <v>2706311.0041710064</v>
      </c>
      <c r="H64" s="187"/>
      <c r="I64" s="494">
        <f t="shared" si="14"/>
        <v>0</v>
      </c>
      <c r="J64" s="187"/>
      <c r="K64" s="494">
        <f t="shared" si="15"/>
        <v>3383852.3873977475</v>
      </c>
      <c r="L64" s="187"/>
      <c r="M64" s="494">
        <f t="shared" si="16"/>
        <v>3383852.3873977475</v>
      </c>
      <c r="N64" s="187"/>
      <c r="O64" s="494">
        <f t="shared" si="17"/>
        <v>0</v>
      </c>
      <c r="P64" s="187"/>
      <c r="Q64" s="494">
        <f t="shared" si="18"/>
        <v>-677541.38322674111</v>
      </c>
      <c r="R64" s="187"/>
      <c r="S64" s="494">
        <f t="shared" si="18"/>
        <v>-677541.38322674111</v>
      </c>
    </row>
    <row r="65" spans="1:19">
      <c r="A65" s="6">
        <f t="shared" si="19"/>
        <v>2018</v>
      </c>
      <c r="C65" s="494">
        <f t="shared" si="12"/>
        <v>0</v>
      </c>
      <c r="D65" s="187"/>
      <c r="E65" s="494">
        <f t="shared" si="12"/>
        <v>732343.34173495136</v>
      </c>
      <c r="F65" s="187"/>
      <c r="G65" s="494">
        <f t="shared" si="13"/>
        <v>732343.34173495136</v>
      </c>
      <c r="H65" s="187"/>
      <c r="I65" s="494">
        <f t="shared" si="14"/>
        <v>169683.69058086048</v>
      </c>
      <c r="J65" s="187"/>
      <c r="K65" s="494">
        <f t="shared" si="15"/>
        <v>1028809.6637075143</v>
      </c>
      <c r="L65" s="187"/>
      <c r="M65" s="494">
        <f t="shared" si="16"/>
        <v>1198493.3542883741</v>
      </c>
      <c r="N65" s="187"/>
      <c r="O65" s="494">
        <f t="shared" si="17"/>
        <v>-169683.6905808606</v>
      </c>
      <c r="P65" s="187"/>
      <c r="Q65" s="494">
        <f t="shared" si="18"/>
        <v>-296466.32197256293</v>
      </c>
      <c r="R65" s="187"/>
      <c r="S65" s="494">
        <f t="shared" si="18"/>
        <v>-466150.01255342271</v>
      </c>
    </row>
    <row r="66" spans="1:19">
      <c r="A66" s="6">
        <f t="shared" si="19"/>
        <v>2019</v>
      </c>
      <c r="C66" s="494">
        <f t="shared" si="12"/>
        <v>42038.343167717627</v>
      </c>
      <c r="D66" s="187"/>
      <c r="E66" s="494">
        <f t="shared" si="12"/>
        <v>1763080.45808791</v>
      </c>
      <c r="F66" s="187"/>
      <c r="G66" s="494">
        <f t="shared" si="13"/>
        <v>1805118.8012556275</v>
      </c>
      <c r="H66" s="187"/>
      <c r="I66" s="494">
        <f t="shared" si="14"/>
        <v>44359.653815566795</v>
      </c>
      <c r="J66" s="187"/>
      <c r="K66" s="494">
        <f t="shared" si="15"/>
        <v>918948.14829755854</v>
      </c>
      <c r="L66" s="187"/>
      <c r="M66" s="494">
        <f t="shared" si="16"/>
        <v>963307.8021131251</v>
      </c>
      <c r="N66" s="187"/>
      <c r="O66" s="494">
        <f t="shared" si="17"/>
        <v>-2321.3106478491682</v>
      </c>
      <c r="P66" s="187"/>
      <c r="Q66" s="494">
        <f t="shared" si="18"/>
        <v>844132.30979035143</v>
      </c>
      <c r="R66" s="187"/>
      <c r="S66" s="494">
        <f t="shared" si="18"/>
        <v>841810.99914250243</v>
      </c>
    </row>
    <row r="67" spans="1:19">
      <c r="A67" s="6">
        <f t="shared" si="19"/>
        <v>2020</v>
      </c>
      <c r="C67" s="494">
        <f t="shared" si="12"/>
        <v>227211.71119767422</v>
      </c>
      <c r="D67" s="187"/>
      <c r="E67" s="494">
        <f t="shared" si="12"/>
        <v>1423744.1888644751</v>
      </c>
      <c r="F67" s="187"/>
      <c r="G67" s="494">
        <f t="shared" si="13"/>
        <v>1650955.9000621494</v>
      </c>
      <c r="H67" s="187"/>
      <c r="I67" s="494">
        <f t="shared" si="14"/>
        <v>86111.415274615749</v>
      </c>
      <c r="J67" s="187"/>
      <c r="K67" s="494">
        <f t="shared" si="15"/>
        <v>755901.9691493595</v>
      </c>
      <c r="L67" s="187"/>
      <c r="M67" s="494">
        <f t="shared" si="16"/>
        <v>842013.38442397583</v>
      </c>
      <c r="N67" s="187"/>
      <c r="O67" s="494">
        <f t="shared" si="17"/>
        <v>141100.29592305847</v>
      </c>
      <c r="P67" s="187"/>
      <c r="Q67" s="494">
        <f t="shared" si="18"/>
        <v>667842.21971511561</v>
      </c>
      <c r="R67" s="187"/>
      <c r="S67" s="494">
        <f t="shared" si="18"/>
        <v>808942.51563817356</v>
      </c>
    </row>
    <row r="68" spans="1:19">
      <c r="A68" s="6">
        <f t="shared" si="19"/>
        <v>2021</v>
      </c>
      <c r="C68" s="494">
        <f t="shared" si="12"/>
        <v>534053.72073123627</v>
      </c>
      <c r="D68" s="187"/>
      <c r="E68" s="494">
        <f t="shared" si="12"/>
        <v>967561.85829848051</v>
      </c>
      <c r="F68" s="187"/>
      <c r="G68" s="494">
        <f t="shared" si="13"/>
        <v>1501615.5790297175</v>
      </c>
      <c r="H68" s="187"/>
      <c r="I68" s="494">
        <f t="shared" si="14"/>
        <v>282381.49178033858</v>
      </c>
      <c r="J68" s="187"/>
      <c r="K68" s="494">
        <f t="shared" si="15"/>
        <v>601004.18203214463</v>
      </c>
      <c r="L68" s="187"/>
      <c r="M68" s="494">
        <f t="shared" si="16"/>
        <v>883385.67381248344</v>
      </c>
      <c r="N68" s="187"/>
      <c r="O68" s="494">
        <f t="shared" si="17"/>
        <v>251672.2289508977</v>
      </c>
      <c r="P68" s="187"/>
      <c r="Q68" s="494">
        <f t="shared" si="18"/>
        <v>366557.67626633588</v>
      </c>
      <c r="R68" s="187"/>
      <c r="S68" s="494">
        <f t="shared" si="18"/>
        <v>618229.90521723405</v>
      </c>
    </row>
    <row r="69" spans="1:19">
      <c r="A69" s="6">
        <f t="shared" si="19"/>
        <v>2022</v>
      </c>
      <c r="C69" s="494">
        <f t="shared" si="12"/>
        <v>226060.70830917498</v>
      </c>
      <c r="D69" s="187"/>
      <c r="E69" s="494">
        <f t="shared" si="12"/>
        <v>583547.72016846295</v>
      </c>
      <c r="F69" s="187"/>
      <c r="G69" s="494">
        <f t="shared" si="13"/>
        <v>809608.42847763747</v>
      </c>
      <c r="H69" s="187"/>
      <c r="I69" s="494">
        <f t="shared" si="14"/>
        <v>0</v>
      </c>
      <c r="J69" s="187"/>
      <c r="K69" s="494">
        <f t="shared" si="15"/>
        <v>0</v>
      </c>
      <c r="L69" s="187"/>
      <c r="M69" s="494">
        <f t="shared" si="16"/>
        <v>0</v>
      </c>
      <c r="N69" s="187"/>
      <c r="O69" s="494">
        <f t="shared" si="17"/>
        <v>0</v>
      </c>
      <c r="P69" s="187"/>
      <c r="Q69" s="494">
        <f t="shared" si="18"/>
        <v>0</v>
      </c>
      <c r="R69" s="187"/>
      <c r="S69" s="494">
        <f t="shared" si="18"/>
        <v>0</v>
      </c>
    </row>
    <row r="70" spans="1:19">
      <c r="A70" s="6"/>
      <c r="C70" s="200"/>
      <c r="E70" s="200"/>
      <c r="G70" s="200"/>
      <c r="H70" s="18"/>
      <c r="I70" s="200"/>
      <c r="K70" s="200"/>
      <c r="M70" s="200"/>
      <c r="N70" s="18"/>
      <c r="O70" s="200"/>
      <c r="Q70" s="200"/>
      <c r="S70" s="200"/>
    </row>
    <row r="71" spans="1:19">
      <c r="A71" s="2" t="s">
        <v>0</v>
      </c>
      <c r="C71" s="147">
        <f>SUM(C55:C70)</f>
        <v>5183115.6134058032</v>
      </c>
      <c r="D71" s="147"/>
      <c r="E71" s="147">
        <f>SUM(E55:E70)</f>
        <v>24968033.704733156</v>
      </c>
      <c r="F71" s="508"/>
      <c r="G71" s="147">
        <f>SUM(G55:G70)</f>
        <v>30151149.318138957</v>
      </c>
      <c r="H71" s="147"/>
      <c r="I71" s="147">
        <f>SUM(I55:I70)</f>
        <v>4736287.3814513814</v>
      </c>
      <c r="J71" s="508"/>
      <c r="K71" s="147">
        <f>SUM(K55:K70)</f>
        <v>24431633.555062704</v>
      </c>
      <c r="L71" s="147"/>
      <c r="M71" s="147">
        <f>SUM(M55:M70)</f>
        <v>29167920.93651408</v>
      </c>
      <c r="N71" s="147"/>
      <c r="O71" s="147">
        <f>SUM(O55:O70)</f>
        <v>220767.5236452464</v>
      </c>
      <c r="P71" s="508"/>
      <c r="Q71" s="147">
        <f>SUM(Q55:Q70)</f>
        <v>-47147.5704980148</v>
      </c>
      <c r="R71" s="147"/>
      <c r="S71" s="147">
        <f>SUM(S55:S70)</f>
        <v>173619.95314723253</v>
      </c>
    </row>
    <row r="74" spans="1:19">
      <c r="A74" s="64" t="s">
        <v>104</v>
      </c>
      <c r="C74" s="3" t="s">
        <v>172</v>
      </c>
    </row>
    <row r="75" spans="1:19">
      <c r="A75" s="64" t="s">
        <v>36</v>
      </c>
      <c r="C75" s="3" t="s">
        <v>173</v>
      </c>
    </row>
    <row r="76" spans="1:19">
      <c r="A76" s="64" t="s">
        <v>38</v>
      </c>
      <c r="C76" s="3" t="s">
        <v>174</v>
      </c>
    </row>
    <row r="77" spans="1:19">
      <c r="A77" s="64" t="s">
        <v>186</v>
      </c>
      <c r="C77" s="140" t="s">
        <v>1352</v>
      </c>
    </row>
    <row r="78" spans="1:19">
      <c r="A78" s="64" t="s">
        <v>31</v>
      </c>
      <c r="C78" s="3" t="s">
        <v>273</v>
      </c>
    </row>
    <row r="79" spans="1:19">
      <c r="A79" s="64" t="s">
        <v>103</v>
      </c>
      <c r="C79" s="3" t="s">
        <v>274</v>
      </c>
    </row>
    <row r="80" spans="1:19">
      <c r="A80" s="64" t="s">
        <v>106</v>
      </c>
      <c r="C80" s="3" t="s">
        <v>277</v>
      </c>
    </row>
  </sheetData>
  <printOptions horizontalCentered="1"/>
  <pageMargins left="0.7" right="0.7" top="0.75" bottom="0.75" header="0.3" footer="0.3"/>
  <pageSetup scale="55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5">
    <pageSetUpPr fitToPage="1"/>
  </sheetPr>
  <dimension ref="A1:U60"/>
  <sheetViews>
    <sheetView topLeftCell="D7" zoomScaleNormal="100" workbookViewId="0">
      <selection activeCell="K31" sqref="K31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0.28515625" style="1" bestFit="1" customWidth="1"/>
    <col min="13" max="15" width="8.7109375" style="1"/>
    <col min="16" max="24" width="12.7109375" style="1" customWidth="1"/>
    <col min="25" max="16384" width="8.7109375" style="1"/>
  </cols>
  <sheetData>
    <row r="1" spans="1:20">
      <c r="K1" s="64" t="s">
        <v>955</v>
      </c>
    </row>
    <row r="2" spans="1:20">
      <c r="K2" s="64" t="s">
        <v>96</v>
      </c>
    </row>
    <row r="4" spans="1:20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20">
      <c r="A5" s="5"/>
      <c r="B5" s="5"/>
      <c r="C5" s="5"/>
      <c r="D5" s="5"/>
      <c r="E5" s="5"/>
      <c r="F5" s="5"/>
      <c r="G5" s="5"/>
      <c r="H5" s="5"/>
      <c r="I5" s="5"/>
      <c r="J5" s="5"/>
      <c r="K5" s="5"/>
    </row>
    <row r="6" spans="1:20">
      <c r="A6" s="5" t="s">
        <v>151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20">
      <c r="A7" s="5" t="s">
        <v>161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20">
      <c r="A8" s="5" t="s">
        <v>168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20">
      <c r="A9" s="5"/>
      <c r="B9" s="5"/>
      <c r="C9" s="5"/>
      <c r="D9" s="5"/>
      <c r="E9" s="5"/>
      <c r="F9" s="5"/>
      <c r="G9" s="5"/>
      <c r="H9" s="5"/>
      <c r="I9" s="5"/>
      <c r="J9" s="5"/>
      <c r="K9" s="5"/>
      <c r="R9" s="177"/>
      <c r="S9" s="177"/>
    </row>
    <row r="10" spans="1:20">
      <c r="P10" s="61"/>
      <c r="Q10" s="61"/>
      <c r="R10" s="24"/>
      <c r="T10" s="61"/>
    </row>
    <row r="11" spans="1:20">
      <c r="C11" s="5" t="s">
        <v>163</v>
      </c>
      <c r="D11" s="5"/>
      <c r="E11" s="5"/>
      <c r="G11" s="5" t="s">
        <v>163</v>
      </c>
      <c r="H11" s="5"/>
      <c r="I11" s="5"/>
      <c r="K11" s="2" t="s">
        <v>1</v>
      </c>
      <c r="L11" s="25"/>
      <c r="P11" s="61"/>
      <c r="Q11" s="61"/>
      <c r="R11" s="25"/>
      <c r="S11" s="24" t="s">
        <v>2</v>
      </c>
      <c r="T11" s="61"/>
    </row>
    <row r="12" spans="1:20">
      <c r="A12" s="2" t="s">
        <v>6</v>
      </c>
      <c r="C12" s="8" t="s">
        <v>164</v>
      </c>
      <c r="D12" s="8"/>
      <c r="E12" s="8"/>
      <c r="G12" s="8" t="s">
        <v>169</v>
      </c>
      <c r="H12" s="8"/>
      <c r="I12" s="8"/>
      <c r="K12" s="2" t="s">
        <v>67</v>
      </c>
      <c r="L12" s="25"/>
      <c r="M12" s="25"/>
      <c r="P12" s="97" t="s">
        <v>6</v>
      </c>
      <c r="Q12" s="61"/>
      <c r="R12" s="25"/>
      <c r="S12" s="25" t="s">
        <v>67</v>
      </c>
      <c r="T12" s="61"/>
    </row>
    <row r="13" spans="1:20">
      <c r="A13" s="6" t="s">
        <v>4</v>
      </c>
      <c r="B13" s="6"/>
      <c r="C13" s="6" t="s">
        <v>153</v>
      </c>
      <c r="E13" s="2" t="s">
        <v>154</v>
      </c>
      <c r="G13" s="6" t="s">
        <v>153</v>
      </c>
      <c r="I13" s="2" t="s">
        <v>154</v>
      </c>
      <c r="J13" s="6"/>
      <c r="K13" s="2" t="s">
        <v>55</v>
      </c>
      <c r="L13" s="25"/>
      <c r="M13" s="25"/>
      <c r="P13" s="25" t="s">
        <v>4</v>
      </c>
      <c r="Q13" s="61"/>
      <c r="R13" s="25"/>
      <c r="S13" s="25" t="s">
        <v>5</v>
      </c>
      <c r="T13" s="25" t="s">
        <v>18</v>
      </c>
    </row>
    <row r="14" spans="1:20">
      <c r="A14" s="9" t="s">
        <v>27</v>
      </c>
      <c r="B14" s="11"/>
      <c r="C14" s="9">
        <v>-2</v>
      </c>
      <c r="D14" s="11"/>
      <c r="E14" s="9">
        <v>-3</v>
      </c>
      <c r="F14" s="11"/>
      <c r="G14" s="9">
        <v>-4</v>
      </c>
      <c r="H14" s="11"/>
      <c r="I14" s="9">
        <v>-5</v>
      </c>
      <c r="J14" s="11"/>
      <c r="K14" s="9">
        <v>-6</v>
      </c>
      <c r="L14" s="142"/>
      <c r="M14" s="142"/>
      <c r="P14" s="224" t="s">
        <v>30</v>
      </c>
      <c r="Q14" s="61"/>
      <c r="R14" s="61"/>
      <c r="S14" s="225" t="s">
        <v>103</v>
      </c>
      <c r="T14" s="225" t="s">
        <v>103</v>
      </c>
    </row>
    <row r="15" spans="1:20">
      <c r="P15" s="61"/>
      <c r="Q15" s="61"/>
      <c r="R15" s="61"/>
      <c r="S15" s="61"/>
      <c r="T15" s="61"/>
    </row>
    <row r="16" spans="1:20" ht="16">
      <c r="A16" s="15" t="s">
        <v>77</v>
      </c>
      <c r="K16" s="18"/>
      <c r="P16" s="226" t="s">
        <v>77</v>
      </c>
      <c r="Q16" s="61"/>
      <c r="R16" s="61"/>
      <c r="S16" s="61"/>
      <c r="T16" s="61"/>
    </row>
    <row r="17" spans="1:21">
      <c r="A17" s="6">
        <v>2008</v>
      </c>
      <c r="C17" s="147">
        <f>'Exhibit U,6'!O17</f>
        <v>577451.15</v>
      </c>
      <c r="D17" s="147"/>
      <c r="E17" s="147">
        <f>'Exhibit U,6'!Q17</f>
        <v>577451.15</v>
      </c>
      <c r="F17" s="147"/>
      <c r="G17" s="147">
        <f>'Exhibit U,5'!O17</f>
        <v>577451.15</v>
      </c>
      <c r="H17" s="147"/>
      <c r="I17" s="147">
        <f>'Exhibit U,5'!Q17</f>
        <v>577451.15</v>
      </c>
      <c r="J17" s="147"/>
      <c r="K17" s="147">
        <f>E17</f>
        <v>577451.15</v>
      </c>
      <c r="P17" s="25">
        <f>A17</f>
        <v>2008</v>
      </c>
      <c r="Q17" s="61"/>
      <c r="R17" s="61"/>
      <c r="S17" s="172">
        <v>577451.15</v>
      </c>
      <c r="T17" s="172">
        <f>K17-S17</f>
        <v>0</v>
      </c>
      <c r="U17" s="18"/>
    </row>
    <row r="18" spans="1:21">
      <c r="A18" s="6">
        <f>A17+1</f>
        <v>2009</v>
      </c>
      <c r="C18" s="20">
        <f>'Exhibit U,6'!O18</f>
        <v>28875.5</v>
      </c>
      <c r="D18" s="20"/>
      <c r="E18" s="20">
        <f>'Exhibit U,6'!Q18</f>
        <v>28875.5</v>
      </c>
      <c r="F18" s="20"/>
      <c r="G18" s="20">
        <f>'Exhibit U,5'!O18</f>
        <v>28875.5</v>
      </c>
      <c r="H18" s="20"/>
      <c r="I18" s="20">
        <f>'Exhibit U,5'!Q18</f>
        <v>28875.5</v>
      </c>
      <c r="K18" s="20">
        <f t="shared" ref="K18:K25" si="0">E18</f>
        <v>28875.5</v>
      </c>
      <c r="P18" s="25">
        <f t="shared" ref="P18:P31" si="1">P17+1</f>
        <v>2009</v>
      </c>
      <c r="Q18" s="61"/>
      <c r="R18" s="61"/>
      <c r="S18" s="172">
        <v>28875.5</v>
      </c>
      <c r="T18" s="172">
        <f t="shared" ref="T18:T30" si="2">K18-S18</f>
        <v>0</v>
      </c>
      <c r="U18" s="18"/>
    </row>
    <row r="19" spans="1:21">
      <c r="A19" s="6">
        <f t="shared" ref="A19:A31" si="3">A18+1</f>
        <v>2010</v>
      </c>
      <c r="C19" s="20">
        <f>'Exhibit U,6'!O19</f>
        <v>1056390.7999999998</v>
      </c>
      <c r="D19" s="20"/>
      <c r="E19" s="20">
        <f>'Exhibit U,6'!Q19</f>
        <v>1056390.7999999998</v>
      </c>
      <c r="F19" s="20"/>
      <c r="G19" s="20">
        <f>'Exhibit U,5'!O19</f>
        <v>1056390.7999999998</v>
      </c>
      <c r="H19" s="20"/>
      <c r="I19" s="20">
        <f>'Exhibit U,5'!Q19</f>
        <v>1056390.7999999998</v>
      </c>
      <c r="K19" s="20">
        <f t="shared" si="0"/>
        <v>1056390.7999999998</v>
      </c>
      <c r="P19" s="25">
        <f t="shared" si="1"/>
        <v>2010</v>
      </c>
      <c r="Q19" s="61"/>
      <c r="R19" s="61"/>
      <c r="S19" s="172">
        <v>1056390.7999999998</v>
      </c>
      <c r="T19" s="172">
        <f t="shared" si="2"/>
        <v>0</v>
      </c>
      <c r="U19" s="18"/>
    </row>
    <row r="20" spans="1:21">
      <c r="A20" s="6">
        <f t="shared" si="3"/>
        <v>2011</v>
      </c>
      <c r="C20" s="20">
        <f>'Exhibit U,6'!O20</f>
        <v>640869.17000000004</v>
      </c>
      <c r="D20" s="20"/>
      <c r="E20" s="20">
        <f>'Exhibit U,6'!Q20</f>
        <v>640869.17000000004</v>
      </c>
      <c r="F20" s="20"/>
      <c r="G20" s="20">
        <f>'Exhibit U,5'!O20</f>
        <v>640869.17000000004</v>
      </c>
      <c r="H20" s="20"/>
      <c r="I20" s="20">
        <f>'Exhibit U,5'!Q20</f>
        <v>640869.17000000004</v>
      </c>
      <c r="K20" s="20">
        <f t="shared" si="0"/>
        <v>640869.17000000004</v>
      </c>
      <c r="P20" s="25">
        <f t="shared" si="1"/>
        <v>2011</v>
      </c>
      <c r="Q20" s="61"/>
      <c r="R20" s="61"/>
      <c r="S20" s="172">
        <v>640869.17000000004</v>
      </c>
      <c r="T20" s="172">
        <f t="shared" si="2"/>
        <v>0</v>
      </c>
      <c r="U20" s="18"/>
    </row>
    <row r="21" spans="1:21">
      <c r="A21" s="6">
        <f t="shared" si="3"/>
        <v>2012</v>
      </c>
      <c r="C21" s="20">
        <f>'Exhibit U,6'!O21</f>
        <v>4744399.03</v>
      </c>
      <c r="D21" s="20"/>
      <c r="E21" s="20">
        <f>'Exhibit U,6'!Q21</f>
        <v>4744399.03</v>
      </c>
      <c r="F21" s="20"/>
      <c r="G21" s="20">
        <f>'Exhibit U,5'!O21</f>
        <v>4744399.03</v>
      </c>
      <c r="H21" s="20"/>
      <c r="I21" s="20">
        <f>'Exhibit U,5'!Q21</f>
        <v>4744399.03</v>
      </c>
      <c r="K21" s="20">
        <f t="shared" si="0"/>
        <v>4744399.03</v>
      </c>
      <c r="P21" s="25">
        <f t="shared" si="1"/>
        <v>2012</v>
      </c>
      <c r="Q21" s="61"/>
      <c r="R21" s="61"/>
      <c r="S21" s="172">
        <v>4744399.03</v>
      </c>
      <c r="T21" s="172">
        <f t="shared" si="2"/>
        <v>0</v>
      </c>
      <c r="U21" s="18"/>
    </row>
    <row r="22" spans="1:21">
      <c r="A22" s="6">
        <f t="shared" si="3"/>
        <v>2013</v>
      </c>
      <c r="C22" s="20">
        <f>'Exhibit U,6'!O22</f>
        <v>714842.25</v>
      </c>
      <c r="D22" s="20"/>
      <c r="E22" s="20">
        <f>'Exhibit U,6'!Q22</f>
        <v>714842.25</v>
      </c>
      <c r="F22" s="20"/>
      <c r="G22" s="20">
        <f>'Exhibit U,5'!O22</f>
        <v>714842.25</v>
      </c>
      <c r="H22" s="20"/>
      <c r="I22" s="20">
        <f>'Exhibit U,5'!Q22</f>
        <v>714842.25</v>
      </c>
      <c r="K22" s="20">
        <f t="shared" si="0"/>
        <v>714842.25</v>
      </c>
      <c r="P22" s="25">
        <f t="shared" si="1"/>
        <v>2013</v>
      </c>
      <c r="Q22" s="61"/>
      <c r="R22" s="223"/>
      <c r="S22" s="172">
        <v>712208.5199999999</v>
      </c>
      <c r="T22" s="172">
        <f t="shared" si="2"/>
        <v>2633.7300000000978</v>
      </c>
      <c r="U22" s="18"/>
    </row>
    <row r="23" spans="1:21">
      <c r="A23" s="6">
        <f t="shared" si="3"/>
        <v>2014</v>
      </c>
      <c r="C23" s="20">
        <f>'Exhibit U,6'!O23</f>
        <v>3172203.93</v>
      </c>
      <c r="D23" s="20"/>
      <c r="E23" s="20">
        <f>'Exhibit U,6'!Q23</f>
        <v>3172203.93</v>
      </c>
      <c r="F23" s="20"/>
      <c r="G23" s="20">
        <f>'Exhibit U,5'!O23</f>
        <v>3172905.4102426739</v>
      </c>
      <c r="H23" s="20"/>
      <c r="I23" s="20">
        <f>'Exhibit U,5'!Q23</f>
        <v>3172930.3334646211</v>
      </c>
      <c r="K23" s="20">
        <f t="shared" si="0"/>
        <v>3172203.93</v>
      </c>
      <c r="L23" s="26"/>
      <c r="P23" s="25">
        <f t="shared" si="1"/>
        <v>2014</v>
      </c>
      <c r="Q23" s="61"/>
      <c r="R23" s="172"/>
      <c r="S23" s="172">
        <v>3385152.22</v>
      </c>
      <c r="T23" s="172">
        <f t="shared" si="2"/>
        <v>-212948.29000000004</v>
      </c>
      <c r="U23" s="18"/>
    </row>
    <row r="24" spans="1:21">
      <c r="A24" s="6">
        <f t="shared" si="3"/>
        <v>2015</v>
      </c>
      <c r="C24" s="20">
        <f>'Exhibit U,6'!O24</f>
        <v>1881397.8199999998</v>
      </c>
      <c r="D24" s="20"/>
      <c r="E24" s="20">
        <f>'Exhibit U,6'!Q24</f>
        <v>1881397.8199999998</v>
      </c>
      <c r="F24" s="20"/>
      <c r="G24" s="20">
        <f>'Exhibit U,5'!O24</f>
        <v>1903628.5147310623</v>
      </c>
      <c r="H24" s="20"/>
      <c r="I24" s="20">
        <f>'Exhibit U,5'!Q24</f>
        <v>1903937.31545806</v>
      </c>
      <c r="K24" s="20">
        <f t="shared" si="0"/>
        <v>1881397.8199999998</v>
      </c>
      <c r="L24" s="20"/>
      <c r="P24" s="25">
        <f t="shared" si="1"/>
        <v>2015</v>
      </c>
      <c r="Q24" s="61"/>
      <c r="R24" s="172"/>
      <c r="S24" s="172">
        <v>1556448.95</v>
      </c>
      <c r="T24" s="172">
        <f t="shared" si="2"/>
        <v>324948.86999999988</v>
      </c>
      <c r="U24" s="18"/>
    </row>
    <row r="25" spans="1:21">
      <c r="A25" s="6">
        <f t="shared" si="3"/>
        <v>2016</v>
      </c>
      <c r="C25" s="20">
        <f>'Exhibit U,6'!O25</f>
        <v>5152134.53</v>
      </c>
      <c r="D25" s="20"/>
      <c r="E25" s="20">
        <f>'Exhibit U,6'!Q25</f>
        <v>5152134.53</v>
      </c>
      <c r="F25" s="20"/>
      <c r="G25" s="20">
        <f>'Exhibit U,5'!O25</f>
        <v>4906752.9620587593</v>
      </c>
      <c r="H25" s="20"/>
      <c r="I25" s="20">
        <f>'Exhibit U,5'!Q25</f>
        <v>4626474.3137028059</v>
      </c>
      <c r="K25" s="20">
        <f t="shared" si="0"/>
        <v>5152134.53</v>
      </c>
      <c r="L25" s="20"/>
      <c r="P25" s="25">
        <f t="shared" si="1"/>
        <v>2016</v>
      </c>
      <c r="Q25" s="61"/>
      <c r="R25" s="172"/>
      <c r="S25" s="172">
        <v>4469276.92</v>
      </c>
      <c r="T25" s="172">
        <f t="shared" si="2"/>
        <v>682857.61000000034</v>
      </c>
      <c r="U25" s="18"/>
    </row>
    <row r="26" spans="1:21">
      <c r="A26" s="6">
        <f t="shared" si="3"/>
        <v>2017</v>
      </c>
      <c r="C26" s="20">
        <f>'Exhibit U,6'!O26</f>
        <v>305163.03999999998</v>
      </c>
      <c r="D26" s="20"/>
      <c r="E26" s="20">
        <f>'Exhibit U,6'!Q26</f>
        <v>305163.03999999998</v>
      </c>
      <c r="F26" s="20"/>
      <c r="G26" s="20">
        <f>'Exhibit U,5'!O26</f>
        <v>540155.18443467212</v>
      </c>
      <c r="H26" s="20"/>
      <c r="I26" s="20">
        <f>'Exhibit U,5'!Q26</f>
        <v>343579.47766653408</v>
      </c>
      <c r="K26" s="20">
        <f>C26</f>
        <v>305163.03999999998</v>
      </c>
      <c r="L26" s="20"/>
      <c r="P26" s="25">
        <f t="shared" si="1"/>
        <v>2017</v>
      </c>
      <c r="Q26" s="61"/>
      <c r="R26" s="172"/>
      <c r="S26" s="172">
        <v>304640.94</v>
      </c>
      <c r="T26" s="172">
        <f t="shared" si="2"/>
        <v>522.09999999997672</v>
      </c>
      <c r="U26" s="18"/>
    </row>
    <row r="27" spans="1:21">
      <c r="A27" s="6">
        <f t="shared" si="3"/>
        <v>2018</v>
      </c>
      <c r="C27" s="20">
        <f>'Exhibit U,6'!O27</f>
        <v>898335.37</v>
      </c>
      <c r="D27" s="20"/>
      <c r="E27" s="20">
        <f>'Exhibit U,6'!Q27</f>
        <v>898335.37</v>
      </c>
      <c r="F27" s="20"/>
      <c r="G27" s="20">
        <f>'Exhibit U,5'!O27</f>
        <v>768031.70317208255</v>
      </c>
      <c r="H27" s="20"/>
      <c r="I27" s="20">
        <f>'Exhibit U,5'!Q27</f>
        <v>581291.58060402633</v>
      </c>
      <c r="K27" s="20">
        <f t="shared" ref="K27:K30" si="4">C27</f>
        <v>898335.37</v>
      </c>
      <c r="L27" s="137"/>
      <c r="M27" s="84"/>
      <c r="P27" s="25">
        <f t="shared" si="1"/>
        <v>2018</v>
      </c>
      <c r="Q27" s="61"/>
      <c r="R27" s="172"/>
      <c r="S27" s="172">
        <v>2037829.809064918</v>
      </c>
      <c r="T27" s="172">
        <f t="shared" si="2"/>
        <v>-1139494.4390649181</v>
      </c>
      <c r="U27" s="18"/>
    </row>
    <row r="28" spans="1:21">
      <c r="A28" s="6">
        <f t="shared" si="3"/>
        <v>2019</v>
      </c>
      <c r="C28" s="20">
        <f>'Exhibit U,6'!O28</f>
        <v>485623.37068461761</v>
      </c>
      <c r="D28" s="20"/>
      <c r="E28" s="20">
        <f>'Exhibit U,6'!Q28</f>
        <v>447247.49307065853</v>
      </c>
      <c r="F28" s="20"/>
      <c r="G28" s="20">
        <f>'Exhibit U,5'!O28</f>
        <v>640592.10320980067</v>
      </c>
      <c r="H28" s="20"/>
      <c r="I28" s="20">
        <f>'Exhibit U,5'!Q28</f>
        <v>240477.67014223684</v>
      </c>
      <c r="K28" s="20">
        <f t="shared" si="4"/>
        <v>485623.37068461761</v>
      </c>
      <c r="L28" s="137"/>
      <c r="M28" s="84"/>
      <c r="P28" s="25">
        <f t="shared" si="1"/>
        <v>2019</v>
      </c>
      <c r="Q28" s="61"/>
      <c r="R28" s="172"/>
      <c r="S28" s="172">
        <v>627716.23940009926</v>
      </c>
      <c r="T28" s="172">
        <f t="shared" si="2"/>
        <v>-142092.86871548166</v>
      </c>
      <c r="U28" s="18"/>
    </row>
    <row r="29" spans="1:21">
      <c r="A29" s="6">
        <f t="shared" si="3"/>
        <v>2020</v>
      </c>
      <c r="C29" s="20">
        <f>'Exhibit U,6'!O29</f>
        <v>555909.07518209331</v>
      </c>
      <c r="D29" s="20"/>
      <c r="E29" s="20">
        <f>'Exhibit U,6'!Q29</f>
        <v>269305.0728775296</v>
      </c>
      <c r="F29" s="20"/>
      <c r="G29" s="20">
        <f>'Exhibit U,5'!O29</f>
        <v>875766.95581083454</v>
      </c>
      <c r="H29" s="20"/>
      <c r="I29" s="20">
        <f>'Exhibit U,5'!Q29</f>
        <v>362955.31467063981</v>
      </c>
      <c r="K29" s="20">
        <f t="shared" si="4"/>
        <v>555909.07518209331</v>
      </c>
      <c r="L29" s="137"/>
      <c r="M29" s="84"/>
      <c r="P29" s="25">
        <f t="shared" si="1"/>
        <v>2020</v>
      </c>
      <c r="Q29" s="61"/>
      <c r="R29" s="172"/>
      <c r="S29" s="172">
        <v>706651.99356974626</v>
      </c>
      <c r="T29" s="172">
        <f t="shared" si="2"/>
        <v>-150742.91838765296</v>
      </c>
      <c r="U29" s="18"/>
    </row>
    <row r="30" spans="1:21">
      <c r="A30" s="6">
        <f t="shared" si="3"/>
        <v>2021</v>
      </c>
      <c r="C30" s="20">
        <f>'Exhibit U,6'!O30</f>
        <v>1205091.1091501559</v>
      </c>
      <c r="D30" s="20"/>
      <c r="E30" s="20">
        <f>'Exhibit U,6'!Q30</f>
        <v>146911.32298649519</v>
      </c>
      <c r="F30" s="20"/>
      <c r="G30" s="20">
        <f>'Exhibit U,5'!O30</f>
        <v>1523554.7967933286</v>
      </c>
      <c r="H30" s="20"/>
      <c r="I30" s="20">
        <f>'Exhibit U,5'!Q30</f>
        <v>81743.119644521925</v>
      </c>
      <c r="K30" s="20">
        <f t="shared" si="4"/>
        <v>1205091.1091501559</v>
      </c>
      <c r="L30" s="137"/>
      <c r="M30" s="84"/>
      <c r="P30" s="25">
        <f t="shared" si="1"/>
        <v>2021</v>
      </c>
      <c r="Q30" s="61"/>
      <c r="R30" s="172"/>
      <c r="S30" s="172">
        <v>1463969.9394880519</v>
      </c>
      <c r="T30" s="172">
        <f t="shared" si="2"/>
        <v>-258878.83033789601</v>
      </c>
      <c r="U30" s="18"/>
    </row>
    <row r="31" spans="1:21">
      <c r="A31" s="6">
        <f t="shared" si="3"/>
        <v>2022</v>
      </c>
      <c r="C31" s="20">
        <f>'Exhibit U,6'!O31</f>
        <v>1987902.6296314495</v>
      </c>
      <c r="D31" s="20"/>
      <c r="E31" s="20">
        <f>'Exhibit U,6'!Q31</f>
        <v>1349856.3833333333</v>
      </c>
      <c r="F31" s="20"/>
      <c r="G31" s="20">
        <f>'Exhibit U,5'!O31</f>
        <v>2067425.0820578043</v>
      </c>
      <c r="H31" s="20"/>
      <c r="I31" s="20">
        <f>'Exhibit U,5'!Q31</f>
        <v>1230290.3763078889</v>
      </c>
      <c r="K31" s="20">
        <f>'Exhibit U,1'!AG31</f>
        <v>1541153.4039999996</v>
      </c>
      <c r="L31" s="137"/>
      <c r="M31" s="84"/>
      <c r="P31" s="25">
        <f t="shared" si="1"/>
        <v>2022</v>
      </c>
      <c r="Q31" s="61"/>
      <c r="R31" s="39"/>
      <c r="S31" s="137"/>
      <c r="T31" s="61"/>
      <c r="U31" s="18"/>
    </row>
    <row r="32" spans="1:21">
      <c r="A32" s="6"/>
      <c r="C32" s="200"/>
      <c r="E32" s="200"/>
      <c r="G32" s="200"/>
      <c r="H32" s="6"/>
      <c r="I32" s="200"/>
      <c r="J32" s="18"/>
      <c r="K32" s="200"/>
      <c r="L32" s="61"/>
      <c r="M32" s="61"/>
      <c r="P32" s="25"/>
      <c r="Q32" s="61"/>
      <c r="R32" s="61"/>
      <c r="S32" s="70"/>
      <c r="T32" s="70"/>
    </row>
    <row r="33" spans="1:21">
      <c r="A33" s="2" t="s">
        <v>0</v>
      </c>
      <c r="C33" s="19">
        <f>SUM(C17:C32)</f>
        <v>23406588.774648312</v>
      </c>
      <c r="D33" s="19"/>
      <c r="E33" s="19">
        <f>SUM(E17:E32)</f>
        <v>21385382.862268016</v>
      </c>
      <c r="F33" s="6"/>
      <c r="G33" s="19">
        <f>SUM(G17:G32)</f>
        <v>24161640.612511016</v>
      </c>
      <c r="H33" s="19"/>
      <c r="I33" s="19">
        <f>SUM(I17:I32)</f>
        <v>20306507.40166134</v>
      </c>
      <c r="J33" s="6"/>
      <c r="K33" s="19">
        <f>SUM(K17:K32)</f>
        <v>22959839.549016863</v>
      </c>
      <c r="P33" s="97" t="s">
        <v>0</v>
      </c>
      <c r="Q33" s="61"/>
      <c r="R33" s="122"/>
      <c r="S33" s="122">
        <f>SUM(S17:S32)</f>
        <v>22311881.181522816</v>
      </c>
      <c r="T33" s="122">
        <f>SUM(T17:T32)</f>
        <v>-893195.03650594852</v>
      </c>
    </row>
    <row r="34" spans="1:21" ht="16">
      <c r="K34" s="19"/>
      <c r="L34" s="147"/>
      <c r="P34" s="226"/>
      <c r="Q34" s="61"/>
      <c r="R34" s="61"/>
      <c r="S34" s="61"/>
      <c r="T34" s="61"/>
    </row>
    <row r="35" spans="1:21" ht="16">
      <c r="A35" s="15" t="s">
        <v>118</v>
      </c>
      <c r="K35" s="18"/>
      <c r="P35" s="226" t="s">
        <v>118</v>
      </c>
      <c r="Q35" s="61"/>
      <c r="R35" s="61"/>
      <c r="S35" s="61"/>
      <c r="T35" s="61"/>
    </row>
    <row r="36" spans="1:21">
      <c r="A36" s="6">
        <f>A17</f>
        <v>2008</v>
      </c>
      <c r="C36" s="147">
        <f>'Exhibit U,6'!O36</f>
        <v>577451.15</v>
      </c>
      <c r="D36" s="147"/>
      <c r="E36" s="147">
        <f>'Exhibit U,6'!Q36</f>
        <v>577451.15</v>
      </c>
      <c r="F36" s="147"/>
      <c r="G36" s="147">
        <f>'Exhibit U,5'!O36</f>
        <v>577451.15</v>
      </c>
      <c r="H36" s="147"/>
      <c r="I36" s="147">
        <f>'Exhibit U,5'!Q36</f>
        <v>577451.15</v>
      </c>
      <c r="J36" s="147"/>
      <c r="K36" s="147">
        <f>E36</f>
        <v>577451.15</v>
      </c>
      <c r="P36" s="25">
        <f>A17</f>
        <v>2008</v>
      </c>
      <c r="Q36" s="61"/>
      <c r="R36" s="172"/>
      <c r="S36" s="172">
        <v>577451.15</v>
      </c>
      <c r="T36" s="172">
        <f>K36-S36</f>
        <v>0</v>
      </c>
      <c r="U36" s="18"/>
    </row>
    <row r="37" spans="1:21">
      <c r="A37" s="6">
        <f>A36+1</f>
        <v>2009</v>
      </c>
      <c r="C37" s="20">
        <f>'Exhibit U,6'!O37</f>
        <v>28875.5</v>
      </c>
      <c r="D37" s="20"/>
      <c r="E37" s="20">
        <f>'Exhibit U,6'!Q37</f>
        <v>28875.5</v>
      </c>
      <c r="F37" s="20"/>
      <c r="G37" s="20">
        <f>'Exhibit U,5'!O37</f>
        <v>28875.5</v>
      </c>
      <c r="H37" s="20"/>
      <c r="I37" s="20">
        <f>'Exhibit U,5'!Q37</f>
        <v>28875.5</v>
      </c>
      <c r="K37" s="20">
        <f t="shared" ref="K37:K44" si="5">E37</f>
        <v>28875.5</v>
      </c>
      <c r="P37" s="25">
        <f t="shared" ref="P37:P50" si="6">P36+1</f>
        <v>2009</v>
      </c>
      <c r="Q37" s="61"/>
      <c r="R37" s="172"/>
      <c r="S37" s="172">
        <v>28875.5</v>
      </c>
      <c r="T37" s="172">
        <f t="shared" ref="T37:T49" si="7">K37-S37</f>
        <v>0</v>
      </c>
      <c r="U37" s="18"/>
    </row>
    <row r="38" spans="1:21">
      <c r="A38" s="6">
        <f t="shared" ref="A38:A50" si="8">A37+1</f>
        <v>2010</v>
      </c>
      <c r="C38" s="20">
        <f>'Exhibit U,6'!O38</f>
        <v>1056390.7999999998</v>
      </c>
      <c r="D38" s="20"/>
      <c r="E38" s="20">
        <f>'Exhibit U,6'!Q38</f>
        <v>1056390.7999999998</v>
      </c>
      <c r="F38" s="20"/>
      <c r="G38" s="20">
        <f>'Exhibit U,5'!O38</f>
        <v>1056390.7999999998</v>
      </c>
      <c r="H38" s="20"/>
      <c r="I38" s="20">
        <f>'Exhibit U,5'!Q38</f>
        <v>1056390.7999999998</v>
      </c>
      <c r="K38" s="20">
        <f t="shared" si="5"/>
        <v>1056390.7999999998</v>
      </c>
      <c r="P38" s="25">
        <f t="shared" si="6"/>
        <v>2010</v>
      </c>
      <c r="Q38" s="61"/>
      <c r="R38" s="172"/>
      <c r="S38" s="172">
        <v>1056390.7999999998</v>
      </c>
      <c r="T38" s="172">
        <f t="shared" si="7"/>
        <v>0</v>
      </c>
      <c r="U38" s="18"/>
    </row>
    <row r="39" spans="1:21">
      <c r="A39" s="6">
        <f t="shared" si="8"/>
        <v>2011</v>
      </c>
      <c r="C39" s="20">
        <f>'Exhibit U,6'!O39</f>
        <v>640869.17000000004</v>
      </c>
      <c r="D39" s="20"/>
      <c r="E39" s="20">
        <f>'Exhibit U,6'!Q39</f>
        <v>640869.17000000004</v>
      </c>
      <c r="F39" s="20"/>
      <c r="G39" s="20">
        <f>'Exhibit U,5'!O39</f>
        <v>640869.17000000004</v>
      </c>
      <c r="H39" s="20"/>
      <c r="I39" s="20">
        <f>'Exhibit U,5'!Q39</f>
        <v>640869.17000000004</v>
      </c>
      <c r="K39" s="20">
        <f t="shared" si="5"/>
        <v>640869.17000000004</v>
      </c>
      <c r="P39" s="25">
        <f t="shared" si="6"/>
        <v>2011</v>
      </c>
      <c r="Q39" s="61"/>
      <c r="R39" s="172"/>
      <c r="S39" s="172">
        <v>640869.17000000004</v>
      </c>
      <c r="T39" s="172">
        <f t="shared" si="7"/>
        <v>0</v>
      </c>
      <c r="U39" s="18"/>
    </row>
    <row r="40" spans="1:21">
      <c r="A40" s="6">
        <f t="shared" si="8"/>
        <v>2012</v>
      </c>
      <c r="C40" s="20">
        <f>'Exhibit U,6'!O40</f>
        <v>4175261.5</v>
      </c>
      <c r="D40" s="20"/>
      <c r="E40" s="20">
        <f>'Exhibit U,6'!Q40</f>
        <v>4175261.5</v>
      </c>
      <c r="F40" s="20"/>
      <c r="G40" s="20">
        <f>'Exhibit U,5'!O40</f>
        <v>4175261.5</v>
      </c>
      <c r="H40" s="20"/>
      <c r="I40" s="20">
        <f>'Exhibit U,5'!Q40</f>
        <v>4175261.5</v>
      </c>
      <c r="K40" s="20">
        <f t="shared" si="5"/>
        <v>4175261.5</v>
      </c>
      <c r="P40" s="25">
        <f t="shared" si="6"/>
        <v>2012</v>
      </c>
      <c r="Q40" s="61"/>
      <c r="R40" s="172"/>
      <c r="S40" s="172">
        <v>4175261.5</v>
      </c>
      <c r="T40" s="172">
        <f t="shared" si="7"/>
        <v>0</v>
      </c>
      <c r="U40" s="18"/>
    </row>
    <row r="41" spans="1:21">
      <c r="A41" s="6">
        <f t="shared" si="8"/>
        <v>2013</v>
      </c>
      <c r="C41" s="20">
        <f>'Exhibit U,6'!O41</f>
        <v>714842.25</v>
      </c>
      <c r="D41" s="20"/>
      <c r="E41" s="20">
        <f>'Exhibit U,6'!Q41</f>
        <v>714842.25</v>
      </c>
      <c r="F41" s="20"/>
      <c r="G41" s="20">
        <f>'Exhibit U,5'!O41</f>
        <v>714842.25</v>
      </c>
      <c r="H41" s="20"/>
      <c r="I41" s="20">
        <f>'Exhibit U,5'!Q41</f>
        <v>714842.25</v>
      </c>
      <c r="K41" s="20">
        <f t="shared" si="5"/>
        <v>714842.25</v>
      </c>
      <c r="P41" s="25">
        <f t="shared" si="6"/>
        <v>2013</v>
      </c>
      <c r="Q41" s="61"/>
      <c r="R41" s="223"/>
      <c r="S41" s="172">
        <v>712208.5199999999</v>
      </c>
      <c r="T41" s="172">
        <f t="shared" si="7"/>
        <v>2633.7300000000978</v>
      </c>
      <c r="U41" s="18"/>
    </row>
    <row r="42" spans="1:21">
      <c r="A42" s="6">
        <f t="shared" si="8"/>
        <v>2014</v>
      </c>
      <c r="C42" s="20">
        <f>'Exhibit U,6'!O42</f>
        <v>2642156.08</v>
      </c>
      <c r="D42" s="20"/>
      <c r="E42" s="20">
        <f>'Exhibit U,6'!Q42</f>
        <v>2642156.08</v>
      </c>
      <c r="F42" s="20"/>
      <c r="G42" s="20">
        <f>'Exhibit U,5'!O42</f>
        <v>2642717.5592286852</v>
      </c>
      <c r="H42" s="20"/>
      <c r="I42" s="20">
        <f>'Exhibit U,5'!Q42</f>
        <v>2642687.9795582481</v>
      </c>
      <c r="K42" s="20">
        <f t="shared" si="5"/>
        <v>2642156.08</v>
      </c>
      <c r="P42" s="25">
        <f t="shared" si="6"/>
        <v>2014</v>
      </c>
      <c r="Q42" s="61"/>
      <c r="R42" s="172"/>
      <c r="S42" s="172">
        <v>2855104.37</v>
      </c>
      <c r="T42" s="172">
        <f t="shared" si="7"/>
        <v>-212948.29000000004</v>
      </c>
      <c r="U42" s="18"/>
    </row>
    <row r="43" spans="1:21">
      <c r="A43" s="6">
        <f t="shared" si="8"/>
        <v>2015</v>
      </c>
      <c r="C43" s="20">
        <f>'Exhibit U,6'!O43</f>
        <v>1881397.8199999998</v>
      </c>
      <c r="D43" s="20"/>
      <c r="E43" s="20">
        <f>'Exhibit U,6'!Q43</f>
        <v>1881397.8199999998</v>
      </c>
      <c r="F43" s="20"/>
      <c r="G43" s="20">
        <f>'Exhibit U,5'!O43</f>
        <v>1901850.3229744823</v>
      </c>
      <c r="H43" s="20"/>
      <c r="I43" s="20">
        <f>'Exhibit U,5'!Q43</f>
        <v>1902036.1400611328</v>
      </c>
      <c r="K43" s="20">
        <f t="shared" si="5"/>
        <v>1881397.8199999998</v>
      </c>
      <c r="P43" s="25">
        <f t="shared" si="6"/>
        <v>2015</v>
      </c>
      <c r="Q43" s="61"/>
      <c r="R43" s="172"/>
      <c r="S43" s="172">
        <v>1556448.95</v>
      </c>
      <c r="T43" s="172">
        <f t="shared" si="7"/>
        <v>324948.86999999988</v>
      </c>
      <c r="U43" s="18"/>
    </row>
    <row r="44" spans="1:21">
      <c r="A44" s="6">
        <f t="shared" si="8"/>
        <v>2016</v>
      </c>
      <c r="C44" s="20">
        <f>'Exhibit U,6'!O44</f>
        <v>2097568.7800000003</v>
      </c>
      <c r="D44" s="20"/>
      <c r="E44" s="20">
        <f>'Exhibit U,6'!Q44</f>
        <v>2097568.7800000003</v>
      </c>
      <c r="F44" s="20"/>
      <c r="G44" s="20">
        <f>'Exhibit U,5'!O44</f>
        <v>1781260.8777227742</v>
      </c>
      <c r="H44" s="20"/>
      <c r="I44" s="20">
        <f>'Exhibit U,5'!Q44</f>
        <v>1764872.0416841393</v>
      </c>
      <c r="K44" s="20">
        <f t="shared" si="5"/>
        <v>2097568.7800000003</v>
      </c>
      <c r="P44" s="25">
        <f t="shared" si="6"/>
        <v>2016</v>
      </c>
      <c r="Q44" s="61"/>
      <c r="R44" s="172"/>
      <c r="S44" s="172">
        <v>1414711.1700000004</v>
      </c>
      <c r="T44" s="172">
        <f t="shared" si="7"/>
        <v>682857.60999999987</v>
      </c>
      <c r="U44" s="18"/>
    </row>
    <row r="45" spans="1:21">
      <c r="A45" s="6">
        <f t="shared" si="8"/>
        <v>2017</v>
      </c>
      <c r="C45" s="20">
        <f>'Exhibit U,6'!O45</f>
        <v>305163.03999999998</v>
      </c>
      <c r="D45" s="20"/>
      <c r="E45" s="20">
        <f>'Exhibit U,6'!Q45</f>
        <v>305163.03999999998</v>
      </c>
      <c r="F45" s="20"/>
      <c r="G45" s="20">
        <f>'Exhibit U,5'!O45</f>
        <v>336290.46320183726</v>
      </c>
      <c r="H45" s="20"/>
      <c r="I45" s="20">
        <f>'Exhibit U,5'!Q45</f>
        <v>330498.80313677312</v>
      </c>
      <c r="K45" s="20">
        <f t="shared" ref="K45:K49" si="9">C45</f>
        <v>305163.03999999998</v>
      </c>
      <c r="L45" s="22"/>
      <c r="P45" s="25">
        <f t="shared" si="6"/>
        <v>2017</v>
      </c>
      <c r="Q45" s="61"/>
      <c r="R45" s="172"/>
      <c r="S45" s="172">
        <v>304640.94</v>
      </c>
      <c r="T45" s="172">
        <f t="shared" si="7"/>
        <v>522.09999999997672</v>
      </c>
      <c r="U45" s="18"/>
    </row>
    <row r="46" spans="1:21">
      <c r="A46" s="6">
        <f t="shared" si="8"/>
        <v>2018</v>
      </c>
      <c r="C46" s="20">
        <f>'Exhibit U,6'!O46</f>
        <v>898335.37</v>
      </c>
      <c r="D46" s="20"/>
      <c r="E46" s="20">
        <f>'Exhibit U,6'!Q46</f>
        <v>898335.37</v>
      </c>
      <c r="F46" s="20"/>
      <c r="G46" s="20">
        <f>'Exhibit U,5'!O46</f>
        <v>701062.3525648854</v>
      </c>
      <c r="H46" s="20"/>
      <c r="I46" s="20">
        <f>'Exhibit U,5'!Q46</f>
        <v>605231.31550375617</v>
      </c>
      <c r="K46" s="20">
        <f t="shared" si="9"/>
        <v>898335.37</v>
      </c>
      <c r="L46" s="22"/>
      <c r="P46" s="25">
        <f t="shared" si="6"/>
        <v>2018</v>
      </c>
      <c r="Q46" s="61"/>
      <c r="R46" s="172"/>
      <c r="S46" s="172">
        <v>1868146.1184840575</v>
      </c>
      <c r="T46" s="172">
        <f t="shared" si="7"/>
        <v>-969810.74848405749</v>
      </c>
      <c r="U46" s="18"/>
    </row>
    <row r="47" spans="1:21">
      <c r="A47" s="6">
        <f t="shared" si="8"/>
        <v>2019</v>
      </c>
      <c r="C47" s="20">
        <f>'Exhibit U,6'!O47</f>
        <v>443585.02751689998</v>
      </c>
      <c r="D47" s="20"/>
      <c r="E47" s="20">
        <f>'Exhibit U,6'!Q47</f>
        <v>444435.23001971806</v>
      </c>
      <c r="F47" s="20"/>
      <c r="G47" s="20">
        <f>'Exhibit U,5'!O47</f>
        <v>333663.50763246784</v>
      </c>
      <c r="H47" s="20"/>
      <c r="I47" s="20">
        <f>'Exhibit U,5'!Q47</f>
        <v>230695.84089037013</v>
      </c>
      <c r="K47" s="20">
        <f t="shared" si="9"/>
        <v>443585.02751689998</v>
      </c>
      <c r="L47" s="22"/>
      <c r="M47" s="84"/>
      <c r="P47" s="25">
        <f t="shared" si="6"/>
        <v>2019</v>
      </c>
      <c r="Q47" s="61"/>
      <c r="R47" s="172"/>
      <c r="S47" s="172">
        <v>583356.58558453247</v>
      </c>
      <c r="T47" s="172">
        <f t="shared" si="7"/>
        <v>-139771.55806763249</v>
      </c>
      <c r="U47" s="18"/>
    </row>
    <row r="48" spans="1:21">
      <c r="A48" s="6">
        <f t="shared" si="8"/>
        <v>2020</v>
      </c>
      <c r="C48" s="20">
        <f>'Exhibit U,6'!O48</f>
        <v>328697.36398441909</v>
      </c>
      <c r="D48" s="20"/>
      <c r="E48" s="20">
        <f>'Exhibit U,6'!Q48</f>
        <v>259505.5987678133</v>
      </c>
      <c r="F48" s="20"/>
      <c r="G48" s="20">
        <f>'Exhibit U,5'!O48</f>
        <v>430077.304457616</v>
      </c>
      <c r="H48" s="20"/>
      <c r="I48" s="20">
        <f>'Exhibit U,5'!Q48</f>
        <v>341999.8918026663</v>
      </c>
      <c r="K48" s="20">
        <f t="shared" si="9"/>
        <v>328697.36398441909</v>
      </c>
      <c r="L48" s="22"/>
      <c r="M48" s="84"/>
      <c r="P48" s="25">
        <f t="shared" si="6"/>
        <v>2020</v>
      </c>
      <c r="Q48" s="61"/>
      <c r="R48" s="172"/>
      <c r="S48" s="172">
        <v>620540.57829513052</v>
      </c>
      <c r="T48" s="172">
        <f t="shared" si="7"/>
        <v>-291843.21431071142</v>
      </c>
      <c r="U48" s="18"/>
    </row>
    <row r="49" spans="1:21">
      <c r="A49" s="6">
        <f t="shared" si="8"/>
        <v>2021</v>
      </c>
      <c r="C49" s="20">
        <f>'Exhibit U,6'!O49</f>
        <v>671037.38841891964</v>
      </c>
      <c r="D49" s="20"/>
      <c r="E49" s="20">
        <f>'Exhibit U,6'!Q49</f>
        <v>137326.0232725823</v>
      </c>
      <c r="F49" s="20"/>
      <c r="G49" s="20">
        <f>'Exhibit U,5'!O49</f>
        <v>845276.62090303167</v>
      </c>
      <c r="H49" s="20"/>
      <c r="I49" s="20">
        <f>'Exhibit U,5'!Q49</f>
        <v>76377.967460242493</v>
      </c>
      <c r="K49" s="20">
        <f t="shared" si="9"/>
        <v>671037.38841891964</v>
      </c>
      <c r="L49" s="22"/>
      <c r="M49" s="84"/>
      <c r="P49" s="25">
        <f t="shared" si="6"/>
        <v>2021</v>
      </c>
      <c r="Q49" s="61"/>
      <c r="R49" s="172"/>
      <c r="S49" s="172">
        <v>1181588.4477077133</v>
      </c>
      <c r="T49" s="172">
        <f t="shared" si="7"/>
        <v>-510551.05928879371</v>
      </c>
      <c r="U49" s="18"/>
    </row>
    <row r="50" spans="1:21">
      <c r="A50" s="6">
        <f t="shared" si="8"/>
        <v>2022</v>
      </c>
      <c r="C50" s="20">
        <f>'Exhibit U,6'!O50</f>
        <v>1295609.4295238825</v>
      </c>
      <c r="D50" s="20"/>
      <c r="E50" s="20">
        <f>'Exhibit U,6'!Q50</f>
        <v>1183007.5858221448</v>
      </c>
      <c r="F50" s="20"/>
      <c r="G50" s="20">
        <f>'Exhibit U,5'!O50</f>
        <v>1299535.033791089</v>
      </c>
      <c r="H50" s="20"/>
      <c r="I50" s="20">
        <f>'Exhibit U,5'!Q50</f>
        <v>769580.96758695086</v>
      </c>
      <c r="K50" s="603">
        <f>'Exhibit U,12'!E32*K31</f>
        <v>1315092.6956908247</v>
      </c>
      <c r="L50" s="603"/>
      <c r="M50" s="84"/>
      <c r="P50" s="25">
        <f t="shared" si="6"/>
        <v>2022</v>
      </c>
      <c r="Q50" s="61"/>
      <c r="R50" s="61"/>
    </row>
    <row r="51" spans="1:21">
      <c r="A51" s="6"/>
      <c r="C51" s="200"/>
      <c r="E51" s="200"/>
      <c r="G51" s="200"/>
      <c r="H51" s="6"/>
      <c r="I51" s="200"/>
      <c r="J51" s="18"/>
      <c r="K51" s="200"/>
      <c r="P51" s="61"/>
      <c r="Q51" s="61"/>
      <c r="R51" s="223"/>
      <c r="S51" s="70"/>
      <c r="T51" s="233"/>
    </row>
    <row r="52" spans="1:21">
      <c r="A52" s="2" t="s">
        <v>0</v>
      </c>
      <c r="C52" s="19">
        <f>SUM(C36:C51)</f>
        <v>17757240.669444121</v>
      </c>
      <c r="D52" s="19"/>
      <c r="E52" s="19">
        <f>SUM(E36:E51)</f>
        <v>17042585.897882257</v>
      </c>
      <c r="F52" s="6"/>
      <c r="G52" s="19">
        <f>SUM(G36:G51)</f>
        <v>17465424.412476867</v>
      </c>
      <c r="H52" s="19"/>
      <c r="I52" s="19">
        <f>SUM(I36:I51)</f>
        <v>15857671.31768428</v>
      </c>
      <c r="J52" s="6"/>
      <c r="K52" s="19">
        <f>SUM(K36:K51)</f>
        <v>17776723.935611062</v>
      </c>
      <c r="P52" s="61"/>
      <c r="Q52" s="61"/>
      <c r="R52" s="61"/>
      <c r="S52" s="223">
        <f>SUM(S35:S51)</f>
        <v>17575593.800071429</v>
      </c>
      <c r="T52" s="223">
        <f>SUM(T35:T51)</f>
        <v>-1113962.5601511954</v>
      </c>
    </row>
    <row r="53" spans="1:21">
      <c r="P53" s="61"/>
      <c r="Q53" s="61"/>
      <c r="R53" s="61"/>
      <c r="S53" s="61"/>
      <c r="T53" s="61"/>
    </row>
    <row r="54" spans="1:21">
      <c r="P54" s="61"/>
      <c r="Q54" s="61"/>
      <c r="R54" s="61"/>
      <c r="S54" s="61"/>
      <c r="T54" s="61"/>
    </row>
    <row r="55" spans="1:21">
      <c r="P55" s="61"/>
      <c r="Q55" s="61"/>
      <c r="R55" s="61"/>
      <c r="S55" s="61"/>
      <c r="T55" s="61"/>
    </row>
    <row r="56" spans="1:21">
      <c r="P56" s="61"/>
      <c r="Q56" s="61"/>
      <c r="R56" s="61"/>
      <c r="S56" s="61"/>
      <c r="T56" s="61"/>
    </row>
    <row r="57" spans="1:21">
      <c r="A57" s="52" t="s">
        <v>104</v>
      </c>
      <c r="C57" s="3" t="s">
        <v>958</v>
      </c>
      <c r="P57" s="61"/>
      <c r="Q57" s="61"/>
      <c r="R57" s="61"/>
      <c r="S57" s="61"/>
      <c r="T57" s="61"/>
    </row>
    <row r="58" spans="1:21">
      <c r="A58" s="52" t="s">
        <v>36</v>
      </c>
      <c r="C58" s="3" t="s">
        <v>958</v>
      </c>
      <c r="P58" s="61"/>
      <c r="Q58" s="61"/>
      <c r="R58" s="61"/>
      <c r="S58" s="61"/>
      <c r="T58" s="61"/>
    </row>
    <row r="59" spans="1:21">
      <c r="A59" s="52" t="s">
        <v>38</v>
      </c>
      <c r="C59" s="3" t="s">
        <v>959</v>
      </c>
    </row>
    <row r="60" spans="1:21">
      <c r="A60" s="52" t="s">
        <v>40</v>
      </c>
      <c r="C60" s="3" t="s">
        <v>959</v>
      </c>
    </row>
  </sheetData>
  <conditionalFormatting sqref="R36:R49">
    <cfRule type="top10" dxfId="1" priority="2" percent="1" rank="10"/>
  </conditionalFormatting>
  <printOptions horizontalCentered="1"/>
  <pageMargins left="0.7" right="0.7" top="0.75" bottom="0.75" header="0.3" footer="0.3"/>
  <pageSetup scale="73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6">
    <pageSetUpPr fitToPage="1"/>
  </sheetPr>
  <dimension ref="A1:BA82"/>
  <sheetViews>
    <sheetView topLeftCell="D4" zoomScaleNormal="100" workbookViewId="0">
      <selection activeCell="V30" sqref="V30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1.7109375" style="1" customWidth="1"/>
    <col min="14" max="14" width="1.7109375" style="1" customWidth="1"/>
    <col min="15" max="15" width="11.7109375" style="1" customWidth="1"/>
    <col min="16" max="16" width="1.7109375" style="1" customWidth="1"/>
    <col min="17" max="17" width="12.7109375" style="1" customWidth="1"/>
    <col min="18" max="18" width="1.7109375" style="1" customWidth="1"/>
    <col min="19" max="53" width="12.7109375" style="1" customWidth="1"/>
    <col min="54" max="16384" width="8.7109375" style="1"/>
  </cols>
  <sheetData>
    <row r="1" spans="1:49">
      <c r="S1" s="64" t="s">
        <v>955</v>
      </c>
    </row>
    <row r="2" spans="1:49">
      <c r="O2" s="3"/>
      <c r="S2" s="64" t="s">
        <v>98</v>
      </c>
      <c r="T2" s="3"/>
    </row>
    <row r="3" spans="1:49">
      <c r="O3" s="3"/>
      <c r="T3" s="3"/>
    </row>
    <row r="4" spans="1:49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</row>
    <row r="5" spans="1:49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49">
      <c r="A6" s="5" t="s">
        <v>151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49">
      <c r="A7" s="5" t="s">
        <v>161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49">
      <c r="A8" s="5" t="s">
        <v>165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U8" s="61" t="s">
        <v>531</v>
      </c>
      <c r="V8" s="61"/>
      <c r="W8" s="61"/>
      <c r="X8" s="61"/>
      <c r="Y8" s="61"/>
      <c r="Z8" s="61"/>
      <c r="AA8" s="61"/>
      <c r="AB8" s="61"/>
      <c r="AC8" s="61"/>
      <c r="AD8" s="61"/>
      <c r="AE8" s="61" t="s">
        <v>560</v>
      </c>
      <c r="AF8" s="61" t="s">
        <v>568</v>
      </c>
      <c r="AG8" s="61"/>
      <c r="AH8" s="61"/>
      <c r="AI8" s="61"/>
      <c r="AJ8" s="61"/>
      <c r="AK8" s="61"/>
    </row>
    <row r="9" spans="1:4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S9" s="6" t="s">
        <v>11</v>
      </c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</row>
    <row r="10" spans="1:49">
      <c r="C10" s="6" t="s">
        <v>562</v>
      </c>
      <c r="G10" s="6" t="s">
        <v>562</v>
      </c>
      <c r="K10" s="6" t="s">
        <v>562</v>
      </c>
      <c r="M10" s="6" t="s">
        <v>575</v>
      </c>
      <c r="S10" s="6" t="s">
        <v>12</v>
      </c>
      <c r="U10" s="61" t="s">
        <v>1596</v>
      </c>
      <c r="W10" s="61"/>
      <c r="X10" s="61"/>
      <c r="Y10" s="61"/>
      <c r="Z10" s="61"/>
      <c r="AA10" s="61"/>
      <c r="AB10" s="61"/>
      <c r="AC10" s="61"/>
      <c r="AD10" s="61"/>
      <c r="AE10" s="61"/>
      <c r="AF10" s="61" t="s">
        <v>1596</v>
      </c>
      <c r="AG10" s="61"/>
      <c r="AH10" s="61"/>
      <c r="AI10" s="61"/>
      <c r="AJ10" s="61"/>
      <c r="AK10" s="61"/>
    </row>
    <row r="11" spans="1:49">
      <c r="C11" s="6" t="s">
        <v>565</v>
      </c>
      <c r="E11" s="6" t="s">
        <v>7</v>
      </c>
      <c r="G11" s="2" t="s">
        <v>7</v>
      </c>
      <c r="H11" s="2"/>
      <c r="I11" s="2" t="s">
        <v>575</v>
      </c>
      <c r="K11" s="6" t="s">
        <v>64</v>
      </c>
      <c r="L11" s="6"/>
      <c r="M11" s="6" t="s">
        <v>64</v>
      </c>
      <c r="O11" s="6" t="s">
        <v>153</v>
      </c>
      <c r="Q11" s="2" t="s">
        <v>154</v>
      </c>
      <c r="S11" s="2" t="s">
        <v>154</v>
      </c>
      <c r="T11" s="2"/>
      <c r="U11" s="61"/>
      <c r="V11" s="25" t="s">
        <v>1358</v>
      </c>
      <c r="W11" s="25"/>
      <c r="X11" s="61"/>
      <c r="Y11" s="61"/>
      <c r="Z11" s="61"/>
      <c r="AA11" s="25" t="s">
        <v>12</v>
      </c>
      <c r="AB11" s="61"/>
      <c r="AC11" s="61"/>
      <c r="AD11" s="61"/>
      <c r="AE11" s="61"/>
      <c r="AF11" s="61"/>
      <c r="AG11" s="61"/>
      <c r="AH11" s="61"/>
      <c r="AI11" s="61"/>
      <c r="AJ11" s="61"/>
      <c r="AK11" s="25" t="s">
        <v>12</v>
      </c>
      <c r="AO11" s="6"/>
    </row>
    <row r="12" spans="1:49">
      <c r="A12" s="2" t="s">
        <v>6</v>
      </c>
      <c r="C12" s="6" t="s">
        <v>7</v>
      </c>
      <c r="E12" s="6" t="s">
        <v>62</v>
      </c>
      <c r="G12" s="2" t="s">
        <v>63</v>
      </c>
      <c r="H12" s="2"/>
      <c r="I12" s="2" t="s">
        <v>623</v>
      </c>
      <c r="K12" s="6" t="s">
        <v>14</v>
      </c>
      <c r="L12" s="6"/>
      <c r="M12" s="6" t="s">
        <v>12</v>
      </c>
      <c r="O12" s="2" t="s">
        <v>67</v>
      </c>
      <c r="Q12" s="2" t="s">
        <v>67</v>
      </c>
      <c r="S12" s="2" t="s">
        <v>67</v>
      </c>
      <c r="T12" s="2"/>
      <c r="U12" s="97" t="s">
        <v>3</v>
      </c>
      <c r="V12" s="97" t="s">
        <v>177</v>
      </c>
      <c r="W12" s="97"/>
      <c r="X12" s="97"/>
      <c r="Y12" s="97" t="s">
        <v>2</v>
      </c>
      <c r="Z12" s="97" t="s">
        <v>2</v>
      </c>
      <c r="AA12" s="97" t="s">
        <v>119</v>
      </c>
      <c r="AB12" s="97">
        <v>2022</v>
      </c>
      <c r="AC12" s="97">
        <v>2022</v>
      </c>
      <c r="AD12" s="61"/>
      <c r="AE12" s="97" t="s">
        <v>3</v>
      </c>
      <c r="AF12" s="97" t="s">
        <v>177</v>
      </c>
      <c r="AG12" s="97">
        <v>2022</v>
      </c>
      <c r="AH12" s="97">
        <v>2022</v>
      </c>
      <c r="AI12" s="97" t="s">
        <v>2</v>
      </c>
      <c r="AJ12" s="97" t="s">
        <v>2</v>
      </c>
      <c r="AK12" s="97" t="s">
        <v>119</v>
      </c>
      <c r="AO12" s="6"/>
      <c r="AQ12" s="61"/>
      <c r="AR12" s="61"/>
    </row>
    <row r="13" spans="1:49">
      <c r="A13" s="6" t="s">
        <v>4</v>
      </c>
      <c r="B13" s="6"/>
      <c r="C13" s="6" t="s">
        <v>55</v>
      </c>
      <c r="E13" s="6" t="s">
        <v>14</v>
      </c>
      <c r="G13" s="2" t="s">
        <v>55</v>
      </c>
      <c r="H13" s="2"/>
      <c r="I13" s="2" t="s">
        <v>55</v>
      </c>
      <c r="K13" s="6" t="s">
        <v>55</v>
      </c>
      <c r="L13" s="6"/>
      <c r="M13" s="6" t="s">
        <v>55</v>
      </c>
      <c r="N13" s="6"/>
      <c r="O13" s="2" t="s">
        <v>55</v>
      </c>
      <c r="Q13" s="2" t="s">
        <v>55</v>
      </c>
      <c r="S13" s="2" t="s">
        <v>55</v>
      </c>
      <c r="T13" s="2"/>
      <c r="U13" s="25" t="s">
        <v>4</v>
      </c>
      <c r="V13" s="97" t="s">
        <v>16</v>
      </c>
      <c r="W13" s="97"/>
      <c r="X13" s="97"/>
      <c r="Y13" s="97" t="s">
        <v>14</v>
      </c>
      <c r="Z13" s="97" t="s">
        <v>12</v>
      </c>
      <c r="AA13" s="97" t="s">
        <v>1602</v>
      </c>
      <c r="AB13" s="97" t="s">
        <v>14</v>
      </c>
      <c r="AC13" s="97" t="s">
        <v>12</v>
      </c>
      <c r="AD13" s="61"/>
      <c r="AE13" s="25" t="s">
        <v>4</v>
      </c>
      <c r="AF13" s="97" t="s">
        <v>16</v>
      </c>
      <c r="AG13" s="97" t="s">
        <v>14</v>
      </c>
      <c r="AH13" s="97" t="s">
        <v>12</v>
      </c>
      <c r="AI13" s="97" t="s">
        <v>14</v>
      </c>
      <c r="AJ13" s="97" t="s">
        <v>12</v>
      </c>
      <c r="AK13" s="97" t="s">
        <v>1602</v>
      </c>
      <c r="AO13" s="6"/>
      <c r="AQ13" s="61"/>
      <c r="AR13" s="61"/>
    </row>
    <row r="14" spans="1:49">
      <c r="A14" s="9" t="s">
        <v>27</v>
      </c>
      <c r="B14" s="11"/>
      <c r="C14" s="9">
        <v>-2</v>
      </c>
      <c r="D14" s="11"/>
      <c r="E14" s="9">
        <v>-3</v>
      </c>
      <c r="F14" s="11"/>
      <c r="G14" s="9">
        <v>-4</v>
      </c>
      <c r="H14" s="11"/>
      <c r="I14" s="9">
        <v>-5</v>
      </c>
      <c r="J14" s="11"/>
      <c r="K14" s="9">
        <v>-6</v>
      </c>
      <c r="L14" s="11"/>
      <c r="M14" s="9">
        <v>-7</v>
      </c>
      <c r="O14" s="9">
        <v>-8</v>
      </c>
      <c r="Q14" s="9">
        <v>-9</v>
      </c>
      <c r="S14" s="9">
        <v>-10</v>
      </c>
      <c r="T14" s="11"/>
      <c r="U14" s="143">
        <v>-11</v>
      </c>
      <c r="V14" s="143">
        <v>-12</v>
      </c>
      <c r="W14" s="143">
        <v>-13</v>
      </c>
      <c r="X14" s="143">
        <v>-14</v>
      </c>
      <c r="Y14" s="143">
        <v>-15</v>
      </c>
      <c r="Z14" s="143">
        <v>-16</v>
      </c>
      <c r="AA14" s="143">
        <v>-17</v>
      </c>
      <c r="AB14" s="143">
        <v>-18</v>
      </c>
      <c r="AC14" s="143">
        <v>-19</v>
      </c>
      <c r="AE14" s="143">
        <v>-20</v>
      </c>
      <c r="AF14" s="143">
        <v>-21</v>
      </c>
      <c r="AG14" s="143">
        <v>-22</v>
      </c>
      <c r="AH14" s="143">
        <v>-23</v>
      </c>
      <c r="AI14" s="143">
        <v>-24</v>
      </c>
      <c r="AJ14" s="143">
        <v>-25</v>
      </c>
      <c r="AK14" s="143">
        <v>-26</v>
      </c>
      <c r="AO14" s="18"/>
      <c r="AP14" s="18"/>
      <c r="AQ14" s="18"/>
      <c r="AR14" s="18"/>
      <c r="AS14" s="18"/>
      <c r="AT14" s="18"/>
      <c r="AU14" s="18"/>
      <c r="AV14" s="18"/>
      <c r="AW14" s="18"/>
    </row>
    <row r="15" spans="1:49">
      <c r="U15" s="61"/>
      <c r="V15" s="61"/>
      <c r="W15" s="61"/>
      <c r="X15" s="61"/>
      <c r="Y15" s="61"/>
      <c r="Z15" s="61"/>
      <c r="AA15" s="61"/>
      <c r="AD15" s="61"/>
      <c r="AE15" s="61"/>
      <c r="AF15" s="61"/>
      <c r="AG15" s="61"/>
      <c r="AH15" s="61"/>
      <c r="AI15" s="61"/>
      <c r="AJ15" s="61"/>
      <c r="AK15" s="61"/>
      <c r="AQ15" s="61"/>
      <c r="AR15" s="61"/>
    </row>
    <row r="16" spans="1:49" ht="16">
      <c r="A16" s="15" t="s">
        <v>77</v>
      </c>
      <c r="E16" s="74"/>
      <c r="U16" s="25" t="s">
        <v>2</v>
      </c>
      <c r="V16" s="26"/>
      <c r="W16" s="61"/>
      <c r="X16" s="61"/>
      <c r="Z16" s="61"/>
      <c r="AA16" s="61"/>
      <c r="AB16" s="18">
        <v>1277805.73</v>
      </c>
      <c r="AC16" s="18">
        <v>1277805.73</v>
      </c>
      <c r="AD16" s="61"/>
      <c r="AE16" s="25"/>
      <c r="AF16" s="61"/>
      <c r="AG16" s="18"/>
      <c r="AH16" s="18"/>
      <c r="AI16" s="172"/>
      <c r="AJ16" s="61"/>
      <c r="AK16" s="61"/>
      <c r="AQ16" s="61"/>
      <c r="AR16" s="61"/>
    </row>
    <row r="17" spans="1:51">
      <c r="A17" s="6">
        <v>2008</v>
      </c>
      <c r="C17" s="147">
        <f>'Exhibit U,10'!K17</f>
        <v>577451.15</v>
      </c>
      <c r="D17" s="147"/>
      <c r="E17" s="74">
        <f>'Exhibit Q,8'!I21</f>
        <v>1</v>
      </c>
      <c r="F17" s="147"/>
      <c r="G17" s="497">
        <f>C17*(1-E17)</f>
        <v>0</v>
      </c>
      <c r="H17" s="497"/>
      <c r="I17" s="497">
        <f>'Exhibit U,10'!T17</f>
        <v>0</v>
      </c>
      <c r="J17" s="147"/>
      <c r="K17" s="147">
        <f>AB17-AG17</f>
        <v>577451.15</v>
      </c>
      <c r="L17" s="147"/>
      <c r="M17" s="147">
        <f>AH17</f>
        <v>0</v>
      </c>
      <c r="N17" s="147"/>
      <c r="O17" s="147">
        <f>K17+G17+I17+M17</f>
        <v>577451.15</v>
      </c>
      <c r="P17" s="147"/>
      <c r="Q17" s="147">
        <f>AB17/E17</f>
        <v>577451.15</v>
      </c>
      <c r="R17" s="147"/>
      <c r="S17" s="147">
        <f>'Exhibit U,6'!S17</f>
        <v>577451.15</v>
      </c>
      <c r="T17" s="53"/>
      <c r="U17" s="25">
        <f>A17</f>
        <v>2008</v>
      </c>
      <c r="V17" s="18"/>
      <c r="W17" s="31"/>
      <c r="X17" s="32"/>
      <c r="Y17" s="172">
        <v>577451.15</v>
      </c>
      <c r="Z17" s="172">
        <v>577451.15</v>
      </c>
      <c r="AA17" s="84">
        <f>AC17-Z17</f>
        <v>0</v>
      </c>
      <c r="AB17" s="18">
        <v>577451.15</v>
      </c>
      <c r="AC17" s="18">
        <v>577451.15</v>
      </c>
      <c r="AD17" s="235"/>
      <c r="AE17" s="25">
        <f>A17</f>
        <v>2008</v>
      </c>
      <c r="AF17" s="219"/>
      <c r="AG17" s="18">
        <v>0</v>
      </c>
      <c r="AH17" s="18">
        <v>0</v>
      </c>
      <c r="AI17" s="172">
        <v>0</v>
      </c>
      <c r="AJ17" s="172">
        <v>0</v>
      </c>
      <c r="AK17" s="84">
        <f>AH17-AJ17</f>
        <v>0</v>
      </c>
      <c r="AN17" s="18"/>
      <c r="AO17" s="18"/>
      <c r="AQ17" s="172"/>
      <c r="AR17" s="172"/>
    </row>
    <row r="18" spans="1:51">
      <c r="A18" s="6">
        <f>A17+1</f>
        <v>2009</v>
      </c>
      <c r="C18" s="17">
        <f>'Exhibit U,10'!K18</f>
        <v>28875.5</v>
      </c>
      <c r="D18" s="17"/>
      <c r="E18" s="74">
        <f>'Exhibit Q,8'!I22</f>
        <v>1</v>
      </c>
      <c r="F18" s="17"/>
      <c r="G18" s="20">
        <f t="shared" ref="G18:G31" si="0">C18*(1-E18)</f>
        <v>0</v>
      </c>
      <c r="H18" s="20"/>
      <c r="I18" s="20">
        <f>'Exhibit U,10'!T18</f>
        <v>0</v>
      </c>
      <c r="J18" s="17"/>
      <c r="K18" s="17">
        <f t="shared" ref="K18:K31" si="1">AB18-AG18</f>
        <v>28875.5</v>
      </c>
      <c r="L18" s="17"/>
      <c r="M18" s="17">
        <f t="shared" ref="M18:M31" si="2">AH18</f>
        <v>0</v>
      </c>
      <c r="N18" s="17"/>
      <c r="O18" s="17">
        <f t="shared" ref="O18:O31" si="3">K18+G18+I18+M18</f>
        <v>28875.5</v>
      </c>
      <c r="P18" s="17"/>
      <c r="Q18" s="17">
        <f t="shared" ref="Q18:Q31" si="4">AB18/E18</f>
        <v>28875.5</v>
      </c>
      <c r="R18" s="17"/>
      <c r="S18" s="17">
        <f>'Exhibit U,6'!S18</f>
        <v>28875.5</v>
      </c>
      <c r="T18" s="53"/>
      <c r="U18" s="25">
        <f>U17+1</f>
        <v>2009</v>
      </c>
      <c r="V18" s="18"/>
      <c r="W18" s="31"/>
      <c r="X18" s="32"/>
      <c r="Y18" s="172">
        <v>28875.5</v>
      </c>
      <c r="Z18" s="172">
        <v>28875.5</v>
      </c>
      <c r="AA18" s="84">
        <f t="shared" ref="AA18:AA31" si="5">AC18-Z18</f>
        <v>0</v>
      </c>
      <c r="AB18" s="18">
        <v>28875.5</v>
      </c>
      <c r="AC18" s="18">
        <v>28875.5</v>
      </c>
      <c r="AD18" s="235"/>
      <c r="AE18" s="25">
        <f>AE17+1</f>
        <v>2009</v>
      </c>
      <c r="AF18" s="220"/>
      <c r="AG18" s="18">
        <v>0</v>
      </c>
      <c r="AH18" s="18">
        <v>0</v>
      </c>
      <c r="AI18" s="172">
        <v>0</v>
      </c>
      <c r="AJ18" s="172">
        <v>0</v>
      </c>
      <c r="AK18" s="84">
        <f t="shared" ref="AK18:AK31" si="6">AH18-AJ18</f>
        <v>0</v>
      </c>
      <c r="AN18" s="18"/>
      <c r="AO18" s="18"/>
      <c r="AQ18" s="172"/>
      <c r="AR18" s="172"/>
    </row>
    <row r="19" spans="1:51">
      <c r="A19" s="6">
        <f t="shared" ref="A19:A31" si="7">A18+1</f>
        <v>2010</v>
      </c>
      <c r="C19" s="17">
        <f>'Exhibit U,10'!K19</f>
        <v>1056390.7999999998</v>
      </c>
      <c r="D19" s="17"/>
      <c r="E19" s="74">
        <f>'Exhibit Q,8'!I23</f>
        <v>1</v>
      </c>
      <c r="F19" s="17"/>
      <c r="G19" s="20">
        <f t="shared" si="0"/>
        <v>0</v>
      </c>
      <c r="H19" s="20"/>
      <c r="I19" s="20">
        <f>'Exhibit U,10'!T19</f>
        <v>0</v>
      </c>
      <c r="J19" s="17"/>
      <c r="K19" s="17">
        <f t="shared" si="1"/>
        <v>1056390.7999999998</v>
      </c>
      <c r="L19" s="17"/>
      <c r="M19" s="17">
        <f t="shared" si="2"/>
        <v>0</v>
      </c>
      <c r="N19" s="17"/>
      <c r="O19" s="17">
        <f t="shared" si="3"/>
        <v>1056390.7999999998</v>
      </c>
      <c r="P19" s="17"/>
      <c r="Q19" s="17">
        <f t="shared" si="4"/>
        <v>1056390.7999999998</v>
      </c>
      <c r="R19" s="17"/>
      <c r="S19" s="17">
        <f>'Exhibit U,6'!S19</f>
        <v>1056390.7999999998</v>
      </c>
      <c r="T19" s="53"/>
      <c r="U19" s="25">
        <f t="shared" ref="U19:U31" si="8">U18+1</f>
        <v>2010</v>
      </c>
      <c r="V19" s="18"/>
      <c r="W19" s="31"/>
      <c r="X19" s="32"/>
      <c r="Y19" s="172">
        <v>1056390.7999999998</v>
      </c>
      <c r="Z19" s="172">
        <v>1056390.7999999998</v>
      </c>
      <c r="AA19" s="84">
        <f t="shared" si="5"/>
        <v>0</v>
      </c>
      <c r="AB19" s="18">
        <v>1056390.7999999998</v>
      </c>
      <c r="AC19" s="18">
        <v>1056390.7999999998</v>
      </c>
      <c r="AD19" s="235"/>
      <c r="AE19" s="25">
        <f t="shared" ref="AE19:AE31" si="9">AE18+1</f>
        <v>2010</v>
      </c>
      <c r="AF19" s="220"/>
      <c r="AG19" s="18">
        <v>0</v>
      </c>
      <c r="AH19" s="18">
        <v>0</v>
      </c>
      <c r="AI19" s="172">
        <v>0</v>
      </c>
      <c r="AJ19" s="172">
        <v>0</v>
      </c>
      <c r="AK19" s="84">
        <f t="shared" si="6"/>
        <v>0</v>
      </c>
      <c r="AN19" s="18"/>
      <c r="AO19" s="18"/>
      <c r="AQ19" s="172"/>
      <c r="AR19" s="172"/>
    </row>
    <row r="20" spans="1:51">
      <c r="A20" s="6">
        <f t="shared" si="7"/>
        <v>2011</v>
      </c>
      <c r="C20" s="17">
        <f>'Exhibit U,10'!K20</f>
        <v>630532.12000000011</v>
      </c>
      <c r="D20" s="17"/>
      <c r="E20" s="74">
        <f>'Exhibit Q,8'!I24</f>
        <v>1</v>
      </c>
      <c r="F20" s="17"/>
      <c r="G20" s="20">
        <f t="shared" si="0"/>
        <v>0</v>
      </c>
      <c r="H20" s="20"/>
      <c r="I20" s="20">
        <f>'Exhibit U,10'!T20</f>
        <v>0</v>
      </c>
      <c r="J20" s="17"/>
      <c r="K20" s="17">
        <f t="shared" si="1"/>
        <v>630532.12000000011</v>
      </c>
      <c r="L20" s="17"/>
      <c r="M20" s="17">
        <f t="shared" si="2"/>
        <v>10337.04999999993</v>
      </c>
      <c r="N20" s="17"/>
      <c r="O20" s="17">
        <f t="shared" si="3"/>
        <v>640869.17000000004</v>
      </c>
      <c r="P20" s="17"/>
      <c r="Q20" s="17">
        <f t="shared" si="4"/>
        <v>640869.17000000004</v>
      </c>
      <c r="R20" s="17"/>
      <c r="S20" s="17">
        <f>'Exhibit U,6'!S20</f>
        <v>640869.17000000004</v>
      </c>
      <c r="T20" s="53"/>
      <c r="U20" s="25">
        <f t="shared" si="8"/>
        <v>2011</v>
      </c>
      <c r="V20" s="231">
        <v>2347564.830000001</v>
      </c>
      <c r="W20" s="31"/>
      <c r="X20" s="32"/>
      <c r="Y20" s="172">
        <v>640869.17000000004</v>
      </c>
      <c r="Z20" s="172">
        <v>640869.17000000004</v>
      </c>
      <c r="AA20" s="84">
        <f t="shared" si="5"/>
        <v>0</v>
      </c>
      <c r="AB20" s="18">
        <v>640869.17000000004</v>
      </c>
      <c r="AC20" s="18">
        <v>640869.17000000004</v>
      </c>
      <c r="AD20" s="235"/>
      <c r="AE20" s="25">
        <f t="shared" si="9"/>
        <v>2011</v>
      </c>
      <c r="AF20" s="220"/>
      <c r="AG20" s="18">
        <v>10337.04999999993</v>
      </c>
      <c r="AH20" s="18">
        <v>10337.04999999993</v>
      </c>
      <c r="AI20" s="172">
        <v>10337.049999999999</v>
      </c>
      <c r="AJ20" s="172">
        <v>10337.049999999999</v>
      </c>
      <c r="AK20" s="84">
        <f t="shared" si="6"/>
        <v>-6.9121597334742546E-11</v>
      </c>
      <c r="AN20" s="18"/>
      <c r="AO20" s="18"/>
      <c r="AQ20" s="172"/>
      <c r="AR20" s="172"/>
    </row>
    <row r="21" spans="1:51">
      <c r="A21" s="6">
        <f t="shared" si="7"/>
        <v>2012</v>
      </c>
      <c r="C21" s="17">
        <f>'Exhibit U,10'!K21</f>
        <v>3503541.6</v>
      </c>
      <c r="D21" s="17"/>
      <c r="E21" s="74">
        <f>'Exhibit Q,8'!I25</f>
        <v>1</v>
      </c>
      <c r="F21" s="17"/>
      <c r="G21" s="20">
        <f t="shared" si="0"/>
        <v>0</v>
      </c>
      <c r="H21" s="20"/>
      <c r="I21" s="20">
        <f>'Exhibit U,10'!T21</f>
        <v>0</v>
      </c>
      <c r="J21" s="17"/>
      <c r="K21" s="17">
        <f t="shared" si="1"/>
        <v>3503541.6</v>
      </c>
      <c r="L21" s="17"/>
      <c r="M21" s="17">
        <f t="shared" si="2"/>
        <v>1240857.4300000002</v>
      </c>
      <c r="N21" s="17"/>
      <c r="O21" s="17">
        <f t="shared" si="3"/>
        <v>4744399.03</v>
      </c>
      <c r="P21" s="17"/>
      <c r="Q21" s="17">
        <f t="shared" si="4"/>
        <v>4744399.03</v>
      </c>
      <c r="R21" s="17"/>
      <c r="S21" s="17">
        <f>'Exhibit U,6'!S21</f>
        <v>4744399.03</v>
      </c>
      <c r="T21" s="53"/>
      <c r="U21" s="25">
        <f t="shared" si="8"/>
        <v>2012</v>
      </c>
      <c r="V21" s="231">
        <v>2872338.1099999971</v>
      </c>
      <c r="W21" s="31"/>
      <c r="X21" s="32"/>
      <c r="Y21" s="172">
        <v>4744399.03</v>
      </c>
      <c r="Z21" s="172">
        <v>4744399.03</v>
      </c>
      <c r="AA21" s="84">
        <f t="shared" si="5"/>
        <v>0</v>
      </c>
      <c r="AB21" s="18">
        <v>4744399.03</v>
      </c>
      <c r="AC21" s="18">
        <v>4744399.03</v>
      </c>
      <c r="AD21" s="235"/>
      <c r="AE21" s="25">
        <f t="shared" si="9"/>
        <v>2012</v>
      </c>
      <c r="AF21" s="18">
        <v>248497.27000000002</v>
      </c>
      <c r="AG21" s="18">
        <v>1240857.4300000002</v>
      </c>
      <c r="AH21" s="18">
        <v>1240857.4300000002</v>
      </c>
      <c r="AI21" s="172">
        <v>871981.25</v>
      </c>
      <c r="AJ21" s="172">
        <v>871981.25</v>
      </c>
      <c r="AK21" s="84">
        <f t="shared" si="6"/>
        <v>368876.18000000017</v>
      </c>
      <c r="AN21" s="18"/>
      <c r="AO21" s="18"/>
      <c r="AQ21" s="172"/>
      <c r="AR21" s="172"/>
    </row>
    <row r="22" spans="1:51">
      <c r="A22" s="6">
        <f t="shared" si="7"/>
        <v>2013</v>
      </c>
      <c r="C22" s="17">
        <f>'Exhibit U,10'!K22</f>
        <v>250097.58000000002</v>
      </c>
      <c r="D22" s="17"/>
      <c r="E22" s="74">
        <f>'Exhibit Q,8'!I26</f>
        <v>1</v>
      </c>
      <c r="F22" s="17"/>
      <c r="G22" s="20">
        <f t="shared" si="0"/>
        <v>0</v>
      </c>
      <c r="H22" s="20"/>
      <c r="I22" s="20">
        <f>'Exhibit U,10'!T22</f>
        <v>0</v>
      </c>
      <c r="J22" s="17"/>
      <c r="K22" s="17">
        <f t="shared" si="1"/>
        <v>250097.58000000002</v>
      </c>
      <c r="L22" s="17"/>
      <c r="M22" s="17">
        <f t="shared" si="2"/>
        <v>464744.67</v>
      </c>
      <c r="N22" s="17"/>
      <c r="O22" s="17">
        <f t="shared" si="3"/>
        <v>714842.25</v>
      </c>
      <c r="P22" s="17"/>
      <c r="Q22" s="17">
        <f t="shared" si="4"/>
        <v>714842.25</v>
      </c>
      <c r="R22" s="17"/>
      <c r="S22" s="17">
        <f>'Exhibit U,6'!S22</f>
        <v>714842.25</v>
      </c>
      <c r="T22" s="53"/>
      <c r="U22" s="25">
        <f t="shared" si="8"/>
        <v>2013</v>
      </c>
      <c r="V22" s="231">
        <v>2483025.370000002</v>
      </c>
      <c r="W22" s="31"/>
      <c r="X22" s="32"/>
      <c r="Y22" s="172">
        <v>712208.5199999999</v>
      </c>
      <c r="Z22" s="172">
        <v>712208.5199999999</v>
      </c>
      <c r="AA22" s="84">
        <f t="shared" si="5"/>
        <v>2633.7300000000978</v>
      </c>
      <c r="AB22" s="18">
        <v>714842.25</v>
      </c>
      <c r="AC22" s="18">
        <v>714842.25</v>
      </c>
      <c r="AD22" s="235"/>
      <c r="AE22" s="25">
        <f t="shared" si="9"/>
        <v>2013</v>
      </c>
      <c r="AF22" s="18">
        <v>441571.22</v>
      </c>
      <c r="AG22" s="18">
        <v>464744.67</v>
      </c>
      <c r="AH22" s="18">
        <v>464744.67</v>
      </c>
      <c r="AI22" s="172">
        <v>462110.93999999994</v>
      </c>
      <c r="AJ22" s="172">
        <v>462110.93999999994</v>
      </c>
      <c r="AK22" s="84">
        <f t="shared" si="6"/>
        <v>2633.7300000000396</v>
      </c>
      <c r="AN22" s="18"/>
      <c r="AO22" s="19"/>
      <c r="AQ22" s="172"/>
      <c r="AR22" s="172"/>
    </row>
    <row r="23" spans="1:51">
      <c r="A23" s="6">
        <f t="shared" si="7"/>
        <v>2014</v>
      </c>
      <c r="C23" s="17">
        <f>'Exhibit U,10'!K23</f>
        <v>3064065.7</v>
      </c>
      <c r="D23" s="17"/>
      <c r="E23" s="74">
        <f>'Exhibit Q,8'!I27</f>
        <v>0.99977106227106227</v>
      </c>
      <c r="F23" s="17"/>
      <c r="G23" s="20">
        <f t="shared" si="0"/>
        <v>701.48024267399023</v>
      </c>
      <c r="H23" s="20"/>
      <c r="I23" s="20">
        <f>'Exhibit U,10'!T23</f>
        <v>0</v>
      </c>
      <c r="J23" s="17"/>
      <c r="K23" s="17">
        <f t="shared" si="1"/>
        <v>3064065.7</v>
      </c>
      <c r="L23" s="17"/>
      <c r="M23" s="17">
        <f t="shared" si="2"/>
        <v>108138.22999999998</v>
      </c>
      <c r="N23" s="17"/>
      <c r="O23" s="17">
        <f t="shared" si="3"/>
        <v>3172905.4102426739</v>
      </c>
      <c r="P23" s="17"/>
      <c r="Q23" s="17">
        <f t="shared" si="4"/>
        <v>3172930.3334646211</v>
      </c>
      <c r="R23" s="17"/>
      <c r="S23" s="17">
        <f>'Exhibit U,6'!S23</f>
        <v>3172203.93</v>
      </c>
      <c r="T23" s="53"/>
      <c r="U23" s="25">
        <f t="shared" si="8"/>
        <v>2014</v>
      </c>
      <c r="V23" s="231">
        <v>3591317.23</v>
      </c>
      <c r="W23" s="31"/>
      <c r="X23" s="32"/>
      <c r="Y23" s="172">
        <v>3117737.0300000003</v>
      </c>
      <c r="Z23" s="172">
        <v>3385152.22</v>
      </c>
      <c r="AA23" s="84">
        <f t="shared" si="5"/>
        <v>-212948.29000000004</v>
      </c>
      <c r="AB23" s="18">
        <v>3172203.93</v>
      </c>
      <c r="AC23" s="18">
        <v>3172203.93</v>
      </c>
      <c r="AD23" s="235"/>
      <c r="AE23" s="25">
        <f t="shared" si="9"/>
        <v>2014</v>
      </c>
      <c r="AF23" s="18">
        <v>240946.86</v>
      </c>
      <c r="AG23" s="18">
        <v>108138.22999999998</v>
      </c>
      <c r="AH23" s="18">
        <v>108138.22999999998</v>
      </c>
      <c r="AI23" s="172">
        <v>108138.23</v>
      </c>
      <c r="AJ23" s="172">
        <v>108138.23</v>
      </c>
      <c r="AK23" s="84">
        <f t="shared" si="6"/>
        <v>0</v>
      </c>
      <c r="AN23" s="18"/>
      <c r="AO23" s="18"/>
      <c r="AQ23" s="172"/>
      <c r="AR23" s="172"/>
    </row>
    <row r="24" spans="1:51">
      <c r="A24" s="6">
        <f t="shared" si="7"/>
        <v>2015</v>
      </c>
      <c r="C24" s="17">
        <f>'Exhibit U,10'!K24</f>
        <v>1877852.56</v>
      </c>
      <c r="D24" s="17"/>
      <c r="E24" s="74">
        <f>'Exhibit Q,8'!I28</f>
        <v>0.98816163994735429</v>
      </c>
      <c r="F24" s="17"/>
      <c r="G24" s="20">
        <f t="shared" si="0"/>
        <v>22230.694731062489</v>
      </c>
      <c r="H24" s="20"/>
      <c r="I24" s="20">
        <f>'Exhibit U,10'!T24</f>
        <v>0</v>
      </c>
      <c r="J24" s="17"/>
      <c r="K24" s="17">
        <f t="shared" si="1"/>
        <v>1877852.56</v>
      </c>
      <c r="L24" s="17"/>
      <c r="M24" s="17">
        <f t="shared" si="2"/>
        <v>3545.2599999997765</v>
      </c>
      <c r="N24" s="17"/>
      <c r="O24" s="17">
        <f t="shared" si="3"/>
        <v>1903628.5147310623</v>
      </c>
      <c r="P24" s="17"/>
      <c r="Q24" s="17">
        <f t="shared" si="4"/>
        <v>1903937.31545806</v>
      </c>
      <c r="R24" s="17"/>
      <c r="S24" s="17">
        <f>'Exhibit U,6'!S24</f>
        <v>1881397.8199999998</v>
      </c>
      <c r="T24" s="53"/>
      <c r="U24" s="25">
        <f t="shared" si="8"/>
        <v>2015</v>
      </c>
      <c r="V24" s="231">
        <v>3461301.9600000018</v>
      </c>
      <c r="W24" s="31"/>
      <c r="X24" s="32"/>
      <c r="Y24" s="172">
        <v>806448.95</v>
      </c>
      <c r="Z24" s="172">
        <v>1556448.95</v>
      </c>
      <c r="AA24" s="84">
        <f t="shared" si="5"/>
        <v>324948.86999999988</v>
      </c>
      <c r="AB24" s="18">
        <v>1881397.8199999998</v>
      </c>
      <c r="AC24" s="18">
        <v>1881397.8199999998</v>
      </c>
      <c r="AD24" s="235"/>
      <c r="AE24" s="25">
        <f t="shared" si="9"/>
        <v>2015</v>
      </c>
      <c r="AF24" s="18">
        <v>370514.99</v>
      </c>
      <c r="AG24" s="18">
        <v>3545.2599999997765</v>
      </c>
      <c r="AH24" s="18">
        <v>3545.2599999997765</v>
      </c>
      <c r="AI24" s="172">
        <v>3545.26</v>
      </c>
      <c r="AJ24" s="172">
        <v>3545.26</v>
      </c>
      <c r="AK24" s="84">
        <f t="shared" si="6"/>
        <v>-2.2373569663614035E-10</v>
      </c>
      <c r="AN24" s="18"/>
      <c r="AO24" s="18"/>
      <c r="AQ24" s="172"/>
      <c r="AR24" s="172"/>
    </row>
    <row r="25" spans="1:51">
      <c r="A25" s="6">
        <f t="shared" si="7"/>
        <v>2016</v>
      </c>
      <c r="C25" s="17">
        <f>'Exhibit U,10'!K25</f>
        <v>2706680.3</v>
      </c>
      <c r="D25" s="17"/>
      <c r="E25" s="74">
        <f>'Exhibit Q,8'!I29</f>
        <v>0.94013870716140402</v>
      </c>
      <c r="F25" s="17"/>
      <c r="G25" s="20">
        <f t="shared" si="0"/>
        <v>162025.38205875881</v>
      </c>
      <c r="H25" s="20"/>
      <c r="I25" s="20">
        <f>'Exhibit U,10'!T25</f>
        <v>395200</v>
      </c>
      <c r="J25" s="17"/>
      <c r="K25" s="17">
        <f t="shared" si="1"/>
        <v>2299273.35</v>
      </c>
      <c r="L25" s="17"/>
      <c r="M25" s="17">
        <f t="shared" si="2"/>
        <v>2050254.2300000004</v>
      </c>
      <c r="N25" s="17"/>
      <c r="O25" s="17">
        <f t="shared" si="3"/>
        <v>4906752.9620587593</v>
      </c>
      <c r="P25" s="17"/>
      <c r="Q25" s="17">
        <f t="shared" si="4"/>
        <v>4626474.3137028059</v>
      </c>
      <c r="R25" s="17"/>
      <c r="S25" s="17">
        <f>'Exhibit U,6'!S25</f>
        <v>4756934.53</v>
      </c>
      <c r="T25" s="53"/>
      <c r="U25" s="25">
        <f t="shared" si="8"/>
        <v>2016</v>
      </c>
      <c r="V25" s="231">
        <v>3133438.399999999</v>
      </c>
      <c r="W25" s="31"/>
      <c r="X25" s="32"/>
      <c r="Y25" s="172">
        <v>4307373.26</v>
      </c>
      <c r="Z25" s="172">
        <v>4469276.92</v>
      </c>
      <c r="AA25" s="84">
        <f t="shared" si="5"/>
        <v>287657.61000000034</v>
      </c>
      <c r="AB25" s="18">
        <v>4349527.58</v>
      </c>
      <c r="AC25" s="18">
        <v>4756934.53</v>
      </c>
      <c r="AD25" s="235"/>
      <c r="AE25" s="25">
        <f t="shared" si="9"/>
        <v>2016</v>
      </c>
      <c r="AF25" s="18">
        <v>225073.64</v>
      </c>
      <c r="AG25" s="18">
        <v>2050254.23</v>
      </c>
      <c r="AH25" s="18">
        <v>2050254.2300000004</v>
      </c>
      <c r="AI25" s="172">
        <v>32202.679999999935</v>
      </c>
      <c r="AJ25" s="172">
        <v>32202.679999999935</v>
      </c>
      <c r="AK25" s="84">
        <f t="shared" si="6"/>
        <v>2018051.5500000005</v>
      </c>
      <c r="AN25" s="18"/>
      <c r="AO25" s="18"/>
      <c r="AQ25" s="172"/>
      <c r="AR25" s="172"/>
    </row>
    <row r="26" spans="1:51">
      <c r="A26" s="6">
        <f t="shared" si="7"/>
        <v>2017</v>
      </c>
      <c r="C26" s="17">
        <f>'Exhibit U,10'!K26</f>
        <v>1767966.9259246956</v>
      </c>
      <c r="D26" s="17"/>
      <c r="E26" s="74">
        <f>'Exhibit Q,8'!I30</f>
        <v>0.86199281171108022</v>
      </c>
      <c r="F26" s="17"/>
      <c r="G26" s="20">
        <f t="shared" si="0"/>
        <v>243992.14443467214</v>
      </c>
      <c r="H26" s="20"/>
      <c r="I26" s="20">
        <f>'Exhibit U,10'!T26</f>
        <v>0</v>
      </c>
      <c r="J26" s="17"/>
      <c r="K26" s="17">
        <f t="shared" si="1"/>
        <v>226782.57</v>
      </c>
      <c r="L26" s="17"/>
      <c r="M26" s="17">
        <f t="shared" si="2"/>
        <v>69380.469999999972</v>
      </c>
      <c r="N26" s="17"/>
      <c r="O26" s="17">
        <f t="shared" si="3"/>
        <v>540155.18443467212</v>
      </c>
      <c r="P26" s="17"/>
      <c r="Q26" s="17">
        <f t="shared" si="4"/>
        <v>343579.47766653408</v>
      </c>
      <c r="R26" s="17"/>
      <c r="S26" s="17">
        <f>'Exhibit U,6'!S26</f>
        <v>305163.03999999998</v>
      </c>
      <c r="T26" s="53"/>
      <c r="U26" s="25">
        <f t="shared" si="8"/>
        <v>2017</v>
      </c>
      <c r="V26" s="231">
        <v>2328348.7299999991</v>
      </c>
      <c r="W26" s="31"/>
      <c r="X26" s="32"/>
      <c r="Y26" s="172">
        <v>282540.98</v>
      </c>
      <c r="Z26" s="172">
        <v>304640.94</v>
      </c>
      <c r="AA26" s="84">
        <f t="shared" si="5"/>
        <v>522.09999999997672</v>
      </c>
      <c r="AB26" s="18">
        <v>296163.03999999998</v>
      </c>
      <c r="AC26" s="18">
        <v>305163.03999999998</v>
      </c>
      <c r="AD26" s="235"/>
      <c r="AE26" s="25">
        <f t="shared" si="9"/>
        <v>2017</v>
      </c>
      <c r="AF26" s="18">
        <v>371295.26</v>
      </c>
      <c r="AG26" s="18">
        <v>69380.469999999972</v>
      </c>
      <c r="AH26" s="18">
        <v>69380.469999999972</v>
      </c>
      <c r="AI26" s="172">
        <v>69380.47</v>
      </c>
      <c r="AJ26" s="172">
        <v>69380.47</v>
      </c>
      <c r="AK26" s="84">
        <f t="shared" si="6"/>
        <v>0</v>
      </c>
      <c r="AN26" s="18"/>
      <c r="AO26" s="18"/>
      <c r="AQ26" s="172"/>
      <c r="AR26" s="172"/>
    </row>
    <row r="27" spans="1:51">
      <c r="A27" s="6">
        <f t="shared" si="7"/>
        <v>2018</v>
      </c>
      <c r="C27" s="17">
        <f>'Exhibit U,10'!K27</f>
        <v>1004214.6576154318</v>
      </c>
      <c r="D27" s="17"/>
      <c r="E27" s="74">
        <f>'Exhibit Q,8'!I31</f>
        <v>0.70446258584114707</v>
      </c>
      <c r="F27" s="17"/>
      <c r="G27" s="20">
        <f t="shared" si="0"/>
        <v>296783.00317208259</v>
      </c>
      <c r="H27" s="20"/>
      <c r="I27" s="20">
        <f>'Exhibit U,10'!T27</f>
        <v>0</v>
      </c>
      <c r="J27" s="17"/>
      <c r="K27" s="17">
        <f t="shared" si="1"/>
        <v>340443.45</v>
      </c>
      <c r="L27" s="17"/>
      <c r="M27" s="17">
        <f t="shared" si="2"/>
        <v>130805.25</v>
      </c>
      <c r="N27" s="17"/>
      <c r="O27" s="17">
        <f t="shared" si="3"/>
        <v>768031.70317208255</v>
      </c>
      <c r="P27" s="17"/>
      <c r="Q27" s="17">
        <f t="shared" si="4"/>
        <v>581291.58060402633</v>
      </c>
      <c r="R27" s="17"/>
      <c r="S27" s="17">
        <f>'Exhibit U,6'!S27</f>
        <v>898335.37</v>
      </c>
      <c r="T27" s="53"/>
      <c r="U27" s="25">
        <f t="shared" si="8"/>
        <v>2018</v>
      </c>
      <c r="V27" s="231">
        <v>1529273.7700000005</v>
      </c>
      <c r="W27" s="31"/>
      <c r="X27" s="32"/>
      <c r="Y27" s="172">
        <v>163104.99000000002</v>
      </c>
      <c r="Z27" s="172">
        <v>1384999.85</v>
      </c>
      <c r="AA27" s="84">
        <f t="shared" si="5"/>
        <v>-486664.4800000001</v>
      </c>
      <c r="AB27" s="18">
        <v>409498.17</v>
      </c>
      <c r="AC27" s="18">
        <v>898335.37</v>
      </c>
      <c r="AD27" s="235"/>
      <c r="AE27" s="25">
        <f t="shared" si="9"/>
        <v>2018</v>
      </c>
      <c r="AF27" s="18">
        <v>442695.3</v>
      </c>
      <c r="AG27" s="18">
        <v>69054.719999999972</v>
      </c>
      <c r="AH27" s="18">
        <v>130805.25</v>
      </c>
      <c r="AI27" s="172">
        <v>38091.199999999997</v>
      </c>
      <c r="AJ27" s="172">
        <v>70805.25</v>
      </c>
      <c r="AK27" s="84">
        <f t="shared" si="6"/>
        <v>60000</v>
      </c>
      <c r="AN27" s="18"/>
      <c r="AO27" s="18"/>
      <c r="AQ27" s="172"/>
      <c r="AR27" s="172"/>
    </row>
    <row r="28" spans="1:51">
      <c r="A28" s="6">
        <f t="shared" si="7"/>
        <v>2019</v>
      </c>
      <c r="C28" s="17">
        <f>'Exhibit U,10'!K28</f>
        <v>991016.82326559187</v>
      </c>
      <c r="D28" s="17"/>
      <c r="E28" s="74">
        <f>'Exhibit Q,8'!I32</f>
        <v>0.46689732120903371</v>
      </c>
      <c r="F28" s="17"/>
      <c r="G28" s="20">
        <f t="shared" si="0"/>
        <v>528313.72320980066</v>
      </c>
      <c r="H28" s="20"/>
      <c r="I28" s="20">
        <f>'Exhibit U,10'!T28</f>
        <v>0</v>
      </c>
      <c r="J28" s="17"/>
      <c r="K28" s="17">
        <f t="shared" si="1"/>
        <v>112278.38</v>
      </c>
      <c r="L28" s="17"/>
      <c r="M28" s="17">
        <f t="shared" si="2"/>
        <v>0</v>
      </c>
      <c r="N28" s="17"/>
      <c r="O28" s="17">
        <f t="shared" si="3"/>
        <v>640592.10320980067</v>
      </c>
      <c r="P28" s="17"/>
      <c r="Q28" s="17">
        <f t="shared" si="4"/>
        <v>240477.67014223684</v>
      </c>
      <c r="R28" s="17"/>
      <c r="S28" s="17">
        <f>'Exhibit U,6'!S28</f>
        <v>447247.49307065853</v>
      </c>
      <c r="T28" s="53"/>
      <c r="U28" s="25">
        <f t="shared" si="8"/>
        <v>2019</v>
      </c>
      <c r="V28" s="231">
        <v>1256355.6100000001</v>
      </c>
      <c r="W28" s="31"/>
      <c r="X28" s="32"/>
      <c r="Y28" s="172">
        <v>74916.14</v>
      </c>
      <c r="Z28" s="172">
        <v>389263.95</v>
      </c>
      <c r="AA28" s="84">
        <f t="shared" si="5"/>
        <v>26419.580000000016</v>
      </c>
      <c r="AB28" s="18">
        <v>112278.38</v>
      </c>
      <c r="AC28" s="18">
        <v>415683.53</v>
      </c>
      <c r="AD28" s="235"/>
      <c r="AE28" s="25">
        <f t="shared" si="9"/>
        <v>2019</v>
      </c>
      <c r="AF28" s="18">
        <v>203955.68</v>
      </c>
      <c r="AG28" s="18">
        <v>0</v>
      </c>
      <c r="AH28" s="18">
        <v>0</v>
      </c>
      <c r="AI28" s="172">
        <v>0</v>
      </c>
      <c r="AJ28" s="172">
        <v>0</v>
      </c>
      <c r="AK28" s="84">
        <f t="shared" si="6"/>
        <v>0</v>
      </c>
      <c r="AN28" s="18"/>
      <c r="AO28" s="18"/>
      <c r="AQ28" s="172"/>
      <c r="AR28" s="172"/>
    </row>
    <row r="29" spans="1:51">
      <c r="A29" s="6">
        <f t="shared" si="7"/>
        <v>2020</v>
      </c>
      <c r="C29" s="17">
        <f>'Exhibit U,10'!K29</f>
        <v>1064535.4718410745</v>
      </c>
      <c r="D29" s="17"/>
      <c r="E29" s="74">
        <f>'Exhibit Q,8'!I33</f>
        <v>0.26906193697320097</v>
      </c>
      <c r="F29" s="17"/>
      <c r="G29" s="20">
        <f t="shared" si="0"/>
        <v>778109.49581083457</v>
      </c>
      <c r="H29" s="20"/>
      <c r="I29" s="20">
        <f>'Exhibit U,10'!T29</f>
        <v>0</v>
      </c>
      <c r="J29" s="17"/>
      <c r="K29" s="17">
        <f t="shared" si="1"/>
        <v>97657.46</v>
      </c>
      <c r="L29" s="17"/>
      <c r="M29" s="17">
        <f t="shared" si="2"/>
        <v>0</v>
      </c>
      <c r="N29" s="17"/>
      <c r="O29" s="17">
        <f t="shared" si="3"/>
        <v>875766.95581083454</v>
      </c>
      <c r="P29" s="17"/>
      <c r="Q29" s="17">
        <f t="shared" si="4"/>
        <v>362955.31467063981</v>
      </c>
      <c r="R29" s="17"/>
      <c r="S29" s="17">
        <f>'Exhibit U,6'!S29</f>
        <v>269305.0728775296</v>
      </c>
      <c r="T29" s="53"/>
      <c r="U29" s="25">
        <f>U28+1</f>
        <v>2020</v>
      </c>
      <c r="V29" s="231">
        <v>1060963.32</v>
      </c>
      <c r="W29" s="31"/>
      <c r="X29" s="32"/>
      <c r="Y29" s="172">
        <v>86733.65</v>
      </c>
      <c r="Z29" s="172">
        <v>248461.47999999998</v>
      </c>
      <c r="AA29" s="84">
        <f t="shared" si="5"/>
        <v>-76214.959999999963</v>
      </c>
      <c r="AB29" s="18">
        <v>97657.46</v>
      </c>
      <c r="AC29" s="18">
        <v>172246.52000000002</v>
      </c>
      <c r="AD29" s="235"/>
      <c r="AE29" s="25">
        <f t="shared" si="9"/>
        <v>2020</v>
      </c>
      <c r="AF29" s="18"/>
      <c r="AG29" s="18">
        <v>0</v>
      </c>
      <c r="AH29" s="18">
        <v>0</v>
      </c>
      <c r="AI29" s="172">
        <v>0</v>
      </c>
      <c r="AJ29" s="172">
        <v>0</v>
      </c>
      <c r="AK29" s="84">
        <f t="shared" si="6"/>
        <v>0</v>
      </c>
      <c r="AQ29" s="172"/>
      <c r="AR29" s="172"/>
    </row>
    <row r="30" spans="1:51">
      <c r="A30" s="6">
        <f t="shared" si="7"/>
        <v>2021</v>
      </c>
      <c r="C30" s="17">
        <f>'Exhibit U,10'!K30</f>
        <v>1770039.8036102578</v>
      </c>
      <c r="D30" s="17"/>
      <c r="E30" s="74">
        <f>'Exhibit Q,8'!I34</f>
        <v>0.1459962630726411</v>
      </c>
      <c r="F30" s="17"/>
      <c r="G30" s="20">
        <f t="shared" si="0"/>
        <v>1511620.6067933287</v>
      </c>
      <c r="H30" s="20"/>
      <c r="I30" s="20">
        <f>'Exhibit U,10'!T30</f>
        <v>0</v>
      </c>
      <c r="J30" s="17"/>
      <c r="K30" s="17">
        <f t="shared" si="1"/>
        <v>11934.19</v>
      </c>
      <c r="L30" s="17"/>
      <c r="M30" s="17">
        <f t="shared" si="2"/>
        <v>0</v>
      </c>
      <c r="N30" s="17"/>
      <c r="O30" s="17">
        <f t="shared" si="3"/>
        <v>1523554.7967933286</v>
      </c>
      <c r="P30" s="17"/>
      <c r="Q30" s="17">
        <f t="shared" si="4"/>
        <v>81743.119644521925</v>
      </c>
      <c r="R30" s="17"/>
      <c r="S30" s="17">
        <f>'Exhibit U,6'!S30</f>
        <v>146911.32298649519</v>
      </c>
      <c r="T30" s="53"/>
      <c r="U30" s="25">
        <f t="shared" si="8"/>
        <v>2021</v>
      </c>
      <c r="V30" s="231">
        <v>2177171.58</v>
      </c>
      <c r="W30" s="600"/>
      <c r="X30" s="32"/>
      <c r="Y30" s="172">
        <v>8324.19</v>
      </c>
      <c r="Z30" s="172">
        <v>35409.19</v>
      </c>
      <c r="AA30" s="84">
        <f t="shared" si="5"/>
        <v>15725</v>
      </c>
      <c r="AB30" s="18">
        <v>11934.19</v>
      </c>
      <c r="AC30" s="18">
        <v>51134.19</v>
      </c>
      <c r="AD30" s="235"/>
      <c r="AE30" s="25">
        <f t="shared" si="9"/>
        <v>2021</v>
      </c>
      <c r="AF30" s="137"/>
      <c r="AG30" s="18">
        <v>0</v>
      </c>
      <c r="AH30" s="18">
        <v>0</v>
      </c>
      <c r="AI30" s="172">
        <v>0</v>
      </c>
      <c r="AJ30" s="172">
        <v>0</v>
      </c>
      <c r="AK30" s="84">
        <f t="shared" si="6"/>
        <v>0</v>
      </c>
      <c r="AQ30" s="172"/>
      <c r="AR30" s="172"/>
    </row>
    <row r="31" spans="1:51">
      <c r="A31" s="6">
        <f t="shared" si="7"/>
        <v>2022</v>
      </c>
      <c r="C31" s="17">
        <f>'Exhibit U,10'!K31</f>
        <v>2082630.5534831595</v>
      </c>
      <c r="D31" s="17"/>
      <c r="E31" s="74">
        <f>'Exhibit Q,8'!I35</f>
        <v>1.7839674618821338E-2</v>
      </c>
      <c r="F31" s="17"/>
      <c r="G31" s="20">
        <f t="shared" si="0"/>
        <v>2045477.1020578044</v>
      </c>
      <c r="H31" s="20"/>
      <c r="I31" s="20">
        <f>'Exhibit U,10'!T31</f>
        <v>0</v>
      </c>
      <c r="J31" s="17"/>
      <c r="K31" s="17">
        <f t="shared" si="1"/>
        <v>21947.98</v>
      </c>
      <c r="L31" s="17"/>
      <c r="M31" s="17">
        <f t="shared" si="2"/>
        <v>0</v>
      </c>
      <c r="N31" s="17"/>
      <c r="O31" s="17">
        <f t="shared" si="3"/>
        <v>2067425.0820578043</v>
      </c>
      <c r="P31" s="17"/>
      <c r="Q31" s="17">
        <f t="shared" si="4"/>
        <v>1230290.3763078889</v>
      </c>
      <c r="R31" s="17"/>
      <c r="S31" s="17">
        <f>'Exhibit U,6'!S31</f>
        <v>1349856.3833333333</v>
      </c>
      <c r="T31" s="53"/>
      <c r="U31" s="25">
        <f t="shared" si="8"/>
        <v>2022</v>
      </c>
      <c r="V31" s="18">
        <v>2201647.7199999997</v>
      </c>
      <c r="W31" s="31"/>
      <c r="X31" s="32"/>
      <c r="Y31" s="32"/>
      <c r="Z31" s="32"/>
      <c r="AA31" s="84">
        <f t="shared" si="5"/>
        <v>174500</v>
      </c>
      <c r="AB31" s="18">
        <v>21947.98</v>
      </c>
      <c r="AC31" s="18">
        <v>174500</v>
      </c>
      <c r="AD31" s="235"/>
      <c r="AE31" s="25">
        <f t="shared" si="9"/>
        <v>2022</v>
      </c>
      <c r="AF31" s="137"/>
      <c r="AG31" s="18">
        <v>0</v>
      </c>
      <c r="AH31" s="18">
        <v>0</v>
      </c>
      <c r="AI31" s="172"/>
      <c r="AJ31" s="221"/>
      <c r="AK31" s="84">
        <f t="shared" si="6"/>
        <v>0</v>
      </c>
      <c r="AQ31" s="172"/>
      <c r="AR31" s="172"/>
    </row>
    <row r="32" spans="1:51">
      <c r="A32" s="6"/>
      <c r="C32" s="200"/>
      <c r="E32" s="74"/>
      <c r="G32" s="200"/>
      <c r="H32" s="18"/>
      <c r="I32" s="200"/>
      <c r="J32" s="6"/>
      <c r="K32" s="200"/>
      <c r="L32" s="18"/>
      <c r="M32" s="200"/>
      <c r="N32" s="6"/>
      <c r="O32" s="200"/>
      <c r="Q32" s="200"/>
      <c r="S32" s="200"/>
      <c r="U32" s="97"/>
      <c r="V32" s="70"/>
      <c r="W32" s="70"/>
      <c r="X32" s="70"/>
      <c r="Y32" s="70"/>
      <c r="Z32" s="70"/>
      <c r="AA32" s="70"/>
      <c r="AB32" s="70"/>
      <c r="AC32" s="70"/>
      <c r="AD32" s="61"/>
      <c r="AE32" s="97"/>
      <c r="AF32" s="70"/>
      <c r="AG32" s="70"/>
      <c r="AH32" s="70"/>
      <c r="AI32" s="70"/>
      <c r="AJ32" s="70"/>
      <c r="AK32" s="70"/>
      <c r="AQ32" s="18"/>
      <c r="AR32" s="18"/>
      <c r="AS32" s="18"/>
      <c r="AT32" s="18"/>
      <c r="AU32" s="18"/>
      <c r="AV32" s="18"/>
      <c r="AW32" s="18"/>
      <c r="AX32" s="18"/>
      <c r="AY32" s="18"/>
    </row>
    <row r="33" spans="1:53">
      <c r="A33" s="2" t="s">
        <v>0</v>
      </c>
      <c r="C33" s="19">
        <f>SUM(C17:C32)</f>
        <v>22375891.54574021</v>
      </c>
      <c r="E33" s="19"/>
      <c r="G33" s="19">
        <f>SUM(G17:G32)</f>
        <v>5589253.6325110178</v>
      </c>
      <c r="H33" s="19"/>
      <c r="I33" s="19">
        <f>SUM(I17:I32)</f>
        <v>395200</v>
      </c>
      <c r="J33" s="6"/>
      <c r="K33" s="19">
        <f>SUM(K17:K32)</f>
        <v>14099124.390000001</v>
      </c>
      <c r="L33" s="19"/>
      <c r="M33" s="19">
        <f>SUM(M17:M32)</f>
        <v>4078062.59</v>
      </c>
      <c r="N33" s="6"/>
      <c r="O33" s="19">
        <f>SUM(O17:O32)</f>
        <v>24161640.612511016</v>
      </c>
      <c r="Q33" s="19">
        <f>SUM(Q17:Q32)</f>
        <v>20306507.40166134</v>
      </c>
      <c r="R33" s="19"/>
      <c r="S33" s="19">
        <f>SUM(S17:S32)</f>
        <v>20990182.862268016</v>
      </c>
      <c r="U33" s="97" t="s">
        <v>0</v>
      </c>
      <c r="V33" s="122">
        <f>SUM(V17:V32)</f>
        <v>28442746.629999995</v>
      </c>
      <c r="W33" s="122">
        <f t="shared" ref="W33:AC33" si="10">SUM(W17:W32)</f>
        <v>0</v>
      </c>
      <c r="X33" s="122">
        <f t="shared" si="10"/>
        <v>0</v>
      </c>
      <c r="Y33" s="122">
        <f t="shared" ref="Y33" si="11">SUM(Y17:Y32)</f>
        <v>16607373.359999999</v>
      </c>
      <c r="Z33" s="122">
        <f t="shared" ref="Z33" si="12">SUM(Z17:Z32)</f>
        <v>19533847.670000002</v>
      </c>
      <c r="AA33" s="122">
        <f t="shared" si="10"/>
        <v>56579.160000000207</v>
      </c>
      <c r="AB33" s="122">
        <f t="shared" si="10"/>
        <v>18115436.450000003</v>
      </c>
      <c r="AC33" s="122">
        <f t="shared" si="10"/>
        <v>19590426.830000002</v>
      </c>
      <c r="AD33" s="61"/>
      <c r="AE33" s="97" t="s">
        <v>0</v>
      </c>
      <c r="AF33" s="122">
        <f>SUM(AF17:AF31)</f>
        <v>2544550.2200000002</v>
      </c>
      <c r="AG33" s="122">
        <f t="shared" ref="AG33:AK33" si="13">SUM(AG17:AG31)</f>
        <v>4016312.0599999996</v>
      </c>
      <c r="AH33" s="122">
        <f t="shared" si="13"/>
        <v>4078062.59</v>
      </c>
      <c r="AI33" s="122">
        <f t="shared" si="13"/>
        <v>1595787.0799999998</v>
      </c>
      <c r="AJ33" s="122">
        <f t="shared" si="13"/>
        <v>1628501.13</v>
      </c>
      <c r="AK33" s="122">
        <f t="shared" si="13"/>
        <v>2449561.4600000004</v>
      </c>
      <c r="AP33" s="95"/>
      <c r="AQ33" s="122"/>
      <c r="AR33" s="122"/>
      <c r="AS33" s="21"/>
      <c r="AT33" s="21"/>
      <c r="AU33" s="21"/>
      <c r="AV33" s="21"/>
      <c r="AW33" s="21"/>
      <c r="AX33" s="21"/>
      <c r="AY33" s="21"/>
      <c r="AZ33" s="21"/>
      <c r="BA33" s="21"/>
    </row>
    <row r="34" spans="1:53">
      <c r="E34" s="74"/>
      <c r="H34" s="1" t="s">
        <v>685</v>
      </c>
      <c r="K34" s="187">
        <f>AB33-AL33-K33</f>
        <v>4016312.0600000024</v>
      </c>
      <c r="L34" s="187"/>
      <c r="M34" s="187">
        <f>AM33-M33</f>
        <v>-4078062.59</v>
      </c>
      <c r="N34" s="187"/>
      <c r="O34" s="187">
        <f>'Exhibit U,10'!I33-I33-M33</f>
        <v>0</v>
      </c>
      <c r="U34" s="61"/>
      <c r="V34" s="61"/>
      <c r="W34" s="61"/>
      <c r="X34" s="61"/>
      <c r="Y34" s="172"/>
      <c r="Z34" s="172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Q34" s="61"/>
      <c r="AR34" s="61"/>
    </row>
    <row r="35" spans="1:53" ht="16">
      <c r="A35" s="15" t="s">
        <v>118</v>
      </c>
      <c r="E35" s="74"/>
      <c r="U35" s="61" t="s">
        <v>2</v>
      </c>
      <c r="V35" s="61"/>
      <c r="W35" s="61"/>
      <c r="X35" s="61"/>
      <c r="Y35" s="172"/>
      <c r="Z35" s="172"/>
      <c r="AA35" s="61"/>
      <c r="AB35" s="18">
        <v>1277805.73</v>
      </c>
      <c r="AC35" s="18">
        <v>1277805.73</v>
      </c>
      <c r="AD35" s="61"/>
      <c r="AE35" s="61"/>
      <c r="AF35" s="61"/>
      <c r="AG35" s="61"/>
      <c r="AH35" s="61"/>
      <c r="AI35" s="61"/>
      <c r="AJ35" s="61"/>
      <c r="AK35" s="231"/>
    </row>
    <row r="36" spans="1:53">
      <c r="A36" s="6">
        <f>A17</f>
        <v>2008</v>
      </c>
      <c r="C36" s="147">
        <f>'Exhibit U,12'!G18</f>
        <v>577451.15</v>
      </c>
      <c r="D36" s="147"/>
      <c r="E36" s="128">
        <v>1</v>
      </c>
      <c r="F36" s="147"/>
      <c r="G36" s="497">
        <f>C36*(1-E36)</f>
        <v>0</v>
      </c>
      <c r="H36" s="497"/>
      <c r="I36" s="497">
        <f>I17-'Exhibit U,12'!W18</f>
        <v>0</v>
      </c>
      <c r="J36" s="497"/>
      <c r="K36" s="147">
        <f t="shared" ref="K36:K50" si="14">AB36-AG36</f>
        <v>577451.15</v>
      </c>
      <c r="L36" s="497"/>
      <c r="M36" s="147">
        <f t="shared" ref="M36:M50" si="15">AH36</f>
        <v>0</v>
      </c>
      <c r="N36" s="497"/>
      <c r="O36" s="147">
        <f>K36+G36+I36+M36</f>
        <v>577451.15</v>
      </c>
      <c r="P36" s="147"/>
      <c r="Q36" s="147">
        <f>K36/E36+I36+M36</f>
        <v>577451.15</v>
      </c>
      <c r="R36" s="147"/>
      <c r="S36" s="147">
        <f>SUM(W36:X36)/E36</f>
        <v>0</v>
      </c>
      <c r="U36" s="6">
        <f>A17</f>
        <v>2008</v>
      </c>
      <c r="V36" s="196"/>
      <c r="W36" s="66"/>
      <c r="X36" s="66"/>
      <c r="Y36" s="18">
        <v>577451.15</v>
      </c>
      <c r="Z36" s="18">
        <v>577451.15</v>
      </c>
      <c r="AA36" s="22">
        <f>AC36-Z36</f>
        <v>0</v>
      </c>
      <c r="AB36" s="18">
        <v>577451.15</v>
      </c>
      <c r="AC36" s="18">
        <v>577451.15</v>
      </c>
      <c r="AE36" s="6">
        <f>A17</f>
        <v>2008</v>
      </c>
      <c r="AF36" s="196"/>
      <c r="AG36" s="191">
        <v>0</v>
      </c>
      <c r="AH36" s="191">
        <v>0</v>
      </c>
      <c r="AI36" s="573">
        <v>0</v>
      </c>
      <c r="AJ36" s="573">
        <v>0</v>
      </c>
      <c r="AK36" s="191">
        <f>AH36-AJ36</f>
        <v>0</v>
      </c>
    </row>
    <row r="37" spans="1:53">
      <c r="A37" s="6">
        <f>A36+1</f>
        <v>2009</v>
      </c>
      <c r="C37" s="494">
        <f>'Exhibit U,12'!G19</f>
        <v>28875.5</v>
      </c>
      <c r="E37" s="128">
        <f>E18*(11/12)+E17*(1/12)</f>
        <v>1</v>
      </c>
      <c r="G37" s="494">
        <f t="shared" ref="G37:G50" si="16">C37*(1-E37)</f>
        <v>0</v>
      </c>
      <c r="H37" s="494"/>
      <c r="I37" s="494">
        <f>I18-'Exhibit U,12'!W19</f>
        <v>0</v>
      </c>
      <c r="J37" s="187"/>
      <c r="K37" s="494">
        <f t="shared" si="14"/>
        <v>28875.5</v>
      </c>
      <c r="L37" s="187"/>
      <c r="M37" s="494">
        <f t="shared" si="15"/>
        <v>0</v>
      </c>
      <c r="N37" s="494"/>
      <c r="O37" s="494">
        <f t="shared" ref="O37:O50" si="17">K37+G37+I37+M37</f>
        <v>28875.5</v>
      </c>
      <c r="P37" s="187"/>
      <c r="Q37" s="494">
        <f t="shared" ref="Q37:Q50" si="18">K37/E37+I37+M37</f>
        <v>28875.5</v>
      </c>
      <c r="R37" s="494"/>
      <c r="S37" s="494">
        <f t="shared" ref="S37:S50" si="19">SUM(W37:X37)/E37</f>
        <v>0</v>
      </c>
      <c r="U37" s="6">
        <f>U36+1</f>
        <v>2009</v>
      </c>
      <c r="V37" s="54"/>
      <c r="W37" s="20"/>
      <c r="X37" s="20"/>
      <c r="Y37" s="18">
        <v>28875.5</v>
      </c>
      <c r="Z37" s="18">
        <v>28875.5</v>
      </c>
      <c r="AA37" s="22">
        <f t="shared" ref="AA37:AA50" si="20">AC37-Z37</f>
        <v>0</v>
      </c>
      <c r="AB37" s="18">
        <v>28875.5</v>
      </c>
      <c r="AC37" s="18">
        <v>28875.5</v>
      </c>
      <c r="AD37" s="20"/>
      <c r="AE37" s="6">
        <f>AE36+1</f>
        <v>2009</v>
      </c>
      <c r="AF37" s="54"/>
      <c r="AG37" s="191">
        <v>0</v>
      </c>
      <c r="AH37" s="191">
        <v>0</v>
      </c>
      <c r="AI37" s="573">
        <v>0</v>
      </c>
      <c r="AJ37" s="573">
        <v>0</v>
      </c>
      <c r="AK37" s="191">
        <f t="shared" ref="AK37:AK50" si="21">AH37-AJ37</f>
        <v>0</v>
      </c>
    </row>
    <row r="38" spans="1:53">
      <c r="A38" s="6">
        <f t="shared" ref="A38:A50" si="22">A37+1</f>
        <v>2010</v>
      </c>
      <c r="C38" s="494">
        <f>'Exhibit U,12'!G20</f>
        <v>1056390.7999999998</v>
      </c>
      <c r="E38" s="128">
        <f t="shared" ref="E38:E49" si="23">E19*(11/12)+E18*(1/12)</f>
        <v>1</v>
      </c>
      <c r="G38" s="494">
        <f t="shared" si="16"/>
        <v>0</v>
      </c>
      <c r="H38" s="494"/>
      <c r="I38" s="494">
        <f>I19-'Exhibit U,12'!W20</f>
        <v>0</v>
      </c>
      <c r="J38" s="187"/>
      <c r="K38" s="494">
        <f t="shared" si="14"/>
        <v>1056390.7999999998</v>
      </c>
      <c r="L38" s="187"/>
      <c r="M38" s="494">
        <f t="shared" si="15"/>
        <v>0</v>
      </c>
      <c r="N38" s="494"/>
      <c r="O38" s="494">
        <f t="shared" si="17"/>
        <v>1056390.7999999998</v>
      </c>
      <c r="P38" s="187"/>
      <c r="Q38" s="494">
        <f t="shared" si="18"/>
        <v>1056390.7999999998</v>
      </c>
      <c r="R38" s="494"/>
      <c r="S38" s="494">
        <f t="shared" si="19"/>
        <v>0</v>
      </c>
      <c r="U38" s="6">
        <f t="shared" ref="U38:U50" si="24">U37+1</f>
        <v>2010</v>
      </c>
      <c r="V38" s="54"/>
      <c r="W38" s="20"/>
      <c r="X38" s="20"/>
      <c r="Y38" s="18">
        <v>1056390.7999999998</v>
      </c>
      <c r="Z38" s="18">
        <v>1056390.7999999998</v>
      </c>
      <c r="AA38" s="22">
        <f t="shared" si="20"/>
        <v>0</v>
      </c>
      <c r="AB38" s="18">
        <v>1056390.7999999998</v>
      </c>
      <c r="AC38" s="18">
        <v>1056390.7999999998</v>
      </c>
      <c r="AD38" s="20"/>
      <c r="AE38" s="6">
        <f t="shared" ref="AE38:AE50" si="25">AE37+1</f>
        <v>2010</v>
      </c>
      <c r="AF38" s="54"/>
      <c r="AG38" s="191">
        <v>0</v>
      </c>
      <c r="AH38" s="191">
        <v>0</v>
      </c>
      <c r="AI38" s="573">
        <v>0</v>
      </c>
      <c r="AJ38" s="573">
        <v>0</v>
      </c>
      <c r="AK38" s="191">
        <f t="shared" si="21"/>
        <v>0</v>
      </c>
    </row>
    <row r="39" spans="1:53">
      <c r="A39" s="6">
        <f t="shared" si="22"/>
        <v>2011</v>
      </c>
      <c r="C39" s="494">
        <f>'Exhibit U,12'!G21</f>
        <v>640869.17000000004</v>
      </c>
      <c r="E39" s="128">
        <f t="shared" si="23"/>
        <v>1</v>
      </c>
      <c r="G39" s="494">
        <f t="shared" si="16"/>
        <v>0</v>
      </c>
      <c r="H39" s="494"/>
      <c r="I39" s="494">
        <f>I20-'Exhibit U,12'!W21</f>
        <v>0</v>
      </c>
      <c r="J39" s="187"/>
      <c r="K39" s="494">
        <f t="shared" si="14"/>
        <v>630532.12000000011</v>
      </c>
      <c r="L39" s="187"/>
      <c r="M39" s="494">
        <f t="shared" si="15"/>
        <v>10337.04999999993</v>
      </c>
      <c r="N39" s="494"/>
      <c r="O39" s="494">
        <f t="shared" si="17"/>
        <v>640869.17000000004</v>
      </c>
      <c r="P39" s="187"/>
      <c r="Q39" s="494">
        <f t="shared" si="18"/>
        <v>640869.17000000004</v>
      </c>
      <c r="R39" s="494"/>
      <c r="S39" s="494">
        <f t="shared" si="19"/>
        <v>0</v>
      </c>
      <c r="U39" s="6">
        <f t="shared" si="24"/>
        <v>2011</v>
      </c>
      <c r="V39" s="54">
        <v>1924351.1426819335</v>
      </c>
      <c r="W39" s="20"/>
      <c r="X39" s="20"/>
      <c r="Y39" s="18">
        <v>640869.17000000004</v>
      </c>
      <c r="Z39" s="18">
        <v>640869.17000000004</v>
      </c>
      <c r="AA39" s="22">
        <f t="shared" si="20"/>
        <v>0</v>
      </c>
      <c r="AB39" s="18">
        <v>640869.17000000004</v>
      </c>
      <c r="AC39" s="18">
        <v>640869.17000000004</v>
      </c>
      <c r="AD39" s="20"/>
      <c r="AE39" s="6">
        <f t="shared" si="25"/>
        <v>2011</v>
      </c>
      <c r="AF39" s="54"/>
      <c r="AG39" s="191">
        <v>10337.04999999993</v>
      </c>
      <c r="AH39" s="191">
        <v>10337.04999999993</v>
      </c>
      <c r="AI39" s="573">
        <v>10337.049999999999</v>
      </c>
      <c r="AJ39" s="573">
        <v>10337.049999999999</v>
      </c>
      <c r="AK39" s="191">
        <f t="shared" si="21"/>
        <v>-6.9121597334742546E-11</v>
      </c>
    </row>
    <row r="40" spans="1:53">
      <c r="A40" s="6">
        <f t="shared" si="22"/>
        <v>2012</v>
      </c>
      <c r="C40" s="494">
        <f>'Exhibit U,12'!G22</f>
        <v>4175261.5</v>
      </c>
      <c r="E40" s="128">
        <f t="shared" si="23"/>
        <v>1</v>
      </c>
      <c r="G40" s="494">
        <f t="shared" si="16"/>
        <v>0</v>
      </c>
      <c r="H40" s="494"/>
      <c r="I40" s="494">
        <f>I21-'Exhibit U,12'!W22</f>
        <v>0</v>
      </c>
      <c r="J40" s="187"/>
      <c r="K40" s="494">
        <f t="shared" si="14"/>
        <v>3303280.25</v>
      </c>
      <c r="L40" s="187"/>
      <c r="M40" s="494">
        <f t="shared" si="15"/>
        <v>871981.25</v>
      </c>
      <c r="N40" s="494"/>
      <c r="O40" s="494">
        <f t="shared" si="17"/>
        <v>4175261.5</v>
      </c>
      <c r="P40" s="187"/>
      <c r="Q40" s="494">
        <f t="shared" si="18"/>
        <v>4175261.5</v>
      </c>
      <c r="R40" s="494"/>
      <c r="S40" s="494">
        <f t="shared" si="19"/>
        <v>0</v>
      </c>
      <c r="U40" s="6">
        <f t="shared" si="24"/>
        <v>2012</v>
      </c>
      <c r="V40" s="54">
        <v>2358279.3994635087</v>
      </c>
      <c r="W40" s="20"/>
      <c r="X40" s="20"/>
      <c r="Y40" s="18">
        <v>4175261.5</v>
      </c>
      <c r="Z40" s="18">
        <v>4175261.5</v>
      </c>
      <c r="AA40" s="22">
        <f t="shared" si="20"/>
        <v>0</v>
      </c>
      <c r="AB40" s="18">
        <v>4175261.5</v>
      </c>
      <c r="AC40" s="18">
        <v>4175261.5</v>
      </c>
      <c r="AD40" s="20"/>
      <c r="AE40" s="6">
        <f t="shared" si="25"/>
        <v>2012</v>
      </c>
      <c r="AF40" s="54">
        <v>1501137.4553638659</v>
      </c>
      <c r="AG40" s="191">
        <v>871981.25</v>
      </c>
      <c r="AH40" s="191">
        <v>871981.25</v>
      </c>
      <c r="AI40" s="573">
        <v>871981.25</v>
      </c>
      <c r="AJ40" s="573">
        <v>871981.25</v>
      </c>
      <c r="AK40" s="191">
        <f t="shared" si="21"/>
        <v>0</v>
      </c>
    </row>
    <row r="41" spans="1:53">
      <c r="A41" s="6">
        <f t="shared" si="22"/>
        <v>2013</v>
      </c>
      <c r="C41" s="494">
        <f>'Exhibit U,12'!G23</f>
        <v>714842.25</v>
      </c>
      <c r="E41" s="128">
        <f t="shared" si="23"/>
        <v>1</v>
      </c>
      <c r="G41" s="494">
        <f t="shared" si="16"/>
        <v>0</v>
      </c>
      <c r="H41" s="494"/>
      <c r="I41" s="494">
        <f>I22-'Exhibit U,12'!W23</f>
        <v>0</v>
      </c>
      <c r="J41" s="187"/>
      <c r="K41" s="494">
        <f t="shared" si="14"/>
        <v>250097.58000000002</v>
      </c>
      <c r="L41" s="187"/>
      <c r="M41" s="494">
        <f t="shared" si="15"/>
        <v>464744.67</v>
      </c>
      <c r="N41" s="494"/>
      <c r="O41" s="494">
        <f t="shared" si="17"/>
        <v>714842.25</v>
      </c>
      <c r="P41" s="187"/>
      <c r="Q41" s="494">
        <f t="shared" si="18"/>
        <v>714842.25</v>
      </c>
      <c r="R41" s="494"/>
      <c r="S41" s="494">
        <f t="shared" si="19"/>
        <v>0</v>
      </c>
      <c r="U41" s="6">
        <f t="shared" si="24"/>
        <v>2013</v>
      </c>
      <c r="V41" s="54">
        <v>2057562.7888588139</v>
      </c>
      <c r="W41" s="20"/>
      <c r="X41" s="20"/>
      <c r="Y41" s="18">
        <v>712208.5199999999</v>
      </c>
      <c r="Z41" s="18">
        <v>712208.5199999999</v>
      </c>
      <c r="AA41" s="22">
        <f t="shared" si="20"/>
        <v>2633.7300000000978</v>
      </c>
      <c r="AB41" s="18">
        <v>714842.25</v>
      </c>
      <c r="AC41" s="18">
        <v>714842.25</v>
      </c>
      <c r="AD41" s="20"/>
      <c r="AE41" s="6">
        <f t="shared" si="25"/>
        <v>2013</v>
      </c>
      <c r="AF41" s="54">
        <v>1844220.6889270204</v>
      </c>
      <c r="AG41" s="191">
        <v>464744.67</v>
      </c>
      <c r="AH41" s="191">
        <v>464744.67</v>
      </c>
      <c r="AI41" s="573">
        <v>462110.93999999994</v>
      </c>
      <c r="AJ41" s="573">
        <v>462110.93999999994</v>
      </c>
      <c r="AK41" s="191">
        <f t="shared" si="21"/>
        <v>2633.7300000000396</v>
      </c>
    </row>
    <row r="42" spans="1:53">
      <c r="A42" s="6">
        <f t="shared" si="22"/>
        <v>2014</v>
      </c>
      <c r="C42" s="494">
        <f>'Exhibit U,12'!G24</f>
        <v>2675499.5682510771</v>
      </c>
      <c r="E42" s="128">
        <f t="shared" si="23"/>
        <v>0.99979014041514047</v>
      </c>
      <c r="G42" s="494">
        <f t="shared" si="16"/>
        <v>561.47922868501905</v>
      </c>
      <c r="H42" s="494"/>
      <c r="I42" s="494">
        <f>I23-'Exhibit U,12'!W24</f>
        <v>0</v>
      </c>
      <c r="J42" s="187"/>
      <c r="K42" s="494">
        <f t="shared" si="14"/>
        <v>2534017.85</v>
      </c>
      <c r="L42" s="187"/>
      <c r="M42" s="494">
        <f t="shared" si="15"/>
        <v>108138.22999999998</v>
      </c>
      <c r="N42" s="494"/>
      <c r="O42" s="494">
        <f t="shared" si="17"/>
        <v>2642717.5592286852</v>
      </c>
      <c r="P42" s="187"/>
      <c r="Q42" s="494">
        <f t="shared" si="18"/>
        <v>2642687.9795582481</v>
      </c>
      <c r="R42" s="494"/>
      <c r="S42" s="494">
        <f t="shared" si="19"/>
        <v>0</v>
      </c>
      <c r="U42" s="6">
        <f t="shared" si="24"/>
        <v>2014</v>
      </c>
      <c r="V42" s="54">
        <v>2953363.5346507272</v>
      </c>
      <c r="W42" s="20"/>
      <c r="X42" s="20"/>
      <c r="Y42" s="18">
        <v>2587689.1800000002</v>
      </c>
      <c r="Z42" s="18">
        <v>2855104.37</v>
      </c>
      <c r="AA42" s="22">
        <f t="shared" si="20"/>
        <v>-212948.29000000004</v>
      </c>
      <c r="AB42" s="18">
        <v>2642156.08</v>
      </c>
      <c r="AC42" s="18">
        <v>2642156.08</v>
      </c>
      <c r="AD42" s="20"/>
      <c r="AE42" s="6">
        <f t="shared" si="25"/>
        <v>2014</v>
      </c>
      <c r="AF42" s="54">
        <v>1632100.2077176259</v>
      </c>
      <c r="AG42" s="191">
        <v>108138.22999999998</v>
      </c>
      <c r="AH42" s="191">
        <v>108138.22999999998</v>
      </c>
      <c r="AI42" s="573">
        <v>108138.23</v>
      </c>
      <c r="AJ42" s="573">
        <v>108138.23</v>
      </c>
      <c r="AK42" s="191">
        <f t="shared" si="21"/>
        <v>0</v>
      </c>
    </row>
    <row r="43" spans="1:53">
      <c r="A43" s="6">
        <f t="shared" si="22"/>
        <v>2015</v>
      </c>
      <c r="C43" s="494">
        <f>'Exhibit U,12'!G25</f>
        <v>1881397.8199999998</v>
      </c>
      <c r="E43" s="128">
        <f t="shared" si="23"/>
        <v>0.98912909180766329</v>
      </c>
      <c r="G43" s="494">
        <f t="shared" si="16"/>
        <v>20452.502974482435</v>
      </c>
      <c r="H43" s="494"/>
      <c r="I43" s="494">
        <f>I24-'Exhibit U,12'!W25</f>
        <v>0</v>
      </c>
      <c r="J43" s="187"/>
      <c r="K43" s="494">
        <f t="shared" si="14"/>
        <v>1877852.56</v>
      </c>
      <c r="L43" s="187"/>
      <c r="M43" s="494">
        <f t="shared" si="15"/>
        <v>3545.2599999997765</v>
      </c>
      <c r="N43" s="494"/>
      <c r="O43" s="494">
        <f t="shared" si="17"/>
        <v>1901850.3229744823</v>
      </c>
      <c r="P43" s="187"/>
      <c r="Q43" s="494">
        <f t="shared" si="18"/>
        <v>1902036.1400611328</v>
      </c>
      <c r="R43" s="494"/>
      <c r="S43" s="494">
        <f t="shared" si="19"/>
        <v>0</v>
      </c>
      <c r="U43" s="6">
        <f t="shared" si="24"/>
        <v>2015</v>
      </c>
      <c r="V43" s="54">
        <v>2977568.043063425</v>
      </c>
      <c r="W43" s="20"/>
      <c r="X43" s="20"/>
      <c r="Y43" s="18">
        <v>806448.95</v>
      </c>
      <c r="Z43" s="18">
        <v>1556448.95</v>
      </c>
      <c r="AA43" s="22">
        <f t="shared" si="20"/>
        <v>324948.86999999988</v>
      </c>
      <c r="AB43" s="18">
        <v>1881397.8199999998</v>
      </c>
      <c r="AC43" s="18">
        <v>1881397.8199999998</v>
      </c>
      <c r="AD43" s="20"/>
      <c r="AE43" s="6">
        <f t="shared" si="25"/>
        <v>2015</v>
      </c>
      <c r="AF43" s="54">
        <v>2315409.8393014544</v>
      </c>
      <c r="AG43" s="191">
        <v>3545.2599999997765</v>
      </c>
      <c r="AH43" s="191">
        <v>3545.2599999997765</v>
      </c>
      <c r="AI43" s="573">
        <v>3545.26</v>
      </c>
      <c r="AJ43" s="573">
        <v>3545.26</v>
      </c>
      <c r="AK43" s="191">
        <f t="shared" si="21"/>
        <v>-2.2373569663614035E-10</v>
      </c>
    </row>
    <row r="44" spans="1:53">
      <c r="A44" s="6">
        <f t="shared" si="22"/>
        <v>2016</v>
      </c>
      <c r="C44" s="494">
        <f>'Exhibit U,12'!G26</f>
        <v>1630863.8733743315</v>
      </c>
      <c r="E44" s="128">
        <f t="shared" si="23"/>
        <v>0.94414061822689987</v>
      </c>
      <c r="G44" s="494">
        <f t="shared" si="16"/>
        <v>91099.047722773597</v>
      </c>
      <c r="H44" s="494"/>
      <c r="I44" s="494">
        <f>I25-'Exhibit U,12'!W26</f>
        <v>395200</v>
      </c>
      <c r="J44" s="187"/>
      <c r="K44" s="494">
        <f t="shared" si="14"/>
        <v>1262759.1500000001</v>
      </c>
      <c r="L44" s="187"/>
      <c r="M44" s="494">
        <f t="shared" si="15"/>
        <v>32202.6800000004</v>
      </c>
      <c r="N44" s="494"/>
      <c r="O44" s="494">
        <f t="shared" si="17"/>
        <v>1781260.8777227742</v>
      </c>
      <c r="P44" s="187"/>
      <c r="Q44" s="494">
        <f t="shared" si="18"/>
        <v>1764872.0416841393</v>
      </c>
      <c r="R44" s="494"/>
      <c r="S44" s="494">
        <f t="shared" si="19"/>
        <v>0</v>
      </c>
      <c r="U44" s="6">
        <f t="shared" si="24"/>
        <v>2016</v>
      </c>
      <c r="V44" s="54">
        <v>2652299.6053890777</v>
      </c>
      <c r="W44" s="20"/>
      <c r="X44" s="20"/>
      <c r="Y44" s="18">
        <v>1252807.5100000002</v>
      </c>
      <c r="Z44" s="18">
        <v>1414711.1700000004</v>
      </c>
      <c r="AA44" s="22">
        <f t="shared" si="20"/>
        <v>287657.60999999987</v>
      </c>
      <c r="AB44" s="18">
        <v>1294961.8300000005</v>
      </c>
      <c r="AC44" s="18">
        <v>1702368.7800000003</v>
      </c>
      <c r="AD44" s="20"/>
      <c r="AE44" s="6">
        <f t="shared" si="25"/>
        <v>2016</v>
      </c>
      <c r="AF44" s="54">
        <v>2493834.1261268482</v>
      </c>
      <c r="AG44" s="191">
        <v>32202.6800000004</v>
      </c>
      <c r="AH44" s="191">
        <v>32202.6800000004</v>
      </c>
      <c r="AI44" s="573">
        <v>32202.679999999935</v>
      </c>
      <c r="AJ44" s="573">
        <v>32202.679999999935</v>
      </c>
      <c r="AK44" s="191">
        <f t="shared" si="21"/>
        <v>4.6566128730773926E-10</v>
      </c>
    </row>
    <row r="45" spans="1:53">
      <c r="A45" s="6">
        <f t="shared" si="22"/>
        <v>2017</v>
      </c>
      <c r="C45" s="494">
        <f>'Exhibit U,12'!G27</f>
        <v>305163.03999999998</v>
      </c>
      <c r="E45" s="128">
        <f t="shared" si="23"/>
        <v>0.8685049696652738</v>
      </c>
      <c r="G45" s="494">
        <f t="shared" si="16"/>
        <v>40127.423201837264</v>
      </c>
      <c r="H45" s="494"/>
      <c r="I45" s="494">
        <f>I26-'Exhibit U,12'!W27</f>
        <v>0</v>
      </c>
      <c r="J45" s="187"/>
      <c r="K45" s="494">
        <f t="shared" si="14"/>
        <v>226782.57</v>
      </c>
      <c r="L45" s="187"/>
      <c r="M45" s="494">
        <f t="shared" si="15"/>
        <v>69380.469999999972</v>
      </c>
      <c r="N45" s="494"/>
      <c r="O45" s="494">
        <f t="shared" si="17"/>
        <v>336290.46320183726</v>
      </c>
      <c r="P45" s="187"/>
      <c r="Q45" s="494">
        <f t="shared" si="18"/>
        <v>330498.80313677312</v>
      </c>
      <c r="R45" s="494"/>
      <c r="S45" s="494">
        <f t="shared" si="19"/>
        <v>0</v>
      </c>
      <c r="U45" s="6">
        <f t="shared" si="24"/>
        <v>2017</v>
      </c>
      <c r="V45" s="54">
        <v>2063548.1951515423</v>
      </c>
      <c r="W45" s="20"/>
      <c r="X45" s="20"/>
      <c r="Y45" s="18">
        <v>282540.98</v>
      </c>
      <c r="Z45" s="18">
        <v>304640.94</v>
      </c>
      <c r="AA45" s="22">
        <f t="shared" si="20"/>
        <v>522.09999999997672</v>
      </c>
      <c r="AB45" s="18">
        <v>296163.03999999998</v>
      </c>
      <c r="AC45" s="18">
        <v>305163.03999999998</v>
      </c>
      <c r="AD45" s="20"/>
      <c r="AE45" s="6">
        <f t="shared" si="25"/>
        <v>2017</v>
      </c>
      <c r="AF45" s="54">
        <v>2171160.8107781564</v>
      </c>
      <c r="AG45" s="191">
        <v>69380.469999999972</v>
      </c>
      <c r="AH45" s="191">
        <v>69380.469999999972</v>
      </c>
      <c r="AI45" s="573">
        <v>69380.47</v>
      </c>
      <c r="AJ45" s="573">
        <v>69380.47</v>
      </c>
      <c r="AK45" s="191">
        <f t="shared" si="21"/>
        <v>0</v>
      </c>
    </row>
    <row r="46" spans="1:53">
      <c r="A46" s="6">
        <f t="shared" si="22"/>
        <v>2018</v>
      </c>
      <c r="C46" s="494">
        <f>'Exhibit U,12'!G28</f>
        <v>813759.20730812405</v>
      </c>
      <c r="E46" s="128">
        <f t="shared" si="23"/>
        <v>0.71759010466364148</v>
      </c>
      <c r="G46" s="494">
        <f t="shared" si="16"/>
        <v>229813.65256488539</v>
      </c>
      <c r="H46" s="494"/>
      <c r="I46" s="494">
        <f>I27-'Exhibit U,12'!W28</f>
        <v>0</v>
      </c>
      <c r="J46" s="187"/>
      <c r="K46" s="494">
        <f t="shared" si="14"/>
        <v>340443.45</v>
      </c>
      <c r="L46" s="187"/>
      <c r="M46" s="494">
        <f t="shared" si="15"/>
        <v>130805.25</v>
      </c>
      <c r="N46" s="494"/>
      <c r="O46" s="494">
        <f t="shared" si="17"/>
        <v>701062.3525648854</v>
      </c>
      <c r="P46" s="187"/>
      <c r="Q46" s="494">
        <f t="shared" si="18"/>
        <v>605231.31550375617</v>
      </c>
      <c r="R46" s="494"/>
      <c r="S46" s="494">
        <f t="shared" si="19"/>
        <v>0</v>
      </c>
      <c r="U46" s="6">
        <f t="shared" si="24"/>
        <v>2018</v>
      </c>
      <c r="V46" s="54">
        <v>1317712.5720453935</v>
      </c>
      <c r="W46" s="20"/>
      <c r="X46" s="20"/>
      <c r="Y46" s="18">
        <v>163104.99000000002</v>
      </c>
      <c r="Z46" s="18">
        <v>1384999.85</v>
      </c>
      <c r="AA46" s="22">
        <f t="shared" si="20"/>
        <v>-486664.4800000001</v>
      </c>
      <c r="AB46" s="18">
        <v>409498.17</v>
      </c>
      <c r="AC46" s="18">
        <v>898335.37</v>
      </c>
      <c r="AD46" s="20"/>
      <c r="AE46" s="6">
        <f t="shared" si="25"/>
        <v>2018</v>
      </c>
      <c r="AF46" s="54">
        <v>1798747.6603030856</v>
      </c>
      <c r="AG46" s="191">
        <v>69054.719999999972</v>
      </c>
      <c r="AH46" s="191">
        <v>130805.25</v>
      </c>
      <c r="AI46" s="573">
        <v>38091.199999999997</v>
      </c>
      <c r="AJ46" s="573">
        <v>70805.25</v>
      </c>
      <c r="AK46" s="191">
        <f t="shared" si="21"/>
        <v>60000</v>
      </c>
    </row>
    <row r="47" spans="1:53">
      <c r="A47" s="6">
        <f t="shared" si="22"/>
        <v>2019</v>
      </c>
      <c r="C47" s="494">
        <f>'Exhibit U,12'!G29</f>
        <v>431293.05252606864</v>
      </c>
      <c r="E47" s="128">
        <f t="shared" si="23"/>
        <v>0.48669442659504314</v>
      </c>
      <c r="G47" s="494">
        <f t="shared" si="16"/>
        <v>221385.12763246783</v>
      </c>
      <c r="H47" s="494"/>
      <c r="I47" s="494">
        <f>I28-'Exhibit U,12'!W29</f>
        <v>0</v>
      </c>
      <c r="J47" s="187"/>
      <c r="K47" s="494">
        <f t="shared" si="14"/>
        <v>112278.38</v>
      </c>
      <c r="L47" s="187"/>
      <c r="M47" s="494">
        <f t="shared" si="15"/>
        <v>0</v>
      </c>
      <c r="N47" s="494"/>
      <c r="O47" s="494">
        <f t="shared" si="17"/>
        <v>333663.50763246784</v>
      </c>
      <c r="P47" s="187"/>
      <c r="Q47" s="494">
        <f t="shared" si="18"/>
        <v>230695.84089037013</v>
      </c>
      <c r="R47" s="494"/>
      <c r="S47" s="494">
        <f t="shared" si="19"/>
        <v>0</v>
      </c>
      <c r="U47" s="6">
        <f t="shared" si="24"/>
        <v>2019</v>
      </c>
      <c r="V47" s="54">
        <v>1046488.920129867</v>
      </c>
      <c r="W47" s="20"/>
      <c r="X47" s="20"/>
      <c r="Y47" s="18">
        <v>74916.14</v>
      </c>
      <c r="Z47" s="18">
        <v>389263.95</v>
      </c>
      <c r="AA47" s="22">
        <f t="shared" si="20"/>
        <v>26419.580000000016</v>
      </c>
      <c r="AB47" s="18">
        <v>112278.38</v>
      </c>
      <c r="AC47" s="18">
        <v>415683.53</v>
      </c>
      <c r="AD47" s="20"/>
      <c r="AE47" s="6">
        <f t="shared" si="25"/>
        <v>2019</v>
      </c>
      <c r="AF47" s="54">
        <v>1106151.3740907866</v>
      </c>
      <c r="AG47" s="191">
        <v>0</v>
      </c>
      <c r="AH47" s="191">
        <v>0</v>
      </c>
      <c r="AI47" s="573">
        <v>0</v>
      </c>
      <c r="AJ47" s="573">
        <v>0</v>
      </c>
      <c r="AK47" s="191">
        <f t="shared" si="21"/>
        <v>0</v>
      </c>
    </row>
    <row r="48" spans="1:53">
      <c r="A48" s="6">
        <f t="shared" si="22"/>
        <v>2020</v>
      </c>
      <c r="C48" s="494">
        <f>'Exhibit U,12'!G30</f>
        <v>465279.60779803968</v>
      </c>
      <c r="E48" s="128">
        <f t="shared" si="23"/>
        <v>0.28554821899285365</v>
      </c>
      <c r="G48" s="494">
        <f t="shared" si="16"/>
        <v>332419.84445761598</v>
      </c>
      <c r="H48" s="494"/>
      <c r="I48" s="494">
        <f>I29-'Exhibit U,12'!W30</f>
        <v>0</v>
      </c>
      <c r="J48" s="187"/>
      <c r="K48" s="494">
        <f t="shared" si="14"/>
        <v>97657.46</v>
      </c>
      <c r="L48" s="187"/>
      <c r="M48" s="494">
        <f t="shared" si="15"/>
        <v>0</v>
      </c>
      <c r="N48" s="494"/>
      <c r="O48" s="494">
        <f t="shared" si="17"/>
        <v>430077.304457616</v>
      </c>
      <c r="P48" s="187"/>
      <c r="Q48" s="494">
        <f t="shared" si="18"/>
        <v>341999.8918026663</v>
      </c>
      <c r="R48" s="494"/>
      <c r="S48" s="494">
        <f t="shared" si="19"/>
        <v>0</v>
      </c>
      <c r="U48" s="6">
        <f t="shared" si="24"/>
        <v>2020</v>
      </c>
      <c r="V48" s="54">
        <v>834899.18671725178</v>
      </c>
      <c r="W48" s="20"/>
      <c r="X48" s="20"/>
      <c r="Y48" s="18">
        <v>86733.65</v>
      </c>
      <c r="Z48" s="18">
        <v>248461.47999999998</v>
      </c>
      <c r="AA48" s="22">
        <f t="shared" si="20"/>
        <v>-76214.959999999963</v>
      </c>
      <c r="AB48" s="18">
        <v>97657.46</v>
      </c>
      <c r="AC48" s="18">
        <v>172246.52000000002</v>
      </c>
      <c r="AD48" s="20"/>
      <c r="AE48" s="6">
        <f t="shared" si="25"/>
        <v>2020</v>
      </c>
      <c r="AF48" s="54">
        <v>836622.23025973397</v>
      </c>
      <c r="AG48" s="191">
        <v>0</v>
      </c>
      <c r="AH48" s="191">
        <v>0</v>
      </c>
      <c r="AI48" s="573">
        <v>0</v>
      </c>
      <c r="AJ48" s="573">
        <v>0</v>
      </c>
      <c r="AK48" s="191">
        <f t="shared" si="21"/>
        <v>0</v>
      </c>
    </row>
    <row r="49" spans="1:53">
      <c r="A49" s="6">
        <f t="shared" si="22"/>
        <v>2021</v>
      </c>
      <c r="C49" s="494">
        <f>'Exhibit U,12'!G31</f>
        <v>987667.1352795593</v>
      </c>
      <c r="E49" s="128">
        <f t="shared" si="23"/>
        <v>0.15625173589768776</v>
      </c>
      <c r="G49" s="494">
        <f t="shared" si="16"/>
        <v>833342.43090303172</v>
      </c>
      <c r="H49" s="494"/>
      <c r="I49" s="494">
        <f>I30-'Exhibit U,12'!W31</f>
        <v>0</v>
      </c>
      <c r="J49" s="187"/>
      <c r="K49" s="494">
        <f t="shared" si="14"/>
        <v>11934.19</v>
      </c>
      <c r="L49" s="187"/>
      <c r="M49" s="494">
        <f t="shared" si="15"/>
        <v>0</v>
      </c>
      <c r="N49" s="494"/>
      <c r="O49" s="494">
        <f t="shared" si="17"/>
        <v>845276.62090303167</v>
      </c>
      <c r="P49" s="187"/>
      <c r="Q49" s="494">
        <f t="shared" si="18"/>
        <v>76377.967460242493</v>
      </c>
      <c r="R49" s="494"/>
      <c r="S49" s="494">
        <f t="shared" si="19"/>
        <v>0</v>
      </c>
      <c r="U49" s="6">
        <f t="shared" si="24"/>
        <v>2021</v>
      </c>
      <c r="V49" s="600">
        <v>1718614.4791375534</v>
      </c>
      <c r="W49" s="20"/>
      <c r="X49" s="20"/>
      <c r="Y49" s="18">
        <v>8324.19</v>
      </c>
      <c r="Z49" s="18">
        <v>35409.19</v>
      </c>
      <c r="AA49" s="22">
        <f t="shared" si="20"/>
        <v>15725</v>
      </c>
      <c r="AB49" s="18">
        <v>11934.19</v>
      </c>
      <c r="AC49" s="18">
        <v>51134.19</v>
      </c>
      <c r="AD49" s="20"/>
      <c r="AE49" s="6">
        <f t="shared" si="25"/>
        <v>2021</v>
      </c>
      <c r="AF49" s="54">
        <v>608835.0534345035</v>
      </c>
      <c r="AG49" s="191">
        <v>0</v>
      </c>
      <c r="AH49" s="191">
        <v>0</v>
      </c>
      <c r="AI49" s="573">
        <v>0</v>
      </c>
      <c r="AJ49" s="573">
        <v>0</v>
      </c>
      <c r="AK49" s="191">
        <f t="shared" si="21"/>
        <v>0</v>
      </c>
    </row>
    <row r="50" spans="1:53">
      <c r="A50" s="6">
        <f t="shared" si="22"/>
        <v>2022</v>
      </c>
      <c r="C50" s="494">
        <f>'Exhibit U,12'!G32</f>
        <v>1315092.6956908247</v>
      </c>
      <c r="E50" s="128">
        <f>E31*(11/12)+E30*(1/12)</f>
        <v>2.8519390323306318E-2</v>
      </c>
      <c r="G50" s="494">
        <f t="shared" si="16"/>
        <v>1277587.053791089</v>
      </c>
      <c r="H50" s="494"/>
      <c r="I50" s="494">
        <f>I31-'Exhibit U,12'!W32</f>
        <v>0</v>
      </c>
      <c r="J50" s="187"/>
      <c r="K50" s="494">
        <f t="shared" si="14"/>
        <v>21947.98</v>
      </c>
      <c r="L50" s="187"/>
      <c r="M50" s="494">
        <f t="shared" si="15"/>
        <v>0</v>
      </c>
      <c r="N50" s="494"/>
      <c r="O50" s="494">
        <f t="shared" si="17"/>
        <v>1299535.033791089</v>
      </c>
      <c r="P50" s="187"/>
      <c r="Q50" s="494">
        <f t="shared" si="18"/>
        <v>769580.96758695086</v>
      </c>
      <c r="R50" s="494"/>
      <c r="S50" s="494">
        <f t="shared" si="19"/>
        <v>0</v>
      </c>
      <c r="U50" s="6">
        <f t="shared" si="24"/>
        <v>2022</v>
      </c>
      <c r="V50" s="54">
        <v>1998886.0042928304</v>
      </c>
      <c r="W50" s="20"/>
      <c r="X50" s="20"/>
      <c r="Y50" s="17"/>
      <c r="Z50" s="17"/>
      <c r="AA50" s="22">
        <f t="shared" si="20"/>
        <v>174500</v>
      </c>
      <c r="AB50" s="18">
        <v>21947.98</v>
      </c>
      <c r="AC50" s="18">
        <v>174500</v>
      </c>
      <c r="AD50" s="20"/>
      <c r="AE50" s="6">
        <f t="shared" si="25"/>
        <v>2022</v>
      </c>
      <c r="AF50" s="54">
        <v>1260057.3782751067</v>
      </c>
      <c r="AG50" s="191">
        <v>0</v>
      </c>
      <c r="AH50" s="191">
        <v>0</v>
      </c>
      <c r="AI50" s="573">
        <v>0</v>
      </c>
      <c r="AJ50" s="573">
        <v>0</v>
      </c>
      <c r="AK50" s="191">
        <f t="shared" si="21"/>
        <v>0</v>
      </c>
    </row>
    <row r="51" spans="1:53">
      <c r="A51" s="6"/>
      <c r="C51" s="200"/>
      <c r="G51" s="200"/>
      <c r="H51" s="18"/>
      <c r="I51" s="200"/>
      <c r="J51" s="6"/>
      <c r="K51" s="200"/>
      <c r="L51" s="18"/>
      <c r="M51" s="200"/>
      <c r="N51" s="6"/>
      <c r="O51" s="200"/>
      <c r="Q51" s="200"/>
      <c r="S51" s="200"/>
      <c r="U51" s="2"/>
      <c r="V51" s="63"/>
      <c r="W51" s="63"/>
      <c r="X51" s="63"/>
      <c r="Y51" s="63"/>
      <c r="Z51" s="63"/>
      <c r="AA51" s="70"/>
      <c r="AB51" s="70"/>
      <c r="AC51" s="70"/>
      <c r="AE51" s="2"/>
      <c r="AF51" s="63"/>
      <c r="AG51" s="63"/>
      <c r="AH51" s="63"/>
      <c r="AI51" s="63"/>
      <c r="AJ51" s="63"/>
      <c r="AK51" s="63"/>
    </row>
    <row r="52" spans="1:53">
      <c r="A52" s="2" t="s">
        <v>0</v>
      </c>
      <c r="C52" s="19">
        <f>SUM(C36:C51)</f>
        <v>17699706.370228022</v>
      </c>
      <c r="E52" s="19"/>
      <c r="G52" s="19">
        <f>SUM(G36:G51)</f>
        <v>3046788.5624768683</v>
      </c>
      <c r="H52" s="19"/>
      <c r="I52" s="19">
        <f>SUM(I36:I51)</f>
        <v>395200</v>
      </c>
      <c r="J52" s="6"/>
      <c r="K52" s="19">
        <f>SUM(K36:K51)</f>
        <v>12332300.990000002</v>
      </c>
      <c r="L52" s="19"/>
      <c r="M52" s="19">
        <f>SUM(M36:M51)</f>
        <v>1691134.86</v>
      </c>
      <c r="N52" s="6"/>
      <c r="O52" s="19">
        <f>SUM(O36:O51)</f>
        <v>17465424.412476867</v>
      </c>
      <c r="Q52" s="19">
        <f>SUM(Q36:Q51)</f>
        <v>15857671.31768428</v>
      </c>
      <c r="S52" s="19">
        <f>SUM(S36:S51)</f>
        <v>0</v>
      </c>
      <c r="U52" s="2" t="s">
        <v>0</v>
      </c>
      <c r="V52" s="122">
        <f>SUM(V36:V51)</f>
        <v>23903573.871581923</v>
      </c>
      <c r="W52" s="122">
        <f t="shared" ref="W52:AC52" si="26">SUM(W36:W51)</f>
        <v>0</v>
      </c>
      <c r="X52" s="122">
        <f t="shared" si="26"/>
        <v>0</v>
      </c>
      <c r="Y52" s="122">
        <f t="shared" si="26"/>
        <v>12453622.229999999</v>
      </c>
      <c r="Z52" s="122">
        <f t="shared" si="26"/>
        <v>15380096.539999995</v>
      </c>
      <c r="AA52" s="122">
        <f t="shared" si="26"/>
        <v>56579.159999999742</v>
      </c>
      <c r="AB52" s="122">
        <f t="shared" si="26"/>
        <v>13961685.32</v>
      </c>
      <c r="AC52" s="122">
        <f t="shared" si="26"/>
        <v>15436675.699999997</v>
      </c>
      <c r="AE52" s="2" t="s">
        <v>0</v>
      </c>
      <c r="AF52" s="122">
        <f>SUM(AF36:AF50)</f>
        <v>17568276.824578188</v>
      </c>
      <c r="AG52" s="122">
        <f t="shared" ref="AG52:AK52" si="27">SUM(AG36:AG50)</f>
        <v>1629384.33</v>
      </c>
      <c r="AH52" s="122">
        <f t="shared" si="27"/>
        <v>1691134.86</v>
      </c>
      <c r="AI52" s="122">
        <f t="shared" si="27"/>
        <v>1595787.0799999998</v>
      </c>
      <c r="AJ52" s="122">
        <f t="shared" si="27"/>
        <v>1628501.13</v>
      </c>
      <c r="AK52" s="122">
        <f t="shared" si="27"/>
        <v>62633.730000000214</v>
      </c>
    </row>
    <row r="53" spans="1:53">
      <c r="H53" s="1" t="s">
        <v>685</v>
      </c>
      <c r="K53" s="187">
        <f>AB52-AL52-K52</f>
        <v>1629384.3299999982</v>
      </c>
      <c r="L53" s="187"/>
      <c r="M53" s="187">
        <f>AM52-M52</f>
        <v>-1691134.86</v>
      </c>
      <c r="N53" s="187"/>
      <c r="O53" s="187">
        <f>'Exhibit U,12'!O34-I52-M52</f>
        <v>0</v>
      </c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</row>
    <row r="54" spans="1:53">
      <c r="X54" s="61"/>
      <c r="Y54" s="61"/>
    </row>
    <row r="55" spans="1:53">
      <c r="V55" s="61"/>
      <c r="W55" s="44"/>
      <c r="X55" s="44"/>
      <c r="Y55" s="44"/>
      <c r="Z55" s="44"/>
      <c r="AA55" s="44"/>
      <c r="AB55" s="44"/>
      <c r="AC55" s="44"/>
      <c r="AF55" s="61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</row>
    <row r="56" spans="1:53">
      <c r="A56" s="52" t="s">
        <v>104</v>
      </c>
      <c r="C56" s="3" t="s">
        <v>1774</v>
      </c>
      <c r="V56" s="61"/>
      <c r="W56" s="44"/>
      <c r="X56" s="44"/>
      <c r="Y56" s="44"/>
      <c r="Z56" s="44"/>
      <c r="AA56" s="44"/>
      <c r="AB56" s="44"/>
      <c r="AC56" s="44"/>
      <c r="AF56" s="61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</row>
    <row r="57" spans="1:53">
      <c r="A57" s="52" t="s">
        <v>36</v>
      </c>
      <c r="C57" s="3" t="s">
        <v>961</v>
      </c>
      <c r="V57" s="61"/>
      <c r="W57" s="45"/>
      <c r="X57" s="45"/>
      <c r="Y57" s="45"/>
      <c r="Z57" s="45"/>
      <c r="AA57" s="45"/>
      <c r="AB57" s="45"/>
      <c r="AC57" s="45"/>
      <c r="AF57" s="61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  <c r="BA57" s="45"/>
    </row>
    <row r="58" spans="1:53">
      <c r="C58" s="3" t="s">
        <v>445</v>
      </c>
      <c r="V58" s="61"/>
      <c r="X58" s="61"/>
      <c r="Y58" s="61"/>
      <c r="AH58" s="61"/>
      <c r="AI58" s="61"/>
    </row>
    <row r="59" spans="1:53">
      <c r="A59" s="52" t="s">
        <v>38</v>
      </c>
      <c r="C59" s="3" t="s">
        <v>167</v>
      </c>
      <c r="U59" s="25"/>
      <c r="W59" s="95"/>
      <c r="X59" s="95"/>
      <c r="Y59" s="95"/>
      <c r="Z59" s="95"/>
      <c r="AA59" s="95"/>
      <c r="AB59" s="95"/>
      <c r="AC59" s="20"/>
      <c r="AE59" s="25"/>
      <c r="AH59" s="61"/>
      <c r="AI59" s="61"/>
      <c r="AL59" s="95"/>
      <c r="AM59" s="20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</row>
    <row r="60" spans="1:53">
      <c r="A60" s="64" t="s">
        <v>40</v>
      </c>
      <c r="C60" s="3" t="s">
        <v>1533</v>
      </c>
      <c r="U60" s="25"/>
      <c r="W60" s="95"/>
      <c r="X60" s="95"/>
      <c r="Y60" s="95"/>
      <c r="Z60" s="95"/>
      <c r="AA60" s="95"/>
      <c r="AB60" s="95"/>
      <c r="AC60" s="20"/>
      <c r="AE60" s="25"/>
      <c r="AH60" s="61"/>
      <c r="AI60" s="61"/>
      <c r="AL60" s="95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</row>
    <row r="61" spans="1:53">
      <c r="A61" s="64" t="s">
        <v>577</v>
      </c>
      <c r="C61" s="1" t="s">
        <v>576</v>
      </c>
      <c r="U61" s="25"/>
      <c r="W61" s="95"/>
      <c r="X61" s="95"/>
      <c r="Y61" s="95"/>
      <c r="Z61" s="95"/>
      <c r="AA61" s="95"/>
      <c r="AB61" s="95"/>
      <c r="AC61" s="20"/>
      <c r="AE61" s="25"/>
      <c r="AH61" s="61"/>
      <c r="AI61" s="61"/>
      <c r="AL61" s="95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</row>
    <row r="62" spans="1:53">
      <c r="A62" s="64" t="s">
        <v>31</v>
      </c>
      <c r="C62" s="3" t="s">
        <v>578</v>
      </c>
      <c r="U62" s="25"/>
      <c r="W62" s="95"/>
      <c r="X62" s="95"/>
      <c r="Y62" s="95"/>
      <c r="Z62" s="95"/>
      <c r="AA62" s="95"/>
      <c r="AB62" s="95"/>
      <c r="AC62" s="20"/>
      <c r="AE62" s="25"/>
      <c r="AL62" s="95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</row>
    <row r="63" spans="1:53">
      <c r="A63" s="64" t="s">
        <v>103</v>
      </c>
      <c r="C63" s="3" t="s">
        <v>579</v>
      </c>
      <c r="U63" s="25"/>
      <c r="V63" s="20"/>
      <c r="W63" s="95"/>
      <c r="X63" s="95"/>
      <c r="Y63" s="95"/>
      <c r="Z63" s="95"/>
      <c r="AA63" s="95"/>
      <c r="AB63" s="95"/>
      <c r="AC63" s="20"/>
      <c r="AE63" s="25"/>
      <c r="AL63" s="95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</row>
    <row r="64" spans="1:53">
      <c r="A64" s="64" t="s">
        <v>106</v>
      </c>
      <c r="C64" s="140" t="s">
        <v>580</v>
      </c>
      <c r="U64" s="25"/>
      <c r="V64" s="20"/>
      <c r="W64" s="95"/>
      <c r="X64" s="95"/>
      <c r="Y64" s="95"/>
      <c r="Z64" s="95"/>
      <c r="AA64" s="95"/>
      <c r="AB64" s="95"/>
      <c r="AC64" s="20"/>
      <c r="AE64" s="25"/>
      <c r="AG64" s="95"/>
      <c r="AH64" s="95"/>
      <c r="AI64" s="95"/>
      <c r="AJ64" s="95"/>
      <c r="AK64" s="95"/>
      <c r="AL64" s="95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</row>
    <row r="65" spans="21:53">
      <c r="U65" s="25"/>
      <c r="V65" s="20"/>
      <c r="W65" s="95"/>
      <c r="X65" s="95"/>
      <c r="Y65" s="95"/>
      <c r="Z65" s="95"/>
      <c r="AA65" s="95"/>
      <c r="AB65" s="95"/>
      <c r="AC65" s="20"/>
      <c r="AE65" s="25"/>
      <c r="AG65" s="95"/>
      <c r="AH65" s="95"/>
      <c r="AI65" s="95"/>
      <c r="AJ65" s="95"/>
      <c r="AK65" s="95"/>
      <c r="AL65" s="95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</row>
    <row r="66" spans="21:53">
      <c r="U66" s="25"/>
      <c r="V66" s="20"/>
      <c r="W66" s="95"/>
      <c r="X66" s="95"/>
      <c r="Y66" s="95"/>
      <c r="Z66" s="95"/>
      <c r="AA66" s="95"/>
      <c r="AB66" s="95"/>
      <c r="AC66" s="20"/>
      <c r="AE66" s="25"/>
      <c r="AG66" s="95"/>
      <c r="AH66" s="95"/>
      <c r="AI66" s="95"/>
      <c r="AJ66" s="95"/>
      <c r="AK66" s="95"/>
      <c r="AL66" s="95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</row>
    <row r="67" spans="21:53">
      <c r="U67" s="25"/>
      <c r="V67" s="20"/>
      <c r="W67" s="95"/>
      <c r="X67" s="95"/>
      <c r="Y67" s="95"/>
      <c r="Z67" s="95"/>
      <c r="AA67" s="95"/>
      <c r="AB67" s="95"/>
      <c r="AC67" s="20"/>
      <c r="AE67" s="25"/>
      <c r="AG67" s="95"/>
      <c r="AH67" s="95"/>
      <c r="AI67" s="95"/>
      <c r="AJ67" s="95"/>
      <c r="AK67" s="95"/>
      <c r="AL67" s="95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</row>
    <row r="68" spans="21:53">
      <c r="U68" s="25"/>
      <c r="V68" s="20"/>
      <c r="W68" s="95"/>
      <c r="X68" s="95"/>
      <c r="Y68" s="95"/>
      <c r="Z68" s="95"/>
      <c r="AA68" s="95"/>
      <c r="AB68" s="95"/>
      <c r="AC68" s="20"/>
      <c r="AE68" s="25"/>
      <c r="AG68" s="95"/>
      <c r="AH68" s="95"/>
      <c r="AI68" s="95"/>
      <c r="AJ68" s="95"/>
      <c r="AK68" s="95"/>
      <c r="AL68" s="95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</row>
    <row r="69" spans="21:53">
      <c r="U69" s="25"/>
      <c r="V69" s="20"/>
      <c r="W69" s="95"/>
      <c r="X69" s="95"/>
      <c r="Y69" s="95"/>
      <c r="Z69" s="95"/>
      <c r="AA69" s="95"/>
      <c r="AB69" s="95"/>
      <c r="AC69" s="20"/>
      <c r="AE69" s="25"/>
      <c r="AG69" s="95"/>
      <c r="AH69" s="95"/>
      <c r="AI69" s="95"/>
      <c r="AJ69" s="95"/>
      <c r="AK69" s="95"/>
      <c r="AL69" s="95"/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</row>
    <row r="70" spans="21:53">
      <c r="U70" s="25"/>
      <c r="V70" s="20"/>
      <c r="W70" s="95"/>
      <c r="X70" s="95"/>
      <c r="Y70" s="95"/>
      <c r="Z70" s="95"/>
      <c r="AA70" s="95"/>
      <c r="AB70" s="95"/>
      <c r="AC70" s="20"/>
      <c r="AE70" s="25"/>
      <c r="AG70" s="95"/>
      <c r="AH70" s="95"/>
      <c r="AI70" s="95"/>
      <c r="AJ70" s="95"/>
      <c r="AK70" s="95"/>
      <c r="AL70" s="95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</row>
    <row r="71" spans="21:53">
      <c r="U71" s="25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</row>
    <row r="72" spans="21:53">
      <c r="U72" s="25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</row>
    <row r="73" spans="21:53">
      <c r="U73" s="25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</row>
    <row r="74" spans="21:53">
      <c r="U74" s="97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  <c r="AP74" s="20"/>
      <c r="AQ74" s="20"/>
      <c r="AR74" s="20"/>
      <c r="AS74" s="20"/>
      <c r="AT74" s="61"/>
      <c r="AU74" s="61"/>
      <c r="AV74" s="61"/>
      <c r="AW74" s="61"/>
      <c r="AX74" s="61"/>
      <c r="AY74" s="61"/>
      <c r="AZ74" s="61"/>
      <c r="BA74" s="61"/>
    </row>
    <row r="75" spans="21:53">
      <c r="U75" s="97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  <c r="AP75" s="20"/>
      <c r="AQ75" s="20"/>
      <c r="AR75" s="20"/>
      <c r="AS75" s="20"/>
      <c r="AT75" s="122"/>
      <c r="AU75" s="122"/>
      <c r="AV75" s="122"/>
      <c r="AW75" s="122"/>
      <c r="AX75" s="122"/>
      <c r="AY75" s="122"/>
      <c r="AZ75" s="122"/>
      <c r="BA75" s="122"/>
    </row>
    <row r="76" spans="21:53">
      <c r="U76" s="61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  <c r="AP76" s="20"/>
      <c r="AQ76" s="20"/>
      <c r="AR76" s="20"/>
      <c r="AS76" s="20"/>
    </row>
    <row r="77" spans="21:53"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  <c r="AP77" s="20"/>
      <c r="AQ77" s="20"/>
      <c r="AR77" s="20"/>
      <c r="AS77" s="20"/>
    </row>
    <row r="78" spans="21:53">
      <c r="AD78" s="95"/>
      <c r="AE78" s="95"/>
    </row>
    <row r="79" spans="21:53">
      <c r="AD79" s="95"/>
      <c r="AE79" s="95"/>
    </row>
    <row r="80" spans="21:53">
      <c r="AD80" s="95"/>
      <c r="AE80" s="95"/>
    </row>
    <row r="81" spans="30:31">
      <c r="AD81" s="95"/>
      <c r="AE81" s="95"/>
    </row>
    <row r="82" spans="30:31">
      <c r="AD82" s="95"/>
      <c r="AE82" s="95"/>
    </row>
  </sheetData>
  <printOptions horizontalCentered="1"/>
  <pageMargins left="0.7" right="0.7" top="0.75" bottom="0.75" header="0.3" footer="0.3"/>
  <pageSetup scale="55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7">
    <pageSetUpPr fitToPage="1"/>
  </sheetPr>
  <dimension ref="A1:AR64"/>
  <sheetViews>
    <sheetView topLeftCell="A21" zoomScaleNormal="100" workbookViewId="0">
      <selection activeCell="C56" sqref="C56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1.7109375" style="1" customWidth="1"/>
    <col min="14" max="14" width="1.7109375" style="1" customWidth="1"/>
    <col min="15" max="15" width="11.7109375" style="1" customWidth="1"/>
    <col min="16" max="16" width="1.7109375" style="1" customWidth="1"/>
    <col min="17" max="17" width="11.7109375" style="1" customWidth="1"/>
    <col min="18" max="18" width="1.7109375" style="1" customWidth="1"/>
    <col min="19" max="19" width="11.7109375" style="1" customWidth="1"/>
    <col min="20" max="20" width="12.7109375" style="1" customWidth="1"/>
    <col min="21" max="21" width="8.7109375" style="1"/>
    <col min="22" max="47" width="12.7109375" style="1" customWidth="1"/>
    <col min="48" max="49" width="8.7109375" style="1"/>
    <col min="50" max="50" width="13.7109375" style="1" bestFit="1" customWidth="1"/>
    <col min="51" max="51" width="14.7109375" style="1" bestFit="1" customWidth="1"/>
    <col min="52" max="52" width="11.28515625" style="1" bestFit="1" customWidth="1"/>
    <col min="53" max="54" width="12.7109375" style="1" bestFit="1" customWidth="1"/>
    <col min="55" max="16384" width="8.7109375" style="1"/>
  </cols>
  <sheetData>
    <row r="1" spans="1:44">
      <c r="S1" s="64" t="s">
        <v>955</v>
      </c>
    </row>
    <row r="2" spans="1:44">
      <c r="O2" s="3"/>
      <c r="S2" s="64" t="s">
        <v>89</v>
      </c>
      <c r="T2" s="3"/>
    </row>
    <row r="3" spans="1:44">
      <c r="O3" s="3"/>
      <c r="T3" s="3"/>
    </row>
    <row r="4" spans="1:44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</row>
    <row r="5" spans="1:44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44">
      <c r="A6" s="5" t="s">
        <v>151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44">
      <c r="A7" s="5" t="s">
        <v>161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44">
      <c r="A8" s="5" t="s">
        <v>166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44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S9" s="6" t="s">
        <v>11</v>
      </c>
    </row>
    <row r="10" spans="1:44">
      <c r="C10" s="6" t="s">
        <v>562</v>
      </c>
      <c r="G10" s="6" t="s">
        <v>562</v>
      </c>
      <c r="K10" s="6" t="s">
        <v>562</v>
      </c>
      <c r="M10" s="6" t="s">
        <v>575</v>
      </c>
      <c r="S10" s="1" t="s">
        <v>12</v>
      </c>
    </row>
    <row r="11" spans="1:44">
      <c r="C11" s="6" t="s">
        <v>565</v>
      </c>
      <c r="E11" s="6" t="s">
        <v>7</v>
      </c>
      <c r="G11" s="2" t="s">
        <v>7</v>
      </c>
      <c r="H11" s="2"/>
      <c r="I11" s="2" t="s">
        <v>575</v>
      </c>
      <c r="K11" s="6" t="s">
        <v>64</v>
      </c>
      <c r="L11" s="6"/>
      <c r="M11" s="6" t="s">
        <v>64</v>
      </c>
      <c r="O11" s="6" t="s">
        <v>153</v>
      </c>
      <c r="Q11" s="2" t="s">
        <v>154</v>
      </c>
      <c r="S11" s="2" t="s">
        <v>154</v>
      </c>
      <c r="T11" s="2"/>
    </row>
    <row r="12" spans="1:44">
      <c r="A12" s="2" t="s">
        <v>6</v>
      </c>
      <c r="C12" s="6" t="s">
        <v>7</v>
      </c>
      <c r="E12" s="6" t="s">
        <v>62</v>
      </c>
      <c r="G12" s="2" t="s">
        <v>69</v>
      </c>
      <c r="H12" s="2"/>
      <c r="I12" s="2" t="s">
        <v>381</v>
      </c>
      <c r="K12" s="6" t="s">
        <v>12</v>
      </c>
      <c r="L12" s="6"/>
      <c r="M12" s="6" t="s">
        <v>12</v>
      </c>
      <c r="O12" s="2" t="s">
        <v>67</v>
      </c>
      <c r="Q12" s="2" t="s">
        <v>67</v>
      </c>
      <c r="S12" s="2" t="s">
        <v>67</v>
      </c>
      <c r="T12" s="2"/>
      <c r="AQ12" s="61"/>
      <c r="AR12" s="61"/>
    </row>
    <row r="13" spans="1:44">
      <c r="A13" s="6" t="s">
        <v>4</v>
      </c>
      <c r="B13" s="6"/>
      <c r="C13" s="6" t="s">
        <v>55</v>
      </c>
      <c r="E13" s="109" t="s">
        <v>12</v>
      </c>
      <c r="G13" s="2" t="s">
        <v>55</v>
      </c>
      <c r="H13" s="2"/>
      <c r="I13" s="2" t="s">
        <v>55</v>
      </c>
      <c r="K13" s="6" t="s">
        <v>55</v>
      </c>
      <c r="L13" s="6"/>
      <c r="M13" s="6" t="s">
        <v>55</v>
      </c>
      <c r="N13" s="6"/>
      <c r="O13" s="2" t="s">
        <v>55</v>
      </c>
      <c r="Q13" s="2" t="s">
        <v>55</v>
      </c>
      <c r="S13" s="2" t="s">
        <v>55</v>
      </c>
      <c r="T13" s="2"/>
      <c r="AQ13" s="172"/>
      <c r="AR13" s="172"/>
    </row>
    <row r="14" spans="1:44" ht="15" customHeight="1">
      <c r="A14" s="9" t="s">
        <v>27</v>
      </c>
      <c r="B14" s="11"/>
      <c r="C14" s="9">
        <v>-2</v>
      </c>
      <c r="D14" s="11"/>
      <c r="E14" s="9">
        <v>-3</v>
      </c>
      <c r="F14" s="11"/>
      <c r="G14" s="9">
        <v>-4</v>
      </c>
      <c r="H14" s="11"/>
      <c r="I14" s="9">
        <v>-5</v>
      </c>
      <c r="J14" s="11"/>
      <c r="K14" s="9">
        <v>-6</v>
      </c>
      <c r="L14" s="11"/>
      <c r="M14" s="9">
        <v>-7</v>
      </c>
      <c r="O14" s="9">
        <v>-8</v>
      </c>
      <c r="Q14" s="9">
        <v>-9</v>
      </c>
      <c r="S14" s="9">
        <v>-10</v>
      </c>
      <c r="T14" s="11"/>
      <c r="AQ14" s="172"/>
      <c r="AR14" s="172"/>
    </row>
    <row r="15" spans="1:44">
      <c r="AQ15" s="61"/>
      <c r="AR15" s="61"/>
    </row>
    <row r="16" spans="1:44" ht="16">
      <c r="A16" s="15" t="s">
        <v>77</v>
      </c>
      <c r="AQ16" s="61"/>
      <c r="AR16" s="61"/>
    </row>
    <row r="17" spans="1:44">
      <c r="A17" s="6">
        <v>2008</v>
      </c>
      <c r="C17" s="147">
        <f>'Exhibit U,10'!K17</f>
        <v>577451.15</v>
      </c>
      <c r="E17" s="74">
        <f>'Exhibit Q,6'!I21</f>
        <v>1</v>
      </c>
      <c r="G17" s="497">
        <f t="shared" ref="G17:G31" si="0">C17*(1-E17)</f>
        <v>0</v>
      </c>
      <c r="H17" s="497"/>
      <c r="I17" s="497">
        <f>'Exhibit U,10'!T17</f>
        <v>0</v>
      </c>
      <c r="J17" s="147"/>
      <c r="K17" s="147">
        <f>'Exhibit U,5'!AC17-'Exhibit U,5'!AH17</f>
        <v>577451.15</v>
      </c>
      <c r="L17" s="147"/>
      <c r="M17" s="147">
        <f>'Exhibit U,5'!AH17</f>
        <v>0</v>
      </c>
      <c r="N17" s="147"/>
      <c r="O17" s="147">
        <f>K17+G17+I17+M17</f>
        <v>577451.15</v>
      </c>
      <c r="P17" s="147"/>
      <c r="Q17" s="147">
        <f>K17/E17+I17+M17</f>
        <v>577451.15</v>
      </c>
      <c r="R17" s="147"/>
      <c r="S17" s="494">
        <f>'Exhibit U,5'!AC17/E17</f>
        <v>577451.15</v>
      </c>
      <c r="AQ17" s="172"/>
      <c r="AR17" s="234"/>
    </row>
    <row r="18" spans="1:44">
      <c r="A18" s="6">
        <f>A17+1</f>
        <v>2009</v>
      </c>
      <c r="C18" s="494">
        <f>'Exhibit U,10'!K18</f>
        <v>28875.5</v>
      </c>
      <c r="E18" s="74">
        <f>'Exhibit Q,6'!I22</f>
        <v>1</v>
      </c>
      <c r="G18" s="494">
        <f t="shared" si="0"/>
        <v>0</v>
      </c>
      <c r="H18" s="494"/>
      <c r="I18" s="494">
        <f>'Exhibit U,10'!T18</f>
        <v>0</v>
      </c>
      <c r="J18" s="187"/>
      <c r="K18" s="494">
        <f>'Exhibit U,5'!AC18-'Exhibit U,5'!AH18</f>
        <v>28875.5</v>
      </c>
      <c r="L18" s="494"/>
      <c r="M18" s="494">
        <f>'Exhibit U,5'!AH18</f>
        <v>0</v>
      </c>
      <c r="N18" s="494"/>
      <c r="O18" s="494">
        <f t="shared" ref="O18:O31" si="1">K18+G18+I18+M18</f>
        <v>28875.5</v>
      </c>
      <c r="P18" s="187"/>
      <c r="Q18" s="494">
        <f t="shared" ref="Q18:Q31" si="2">K18/E18+I18+M18</f>
        <v>28875.5</v>
      </c>
      <c r="R18" s="494"/>
      <c r="S18" s="494">
        <f>'Exhibit U,5'!AC18/E18</f>
        <v>28875.5</v>
      </c>
      <c r="AQ18" s="172"/>
      <c r="AR18" s="234"/>
    </row>
    <row r="19" spans="1:44">
      <c r="A19" s="6">
        <f t="shared" ref="A19:A31" si="3">A18+1</f>
        <v>2010</v>
      </c>
      <c r="C19" s="494">
        <f>'Exhibit U,10'!K19</f>
        <v>1056390.7999999998</v>
      </c>
      <c r="E19" s="74">
        <f>'Exhibit Q,6'!I23</f>
        <v>1</v>
      </c>
      <c r="G19" s="494">
        <f t="shared" si="0"/>
        <v>0</v>
      </c>
      <c r="H19" s="494"/>
      <c r="I19" s="494">
        <f>'Exhibit U,10'!T19</f>
        <v>0</v>
      </c>
      <c r="J19" s="187"/>
      <c r="K19" s="494">
        <f>'Exhibit U,5'!AC19-'Exhibit U,5'!AH19</f>
        <v>1056390.7999999998</v>
      </c>
      <c r="L19" s="494"/>
      <c r="M19" s="494">
        <f>'Exhibit U,5'!AH19</f>
        <v>0</v>
      </c>
      <c r="N19" s="494"/>
      <c r="O19" s="494">
        <f t="shared" si="1"/>
        <v>1056390.7999999998</v>
      </c>
      <c r="P19" s="187"/>
      <c r="Q19" s="494">
        <f t="shared" si="2"/>
        <v>1056390.7999999998</v>
      </c>
      <c r="R19" s="494"/>
      <c r="S19" s="494">
        <f>'Exhibit U,5'!AC19/E19</f>
        <v>1056390.7999999998</v>
      </c>
      <c r="AQ19" s="172"/>
      <c r="AR19" s="234"/>
    </row>
    <row r="20" spans="1:44">
      <c r="A20" s="6">
        <f t="shared" si="3"/>
        <v>2011</v>
      </c>
      <c r="C20" s="494">
        <f>'Exhibit U,10'!K20</f>
        <v>630532.12000000011</v>
      </c>
      <c r="E20" s="74">
        <f>'Exhibit Q,6'!I24</f>
        <v>1</v>
      </c>
      <c r="G20" s="494">
        <f t="shared" si="0"/>
        <v>0</v>
      </c>
      <c r="H20" s="494"/>
      <c r="I20" s="494">
        <f>'Exhibit U,10'!T20</f>
        <v>0</v>
      </c>
      <c r="J20" s="187"/>
      <c r="K20" s="494">
        <f>'Exhibit U,5'!AC20-'Exhibit U,5'!AH20</f>
        <v>630532.12000000011</v>
      </c>
      <c r="L20" s="494"/>
      <c r="M20" s="494">
        <f>'Exhibit U,5'!AH20</f>
        <v>10337.04999999993</v>
      </c>
      <c r="N20" s="494"/>
      <c r="O20" s="494">
        <f t="shared" si="1"/>
        <v>640869.17000000004</v>
      </c>
      <c r="P20" s="187"/>
      <c r="Q20" s="494">
        <f t="shared" si="2"/>
        <v>640869.17000000004</v>
      </c>
      <c r="R20" s="494"/>
      <c r="S20" s="494">
        <f>'Exhibit U,5'!AC20/E20</f>
        <v>640869.17000000004</v>
      </c>
      <c r="AQ20" s="172"/>
      <c r="AR20" s="234"/>
    </row>
    <row r="21" spans="1:44">
      <c r="A21" s="6">
        <f t="shared" si="3"/>
        <v>2012</v>
      </c>
      <c r="C21" s="494">
        <f>'Exhibit U,10'!K21</f>
        <v>3503541.6</v>
      </c>
      <c r="E21" s="74">
        <f>'Exhibit Q,6'!I25</f>
        <v>1</v>
      </c>
      <c r="G21" s="494">
        <f t="shared" si="0"/>
        <v>0</v>
      </c>
      <c r="H21" s="494"/>
      <c r="I21" s="494">
        <f>'Exhibit U,10'!T21</f>
        <v>0</v>
      </c>
      <c r="J21" s="187"/>
      <c r="K21" s="494">
        <f>'Exhibit U,5'!AC21-'Exhibit U,5'!AH21</f>
        <v>3503541.6</v>
      </c>
      <c r="L21" s="494"/>
      <c r="M21" s="494">
        <f>'Exhibit U,5'!AH21</f>
        <v>1240857.4300000002</v>
      </c>
      <c r="N21" s="494"/>
      <c r="O21" s="494">
        <f t="shared" si="1"/>
        <v>4744399.03</v>
      </c>
      <c r="P21" s="187"/>
      <c r="Q21" s="494">
        <f t="shared" si="2"/>
        <v>4744399.03</v>
      </c>
      <c r="R21" s="494"/>
      <c r="S21" s="494">
        <f>'Exhibit U,5'!AC21/E21</f>
        <v>4744399.03</v>
      </c>
      <c r="AQ21" s="172"/>
      <c r="AR21" s="234"/>
    </row>
    <row r="22" spans="1:44">
      <c r="A22" s="6">
        <f t="shared" si="3"/>
        <v>2013</v>
      </c>
      <c r="C22" s="494">
        <f>'Exhibit U,10'!K22</f>
        <v>250097.58000000002</v>
      </c>
      <c r="E22" s="74">
        <f>'Exhibit Q,6'!I26</f>
        <v>1</v>
      </c>
      <c r="G22" s="494">
        <f t="shared" si="0"/>
        <v>0</v>
      </c>
      <c r="H22" s="494"/>
      <c r="I22" s="494">
        <f>'Exhibit U,10'!T22</f>
        <v>0</v>
      </c>
      <c r="J22" s="187"/>
      <c r="K22" s="494">
        <f>'Exhibit U,5'!AC22-'Exhibit U,5'!AH22</f>
        <v>250097.58000000002</v>
      </c>
      <c r="L22" s="494"/>
      <c r="M22" s="494">
        <f>'Exhibit U,5'!AH22</f>
        <v>464744.67</v>
      </c>
      <c r="N22" s="494"/>
      <c r="O22" s="494">
        <f t="shared" si="1"/>
        <v>714842.25</v>
      </c>
      <c r="P22" s="187"/>
      <c r="Q22" s="494">
        <f t="shared" si="2"/>
        <v>714842.25</v>
      </c>
      <c r="R22" s="494"/>
      <c r="S22" s="494">
        <f>'Exhibit U,5'!AC22/E22</f>
        <v>714842.25</v>
      </c>
      <c r="AQ22" s="172"/>
      <c r="AR22" s="234"/>
    </row>
    <row r="23" spans="1:44">
      <c r="A23" s="6">
        <f t="shared" si="3"/>
        <v>2014</v>
      </c>
      <c r="C23" s="494">
        <f>'Exhibit U,10'!K23</f>
        <v>3064065.7</v>
      </c>
      <c r="E23" s="74">
        <f>'Exhibit Q,6'!I27</f>
        <v>1</v>
      </c>
      <c r="G23" s="494">
        <f t="shared" si="0"/>
        <v>0</v>
      </c>
      <c r="H23" s="494"/>
      <c r="I23" s="494">
        <f>'Exhibit U,10'!T23</f>
        <v>0</v>
      </c>
      <c r="J23" s="187"/>
      <c r="K23" s="494">
        <f>'Exhibit U,5'!AC23-'Exhibit U,5'!AH23</f>
        <v>3064065.7</v>
      </c>
      <c r="L23" s="494"/>
      <c r="M23" s="494">
        <f>'Exhibit U,5'!AH23</f>
        <v>108138.22999999998</v>
      </c>
      <c r="N23" s="494"/>
      <c r="O23" s="494">
        <f t="shared" si="1"/>
        <v>3172203.93</v>
      </c>
      <c r="P23" s="187"/>
      <c r="Q23" s="494">
        <f t="shared" si="2"/>
        <v>3172203.93</v>
      </c>
      <c r="R23" s="494"/>
      <c r="S23" s="494">
        <f>'Exhibit U,5'!AC23/E23</f>
        <v>3172203.93</v>
      </c>
      <c r="AQ23" s="172"/>
      <c r="AR23" s="234"/>
    </row>
    <row r="24" spans="1:44">
      <c r="A24" s="6">
        <f t="shared" si="3"/>
        <v>2015</v>
      </c>
      <c r="C24" s="494">
        <f>'Exhibit U,10'!K24</f>
        <v>1877852.56</v>
      </c>
      <c r="E24" s="74">
        <f>'Exhibit Q,6'!I28</f>
        <v>1</v>
      </c>
      <c r="G24" s="494">
        <f t="shared" si="0"/>
        <v>0</v>
      </c>
      <c r="H24" s="494"/>
      <c r="I24" s="494">
        <f>'Exhibit U,10'!T24</f>
        <v>0</v>
      </c>
      <c r="J24" s="187"/>
      <c r="K24" s="494">
        <f>'Exhibit U,5'!AC24-'Exhibit U,5'!AH24</f>
        <v>1877852.56</v>
      </c>
      <c r="L24" s="494"/>
      <c r="M24" s="494">
        <f>'Exhibit U,5'!AH24</f>
        <v>3545.2599999997765</v>
      </c>
      <c r="N24" s="494"/>
      <c r="O24" s="494">
        <f t="shared" si="1"/>
        <v>1881397.8199999998</v>
      </c>
      <c r="P24" s="187"/>
      <c r="Q24" s="494">
        <f t="shared" si="2"/>
        <v>1881397.8199999998</v>
      </c>
      <c r="R24" s="494"/>
      <c r="S24" s="494">
        <f>'Exhibit U,5'!AC24/E24</f>
        <v>1881397.8199999998</v>
      </c>
      <c r="AQ24" s="172"/>
      <c r="AR24" s="234"/>
    </row>
    <row r="25" spans="1:44">
      <c r="A25" s="6">
        <f t="shared" si="3"/>
        <v>2016</v>
      </c>
      <c r="C25" s="494">
        <f>'Exhibit U,10'!K25</f>
        <v>2706680.3</v>
      </c>
      <c r="E25" s="74">
        <f>'Exhibit Q,6'!I29</f>
        <v>1</v>
      </c>
      <c r="G25" s="494">
        <f t="shared" si="0"/>
        <v>0</v>
      </c>
      <c r="H25" s="494"/>
      <c r="I25" s="494">
        <f>'Exhibit U,10'!T25</f>
        <v>395200</v>
      </c>
      <c r="J25" s="187"/>
      <c r="K25" s="494">
        <f>'Exhibit U,5'!AC25-'Exhibit U,5'!AH25</f>
        <v>2706680.3</v>
      </c>
      <c r="L25" s="494"/>
      <c r="M25" s="494">
        <f>'Exhibit U,5'!AH25</f>
        <v>2050254.2300000004</v>
      </c>
      <c r="N25" s="494"/>
      <c r="O25" s="494">
        <f t="shared" si="1"/>
        <v>5152134.53</v>
      </c>
      <c r="P25" s="187"/>
      <c r="Q25" s="494">
        <f t="shared" si="2"/>
        <v>5152134.53</v>
      </c>
      <c r="R25" s="494"/>
      <c r="S25" s="494">
        <f>'Exhibit U,5'!AC25/E25</f>
        <v>4756934.53</v>
      </c>
      <c r="AQ25" s="172"/>
      <c r="AR25" s="234"/>
    </row>
    <row r="26" spans="1:44">
      <c r="A26" s="6">
        <f t="shared" si="3"/>
        <v>2017</v>
      </c>
      <c r="C26" s="494">
        <f>'Exhibit U,10'!K26</f>
        <v>1767966.9259246956</v>
      </c>
      <c r="E26" s="74">
        <f>'Exhibit Q,6'!I30</f>
        <v>1</v>
      </c>
      <c r="G26" s="494">
        <f t="shared" si="0"/>
        <v>0</v>
      </c>
      <c r="H26" s="494"/>
      <c r="I26" s="494">
        <f>'Exhibit U,10'!T26</f>
        <v>0</v>
      </c>
      <c r="J26" s="187"/>
      <c r="K26" s="494">
        <f>'Exhibit U,5'!AC26-'Exhibit U,5'!AH26</f>
        <v>235782.57</v>
      </c>
      <c r="L26" s="494"/>
      <c r="M26" s="494">
        <f>'Exhibit U,5'!AH26</f>
        <v>69380.469999999972</v>
      </c>
      <c r="N26" s="494"/>
      <c r="O26" s="494">
        <f t="shared" si="1"/>
        <v>305163.03999999998</v>
      </c>
      <c r="P26" s="187"/>
      <c r="Q26" s="494">
        <f t="shared" si="2"/>
        <v>305163.03999999998</v>
      </c>
      <c r="R26" s="494"/>
      <c r="S26" s="494">
        <f>'Exhibit U,5'!AC26/E26</f>
        <v>305163.03999999998</v>
      </c>
      <c r="AQ26" s="172"/>
      <c r="AR26" s="234"/>
    </row>
    <row r="27" spans="1:44">
      <c r="A27" s="6">
        <f t="shared" si="3"/>
        <v>2018</v>
      </c>
      <c r="C27" s="494">
        <f>'Exhibit U,10'!K27</f>
        <v>1004214.6576154318</v>
      </c>
      <c r="E27" s="74">
        <f>'Exhibit Q,6'!I31</f>
        <v>1</v>
      </c>
      <c r="G27" s="494">
        <f t="shared" si="0"/>
        <v>0</v>
      </c>
      <c r="H27" s="494"/>
      <c r="I27" s="494">
        <f>'Exhibit U,10'!T27</f>
        <v>0</v>
      </c>
      <c r="J27" s="187"/>
      <c r="K27" s="494">
        <f>'Exhibit U,5'!AC27-'Exhibit U,5'!AH27</f>
        <v>767530.12</v>
      </c>
      <c r="L27" s="494"/>
      <c r="M27" s="494">
        <f>'Exhibit U,5'!AH27</f>
        <v>130805.25</v>
      </c>
      <c r="N27" s="187"/>
      <c r="O27" s="494">
        <f t="shared" si="1"/>
        <v>898335.37</v>
      </c>
      <c r="P27" s="187"/>
      <c r="Q27" s="494">
        <f t="shared" si="2"/>
        <v>898335.37</v>
      </c>
      <c r="R27" s="494"/>
      <c r="S27" s="494">
        <f>'Exhibit U,5'!AC27/E27</f>
        <v>898335.37</v>
      </c>
      <c r="AQ27" s="172"/>
      <c r="AR27" s="234"/>
    </row>
    <row r="28" spans="1:44">
      <c r="A28" s="6">
        <f t="shared" si="3"/>
        <v>2019</v>
      </c>
      <c r="C28" s="494">
        <f>'Exhibit U,10'!K28</f>
        <v>991016.82326559187</v>
      </c>
      <c r="E28" s="74">
        <f>'Exhibit Q,6'!I32</f>
        <v>0.92942618223760087</v>
      </c>
      <c r="G28" s="494">
        <f t="shared" si="0"/>
        <v>69939.840684617579</v>
      </c>
      <c r="H28" s="494"/>
      <c r="I28" s="494">
        <f>'Exhibit U,10'!T28</f>
        <v>0</v>
      </c>
      <c r="J28" s="187"/>
      <c r="K28" s="494">
        <f>'Exhibit U,5'!AC28-'Exhibit U,5'!AH28</f>
        <v>415683.53</v>
      </c>
      <c r="L28" s="494"/>
      <c r="M28" s="494">
        <f>'Exhibit U,5'!AH28</f>
        <v>0</v>
      </c>
      <c r="N28" s="187"/>
      <c r="O28" s="494">
        <f t="shared" si="1"/>
        <v>485623.37068461761</v>
      </c>
      <c r="P28" s="187"/>
      <c r="Q28" s="494">
        <f t="shared" si="2"/>
        <v>447247.49307065853</v>
      </c>
      <c r="R28" s="494"/>
      <c r="S28" s="494">
        <f>'Exhibit U,5'!AC28/E28</f>
        <v>447247.49307065853</v>
      </c>
      <c r="AQ28" s="172"/>
      <c r="AR28" s="234"/>
    </row>
    <row r="29" spans="1:44">
      <c r="A29" s="6">
        <f t="shared" si="3"/>
        <v>2020</v>
      </c>
      <c r="C29" s="494">
        <f>'Exhibit U,10'!K29</f>
        <v>1064535.4718410745</v>
      </c>
      <c r="E29" s="74">
        <f>'Exhibit Q,6'!I33</f>
        <v>0.63959626961179306</v>
      </c>
      <c r="G29" s="494">
        <f t="shared" si="0"/>
        <v>383662.55518209329</v>
      </c>
      <c r="H29" s="494"/>
      <c r="I29" s="494">
        <f>'Exhibit U,10'!T29</f>
        <v>0</v>
      </c>
      <c r="J29" s="187"/>
      <c r="K29" s="494">
        <f>'Exhibit U,5'!AC29-'Exhibit U,5'!AH29</f>
        <v>172246.52000000002</v>
      </c>
      <c r="L29" s="494"/>
      <c r="M29" s="494">
        <f>'Exhibit U,5'!AH29</f>
        <v>0</v>
      </c>
      <c r="N29" s="187"/>
      <c r="O29" s="494">
        <f t="shared" si="1"/>
        <v>555909.07518209331</v>
      </c>
      <c r="P29" s="187"/>
      <c r="Q29" s="494">
        <f t="shared" si="2"/>
        <v>269305.0728775296</v>
      </c>
      <c r="R29" s="494"/>
      <c r="S29" s="494">
        <f>'Exhibit U,5'!AC29/E29</f>
        <v>269305.0728775296</v>
      </c>
      <c r="AQ29" s="172"/>
      <c r="AR29" s="234"/>
    </row>
    <row r="30" spans="1:44">
      <c r="A30" s="6">
        <f t="shared" si="3"/>
        <v>2021</v>
      </c>
      <c r="C30" s="494">
        <f>'Exhibit U,10'!K30</f>
        <v>1770039.8036102578</v>
      </c>
      <c r="E30" s="74">
        <f>'Exhibit Q,6'!I34</f>
        <v>0.34806159906885126</v>
      </c>
      <c r="G30" s="494">
        <f t="shared" si="0"/>
        <v>1153956.919150156</v>
      </c>
      <c r="H30" s="494"/>
      <c r="I30" s="494">
        <f>'Exhibit U,10'!T30</f>
        <v>0</v>
      </c>
      <c r="J30" s="187"/>
      <c r="K30" s="494">
        <f>'Exhibit U,5'!AC30-'Exhibit U,5'!AH30</f>
        <v>51134.19</v>
      </c>
      <c r="L30" s="494"/>
      <c r="M30" s="494">
        <f>'Exhibit U,5'!AH30</f>
        <v>0</v>
      </c>
      <c r="N30" s="187"/>
      <c r="O30" s="494">
        <f t="shared" si="1"/>
        <v>1205091.1091501559</v>
      </c>
      <c r="P30" s="187"/>
      <c r="Q30" s="494">
        <f t="shared" si="2"/>
        <v>146911.32298649519</v>
      </c>
      <c r="R30" s="494"/>
      <c r="S30" s="494">
        <f>'Exhibit U,5'!AC30/E30</f>
        <v>146911.32298649519</v>
      </c>
      <c r="AQ30" s="172"/>
      <c r="AR30" s="234"/>
    </row>
    <row r="31" spans="1:44">
      <c r="A31" s="6">
        <f t="shared" si="3"/>
        <v>2022</v>
      </c>
      <c r="C31" s="494">
        <f>'Exhibit U,10'!K31</f>
        <v>2082630.5534831595</v>
      </c>
      <c r="E31" s="74">
        <f>'Exhibit Q,6'!I35</f>
        <v>0.12927301167335295</v>
      </c>
      <c r="G31" s="494">
        <f t="shared" si="0"/>
        <v>1813402.6296314495</v>
      </c>
      <c r="H31" s="494"/>
      <c r="I31" s="494">
        <f>'Exhibit U,10'!T31</f>
        <v>0</v>
      </c>
      <c r="J31" s="187"/>
      <c r="K31" s="494">
        <f>'Exhibit U,5'!AC31-'Exhibit U,5'!AH31</f>
        <v>174500</v>
      </c>
      <c r="L31" s="494"/>
      <c r="M31" s="494">
        <f>'Exhibit U,5'!AH31</f>
        <v>0</v>
      </c>
      <c r="N31" s="187"/>
      <c r="O31" s="494">
        <f t="shared" si="1"/>
        <v>1987902.6296314495</v>
      </c>
      <c r="P31" s="187"/>
      <c r="Q31" s="494">
        <f t="shared" si="2"/>
        <v>1349856.3833333333</v>
      </c>
      <c r="R31" s="494"/>
      <c r="S31" s="494">
        <f>'Exhibit U,5'!AC31/E31</f>
        <v>1349856.3833333333</v>
      </c>
      <c r="AQ31" s="172"/>
      <c r="AR31" s="172"/>
    </row>
    <row r="32" spans="1:44">
      <c r="A32" s="6"/>
      <c r="C32" s="200"/>
      <c r="E32" s="74"/>
      <c r="G32" s="200"/>
      <c r="H32" s="18"/>
      <c r="I32" s="200"/>
      <c r="J32" s="6"/>
      <c r="K32" s="200"/>
      <c r="L32" s="18"/>
      <c r="M32" s="200"/>
      <c r="N32" s="6"/>
      <c r="O32" s="200"/>
      <c r="Q32" s="200"/>
      <c r="S32" s="200"/>
      <c r="AQ32" s="172"/>
      <c r="AR32" s="172"/>
    </row>
    <row r="33" spans="1:44">
      <c r="A33" s="2" t="s">
        <v>0</v>
      </c>
      <c r="C33" s="19">
        <f>SUM(C17:C32)</f>
        <v>22375891.54574021</v>
      </c>
      <c r="E33" s="19"/>
      <c r="G33" s="19">
        <f>SUM(G17:G32)</f>
        <v>3420961.9446483161</v>
      </c>
      <c r="H33" s="19"/>
      <c r="I33" s="19">
        <f>SUM(I17:I32)</f>
        <v>395200</v>
      </c>
      <c r="J33" s="6"/>
      <c r="K33" s="19">
        <f>SUM(K17:K32)</f>
        <v>15512364.239999996</v>
      </c>
      <c r="L33" s="19"/>
      <c r="M33" s="19">
        <f>SUM(M17:M32)</f>
        <v>4078062.59</v>
      </c>
      <c r="N33" s="6"/>
      <c r="O33" s="19">
        <f>SUM(O17:O32)</f>
        <v>23406588.774648312</v>
      </c>
      <c r="Q33" s="19">
        <f>SUM(Q17:Q32)</f>
        <v>21385382.862268016</v>
      </c>
      <c r="R33" s="19"/>
      <c r="S33" s="19">
        <f>SUM(S17:S32)</f>
        <v>20990182.862268016</v>
      </c>
      <c r="AQ33" s="122"/>
      <c r="AR33" s="122"/>
    </row>
    <row r="34" spans="1:44">
      <c r="E34" s="74"/>
      <c r="K34" s="187"/>
      <c r="L34" s="187"/>
      <c r="M34" s="187"/>
      <c r="N34" s="187"/>
      <c r="O34" s="187">
        <f>'Exhibit U,10'!I33-I33-M33</f>
        <v>0</v>
      </c>
      <c r="AQ34" s="61"/>
      <c r="AR34" s="61"/>
    </row>
    <row r="35" spans="1:44" ht="16">
      <c r="A35" s="15" t="s">
        <v>118</v>
      </c>
      <c r="E35" s="74"/>
      <c r="K35" s="20"/>
      <c r="M35" s="19"/>
    </row>
    <row r="36" spans="1:44">
      <c r="A36" s="6">
        <f>A17</f>
        <v>2008</v>
      </c>
      <c r="C36" s="147">
        <f>'Exhibit U,12'!G18</f>
        <v>577451.15</v>
      </c>
      <c r="E36" s="74">
        <v>1</v>
      </c>
      <c r="G36" s="497">
        <f t="shared" ref="G36:G50" si="4">C36*(1-E36)</f>
        <v>0</v>
      </c>
      <c r="H36" s="497"/>
      <c r="I36" s="497">
        <f>I17-'Exhibit U,12'!W18</f>
        <v>0</v>
      </c>
      <c r="J36" s="497"/>
      <c r="K36" s="147">
        <f>'Exhibit U,5'!AC36-'Exhibit U,5'!AH36</f>
        <v>577451.15</v>
      </c>
      <c r="L36" s="147"/>
      <c r="M36" s="147">
        <f>'Exhibit U,5'!AH36</f>
        <v>0</v>
      </c>
      <c r="N36" s="497"/>
      <c r="O36" s="147">
        <f>K36+G36+I36+M36</f>
        <v>577451.15</v>
      </c>
      <c r="P36" s="147"/>
      <c r="Q36" s="147">
        <f>K36/E36+I36+M36</f>
        <v>577451.15</v>
      </c>
      <c r="R36" s="147"/>
      <c r="S36" s="66">
        <f>'Exhibit U,5'!AC36/E36</f>
        <v>577451.15</v>
      </c>
    </row>
    <row r="37" spans="1:44">
      <c r="A37" s="6">
        <f>A36+1</f>
        <v>2009</v>
      </c>
      <c r="C37" s="494">
        <f>'Exhibit U,12'!G19</f>
        <v>28875.5</v>
      </c>
      <c r="E37" s="128">
        <f t="shared" ref="E37:E49" si="5">E18*(11/12)+E17*(1/12)</f>
        <v>1</v>
      </c>
      <c r="G37" s="494">
        <f t="shared" si="4"/>
        <v>0</v>
      </c>
      <c r="H37" s="494"/>
      <c r="I37" s="494">
        <f>I18-'Exhibit U,12'!W19</f>
        <v>0</v>
      </c>
      <c r="J37" s="187"/>
      <c r="K37" s="494">
        <f>'Exhibit U,5'!AC37-'Exhibit U,5'!AH37</f>
        <v>28875.5</v>
      </c>
      <c r="L37" s="494"/>
      <c r="M37" s="494">
        <f>'Exhibit U,5'!AH37</f>
        <v>0</v>
      </c>
      <c r="N37" s="494"/>
      <c r="O37" s="494">
        <f t="shared" ref="O37:O50" si="6">K37+G37+I37+M37</f>
        <v>28875.5</v>
      </c>
      <c r="P37" s="187"/>
      <c r="Q37" s="494">
        <f t="shared" ref="Q37:Q50" si="7">K37/E37+I37+M37</f>
        <v>28875.5</v>
      </c>
      <c r="R37" s="494"/>
      <c r="S37" s="20">
        <f>'Exhibit U,5'!AC37/E37</f>
        <v>28875.5</v>
      </c>
    </row>
    <row r="38" spans="1:44">
      <c r="A38" s="6">
        <f t="shared" ref="A38:A50" si="8">A37+1</f>
        <v>2010</v>
      </c>
      <c r="C38" s="494">
        <f>'Exhibit U,12'!G20</f>
        <v>1056390.7999999998</v>
      </c>
      <c r="E38" s="128">
        <f t="shared" si="5"/>
        <v>1</v>
      </c>
      <c r="G38" s="494">
        <f t="shared" si="4"/>
        <v>0</v>
      </c>
      <c r="H38" s="494"/>
      <c r="I38" s="494">
        <f>I19-'Exhibit U,12'!W20</f>
        <v>0</v>
      </c>
      <c r="J38" s="187"/>
      <c r="K38" s="494">
        <f>'Exhibit U,5'!AC38-'Exhibit U,5'!AH38</f>
        <v>1056390.7999999998</v>
      </c>
      <c r="L38" s="494"/>
      <c r="M38" s="494">
        <f>'Exhibit U,5'!AH38</f>
        <v>0</v>
      </c>
      <c r="N38" s="494"/>
      <c r="O38" s="494">
        <f t="shared" si="6"/>
        <v>1056390.7999999998</v>
      </c>
      <c r="P38" s="187"/>
      <c r="Q38" s="494">
        <f t="shared" si="7"/>
        <v>1056390.7999999998</v>
      </c>
      <c r="R38" s="494"/>
      <c r="S38" s="20">
        <f>'Exhibit U,5'!AC38/E38</f>
        <v>1056390.7999999998</v>
      </c>
    </row>
    <row r="39" spans="1:44">
      <c r="A39" s="6">
        <f t="shared" si="8"/>
        <v>2011</v>
      </c>
      <c r="C39" s="494">
        <f>'Exhibit U,12'!G21</f>
        <v>640869.17000000004</v>
      </c>
      <c r="E39" s="128">
        <f t="shared" si="5"/>
        <v>1</v>
      </c>
      <c r="G39" s="494">
        <f t="shared" si="4"/>
        <v>0</v>
      </c>
      <c r="H39" s="494"/>
      <c r="I39" s="494">
        <f>I20-'Exhibit U,12'!W21</f>
        <v>0</v>
      </c>
      <c r="J39" s="187"/>
      <c r="K39" s="494">
        <f>'Exhibit U,5'!AC39-'Exhibit U,5'!AH39</f>
        <v>630532.12000000011</v>
      </c>
      <c r="L39" s="494"/>
      <c r="M39" s="494">
        <f>'Exhibit U,5'!AH39</f>
        <v>10337.04999999993</v>
      </c>
      <c r="N39" s="494"/>
      <c r="O39" s="494">
        <f t="shared" si="6"/>
        <v>640869.17000000004</v>
      </c>
      <c r="P39" s="187"/>
      <c r="Q39" s="494">
        <f t="shared" si="7"/>
        <v>640869.17000000004</v>
      </c>
      <c r="R39" s="494"/>
      <c r="S39" s="20">
        <f>'Exhibit U,5'!AC39/E39</f>
        <v>640869.17000000004</v>
      </c>
    </row>
    <row r="40" spans="1:44">
      <c r="A40" s="6">
        <f t="shared" si="8"/>
        <v>2012</v>
      </c>
      <c r="C40" s="494">
        <f>'Exhibit U,12'!G22</f>
        <v>4175261.5</v>
      </c>
      <c r="E40" s="128">
        <f t="shared" si="5"/>
        <v>1</v>
      </c>
      <c r="G40" s="494">
        <f t="shared" si="4"/>
        <v>0</v>
      </c>
      <c r="H40" s="494"/>
      <c r="I40" s="494">
        <f>I21-'Exhibit U,12'!W22</f>
        <v>0</v>
      </c>
      <c r="J40" s="187"/>
      <c r="K40" s="494">
        <f>'Exhibit U,5'!AC40-'Exhibit U,5'!AH40</f>
        <v>3303280.25</v>
      </c>
      <c r="L40" s="494"/>
      <c r="M40" s="494">
        <f>'Exhibit U,5'!AH40</f>
        <v>871981.25</v>
      </c>
      <c r="N40" s="494"/>
      <c r="O40" s="494">
        <f t="shared" si="6"/>
        <v>4175261.5</v>
      </c>
      <c r="P40" s="187"/>
      <c r="Q40" s="494">
        <f t="shared" si="7"/>
        <v>4175261.5</v>
      </c>
      <c r="R40" s="494"/>
      <c r="S40" s="20">
        <f>'Exhibit U,5'!AC40/E40</f>
        <v>4175261.5</v>
      </c>
    </row>
    <row r="41" spans="1:44">
      <c r="A41" s="6">
        <f t="shared" si="8"/>
        <v>2013</v>
      </c>
      <c r="C41" s="494">
        <f>'Exhibit U,12'!G23</f>
        <v>714842.25</v>
      </c>
      <c r="E41" s="128">
        <f t="shared" si="5"/>
        <v>1</v>
      </c>
      <c r="G41" s="494">
        <f t="shared" si="4"/>
        <v>0</v>
      </c>
      <c r="H41" s="494"/>
      <c r="I41" s="494">
        <f>I22-'Exhibit U,12'!W23</f>
        <v>0</v>
      </c>
      <c r="J41" s="187"/>
      <c r="K41" s="494">
        <f>'Exhibit U,5'!AC41-'Exhibit U,5'!AH41</f>
        <v>250097.58000000002</v>
      </c>
      <c r="L41" s="494"/>
      <c r="M41" s="494">
        <f>'Exhibit U,5'!AH41</f>
        <v>464744.67</v>
      </c>
      <c r="N41" s="494"/>
      <c r="O41" s="494">
        <f t="shared" si="6"/>
        <v>714842.25</v>
      </c>
      <c r="P41" s="187"/>
      <c r="Q41" s="494">
        <f t="shared" si="7"/>
        <v>714842.25</v>
      </c>
      <c r="R41" s="494"/>
      <c r="S41" s="20">
        <f>'Exhibit U,5'!AC41/E41</f>
        <v>714842.25</v>
      </c>
    </row>
    <row r="42" spans="1:44">
      <c r="A42" s="6">
        <f t="shared" si="8"/>
        <v>2014</v>
      </c>
      <c r="C42" s="494">
        <f>'Exhibit U,12'!G24</f>
        <v>2675499.5682510771</v>
      </c>
      <c r="E42" s="128">
        <f t="shared" si="5"/>
        <v>1</v>
      </c>
      <c r="G42" s="494">
        <f t="shared" si="4"/>
        <v>0</v>
      </c>
      <c r="H42" s="494"/>
      <c r="I42" s="494">
        <f>I23-'Exhibit U,12'!W24</f>
        <v>0</v>
      </c>
      <c r="J42" s="187"/>
      <c r="K42" s="494">
        <f>'Exhibit U,5'!AC42-'Exhibit U,5'!AH42</f>
        <v>2534017.85</v>
      </c>
      <c r="L42" s="494"/>
      <c r="M42" s="494">
        <f>'Exhibit U,5'!AH42</f>
        <v>108138.22999999998</v>
      </c>
      <c r="N42" s="494"/>
      <c r="O42" s="494">
        <f t="shared" si="6"/>
        <v>2642156.08</v>
      </c>
      <c r="P42" s="187"/>
      <c r="Q42" s="494">
        <f t="shared" si="7"/>
        <v>2642156.08</v>
      </c>
      <c r="R42" s="494"/>
      <c r="S42" s="20">
        <f>'Exhibit U,5'!AC42/E42</f>
        <v>2642156.08</v>
      </c>
    </row>
    <row r="43" spans="1:44">
      <c r="A43" s="6">
        <f t="shared" si="8"/>
        <v>2015</v>
      </c>
      <c r="C43" s="494">
        <f>'Exhibit U,12'!G25</f>
        <v>1881397.8199999998</v>
      </c>
      <c r="E43" s="128">
        <f t="shared" si="5"/>
        <v>1</v>
      </c>
      <c r="G43" s="494">
        <f t="shared" si="4"/>
        <v>0</v>
      </c>
      <c r="H43" s="494"/>
      <c r="I43" s="494">
        <f>I24-'Exhibit U,12'!W25</f>
        <v>0</v>
      </c>
      <c r="J43" s="187"/>
      <c r="K43" s="494">
        <f>'Exhibit U,5'!AC43-'Exhibit U,5'!AH43</f>
        <v>1877852.56</v>
      </c>
      <c r="L43" s="494"/>
      <c r="M43" s="494">
        <f>'Exhibit U,5'!AH43</f>
        <v>3545.2599999997765</v>
      </c>
      <c r="N43" s="494"/>
      <c r="O43" s="494">
        <f t="shared" si="6"/>
        <v>1881397.8199999998</v>
      </c>
      <c r="P43" s="187"/>
      <c r="Q43" s="494">
        <f t="shared" si="7"/>
        <v>1881397.8199999998</v>
      </c>
      <c r="R43" s="494"/>
      <c r="S43" s="20">
        <f>'Exhibit U,5'!AC43/E43</f>
        <v>1881397.8199999998</v>
      </c>
    </row>
    <row r="44" spans="1:44">
      <c r="A44" s="6">
        <f t="shared" si="8"/>
        <v>2016</v>
      </c>
      <c r="C44" s="494">
        <f>'Exhibit U,12'!G26</f>
        <v>1630863.8733743315</v>
      </c>
      <c r="E44" s="128">
        <f t="shared" si="5"/>
        <v>1</v>
      </c>
      <c r="G44" s="494">
        <f t="shared" si="4"/>
        <v>0</v>
      </c>
      <c r="H44" s="494"/>
      <c r="I44" s="494">
        <f>I25-'Exhibit U,12'!W26</f>
        <v>395200</v>
      </c>
      <c r="J44" s="187"/>
      <c r="K44" s="494">
        <f>'Exhibit U,5'!AC44-'Exhibit U,5'!AH44</f>
        <v>1670166.0999999999</v>
      </c>
      <c r="L44" s="494"/>
      <c r="M44" s="494">
        <f>'Exhibit U,5'!AH44</f>
        <v>32202.6800000004</v>
      </c>
      <c r="N44" s="494"/>
      <c r="O44" s="494">
        <f t="shared" si="6"/>
        <v>2097568.7800000003</v>
      </c>
      <c r="P44" s="187"/>
      <c r="Q44" s="494">
        <f t="shared" si="7"/>
        <v>2097568.7800000003</v>
      </c>
      <c r="R44" s="494"/>
      <c r="S44" s="20">
        <f>'Exhibit U,5'!AC44/E44</f>
        <v>1702368.7800000003</v>
      </c>
    </row>
    <row r="45" spans="1:44">
      <c r="A45" s="6">
        <f t="shared" si="8"/>
        <v>2017</v>
      </c>
      <c r="C45" s="494">
        <f>'Exhibit U,12'!G27</f>
        <v>305163.03999999998</v>
      </c>
      <c r="E45" s="128">
        <f t="shared" si="5"/>
        <v>1</v>
      </c>
      <c r="G45" s="494">
        <f t="shared" si="4"/>
        <v>0</v>
      </c>
      <c r="H45" s="494"/>
      <c r="I45" s="494">
        <f>I26-'Exhibit U,12'!W27</f>
        <v>0</v>
      </c>
      <c r="J45" s="187"/>
      <c r="K45" s="494">
        <f>'Exhibit U,5'!AC45-'Exhibit U,5'!AH45</f>
        <v>235782.57</v>
      </c>
      <c r="L45" s="494"/>
      <c r="M45" s="494">
        <f>'Exhibit U,5'!AH45</f>
        <v>69380.469999999972</v>
      </c>
      <c r="N45" s="494"/>
      <c r="O45" s="494">
        <f t="shared" si="6"/>
        <v>305163.03999999998</v>
      </c>
      <c r="P45" s="187"/>
      <c r="Q45" s="494">
        <f t="shared" si="7"/>
        <v>305163.03999999998</v>
      </c>
      <c r="R45" s="494"/>
      <c r="S45" s="20">
        <f>'Exhibit U,5'!AC45/E45</f>
        <v>305163.03999999998</v>
      </c>
    </row>
    <row r="46" spans="1:44">
      <c r="A46" s="6">
        <f t="shared" si="8"/>
        <v>2018</v>
      </c>
      <c r="C46" s="494">
        <f>'Exhibit U,12'!G28</f>
        <v>813759.20730812405</v>
      </c>
      <c r="E46" s="128">
        <f t="shared" si="5"/>
        <v>1</v>
      </c>
      <c r="G46" s="494">
        <f t="shared" si="4"/>
        <v>0</v>
      </c>
      <c r="H46" s="494"/>
      <c r="I46" s="494">
        <f>I27-'Exhibit U,12'!W28</f>
        <v>0</v>
      </c>
      <c r="J46" s="187"/>
      <c r="K46" s="494">
        <f>'Exhibit U,5'!AC46-'Exhibit U,5'!AH46</f>
        <v>767530.12</v>
      </c>
      <c r="L46" s="494"/>
      <c r="M46" s="494">
        <f>'Exhibit U,5'!AH46</f>
        <v>130805.25</v>
      </c>
      <c r="N46" s="494"/>
      <c r="O46" s="494">
        <f t="shared" si="6"/>
        <v>898335.37</v>
      </c>
      <c r="P46" s="187"/>
      <c r="Q46" s="494">
        <f t="shared" si="7"/>
        <v>898335.37</v>
      </c>
      <c r="R46" s="494"/>
      <c r="S46" s="20">
        <f>'Exhibit U,5'!AC46/E46</f>
        <v>898335.37</v>
      </c>
    </row>
    <row r="47" spans="1:44">
      <c r="A47" s="6">
        <f t="shared" si="8"/>
        <v>2019</v>
      </c>
      <c r="C47" s="494">
        <f>'Exhibit U,12'!G29</f>
        <v>431293.05252606864</v>
      </c>
      <c r="E47" s="128">
        <f t="shared" si="5"/>
        <v>0.93530733371780084</v>
      </c>
      <c r="G47" s="494">
        <f t="shared" si="4"/>
        <v>27901.497516899952</v>
      </c>
      <c r="H47" s="494"/>
      <c r="I47" s="494">
        <f>I28-'Exhibit U,12'!W29</f>
        <v>0</v>
      </c>
      <c r="J47" s="187"/>
      <c r="K47" s="494">
        <f>'Exhibit U,5'!AC47-'Exhibit U,5'!AH47</f>
        <v>415683.53</v>
      </c>
      <c r="L47" s="494"/>
      <c r="M47" s="494">
        <f>'Exhibit U,5'!AH47</f>
        <v>0</v>
      </c>
      <c r="N47" s="494"/>
      <c r="O47" s="494">
        <f t="shared" si="6"/>
        <v>443585.02751689998</v>
      </c>
      <c r="P47" s="187"/>
      <c r="Q47" s="494">
        <f t="shared" si="7"/>
        <v>444435.23001971806</v>
      </c>
      <c r="R47" s="494"/>
      <c r="S47" s="20">
        <f>'Exhibit U,5'!AC47/E47</f>
        <v>444435.23001971806</v>
      </c>
    </row>
    <row r="48" spans="1:44">
      <c r="A48" s="6">
        <f t="shared" si="8"/>
        <v>2020</v>
      </c>
      <c r="C48" s="494">
        <f>'Exhibit U,12'!G30</f>
        <v>465279.60779803968</v>
      </c>
      <c r="E48" s="128">
        <f t="shared" si="5"/>
        <v>0.66374876233061031</v>
      </c>
      <c r="G48" s="494">
        <f t="shared" si="4"/>
        <v>156450.84398441907</v>
      </c>
      <c r="H48" s="494"/>
      <c r="I48" s="494">
        <f>I29-'Exhibit U,12'!W30</f>
        <v>0</v>
      </c>
      <c r="J48" s="187"/>
      <c r="K48" s="494">
        <f>'Exhibit U,5'!AC48-'Exhibit U,5'!AH48</f>
        <v>172246.52000000002</v>
      </c>
      <c r="L48" s="494"/>
      <c r="M48" s="494">
        <f>'Exhibit U,5'!AH48</f>
        <v>0</v>
      </c>
      <c r="N48" s="494"/>
      <c r="O48" s="494">
        <f t="shared" si="6"/>
        <v>328697.36398441909</v>
      </c>
      <c r="P48" s="187"/>
      <c r="Q48" s="494">
        <f t="shared" si="7"/>
        <v>259505.5987678133</v>
      </c>
      <c r="R48" s="494"/>
      <c r="S48" s="20">
        <f>'Exhibit U,5'!AC48/E48</f>
        <v>259505.5987678133</v>
      </c>
    </row>
    <row r="49" spans="1:19">
      <c r="A49" s="6">
        <f t="shared" si="8"/>
        <v>2021</v>
      </c>
      <c r="C49" s="494">
        <f>'Exhibit U,12'!G31</f>
        <v>987667.1352795593</v>
      </c>
      <c r="E49" s="128">
        <f t="shared" si="5"/>
        <v>0.37235615494742974</v>
      </c>
      <c r="G49" s="494">
        <f t="shared" si="4"/>
        <v>619903.1984189197</v>
      </c>
      <c r="H49" s="494"/>
      <c r="I49" s="494">
        <f>I30-'Exhibit U,12'!W31</f>
        <v>0</v>
      </c>
      <c r="J49" s="187"/>
      <c r="K49" s="494">
        <f>'Exhibit U,5'!AC49-'Exhibit U,5'!AH49</f>
        <v>51134.19</v>
      </c>
      <c r="L49" s="494"/>
      <c r="M49" s="494">
        <f>'Exhibit U,5'!AH49</f>
        <v>0</v>
      </c>
      <c r="N49" s="494"/>
      <c r="O49" s="494">
        <f t="shared" si="6"/>
        <v>671037.38841891964</v>
      </c>
      <c r="P49" s="187"/>
      <c r="Q49" s="494">
        <f t="shared" si="7"/>
        <v>137326.0232725823</v>
      </c>
      <c r="R49" s="494"/>
      <c r="S49" s="20">
        <f>'Exhibit U,5'!AC49/E49</f>
        <v>137326.0232725823</v>
      </c>
    </row>
    <row r="50" spans="1:19">
      <c r="A50" s="6">
        <f t="shared" si="8"/>
        <v>2022</v>
      </c>
      <c r="C50" s="494">
        <f>'Exhibit U,12'!G32</f>
        <v>1315092.6956908247</v>
      </c>
      <c r="E50" s="128">
        <f>E31*(11/12)+E30*(1/12)</f>
        <v>0.14750539395631113</v>
      </c>
      <c r="G50" s="494">
        <f t="shared" si="4"/>
        <v>1121109.4295238825</v>
      </c>
      <c r="H50" s="494"/>
      <c r="I50" s="494">
        <f>I31-'Exhibit U,12'!W32</f>
        <v>0</v>
      </c>
      <c r="J50" s="187"/>
      <c r="K50" s="494">
        <f>'Exhibit U,5'!AC50-'Exhibit U,5'!AH50</f>
        <v>174500</v>
      </c>
      <c r="L50" s="494"/>
      <c r="M50" s="494">
        <f>'Exhibit U,5'!AH50</f>
        <v>0</v>
      </c>
      <c r="N50" s="494"/>
      <c r="O50" s="494">
        <f t="shared" si="6"/>
        <v>1295609.4295238825</v>
      </c>
      <c r="P50" s="187"/>
      <c r="Q50" s="494">
        <f t="shared" si="7"/>
        <v>1183007.5858221448</v>
      </c>
      <c r="R50" s="494"/>
      <c r="S50" s="20">
        <f>'Exhibit U,5'!AC50/E50</f>
        <v>1183007.5858221448</v>
      </c>
    </row>
    <row r="51" spans="1:19">
      <c r="A51" s="6"/>
      <c r="C51" s="200"/>
      <c r="G51" s="200"/>
      <c r="H51" s="18"/>
      <c r="I51" s="200"/>
      <c r="J51" s="6"/>
      <c r="K51" s="200"/>
      <c r="L51" s="18"/>
      <c r="M51" s="200"/>
      <c r="N51" s="6"/>
      <c r="O51" s="200"/>
      <c r="Q51" s="200"/>
      <c r="S51" s="200"/>
    </row>
    <row r="52" spans="1:19">
      <c r="A52" s="2" t="s">
        <v>0</v>
      </c>
      <c r="C52" s="19">
        <f>SUM(C36:C51)</f>
        <v>17699706.370228022</v>
      </c>
      <c r="E52" s="19"/>
      <c r="G52" s="19">
        <f>SUM(G36:G51)</f>
        <v>1925364.9694441212</v>
      </c>
      <c r="H52" s="19"/>
      <c r="I52" s="19">
        <f>SUM(I36:I51)</f>
        <v>395200</v>
      </c>
      <c r="J52" s="6"/>
      <c r="K52" s="19">
        <f>SUM(K36:K51)</f>
        <v>13745540.839999998</v>
      </c>
      <c r="L52" s="19"/>
      <c r="M52" s="19">
        <f>SUM(M36:M51)</f>
        <v>1691134.86</v>
      </c>
      <c r="N52" s="6"/>
      <c r="O52" s="19">
        <f>SUM(O36:O51)</f>
        <v>17757240.669444121</v>
      </c>
      <c r="Q52" s="19">
        <f>SUM(Q36:Q51)</f>
        <v>17042585.897882257</v>
      </c>
      <c r="S52" s="19">
        <f>SUM(S36:S51)</f>
        <v>16647385.897882257</v>
      </c>
    </row>
    <row r="53" spans="1:19">
      <c r="K53" s="187"/>
      <c r="L53" s="187"/>
      <c r="M53" s="187"/>
      <c r="N53" s="187"/>
      <c r="O53" s="187"/>
    </row>
    <row r="54" spans="1:19">
      <c r="M54" s="19"/>
    </row>
    <row r="56" spans="1:19">
      <c r="A56" s="52" t="s">
        <v>104</v>
      </c>
      <c r="C56" s="3" t="s">
        <v>1774</v>
      </c>
    </row>
    <row r="57" spans="1:19">
      <c r="A57" s="52" t="s">
        <v>36</v>
      </c>
      <c r="C57" s="3" t="s">
        <v>960</v>
      </c>
    </row>
    <row r="58" spans="1:19">
      <c r="C58" s="3" t="s">
        <v>445</v>
      </c>
    </row>
    <row r="59" spans="1:19">
      <c r="A59" s="52" t="s">
        <v>38</v>
      </c>
      <c r="C59" s="3" t="s">
        <v>167</v>
      </c>
    </row>
    <row r="60" spans="1:19">
      <c r="A60" s="64" t="s">
        <v>40</v>
      </c>
      <c r="C60" s="3" t="s">
        <v>1532</v>
      </c>
    </row>
    <row r="61" spans="1:19">
      <c r="A61" s="64" t="s">
        <v>577</v>
      </c>
      <c r="C61" s="1" t="s">
        <v>576</v>
      </c>
    </row>
    <row r="62" spans="1:19">
      <c r="A62" s="64" t="s">
        <v>31</v>
      </c>
      <c r="C62" s="3" t="s">
        <v>578</v>
      </c>
    </row>
    <row r="63" spans="1:19">
      <c r="A63" s="64" t="s">
        <v>103</v>
      </c>
      <c r="C63" s="3" t="s">
        <v>579</v>
      </c>
    </row>
    <row r="64" spans="1:19">
      <c r="A64" s="64" t="s">
        <v>106</v>
      </c>
      <c r="C64" s="140" t="s">
        <v>580</v>
      </c>
    </row>
  </sheetData>
  <phoneticPr fontId="8" type="noConversion"/>
  <printOptions horizontalCentered="1"/>
  <pageMargins left="0.7" right="0.7" top="0.75" bottom="0.75" header="0.3" footer="0.3"/>
  <pageSetup scale="56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8">
    <tabColor rgb="FFFF0000"/>
    <pageSetUpPr fitToPage="1"/>
  </sheetPr>
  <dimension ref="A1:AX78"/>
  <sheetViews>
    <sheetView topLeftCell="A4" zoomScaleNormal="100" workbookViewId="0">
      <selection activeCell="M30" sqref="M30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2.7109375" style="1" customWidth="1"/>
    <col min="12" max="12" width="1.7109375" style="1" customWidth="1"/>
    <col min="13" max="13" width="12.7109375" style="1" customWidth="1"/>
    <col min="14" max="14" width="1.7109375" style="1" customWidth="1"/>
    <col min="15" max="15" width="11.7109375" style="1" customWidth="1"/>
    <col min="16" max="16" width="1.7109375" style="1" customWidth="1"/>
    <col min="17" max="19" width="12.7109375" style="1" customWidth="1"/>
    <col min="20" max="20" width="8.85546875" style="1" bestFit="1" customWidth="1"/>
    <col min="21" max="50" width="12.7109375" style="1" customWidth="1"/>
    <col min="51" max="16384" width="8.7109375" style="1"/>
  </cols>
  <sheetData>
    <row r="1" spans="1:50">
      <c r="Q1" s="64" t="s">
        <v>955</v>
      </c>
    </row>
    <row r="2" spans="1:50">
      <c r="Q2" s="64" t="s">
        <v>92</v>
      </c>
      <c r="R2" s="3"/>
      <c r="S2" s="3"/>
    </row>
    <row r="3" spans="1:50">
      <c r="Q3" s="5"/>
      <c r="R3" s="3"/>
      <c r="S3" s="3"/>
    </row>
    <row r="4" spans="1:50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40"/>
      <c r="S4" s="140"/>
      <c r="T4" s="140"/>
      <c r="U4" s="140"/>
      <c r="V4" s="140"/>
    </row>
    <row r="5" spans="1:50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50">
      <c r="A6" s="5" t="s">
        <v>151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140"/>
      <c r="S6" s="140"/>
    </row>
    <row r="7" spans="1:50">
      <c r="A7" s="5" t="s">
        <v>491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140"/>
      <c r="S7" s="140"/>
    </row>
    <row r="8" spans="1:50">
      <c r="A8" s="5" t="s">
        <v>168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135" t="s">
        <v>1636</v>
      </c>
      <c r="P8" s="5"/>
      <c r="Q8" s="5"/>
      <c r="R8" s="140"/>
      <c r="S8" s="140"/>
      <c r="T8" s="61"/>
      <c r="U8" s="61"/>
      <c r="V8" s="61"/>
      <c r="W8" s="61"/>
    </row>
    <row r="9" spans="1:50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140"/>
      <c r="P9" s="5"/>
      <c r="Q9" s="5"/>
      <c r="R9" s="5"/>
      <c r="S9" s="5"/>
      <c r="T9" s="61"/>
      <c r="U9" s="61"/>
      <c r="V9" s="61"/>
      <c r="W9" s="61"/>
      <c r="AW9" s="341">
        <v>44459</v>
      </c>
    </row>
    <row r="10" spans="1:50">
      <c r="L10" s="11"/>
      <c r="M10" s="11"/>
      <c r="N10" s="11"/>
      <c r="O10" s="2" t="s">
        <v>8</v>
      </c>
      <c r="T10" s="25" t="s">
        <v>0</v>
      </c>
      <c r="U10" s="25" t="s">
        <v>562</v>
      </c>
      <c r="V10" s="97"/>
      <c r="W10" s="61"/>
      <c r="X10" s="61"/>
      <c r="Y10" s="24"/>
      <c r="AA10" s="61"/>
      <c r="AM10" s="61"/>
      <c r="AN10" s="61"/>
      <c r="AO10" s="24"/>
      <c r="AP10" s="24"/>
      <c r="AQ10" s="61"/>
      <c r="AW10" s="25" t="s">
        <v>561</v>
      </c>
    </row>
    <row r="11" spans="1:50">
      <c r="C11" s="5" t="s">
        <v>163</v>
      </c>
      <c r="D11" s="5"/>
      <c r="E11" s="5"/>
      <c r="H11" s="6" t="s">
        <v>163</v>
      </c>
      <c r="I11" s="5"/>
      <c r="J11" s="5"/>
      <c r="K11" s="5" t="s">
        <v>2</v>
      </c>
      <c r="L11" s="11"/>
      <c r="M11" s="11"/>
      <c r="N11" s="11"/>
      <c r="O11" s="2" t="s">
        <v>330</v>
      </c>
      <c r="Q11" s="2" t="s">
        <v>321</v>
      </c>
      <c r="R11" s="2"/>
      <c r="S11" s="2"/>
      <c r="T11" s="97" t="s">
        <v>906</v>
      </c>
      <c r="U11" s="97" t="s">
        <v>906</v>
      </c>
      <c r="V11" s="97"/>
      <c r="W11" s="61"/>
      <c r="X11" s="61"/>
      <c r="Y11" s="24" t="s">
        <v>2</v>
      </c>
      <c r="Z11" s="61"/>
      <c r="AM11" s="61"/>
      <c r="AN11" s="61"/>
      <c r="AO11" s="25"/>
      <c r="AP11" s="25">
        <v>2020</v>
      </c>
      <c r="AQ11" s="61"/>
      <c r="AU11" s="25" t="s">
        <v>1305</v>
      </c>
      <c r="AV11" s="340">
        <v>44166</v>
      </c>
      <c r="AW11" s="25" t="s">
        <v>1309</v>
      </c>
    </row>
    <row r="12" spans="1:50">
      <c r="A12" s="2" t="s">
        <v>203</v>
      </c>
      <c r="C12" s="8" t="s">
        <v>164</v>
      </c>
      <c r="D12" s="8"/>
      <c r="E12" s="8"/>
      <c r="G12" s="8"/>
      <c r="H12" s="222" t="s">
        <v>169</v>
      </c>
      <c r="I12" s="8"/>
      <c r="J12" s="5"/>
      <c r="K12" s="5" t="s">
        <v>695</v>
      </c>
      <c r="L12" s="11"/>
      <c r="M12" s="2" t="s">
        <v>1</v>
      </c>
      <c r="N12" s="11"/>
      <c r="O12" s="2" t="s">
        <v>13</v>
      </c>
      <c r="Q12" s="2" t="s">
        <v>1</v>
      </c>
      <c r="R12" s="2"/>
      <c r="S12" s="2"/>
      <c r="T12" s="25" t="s">
        <v>284</v>
      </c>
      <c r="U12" s="25" t="s">
        <v>284</v>
      </c>
      <c r="V12" s="97"/>
      <c r="W12" s="97" t="s">
        <v>6</v>
      </c>
      <c r="X12" s="61"/>
      <c r="Y12" s="25" t="s">
        <v>67</v>
      </c>
      <c r="Z12" s="61"/>
      <c r="AM12" s="97" t="s">
        <v>6</v>
      </c>
      <c r="AN12" s="61"/>
      <c r="AO12" s="25"/>
      <c r="AP12" s="25" t="s">
        <v>67</v>
      </c>
      <c r="AQ12" s="61"/>
      <c r="AT12" s="25" t="s">
        <v>1311</v>
      </c>
      <c r="AU12" s="25" t="s">
        <v>1304</v>
      </c>
      <c r="AV12" s="25" t="s">
        <v>12</v>
      </c>
      <c r="AW12" s="25" t="s">
        <v>12</v>
      </c>
      <c r="AX12" s="25" t="s">
        <v>1310</v>
      </c>
    </row>
    <row r="13" spans="1:50">
      <c r="A13" s="6" t="s">
        <v>4</v>
      </c>
      <c r="B13" s="6"/>
      <c r="C13" s="6" t="s">
        <v>153</v>
      </c>
      <c r="E13" s="2" t="s">
        <v>154</v>
      </c>
      <c r="G13" s="6" t="s">
        <v>153</v>
      </c>
      <c r="I13" s="2" t="s">
        <v>154</v>
      </c>
      <c r="J13" s="2"/>
      <c r="K13" s="2" t="s">
        <v>171</v>
      </c>
      <c r="L13" s="11"/>
      <c r="M13" s="2" t="s">
        <v>171</v>
      </c>
      <c r="N13" s="11"/>
      <c r="O13" s="2" t="s">
        <v>55</v>
      </c>
      <c r="P13" s="6"/>
      <c r="Q13" s="2" t="s">
        <v>171</v>
      </c>
      <c r="R13" s="2"/>
      <c r="T13" s="25" t="s">
        <v>109</v>
      </c>
      <c r="U13" s="25" t="s">
        <v>109</v>
      </c>
      <c r="V13" s="223"/>
      <c r="W13" s="25" t="s">
        <v>4</v>
      </c>
      <c r="X13" s="61"/>
      <c r="Y13" s="25" t="s">
        <v>395</v>
      </c>
      <c r="Z13" s="25" t="s">
        <v>18</v>
      </c>
      <c r="AM13" s="25" t="s">
        <v>4</v>
      </c>
      <c r="AN13" s="61"/>
      <c r="AP13" s="25" t="s">
        <v>5</v>
      </c>
      <c r="AQ13" s="25" t="s">
        <v>18</v>
      </c>
      <c r="AT13" s="25" t="s">
        <v>16</v>
      </c>
      <c r="AU13" s="25" t="s">
        <v>1306</v>
      </c>
      <c r="AV13" s="25" t="s">
        <v>1307</v>
      </c>
      <c r="AW13" s="25" t="s">
        <v>1307</v>
      </c>
      <c r="AX13" s="25" t="s">
        <v>1308</v>
      </c>
    </row>
    <row r="14" spans="1:50">
      <c r="A14" s="9" t="s">
        <v>27</v>
      </c>
      <c r="B14" s="11"/>
      <c r="C14" s="9">
        <v>-2</v>
      </c>
      <c r="D14" s="11"/>
      <c r="E14" s="9">
        <v>-3</v>
      </c>
      <c r="F14" s="11"/>
      <c r="G14" s="9">
        <v>-4</v>
      </c>
      <c r="H14" s="11"/>
      <c r="I14" s="9">
        <v>-5</v>
      </c>
      <c r="J14" s="11"/>
      <c r="K14" s="9">
        <v>-6</v>
      </c>
      <c r="L14" s="11"/>
      <c r="M14" s="9">
        <v>-7</v>
      </c>
      <c r="N14" s="11"/>
      <c r="O14" s="9">
        <v>-8</v>
      </c>
      <c r="P14" s="11"/>
      <c r="Q14" s="9">
        <v>-9</v>
      </c>
      <c r="R14" s="11"/>
      <c r="S14" s="19"/>
      <c r="T14" s="193">
        <v>-10</v>
      </c>
      <c r="U14" s="193">
        <v>-11</v>
      </c>
      <c r="V14" s="6"/>
      <c r="W14" s="224">
        <v>-12</v>
      </c>
      <c r="X14" s="61"/>
      <c r="Y14" s="225">
        <v>-13</v>
      </c>
      <c r="Z14" s="225">
        <v>-14</v>
      </c>
      <c r="AB14" s="6"/>
      <c r="AC14" s="6"/>
      <c r="AD14" s="6"/>
      <c r="AE14" s="6"/>
      <c r="AF14" s="6"/>
      <c r="AG14" s="6"/>
      <c r="AK14" s="61"/>
      <c r="AL14" s="61"/>
      <c r="AM14" s="224" t="s">
        <v>30</v>
      </c>
      <c r="AN14" s="61"/>
      <c r="AP14" s="225" t="s">
        <v>103</v>
      </c>
      <c r="AQ14" s="225" t="s">
        <v>103</v>
      </c>
      <c r="AR14" s="61"/>
      <c r="AT14" s="225">
        <v>-15</v>
      </c>
      <c r="AU14" s="225">
        <v>-16</v>
      </c>
      <c r="AV14" s="225">
        <v>-17</v>
      </c>
      <c r="AW14" s="225">
        <v>-18</v>
      </c>
      <c r="AX14" s="225">
        <v>-19</v>
      </c>
    </row>
    <row r="15" spans="1:50" ht="16">
      <c r="T15" s="226"/>
      <c r="U15" s="6"/>
      <c r="V15" s="6"/>
      <c r="W15" s="61"/>
      <c r="X15" s="61"/>
      <c r="Y15" s="61"/>
      <c r="Z15" s="61"/>
      <c r="AB15" s="6"/>
      <c r="AC15" s="6"/>
      <c r="AD15" s="6"/>
      <c r="AE15" s="6"/>
      <c r="AF15" s="6"/>
      <c r="AG15" s="6"/>
      <c r="AK15" s="172"/>
      <c r="AL15" s="61"/>
      <c r="AM15" s="61"/>
      <c r="AN15" s="61"/>
      <c r="AP15" s="61"/>
      <c r="AQ15" s="61"/>
      <c r="AR15" s="61"/>
    </row>
    <row r="16" spans="1:50" ht="16">
      <c r="A16" s="15" t="s">
        <v>77</v>
      </c>
      <c r="T16" s="25"/>
      <c r="U16" s="6"/>
      <c r="V16" s="6"/>
      <c r="W16" s="226" t="s">
        <v>77</v>
      </c>
      <c r="X16" s="61"/>
      <c r="Y16" s="61"/>
      <c r="Z16" s="61"/>
      <c r="AB16" s="6"/>
      <c r="AC16" s="6"/>
      <c r="AD16" s="6"/>
      <c r="AE16" s="6"/>
      <c r="AF16" s="6"/>
      <c r="AG16" s="6"/>
      <c r="AK16" s="25"/>
      <c r="AL16" s="25"/>
      <c r="AM16" s="226" t="s">
        <v>77</v>
      </c>
      <c r="AN16" s="61"/>
      <c r="AO16" s="61"/>
      <c r="AP16" s="61"/>
      <c r="AQ16" s="61"/>
      <c r="AR16" s="25"/>
    </row>
    <row r="17" spans="1:50">
      <c r="A17" s="6">
        <v>2008</v>
      </c>
      <c r="C17" s="147">
        <f>'Exhibit U,9'!O17</f>
        <v>1911758.4000000001</v>
      </c>
      <c r="D17" s="147"/>
      <c r="E17" s="147">
        <f>'Exhibit U,9'!Q17</f>
        <v>1911758.4000000001</v>
      </c>
      <c r="F17" s="147"/>
      <c r="G17" s="147">
        <f>'Exhibit U,8'!O17</f>
        <v>1911758.4000000001</v>
      </c>
      <c r="H17" s="147"/>
      <c r="I17" s="147">
        <f>'Exhibit U,8'!Q17</f>
        <v>1911758.4000000001</v>
      </c>
      <c r="J17" s="147"/>
      <c r="K17" s="497">
        <f>Y17</f>
        <v>1911758.4000000001</v>
      </c>
      <c r="L17" s="147"/>
      <c r="M17" s="497">
        <f>E17</f>
        <v>1911758.4000000001</v>
      </c>
      <c r="N17" s="147"/>
      <c r="O17" s="147"/>
      <c r="P17" s="147"/>
      <c r="Q17" s="147">
        <f>M17+O17</f>
        <v>1911758.4000000001</v>
      </c>
      <c r="R17" s="19"/>
      <c r="S17" s="26"/>
      <c r="T17" s="227" t="e">
        <f>M17/'Exhibit U,11'!C36</f>
        <v>#DIV/0!</v>
      </c>
      <c r="U17" s="412" t="e">
        <f>(M17-'Exhibit U,9'!I17-'Exhibit U,9'!M17)/('Exhibit U,8'!V17-'Exhibit U,8'!AF17)</f>
        <v>#DIV/0!</v>
      </c>
      <c r="V17" s="6"/>
      <c r="W17" s="25">
        <v>2008</v>
      </c>
      <c r="X17" s="61"/>
      <c r="Y17" s="172">
        <v>1911758.4000000001</v>
      </c>
      <c r="Z17" s="172">
        <f>Q17-Y17</f>
        <v>0</v>
      </c>
      <c r="AB17" s="6"/>
      <c r="AC17" s="6"/>
      <c r="AD17" s="6"/>
      <c r="AE17" s="6"/>
      <c r="AF17" s="6"/>
      <c r="AG17" s="6"/>
      <c r="AK17" s="25"/>
      <c r="AL17" s="25"/>
      <c r="AM17" s="25">
        <v>2006</v>
      </c>
      <c r="AN17" s="61"/>
      <c r="AO17" s="61"/>
      <c r="AP17" s="18">
        <v>49249.72</v>
      </c>
      <c r="AQ17" s="172">
        <f>Q17-AP17</f>
        <v>1862508.6800000002</v>
      </c>
      <c r="AR17" s="25"/>
    </row>
    <row r="18" spans="1:50">
      <c r="A18" s="6">
        <f>A17+1</f>
        <v>2009</v>
      </c>
      <c r="C18" s="20">
        <f>'Exhibit U,9'!O18</f>
        <v>2191506.25</v>
      </c>
      <c r="D18" s="20"/>
      <c r="E18" s="20">
        <f>'Exhibit U,9'!Q18</f>
        <v>2191506.25</v>
      </c>
      <c r="F18" s="20"/>
      <c r="G18" s="20">
        <f>'Exhibit U,8'!O18</f>
        <v>2191520.8631591406</v>
      </c>
      <c r="H18" s="20"/>
      <c r="I18" s="20">
        <f>'Exhibit U,8'!Q18</f>
        <v>2191520.863256583</v>
      </c>
      <c r="J18" s="20"/>
      <c r="K18" s="20">
        <f t="shared" ref="K18:K30" si="0">Y18</f>
        <v>2191506.25</v>
      </c>
      <c r="L18" s="18"/>
      <c r="M18" s="20">
        <f t="shared" ref="M18:M20" si="1">E18</f>
        <v>2191506.25</v>
      </c>
      <c r="N18" s="18"/>
      <c r="O18" s="18"/>
      <c r="Q18" s="20">
        <f t="shared" ref="Q18:Q31" si="2">M18+O18</f>
        <v>2191506.25</v>
      </c>
      <c r="R18" s="20"/>
      <c r="S18" s="18"/>
      <c r="T18" s="227" t="e">
        <f>M18/'Exhibit U,11'!C37</f>
        <v>#DIV/0!</v>
      </c>
      <c r="U18" s="412" t="e">
        <f>(M18-'Exhibit U,9'!I18-'Exhibit U,9'!M18)/('Exhibit U,8'!V18-'Exhibit U,8'!AF18)</f>
        <v>#DIV/0!</v>
      </c>
      <c r="V18" s="6"/>
      <c r="W18" s="25">
        <f t="shared" ref="W18:W31" si="3">W17+1</f>
        <v>2009</v>
      </c>
      <c r="X18" s="61"/>
      <c r="Y18" s="172">
        <v>2191506.25</v>
      </c>
      <c r="Z18" s="172">
        <f t="shared" ref="Z18:Z30" si="4">Q18-Y18</f>
        <v>0</v>
      </c>
      <c r="AB18" s="6"/>
      <c r="AC18" s="6"/>
      <c r="AD18" s="6"/>
      <c r="AE18" s="6"/>
      <c r="AF18" s="6"/>
      <c r="AG18" s="6"/>
      <c r="AH18" s="6"/>
      <c r="AI18" s="6"/>
      <c r="AJ18" s="6"/>
      <c r="AK18" s="25"/>
      <c r="AL18" s="25"/>
      <c r="AM18" s="25">
        <f t="shared" ref="AM18:AM31" si="5">AM17+1</f>
        <v>2007</v>
      </c>
      <c r="AN18" s="61"/>
      <c r="AO18" s="61"/>
      <c r="AP18" s="18">
        <v>135351</v>
      </c>
      <c r="AQ18" s="172">
        <f t="shared" ref="AQ18:AQ30" si="6">Q18-AP18</f>
        <v>2056155.25</v>
      </c>
      <c r="AR18" s="25"/>
    </row>
    <row r="19" spans="1:50">
      <c r="A19" s="6">
        <f t="shared" ref="A19:A31" si="7">A18+1</f>
        <v>2010</v>
      </c>
      <c r="C19" s="20">
        <f>'Exhibit U,9'!O19</f>
        <v>8479335.2699999996</v>
      </c>
      <c r="D19" s="20"/>
      <c r="E19" s="20">
        <f>'Exhibit U,9'!Q19</f>
        <v>8479335.2699999996</v>
      </c>
      <c r="F19" s="20"/>
      <c r="G19" s="20">
        <f>'Exhibit U,8'!O19</f>
        <v>8482504.8310718816</v>
      </c>
      <c r="H19" s="20"/>
      <c r="I19" s="20">
        <f>'Exhibit U,8'!Q19</f>
        <v>8482506.0162914414</v>
      </c>
      <c r="J19" s="20"/>
      <c r="K19" s="20">
        <f t="shared" si="0"/>
        <v>8479092.0899999999</v>
      </c>
      <c r="L19" s="18"/>
      <c r="M19" s="20">
        <f t="shared" si="1"/>
        <v>8479335.2699999996</v>
      </c>
      <c r="N19" s="18"/>
      <c r="O19" s="18"/>
      <c r="Q19" s="20">
        <f t="shared" si="2"/>
        <v>8479335.2699999996</v>
      </c>
      <c r="R19" s="20"/>
      <c r="S19" s="18"/>
      <c r="T19" s="227" t="e">
        <f>M19/'Exhibit U,11'!C38</f>
        <v>#DIV/0!</v>
      </c>
      <c r="U19" s="412" t="e">
        <f>(M19-'Exhibit U,9'!I19-'Exhibit U,9'!M19)/('Exhibit U,8'!V19-'Exhibit U,8'!AF19)</f>
        <v>#DIV/0!</v>
      </c>
      <c r="V19" s="6"/>
      <c r="W19" s="25">
        <f t="shared" si="3"/>
        <v>2010</v>
      </c>
      <c r="X19" s="61"/>
      <c r="Y19" s="172">
        <v>8479092.0899999999</v>
      </c>
      <c r="Z19" s="172">
        <f t="shared" si="4"/>
        <v>243.17999999970198</v>
      </c>
      <c r="AB19" s="6"/>
      <c r="AC19" s="6"/>
      <c r="AD19" s="6"/>
      <c r="AE19" s="6"/>
      <c r="AF19" s="6"/>
      <c r="AG19" s="6"/>
      <c r="AH19" s="6"/>
      <c r="AI19" s="6"/>
      <c r="AJ19" s="6"/>
      <c r="AK19" s="25"/>
      <c r="AL19" s="25"/>
      <c r="AM19" s="25">
        <f t="shared" si="5"/>
        <v>2008</v>
      </c>
      <c r="AN19" s="61"/>
      <c r="AO19" s="61"/>
      <c r="AP19" s="18">
        <v>1908968.13</v>
      </c>
      <c r="AQ19" s="172">
        <f t="shared" si="6"/>
        <v>6570367.1399999997</v>
      </c>
      <c r="AR19" s="25"/>
    </row>
    <row r="20" spans="1:50">
      <c r="A20" s="6">
        <f t="shared" si="7"/>
        <v>2011</v>
      </c>
      <c r="C20" s="20">
        <f>'Exhibit U,9'!O20</f>
        <v>6315267.6400000006</v>
      </c>
      <c r="D20" s="20"/>
      <c r="E20" s="20">
        <f>'Exhibit U,9'!Q20</f>
        <v>6315267.6400000006</v>
      </c>
      <c r="F20" s="20"/>
      <c r="G20" s="20">
        <f>'Exhibit U,8'!O20</f>
        <v>6336027.7848945213</v>
      </c>
      <c r="H20" s="20"/>
      <c r="I20" s="20">
        <f>'Exhibit U,8'!Q20</f>
        <v>6336096.2546860622</v>
      </c>
      <c r="J20" s="20"/>
      <c r="K20" s="20">
        <f t="shared" si="0"/>
        <v>6836232.2300000004</v>
      </c>
      <c r="L20" s="18"/>
      <c r="M20" s="20">
        <f t="shared" si="1"/>
        <v>6315267.6400000006</v>
      </c>
      <c r="N20" s="18"/>
      <c r="O20" s="18"/>
      <c r="Q20" s="20">
        <f t="shared" si="2"/>
        <v>6315267.6400000006</v>
      </c>
      <c r="R20" s="20"/>
      <c r="S20" s="18"/>
      <c r="T20" s="227">
        <f>M20/'Exhibit U,11'!C39</f>
        <v>0.98128742739089492</v>
      </c>
      <c r="U20" s="412">
        <f>(M20-'Exhibit U,9'!I20-'Exhibit U,9'!M20)/('Exhibit U,8'!V20-'Exhibit U,8'!AF20)</f>
        <v>0.98128742739089492</v>
      </c>
      <c r="V20" s="6"/>
      <c r="W20" s="25">
        <f t="shared" si="3"/>
        <v>2011</v>
      </c>
      <c r="X20" s="61"/>
      <c r="Y20" s="172">
        <v>6836232.2300000004</v>
      </c>
      <c r="Z20" s="172">
        <f t="shared" si="4"/>
        <v>-520964.58999999985</v>
      </c>
      <c r="AB20" s="6"/>
      <c r="AC20" s="6"/>
      <c r="AD20" s="6"/>
      <c r="AE20" s="6"/>
      <c r="AF20" s="6"/>
      <c r="AG20" s="6"/>
      <c r="AH20" s="6"/>
      <c r="AI20" s="6"/>
      <c r="AJ20" s="6"/>
      <c r="AK20" s="72"/>
      <c r="AL20" s="145"/>
      <c r="AM20" s="25">
        <f t="shared" si="5"/>
        <v>2009</v>
      </c>
      <c r="AN20" s="61"/>
      <c r="AO20" s="61"/>
      <c r="AP20" s="18">
        <v>2191506.25</v>
      </c>
      <c r="AQ20" s="172">
        <f t="shared" si="6"/>
        <v>4123761.3900000006</v>
      </c>
      <c r="AR20" s="145"/>
    </row>
    <row r="21" spans="1:50">
      <c r="A21" s="6">
        <f t="shared" si="7"/>
        <v>2012</v>
      </c>
      <c r="C21" s="20">
        <f>'Exhibit U,9'!O21</f>
        <v>17569452.739999998</v>
      </c>
      <c r="D21" s="20"/>
      <c r="E21" s="20">
        <f>'Exhibit U,9'!Q21</f>
        <v>17569452.739999998</v>
      </c>
      <c r="F21" s="20"/>
      <c r="G21" s="20">
        <f>'Exhibit U,8'!O21</f>
        <v>17437631.027658783</v>
      </c>
      <c r="H21" s="20"/>
      <c r="I21" s="20">
        <f>'Exhibit U,8'!Q21</f>
        <v>17435764.830172673</v>
      </c>
      <c r="J21" s="20"/>
      <c r="K21" s="20">
        <f t="shared" si="0"/>
        <v>19139666.039999999</v>
      </c>
      <c r="L21" s="18"/>
      <c r="M21" s="20">
        <f>'Exhibit U,1'!AI45</f>
        <v>17569452.739999998</v>
      </c>
      <c r="N21" s="18"/>
      <c r="O21" s="18"/>
      <c r="Q21" s="20">
        <f t="shared" si="2"/>
        <v>17569452.739999998</v>
      </c>
      <c r="R21" s="20"/>
      <c r="S21" s="18"/>
      <c r="T21" s="227">
        <f>M21/'Exhibit U,11'!C40</f>
        <v>1.8903736170956367</v>
      </c>
      <c r="U21" s="412">
        <f>(M21-'Exhibit U,9'!I21-'Exhibit U,9'!M21)/('Exhibit U,8'!V21-'Exhibit U,8'!AF21)</f>
        <v>1.6409444185021349</v>
      </c>
      <c r="V21" s="6"/>
      <c r="W21" s="25">
        <f t="shared" si="3"/>
        <v>2012</v>
      </c>
      <c r="X21" s="61"/>
      <c r="Y21" s="172">
        <v>19139666.039999999</v>
      </c>
      <c r="Z21" s="172">
        <f t="shared" si="4"/>
        <v>-1570213.3000000007</v>
      </c>
      <c r="AB21" s="6"/>
      <c r="AC21" s="6"/>
      <c r="AD21" s="6"/>
      <c r="AE21" s="6"/>
      <c r="AF21" s="6"/>
      <c r="AG21" s="6"/>
      <c r="AH21" s="6"/>
      <c r="AI21" s="11"/>
      <c r="AJ21" s="11"/>
      <c r="AK21" s="61"/>
      <c r="AL21" s="61"/>
      <c r="AM21" s="25">
        <f t="shared" si="5"/>
        <v>2010</v>
      </c>
      <c r="AN21" s="61"/>
      <c r="AO21" s="61"/>
      <c r="AP21" s="18">
        <v>8474355.2699999996</v>
      </c>
      <c r="AQ21" s="172">
        <f t="shared" si="6"/>
        <v>9095097.4699999988</v>
      </c>
      <c r="AR21" s="61"/>
    </row>
    <row r="22" spans="1:50">
      <c r="A22" s="6">
        <f t="shared" si="7"/>
        <v>2013</v>
      </c>
      <c r="C22" s="20">
        <f>'Exhibit U,9'!O22</f>
        <v>17358241.969999999</v>
      </c>
      <c r="D22" s="20"/>
      <c r="E22" s="20">
        <f>'Exhibit U,9'!Q22</f>
        <v>17358241.969999999</v>
      </c>
      <c r="F22" s="20"/>
      <c r="G22" s="20">
        <f>'Exhibit U,8'!O22</f>
        <v>15777377.780652536</v>
      </c>
      <c r="H22" s="20"/>
      <c r="I22" s="20">
        <f>'Exhibit U,8'!Q22</f>
        <v>15710594.507826801</v>
      </c>
      <c r="J22" s="20"/>
      <c r="K22" s="20">
        <f t="shared" si="0"/>
        <v>18975821.675806206</v>
      </c>
      <c r="L22" s="18"/>
      <c r="M22" s="20">
        <f>'Exhibit U,1'!AI46</f>
        <v>17358241.969999999</v>
      </c>
      <c r="N22" s="18"/>
      <c r="O22" s="18"/>
      <c r="Q22" s="20">
        <f t="shared" si="2"/>
        <v>17358241.969999999</v>
      </c>
      <c r="R22" s="20"/>
      <c r="S22" s="18"/>
      <c r="T22" s="227">
        <f>M22/'Exhibit U,11'!C41</f>
        <v>1.7211919483727438</v>
      </c>
      <c r="U22" s="412">
        <f>(M22-'Exhibit U,9'!I22-'Exhibit U,9'!M22)/('Exhibit U,8'!V22-'Exhibit U,8'!AF22)</f>
        <v>1.7905715795680435</v>
      </c>
      <c r="V22" s="6"/>
      <c r="W22" s="25">
        <f t="shared" si="3"/>
        <v>2013</v>
      </c>
      <c r="X22" s="61"/>
      <c r="Y22" s="172">
        <v>18975821.675806206</v>
      </c>
      <c r="Z22" s="172">
        <f t="shared" si="4"/>
        <v>-1617579.7058062069</v>
      </c>
      <c r="AB22" s="6"/>
      <c r="AC22" s="6"/>
      <c r="AD22" s="6"/>
      <c r="AE22" s="6"/>
      <c r="AF22" s="6"/>
      <c r="AG22" s="6"/>
      <c r="AH22" s="6"/>
      <c r="AK22" s="72"/>
      <c r="AL22" s="145"/>
      <c r="AM22" s="25">
        <f t="shared" si="5"/>
        <v>2011</v>
      </c>
      <c r="AN22" s="61"/>
      <c r="AO22" s="223"/>
      <c r="AP22" s="18">
        <v>6835767.1100000003</v>
      </c>
      <c r="AQ22" s="172">
        <f t="shared" si="6"/>
        <v>10522474.859999999</v>
      </c>
      <c r="AR22" s="145"/>
      <c r="AT22" s="20">
        <v>5381727.1761445608</v>
      </c>
      <c r="AU22" s="305">
        <v>1.1641263213361637</v>
      </c>
      <c r="AV22" s="1">
        <f>177-105</f>
        <v>72</v>
      </c>
      <c r="AX22" s="342">
        <f t="shared" ref="AX22:AX30" si="8">1000*(AV22-AW22)/(AT22)</f>
        <v>1.3378604608415025E-2</v>
      </c>
    </row>
    <row r="23" spans="1:50">
      <c r="A23" s="6">
        <f t="shared" si="7"/>
        <v>2014</v>
      </c>
      <c r="C23" s="20">
        <f>'Exhibit U,9'!O23</f>
        <v>21073817.018735245</v>
      </c>
      <c r="D23" s="20"/>
      <c r="E23" s="20">
        <f>'Exhibit U,9'!Q23</f>
        <v>21073817.018735245</v>
      </c>
      <c r="F23" s="20"/>
      <c r="G23" s="20">
        <f>'Exhibit U,8'!O23</f>
        <v>19165492.329185948</v>
      </c>
      <c r="H23" s="20"/>
      <c r="I23" s="20">
        <f>'Exhibit U,8'!Q23</f>
        <v>18961322.656821307</v>
      </c>
      <c r="J23" s="20"/>
      <c r="K23" s="20">
        <f t="shared" si="0"/>
        <v>23846677.819986343</v>
      </c>
      <c r="L23" s="18"/>
      <c r="M23" s="20">
        <f>'Exhibit U,1'!AI47</f>
        <v>21073817.018735245</v>
      </c>
      <c r="N23" s="18"/>
      <c r="O23" s="18"/>
      <c r="Q23" s="20">
        <f t="shared" si="2"/>
        <v>21073817.018735245</v>
      </c>
      <c r="R23" s="20"/>
      <c r="S23" s="18"/>
      <c r="T23" s="227">
        <f>M23/'Exhibit U,11'!C42</f>
        <v>2.0578567874420344</v>
      </c>
      <c r="U23" s="412">
        <f>(M23-'Exhibit U,9'!I23-'Exhibit U,9'!M23)/('Exhibit U,8'!V23-'Exhibit U,8'!AF23)</f>
        <v>1.6439804280722607</v>
      </c>
      <c r="V23" s="6"/>
      <c r="W23" s="25">
        <f t="shared" si="3"/>
        <v>2014</v>
      </c>
      <c r="X23" s="61"/>
      <c r="Y23" s="172">
        <v>23846677.819986343</v>
      </c>
      <c r="Z23" s="172">
        <f t="shared" si="4"/>
        <v>-2772860.8012510985</v>
      </c>
      <c r="AB23" s="6"/>
      <c r="AC23" s="6"/>
      <c r="AD23" s="6"/>
      <c r="AE23" s="6"/>
      <c r="AF23" s="6"/>
      <c r="AG23" s="6"/>
      <c r="AH23" s="6"/>
      <c r="AK23" s="72"/>
      <c r="AL23" s="145"/>
      <c r="AM23" s="25">
        <f t="shared" si="5"/>
        <v>2012</v>
      </c>
      <c r="AN23" s="61"/>
      <c r="AO23" s="172"/>
      <c r="AP23" s="18">
        <v>18330611.214742817</v>
      </c>
      <c r="AQ23" s="172">
        <f t="shared" si="6"/>
        <v>2743205.8039924279</v>
      </c>
      <c r="AR23" s="145"/>
      <c r="AT23" s="20">
        <v>6639372.2359701237</v>
      </c>
      <c r="AU23" s="305">
        <v>1.1765828066813511</v>
      </c>
      <c r="AV23" s="1">
        <f>272-178</f>
        <v>94</v>
      </c>
      <c r="AX23" s="342">
        <f t="shared" si="8"/>
        <v>1.4157965039335533E-2</v>
      </c>
    </row>
    <row r="24" spans="1:50">
      <c r="A24" s="6">
        <f t="shared" si="7"/>
        <v>2015</v>
      </c>
      <c r="C24" s="20">
        <f>'Exhibit U,9'!O24</f>
        <v>4064067.5546318418</v>
      </c>
      <c r="D24" s="20"/>
      <c r="E24" s="20">
        <f>'Exhibit U,9'!Q24</f>
        <v>4064067.5546318418</v>
      </c>
      <c r="F24" s="20"/>
      <c r="G24" s="20">
        <f>'Exhibit U,8'!O24</f>
        <v>3683167.0299742045</v>
      </c>
      <c r="H24" s="20"/>
      <c r="I24" s="20">
        <f>'Exhibit U,8'!Q24</f>
        <v>3590774.9060231089</v>
      </c>
      <c r="J24" s="20"/>
      <c r="K24" s="20">
        <f t="shared" si="0"/>
        <v>4084998.0681367856</v>
      </c>
      <c r="L24" s="18"/>
      <c r="M24" s="20">
        <f>'Exhibit U,1'!AI48</f>
        <v>4064067.5546318418</v>
      </c>
      <c r="N24" s="18"/>
      <c r="O24" s="18"/>
      <c r="Q24" s="20">
        <f t="shared" si="2"/>
        <v>4064067.5546318418</v>
      </c>
      <c r="R24" s="20"/>
      <c r="S24" s="18"/>
      <c r="T24" s="227">
        <f>M24/'Exhibit U,11'!C43</f>
        <v>0.40767557148246936</v>
      </c>
      <c r="U24" s="412">
        <f>(M24-'Exhibit U,9'!I24-'Exhibit U,9'!M24)/('Exhibit U,8'!V24-'Exhibit U,8'!AF24)</f>
        <v>0.44109241239607044</v>
      </c>
      <c r="V24" s="22"/>
      <c r="W24" s="25">
        <f t="shared" si="3"/>
        <v>2015</v>
      </c>
      <c r="X24" s="61"/>
      <c r="Y24" s="172">
        <v>4084998.0681367856</v>
      </c>
      <c r="Z24" s="172">
        <f t="shared" si="4"/>
        <v>-20930.51350494381</v>
      </c>
      <c r="AB24" s="228"/>
      <c r="AC24" s="228"/>
      <c r="AD24" s="228"/>
      <c r="AE24" s="228"/>
      <c r="AF24" s="228"/>
      <c r="AG24" s="228"/>
      <c r="AK24" s="72"/>
      <c r="AL24" s="145"/>
      <c r="AM24" s="25">
        <f t="shared" si="5"/>
        <v>2013</v>
      </c>
      <c r="AN24" s="61"/>
      <c r="AO24" s="172"/>
      <c r="AP24" s="18">
        <v>17541261.206520855</v>
      </c>
      <c r="AQ24" s="172">
        <f t="shared" si="6"/>
        <v>-13477193.651889013</v>
      </c>
      <c r="AR24" s="145"/>
      <c r="AT24" s="20">
        <v>7467139.9713968374</v>
      </c>
      <c r="AU24" s="305">
        <v>1.222528411810702</v>
      </c>
      <c r="AV24" s="1">
        <f>395-273</f>
        <v>122</v>
      </c>
      <c r="AX24" s="342">
        <f t="shared" si="8"/>
        <v>1.6338250048522678E-2</v>
      </c>
    </row>
    <row r="25" spans="1:50">
      <c r="A25" s="6">
        <f t="shared" si="7"/>
        <v>2016</v>
      </c>
      <c r="C25" s="20">
        <f>'Exhibit U,9'!O25</f>
        <v>11154026.204164745</v>
      </c>
      <c r="D25" s="20"/>
      <c r="E25" s="20">
        <f>'Exhibit U,9'!Q25</f>
        <v>11154026.204164745</v>
      </c>
      <c r="F25" s="20"/>
      <c r="G25" s="20">
        <f>'Exhibit U,8'!O25</f>
        <v>10694171.263551502</v>
      </c>
      <c r="H25" s="20"/>
      <c r="I25" s="20">
        <f>'Exhibit U,8'!Q25</f>
        <v>10463422.530861305</v>
      </c>
      <c r="J25" s="20"/>
      <c r="K25" s="20">
        <f t="shared" si="0"/>
        <v>13111591.223283047</v>
      </c>
      <c r="L25" s="18"/>
      <c r="M25" s="20">
        <f>'Exhibit U,1'!AI49</f>
        <v>11631693.045840388</v>
      </c>
      <c r="N25" s="18"/>
      <c r="O25" s="18"/>
      <c r="Q25" s="20">
        <f t="shared" si="2"/>
        <v>11631693.045840388</v>
      </c>
      <c r="R25" s="20"/>
      <c r="S25" s="18"/>
      <c r="T25" s="227">
        <f>M25/'Exhibit U,11'!C44</f>
        <v>1.048927310313891</v>
      </c>
      <c r="U25" s="412">
        <f>(M25-'Exhibit U,9'!I25-'Exhibit U,9'!M25)/('Exhibit U,8'!V25-'Exhibit U,8'!AF25)</f>
        <v>1.0029618947906016</v>
      </c>
      <c r="V25" s="22"/>
      <c r="W25" s="25">
        <f t="shared" si="3"/>
        <v>2016</v>
      </c>
      <c r="X25" s="61"/>
      <c r="Y25" s="172">
        <v>13111591.223283047</v>
      </c>
      <c r="Z25" s="172">
        <f t="shared" si="4"/>
        <v>-1479898.1774426587</v>
      </c>
      <c r="AB25" s="228"/>
      <c r="AC25" s="229"/>
      <c r="AD25" s="228"/>
      <c r="AE25" s="228"/>
      <c r="AF25" s="228"/>
      <c r="AG25" s="229"/>
      <c r="AK25" s="72"/>
      <c r="AL25" s="145"/>
      <c r="AM25" s="25">
        <f t="shared" si="5"/>
        <v>2014</v>
      </c>
      <c r="AN25" s="61"/>
      <c r="AO25" s="172"/>
      <c r="AP25" s="18">
        <v>23146441.915548231</v>
      </c>
      <c r="AQ25" s="172">
        <f t="shared" si="6"/>
        <v>-11514748.869707843</v>
      </c>
      <c r="AR25" s="145"/>
      <c r="AT25" s="20">
        <v>7704192.9791236846</v>
      </c>
      <c r="AU25" s="305">
        <v>1.1690692554568431</v>
      </c>
      <c r="AV25" s="1">
        <f>527-396</f>
        <v>131</v>
      </c>
      <c r="AX25" s="342">
        <f t="shared" si="8"/>
        <v>1.7003727756427594E-2</v>
      </c>
    </row>
    <row r="26" spans="1:50">
      <c r="A26" s="6">
        <f t="shared" si="7"/>
        <v>2017</v>
      </c>
      <c r="C26" s="20">
        <f>'Exhibit U,9'!O26</f>
        <v>11261564.203882288</v>
      </c>
      <c r="D26" s="20"/>
      <c r="E26" s="20">
        <f>'Exhibit U,9'!Q26</f>
        <v>10892227.403484173</v>
      </c>
      <c r="F26" s="20"/>
      <c r="G26" s="20">
        <f>'Exhibit U,8'!O26</f>
        <v>13361734.178088393</v>
      </c>
      <c r="H26" s="20"/>
      <c r="I26" s="20">
        <f>'Exhibit U,8'!Q26</f>
        <v>13930037.013749015</v>
      </c>
      <c r="J26" s="20"/>
      <c r="K26" s="20">
        <f t="shared" si="0"/>
        <v>13149598.05472691</v>
      </c>
      <c r="L26" s="18"/>
      <c r="M26" s="20">
        <f>'Exhibit U,1'!AI50</f>
        <v>11261564.203882288</v>
      </c>
      <c r="N26" s="18"/>
      <c r="O26" s="18"/>
      <c r="Q26" s="20">
        <f>M26+O26</f>
        <v>11261564.203882288</v>
      </c>
      <c r="R26" s="20"/>
      <c r="T26" s="227">
        <f>M26/'Exhibit U,11'!C45</f>
        <v>1.019603859018601</v>
      </c>
      <c r="U26" s="412">
        <f>(M26-'Exhibit U,9'!I26-'Exhibit U,9'!M26)/('Exhibit U,8'!V26-'Exhibit U,8'!AF26)</f>
        <v>1.0409947287597519</v>
      </c>
      <c r="V26" s="22"/>
      <c r="W26" s="25">
        <f t="shared" si="3"/>
        <v>2017</v>
      </c>
      <c r="X26" s="61"/>
      <c r="Y26" s="172">
        <v>13149598.05472691</v>
      </c>
      <c r="Z26" s="172">
        <f t="shared" si="4"/>
        <v>-1888033.8508446217</v>
      </c>
      <c r="AB26" s="228"/>
      <c r="AC26" s="228"/>
      <c r="AD26" s="228"/>
      <c r="AE26" s="228"/>
      <c r="AF26" s="228"/>
      <c r="AG26" s="228"/>
      <c r="AK26" s="72"/>
      <c r="AL26" s="145"/>
      <c r="AM26" s="25">
        <f t="shared" si="5"/>
        <v>2015</v>
      </c>
      <c r="AN26" s="61"/>
      <c r="AO26" s="172"/>
      <c r="AP26" s="18">
        <v>5526304.6882439535</v>
      </c>
      <c r="AQ26" s="172">
        <f t="shared" si="6"/>
        <v>5735259.5156383347</v>
      </c>
      <c r="AR26" s="145"/>
      <c r="AT26" s="20">
        <v>8589972.5107246134</v>
      </c>
      <c r="AU26" s="305">
        <v>1.0738841245979509</v>
      </c>
      <c r="AV26" s="1">
        <f>679-528</f>
        <v>151</v>
      </c>
      <c r="AX26" s="342">
        <f t="shared" si="8"/>
        <v>1.7578635998133398E-2</v>
      </c>
    </row>
    <row r="27" spans="1:50">
      <c r="A27" s="6">
        <f t="shared" si="7"/>
        <v>2018</v>
      </c>
      <c r="C27" s="20">
        <f>'Exhibit U,9'!O27</f>
        <v>7006078.1762927808</v>
      </c>
      <c r="D27" s="20"/>
      <c r="E27" s="20">
        <f>'Exhibit U,9'!Q27</f>
        <v>5855865.4415011276</v>
      </c>
      <c r="F27" s="20"/>
      <c r="G27" s="20">
        <f>'Exhibit U,8'!O27</f>
        <v>7695655.5850268239</v>
      </c>
      <c r="H27" s="20"/>
      <c r="I27" s="20">
        <f>'Exhibit U,8'!Q27</f>
        <v>5048994.9094411219</v>
      </c>
      <c r="J27" s="20"/>
      <c r="K27" s="20">
        <f t="shared" si="0"/>
        <v>7350933.7734010313</v>
      </c>
      <c r="L27" s="18"/>
      <c r="M27" s="20">
        <f>'Exhibit U,1'!AI51</f>
        <v>7006078.1762927808</v>
      </c>
      <c r="N27" s="18"/>
      <c r="O27" s="18"/>
      <c r="Q27" s="20">
        <f>M27+O27</f>
        <v>7006078.1762927808</v>
      </c>
      <c r="R27" s="20"/>
      <c r="T27" s="227">
        <f>M27/'Exhibit U,11'!C46</f>
        <v>0.9296118753963073</v>
      </c>
      <c r="U27" s="412">
        <f>(M27-'Exhibit U,9'!I27-'Exhibit U,9'!M27)/('Exhibit U,8'!V27-'Exhibit U,8'!AF27)</f>
        <v>0.9812516026622109</v>
      </c>
      <c r="V27" s="22"/>
      <c r="W27" s="25">
        <f t="shared" si="3"/>
        <v>2018</v>
      </c>
      <c r="X27" s="61"/>
      <c r="Y27" s="172">
        <v>7350933.7734010313</v>
      </c>
      <c r="Z27" s="172">
        <f t="shared" si="4"/>
        <v>-344855.59710825048</v>
      </c>
      <c r="AB27" s="228"/>
      <c r="AC27" s="228"/>
      <c r="AD27" s="228"/>
      <c r="AE27" s="228"/>
      <c r="AF27" s="228"/>
      <c r="AG27" s="228"/>
      <c r="AK27" s="72"/>
      <c r="AL27" s="151"/>
      <c r="AM27" s="25">
        <f t="shared" si="5"/>
        <v>2016</v>
      </c>
      <c r="AN27" s="61"/>
      <c r="AO27" s="172"/>
      <c r="AP27" s="18">
        <v>12318207.311169764</v>
      </c>
      <c r="AQ27" s="172">
        <f t="shared" si="6"/>
        <v>-5312129.1348769832</v>
      </c>
      <c r="AR27" s="137"/>
      <c r="AT27" s="20">
        <v>9349871.9095154107</v>
      </c>
      <c r="AU27" s="305">
        <v>1.0475722795765665</v>
      </c>
      <c r="AV27" s="1">
        <f>775-680</f>
        <v>95</v>
      </c>
      <c r="AW27" s="1">
        <f>12+54</f>
        <v>66</v>
      </c>
      <c r="AX27" s="342">
        <f t="shared" si="8"/>
        <v>3.1016467691377201E-3</v>
      </c>
    </row>
    <row r="28" spans="1:50">
      <c r="A28" s="6">
        <f t="shared" si="7"/>
        <v>2019</v>
      </c>
      <c r="C28" s="20">
        <f>'Exhibit U,9'!O28</f>
        <v>6712613.7859857585</v>
      </c>
      <c r="D28" s="20"/>
      <c r="E28" s="20">
        <f>'Exhibit U,9'!Q28</f>
        <v>3811242.5164686251</v>
      </c>
      <c r="F28" s="20"/>
      <c r="G28" s="20">
        <f>'Exhibit U,8'!O28</f>
        <v>7934528.6281287195</v>
      </c>
      <c r="H28" s="20"/>
      <c r="I28" s="20">
        <f>'Exhibit U,8'!Q28</f>
        <v>3935051.5974330516</v>
      </c>
      <c r="J28" s="20"/>
      <c r="K28" s="20">
        <f t="shared" si="0"/>
        <v>6787157.8581031607</v>
      </c>
      <c r="L28" s="18"/>
      <c r="M28" s="20">
        <f>'Exhibit U,1'!AI52</f>
        <v>6712613.7859857585</v>
      </c>
      <c r="N28" s="18"/>
      <c r="O28" s="18"/>
      <c r="Q28" s="20">
        <f>M28+O28</f>
        <v>6712613.7859857585</v>
      </c>
      <c r="R28" s="20"/>
      <c r="T28" s="227">
        <f>M28/'Exhibit U,11'!C47</f>
        <v>1.0810282954614725</v>
      </c>
      <c r="U28" s="412">
        <f>(M28-'Exhibit U,9'!I28-'Exhibit U,9'!M28)/('Exhibit U,8'!V28-'Exhibit U,8'!AF28)</f>
        <v>1.1062239478043967</v>
      </c>
      <c r="V28" s="22"/>
      <c r="W28" s="25">
        <f t="shared" si="3"/>
        <v>2019</v>
      </c>
      <c r="X28" s="61"/>
      <c r="Y28" s="172">
        <v>6787157.8581031607</v>
      </c>
      <c r="Z28" s="172">
        <f t="shared" si="4"/>
        <v>-74544.072117402218</v>
      </c>
      <c r="AB28" s="73"/>
      <c r="AC28" s="73"/>
      <c r="AD28" s="73"/>
      <c r="AE28" s="73"/>
      <c r="AF28" s="73"/>
      <c r="AG28" s="20"/>
      <c r="AK28" s="72"/>
      <c r="AL28" s="151"/>
      <c r="AM28" s="25">
        <f t="shared" si="5"/>
        <v>2017</v>
      </c>
      <c r="AN28" s="61"/>
      <c r="AO28" s="172"/>
      <c r="AP28" s="18">
        <v>7899429.0713549592</v>
      </c>
      <c r="AQ28" s="172">
        <f t="shared" si="6"/>
        <v>-1186815.2853692006</v>
      </c>
      <c r="AR28" s="137"/>
      <c r="AT28" s="20">
        <v>9095474.2073944509</v>
      </c>
      <c r="AU28" s="305">
        <v>0.923820393352206</v>
      </c>
      <c r="AV28" s="1">
        <f>1320-1075</f>
        <v>245</v>
      </c>
      <c r="AW28" s="1">
        <v>48</v>
      </c>
      <c r="AX28" s="342">
        <f t="shared" si="8"/>
        <v>2.1659123593560703E-2</v>
      </c>
    </row>
    <row r="29" spans="1:50">
      <c r="A29" s="6">
        <f t="shared" si="7"/>
        <v>2020</v>
      </c>
      <c r="C29" s="20">
        <f>'Exhibit U,9'!O29</f>
        <v>6957904.1733448869</v>
      </c>
      <c r="D29" s="20"/>
      <c r="E29" s="20">
        <f>'Exhibit U,9'!Q29</f>
        <v>4005942.70115013</v>
      </c>
      <c r="F29" s="20"/>
      <c r="G29" s="20">
        <f>'Exhibit U,8'!O29</f>
        <v>7430661.1212396817</v>
      </c>
      <c r="H29" s="20"/>
      <c r="I29" s="20">
        <f>'Exhibit U,8'!Q29</f>
        <v>3369083.3163149329</v>
      </c>
      <c r="J29" s="20"/>
      <c r="K29" s="20">
        <f t="shared" si="0"/>
        <v>4417725.2002898194</v>
      </c>
      <c r="L29" s="18"/>
      <c r="M29" s="20">
        <f>'Exhibit U,1'!AI53</f>
        <v>6369884.1204675306</v>
      </c>
      <c r="N29" s="18"/>
      <c r="O29" s="18"/>
      <c r="Q29" s="20">
        <f t="shared" si="2"/>
        <v>6369884.1204675306</v>
      </c>
      <c r="R29" s="20"/>
      <c r="T29" s="227">
        <f>M29/'Exhibit U,11'!C48</f>
        <v>1.2827010485749308</v>
      </c>
      <c r="U29" s="412">
        <f>(M29-'Exhibit U,9'!I29-'Exhibit U,9'!M29)/('Exhibit U,8'!V29-'Exhibit U,8'!AF29)</f>
        <v>1.2827010485749308</v>
      </c>
      <c r="V29" s="22"/>
      <c r="W29" s="25">
        <f t="shared" si="3"/>
        <v>2020</v>
      </c>
      <c r="X29" s="61"/>
      <c r="Y29" s="172">
        <v>4417725.2002898194</v>
      </c>
      <c r="Z29" s="172">
        <f t="shared" si="4"/>
        <v>1952158.9201777112</v>
      </c>
      <c r="AB29" s="73"/>
      <c r="AC29" s="73"/>
      <c r="AD29" s="73"/>
      <c r="AE29" s="73"/>
      <c r="AF29" s="73"/>
      <c r="AG29" s="20"/>
      <c r="AK29" s="72"/>
      <c r="AL29" s="151"/>
      <c r="AM29" s="25">
        <f t="shared" si="5"/>
        <v>2018</v>
      </c>
      <c r="AN29" s="61"/>
      <c r="AO29" s="172"/>
      <c r="AP29" s="18">
        <v>7678339.2407335155</v>
      </c>
      <c r="AQ29" s="172">
        <f t="shared" si="6"/>
        <v>-1308455.1202659849</v>
      </c>
      <c r="AR29" s="137"/>
      <c r="AT29" s="20">
        <v>6388511.9230282661</v>
      </c>
      <c r="AU29" s="305">
        <v>0.89217130196702643</v>
      </c>
      <c r="AV29" s="1">
        <f>1522-1321</f>
        <v>201</v>
      </c>
      <c r="AW29" s="1">
        <v>45</v>
      </c>
      <c r="AX29" s="342">
        <f t="shared" si="8"/>
        <v>2.4418832097295871E-2</v>
      </c>
    </row>
    <row r="30" spans="1:50">
      <c r="A30" s="6">
        <f t="shared" si="7"/>
        <v>2021</v>
      </c>
      <c r="C30" s="20">
        <f>'Exhibit U,9'!O30</f>
        <v>5315691.4827055149</v>
      </c>
      <c r="D30" s="20"/>
      <c r="E30" s="20">
        <f>'Exhibit U,9'!Q30</f>
        <v>3923832.2692669923</v>
      </c>
      <c r="F30" s="20"/>
      <c r="G30" s="20">
        <f>'Exhibit U,8'!O30</f>
        <v>5314639.7821190506</v>
      </c>
      <c r="H30" s="20"/>
      <c r="I30" s="20">
        <f>'Exhibit U,8'!Q30</f>
        <v>615629.34397323325</v>
      </c>
      <c r="J30" s="20"/>
      <c r="K30" s="20">
        <f t="shared" si="0"/>
        <v>3298841.3216398931</v>
      </c>
      <c r="L30" s="18"/>
      <c r="M30" s="20">
        <f>'Exhibit U,1'!AI54</f>
        <v>5015175.93877168</v>
      </c>
      <c r="N30" s="18"/>
      <c r="O30" s="18"/>
      <c r="Q30" s="20">
        <f t="shared" si="2"/>
        <v>5015175.93877168</v>
      </c>
      <c r="R30" s="20"/>
      <c r="T30" s="227">
        <f>M30/'Exhibit U,11'!C49</f>
        <v>1.3710531811919402</v>
      </c>
      <c r="U30" s="412">
        <f>(M30-'Exhibit U,9'!I30-'Exhibit U,9'!M30)/('Exhibit U,8'!V30-'Exhibit U,8'!AF30)</f>
        <v>1.3710531811919402</v>
      </c>
      <c r="V30" s="22"/>
      <c r="W30" s="25">
        <f t="shared" si="3"/>
        <v>2021</v>
      </c>
      <c r="X30" s="61"/>
      <c r="Y30" s="172">
        <v>3298841.3216398931</v>
      </c>
      <c r="Z30" s="172">
        <f t="shared" si="4"/>
        <v>1716334.6171317869</v>
      </c>
      <c r="AB30" s="73"/>
      <c r="AC30" s="73"/>
      <c r="AD30" s="73"/>
      <c r="AE30" s="73"/>
      <c r="AF30" s="73"/>
      <c r="AG30" s="20"/>
      <c r="AK30" s="72"/>
      <c r="AL30" s="151"/>
      <c r="AM30" s="25">
        <f t="shared" si="5"/>
        <v>2019</v>
      </c>
      <c r="AN30" s="61"/>
      <c r="AP30" s="18">
        <v>7518248.3257458415</v>
      </c>
      <c r="AQ30" s="172">
        <f t="shared" si="6"/>
        <v>-2503072.3869741615</v>
      </c>
      <c r="AR30" s="137"/>
      <c r="AT30" s="20">
        <v>6858619.7033427684</v>
      </c>
      <c r="AU30" s="305">
        <v>0.71868206916292676</v>
      </c>
      <c r="AV30" s="1">
        <f>1662-1523</f>
        <v>139</v>
      </c>
      <c r="AW30" s="1">
        <v>50</v>
      </c>
      <c r="AX30" s="342">
        <f t="shared" si="8"/>
        <v>1.2976371901276724E-2</v>
      </c>
    </row>
    <row r="31" spans="1:50">
      <c r="A31" s="6">
        <f t="shared" si="7"/>
        <v>2022</v>
      </c>
      <c r="C31" s="20">
        <f>'Exhibit U,9'!O31</f>
        <v>5490684.4693694944</v>
      </c>
      <c r="D31" s="20"/>
      <c r="E31" s="20">
        <f>'Exhibit U,9'!Q31</f>
        <v>1500118.6780192708</v>
      </c>
      <c r="F31" s="20"/>
      <c r="G31" s="20">
        <f>'Exhibit U,8'!O31</f>
        <v>5566874.3666234193</v>
      </c>
      <c r="H31" s="20"/>
      <c r="I31" s="20">
        <f>'Exhibit U,8'!Q31</f>
        <v>1505135.8810474786</v>
      </c>
      <c r="J31" s="20"/>
      <c r="K31" s="18"/>
      <c r="L31" s="18"/>
      <c r="M31" s="20">
        <f>'Exhibit U,1'!AI55</f>
        <v>3621932.1370738312</v>
      </c>
      <c r="N31" s="18"/>
      <c r="O31" s="18"/>
      <c r="Q31" s="20">
        <f t="shared" si="2"/>
        <v>3621932.1370738312</v>
      </c>
      <c r="R31" s="20"/>
      <c r="S31" s="18"/>
      <c r="T31" s="227">
        <f>M31/'Exhibit U,11'!C50</f>
        <v>0.9014775890448139</v>
      </c>
      <c r="U31" s="412">
        <f>(M31-'Exhibit U,9'!I31-'Exhibit U,9'!M31)/('Exhibit U,8'!V31-'Exhibit U,8'!AF31)</f>
        <v>0.9014775890448139</v>
      </c>
      <c r="V31" s="22"/>
      <c r="W31" s="25">
        <f t="shared" si="3"/>
        <v>2022</v>
      </c>
      <c r="X31" s="61"/>
      <c r="Y31" s="137"/>
      <c r="Z31" s="61"/>
      <c r="AB31" s="73"/>
      <c r="AC31" s="73"/>
      <c r="AD31" s="73"/>
      <c r="AE31" s="73"/>
      <c r="AF31" s="73"/>
      <c r="AG31" s="20"/>
      <c r="AK31" s="72"/>
      <c r="AL31" s="151"/>
      <c r="AM31" s="25">
        <f t="shared" si="5"/>
        <v>2020</v>
      </c>
      <c r="AN31" s="61"/>
      <c r="AP31" s="20"/>
      <c r="AQ31" s="61"/>
      <c r="AR31" s="137"/>
      <c r="AT31" s="20">
        <v>6018775.4907593243</v>
      </c>
      <c r="AU31" s="305">
        <v>0.71802969833898522</v>
      </c>
      <c r="AV31" s="1">
        <f>1710-1663</f>
        <v>47</v>
      </c>
      <c r="AW31" s="1">
        <v>0</v>
      </c>
      <c r="AX31" s="342">
        <f>1000*(AV31-AW31)/(AT31)</f>
        <v>7.808897353317047E-3</v>
      </c>
    </row>
    <row r="32" spans="1:50">
      <c r="A32" s="6"/>
      <c r="C32" s="200"/>
      <c r="E32" s="200"/>
      <c r="G32" s="200"/>
      <c r="H32" s="6"/>
      <c r="I32" s="200"/>
      <c r="J32" s="18"/>
      <c r="K32" s="200"/>
      <c r="L32" s="18"/>
      <c r="M32" s="200"/>
      <c r="N32" s="18"/>
      <c r="O32" s="200"/>
      <c r="P32" s="18"/>
      <c r="Q32" s="200"/>
      <c r="R32" s="18"/>
      <c r="S32" s="19"/>
      <c r="T32" s="97"/>
      <c r="U32" s="73"/>
      <c r="V32" s="20"/>
      <c r="W32" s="25"/>
      <c r="X32" s="61"/>
      <c r="Y32" s="70"/>
      <c r="Z32" s="70"/>
      <c r="AB32" s="73"/>
      <c r="AC32" s="73"/>
      <c r="AD32" s="73"/>
      <c r="AE32" s="73"/>
      <c r="AF32" s="73"/>
      <c r="AG32" s="73"/>
      <c r="AK32" s="61"/>
      <c r="AL32" s="61"/>
      <c r="AM32" s="25"/>
      <c r="AN32" s="61"/>
      <c r="AP32" s="63"/>
      <c r="AQ32" s="70"/>
      <c r="AR32" s="61"/>
      <c r="AT32" s="20"/>
    </row>
    <row r="33" spans="1:45">
      <c r="A33" s="2" t="s">
        <v>0</v>
      </c>
      <c r="C33" s="19">
        <f>SUM(C17:C32)</f>
        <v>132862009.33911255</v>
      </c>
      <c r="E33" s="19">
        <f>SUM(E17:E32)</f>
        <v>120106702.05742216</v>
      </c>
      <c r="G33" s="19">
        <f>SUM(G17:G32)</f>
        <v>132983744.97137462</v>
      </c>
      <c r="H33" s="6"/>
      <c r="I33" s="19">
        <f>SUM(I17:I32)</f>
        <v>113487693.02789813</v>
      </c>
      <c r="J33" s="19"/>
      <c r="K33" s="19">
        <f>SUM(K17:K32)</f>
        <v>133581600.00537319</v>
      </c>
      <c r="L33" s="19"/>
      <c r="M33" s="19">
        <f>SUM(M17:M32)</f>
        <v>130582388.25168133</v>
      </c>
      <c r="N33" s="19"/>
      <c r="O33" s="19">
        <f>SUM(O17:O32)</f>
        <v>0</v>
      </c>
      <c r="P33" s="19"/>
      <c r="Q33" s="19">
        <f>SUM(Q17:Q32)</f>
        <v>130582388.25168133</v>
      </c>
      <c r="R33" s="19"/>
      <c r="S33" s="19"/>
      <c r="T33" s="61"/>
      <c r="V33" s="20"/>
      <c r="W33" s="97" t="s">
        <v>0</v>
      </c>
      <c r="X33" s="61"/>
      <c r="Y33" s="122">
        <f>SUM(Y17:Y32)</f>
        <v>133581600.00537319</v>
      </c>
      <c r="Z33" s="122">
        <f>SUM(Z17:Z32)</f>
        <v>-6621143.8907656856</v>
      </c>
      <c r="AB33" s="61" t="s">
        <v>1476</v>
      </c>
      <c r="AG33" s="73"/>
      <c r="AK33" s="84"/>
      <c r="AL33" s="84"/>
      <c r="AM33" s="97" t="s">
        <v>0</v>
      </c>
      <c r="AN33" s="61"/>
      <c r="AO33" s="122"/>
      <c r="AP33" s="19">
        <f>SUM(AP17:AP32)</f>
        <v>119554040.45405993</v>
      </c>
      <c r="AQ33" s="223">
        <f>SUM(AQ17:AQ32)</f>
        <v>7406415.6605475768</v>
      </c>
      <c r="AR33" s="137">
        <f>SUM(AR22:AR32)</f>
        <v>0</v>
      </c>
    </row>
    <row r="34" spans="1:45" ht="16">
      <c r="T34" s="226"/>
      <c r="V34" s="22"/>
      <c r="W34" s="226"/>
      <c r="X34" s="61"/>
      <c r="Y34" s="61" t="s">
        <v>1678</v>
      </c>
      <c r="Z34" s="172">
        <f>SUM(Z25:Z30)</f>
        <v>-118838.16020343499</v>
      </c>
      <c r="AB34" s="22"/>
      <c r="AC34" s="22"/>
      <c r="AD34" s="22"/>
      <c r="AE34" s="22"/>
      <c r="AF34" s="22"/>
      <c r="AG34" s="73"/>
      <c r="AM34" s="226"/>
      <c r="AN34" s="61"/>
      <c r="AO34" s="61"/>
      <c r="AP34" s="61"/>
      <c r="AQ34" s="61"/>
      <c r="AR34" s="61"/>
      <c r="AS34" s="61"/>
    </row>
    <row r="35" spans="1:45" ht="16">
      <c r="A35" s="15" t="s">
        <v>118</v>
      </c>
      <c r="T35" s="25"/>
      <c r="W35" s="226" t="s">
        <v>118</v>
      </c>
      <c r="X35" s="61"/>
      <c r="Y35" s="61"/>
      <c r="Z35" s="61"/>
      <c r="AM35" s="226" t="s">
        <v>118</v>
      </c>
      <c r="AN35" s="61"/>
      <c r="AO35" s="61"/>
      <c r="AP35" s="61"/>
      <c r="AQ35" s="61"/>
      <c r="AR35" s="61"/>
      <c r="AS35" s="25"/>
    </row>
    <row r="36" spans="1:45">
      <c r="A36" s="6">
        <f>A17</f>
        <v>2008</v>
      </c>
      <c r="C36" s="497">
        <f>'Exhibit U,9'!O36</f>
        <v>1871146.2100000002</v>
      </c>
      <c r="D36" s="497"/>
      <c r="E36" s="497">
        <f>'Exhibit U,9'!Q36</f>
        <v>1871146.2100000002</v>
      </c>
      <c r="F36" s="497"/>
      <c r="G36" s="497">
        <f>'Exhibit U,8'!O36</f>
        <v>1871146.2100000002</v>
      </c>
      <c r="H36" s="497"/>
      <c r="I36" s="497">
        <f>'Exhibit U,8'!Q36</f>
        <v>1871146.2100000002</v>
      </c>
      <c r="J36" s="497"/>
      <c r="K36" s="497">
        <f>Y36</f>
        <v>1871146.2100000002</v>
      </c>
      <c r="L36" s="497"/>
      <c r="M36" s="497">
        <f>E36</f>
        <v>1871146.2100000002</v>
      </c>
      <c r="N36" s="147"/>
      <c r="O36" s="147"/>
      <c r="P36" s="147"/>
      <c r="Q36" s="147">
        <f>M36+O36</f>
        <v>1871146.2100000002</v>
      </c>
      <c r="R36" s="19"/>
      <c r="S36" s="26"/>
      <c r="T36" s="25"/>
      <c r="W36" s="25">
        <v>2008</v>
      </c>
      <c r="X36" s="61"/>
      <c r="Y36" s="172">
        <v>1871146.2100000002</v>
      </c>
      <c r="Z36" s="172">
        <f>Q36-Y36</f>
        <v>0</v>
      </c>
      <c r="AB36" s="84">
        <f>M36-'Exhibit U,8'!I36-'Exhibit U,8'!M36</f>
        <v>1871146.2100000002</v>
      </c>
      <c r="AM36" s="25">
        <v>2006</v>
      </c>
      <c r="AN36" s="61"/>
      <c r="AP36" s="18">
        <v>49249.72</v>
      </c>
      <c r="AQ36" s="172">
        <f>Q36-AP36</f>
        <v>1821896.4900000002</v>
      </c>
      <c r="AR36" s="223"/>
      <c r="AS36" s="230"/>
    </row>
    <row r="37" spans="1:45">
      <c r="A37" s="6">
        <f>A36+1</f>
        <v>2009</v>
      </c>
      <c r="C37" s="20">
        <f>'Exhibit U,9'!O37</f>
        <v>2191506.25</v>
      </c>
      <c r="D37" s="20"/>
      <c r="E37" s="20">
        <f>'Exhibit U,9'!Q37</f>
        <v>2191506.25</v>
      </c>
      <c r="F37" s="20"/>
      <c r="G37" s="20">
        <f>'Exhibit U,8'!O37</f>
        <v>2191519.6453958787</v>
      </c>
      <c r="H37" s="20"/>
      <c r="I37" s="20">
        <f>'Exhibit U,8'!Q37</f>
        <v>2191519.6454777573</v>
      </c>
      <c r="J37" s="20"/>
      <c r="K37" s="20">
        <f t="shared" ref="K37:K49" si="9">Y37</f>
        <v>2191506.25</v>
      </c>
      <c r="L37" s="18"/>
      <c r="M37" s="20">
        <f t="shared" ref="M37:M44" si="10">E37</f>
        <v>2191506.25</v>
      </c>
      <c r="N37" s="18"/>
      <c r="O37" s="18"/>
      <c r="Q37" s="20">
        <f t="shared" ref="Q37:Q49" si="11">M37+O37</f>
        <v>2191506.25</v>
      </c>
      <c r="R37" s="17"/>
      <c r="S37" s="18"/>
      <c r="T37" s="25"/>
      <c r="W37" s="25">
        <f t="shared" ref="W37:W50" si="12">W36+1</f>
        <v>2009</v>
      </c>
      <c r="X37" s="61"/>
      <c r="Y37" s="172">
        <v>2191506.25</v>
      </c>
      <c r="Z37" s="172">
        <f t="shared" ref="Z37:Z49" si="13">Q37-Y37</f>
        <v>0</v>
      </c>
      <c r="AB37" s="84">
        <f>M37-'Exhibit U,8'!I37-'Exhibit U,8'!M37</f>
        <v>2191506.25</v>
      </c>
      <c r="AC37" s="61"/>
      <c r="AD37" s="97"/>
      <c r="AE37" s="61"/>
      <c r="AF37" s="25"/>
      <c r="AG37" s="25"/>
      <c r="AH37" s="25"/>
      <c r="AI37" s="25"/>
      <c r="AJ37" s="25"/>
      <c r="AK37" s="25"/>
      <c r="AL37" s="25"/>
      <c r="AM37" s="25">
        <f t="shared" ref="AM37:AM50" si="14">AM36+1</f>
        <v>2007</v>
      </c>
      <c r="AN37" s="61"/>
      <c r="AP37" s="18">
        <v>135351</v>
      </c>
      <c r="AQ37" s="172">
        <f t="shared" ref="AQ37:AQ49" si="15">Q37-AP37</f>
        <v>2056155.25</v>
      </c>
      <c r="AR37" s="25"/>
      <c r="AS37" s="230"/>
    </row>
    <row r="38" spans="1:45">
      <c r="A38" s="6">
        <f t="shared" ref="A38:A50" si="16">A37+1</f>
        <v>2010</v>
      </c>
      <c r="C38" s="20">
        <f>'Exhibit U,9'!O38</f>
        <v>6627825.4199999999</v>
      </c>
      <c r="D38" s="20"/>
      <c r="E38" s="20">
        <f>'Exhibit U,9'!Q38</f>
        <v>6627825.4199999999</v>
      </c>
      <c r="F38" s="20"/>
      <c r="G38" s="20">
        <f>'Exhibit U,8'!O38</f>
        <v>6630735.5627295477</v>
      </c>
      <c r="H38" s="20"/>
      <c r="I38" s="20">
        <f>'Exhibit U,8'!Q38</f>
        <v>6630100.8978894548</v>
      </c>
      <c r="J38" s="20"/>
      <c r="K38" s="20">
        <f t="shared" si="9"/>
        <v>6627582.2400000002</v>
      </c>
      <c r="L38" s="18"/>
      <c r="M38" s="20">
        <f t="shared" si="10"/>
        <v>6627825.4199999999</v>
      </c>
      <c r="N38" s="18"/>
      <c r="O38" s="18"/>
      <c r="Q38" s="20">
        <f t="shared" si="11"/>
        <v>6627825.4199999999</v>
      </c>
      <c r="R38" s="17"/>
      <c r="S38" s="18"/>
      <c r="T38" s="25"/>
      <c r="W38" s="25">
        <f t="shared" si="12"/>
        <v>2010</v>
      </c>
      <c r="X38" s="61"/>
      <c r="Y38" s="172">
        <v>6627582.2400000002</v>
      </c>
      <c r="Z38" s="172">
        <f t="shared" si="13"/>
        <v>243.17999999970198</v>
      </c>
      <c r="AB38" s="84">
        <f>M38-'Exhibit U,8'!I38-'Exhibit U,8'!M38</f>
        <v>6627825.4199999999</v>
      </c>
      <c r="AC38" s="61"/>
      <c r="AD38" s="97"/>
      <c r="AE38" s="61"/>
      <c r="AF38" s="97"/>
      <c r="AG38" s="25"/>
      <c r="AH38" s="25"/>
      <c r="AI38" s="25"/>
      <c r="AJ38" s="25"/>
      <c r="AK38" s="25"/>
      <c r="AL38" s="25"/>
      <c r="AM38" s="25">
        <f t="shared" si="14"/>
        <v>2008</v>
      </c>
      <c r="AN38" s="61"/>
      <c r="AP38" s="18">
        <v>1868355.94</v>
      </c>
      <c r="AQ38" s="172">
        <f t="shared" si="15"/>
        <v>4759469.4800000004</v>
      </c>
      <c r="AR38" s="25"/>
      <c r="AS38" s="230"/>
    </row>
    <row r="39" spans="1:45">
      <c r="A39" s="6">
        <f t="shared" si="16"/>
        <v>2011</v>
      </c>
      <c r="C39" s="20">
        <f>'Exhibit U,9'!O39</f>
        <v>6221285.9700000007</v>
      </c>
      <c r="D39" s="20"/>
      <c r="E39" s="20">
        <f>'Exhibit U,9'!Q39</f>
        <v>6221285.9700000007</v>
      </c>
      <c r="F39" s="20"/>
      <c r="G39" s="20">
        <f>'Exhibit U,8'!O39</f>
        <v>6240512.8225099938</v>
      </c>
      <c r="H39" s="20"/>
      <c r="I39" s="20">
        <f>'Exhibit U,8'!Q39</f>
        <v>6240284.5362109048</v>
      </c>
      <c r="J39" s="20"/>
      <c r="K39" s="20">
        <f t="shared" si="9"/>
        <v>6742250.5600000005</v>
      </c>
      <c r="L39" s="18"/>
      <c r="M39" s="20">
        <f t="shared" si="10"/>
        <v>6221285.9700000007</v>
      </c>
      <c r="N39" s="18"/>
      <c r="O39" s="18"/>
      <c r="Q39" s="20">
        <f t="shared" si="11"/>
        <v>6221285.9700000007</v>
      </c>
      <c r="R39" s="17"/>
      <c r="S39" s="18"/>
      <c r="T39" s="25"/>
      <c r="W39" s="25">
        <f t="shared" si="12"/>
        <v>2011</v>
      </c>
      <c r="X39" s="61"/>
      <c r="Y39" s="172">
        <v>6742250.5600000005</v>
      </c>
      <c r="Z39" s="172">
        <f t="shared" si="13"/>
        <v>-520964.58999999985</v>
      </c>
      <c r="AB39" s="84">
        <f>M39-'Exhibit U,8'!I39-'Exhibit U,8'!M39</f>
        <v>6221285.9700000007</v>
      </c>
      <c r="AC39" s="61"/>
      <c r="AD39" s="72"/>
      <c r="AE39" s="25"/>
      <c r="AL39" s="145"/>
      <c r="AM39" s="25">
        <f t="shared" si="14"/>
        <v>2009</v>
      </c>
      <c r="AN39" s="61"/>
      <c r="AP39" s="18">
        <v>2191506.25</v>
      </c>
      <c r="AQ39" s="172">
        <f t="shared" si="15"/>
        <v>4029779.7200000007</v>
      </c>
      <c r="AR39" s="145"/>
      <c r="AS39" s="230"/>
    </row>
    <row r="40" spans="1:45">
      <c r="A40" s="6">
        <f t="shared" si="16"/>
        <v>2012</v>
      </c>
      <c r="C40" s="20">
        <f>'Exhibit U,9'!O40</f>
        <v>13811692.24</v>
      </c>
      <c r="D40" s="20"/>
      <c r="E40" s="20">
        <f>'Exhibit U,9'!Q40</f>
        <v>13811692.24</v>
      </c>
      <c r="F40" s="20"/>
      <c r="G40" s="20">
        <f>'Exhibit U,8'!O40</f>
        <v>13669059.680352533</v>
      </c>
      <c r="H40" s="20"/>
      <c r="I40" s="20">
        <f>'Exhibit U,8'!Q40</f>
        <v>13621541.689551121</v>
      </c>
      <c r="J40" s="20"/>
      <c r="K40" s="20">
        <f t="shared" si="9"/>
        <v>14944762.539999999</v>
      </c>
      <c r="L40" s="18"/>
      <c r="M40" s="20">
        <f t="shared" si="10"/>
        <v>13811692.24</v>
      </c>
      <c r="N40" s="18"/>
      <c r="O40" s="18"/>
      <c r="Q40" s="20">
        <f t="shared" si="11"/>
        <v>13811692.24</v>
      </c>
      <c r="R40" s="130"/>
      <c r="S40" s="18"/>
      <c r="T40" s="25"/>
      <c r="W40" s="25">
        <f t="shared" si="12"/>
        <v>2012</v>
      </c>
      <c r="X40" s="61"/>
      <c r="Y40" s="172">
        <v>14944762.539999999</v>
      </c>
      <c r="Z40" s="172">
        <f t="shared" si="13"/>
        <v>-1133070.2999999989</v>
      </c>
      <c r="AB40" s="84">
        <f>M40-'Exhibit U,8'!I40-'Exhibit U,8'!M40</f>
        <v>12016325.98</v>
      </c>
      <c r="AC40" s="61"/>
      <c r="AD40" s="61"/>
      <c r="AE40" s="25"/>
      <c r="AF40" s="61"/>
      <c r="AJ40" s="61"/>
      <c r="AL40" s="61"/>
      <c r="AM40" s="25">
        <f t="shared" si="14"/>
        <v>2010</v>
      </c>
      <c r="AN40" s="61"/>
      <c r="AP40" s="18">
        <v>6622845.4199999999</v>
      </c>
      <c r="AQ40" s="172">
        <f t="shared" si="15"/>
        <v>7188846.8200000003</v>
      </c>
      <c r="AR40" s="61"/>
      <c r="AS40" s="230"/>
    </row>
    <row r="41" spans="1:45">
      <c r="A41" s="6">
        <f t="shared" si="16"/>
        <v>2013</v>
      </c>
      <c r="C41" s="20">
        <f>'Exhibit U,9'!O41</f>
        <v>14436830.419999998</v>
      </c>
      <c r="D41" s="20"/>
      <c r="E41" s="20">
        <f>'Exhibit U,9'!Q41</f>
        <v>14436830.419999998</v>
      </c>
      <c r="F41" s="20"/>
      <c r="G41" s="20">
        <f>'Exhibit U,8'!O41</f>
        <v>13137706.437866367</v>
      </c>
      <c r="H41" s="20"/>
      <c r="I41" s="20">
        <f>'Exhibit U,8'!Q41</f>
        <v>12925127.513372162</v>
      </c>
      <c r="J41" s="20"/>
      <c r="K41" s="20">
        <f t="shared" si="9"/>
        <v>16061647.872125499</v>
      </c>
      <c r="L41" s="18"/>
      <c r="M41" s="20">
        <f t="shared" si="10"/>
        <v>14436830.419999998</v>
      </c>
      <c r="N41" s="18"/>
      <c r="O41" s="231"/>
      <c r="Q41" s="20">
        <f t="shared" si="11"/>
        <v>14436830.419999998</v>
      </c>
      <c r="R41" s="20"/>
      <c r="S41" s="18"/>
      <c r="T41" s="25"/>
      <c r="W41" s="25">
        <f t="shared" si="12"/>
        <v>2013</v>
      </c>
      <c r="X41" s="61"/>
      <c r="Y41" s="172">
        <v>16061647.872125499</v>
      </c>
      <c r="Z41" s="172">
        <f t="shared" si="13"/>
        <v>-1624817.4521255009</v>
      </c>
      <c r="AB41" s="84">
        <f>M41-'Exhibit U,8'!I41-'Exhibit U,8'!M41</f>
        <v>13322199.139999997</v>
      </c>
      <c r="AC41" s="61"/>
      <c r="AD41" s="72"/>
      <c r="AE41" s="73"/>
      <c r="AF41" s="61"/>
      <c r="AG41" s="61"/>
      <c r="AH41" s="61"/>
      <c r="AI41" s="61"/>
      <c r="AJ41" s="61"/>
      <c r="AK41" s="61"/>
      <c r="AL41" s="145"/>
      <c r="AM41" s="25">
        <f t="shared" si="14"/>
        <v>2011</v>
      </c>
      <c r="AN41" s="61"/>
      <c r="AP41" s="18">
        <v>6741785.4400000004</v>
      </c>
      <c r="AQ41" s="172">
        <f t="shared" si="15"/>
        <v>7695044.9799999977</v>
      </c>
      <c r="AR41" s="145"/>
      <c r="AS41" s="230"/>
    </row>
    <row r="42" spans="1:45">
      <c r="A42" s="6">
        <f t="shared" si="16"/>
        <v>2014</v>
      </c>
      <c r="C42" s="20">
        <f>'Exhibit U,9'!O42</f>
        <v>16434402.522434836</v>
      </c>
      <c r="D42" s="20"/>
      <c r="E42" s="20">
        <f>'Exhibit U,9'!Q42</f>
        <v>16424629.659670547</v>
      </c>
      <c r="F42" s="20"/>
      <c r="G42" s="20">
        <f>'Exhibit U,8'!O42</f>
        <v>14618003.488595134</v>
      </c>
      <c r="H42" s="20"/>
      <c r="I42" s="20">
        <f>'Exhibit U,8'!Q42</f>
        <v>13909673.883914044</v>
      </c>
      <c r="J42" s="20"/>
      <c r="K42" s="20">
        <f t="shared" si="9"/>
        <v>18021091.667991932</v>
      </c>
      <c r="L42" s="18"/>
      <c r="M42" s="20">
        <f t="shared" si="10"/>
        <v>16424629.659670547</v>
      </c>
      <c r="N42" s="18"/>
      <c r="O42" s="18"/>
      <c r="Q42" s="20">
        <f t="shared" si="11"/>
        <v>16424629.659670547</v>
      </c>
      <c r="R42" s="20"/>
      <c r="S42" s="18"/>
      <c r="T42" s="25"/>
      <c r="U42" s="61"/>
      <c r="V42" s="61"/>
      <c r="W42" s="25">
        <f t="shared" si="12"/>
        <v>2014</v>
      </c>
      <c r="X42" s="61"/>
      <c r="Y42" s="172">
        <v>18021091.667991932</v>
      </c>
      <c r="Z42" s="172">
        <f t="shared" si="13"/>
        <v>-1596462.0083213858</v>
      </c>
      <c r="AB42" s="84">
        <f>M42-'Exhibit U,8'!I42-'Exhibit U,8'!M42</f>
        <v>12587474.729670549</v>
      </c>
      <c r="AC42" s="61"/>
      <c r="AD42" s="72"/>
      <c r="AE42" s="73"/>
      <c r="AF42" s="61"/>
      <c r="AG42" s="61"/>
      <c r="AH42" s="61"/>
      <c r="AI42" s="61"/>
      <c r="AJ42" s="61"/>
      <c r="AK42" s="61"/>
      <c r="AL42" s="145"/>
      <c r="AM42" s="25">
        <f t="shared" si="14"/>
        <v>2012</v>
      </c>
      <c r="AN42" s="61"/>
      <c r="AP42" s="18">
        <v>14563995.831118213</v>
      </c>
      <c r="AQ42" s="172">
        <f t="shared" si="15"/>
        <v>1860633.8285523336</v>
      </c>
      <c r="AR42" s="145"/>
      <c r="AS42" s="230"/>
    </row>
    <row r="43" spans="1:45">
      <c r="A43" s="6">
        <f t="shared" si="16"/>
        <v>2015</v>
      </c>
      <c r="C43" s="20">
        <f>'Exhibit U,9'!O43</f>
        <v>3619329.3158961609</v>
      </c>
      <c r="D43" s="20"/>
      <c r="E43" s="20">
        <f>'Exhibit U,9'!Q43</f>
        <v>3610515.3318520281</v>
      </c>
      <c r="F43" s="20"/>
      <c r="G43" s="20">
        <f>'Exhibit U,8'!O43</f>
        <v>3217348.3520299224</v>
      </c>
      <c r="H43" s="20"/>
      <c r="I43" s="20">
        <f>'Exhibit U,8'!Q43</f>
        <v>3014201.9703644803</v>
      </c>
      <c r="J43" s="20"/>
      <c r="K43" s="20">
        <f t="shared" si="9"/>
        <v>4067989.0308451727</v>
      </c>
      <c r="L43" s="18"/>
      <c r="M43" s="20">
        <f t="shared" si="10"/>
        <v>3610515.3318520281</v>
      </c>
      <c r="N43" s="18"/>
      <c r="O43" s="18"/>
      <c r="Q43" s="20">
        <f t="shared" si="11"/>
        <v>3610515.3318520281</v>
      </c>
      <c r="R43" s="20"/>
      <c r="S43" s="18"/>
      <c r="T43" s="25"/>
      <c r="U43" s="61"/>
      <c r="V43" s="172"/>
      <c r="W43" s="25">
        <f t="shared" si="12"/>
        <v>2015</v>
      </c>
      <c r="X43" s="61"/>
      <c r="Y43" s="172">
        <v>4067989.0308451727</v>
      </c>
      <c r="Z43" s="172">
        <f t="shared" si="13"/>
        <v>-457473.69899314456</v>
      </c>
      <c r="AB43" s="84">
        <f>M43-'Exhibit U,8'!I43-'Exhibit U,8'!M43</f>
        <v>3574024.0918520279</v>
      </c>
      <c r="AC43" s="61"/>
      <c r="AD43" s="72"/>
      <c r="AE43" s="73"/>
      <c r="AL43" s="145"/>
      <c r="AM43" s="25">
        <f t="shared" si="14"/>
        <v>2013</v>
      </c>
      <c r="AN43" s="61"/>
      <c r="AP43" s="18">
        <v>16162041.554898571</v>
      </c>
      <c r="AQ43" s="172">
        <f t="shared" si="15"/>
        <v>-12551526.223046543</v>
      </c>
      <c r="AR43" s="145"/>
      <c r="AS43" s="230"/>
    </row>
    <row r="44" spans="1:45">
      <c r="A44" s="6">
        <f t="shared" si="16"/>
        <v>2016</v>
      </c>
      <c r="C44" s="20">
        <f>'Exhibit U,9'!O44</f>
        <v>8345229.6200543866</v>
      </c>
      <c r="D44" s="20"/>
      <c r="E44" s="20">
        <f>'Exhibit U,9'!Q44</f>
        <v>8608263.2542770319</v>
      </c>
      <c r="F44" s="20"/>
      <c r="G44" s="20">
        <f>'Exhibit U,8'!O44</f>
        <v>6787429.545304806</v>
      </c>
      <c r="H44" s="20"/>
      <c r="I44" s="20">
        <f>'Exhibit U,8'!Q44</f>
        <v>7625174.2894699769</v>
      </c>
      <c r="J44" s="20"/>
      <c r="K44" s="20">
        <f t="shared" si="9"/>
        <v>10306250.221771397</v>
      </c>
      <c r="L44" s="18"/>
      <c r="M44" s="20">
        <f t="shared" si="10"/>
        <v>8608263.2542770319</v>
      </c>
      <c r="N44" s="18"/>
      <c r="O44" s="18"/>
      <c r="Q44" s="20">
        <f t="shared" si="11"/>
        <v>8608263.2542770319</v>
      </c>
      <c r="R44" s="20"/>
      <c r="S44" s="18"/>
      <c r="T44" s="25"/>
      <c r="U44" s="61"/>
      <c r="V44" s="172"/>
      <c r="W44" s="25">
        <f t="shared" si="12"/>
        <v>2016</v>
      </c>
      <c r="X44" s="61"/>
      <c r="Y44" s="172">
        <v>10306250.221771397</v>
      </c>
      <c r="Z44" s="172">
        <f t="shared" si="13"/>
        <v>-1697986.9674943648</v>
      </c>
      <c r="AB44" s="84">
        <f>M44-'Exhibit U,8'!I44-'Exhibit U,8'!M44</f>
        <v>7262257.5842770319</v>
      </c>
      <c r="AC44" s="61"/>
      <c r="AD44" s="72"/>
      <c r="AE44" s="61"/>
      <c r="AL44" s="145"/>
      <c r="AM44" s="25">
        <f t="shared" si="14"/>
        <v>2014</v>
      </c>
      <c r="AN44" s="61"/>
      <c r="AP44" s="18">
        <v>18146144.392219637</v>
      </c>
      <c r="AQ44" s="172">
        <f t="shared" si="15"/>
        <v>-9537881.1379426047</v>
      </c>
      <c r="AR44" s="145"/>
      <c r="AS44" s="230"/>
    </row>
    <row r="45" spans="1:45">
      <c r="A45" s="6">
        <f t="shared" si="16"/>
        <v>2017</v>
      </c>
      <c r="C45" s="20">
        <f>'Exhibit U,9'!O45</f>
        <v>8555253.1997112818</v>
      </c>
      <c r="D45" s="20"/>
      <c r="E45" s="20">
        <f>'Exhibit U,9'!Q45</f>
        <v>7729876.7272542249</v>
      </c>
      <c r="F45" s="20"/>
      <c r="G45" s="20">
        <f>'Exhibit U,8'!O45</f>
        <v>10427917.461878523</v>
      </c>
      <c r="H45" s="20"/>
      <c r="I45" s="20">
        <f>'Exhibit U,8'!Q45</f>
        <v>8756676.6120403074</v>
      </c>
      <c r="J45" s="20"/>
      <c r="K45" s="20">
        <f t="shared" si="9"/>
        <v>9765745.6673291624</v>
      </c>
      <c r="L45" s="18"/>
      <c r="M45" s="20">
        <f t="shared" ref="M45:M50" si="17">C45</f>
        <v>8555253.1997112818</v>
      </c>
      <c r="N45" s="18"/>
      <c r="O45" s="18"/>
      <c r="Q45" s="20">
        <f>M45+O45</f>
        <v>8555253.1997112818</v>
      </c>
      <c r="R45" s="20"/>
      <c r="S45" s="18"/>
      <c r="T45" s="25"/>
      <c r="U45" s="61"/>
      <c r="V45" s="230"/>
      <c r="W45" s="25">
        <f t="shared" si="12"/>
        <v>2017</v>
      </c>
      <c r="X45" s="61"/>
      <c r="Y45" s="172">
        <v>9765745.6673291624</v>
      </c>
      <c r="Z45" s="172">
        <f t="shared" si="13"/>
        <v>-1210492.4676178806</v>
      </c>
      <c r="AB45" s="84">
        <f>M45-'Exhibit U,8'!I45-'Exhibit U,8'!M45</f>
        <v>7618913.9697112814</v>
      </c>
      <c r="AC45" s="61"/>
      <c r="AD45" s="144"/>
      <c r="AL45" s="145"/>
      <c r="AM45" s="25">
        <f t="shared" si="14"/>
        <v>2015</v>
      </c>
      <c r="AN45" s="61"/>
      <c r="AP45" s="18">
        <v>5100779.3128480799</v>
      </c>
      <c r="AQ45" s="172">
        <f t="shared" si="15"/>
        <v>3454473.8868632019</v>
      </c>
      <c r="AR45" s="145"/>
      <c r="AS45" s="230"/>
    </row>
    <row r="46" spans="1:45">
      <c r="A46" s="6">
        <f t="shared" si="16"/>
        <v>2018</v>
      </c>
      <c r="C46" s="20">
        <f>'Exhibit U,9'!O46</f>
        <v>6273734.8345578294</v>
      </c>
      <c r="D46" s="20"/>
      <c r="E46" s="20">
        <f>'Exhibit U,9'!Q46</f>
        <v>5745517.5951888245</v>
      </c>
      <c r="F46" s="20"/>
      <c r="G46" s="20">
        <f>'Exhibit U,8'!O46</f>
        <v>6431698.5749261258</v>
      </c>
      <c r="H46" s="20"/>
      <c r="I46" s="20">
        <f>'Exhibit U,8'!Q46</f>
        <v>4874771.3518951191</v>
      </c>
      <c r="J46" s="20"/>
      <c r="K46" s="20">
        <f t="shared" si="9"/>
        <v>6322124.109693517</v>
      </c>
      <c r="L46" s="18"/>
      <c r="M46" s="20">
        <f t="shared" si="17"/>
        <v>6273734.8345578294</v>
      </c>
      <c r="N46" s="18"/>
      <c r="O46" s="18"/>
      <c r="Q46" s="20">
        <f>M46+O46</f>
        <v>6273734.8345578294</v>
      </c>
      <c r="R46" s="20"/>
      <c r="S46" s="18"/>
      <c r="T46" s="25"/>
      <c r="U46" s="61"/>
      <c r="V46" s="230"/>
      <c r="W46" s="25">
        <f t="shared" si="12"/>
        <v>2018</v>
      </c>
      <c r="X46" s="61"/>
      <c r="Y46" s="172">
        <v>6322124.109693517</v>
      </c>
      <c r="Z46" s="172">
        <f t="shared" si="13"/>
        <v>-48389.275135687552</v>
      </c>
      <c r="AB46" s="84">
        <f>M46-'Exhibit U,8'!I46-'Exhibit U,8'!M46</f>
        <v>5377460.4645578293</v>
      </c>
      <c r="AC46" s="61"/>
      <c r="AD46" s="144"/>
      <c r="AE46" s="72"/>
      <c r="AG46" s="149"/>
      <c r="AH46" s="149"/>
      <c r="AI46" s="149"/>
      <c r="AJ46" s="72"/>
      <c r="AK46" s="137"/>
      <c r="AL46" s="151"/>
      <c r="AM46" s="25">
        <f t="shared" si="14"/>
        <v>2016</v>
      </c>
      <c r="AN46" s="61"/>
      <c r="AP46" s="18">
        <v>10216969.511586346</v>
      </c>
      <c r="AQ46" s="172">
        <f t="shared" si="15"/>
        <v>-3943234.6770285163</v>
      </c>
      <c r="AR46" s="137"/>
      <c r="AS46" s="230"/>
    </row>
    <row r="47" spans="1:45">
      <c r="A47" s="6">
        <f t="shared" si="16"/>
        <v>2019</v>
      </c>
      <c r="C47" s="20">
        <f>'Exhibit U,9'!O47</f>
        <v>4949533.3278978486</v>
      </c>
      <c r="D47" s="20"/>
      <c r="E47" s="20">
        <f>'Exhibit U,9'!Q47</f>
        <v>3658867.2311562942</v>
      </c>
      <c r="F47" s="20"/>
      <c r="G47" s="20">
        <f>'Exhibit U,8'!O47</f>
        <v>5518649.1885876497</v>
      </c>
      <c r="H47" s="20"/>
      <c r="I47" s="20">
        <f>'Exhibit U,8'!Q47</f>
        <v>3691113.4394462258</v>
      </c>
      <c r="J47" s="20"/>
      <c r="K47" s="20">
        <f t="shared" si="9"/>
        <v>5868209.7098056022</v>
      </c>
      <c r="L47" s="18"/>
      <c r="M47" s="20">
        <f>C47</f>
        <v>4949533.3278978486</v>
      </c>
      <c r="N47" s="18"/>
      <c r="O47" s="18"/>
      <c r="Q47" s="20">
        <f>M47+O47</f>
        <v>4949533.3278978486</v>
      </c>
      <c r="R47" s="20"/>
      <c r="S47" s="18"/>
      <c r="T47" s="25"/>
      <c r="U47" s="61"/>
      <c r="V47" s="230"/>
      <c r="W47" s="25">
        <f t="shared" si="12"/>
        <v>2019</v>
      </c>
      <c r="X47" s="61"/>
      <c r="Y47" s="172">
        <v>5868209.7098056022</v>
      </c>
      <c r="Z47" s="172">
        <f t="shared" si="13"/>
        <v>-918676.38190775365</v>
      </c>
      <c r="AB47" s="84">
        <f>M47-'Exhibit U,8'!I47-'Exhibit U,8'!M47</f>
        <v>4949533.3278978486</v>
      </c>
      <c r="AC47" s="61"/>
      <c r="AD47" s="144"/>
      <c r="AE47" s="149"/>
      <c r="AG47" s="149"/>
      <c r="AH47" s="149"/>
      <c r="AI47" s="149"/>
      <c r="AJ47" s="72"/>
      <c r="AK47" s="137"/>
      <c r="AL47" s="151"/>
      <c r="AM47" s="25">
        <f t="shared" si="14"/>
        <v>2017</v>
      </c>
      <c r="AN47" s="61"/>
      <c r="AP47" s="18">
        <v>6923915.2805321515</v>
      </c>
      <c r="AQ47" s="172">
        <f t="shared" si="15"/>
        <v>-1974381.9526343029</v>
      </c>
      <c r="AR47" s="137"/>
      <c r="AS47" s="230"/>
    </row>
    <row r="48" spans="1:45">
      <c r="A48" s="6">
        <f t="shared" si="16"/>
        <v>2020</v>
      </c>
      <c r="C48" s="20">
        <f>'Exhibit U,9'!O48</f>
        <v>4946139.9316030554</v>
      </c>
      <c r="D48" s="20"/>
      <c r="E48" s="20">
        <f>'Exhibit U,9'!Q48</f>
        <v>3732344.3288190449</v>
      </c>
      <c r="F48" s="20"/>
      <c r="G48" s="20">
        <f>'Exhibit U,8'!O48</f>
        <v>5119693.7917690985</v>
      </c>
      <c r="H48" s="20"/>
      <c r="I48" s="20">
        <f>'Exhibit U,8'!Q48</f>
        <v>3079055.9017315824</v>
      </c>
      <c r="J48" s="20"/>
      <c r="K48" s="20">
        <f t="shared" si="9"/>
        <v>3661823.2311404599</v>
      </c>
      <c r="L48" s="18"/>
      <c r="M48" s="20">
        <f t="shared" si="17"/>
        <v>4946139.9316030554</v>
      </c>
      <c r="N48" s="18"/>
      <c r="O48" s="231"/>
      <c r="Q48" s="20">
        <f t="shared" si="11"/>
        <v>4946139.9316030554</v>
      </c>
      <c r="R48" s="20"/>
      <c r="S48" s="18"/>
      <c r="T48" s="25"/>
      <c r="U48" s="61"/>
      <c r="V48" s="230"/>
      <c r="W48" s="25">
        <f t="shared" si="12"/>
        <v>2020</v>
      </c>
      <c r="X48" s="61"/>
      <c r="Y48" s="172">
        <v>3661823.2311404599</v>
      </c>
      <c r="Z48" s="172">
        <f t="shared" si="13"/>
        <v>1284316.7004625956</v>
      </c>
      <c r="AB48" s="84">
        <f>M48-'Exhibit U,8'!I48-'Exhibit U,8'!M48</f>
        <v>4946139.9316030554</v>
      </c>
      <c r="AC48" s="61"/>
      <c r="AD48" s="144"/>
      <c r="AE48" s="149"/>
      <c r="AG48" s="149"/>
      <c r="AH48" s="149"/>
      <c r="AI48" s="149"/>
      <c r="AJ48" s="72"/>
      <c r="AK48" s="137"/>
      <c r="AL48" s="151"/>
      <c r="AM48" s="25">
        <f t="shared" si="14"/>
        <v>2018</v>
      </c>
      <c r="AN48" s="61"/>
      <c r="AP48" s="18">
        <v>6625760.0171766803</v>
      </c>
      <c r="AQ48" s="172">
        <f t="shared" si="15"/>
        <v>-1679620.0855736248</v>
      </c>
      <c r="AR48" s="230"/>
      <c r="AS48" s="230"/>
    </row>
    <row r="49" spans="1:45">
      <c r="A49" s="6">
        <f t="shared" si="16"/>
        <v>2021</v>
      </c>
      <c r="C49" s="20">
        <f>'Exhibit U,9'!O49</f>
        <v>4047614.0804731995</v>
      </c>
      <c r="D49" s="20"/>
      <c r="E49" s="20">
        <f>'Exhibit U,9'!Q49</f>
        <v>3495250.0966385254</v>
      </c>
      <c r="F49" s="20"/>
      <c r="G49" s="20">
        <f>'Exhibit U,8'!O49</f>
        <v>3989644.6281895819</v>
      </c>
      <c r="H49" s="20"/>
      <c r="I49" s="20">
        <f>'Exhibit U,8'!Q49</f>
        <v>528924.78166071977</v>
      </c>
      <c r="J49" s="20"/>
      <c r="K49" s="20">
        <f t="shared" si="9"/>
        <v>2697837.1396077485</v>
      </c>
      <c r="L49" s="18"/>
      <c r="M49" s="20">
        <f>C49</f>
        <v>4047614.0804731995</v>
      </c>
      <c r="N49" s="18"/>
      <c r="O49" s="231"/>
      <c r="Q49" s="20">
        <f t="shared" si="11"/>
        <v>4047614.0804731995</v>
      </c>
      <c r="R49" s="130"/>
      <c r="S49" s="18"/>
      <c r="T49" s="25"/>
      <c r="U49" s="61"/>
      <c r="V49" s="230"/>
      <c r="W49" s="25">
        <f t="shared" si="12"/>
        <v>2021</v>
      </c>
      <c r="X49" s="61"/>
      <c r="Y49" s="172">
        <v>2697837.1396077485</v>
      </c>
      <c r="Z49" s="172">
        <f t="shared" si="13"/>
        <v>1349776.940865451</v>
      </c>
      <c r="AB49" s="84">
        <f>M49-'Exhibit U,8'!I49-'Exhibit U,8'!M49</f>
        <v>4047614.0804731995</v>
      </c>
      <c r="AC49" s="61"/>
      <c r="AD49" s="144"/>
      <c r="AE49" s="149"/>
      <c r="AG49" s="149"/>
      <c r="AH49" s="149"/>
      <c r="AI49" s="149"/>
      <c r="AJ49" s="72"/>
      <c r="AK49" s="137"/>
      <c r="AL49" s="151"/>
      <c r="AM49" s="25">
        <f t="shared" si="14"/>
        <v>2019</v>
      </c>
      <c r="AN49" s="61"/>
      <c r="AP49" s="18">
        <v>6928697.1737751644</v>
      </c>
      <c r="AQ49" s="172">
        <f t="shared" si="15"/>
        <v>-2881083.0933019649</v>
      </c>
      <c r="AR49" s="230"/>
      <c r="AS49" s="230"/>
    </row>
    <row r="50" spans="1:45">
      <c r="A50" s="6">
        <f t="shared" si="16"/>
        <v>2022</v>
      </c>
      <c r="C50" s="20">
        <f>'Exhibit U,9'!O50</f>
        <v>3038384.4169053682</v>
      </c>
      <c r="D50" s="20"/>
      <c r="E50" s="20">
        <f>'Exhibit U,9'!Q50</f>
        <v>1184892.4793394476</v>
      </c>
      <c r="F50" s="20"/>
      <c r="G50" s="20">
        <f>'Exhibit U,8'!O50</f>
        <v>3079229.8654703363</v>
      </c>
      <c r="H50" s="20"/>
      <c r="I50" s="20">
        <f>'Exhibit U,8'!Q50</f>
        <v>873226.09030934598</v>
      </c>
      <c r="J50" s="20"/>
      <c r="K50" s="20"/>
      <c r="L50" s="18"/>
      <c r="M50" s="20">
        <f t="shared" si="17"/>
        <v>3038384.4169053682</v>
      </c>
      <c r="N50" s="18"/>
      <c r="O50" s="231"/>
      <c r="Q50" s="20">
        <f>M50+O50</f>
        <v>3038384.4169053682</v>
      </c>
      <c r="R50" s="20"/>
      <c r="S50" s="18"/>
      <c r="T50" s="61"/>
      <c r="U50" s="61"/>
      <c r="V50" s="230"/>
      <c r="W50" s="25">
        <f t="shared" si="12"/>
        <v>2022</v>
      </c>
      <c r="X50" s="61"/>
      <c r="AB50" s="84">
        <f>M50-'Exhibit U,8'!I50-'Exhibit U,8'!M50</f>
        <v>3038384.4169053682</v>
      </c>
      <c r="AC50" s="61"/>
      <c r="AD50" s="144"/>
      <c r="AE50" s="149"/>
      <c r="AG50" s="149"/>
      <c r="AH50" s="149"/>
      <c r="AI50" s="149"/>
      <c r="AJ50" s="72"/>
      <c r="AK50" s="137"/>
      <c r="AL50" s="151"/>
      <c r="AM50" s="25">
        <f t="shared" si="14"/>
        <v>2020</v>
      </c>
      <c r="AN50" s="61"/>
      <c r="AP50" s="200"/>
      <c r="AQ50" s="233"/>
      <c r="AR50" s="230"/>
      <c r="AS50" s="230"/>
    </row>
    <row r="51" spans="1:45">
      <c r="A51" s="6"/>
      <c r="C51" s="200"/>
      <c r="E51" s="200"/>
      <c r="G51" s="200"/>
      <c r="H51" s="6"/>
      <c r="I51" s="200"/>
      <c r="J51" s="18"/>
      <c r="K51" s="200"/>
      <c r="L51" s="18"/>
      <c r="M51" s="200"/>
      <c r="N51" s="18"/>
      <c r="O51" s="200"/>
      <c r="P51" s="18"/>
      <c r="Q51" s="200"/>
      <c r="R51" s="20"/>
      <c r="S51" s="19"/>
      <c r="T51" s="61"/>
      <c r="U51" s="61"/>
      <c r="V51" s="223"/>
      <c r="W51" s="61"/>
      <c r="X51" s="61"/>
      <c r="Y51" s="70"/>
      <c r="Z51" s="233"/>
      <c r="AB51" s="233"/>
      <c r="AC51" s="61"/>
      <c r="AD51" s="61"/>
      <c r="AG51" s="61"/>
      <c r="AH51" s="61"/>
      <c r="AI51" s="61"/>
      <c r="AJ51" s="61"/>
      <c r="AK51" s="137"/>
      <c r="AL51" s="61"/>
      <c r="AM51" s="61"/>
      <c r="AN51" s="61"/>
      <c r="AP51" s="19">
        <f>SUM(AP35:AP50)</f>
        <v>102277396.84415483</v>
      </c>
      <c r="AQ51" s="223">
        <f>SUM(AQ35:AQ50)</f>
        <v>298573.28588797711</v>
      </c>
      <c r="AR51" s="230"/>
      <c r="AS51" s="230"/>
    </row>
    <row r="52" spans="1:45">
      <c r="A52" s="2" t="s">
        <v>0</v>
      </c>
      <c r="C52" s="19">
        <f>SUM(C36:C51)</f>
        <v>105369907.75953399</v>
      </c>
      <c r="E52" s="19">
        <f>SUM(E36:E51)</f>
        <v>99350443.214195982</v>
      </c>
      <c r="G52" s="19">
        <f>SUM(G36:G51)</f>
        <v>102930295.2556055</v>
      </c>
      <c r="H52" s="6"/>
      <c r="I52" s="19">
        <f>SUM(I36:I51)</f>
        <v>89832538.813333213</v>
      </c>
      <c r="J52" s="19"/>
      <c r="K52" s="19">
        <f>SUM(K36:K51)</f>
        <v>109149966.45031047</v>
      </c>
      <c r="L52" s="19"/>
      <c r="M52" s="19">
        <f>SUM(M36:M51)</f>
        <v>105614354.54694819</v>
      </c>
      <c r="N52" s="19"/>
      <c r="O52" s="19">
        <f>SUM(O36:O51)</f>
        <v>0</v>
      </c>
      <c r="P52" s="19"/>
      <c r="Q52" s="19">
        <f>SUM(Q36:Q51)</f>
        <v>105614354.54694819</v>
      </c>
      <c r="R52" s="19"/>
      <c r="S52" s="19"/>
      <c r="T52" s="61"/>
      <c r="U52" s="61"/>
      <c r="V52" s="223"/>
      <c r="W52" s="61"/>
      <c r="X52" s="61"/>
      <c r="Y52" s="223">
        <f>SUM(Y35:Y51)</f>
        <v>109149966.45031047</v>
      </c>
      <c r="Z52" s="223">
        <f>SUM(Z35:Z51)</f>
        <v>-6573996.3202676717</v>
      </c>
      <c r="AB52" s="223">
        <f>SUM(AB35:AB51)</f>
        <v>95652091.566948205</v>
      </c>
      <c r="AG52" s="61"/>
      <c r="AH52" s="61"/>
      <c r="AI52" s="61"/>
      <c r="AJ52" s="61"/>
      <c r="AK52" s="137"/>
      <c r="AL52" s="84"/>
      <c r="AM52" s="61"/>
      <c r="AN52" s="61"/>
      <c r="AP52" s="61"/>
      <c r="AQ52" s="61"/>
      <c r="AR52" s="137"/>
      <c r="AS52" s="61"/>
    </row>
    <row r="53" spans="1:45">
      <c r="M53" s="19">
        <f>M52-M50</f>
        <v>102575970.13004282</v>
      </c>
      <c r="Q53" s="19">
        <f>Q52-Q50</f>
        <v>102575970.13004282</v>
      </c>
      <c r="U53" s="61"/>
      <c r="V53" s="61"/>
      <c r="W53" s="61"/>
      <c r="X53" s="61"/>
      <c r="Y53" s="61"/>
      <c r="Z53" s="61"/>
      <c r="AA53" s="61"/>
      <c r="AE53" s="149"/>
      <c r="AG53" s="149"/>
      <c r="AH53" s="149"/>
      <c r="AI53" s="149"/>
      <c r="AJ53" s="72"/>
      <c r="AK53" s="194"/>
      <c r="AM53" s="61"/>
      <c r="AN53" s="61"/>
      <c r="AO53" s="61"/>
      <c r="AP53" s="61"/>
      <c r="AQ53" s="61"/>
    </row>
    <row r="54" spans="1:45">
      <c r="V54" s="61"/>
      <c r="AE54" s="149"/>
      <c r="AG54" s="149"/>
      <c r="AH54" s="149"/>
      <c r="AI54" s="149"/>
      <c r="AJ54" s="72"/>
      <c r="AK54" s="194"/>
      <c r="AM54" s="61"/>
      <c r="AN54" s="61"/>
      <c r="AO54" s="61"/>
      <c r="AP54" s="61"/>
      <c r="AQ54" s="61"/>
    </row>
    <row r="55" spans="1:45">
      <c r="AG55" s="61"/>
      <c r="AH55" s="61"/>
      <c r="AI55" s="61"/>
      <c r="AJ55" s="61"/>
      <c r="AK55" s="61"/>
      <c r="AM55" s="61"/>
      <c r="AN55" s="61"/>
      <c r="AO55" s="61"/>
      <c r="AP55" s="61"/>
      <c r="AQ55" s="61"/>
    </row>
    <row r="56" spans="1:45">
      <c r="A56" s="52" t="s">
        <v>104</v>
      </c>
      <c r="C56" s="3" t="s">
        <v>962</v>
      </c>
      <c r="V56" s="25"/>
      <c r="W56" s="25"/>
      <c r="X56" s="25"/>
      <c r="Y56" s="97"/>
      <c r="Z56" s="97"/>
      <c r="AA56" s="25"/>
      <c r="AG56" s="61"/>
      <c r="AH56" s="61"/>
      <c r="AI56" s="61"/>
      <c r="AJ56" s="61"/>
      <c r="AK56" s="194"/>
      <c r="AM56" s="61"/>
      <c r="AN56" s="61"/>
      <c r="AO56" s="61"/>
      <c r="AP56" s="61"/>
      <c r="AQ56" s="61"/>
    </row>
    <row r="57" spans="1:45">
      <c r="A57" s="52" t="s">
        <v>36</v>
      </c>
      <c r="C57" s="3" t="s">
        <v>962</v>
      </c>
      <c r="V57" s="25"/>
      <c r="W57" s="25"/>
      <c r="X57" s="348"/>
      <c r="Y57" s="348"/>
      <c r="Z57" s="247"/>
      <c r="AA57" s="25"/>
      <c r="AM57" s="61"/>
      <c r="AN57" s="61"/>
      <c r="AO57" s="61"/>
      <c r="AP57" s="61"/>
      <c r="AQ57" s="61"/>
    </row>
    <row r="58" spans="1:45">
      <c r="A58" s="52" t="s">
        <v>38</v>
      </c>
      <c r="C58" s="3" t="s">
        <v>963</v>
      </c>
      <c r="V58" s="25"/>
      <c r="W58" s="25"/>
      <c r="X58" s="348"/>
      <c r="Y58" s="247"/>
      <c r="Z58" s="247"/>
      <c r="AA58" s="247"/>
      <c r="AM58" s="61"/>
      <c r="AN58" s="61"/>
      <c r="AO58" s="61"/>
      <c r="AP58" s="61"/>
      <c r="AQ58" s="61"/>
    </row>
    <row r="59" spans="1:45">
      <c r="A59" s="52" t="s">
        <v>40</v>
      </c>
      <c r="C59" s="3" t="s">
        <v>963</v>
      </c>
      <c r="V59" s="25"/>
      <c r="W59" s="25"/>
      <c r="X59" s="348"/>
      <c r="Y59" s="247"/>
      <c r="Z59" s="247"/>
      <c r="AA59" s="25"/>
    </row>
    <row r="60" spans="1:45">
      <c r="A60" s="64" t="s">
        <v>42</v>
      </c>
      <c r="C60" s="140" t="s">
        <v>1366</v>
      </c>
      <c r="V60" s="25"/>
      <c r="W60" s="25"/>
      <c r="X60" s="349"/>
      <c r="Y60" s="247"/>
      <c r="Z60" s="25"/>
      <c r="AA60" s="25"/>
    </row>
    <row r="61" spans="1:45">
      <c r="A61" s="64" t="s">
        <v>31</v>
      </c>
      <c r="C61" s="3" t="s">
        <v>1479</v>
      </c>
      <c r="V61" s="25"/>
      <c r="W61" s="232"/>
      <c r="X61" s="67"/>
      <c r="Y61" s="247"/>
      <c r="Z61" s="232"/>
      <c r="AA61" s="67"/>
    </row>
    <row r="62" spans="1:45">
      <c r="C62" s="3" t="s">
        <v>1424</v>
      </c>
      <c r="V62" s="25"/>
      <c r="W62" s="232"/>
      <c r="X62" s="67"/>
      <c r="Y62" s="232"/>
      <c r="Z62" s="232"/>
      <c r="AA62" s="67"/>
    </row>
    <row r="63" spans="1:45">
      <c r="A63" s="64" t="s">
        <v>103</v>
      </c>
      <c r="C63" s="3" t="s">
        <v>863</v>
      </c>
      <c r="V63" s="25"/>
      <c r="W63" s="232"/>
      <c r="X63" s="67"/>
      <c r="Y63" s="232"/>
      <c r="Z63" s="232"/>
      <c r="AA63" s="67"/>
    </row>
    <row r="64" spans="1:45">
      <c r="V64" s="25"/>
      <c r="W64" s="232"/>
      <c r="X64" s="67"/>
      <c r="Y64" s="232"/>
      <c r="Z64" s="232"/>
      <c r="AA64" s="67"/>
    </row>
    <row r="65" spans="22:27">
      <c r="V65" s="25"/>
      <c r="W65" s="25"/>
      <c r="Y65" s="232"/>
      <c r="Z65" s="227"/>
    </row>
    <row r="66" spans="22:27">
      <c r="V66" s="25"/>
      <c r="W66" s="25"/>
      <c r="X66" s="25"/>
      <c r="Y66" s="232"/>
      <c r="Z66" s="25"/>
      <c r="AA66" s="25"/>
    </row>
    <row r="67" spans="22:27">
      <c r="V67" s="25"/>
      <c r="W67" s="25"/>
      <c r="X67" s="241"/>
      <c r="Y67" s="25"/>
      <c r="Z67" s="25"/>
      <c r="AA67" s="241"/>
    </row>
    <row r="69" spans="22:27">
      <c r="V69" s="61"/>
      <c r="W69" s="61"/>
      <c r="X69" s="61"/>
      <c r="Y69" s="61"/>
    </row>
    <row r="70" spans="22:27">
      <c r="V70" s="61"/>
      <c r="W70" s="61"/>
      <c r="X70" s="61"/>
      <c r="Y70" s="61"/>
    </row>
    <row r="71" spans="22:27">
      <c r="V71" s="61"/>
      <c r="W71" s="61"/>
      <c r="X71" s="61"/>
      <c r="Y71" s="61"/>
    </row>
    <row r="72" spans="22:27">
      <c r="V72" s="61"/>
      <c r="W72" s="61"/>
      <c r="X72" s="61"/>
      <c r="Y72" s="61"/>
    </row>
    <row r="73" spans="22:27">
      <c r="V73" s="61"/>
      <c r="W73" s="61"/>
      <c r="X73" s="172"/>
      <c r="Y73" s="61"/>
    </row>
    <row r="74" spans="22:27">
      <c r="V74" s="61"/>
      <c r="W74" s="61"/>
      <c r="X74" s="172"/>
      <c r="Y74" s="61"/>
    </row>
    <row r="75" spans="22:27">
      <c r="V75" s="61"/>
      <c r="W75" s="61"/>
      <c r="X75" s="172"/>
      <c r="Y75" s="61"/>
    </row>
    <row r="76" spans="22:27">
      <c r="V76" s="61"/>
      <c r="W76" s="61"/>
      <c r="X76" s="172"/>
      <c r="Y76" s="61"/>
    </row>
    <row r="77" spans="22:27">
      <c r="V77" s="61"/>
      <c r="W77" s="61"/>
      <c r="X77" s="172"/>
      <c r="Y77" s="61"/>
    </row>
    <row r="78" spans="22:27">
      <c r="V78" s="61"/>
      <c r="W78" s="61"/>
      <c r="X78" s="61"/>
      <c r="Y78" s="61"/>
    </row>
  </sheetData>
  <conditionalFormatting sqref="AP36:AP49">
    <cfRule type="top10" dxfId="0" priority="3" percent="1" rank="10"/>
  </conditionalFormatting>
  <printOptions horizontalCentered="1"/>
  <pageMargins left="0.7" right="0.7" top="0.75" bottom="0.75" header="0.3" footer="0.3"/>
  <pageSetup scale="5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9">
    <pageSetUpPr fitToPage="1"/>
  </sheetPr>
  <dimension ref="A1:AR87"/>
  <sheetViews>
    <sheetView zoomScaleNormal="100" workbookViewId="0"/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2.7109375" style="1" customWidth="1"/>
    <col min="14" max="14" width="1.7109375" style="1" customWidth="1"/>
    <col min="15" max="15" width="11.7109375" style="1" customWidth="1"/>
    <col min="16" max="16" width="1.7109375" style="1" customWidth="1"/>
    <col min="17" max="17" width="11.7109375" style="1" customWidth="1"/>
    <col min="18" max="18" width="1.7109375" style="1" customWidth="1"/>
    <col min="19" max="19" width="12.7109375" style="1" customWidth="1"/>
    <col min="20" max="20" width="10.28515625" style="1" bestFit="1" customWidth="1"/>
    <col min="21" max="44" width="12.7109375" style="1" customWidth="1"/>
    <col min="45" max="16384" width="8.7109375" style="1"/>
  </cols>
  <sheetData>
    <row r="1" spans="1:44">
      <c r="S1" s="64" t="s">
        <v>955</v>
      </c>
    </row>
    <row r="2" spans="1:44">
      <c r="O2" s="3"/>
      <c r="S2" s="64" t="s">
        <v>936</v>
      </c>
      <c r="T2" s="3"/>
    </row>
    <row r="3" spans="1:44">
      <c r="O3" s="3"/>
      <c r="T3" s="3"/>
    </row>
    <row r="4" spans="1:44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</row>
    <row r="5" spans="1:44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44">
      <c r="A6" s="5" t="s">
        <v>151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44">
      <c r="A7" s="5" t="s">
        <v>491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44">
      <c r="A8" s="5" t="s">
        <v>165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U8" s="61" t="s">
        <v>505</v>
      </c>
      <c r="V8" s="61"/>
      <c r="W8" s="61"/>
      <c r="X8" s="61"/>
      <c r="Y8" s="61"/>
      <c r="Z8" s="61"/>
      <c r="AA8" s="61"/>
      <c r="AB8" s="61"/>
      <c r="AC8" s="61"/>
      <c r="AD8" s="61"/>
      <c r="AE8" s="61" t="s">
        <v>560</v>
      </c>
      <c r="AF8" s="61" t="s">
        <v>568</v>
      </c>
      <c r="AG8" s="61"/>
      <c r="AH8" s="61"/>
      <c r="AI8" s="61"/>
      <c r="AJ8" s="61"/>
      <c r="AK8" s="61"/>
    </row>
    <row r="9" spans="1:44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S9" s="6" t="s">
        <v>11</v>
      </c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</row>
    <row r="10" spans="1:44">
      <c r="C10" s="6" t="s">
        <v>562</v>
      </c>
      <c r="G10" s="6" t="s">
        <v>562</v>
      </c>
      <c r="K10" s="6" t="s">
        <v>562</v>
      </c>
      <c r="M10" s="6" t="s">
        <v>575</v>
      </c>
      <c r="S10" s="6" t="s">
        <v>12</v>
      </c>
      <c r="U10" s="61" t="s">
        <v>1596</v>
      </c>
      <c r="W10" s="61"/>
      <c r="X10" s="61"/>
      <c r="Y10" s="61"/>
      <c r="Z10" s="61"/>
      <c r="AA10" s="61"/>
      <c r="AB10" s="61"/>
      <c r="AC10" s="61"/>
      <c r="AD10" s="61"/>
      <c r="AE10" s="61"/>
      <c r="AF10" s="61" t="s">
        <v>1596</v>
      </c>
      <c r="AG10" s="61"/>
      <c r="AH10" s="61"/>
      <c r="AI10" s="61"/>
      <c r="AJ10" s="61"/>
      <c r="AK10" s="61"/>
    </row>
    <row r="11" spans="1:44">
      <c r="C11" s="6" t="s">
        <v>565</v>
      </c>
      <c r="E11" s="6" t="s">
        <v>7</v>
      </c>
      <c r="G11" s="2" t="s">
        <v>7</v>
      </c>
      <c r="H11" s="2"/>
      <c r="I11" s="2" t="s">
        <v>575</v>
      </c>
      <c r="K11" s="6" t="s">
        <v>64</v>
      </c>
      <c r="L11" s="6"/>
      <c r="M11" s="6" t="s">
        <v>64</v>
      </c>
      <c r="O11" s="6" t="s">
        <v>153</v>
      </c>
      <c r="Q11" s="2" t="s">
        <v>154</v>
      </c>
      <c r="S11" s="2" t="s">
        <v>154</v>
      </c>
      <c r="T11" s="2"/>
      <c r="U11" s="61"/>
      <c r="V11" s="25" t="s">
        <v>1358</v>
      </c>
      <c r="W11" s="61"/>
      <c r="X11" s="61"/>
      <c r="Y11" s="61"/>
      <c r="Z11" s="61"/>
      <c r="AA11" s="25" t="s">
        <v>12</v>
      </c>
      <c r="AB11" s="61"/>
      <c r="AC11" s="61"/>
      <c r="AD11" s="61"/>
      <c r="AE11" s="61"/>
      <c r="AF11" s="61"/>
      <c r="AG11" s="61"/>
      <c r="AH11" s="61"/>
      <c r="AI11" s="61"/>
      <c r="AJ11" s="61"/>
      <c r="AK11" s="25" t="s">
        <v>12</v>
      </c>
    </row>
    <row r="12" spans="1:44">
      <c r="A12" s="2" t="s">
        <v>6</v>
      </c>
      <c r="C12" s="6" t="s">
        <v>7</v>
      </c>
      <c r="E12" s="6" t="s">
        <v>62</v>
      </c>
      <c r="G12" s="2" t="s">
        <v>63</v>
      </c>
      <c r="H12" s="2"/>
      <c r="I12" s="2" t="s">
        <v>623</v>
      </c>
      <c r="K12" s="6" t="s">
        <v>14</v>
      </c>
      <c r="L12" s="6"/>
      <c r="M12" s="6" t="s">
        <v>12</v>
      </c>
      <c r="O12" s="2" t="s">
        <v>67</v>
      </c>
      <c r="Q12" s="2" t="s">
        <v>67</v>
      </c>
      <c r="S12" s="2" t="s">
        <v>67</v>
      </c>
      <c r="T12" s="2"/>
      <c r="U12" s="97" t="s">
        <v>3</v>
      </c>
      <c r="V12" s="97" t="s">
        <v>177</v>
      </c>
      <c r="W12" s="97"/>
      <c r="X12" s="97"/>
      <c r="Y12" s="97" t="s">
        <v>2</v>
      </c>
      <c r="Z12" s="97" t="s">
        <v>2</v>
      </c>
      <c r="AA12" s="97" t="s">
        <v>119</v>
      </c>
      <c r="AB12" s="97"/>
      <c r="AC12" s="97"/>
      <c r="AD12" s="165"/>
      <c r="AE12" s="97" t="s">
        <v>3</v>
      </c>
      <c r="AF12" s="97" t="s">
        <v>177</v>
      </c>
      <c r="AG12" s="97">
        <v>2022</v>
      </c>
      <c r="AH12" s="97">
        <v>2022</v>
      </c>
      <c r="AI12" s="97" t="s">
        <v>2</v>
      </c>
      <c r="AJ12" s="97" t="s">
        <v>2</v>
      </c>
      <c r="AK12" s="97" t="s">
        <v>119</v>
      </c>
      <c r="AQ12" s="61"/>
      <c r="AR12" s="61"/>
    </row>
    <row r="13" spans="1:44">
      <c r="A13" s="6" t="s">
        <v>4</v>
      </c>
      <c r="B13" s="6"/>
      <c r="C13" s="6" t="s">
        <v>55</v>
      </c>
      <c r="E13" s="109" t="s">
        <v>12</v>
      </c>
      <c r="G13" s="2" t="s">
        <v>55</v>
      </c>
      <c r="H13" s="2"/>
      <c r="I13" s="2" t="s">
        <v>55</v>
      </c>
      <c r="K13" s="6" t="s">
        <v>55</v>
      </c>
      <c r="L13" s="6"/>
      <c r="M13" s="6" t="s">
        <v>55</v>
      </c>
      <c r="N13" s="6"/>
      <c r="O13" s="2" t="s">
        <v>55</v>
      </c>
      <c r="Q13" s="2" t="s">
        <v>55</v>
      </c>
      <c r="S13" s="2" t="s">
        <v>55</v>
      </c>
      <c r="T13" s="2"/>
      <c r="U13" s="25" t="s">
        <v>4</v>
      </c>
      <c r="V13" s="97" t="s">
        <v>16</v>
      </c>
      <c r="W13" s="97"/>
      <c r="X13" s="97"/>
      <c r="Y13" s="97" t="s">
        <v>14</v>
      </c>
      <c r="Z13" s="97" t="s">
        <v>12</v>
      </c>
      <c r="AA13" s="97" t="s">
        <v>1602</v>
      </c>
      <c r="AB13" s="97" t="s">
        <v>14</v>
      </c>
      <c r="AC13" s="97" t="s">
        <v>12</v>
      </c>
      <c r="AD13" s="97"/>
      <c r="AE13" s="25" t="s">
        <v>4</v>
      </c>
      <c r="AF13" s="97" t="s">
        <v>16</v>
      </c>
      <c r="AG13" s="97" t="s">
        <v>14</v>
      </c>
      <c r="AH13" s="97" t="s">
        <v>12</v>
      </c>
      <c r="AI13" s="97" t="s">
        <v>14</v>
      </c>
      <c r="AJ13" s="97" t="s">
        <v>12</v>
      </c>
      <c r="AK13" s="97" t="s">
        <v>1602</v>
      </c>
      <c r="AL13" s="61"/>
      <c r="AM13" s="61"/>
      <c r="AN13" s="61"/>
      <c r="AQ13" s="61"/>
      <c r="AR13" s="61"/>
    </row>
    <row r="14" spans="1:44">
      <c r="A14" s="9" t="s">
        <v>27</v>
      </c>
      <c r="B14" s="11"/>
      <c r="C14" s="9">
        <v>-2</v>
      </c>
      <c r="D14" s="11"/>
      <c r="E14" s="9">
        <v>-3</v>
      </c>
      <c r="F14" s="11"/>
      <c r="G14" s="9">
        <v>-4</v>
      </c>
      <c r="H14" s="11"/>
      <c r="I14" s="9">
        <v>-5</v>
      </c>
      <c r="J14" s="11"/>
      <c r="K14" s="9">
        <v>-6</v>
      </c>
      <c r="L14" s="11"/>
      <c r="M14" s="9">
        <v>-7</v>
      </c>
      <c r="O14" s="9">
        <v>-8</v>
      </c>
      <c r="Q14" s="9">
        <v>-9</v>
      </c>
      <c r="S14" s="9">
        <v>-10</v>
      </c>
      <c r="T14" s="143"/>
      <c r="U14" s="143">
        <v>-11</v>
      </c>
      <c r="V14" s="143">
        <v>-12</v>
      </c>
      <c r="W14" s="143">
        <v>-13</v>
      </c>
      <c r="X14" s="143">
        <v>-14</v>
      </c>
      <c r="Y14" s="143">
        <v>-15</v>
      </c>
      <c r="Z14" s="143">
        <v>-16</v>
      </c>
      <c r="AA14" s="143">
        <v>-17</v>
      </c>
      <c r="AB14" s="143">
        <v>-18</v>
      </c>
      <c r="AC14" s="143">
        <v>-19</v>
      </c>
      <c r="AE14" s="143">
        <v>-20</v>
      </c>
      <c r="AF14" s="143">
        <v>-21</v>
      </c>
      <c r="AG14" s="143">
        <v>-22</v>
      </c>
      <c r="AH14" s="143">
        <v>-23</v>
      </c>
      <c r="AI14" s="143">
        <v>-24</v>
      </c>
      <c r="AJ14" s="143">
        <v>-25</v>
      </c>
      <c r="AK14" s="143">
        <v>-26</v>
      </c>
      <c r="AL14" s="61"/>
      <c r="AM14" s="61"/>
      <c r="AN14" s="61"/>
      <c r="AQ14" s="22"/>
      <c r="AR14" s="22"/>
    </row>
    <row r="15" spans="1:44">
      <c r="U15" s="61"/>
      <c r="V15" s="61"/>
      <c r="W15" s="61"/>
      <c r="X15" s="61"/>
      <c r="Y15" s="61"/>
      <c r="Z15" s="61"/>
      <c r="AA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Q15" s="61"/>
      <c r="AR15" s="61"/>
    </row>
    <row r="16" spans="1:44" ht="16">
      <c r="A16" s="15" t="s">
        <v>77</v>
      </c>
      <c r="U16" s="25" t="s">
        <v>2</v>
      </c>
      <c r="V16" s="61"/>
      <c r="W16" s="61"/>
      <c r="X16" s="61"/>
      <c r="Z16" s="61"/>
      <c r="AA16" s="61"/>
      <c r="AB16" s="18">
        <v>184600.72</v>
      </c>
      <c r="AC16" s="231">
        <v>184600.72</v>
      </c>
      <c r="AD16" s="19"/>
      <c r="AE16" s="25"/>
      <c r="AF16" s="61"/>
      <c r="AG16" s="231">
        <v>0</v>
      </c>
      <c r="AH16" s="231">
        <v>0</v>
      </c>
      <c r="AI16" s="172">
        <v>0</v>
      </c>
      <c r="AJ16" s="172">
        <v>0</v>
      </c>
      <c r="AK16" s="172">
        <f>AH16-AJ16</f>
        <v>0</v>
      </c>
      <c r="AL16" s="61"/>
      <c r="AM16" s="61"/>
      <c r="AN16" s="61"/>
      <c r="AO16" s="231"/>
      <c r="AQ16" s="61"/>
      <c r="AR16" s="61"/>
    </row>
    <row r="17" spans="1:44">
      <c r="A17" s="6">
        <v>2008</v>
      </c>
      <c r="C17" s="147">
        <f>'Exhibit U,10'!K36</f>
        <v>1911758.4000000001</v>
      </c>
      <c r="E17" s="74">
        <f>'Exhibit Q,8'!K21</f>
        <v>1</v>
      </c>
      <c r="G17" s="497">
        <f t="shared" ref="G17:G31" si="0">C17*(1-E17)</f>
        <v>0</v>
      </c>
      <c r="H17" s="497"/>
      <c r="I17" s="497">
        <f>'Exhibit U,10'!X36</f>
        <v>0</v>
      </c>
      <c r="J17" s="147"/>
      <c r="K17" s="147">
        <f t="shared" ref="K17:K31" si="1">AB17-AG17</f>
        <v>1911758.4000000001</v>
      </c>
      <c r="L17" s="147"/>
      <c r="M17" s="147">
        <f t="shared" ref="M17:M31" si="2">AH17</f>
        <v>0</v>
      </c>
      <c r="N17" s="147"/>
      <c r="O17" s="147">
        <f>K17+G17+I17+M17</f>
        <v>1911758.4000000001</v>
      </c>
      <c r="P17" s="147"/>
      <c r="Q17" s="147">
        <f>K17/E17+I17+M17</f>
        <v>1911758.4000000001</v>
      </c>
      <c r="R17" s="147"/>
      <c r="S17" s="147">
        <f>(K17+M17)/E17</f>
        <v>1911758.4000000001</v>
      </c>
      <c r="T17" s="18"/>
      <c r="U17" s="25">
        <f>A17</f>
        <v>2008</v>
      </c>
      <c r="V17" s="18"/>
      <c r="W17" s="31"/>
      <c r="X17" s="32"/>
      <c r="Y17" s="172">
        <v>1911758.4000000001</v>
      </c>
      <c r="Z17" s="172">
        <v>1911758.4000000001</v>
      </c>
      <c r="AA17" s="84">
        <f>AC17-Z17</f>
        <v>0</v>
      </c>
      <c r="AB17" s="231">
        <v>1911758.4000000001</v>
      </c>
      <c r="AC17" s="18">
        <v>1911758.4000000001</v>
      </c>
      <c r="AD17" s="18"/>
      <c r="AE17" s="25">
        <f>A17</f>
        <v>2008</v>
      </c>
      <c r="AF17" s="219"/>
      <c r="AG17" s="231">
        <v>0</v>
      </c>
      <c r="AH17" s="18">
        <v>0</v>
      </c>
      <c r="AI17" s="172">
        <v>0</v>
      </c>
      <c r="AJ17" s="172">
        <v>0</v>
      </c>
      <c r="AK17" s="172">
        <f t="shared" ref="AK17:AK21" si="3">AH17-AJ17</f>
        <v>0</v>
      </c>
      <c r="AL17" s="61"/>
      <c r="AM17" s="61"/>
      <c r="AN17" s="61"/>
      <c r="AO17" s="20"/>
      <c r="AP17" s="22"/>
      <c r="AQ17" s="172"/>
      <c r="AR17" s="172"/>
    </row>
    <row r="18" spans="1:44">
      <c r="A18" s="6">
        <f>A17+1</f>
        <v>2009</v>
      </c>
      <c r="C18" s="494">
        <f>'Exhibit U,10'!K37</f>
        <v>2191506.25</v>
      </c>
      <c r="E18" s="74">
        <f>'Exhibit Q,8'!K22</f>
        <v>0.99999333191080764</v>
      </c>
      <c r="G18" s="494">
        <f t="shared" si="0"/>
        <v>14.613159140621338</v>
      </c>
      <c r="H18" s="494"/>
      <c r="I18" s="20">
        <f>'Exhibit U,10'!X37</f>
        <v>0</v>
      </c>
      <c r="J18" s="187"/>
      <c r="K18" s="494">
        <f t="shared" si="1"/>
        <v>2191506.25</v>
      </c>
      <c r="L18" s="494"/>
      <c r="M18" s="494">
        <f t="shared" si="2"/>
        <v>0</v>
      </c>
      <c r="N18" s="494"/>
      <c r="O18" s="494">
        <f t="shared" ref="O18:O31" si="4">K18+G18+I18+M18</f>
        <v>2191520.8631591406</v>
      </c>
      <c r="P18" s="187"/>
      <c r="Q18" s="494">
        <f t="shared" ref="Q18:Q31" si="5">K18/E18+I18+M18</f>
        <v>2191520.863256583</v>
      </c>
      <c r="R18" s="494"/>
      <c r="S18" s="17">
        <f t="shared" ref="S18:S31" si="6">(K18+M18)/E18</f>
        <v>2191520.863256583</v>
      </c>
      <c r="T18" s="18"/>
      <c r="U18" s="25">
        <f>U17+1</f>
        <v>2009</v>
      </c>
      <c r="V18" s="18"/>
      <c r="W18" s="31"/>
      <c r="X18" s="32"/>
      <c r="Y18" s="172">
        <v>2191506.25</v>
      </c>
      <c r="Z18" s="172">
        <v>2191506.25</v>
      </c>
      <c r="AA18" s="84">
        <f t="shared" ref="AA18:AA31" si="7">AC18-Z18</f>
        <v>0</v>
      </c>
      <c r="AB18" s="18">
        <v>2191506.25</v>
      </c>
      <c r="AC18" s="18">
        <v>2191506.25</v>
      </c>
      <c r="AD18" s="18"/>
      <c r="AE18" s="25">
        <f>AE17+1</f>
        <v>2009</v>
      </c>
      <c r="AF18" s="220"/>
      <c r="AG18" s="18">
        <v>0</v>
      </c>
      <c r="AH18" s="18">
        <v>0</v>
      </c>
      <c r="AI18" s="172">
        <v>0</v>
      </c>
      <c r="AJ18" s="172">
        <v>0</v>
      </c>
      <c r="AK18" s="172">
        <f t="shared" si="3"/>
        <v>0</v>
      </c>
      <c r="AL18" s="61"/>
      <c r="AM18" s="61"/>
      <c r="AN18" s="61"/>
      <c r="AO18" s="20"/>
      <c r="AP18" s="22"/>
      <c r="AQ18" s="172"/>
      <c r="AR18" s="61"/>
    </row>
    <row r="19" spans="1:44">
      <c r="A19" s="6">
        <f t="shared" ref="A19:A31" si="8">A18+1</f>
        <v>2010</v>
      </c>
      <c r="C19" s="494">
        <f>'Exhibit U,10'!K38</f>
        <v>8479335.2699999996</v>
      </c>
      <c r="E19" s="74">
        <f>'Exhibit Q,8'!K23</f>
        <v>0.9996262017043841</v>
      </c>
      <c r="G19" s="494">
        <f t="shared" si="0"/>
        <v>3169.5610718817989</v>
      </c>
      <c r="H19" s="494"/>
      <c r="I19" s="20">
        <f>'Exhibit U,10'!X38</f>
        <v>0</v>
      </c>
      <c r="J19" s="187"/>
      <c r="K19" s="494">
        <f t="shared" si="1"/>
        <v>8479335.2699999996</v>
      </c>
      <c r="L19" s="494"/>
      <c r="M19" s="494">
        <f t="shared" si="2"/>
        <v>0</v>
      </c>
      <c r="N19" s="494"/>
      <c r="O19" s="494">
        <f t="shared" si="4"/>
        <v>8482504.8310718816</v>
      </c>
      <c r="P19" s="187"/>
      <c r="Q19" s="494">
        <f t="shared" si="5"/>
        <v>8482506.0162914414</v>
      </c>
      <c r="R19" s="494"/>
      <c r="S19" s="17">
        <f t="shared" si="6"/>
        <v>8482506.0162914414</v>
      </c>
      <c r="T19" s="18"/>
      <c r="U19" s="25">
        <f t="shared" ref="U19:U31" si="9">U18+1</f>
        <v>2010</v>
      </c>
      <c r="V19" s="18"/>
      <c r="W19" s="31"/>
      <c r="X19" s="32"/>
      <c r="Y19" s="172">
        <v>8477120.2699999996</v>
      </c>
      <c r="Z19" s="172">
        <v>8479092.0899999999</v>
      </c>
      <c r="AA19" s="84">
        <f t="shared" si="7"/>
        <v>243.17999999970198</v>
      </c>
      <c r="AB19" s="18">
        <v>8479335.2699999996</v>
      </c>
      <c r="AC19" s="18">
        <v>8479335.2699999996</v>
      </c>
      <c r="AD19" s="18"/>
      <c r="AE19" s="25">
        <f t="shared" ref="AE19:AE31" si="10">AE18+1</f>
        <v>2010</v>
      </c>
      <c r="AF19" s="220"/>
      <c r="AG19" s="18">
        <v>0</v>
      </c>
      <c r="AH19" s="18">
        <v>0</v>
      </c>
      <c r="AI19" s="172">
        <v>0</v>
      </c>
      <c r="AJ19" s="172">
        <v>0</v>
      </c>
      <c r="AK19" s="172">
        <f t="shared" si="3"/>
        <v>0</v>
      </c>
      <c r="AL19" s="61"/>
      <c r="AM19" s="61"/>
      <c r="AN19" s="61"/>
      <c r="AO19" s="20"/>
      <c r="AP19" s="22"/>
      <c r="AQ19" s="172"/>
      <c r="AR19" s="61"/>
    </row>
    <row r="20" spans="1:44">
      <c r="A20" s="6">
        <f t="shared" si="8"/>
        <v>2011</v>
      </c>
      <c r="C20" s="494">
        <f>'Exhibit U,10'!K39</f>
        <v>6315267.6400000006</v>
      </c>
      <c r="E20" s="74">
        <f>'Exhibit Q,8'!K24</f>
        <v>0.99671270545003843</v>
      </c>
      <c r="G20" s="494">
        <f t="shared" si="0"/>
        <v>20760.144894520683</v>
      </c>
      <c r="H20" s="494"/>
      <c r="I20" s="20">
        <f>'Exhibit U,10'!X39</f>
        <v>0</v>
      </c>
      <c r="J20" s="187"/>
      <c r="K20" s="494">
        <f t="shared" si="1"/>
        <v>6315267.6400000006</v>
      </c>
      <c r="L20" s="494"/>
      <c r="M20" s="494">
        <f t="shared" si="2"/>
        <v>0</v>
      </c>
      <c r="N20" s="494"/>
      <c r="O20" s="494">
        <f t="shared" si="4"/>
        <v>6336027.7848945213</v>
      </c>
      <c r="P20" s="187"/>
      <c r="Q20" s="494">
        <f t="shared" si="5"/>
        <v>6336096.2546860622</v>
      </c>
      <c r="R20" s="494"/>
      <c r="S20" s="17">
        <f t="shared" si="6"/>
        <v>6336096.2546860622</v>
      </c>
      <c r="T20" s="18"/>
      <c r="U20" s="25">
        <f t="shared" si="9"/>
        <v>2011</v>
      </c>
      <c r="V20" s="54">
        <v>6435696.0700000077</v>
      </c>
      <c r="W20" s="31"/>
      <c r="X20" s="32"/>
      <c r="Y20" s="172">
        <v>6293240.7800000003</v>
      </c>
      <c r="Z20" s="172">
        <v>6836232.2300000004</v>
      </c>
      <c r="AA20" s="84">
        <f t="shared" si="7"/>
        <v>-520964.58999999985</v>
      </c>
      <c r="AB20" s="18">
        <v>6315267.6400000006</v>
      </c>
      <c r="AC20" s="18">
        <v>6315267.6400000006</v>
      </c>
      <c r="AD20" s="18"/>
      <c r="AE20" s="25">
        <f t="shared" si="10"/>
        <v>2011</v>
      </c>
      <c r="AF20" s="220"/>
      <c r="AG20" s="18">
        <v>0</v>
      </c>
      <c r="AH20" s="18">
        <v>0</v>
      </c>
      <c r="AI20" s="172">
        <v>0</v>
      </c>
      <c r="AJ20" s="172">
        <v>0</v>
      </c>
      <c r="AK20" s="172">
        <f t="shared" si="3"/>
        <v>0</v>
      </c>
      <c r="AL20" s="61"/>
      <c r="AM20" s="61"/>
      <c r="AN20" s="61"/>
      <c r="AO20" s="20"/>
      <c r="AP20" s="22"/>
      <c r="AQ20" s="172"/>
      <c r="AR20" s="61"/>
    </row>
    <row r="21" spans="1:44">
      <c r="A21" s="6">
        <f t="shared" si="8"/>
        <v>2012</v>
      </c>
      <c r="C21" s="494">
        <f>'Exhibit U,10'!K40</f>
        <v>15251215.5</v>
      </c>
      <c r="E21" s="74">
        <f>'Exhibit Q,8'!K25</f>
        <v>0.98604064130765279</v>
      </c>
      <c r="G21" s="494">
        <f t="shared" si="0"/>
        <v>212897.18765878555</v>
      </c>
      <c r="H21" s="494"/>
      <c r="I21" s="20">
        <f>'Exhibit U,10'!X40</f>
        <v>0</v>
      </c>
      <c r="J21" s="187"/>
      <c r="K21" s="494">
        <f t="shared" si="1"/>
        <v>14906496.6</v>
      </c>
      <c r="L21" s="494"/>
      <c r="M21" s="494">
        <f t="shared" si="2"/>
        <v>2318237.2399999984</v>
      </c>
      <c r="N21" s="494"/>
      <c r="O21" s="494">
        <f t="shared" si="4"/>
        <v>17437631.027658783</v>
      </c>
      <c r="P21" s="187"/>
      <c r="Q21" s="494">
        <f t="shared" si="5"/>
        <v>17435764.830172673</v>
      </c>
      <c r="R21" s="494"/>
      <c r="S21" s="17">
        <f t="shared" si="6"/>
        <v>17468584.070893016</v>
      </c>
      <c r="T21" s="18"/>
      <c r="U21" s="25">
        <f t="shared" si="9"/>
        <v>2012</v>
      </c>
      <c r="V21" s="54">
        <v>9294169.459999999</v>
      </c>
      <c r="W21" s="31"/>
      <c r="X21" s="32"/>
      <c r="Y21" s="172">
        <v>16336660.51</v>
      </c>
      <c r="Z21" s="172">
        <v>19139666.039999999</v>
      </c>
      <c r="AA21" s="84">
        <f t="shared" si="7"/>
        <v>-1570213.3000000007</v>
      </c>
      <c r="AB21" s="18">
        <v>17224733.84</v>
      </c>
      <c r="AC21" s="18">
        <v>17569452.739999998</v>
      </c>
      <c r="AD21" s="18"/>
      <c r="AE21" s="25">
        <f t="shared" si="10"/>
        <v>2012</v>
      </c>
      <c r="AF21" s="220"/>
      <c r="AG21" s="18">
        <v>2318237.2400000002</v>
      </c>
      <c r="AH21" s="18">
        <v>2318237.2399999984</v>
      </c>
      <c r="AI21" s="172">
        <v>2318237.2400000002</v>
      </c>
      <c r="AJ21" s="172">
        <v>2318237.2400000002</v>
      </c>
      <c r="AK21" s="172">
        <f t="shared" si="3"/>
        <v>0</v>
      </c>
      <c r="AL21" s="61"/>
      <c r="AM21" s="61"/>
      <c r="AN21" s="61"/>
      <c r="AO21" s="20"/>
      <c r="AP21" s="22"/>
      <c r="AQ21" s="172"/>
      <c r="AR21" s="61"/>
    </row>
    <row r="22" spans="1:44">
      <c r="A22" s="6">
        <f t="shared" si="8"/>
        <v>2013</v>
      </c>
      <c r="C22" s="494">
        <f>'Exhibit U,10'!K41</f>
        <v>16243610.689999998</v>
      </c>
      <c r="E22" s="74">
        <f>'Exhibit Q,8'!K26</f>
        <v>0.95946749874657722</v>
      </c>
      <c r="G22" s="494">
        <f t="shared" si="0"/>
        <v>658394.17065253656</v>
      </c>
      <c r="H22" s="494"/>
      <c r="I22" s="20">
        <f>'Exhibit U,10'!X41</f>
        <v>0</v>
      </c>
      <c r="J22" s="187"/>
      <c r="K22" s="494">
        <f t="shared" si="1"/>
        <v>14004352.329999998</v>
      </c>
      <c r="L22" s="494"/>
      <c r="M22" s="494">
        <f t="shared" si="2"/>
        <v>1114631.2800000012</v>
      </c>
      <c r="N22" s="494"/>
      <c r="O22" s="494">
        <f t="shared" si="4"/>
        <v>15777377.780652536</v>
      </c>
      <c r="P22" s="187"/>
      <c r="Q22" s="494">
        <f t="shared" si="5"/>
        <v>15710594.507826801</v>
      </c>
      <c r="R22" s="494"/>
      <c r="S22" s="17">
        <f t="shared" si="6"/>
        <v>15757681.870153014</v>
      </c>
      <c r="T22" s="18"/>
      <c r="U22" s="25">
        <f t="shared" si="9"/>
        <v>2013</v>
      </c>
      <c r="V22" s="54">
        <v>10085012.299999949</v>
      </c>
      <c r="W22" s="31"/>
      <c r="X22" s="32"/>
      <c r="Y22" s="172">
        <v>10757423.629999999</v>
      </c>
      <c r="Z22" s="172">
        <v>18939107.139999997</v>
      </c>
      <c r="AA22" s="84">
        <f t="shared" si="7"/>
        <v>-1580865.1699999981</v>
      </c>
      <c r="AB22" s="18">
        <v>15118983.609999998</v>
      </c>
      <c r="AC22" s="18">
        <v>17358241.969999999</v>
      </c>
      <c r="AD22" s="18"/>
      <c r="AE22" s="25">
        <f t="shared" si="10"/>
        <v>2013</v>
      </c>
      <c r="AF22" s="20">
        <v>1013266.2299999999</v>
      </c>
      <c r="AG22" s="18">
        <v>1114631.2799999993</v>
      </c>
      <c r="AH22" s="18">
        <v>1114631.2800000012</v>
      </c>
      <c r="AI22" s="172">
        <v>1114631.28</v>
      </c>
      <c r="AJ22" s="172">
        <v>1114631.28</v>
      </c>
      <c r="AK22" s="172">
        <f t="shared" ref="AK22:AK31" si="11">AH22-AJ22</f>
        <v>0</v>
      </c>
      <c r="AL22" s="61"/>
      <c r="AM22" s="61"/>
      <c r="AN22" s="61"/>
      <c r="AO22" s="20"/>
      <c r="AP22" s="22"/>
      <c r="AQ22" s="172"/>
      <c r="AR22" s="61"/>
    </row>
    <row r="23" spans="1:44">
      <c r="A23" s="6">
        <f t="shared" si="8"/>
        <v>2014</v>
      </c>
      <c r="C23" s="494">
        <f>'Exhibit U,10'!K42</f>
        <v>15955773.008735241</v>
      </c>
      <c r="E23" s="74">
        <f>'Exhibit Q,8'!K27</f>
        <v>0.90335137643649732</v>
      </c>
      <c r="G23" s="494">
        <f t="shared" si="0"/>
        <v>1542103.4991859489</v>
      </c>
      <c r="H23" s="494"/>
      <c r="I23" s="20">
        <f>'Exhibit U,10'!X42</f>
        <v>0</v>
      </c>
      <c r="J23" s="187"/>
      <c r="K23" s="494">
        <f t="shared" si="1"/>
        <v>12505344.819999998</v>
      </c>
      <c r="L23" s="494"/>
      <c r="M23" s="494">
        <f t="shared" si="2"/>
        <v>5118044.0100000016</v>
      </c>
      <c r="N23" s="494"/>
      <c r="O23" s="494">
        <f t="shared" si="4"/>
        <v>19165492.329185948</v>
      </c>
      <c r="P23" s="187"/>
      <c r="Q23" s="494">
        <f t="shared" si="5"/>
        <v>18961322.656821307</v>
      </c>
      <c r="R23" s="494"/>
      <c r="S23" s="17">
        <f t="shared" si="6"/>
        <v>19508896.858628813</v>
      </c>
      <c r="T23" s="18"/>
      <c r="U23" s="25">
        <f t="shared" si="9"/>
        <v>2014</v>
      </c>
      <c r="V23" s="54">
        <v>10240662.590000011</v>
      </c>
      <c r="W23" s="31"/>
      <c r="X23" s="32"/>
      <c r="Y23" s="172">
        <v>16324359.68</v>
      </c>
      <c r="Z23" s="172">
        <v>23487270.369999997</v>
      </c>
      <c r="AA23" s="84">
        <f t="shared" si="7"/>
        <v>-2446251.2099999972</v>
      </c>
      <c r="AB23" s="18">
        <v>17623388.829999998</v>
      </c>
      <c r="AC23" s="18">
        <v>21041019.16</v>
      </c>
      <c r="AD23" s="18"/>
      <c r="AE23" s="25">
        <f t="shared" si="10"/>
        <v>2014</v>
      </c>
      <c r="AF23" s="20">
        <v>535089.01000000036</v>
      </c>
      <c r="AG23" s="18">
        <v>5118044.01</v>
      </c>
      <c r="AH23" s="18">
        <v>5118044.0100000016</v>
      </c>
      <c r="AI23" s="172">
        <v>4340014.5199999996</v>
      </c>
      <c r="AJ23" s="172">
        <v>5353276.46</v>
      </c>
      <c r="AK23" s="172">
        <f t="shared" si="11"/>
        <v>-235232.44999999832</v>
      </c>
      <c r="AL23" s="61"/>
      <c r="AM23" s="61"/>
      <c r="AN23" s="61"/>
      <c r="AO23" s="20"/>
      <c r="AP23" s="22"/>
      <c r="AQ23" s="172"/>
      <c r="AR23" s="61"/>
    </row>
    <row r="24" spans="1:44">
      <c r="A24" s="6">
        <f t="shared" si="8"/>
        <v>2015</v>
      </c>
      <c r="C24" s="494">
        <f>'Exhibit U,10'!K43</f>
        <v>4027576.3146318416</v>
      </c>
      <c r="E24" s="74">
        <f>'Exhibit Q,8'!K28</f>
        <v>0.80478859280259885</v>
      </c>
      <c r="G24" s="494">
        <f t="shared" si="0"/>
        <v>786228.83997420466</v>
      </c>
      <c r="H24" s="494"/>
      <c r="I24" s="20">
        <f>'Exhibit U,10'!X43</f>
        <v>0</v>
      </c>
      <c r="J24" s="187"/>
      <c r="K24" s="494">
        <f t="shared" si="1"/>
        <v>2860446.9499999997</v>
      </c>
      <c r="L24" s="494"/>
      <c r="M24" s="494">
        <f t="shared" si="2"/>
        <v>36491.240000000224</v>
      </c>
      <c r="N24" s="494"/>
      <c r="O24" s="494">
        <f t="shared" si="4"/>
        <v>3683167.0299742045</v>
      </c>
      <c r="P24" s="187"/>
      <c r="Q24" s="494">
        <f t="shared" si="5"/>
        <v>3590774.9060231089</v>
      </c>
      <c r="R24" s="494"/>
      <c r="S24" s="17">
        <f t="shared" si="6"/>
        <v>3599626.3067194968</v>
      </c>
      <c r="T24" s="18"/>
      <c r="U24" s="25">
        <f t="shared" si="9"/>
        <v>2015</v>
      </c>
      <c r="V24" s="54">
        <v>9968876.8200000003</v>
      </c>
      <c r="W24" s="31"/>
      <c r="X24" s="32"/>
      <c r="Y24" s="172">
        <v>1161076.8900000001</v>
      </c>
      <c r="Z24" s="172">
        <v>3767684.3400000003</v>
      </c>
      <c r="AA24" s="84">
        <f t="shared" si="7"/>
        <v>218109.83999999939</v>
      </c>
      <c r="AB24" s="18">
        <v>2896938.19</v>
      </c>
      <c r="AC24" s="18">
        <v>3985794.1799999997</v>
      </c>
      <c r="AD24" s="18"/>
      <c r="AE24" s="25">
        <f t="shared" si="10"/>
        <v>2015</v>
      </c>
      <c r="AF24" s="20">
        <v>837964.10999999975</v>
      </c>
      <c r="AG24" s="18">
        <v>36491.240000000224</v>
      </c>
      <c r="AH24" s="18">
        <v>36491.240000000224</v>
      </c>
      <c r="AI24" s="172">
        <v>36491.24</v>
      </c>
      <c r="AJ24" s="172">
        <v>36491.24</v>
      </c>
      <c r="AK24" s="172">
        <f t="shared" si="11"/>
        <v>2.255546860396862E-10</v>
      </c>
      <c r="AL24" s="61"/>
      <c r="AM24" s="61"/>
      <c r="AN24" s="61"/>
      <c r="AO24" s="20"/>
      <c r="AP24" s="22"/>
      <c r="AQ24" s="172"/>
      <c r="AR24" s="61"/>
    </row>
    <row r="25" spans="1:44">
      <c r="A25" s="6">
        <f t="shared" si="8"/>
        <v>2016</v>
      </c>
      <c r="C25" s="494">
        <f>'Exhibit U,10'!K44</f>
        <v>9808020.5341647454</v>
      </c>
      <c r="E25" s="74">
        <f>'Exhibit Q,8'!K29</f>
        <v>0.66587387004990795</v>
      </c>
      <c r="G25" s="494">
        <f t="shared" si="0"/>
        <v>3277115.9435515008</v>
      </c>
      <c r="H25" s="494"/>
      <c r="I25" s="20">
        <f>'Exhibit U,10'!T44</f>
        <v>395200</v>
      </c>
      <c r="J25" s="187"/>
      <c r="K25" s="494">
        <f t="shared" si="1"/>
        <v>6071049.6500000004</v>
      </c>
      <c r="L25" s="494"/>
      <c r="M25" s="494">
        <f t="shared" si="2"/>
        <v>950805.66999999993</v>
      </c>
      <c r="N25" s="494"/>
      <c r="O25" s="494">
        <f t="shared" si="4"/>
        <v>10694171.263551502</v>
      </c>
      <c r="P25" s="187"/>
      <c r="Q25" s="494">
        <f t="shared" si="5"/>
        <v>10463422.530861305</v>
      </c>
      <c r="R25" s="494"/>
      <c r="S25" s="17">
        <f t="shared" si="6"/>
        <v>10545323.42510107</v>
      </c>
      <c r="T25" s="18"/>
      <c r="U25" s="25">
        <f t="shared" si="9"/>
        <v>2016</v>
      </c>
      <c r="V25" s="54">
        <v>11089131.659999976</v>
      </c>
      <c r="W25" s="31"/>
      <c r="X25" s="32"/>
      <c r="Y25" s="172">
        <v>3417254.3499999996</v>
      </c>
      <c r="Z25" s="172">
        <v>8279394.6600000001</v>
      </c>
      <c r="AA25" s="84">
        <f t="shared" si="7"/>
        <v>1710698.8499999996</v>
      </c>
      <c r="AB25" s="18">
        <v>6553623.2299999995</v>
      </c>
      <c r="AC25" s="18">
        <v>9990093.5099999998</v>
      </c>
      <c r="AD25" s="18"/>
      <c r="AE25" s="25">
        <f t="shared" si="10"/>
        <v>2016</v>
      </c>
      <c r="AF25" s="20">
        <v>833819.43999999959</v>
      </c>
      <c r="AG25" s="18">
        <v>482573.57999999914</v>
      </c>
      <c r="AH25" s="18">
        <v>950805.66999999993</v>
      </c>
      <c r="AI25" s="172">
        <v>289811.09000000003</v>
      </c>
      <c r="AJ25" s="172">
        <v>635842.63</v>
      </c>
      <c r="AK25" s="172">
        <f t="shared" si="11"/>
        <v>314963.03999999992</v>
      </c>
      <c r="AL25" s="61"/>
      <c r="AM25" s="61"/>
      <c r="AN25" s="61"/>
      <c r="AO25" s="20"/>
      <c r="AP25" s="22"/>
      <c r="AQ25" s="172"/>
      <c r="AR25" s="61"/>
    </row>
    <row r="26" spans="1:44">
      <c r="A26" s="6">
        <f t="shared" si="8"/>
        <v>2017</v>
      </c>
      <c r="C26" s="494">
        <f>'Exhibit U,10'!K45</f>
        <v>11855789.809228787</v>
      </c>
      <c r="E26" s="74">
        <f>'Exhibit Q,8'!K30</f>
        <v>0.50057223572913878</v>
      </c>
      <c r="G26" s="494">
        <f t="shared" si="0"/>
        <v>5921110.598088393</v>
      </c>
      <c r="H26" s="494"/>
      <c r="I26" s="20">
        <f>'Exhibit U,10'!T45</f>
        <v>790400</v>
      </c>
      <c r="J26" s="187"/>
      <c r="K26" s="494">
        <f t="shared" si="1"/>
        <v>6504284.3499999996</v>
      </c>
      <c r="L26" s="494"/>
      <c r="M26" s="494">
        <f t="shared" si="2"/>
        <v>145939.22999999952</v>
      </c>
      <c r="N26" s="494"/>
      <c r="O26" s="494">
        <f t="shared" si="4"/>
        <v>13361734.178088393</v>
      </c>
      <c r="P26" s="187"/>
      <c r="Q26" s="494">
        <f t="shared" si="5"/>
        <v>13930037.013749015</v>
      </c>
      <c r="R26" s="494"/>
      <c r="S26" s="17">
        <f t="shared" si="6"/>
        <v>13285242.579051979</v>
      </c>
      <c r="T26" s="18"/>
      <c r="U26" s="25">
        <f t="shared" si="9"/>
        <v>2017</v>
      </c>
      <c r="V26" s="54">
        <v>11045038.820000034</v>
      </c>
      <c r="W26" s="31"/>
      <c r="X26" s="32"/>
      <c r="Y26" s="172">
        <v>4964695.7699999996</v>
      </c>
      <c r="Z26" s="172">
        <v>8247223.2199999997</v>
      </c>
      <c r="AA26" s="84">
        <f t="shared" si="7"/>
        <v>-80799.110000000335</v>
      </c>
      <c r="AB26" s="18">
        <v>6540671.2999999998</v>
      </c>
      <c r="AC26" s="18">
        <v>8166424.1099999994</v>
      </c>
      <c r="AD26" s="18"/>
      <c r="AE26" s="25">
        <f t="shared" si="10"/>
        <v>2017</v>
      </c>
      <c r="AF26" s="20">
        <v>1126424.7400000016</v>
      </c>
      <c r="AG26" s="18">
        <v>36386.950000000186</v>
      </c>
      <c r="AH26" s="18">
        <v>145939.22999999952</v>
      </c>
      <c r="AI26" s="172">
        <v>29927.46</v>
      </c>
      <c r="AJ26" s="172">
        <v>183939.23</v>
      </c>
      <c r="AK26" s="172">
        <f t="shared" si="11"/>
        <v>-38000.000000000495</v>
      </c>
      <c r="AL26" s="61"/>
      <c r="AM26" s="61"/>
      <c r="AN26" s="61"/>
      <c r="AO26" s="20"/>
      <c r="AP26" s="22"/>
      <c r="AQ26" s="172"/>
      <c r="AR26" s="61"/>
    </row>
    <row r="27" spans="1:44">
      <c r="A27" s="6">
        <f t="shared" si="8"/>
        <v>2018</v>
      </c>
      <c r="C27" s="494">
        <f>'Exhibit U,10'!K46</f>
        <v>8092009.4127996648</v>
      </c>
      <c r="E27" s="74">
        <f>'Exhibit Q,8'!K31</f>
        <v>0.32813744798328975</v>
      </c>
      <c r="G27" s="494">
        <f t="shared" si="0"/>
        <v>5436718.0950268237</v>
      </c>
      <c r="H27" s="494"/>
      <c r="I27" s="20">
        <f>'Exhibit U,10'!T46</f>
        <v>790400</v>
      </c>
      <c r="J27" s="187"/>
      <c r="K27" s="494">
        <f t="shared" si="1"/>
        <v>1362663.12</v>
      </c>
      <c r="L27" s="494"/>
      <c r="M27" s="494">
        <f t="shared" si="2"/>
        <v>105874.37000000011</v>
      </c>
      <c r="N27" s="187"/>
      <c r="O27" s="494">
        <f t="shared" si="4"/>
        <v>7695655.5850268239</v>
      </c>
      <c r="P27" s="187"/>
      <c r="Q27" s="494">
        <f t="shared" si="5"/>
        <v>5048994.9094411219</v>
      </c>
      <c r="R27" s="494"/>
      <c r="S27" s="17">
        <f t="shared" si="6"/>
        <v>4475373.0457329117</v>
      </c>
      <c r="T27" s="18"/>
      <c r="U27" s="25">
        <f t="shared" si="9"/>
        <v>2018</v>
      </c>
      <c r="V27" s="54">
        <v>7536562.6900000451</v>
      </c>
      <c r="W27" s="31"/>
      <c r="X27" s="32"/>
      <c r="Y27" s="172">
        <v>1282886.77</v>
      </c>
      <c r="Z27" s="172">
        <v>2827148.46</v>
      </c>
      <c r="AA27" s="84">
        <f t="shared" si="7"/>
        <v>417173</v>
      </c>
      <c r="AB27" s="18">
        <v>1434620.3199999998</v>
      </c>
      <c r="AC27" s="18">
        <v>3244321.46</v>
      </c>
      <c r="AD27" s="18"/>
      <c r="AE27" s="25">
        <f t="shared" si="10"/>
        <v>2018</v>
      </c>
      <c r="AF27" s="20">
        <v>1310021.2099999981</v>
      </c>
      <c r="AG27" s="18">
        <v>71957.199999999721</v>
      </c>
      <c r="AH27" s="18">
        <v>105874.37000000011</v>
      </c>
      <c r="AI27" s="172">
        <v>36387.72</v>
      </c>
      <c r="AJ27" s="172">
        <v>70874.37</v>
      </c>
      <c r="AK27" s="172">
        <f t="shared" si="11"/>
        <v>35000.000000000116</v>
      </c>
      <c r="AL27" s="61"/>
      <c r="AM27" s="61"/>
      <c r="AN27" s="61"/>
      <c r="AO27" s="20"/>
      <c r="AP27" s="22"/>
      <c r="AQ27" s="172"/>
      <c r="AR27" s="61"/>
    </row>
    <row r="28" spans="1:44">
      <c r="A28" s="6">
        <f t="shared" si="8"/>
        <v>2019</v>
      </c>
      <c r="C28" s="494">
        <f>'Exhibit U,10'!K47</f>
        <v>8830400.0145976357</v>
      </c>
      <c r="E28" s="74">
        <f>'Exhibit Q,8'!K32</f>
        <v>0.18300462196474462</v>
      </c>
      <c r="G28" s="494">
        <f t="shared" si="0"/>
        <v>7214395.9981287196</v>
      </c>
      <c r="H28" s="494"/>
      <c r="I28" s="20">
        <f>'Exhibit U,10'!X47</f>
        <v>0</v>
      </c>
      <c r="J28" s="187"/>
      <c r="K28" s="494">
        <f t="shared" si="1"/>
        <v>720132.63</v>
      </c>
      <c r="L28" s="494"/>
      <c r="M28" s="494">
        <f t="shared" si="2"/>
        <v>0</v>
      </c>
      <c r="N28" s="187"/>
      <c r="O28" s="494">
        <f t="shared" si="4"/>
        <v>7934528.6281287195</v>
      </c>
      <c r="P28" s="187"/>
      <c r="Q28" s="494">
        <f t="shared" si="5"/>
        <v>3935051.5974330516</v>
      </c>
      <c r="R28" s="494"/>
      <c r="S28" s="17">
        <f t="shared" si="6"/>
        <v>3935051.5974330516</v>
      </c>
      <c r="T28" s="18"/>
      <c r="U28" s="25">
        <f t="shared" si="9"/>
        <v>2019</v>
      </c>
      <c r="V28" s="54">
        <v>6209470.9400000097</v>
      </c>
      <c r="W28" s="31"/>
      <c r="X28" s="32"/>
      <c r="Y28" s="172">
        <v>590489.24</v>
      </c>
      <c r="Z28" s="172">
        <v>1414688.76</v>
      </c>
      <c r="AA28" s="84">
        <f t="shared" si="7"/>
        <v>193429.11999999988</v>
      </c>
      <c r="AB28" s="18">
        <v>720132.63</v>
      </c>
      <c r="AC28" s="18">
        <v>1608117.88</v>
      </c>
      <c r="AD28" s="18"/>
      <c r="AE28" s="25">
        <f t="shared" si="10"/>
        <v>2019</v>
      </c>
      <c r="AF28" s="20">
        <v>141428.56999999998</v>
      </c>
      <c r="AG28" s="18">
        <v>0</v>
      </c>
      <c r="AH28" s="18">
        <v>0</v>
      </c>
      <c r="AI28" s="172">
        <v>0</v>
      </c>
      <c r="AJ28" s="172">
        <v>0</v>
      </c>
      <c r="AK28" s="172">
        <f t="shared" si="11"/>
        <v>0</v>
      </c>
      <c r="AL28" s="61"/>
      <c r="AM28" s="61"/>
      <c r="AN28" s="61"/>
      <c r="AO28" s="20"/>
      <c r="AP28" s="22"/>
      <c r="AQ28" s="172"/>
      <c r="AR28" s="61"/>
    </row>
    <row r="29" spans="1:44">
      <c r="A29" s="6">
        <f t="shared" si="8"/>
        <v>2020</v>
      </c>
      <c r="C29" s="494">
        <f>'Exhibit U,10'!K48</f>
        <v>7812359.0303209489</v>
      </c>
      <c r="E29" s="74">
        <f>'Exhibit Q,8'!K33</f>
        <v>8.5904619395570272E-2</v>
      </c>
      <c r="G29" s="494">
        <f t="shared" si="0"/>
        <v>7141241.3012396814</v>
      </c>
      <c r="H29" s="494"/>
      <c r="I29" s="20">
        <f>'Exhibit U,10'!X48</f>
        <v>0</v>
      </c>
      <c r="J29" s="187"/>
      <c r="K29" s="494">
        <f t="shared" si="1"/>
        <v>289419.82</v>
      </c>
      <c r="L29" s="494"/>
      <c r="M29" s="494">
        <f t="shared" si="2"/>
        <v>0</v>
      </c>
      <c r="N29" s="187"/>
      <c r="O29" s="494">
        <f t="shared" si="4"/>
        <v>7430661.1212396817</v>
      </c>
      <c r="P29" s="187"/>
      <c r="Q29" s="494">
        <f t="shared" si="5"/>
        <v>3369083.3163149329</v>
      </c>
      <c r="R29" s="494"/>
      <c r="S29" s="17">
        <f t="shared" si="6"/>
        <v>3369083.3163149329</v>
      </c>
      <c r="T29" s="18"/>
      <c r="U29" s="25">
        <f t="shared" si="9"/>
        <v>2020</v>
      </c>
      <c r="V29" s="54">
        <v>4965992.7600000119</v>
      </c>
      <c r="W29" s="31"/>
      <c r="X29" s="32"/>
      <c r="Y29" s="172">
        <v>136484.78</v>
      </c>
      <c r="Z29" s="172">
        <v>361586.22</v>
      </c>
      <c r="AA29" s="84">
        <f t="shared" si="7"/>
        <v>537657.82000000007</v>
      </c>
      <c r="AB29" s="18">
        <v>289419.82</v>
      </c>
      <c r="AC29" s="18">
        <v>899244.04</v>
      </c>
      <c r="AD29" s="18"/>
      <c r="AE29" s="25">
        <f t="shared" si="10"/>
        <v>2020</v>
      </c>
      <c r="AF29" s="18"/>
      <c r="AG29" s="18">
        <v>0</v>
      </c>
      <c r="AH29" s="18">
        <v>0</v>
      </c>
      <c r="AI29" s="172">
        <v>0</v>
      </c>
      <c r="AJ29" s="172">
        <v>0</v>
      </c>
      <c r="AK29" s="172">
        <f t="shared" si="11"/>
        <v>0</v>
      </c>
      <c r="AL29" s="61"/>
      <c r="AM29" s="61"/>
      <c r="AN29" s="61"/>
      <c r="AO29" s="20"/>
      <c r="AP29" s="22"/>
      <c r="AQ29" s="172"/>
      <c r="AR29" s="61"/>
    </row>
    <row r="30" spans="1:44">
      <c r="A30" s="6">
        <f t="shared" si="8"/>
        <v>2021</v>
      </c>
      <c r="C30" s="494">
        <f>'Exhibit U,10'!K49</f>
        <v>5454743.0538913114</v>
      </c>
      <c r="E30" s="74">
        <f>'Exhibit Q,8'!K34</f>
        <v>2.8952258651229849E-2</v>
      </c>
      <c r="G30" s="494">
        <f t="shared" si="0"/>
        <v>5296815.9221190503</v>
      </c>
      <c r="H30" s="494"/>
      <c r="I30" s="20">
        <f>'Exhibit U,10'!X49</f>
        <v>0</v>
      </c>
      <c r="J30" s="187"/>
      <c r="K30" s="494">
        <f t="shared" si="1"/>
        <v>17823.86</v>
      </c>
      <c r="L30" s="494"/>
      <c r="M30" s="494">
        <f t="shared" si="2"/>
        <v>0</v>
      </c>
      <c r="N30" s="187"/>
      <c r="O30" s="494">
        <f t="shared" si="4"/>
        <v>5314639.7821190506</v>
      </c>
      <c r="P30" s="187"/>
      <c r="Q30" s="494">
        <f t="shared" si="5"/>
        <v>615629.34397323325</v>
      </c>
      <c r="R30" s="494"/>
      <c r="S30" s="17">
        <f t="shared" si="6"/>
        <v>615629.34397323325</v>
      </c>
      <c r="T30" s="18"/>
      <c r="U30" s="25">
        <f t="shared" si="9"/>
        <v>2021</v>
      </c>
      <c r="V30" s="18">
        <v>3657900.3700000038</v>
      </c>
      <c r="W30" s="31"/>
      <c r="X30" s="32"/>
      <c r="Y30" s="172">
        <v>6524.88</v>
      </c>
      <c r="Z30" s="172">
        <v>56075</v>
      </c>
      <c r="AA30" s="84">
        <f t="shared" si="7"/>
        <v>300323.98</v>
      </c>
      <c r="AB30" s="18">
        <v>17823.86</v>
      </c>
      <c r="AC30" s="18">
        <v>356398.98</v>
      </c>
      <c r="AD30" s="18"/>
      <c r="AE30" s="25">
        <f t="shared" si="10"/>
        <v>2021</v>
      </c>
      <c r="AF30" s="137"/>
      <c r="AG30" s="18">
        <v>0</v>
      </c>
      <c r="AH30" s="18">
        <v>0</v>
      </c>
      <c r="AI30" s="172">
        <v>0</v>
      </c>
      <c r="AJ30" s="172">
        <v>0</v>
      </c>
      <c r="AK30" s="172">
        <f t="shared" si="11"/>
        <v>0</v>
      </c>
      <c r="AL30" s="61"/>
      <c r="AM30" s="61"/>
      <c r="AN30" s="61"/>
      <c r="AO30" s="20"/>
      <c r="AP30" s="22"/>
      <c r="AQ30" s="172"/>
      <c r="AR30" s="61"/>
    </row>
    <row r="31" spans="1:44">
      <c r="A31" s="6">
        <f t="shared" si="8"/>
        <v>2022</v>
      </c>
      <c r="C31" s="494">
        <f>'Exhibit U,10'!K50</f>
        <v>5579054.418703963</v>
      </c>
      <c r="E31" s="74">
        <f>'Exhibit Q,8'!K35</f>
        <v>2.9897632875965237E-3</v>
      </c>
      <c r="G31" s="494">
        <f t="shared" si="0"/>
        <v>5562374.3666234193</v>
      </c>
      <c r="H31" s="494"/>
      <c r="I31" s="20">
        <f>'Exhibit U,10'!X50</f>
        <v>0</v>
      </c>
      <c r="J31" s="187"/>
      <c r="K31" s="494">
        <f t="shared" si="1"/>
        <v>4500</v>
      </c>
      <c r="L31" s="494"/>
      <c r="M31" s="494">
        <f t="shared" si="2"/>
        <v>0</v>
      </c>
      <c r="N31" s="187"/>
      <c r="O31" s="494">
        <f t="shared" si="4"/>
        <v>5566874.3666234193</v>
      </c>
      <c r="P31" s="187"/>
      <c r="Q31" s="494">
        <f t="shared" si="5"/>
        <v>1505135.8810474786</v>
      </c>
      <c r="R31" s="494"/>
      <c r="S31" s="17">
        <f t="shared" si="6"/>
        <v>1505135.8810474786</v>
      </c>
      <c r="T31" s="363"/>
      <c r="U31" s="25">
        <f t="shared" si="9"/>
        <v>2022</v>
      </c>
      <c r="V31" s="18">
        <v>4017772.8</v>
      </c>
      <c r="W31" s="31"/>
      <c r="X31" s="32"/>
      <c r="Y31" s="172"/>
      <c r="Z31" s="172"/>
      <c r="AA31" s="84">
        <f t="shared" si="7"/>
        <v>32500</v>
      </c>
      <c r="AB31" s="18">
        <v>4500</v>
      </c>
      <c r="AC31" s="18">
        <v>32500</v>
      </c>
      <c r="AD31" s="18"/>
      <c r="AE31" s="25">
        <f t="shared" si="10"/>
        <v>2022</v>
      </c>
      <c r="AF31" s="137"/>
      <c r="AG31" s="18">
        <v>0</v>
      </c>
      <c r="AH31" s="18">
        <v>0</v>
      </c>
      <c r="AI31" s="172">
        <v>0</v>
      </c>
      <c r="AJ31" s="172">
        <v>0</v>
      </c>
      <c r="AK31" s="172">
        <f t="shared" si="11"/>
        <v>0</v>
      </c>
      <c r="AL31" s="61"/>
      <c r="AM31" s="61"/>
      <c r="AN31" s="61"/>
      <c r="AO31" s="20"/>
      <c r="AP31" s="22"/>
      <c r="AQ31" s="172"/>
      <c r="AR31" s="61"/>
    </row>
    <row r="32" spans="1:44">
      <c r="A32" s="6"/>
      <c r="C32" s="200"/>
      <c r="E32" s="74"/>
      <c r="G32" s="200"/>
      <c r="H32" s="18"/>
      <c r="I32" s="200"/>
      <c r="J32" s="6"/>
      <c r="K32" s="200"/>
      <c r="L32" s="18"/>
      <c r="M32" s="200"/>
      <c r="N32" s="6"/>
      <c r="O32" s="200"/>
      <c r="Q32" s="200"/>
      <c r="S32" s="200"/>
      <c r="U32" s="97"/>
      <c r="V32" s="70"/>
      <c r="W32" s="70"/>
      <c r="X32" s="70"/>
      <c r="Y32" s="70"/>
      <c r="Z32" s="70"/>
      <c r="AA32" s="70"/>
      <c r="AB32" s="70"/>
      <c r="AC32" s="70"/>
      <c r="AD32" s="61"/>
      <c r="AE32" s="97"/>
      <c r="AF32" s="70"/>
      <c r="AG32" s="70"/>
      <c r="AH32" s="70"/>
      <c r="AI32" s="70"/>
      <c r="AJ32" s="70"/>
      <c r="AK32" s="70"/>
      <c r="AL32" s="61"/>
      <c r="AM32" s="61"/>
      <c r="AN32" s="61"/>
      <c r="AQ32" s="22"/>
      <c r="AR32" s="22"/>
    </row>
    <row r="33" spans="1:44">
      <c r="A33" s="2" t="s">
        <v>0</v>
      </c>
      <c r="C33" s="19">
        <f>SUM(C17:C32)</f>
        <v>127808419.34707414</v>
      </c>
      <c r="E33" s="19"/>
      <c r="G33" s="19">
        <f>SUM(G17:G32)</f>
        <v>43073340.241374604</v>
      </c>
      <c r="H33" s="19"/>
      <c r="I33" s="19">
        <f>SUM(I17:I32)</f>
        <v>1976000</v>
      </c>
      <c r="J33" s="6"/>
      <c r="K33" s="19">
        <f>SUM(K17:K32)</f>
        <v>78144381.689999998</v>
      </c>
      <c r="L33" s="19"/>
      <c r="M33" s="19">
        <f>SUM(M17:M32)</f>
        <v>9790023.0400000028</v>
      </c>
      <c r="N33" s="6"/>
      <c r="O33" s="19">
        <f>SUM(O17:O32)</f>
        <v>132983744.97137462</v>
      </c>
      <c r="Q33" s="19">
        <f>SUM(Q17:Q32)</f>
        <v>113487693.02789813</v>
      </c>
      <c r="R33" s="19"/>
      <c r="S33" s="19">
        <f>SUM(S17:S32)</f>
        <v>112987509.82928307</v>
      </c>
      <c r="U33" s="97" t="s">
        <v>0</v>
      </c>
      <c r="V33" s="122">
        <f>SUM(V17:V32)</f>
        <v>94546287.280000031</v>
      </c>
      <c r="W33" s="122">
        <f t="shared" ref="W33:AC33" si="12">SUM(W17:W32)</f>
        <v>0</v>
      </c>
      <c r="X33" s="122">
        <f t="shared" si="12"/>
        <v>0</v>
      </c>
      <c r="Y33" s="122">
        <f t="shared" si="12"/>
        <v>73851482.199999988</v>
      </c>
      <c r="Z33" s="122">
        <f t="shared" si="12"/>
        <v>105938433.17999998</v>
      </c>
      <c r="AA33" s="122">
        <f t="shared" si="12"/>
        <v>-2788957.5899999966</v>
      </c>
      <c r="AB33" s="122">
        <f t="shared" si="12"/>
        <v>87322703.189999983</v>
      </c>
      <c r="AC33" s="122">
        <f t="shared" si="12"/>
        <v>103149475.58999999</v>
      </c>
      <c r="AD33" s="122"/>
      <c r="AE33" s="97" t="s">
        <v>0</v>
      </c>
      <c r="AF33" s="122">
        <f t="shared" ref="AF33:AJ33" si="13">SUM(AF17:AF32)</f>
        <v>5798013.3099999996</v>
      </c>
      <c r="AG33" s="122">
        <f t="shared" si="13"/>
        <v>9178321.4999999963</v>
      </c>
      <c r="AH33" s="122">
        <f t="shared" si="13"/>
        <v>9790023.0400000028</v>
      </c>
      <c r="AI33" s="122">
        <f t="shared" si="13"/>
        <v>8165500.5499999998</v>
      </c>
      <c r="AJ33" s="122">
        <f t="shared" si="13"/>
        <v>9713292.4500000011</v>
      </c>
      <c r="AK33" s="122">
        <f t="shared" ref="AK33" si="14">SUM(AK17:AK32)</f>
        <v>76730.590000001452</v>
      </c>
      <c r="AL33" s="61"/>
      <c r="AM33" s="61"/>
      <c r="AN33" s="61"/>
      <c r="AO33" s="565"/>
      <c r="AP33" s="95"/>
      <c r="AQ33" s="122"/>
      <c r="AR33" s="122"/>
    </row>
    <row r="34" spans="1:44">
      <c r="E34" s="74"/>
      <c r="K34" s="187"/>
      <c r="L34" s="187"/>
      <c r="M34" s="187"/>
      <c r="N34" s="187"/>
      <c r="O34" s="187">
        <f>'Exhibit U,10'!I52-I33-M33</f>
        <v>0</v>
      </c>
      <c r="U34" s="61"/>
      <c r="V34" s="61"/>
      <c r="W34" s="61"/>
      <c r="X34" s="61"/>
      <c r="Y34" s="61"/>
      <c r="Z34" s="61"/>
      <c r="AA34" s="61"/>
      <c r="AB34" s="61"/>
      <c r="AC34" s="61"/>
      <c r="AD34" s="172"/>
      <c r="AE34" s="61"/>
      <c r="AF34" s="61"/>
      <c r="AG34" s="61"/>
      <c r="AH34" s="61"/>
      <c r="AI34" s="61"/>
      <c r="AJ34" s="61"/>
      <c r="AK34" s="61"/>
      <c r="AL34" s="61"/>
      <c r="AM34" s="61"/>
      <c r="AN34" s="61"/>
    </row>
    <row r="35" spans="1:44" ht="16">
      <c r="A35" s="15" t="s">
        <v>118</v>
      </c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U35" s="61"/>
      <c r="V35" s="61"/>
      <c r="W35" s="61"/>
      <c r="X35" s="61"/>
      <c r="Y35" s="61"/>
      <c r="Z35" s="61"/>
      <c r="AA35" s="61"/>
      <c r="AB35" s="18">
        <v>184600.72</v>
      </c>
      <c r="AC35" s="18">
        <v>184600.72</v>
      </c>
      <c r="AD35" s="61"/>
      <c r="AE35" s="61"/>
      <c r="AF35" s="61"/>
      <c r="AG35" s="18"/>
      <c r="AH35" s="18"/>
      <c r="AI35" s="61"/>
      <c r="AJ35" s="61"/>
      <c r="AK35" s="61"/>
      <c r="AL35" s="18"/>
      <c r="AM35" s="18"/>
    </row>
    <row r="36" spans="1:44">
      <c r="A36" s="6">
        <f>A17</f>
        <v>2008</v>
      </c>
      <c r="C36" s="147">
        <f>'Exhibit U,12'!G37</f>
        <v>1911758.4000000001</v>
      </c>
      <c r="E36" s="74">
        <v>1</v>
      </c>
      <c r="G36" s="497">
        <f t="shared" ref="G36:G50" si="15">C36*(1-E36)</f>
        <v>0</v>
      </c>
      <c r="H36" s="497"/>
      <c r="I36" s="497">
        <f>I17-'Exhibit U,12'!W37</f>
        <v>0</v>
      </c>
      <c r="J36" s="497"/>
      <c r="K36" s="147">
        <f>AB36-AG36</f>
        <v>1871146.2100000002</v>
      </c>
      <c r="L36" s="497"/>
      <c r="M36" s="147">
        <f t="shared" ref="M36:M50" si="16">AH36</f>
        <v>0</v>
      </c>
      <c r="N36" s="497"/>
      <c r="O36" s="147">
        <f>K36+G36+I36+M36</f>
        <v>1871146.2100000002</v>
      </c>
      <c r="P36" s="147"/>
      <c r="Q36" s="147">
        <f>K36/E36+I36+M36</f>
        <v>1871146.2100000002</v>
      </c>
      <c r="R36" s="147"/>
      <c r="S36" s="147">
        <f>(K36+M36)/E36</f>
        <v>1871146.2100000002</v>
      </c>
      <c r="U36" s="6">
        <f>A17</f>
        <v>2008</v>
      </c>
      <c r="V36" s="54"/>
      <c r="W36" s="66"/>
      <c r="X36" s="66"/>
      <c r="Y36" s="172">
        <v>1871146.2100000002</v>
      </c>
      <c r="Z36" s="172">
        <v>1871146.2100000002</v>
      </c>
      <c r="AA36" s="84">
        <f>AC36-Z36</f>
        <v>0</v>
      </c>
      <c r="AB36" s="18">
        <v>1871146.2100000002</v>
      </c>
      <c r="AC36" s="18">
        <v>1871146.2100000002</v>
      </c>
      <c r="AE36" s="6">
        <f>A17</f>
        <v>2008</v>
      </c>
      <c r="AF36" s="196"/>
      <c r="AG36" s="18">
        <v>0</v>
      </c>
      <c r="AH36" s="18">
        <v>0</v>
      </c>
      <c r="AI36" s="17">
        <v>0</v>
      </c>
      <c r="AJ36" s="17">
        <v>0</v>
      </c>
      <c r="AK36" s="16"/>
      <c r="AL36" s="18"/>
      <c r="AM36" s="17"/>
      <c r="AN36" s="17"/>
      <c r="AO36" s="16"/>
    </row>
    <row r="37" spans="1:44">
      <c r="A37" s="6">
        <f>A36+1</f>
        <v>2009</v>
      </c>
      <c r="C37" s="494">
        <f>'Exhibit U,12'!G38</f>
        <v>2191506.25</v>
      </c>
      <c r="E37" s="128">
        <f t="shared" ref="E37:E49" si="17">E18*(11/12)+E17*(1/12)</f>
        <v>0.99999388758490704</v>
      </c>
      <c r="G37" s="494">
        <f t="shared" si="15"/>
        <v>13.395395878821791</v>
      </c>
      <c r="H37" s="494"/>
      <c r="I37" s="494">
        <f>I18-'Exhibit U,12'!W38</f>
        <v>0</v>
      </c>
      <c r="J37" s="187"/>
      <c r="K37" s="17">
        <f t="shared" ref="K37:K50" si="18">AB37-AG37</f>
        <v>2191506.25</v>
      </c>
      <c r="L37" s="187"/>
      <c r="M37" s="17">
        <f t="shared" si="16"/>
        <v>0</v>
      </c>
      <c r="N37" s="494"/>
      <c r="O37" s="494">
        <f t="shared" ref="O37:O50" si="19">K37+G37+I37+M37</f>
        <v>2191519.6453958787</v>
      </c>
      <c r="P37" s="187"/>
      <c r="Q37" s="494">
        <f t="shared" ref="Q37:Q50" si="20">K37/E37+I37+M37</f>
        <v>2191519.6454777573</v>
      </c>
      <c r="R37" s="494"/>
      <c r="S37" s="17">
        <f t="shared" ref="S37:S50" si="21">(K37+M37)/E37</f>
        <v>2191519.6454777573</v>
      </c>
      <c r="U37" s="6">
        <f>U36+1</f>
        <v>2009</v>
      </c>
      <c r="V37" s="54"/>
      <c r="W37" s="20"/>
      <c r="X37" s="20"/>
      <c r="Y37" s="172">
        <v>2191506.25</v>
      </c>
      <c r="Z37" s="172">
        <v>2191506.25</v>
      </c>
      <c r="AA37" s="84">
        <f t="shared" ref="AA37:AA50" si="22">AC37-Z37</f>
        <v>0</v>
      </c>
      <c r="AB37" s="18">
        <v>2191506.25</v>
      </c>
      <c r="AC37" s="18">
        <v>2191506.25</v>
      </c>
      <c r="AD37" s="20"/>
      <c r="AE37" s="6">
        <f>AE36+1</f>
        <v>2009</v>
      </c>
      <c r="AF37" s="54"/>
      <c r="AG37" s="18">
        <v>0</v>
      </c>
      <c r="AH37" s="18">
        <v>0</v>
      </c>
      <c r="AI37" s="17">
        <v>0</v>
      </c>
      <c r="AJ37" s="17">
        <v>0</v>
      </c>
      <c r="AK37" s="17">
        <f>AK18</f>
        <v>0</v>
      </c>
      <c r="AL37" s="18"/>
      <c r="AM37" s="17"/>
      <c r="AN37" s="17"/>
      <c r="AO37" s="17"/>
    </row>
    <row r="38" spans="1:44">
      <c r="A38" s="6">
        <f t="shared" ref="A38:A50" si="23">A37+1</f>
        <v>2010</v>
      </c>
      <c r="C38" s="494">
        <f>'Exhibit U,12'!G39</f>
        <v>8479335.2699999996</v>
      </c>
      <c r="E38" s="128">
        <f t="shared" si="17"/>
        <v>0.99965679588825274</v>
      </c>
      <c r="G38" s="494">
        <f t="shared" si="15"/>
        <v>2910.1427295475964</v>
      </c>
      <c r="H38" s="494"/>
      <c r="I38" s="494">
        <f>I19-'Exhibit U,12'!W39</f>
        <v>0</v>
      </c>
      <c r="J38" s="187"/>
      <c r="K38" s="17">
        <f t="shared" si="18"/>
        <v>6627825.4199999999</v>
      </c>
      <c r="L38" s="187"/>
      <c r="M38" s="17">
        <f t="shared" si="16"/>
        <v>0</v>
      </c>
      <c r="N38" s="494"/>
      <c r="O38" s="494">
        <f t="shared" si="19"/>
        <v>6630735.5627295477</v>
      </c>
      <c r="P38" s="187"/>
      <c r="Q38" s="494">
        <f t="shared" si="20"/>
        <v>6630100.8978894548</v>
      </c>
      <c r="R38" s="494"/>
      <c r="S38" s="17">
        <f t="shared" si="21"/>
        <v>6630100.8978894548</v>
      </c>
      <c r="U38" s="6">
        <f t="shared" ref="U38:U50" si="24">U37+1</f>
        <v>2010</v>
      </c>
      <c r="V38" s="54"/>
      <c r="W38" s="20"/>
      <c r="X38" s="20"/>
      <c r="Y38" s="172">
        <v>6625610.4199999999</v>
      </c>
      <c r="Z38" s="172">
        <v>6627582.2400000002</v>
      </c>
      <c r="AA38" s="84">
        <f t="shared" si="22"/>
        <v>243.17999999970198</v>
      </c>
      <c r="AB38" s="18">
        <v>6627825.4199999999</v>
      </c>
      <c r="AC38" s="18">
        <v>6627825.4199999999</v>
      </c>
      <c r="AD38" s="20"/>
      <c r="AE38" s="6">
        <f t="shared" ref="AE38:AE50" si="25">AE37+1</f>
        <v>2010</v>
      </c>
      <c r="AF38" s="54"/>
      <c r="AG38" s="18">
        <v>0</v>
      </c>
      <c r="AH38" s="18">
        <v>0</v>
      </c>
      <c r="AI38" s="17">
        <v>0</v>
      </c>
      <c r="AJ38" s="17">
        <v>0</v>
      </c>
      <c r="AK38" s="17">
        <f t="shared" ref="AK38:AK50" si="26">AK19</f>
        <v>0</v>
      </c>
      <c r="AL38" s="18"/>
      <c r="AM38" s="17"/>
      <c r="AN38" s="17"/>
      <c r="AO38" s="17"/>
    </row>
    <row r="39" spans="1:44">
      <c r="A39" s="6">
        <f t="shared" si="23"/>
        <v>2011</v>
      </c>
      <c r="C39" s="494">
        <f>'Exhibit U,12'!G40</f>
        <v>6315267.6400000006</v>
      </c>
      <c r="E39" s="128">
        <f t="shared" si="17"/>
        <v>0.99695549680456719</v>
      </c>
      <c r="G39" s="494">
        <f t="shared" si="15"/>
        <v>19226.852509993441</v>
      </c>
      <c r="H39" s="494"/>
      <c r="I39" s="494">
        <f>I20-'Exhibit U,12'!W40</f>
        <v>0</v>
      </c>
      <c r="J39" s="187"/>
      <c r="K39" s="17">
        <f t="shared" si="18"/>
        <v>6221285.9700000007</v>
      </c>
      <c r="L39" s="187"/>
      <c r="M39" s="17">
        <f t="shared" si="16"/>
        <v>0</v>
      </c>
      <c r="N39" s="494"/>
      <c r="O39" s="494">
        <f t="shared" si="19"/>
        <v>6240512.8225099938</v>
      </c>
      <c r="P39" s="187"/>
      <c r="Q39" s="494">
        <f t="shared" si="20"/>
        <v>6240284.5362109048</v>
      </c>
      <c r="R39" s="494"/>
      <c r="S39" s="17">
        <f t="shared" si="21"/>
        <v>6240284.5362109048</v>
      </c>
      <c r="U39" s="6">
        <f t="shared" si="24"/>
        <v>2011</v>
      </c>
      <c r="V39" s="54">
        <v>5275483.3127475921</v>
      </c>
      <c r="W39" s="20"/>
      <c r="X39" s="20"/>
      <c r="Y39" s="172">
        <v>6199259.1100000003</v>
      </c>
      <c r="Z39" s="172">
        <v>6742250.5600000005</v>
      </c>
      <c r="AA39" s="84">
        <f t="shared" si="22"/>
        <v>-520964.58999999985</v>
      </c>
      <c r="AB39" s="18">
        <v>6221285.9700000007</v>
      </c>
      <c r="AC39" s="18">
        <v>6221285.9700000007</v>
      </c>
      <c r="AD39" s="20"/>
      <c r="AE39" s="6">
        <f t="shared" si="25"/>
        <v>2011</v>
      </c>
      <c r="AF39" s="54"/>
      <c r="AG39" s="18">
        <v>0</v>
      </c>
      <c r="AH39" s="18">
        <v>0</v>
      </c>
      <c r="AI39" s="17">
        <v>0</v>
      </c>
      <c r="AJ39" s="17">
        <v>0</v>
      </c>
      <c r="AK39" s="17">
        <f t="shared" si="26"/>
        <v>0</v>
      </c>
      <c r="AL39" s="18"/>
      <c r="AM39" s="17"/>
      <c r="AN39" s="17"/>
      <c r="AO39" s="17"/>
    </row>
    <row r="40" spans="1:44">
      <c r="A40" s="6">
        <f t="shared" si="23"/>
        <v>2012</v>
      </c>
      <c r="C40" s="494">
        <f>'Exhibit U,12'!G41</f>
        <v>15461823.328420902</v>
      </c>
      <c r="E40" s="128">
        <f t="shared" si="17"/>
        <v>0.98692997998618492</v>
      </c>
      <c r="G40" s="494">
        <f t="shared" si="15"/>
        <v>202086.34035253403</v>
      </c>
      <c r="H40" s="494"/>
      <c r="I40" s="494">
        <f>I21-'Exhibit U,12'!W41</f>
        <v>0</v>
      </c>
      <c r="J40" s="187"/>
      <c r="K40" s="17">
        <f t="shared" si="18"/>
        <v>11671607.08</v>
      </c>
      <c r="L40" s="187"/>
      <c r="M40" s="17">
        <f t="shared" si="16"/>
        <v>1795366.2599999998</v>
      </c>
      <c r="N40" s="494"/>
      <c r="O40" s="494">
        <f t="shared" si="19"/>
        <v>13669059.680352533</v>
      </c>
      <c r="P40" s="187"/>
      <c r="Q40" s="494">
        <f t="shared" si="20"/>
        <v>13621541.689551121</v>
      </c>
      <c r="R40" s="494"/>
      <c r="S40" s="17">
        <f t="shared" si="21"/>
        <v>13645317.918286879</v>
      </c>
      <c r="U40" s="6">
        <f t="shared" si="24"/>
        <v>2012</v>
      </c>
      <c r="V40" s="54">
        <v>7630803.7331443904</v>
      </c>
      <c r="W40" s="20"/>
      <c r="X40" s="20"/>
      <c r="Y40" s="172">
        <v>12578900.01</v>
      </c>
      <c r="Z40" s="172">
        <v>14944762.539999999</v>
      </c>
      <c r="AA40" s="84">
        <f t="shared" si="22"/>
        <v>-1133070.2999999989</v>
      </c>
      <c r="AB40" s="18">
        <v>13466973.34</v>
      </c>
      <c r="AC40" s="18">
        <v>13811692.24</v>
      </c>
      <c r="AD40" s="20"/>
      <c r="AE40" s="6">
        <f t="shared" si="25"/>
        <v>2012</v>
      </c>
      <c r="AF40" s="54"/>
      <c r="AG40" s="18">
        <v>1795366.2599999998</v>
      </c>
      <c r="AH40" s="18">
        <v>1795366.2599999998</v>
      </c>
      <c r="AI40" s="17">
        <v>1795366.2600000002</v>
      </c>
      <c r="AJ40" s="17">
        <v>1795366.26</v>
      </c>
      <c r="AK40" s="17">
        <f t="shared" si="26"/>
        <v>0</v>
      </c>
      <c r="AL40" s="18"/>
      <c r="AM40" s="17"/>
      <c r="AN40" s="17"/>
      <c r="AO40" s="17"/>
    </row>
    <row r="41" spans="1:44">
      <c r="A41" s="6">
        <f t="shared" si="23"/>
        <v>2013</v>
      </c>
      <c r="C41" s="494">
        <f>'Exhibit U,12'!G42</f>
        <v>17358241.969999999</v>
      </c>
      <c r="E41" s="128">
        <f t="shared" si="17"/>
        <v>0.96168192729333357</v>
      </c>
      <c r="G41" s="494">
        <f t="shared" si="15"/>
        <v>665134.37786636862</v>
      </c>
      <c r="H41" s="494"/>
      <c r="I41" s="494">
        <f>I22-'Exhibit U,12'!W42</f>
        <v>0</v>
      </c>
      <c r="J41" s="187"/>
      <c r="K41" s="17">
        <f t="shared" si="18"/>
        <v>11357940.779999997</v>
      </c>
      <c r="L41" s="187"/>
      <c r="M41" s="17">
        <f t="shared" si="16"/>
        <v>1114631.2800000012</v>
      </c>
      <c r="N41" s="494"/>
      <c r="O41" s="494">
        <f t="shared" si="19"/>
        <v>13137706.437866367</v>
      </c>
      <c r="P41" s="187"/>
      <c r="Q41" s="494">
        <f t="shared" si="20"/>
        <v>12925127.513372162</v>
      </c>
      <c r="R41" s="494"/>
      <c r="S41" s="17">
        <f t="shared" si="21"/>
        <v>12969539.830185035</v>
      </c>
      <c r="U41" s="6">
        <f t="shared" si="24"/>
        <v>2013</v>
      </c>
      <c r="V41" s="54">
        <v>8356960.9414274003</v>
      </c>
      <c r="W41" s="20"/>
      <c r="X41" s="20"/>
      <c r="Y41" s="172">
        <v>10234800.409999998</v>
      </c>
      <c r="Z41" s="172">
        <v>16033483.919999998</v>
      </c>
      <c r="AA41" s="84">
        <f t="shared" si="22"/>
        <v>-1596653.5</v>
      </c>
      <c r="AB41" s="18">
        <v>12472572.059999999</v>
      </c>
      <c r="AC41" s="18">
        <v>14436830.419999998</v>
      </c>
      <c r="AD41" s="20"/>
      <c r="AE41" s="6">
        <f t="shared" si="25"/>
        <v>2013</v>
      </c>
      <c r="AF41" s="54"/>
      <c r="AG41" s="18">
        <v>1114631.2800000012</v>
      </c>
      <c r="AH41" s="18">
        <v>1114631.2800000012</v>
      </c>
      <c r="AI41" s="17">
        <v>1114631.28</v>
      </c>
      <c r="AJ41" s="17">
        <v>1114631.28</v>
      </c>
      <c r="AK41" s="17">
        <f t="shared" si="26"/>
        <v>0</v>
      </c>
      <c r="AL41" s="18"/>
      <c r="AM41" s="17"/>
      <c r="AN41" s="17"/>
      <c r="AO41" s="17"/>
    </row>
    <row r="42" spans="1:44">
      <c r="A42" s="6">
        <f t="shared" si="23"/>
        <v>2014</v>
      </c>
      <c r="C42" s="494">
        <f>'Exhibit U,12'!G43</f>
        <v>17774074.296360999</v>
      </c>
      <c r="E42" s="128">
        <f t="shared" si="17"/>
        <v>0.90802771996233722</v>
      </c>
      <c r="G42" s="494">
        <f t="shared" si="15"/>
        <v>1634722.1385951377</v>
      </c>
      <c r="H42" s="494"/>
      <c r="I42" s="494">
        <f>I23-'Exhibit U,12'!W43</f>
        <v>0</v>
      </c>
      <c r="J42" s="187"/>
      <c r="K42" s="17">
        <f t="shared" si="18"/>
        <v>9146126.4199999981</v>
      </c>
      <c r="L42" s="187"/>
      <c r="M42" s="17">
        <f t="shared" si="16"/>
        <v>3837154.9299999978</v>
      </c>
      <c r="N42" s="494"/>
      <c r="O42" s="494">
        <f t="shared" si="19"/>
        <v>14618003.488595134</v>
      </c>
      <c r="P42" s="187"/>
      <c r="Q42" s="494">
        <f t="shared" si="20"/>
        <v>13909673.883914044</v>
      </c>
      <c r="R42" s="494"/>
      <c r="S42" s="17">
        <f t="shared" si="21"/>
        <v>14298331.498666704</v>
      </c>
      <c r="U42" s="6">
        <f t="shared" si="24"/>
        <v>2014</v>
      </c>
      <c r="V42" s="54">
        <v>8421533.8069613818</v>
      </c>
      <c r="W42" s="20"/>
      <c r="X42" s="20"/>
      <c r="Y42" s="172">
        <v>11684252.199999999</v>
      </c>
      <c r="Z42" s="172">
        <v>17747162.889999997</v>
      </c>
      <c r="AA42" s="84">
        <f t="shared" si="22"/>
        <v>-1346251.209999999</v>
      </c>
      <c r="AB42" s="18">
        <v>12983281.349999998</v>
      </c>
      <c r="AC42" s="18">
        <v>16400911.679999998</v>
      </c>
      <c r="AD42" s="20"/>
      <c r="AE42" s="6">
        <f t="shared" si="25"/>
        <v>2014</v>
      </c>
      <c r="AF42" s="54"/>
      <c r="AG42" s="18">
        <v>3837154.9299999997</v>
      </c>
      <c r="AH42" s="18">
        <v>3837154.9299999978</v>
      </c>
      <c r="AI42" s="17">
        <v>3059125.4399999995</v>
      </c>
      <c r="AJ42" s="17">
        <v>4072387.38</v>
      </c>
      <c r="AK42" s="17">
        <f t="shared" si="26"/>
        <v>-235232.44999999832</v>
      </c>
      <c r="AL42" s="18"/>
      <c r="AM42" s="17"/>
      <c r="AN42" s="17"/>
      <c r="AO42" s="17"/>
    </row>
    <row r="43" spans="1:44">
      <c r="A43" s="6">
        <f t="shared" si="23"/>
        <v>2015</v>
      </c>
      <c r="C43" s="494">
        <f>'Exhibit U,12'!G44</f>
        <v>4064067.5546318418</v>
      </c>
      <c r="E43" s="128">
        <f t="shared" si="17"/>
        <v>0.81300215810542364</v>
      </c>
      <c r="G43" s="494">
        <f t="shared" si="15"/>
        <v>759971.86202992266</v>
      </c>
      <c r="H43" s="494"/>
      <c r="I43" s="494">
        <f>I24-'Exhibit U,12'!W44</f>
        <v>0</v>
      </c>
      <c r="J43" s="187"/>
      <c r="K43" s="17">
        <f t="shared" si="18"/>
        <v>2420885.2499999995</v>
      </c>
      <c r="L43" s="187"/>
      <c r="M43" s="17">
        <f t="shared" si="16"/>
        <v>36491.240000000224</v>
      </c>
      <c r="N43" s="494"/>
      <c r="O43" s="494">
        <f t="shared" si="19"/>
        <v>3217348.3520299224</v>
      </c>
      <c r="P43" s="187"/>
      <c r="Q43" s="494">
        <f t="shared" si="20"/>
        <v>3014201.9703644803</v>
      </c>
      <c r="R43" s="494"/>
      <c r="S43" s="17">
        <f t="shared" si="21"/>
        <v>3022595.2852653395</v>
      </c>
      <c r="U43" s="6">
        <f t="shared" si="24"/>
        <v>2015</v>
      </c>
      <c r="V43" s="54">
        <v>8575677.4148845784</v>
      </c>
      <c r="W43" s="20"/>
      <c r="X43" s="20"/>
      <c r="Y43" s="172">
        <v>1161076.8900000001</v>
      </c>
      <c r="Z43" s="172">
        <v>3767684.3400000003</v>
      </c>
      <c r="AA43" s="84">
        <f t="shared" si="22"/>
        <v>-221451.86000000034</v>
      </c>
      <c r="AB43" s="18">
        <v>2457376.4899999998</v>
      </c>
      <c r="AC43" s="18">
        <v>3546232.48</v>
      </c>
      <c r="AD43" s="20"/>
      <c r="AE43" s="6">
        <f t="shared" si="25"/>
        <v>2015</v>
      </c>
      <c r="AF43" s="54"/>
      <c r="AG43" s="18">
        <v>36491.240000000224</v>
      </c>
      <c r="AH43" s="18">
        <v>36491.240000000224</v>
      </c>
      <c r="AI43" s="17">
        <v>36491.24</v>
      </c>
      <c r="AJ43" s="17">
        <v>36491.24</v>
      </c>
      <c r="AK43" s="17">
        <f t="shared" si="26"/>
        <v>2.255546860396862E-10</v>
      </c>
      <c r="AL43" s="18"/>
      <c r="AM43" s="17"/>
      <c r="AN43" s="17"/>
      <c r="AO43" s="17"/>
    </row>
    <row r="44" spans="1:44">
      <c r="A44" s="6">
        <f t="shared" si="23"/>
        <v>2016</v>
      </c>
      <c r="C44" s="494">
        <f>'Exhibit U,12'!G45</f>
        <v>3681912.3926565112</v>
      </c>
      <c r="E44" s="128">
        <f t="shared" si="17"/>
        <v>0.67745009694596559</v>
      </c>
      <c r="G44" s="494">
        <f t="shared" si="15"/>
        <v>1187600.4853048057</v>
      </c>
      <c r="H44" s="494"/>
      <c r="I44" s="494">
        <f>I25-'Exhibit U,12'!W45</f>
        <v>395200</v>
      </c>
      <c r="J44" s="187"/>
      <c r="K44" s="17">
        <f t="shared" si="18"/>
        <v>4253823.3900000006</v>
      </c>
      <c r="L44" s="187"/>
      <c r="M44" s="17">
        <f t="shared" si="16"/>
        <v>950805.66999999993</v>
      </c>
      <c r="N44" s="494"/>
      <c r="O44" s="494">
        <f t="shared" si="19"/>
        <v>6787429.545304806</v>
      </c>
      <c r="P44" s="187"/>
      <c r="Q44" s="494">
        <f t="shared" si="20"/>
        <v>7625174.2894699769</v>
      </c>
      <c r="R44" s="494"/>
      <c r="S44" s="17">
        <f t="shared" si="21"/>
        <v>7682675.2014106354</v>
      </c>
      <c r="U44" s="6">
        <f t="shared" si="24"/>
        <v>2016</v>
      </c>
      <c r="V44" s="54">
        <v>9386397.8707625065</v>
      </c>
      <c r="W44" s="20"/>
      <c r="X44" s="20"/>
      <c r="Y44" s="172">
        <v>2407160.3199999994</v>
      </c>
      <c r="Z44" s="172">
        <v>6350112.6299999999</v>
      </c>
      <c r="AA44" s="84">
        <f t="shared" si="22"/>
        <v>1329421.6200000001</v>
      </c>
      <c r="AB44" s="18">
        <v>4736396.97</v>
      </c>
      <c r="AC44" s="18">
        <v>7679534.25</v>
      </c>
      <c r="AD44" s="20"/>
      <c r="AE44" s="6">
        <f t="shared" si="25"/>
        <v>2016</v>
      </c>
      <c r="AF44" s="54"/>
      <c r="AG44" s="18">
        <v>482573.57999999914</v>
      </c>
      <c r="AH44" s="18">
        <v>950805.66999999993</v>
      </c>
      <c r="AI44" s="17">
        <v>289811.09000000003</v>
      </c>
      <c r="AJ44" s="17">
        <v>635842.63</v>
      </c>
      <c r="AK44" s="17">
        <f t="shared" si="26"/>
        <v>314963.03999999992</v>
      </c>
      <c r="AL44" s="18"/>
      <c r="AM44" s="17"/>
      <c r="AN44" s="17"/>
      <c r="AO44" s="17"/>
    </row>
    <row r="45" spans="1:44">
      <c r="A45" s="6">
        <f t="shared" si="23"/>
        <v>2017</v>
      </c>
      <c r="C45" s="494">
        <f>'Exhibit U,12'!G46</f>
        <v>11261564.203882288</v>
      </c>
      <c r="E45" s="128">
        <f t="shared" si="17"/>
        <v>0.51434737192253621</v>
      </c>
      <c r="G45" s="494">
        <f t="shared" si="15"/>
        <v>5469208.2518785242</v>
      </c>
      <c r="H45" s="494"/>
      <c r="I45" s="494">
        <f>I26-'Exhibit U,12'!W46</f>
        <v>790400</v>
      </c>
      <c r="J45" s="187"/>
      <c r="K45" s="17">
        <f t="shared" si="18"/>
        <v>4022369.9799999995</v>
      </c>
      <c r="L45" s="187"/>
      <c r="M45" s="17">
        <f t="shared" si="16"/>
        <v>145939.23000000045</v>
      </c>
      <c r="N45" s="494"/>
      <c r="O45" s="494">
        <f t="shared" si="19"/>
        <v>10427917.461878523</v>
      </c>
      <c r="P45" s="187"/>
      <c r="Q45" s="494">
        <f t="shared" si="20"/>
        <v>8756676.6120403074</v>
      </c>
      <c r="R45" s="494"/>
      <c r="S45" s="17">
        <f t="shared" si="21"/>
        <v>8104074.0898891427</v>
      </c>
      <c r="U45" s="6">
        <f t="shared" si="24"/>
        <v>2017</v>
      </c>
      <c r="V45" s="54">
        <v>9788898.7284090389</v>
      </c>
      <c r="W45" s="20"/>
      <c r="X45" s="20"/>
      <c r="Y45" s="172">
        <v>2577500.9699999997</v>
      </c>
      <c r="Z45" s="172">
        <v>5765483.4199999999</v>
      </c>
      <c r="AA45" s="84">
        <f t="shared" si="22"/>
        <v>-80973.679999999702</v>
      </c>
      <c r="AB45" s="18">
        <v>4058756.9299999997</v>
      </c>
      <c r="AC45" s="18">
        <v>5684509.7400000002</v>
      </c>
      <c r="AD45" s="20"/>
      <c r="AE45" s="6">
        <f t="shared" si="25"/>
        <v>2017</v>
      </c>
      <c r="AF45" s="54"/>
      <c r="AG45" s="18">
        <v>36386.950000000186</v>
      </c>
      <c r="AH45" s="18">
        <v>145939.23000000045</v>
      </c>
      <c r="AI45" s="17">
        <v>29927.46</v>
      </c>
      <c r="AJ45" s="17">
        <v>183939.23</v>
      </c>
      <c r="AK45" s="17">
        <f t="shared" si="26"/>
        <v>-38000.000000000495</v>
      </c>
      <c r="AL45" s="18"/>
      <c r="AM45" s="17"/>
      <c r="AN45" s="17"/>
      <c r="AO45" s="17"/>
    </row>
    <row r="46" spans="1:44">
      <c r="A46" s="6">
        <f t="shared" si="23"/>
        <v>2018</v>
      </c>
      <c r="C46" s="494">
        <f>'Exhibit U,12'!G47</f>
        <v>6346472.3904601019</v>
      </c>
      <c r="E46" s="128">
        <f t="shared" si="17"/>
        <v>0.34250701362877711</v>
      </c>
      <c r="G46" s="494">
        <f t="shared" si="15"/>
        <v>4172761.0849261261</v>
      </c>
      <c r="H46" s="494"/>
      <c r="I46" s="494">
        <f>I27-'Exhibit U,12'!W47</f>
        <v>790400</v>
      </c>
      <c r="J46" s="187"/>
      <c r="K46" s="17">
        <f t="shared" si="18"/>
        <v>1362663.12</v>
      </c>
      <c r="L46" s="187"/>
      <c r="M46" s="17">
        <f t="shared" si="16"/>
        <v>105874.37000000011</v>
      </c>
      <c r="N46" s="494"/>
      <c r="O46" s="494">
        <f t="shared" si="19"/>
        <v>6431698.5749261258</v>
      </c>
      <c r="P46" s="187"/>
      <c r="Q46" s="494">
        <f t="shared" si="20"/>
        <v>4874771.3518951191</v>
      </c>
      <c r="R46" s="494"/>
      <c r="S46" s="17">
        <f t="shared" si="21"/>
        <v>4287612.9000723483</v>
      </c>
      <c r="U46" s="6">
        <f t="shared" si="24"/>
        <v>2018</v>
      </c>
      <c r="V46" s="54">
        <v>6493947.3895647256</v>
      </c>
      <c r="W46" s="20"/>
      <c r="X46" s="20"/>
      <c r="Y46" s="172">
        <v>1282886.77</v>
      </c>
      <c r="Z46" s="172">
        <v>2736148.46</v>
      </c>
      <c r="AA46" s="84">
        <f t="shared" si="22"/>
        <v>508173</v>
      </c>
      <c r="AB46" s="18">
        <v>1434620.3199999998</v>
      </c>
      <c r="AC46" s="18">
        <v>3244321.46</v>
      </c>
      <c r="AD46" s="20"/>
      <c r="AE46" s="6">
        <f t="shared" si="25"/>
        <v>2018</v>
      </c>
      <c r="AF46" s="54"/>
      <c r="AG46" s="18">
        <v>71957.199999999721</v>
      </c>
      <c r="AH46" s="18">
        <v>105874.37000000011</v>
      </c>
      <c r="AI46" s="17">
        <v>36387.72</v>
      </c>
      <c r="AJ46" s="17">
        <v>70874.37</v>
      </c>
      <c r="AK46" s="17">
        <f t="shared" si="26"/>
        <v>35000.000000000116</v>
      </c>
      <c r="AL46" s="18"/>
      <c r="AM46" s="17"/>
      <c r="AN46" s="17"/>
      <c r="AO46" s="17"/>
    </row>
    <row r="47" spans="1:44">
      <c r="A47" s="6">
        <f t="shared" si="23"/>
        <v>2019</v>
      </c>
      <c r="C47" s="494">
        <f>'Exhibit U,12'!G48</f>
        <v>5961623.4822161375</v>
      </c>
      <c r="E47" s="128">
        <f t="shared" si="17"/>
        <v>0.19509902413295671</v>
      </c>
      <c r="G47" s="494">
        <f t="shared" si="15"/>
        <v>4798516.5585876498</v>
      </c>
      <c r="H47" s="494"/>
      <c r="I47" s="494">
        <f>I28-'Exhibit U,12'!W48</f>
        <v>0</v>
      </c>
      <c r="J47" s="187"/>
      <c r="K47" s="17">
        <f t="shared" si="18"/>
        <v>720132.63</v>
      </c>
      <c r="L47" s="187"/>
      <c r="M47" s="17">
        <f t="shared" si="16"/>
        <v>0</v>
      </c>
      <c r="N47" s="494"/>
      <c r="O47" s="494">
        <f t="shared" si="19"/>
        <v>5518649.1885876497</v>
      </c>
      <c r="P47" s="187"/>
      <c r="Q47" s="494">
        <f t="shared" si="20"/>
        <v>3691113.4394462258</v>
      </c>
      <c r="R47" s="494"/>
      <c r="S47" s="17">
        <f t="shared" si="21"/>
        <v>3691113.4394462258</v>
      </c>
      <c r="U47" s="6">
        <f t="shared" si="24"/>
        <v>2019</v>
      </c>
      <c r="V47" s="54">
        <v>5172215.9608762357</v>
      </c>
      <c r="W47" s="20"/>
      <c r="X47" s="20"/>
      <c r="Y47" s="172">
        <v>590489.24</v>
      </c>
      <c r="Z47" s="172">
        <v>1414688.76</v>
      </c>
      <c r="AA47" s="84">
        <f t="shared" si="22"/>
        <v>193429.11999999988</v>
      </c>
      <c r="AB47" s="18">
        <v>720132.63</v>
      </c>
      <c r="AC47" s="18">
        <v>1608117.88</v>
      </c>
      <c r="AD47" s="20"/>
      <c r="AE47" s="6">
        <f t="shared" si="25"/>
        <v>2019</v>
      </c>
      <c r="AF47" s="54"/>
      <c r="AG47" s="18">
        <v>0</v>
      </c>
      <c r="AH47" s="18">
        <v>0</v>
      </c>
      <c r="AI47" s="17">
        <v>0</v>
      </c>
      <c r="AJ47" s="17">
        <v>0</v>
      </c>
      <c r="AK47" s="17">
        <f t="shared" si="26"/>
        <v>0</v>
      </c>
      <c r="AL47" s="18"/>
      <c r="AM47" s="17"/>
      <c r="AN47" s="17"/>
      <c r="AO47" s="17"/>
    </row>
    <row r="48" spans="1:44">
      <c r="A48" s="6">
        <f t="shared" si="23"/>
        <v>2020</v>
      </c>
      <c r="C48" s="494">
        <f>'Exhibit U,12'!G49</f>
        <v>5331406.3713014219</v>
      </c>
      <c r="E48" s="128">
        <f t="shared" si="17"/>
        <v>9.3996286276334801E-2</v>
      </c>
      <c r="G48" s="494">
        <f t="shared" si="15"/>
        <v>4830273.9717690982</v>
      </c>
      <c r="H48" s="494"/>
      <c r="I48" s="494">
        <f>I29-'Exhibit U,12'!W49</f>
        <v>0</v>
      </c>
      <c r="J48" s="187"/>
      <c r="K48" s="17">
        <f t="shared" si="18"/>
        <v>289419.82</v>
      </c>
      <c r="L48" s="187"/>
      <c r="M48" s="17">
        <f t="shared" si="16"/>
        <v>0</v>
      </c>
      <c r="N48" s="494"/>
      <c r="O48" s="494">
        <f t="shared" si="19"/>
        <v>5119693.7917690985</v>
      </c>
      <c r="P48" s="187"/>
      <c r="Q48" s="494">
        <f t="shared" si="20"/>
        <v>3079055.9017315824</v>
      </c>
      <c r="R48" s="494"/>
      <c r="S48" s="17">
        <f t="shared" si="21"/>
        <v>3079055.9017315824</v>
      </c>
      <c r="U48" s="6">
        <f t="shared" si="24"/>
        <v>2020</v>
      </c>
      <c r="V48" s="54">
        <v>3907866.7833377784</v>
      </c>
      <c r="W48" s="20"/>
      <c r="X48" s="20"/>
      <c r="Y48" s="172">
        <v>136484.78</v>
      </c>
      <c r="Z48" s="172">
        <v>361586.22</v>
      </c>
      <c r="AA48" s="84">
        <f t="shared" si="22"/>
        <v>537657.82000000007</v>
      </c>
      <c r="AB48" s="18">
        <v>289419.82</v>
      </c>
      <c r="AC48" s="18">
        <v>899244.04</v>
      </c>
      <c r="AD48" s="20"/>
      <c r="AE48" s="6">
        <f t="shared" si="25"/>
        <v>2020</v>
      </c>
      <c r="AF48" s="54"/>
      <c r="AG48" s="18">
        <v>0</v>
      </c>
      <c r="AH48" s="18">
        <v>0</v>
      </c>
      <c r="AI48" s="17">
        <v>0</v>
      </c>
      <c r="AJ48" s="17">
        <v>0</v>
      </c>
      <c r="AK48" s="17">
        <f t="shared" si="26"/>
        <v>0</v>
      </c>
      <c r="AL48" s="18"/>
      <c r="AM48" s="17"/>
      <c r="AN48" s="17"/>
      <c r="AO48" s="17"/>
      <c r="AP48" s="18"/>
      <c r="AQ48" s="18"/>
    </row>
    <row r="49" spans="1:43">
      <c r="A49" s="6">
        <f t="shared" si="23"/>
        <v>2021</v>
      </c>
      <c r="C49" s="494">
        <f>'Exhibit U,12'!G50</f>
        <v>4110331.9199348679</v>
      </c>
      <c r="E49" s="128">
        <f t="shared" si="17"/>
        <v>3.3698288713258216E-2</v>
      </c>
      <c r="G49" s="494">
        <f t="shared" si="15"/>
        <v>3971820.768189582</v>
      </c>
      <c r="H49" s="494"/>
      <c r="I49" s="494">
        <f>I30-'Exhibit U,12'!W50</f>
        <v>0</v>
      </c>
      <c r="J49" s="187"/>
      <c r="K49" s="17">
        <f t="shared" si="18"/>
        <v>17823.86</v>
      </c>
      <c r="L49" s="187"/>
      <c r="M49" s="17">
        <f t="shared" si="16"/>
        <v>0</v>
      </c>
      <c r="N49" s="494"/>
      <c r="O49" s="494">
        <f t="shared" si="19"/>
        <v>3989644.6281895819</v>
      </c>
      <c r="P49" s="187"/>
      <c r="Q49" s="494">
        <f t="shared" si="20"/>
        <v>528924.78166071977</v>
      </c>
      <c r="R49" s="494"/>
      <c r="S49" s="17">
        <f t="shared" si="21"/>
        <v>528924.78166071977</v>
      </c>
      <c r="U49" s="6">
        <f t="shared" si="24"/>
        <v>2021</v>
      </c>
      <c r="V49" s="54">
        <v>3292414.3340718988</v>
      </c>
      <c r="W49" s="20"/>
      <c r="X49" s="20"/>
      <c r="Y49" s="172">
        <v>6524.88</v>
      </c>
      <c r="Z49" s="172">
        <v>56075</v>
      </c>
      <c r="AA49" s="84">
        <f t="shared" si="22"/>
        <v>300323.98</v>
      </c>
      <c r="AB49" s="18">
        <v>17823.86</v>
      </c>
      <c r="AC49" s="18">
        <v>356398.98</v>
      </c>
      <c r="AD49" s="20"/>
      <c r="AE49" s="6">
        <f t="shared" si="25"/>
        <v>2021</v>
      </c>
      <c r="AF49" s="54"/>
      <c r="AG49" s="18">
        <v>0</v>
      </c>
      <c r="AH49" s="18">
        <v>0</v>
      </c>
      <c r="AI49" s="17">
        <v>0</v>
      </c>
      <c r="AJ49" s="17">
        <v>0</v>
      </c>
      <c r="AK49" s="17">
        <f t="shared" si="26"/>
        <v>0</v>
      </c>
      <c r="AL49" s="18"/>
      <c r="AM49" s="17"/>
      <c r="AN49" s="17"/>
      <c r="AO49" s="17"/>
      <c r="AP49" s="18"/>
      <c r="AQ49" s="18"/>
    </row>
    <row r="50" spans="1:43">
      <c r="A50" s="6">
        <f t="shared" si="23"/>
        <v>2022</v>
      </c>
      <c r="C50" s="494">
        <f>'Exhibit U,12'!G51</f>
        <v>3090656.9621109925</v>
      </c>
      <c r="E50" s="128">
        <f>E31*(11/12)+E30*(1/12)</f>
        <v>5.1533045678993005E-3</v>
      </c>
      <c r="G50" s="494">
        <f t="shared" si="15"/>
        <v>3074729.8654703363</v>
      </c>
      <c r="H50" s="494"/>
      <c r="I50" s="494">
        <f>I31-'Exhibit U,12'!W51</f>
        <v>0</v>
      </c>
      <c r="J50" s="187"/>
      <c r="K50" s="17">
        <f t="shared" si="18"/>
        <v>4500</v>
      </c>
      <c r="L50" s="187"/>
      <c r="M50" s="17">
        <f t="shared" si="16"/>
        <v>0</v>
      </c>
      <c r="N50" s="494"/>
      <c r="O50" s="494">
        <f t="shared" si="19"/>
        <v>3079229.8654703363</v>
      </c>
      <c r="P50" s="187"/>
      <c r="Q50" s="494">
        <f t="shared" si="20"/>
        <v>873226.09030934598</v>
      </c>
      <c r="R50" s="494"/>
      <c r="S50" s="17">
        <f t="shared" si="21"/>
        <v>873226.09030934598</v>
      </c>
      <c r="U50" s="6">
        <f t="shared" si="24"/>
        <v>2022</v>
      </c>
      <c r="V50" s="54">
        <v>3388129.2289063614</v>
      </c>
      <c r="W50" s="20"/>
      <c r="X50" s="20"/>
      <c r="Y50" s="172">
        <v>0</v>
      </c>
      <c r="Z50" s="172">
        <v>0</v>
      </c>
      <c r="AA50" s="84">
        <f t="shared" si="22"/>
        <v>32500</v>
      </c>
      <c r="AB50" s="18">
        <v>4500</v>
      </c>
      <c r="AC50" s="18">
        <v>32500</v>
      </c>
      <c r="AD50" s="20"/>
      <c r="AE50" s="6">
        <f t="shared" si="25"/>
        <v>2022</v>
      </c>
      <c r="AF50" s="54"/>
      <c r="AG50" s="18">
        <v>0</v>
      </c>
      <c r="AH50" s="18">
        <v>0</v>
      </c>
      <c r="AI50" s="17">
        <v>0</v>
      </c>
      <c r="AJ50" s="17">
        <v>0</v>
      </c>
      <c r="AK50" s="17">
        <f t="shared" si="26"/>
        <v>0</v>
      </c>
      <c r="AL50" s="18"/>
      <c r="AM50" s="17"/>
      <c r="AN50" s="17"/>
      <c r="AO50" s="17"/>
      <c r="AP50" s="18"/>
      <c r="AQ50" s="18"/>
    </row>
    <row r="51" spans="1:43">
      <c r="A51" s="6"/>
      <c r="C51" s="200"/>
      <c r="G51" s="200"/>
      <c r="H51" s="18"/>
      <c r="I51" s="200"/>
      <c r="J51" s="6"/>
      <c r="K51" s="200"/>
      <c r="L51" s="18"/>
      <c r="M51" s="200"/>
      <c r="N51" s="6"/>
      <c r="O51" s="200"/>
      <c r="Q51" s="200"/>
      <c r="S51" s="200"/>
      <c r="U51" s="2"/>
      <c r="V51" s="63"/>
      <c r="W51" s="63"/>
      <c r="X51" s="63"/>
      <c r="Y51" s="63"/>
      <c r="Z51" s="63"/>
      <c r="AA51" s="63"/>
      <c r="AB51" s="70"/>
      <c r="AC51" s="70"/>
      <c r="AE51" s="2"/>
      <c r="AF51" s="63"/>
      <c r="AG51" s="63"/>
      <c r="AH51" s="63"/>
      <c r="AI51" s="63"/>
      <c r="AJ51" s="63"/>
      <c r="AK51" s="63"/>
      <c r="AL51" s="18"/>
      <c r="AM51" s="18"/>
      <c r="AN51" s="18"/>
      <c r="AO51" s="18"/>
      <c r="AP51" s="18"/>
      <c r="AQ51" s="18"/>
    </row>
    <row r="52" spans="1:43">
      <c r="A52" s="2" t="s">
        <v>0</v>
      </c>
      <c r="C52" s="19">
        <f>SUM(C36:C51)</f>
        <v>113340042.43197608</v>
      </c>
      <c r="E52" s="19"/>
      <c r="G52" s="19">
        <f>SUM(G36:G51)</f>
        <v>30788976.095605507</v>
      </c>
      <c r="H52" s="19"/>
      <c r="I52" s="19">
        <f>SUM(I36:I51)</f>
        <v>1976000</v>
      </c>
      <c r="J52" s="6"/>
      <c r="K52" s="19">
        <f>SUM(K36:K51)</f>
        <v>62179056.179999992</v>
      </c>
      <c r="L52" s="19"/>
      <c r="M52" s="19">
        <f>SUM(M36:M51)</f>
        <v>7986262.9799999995</v>
      </c>
      <c r="N52" s="6"/>
      <c r="O52" s="19">
        <f>SUM(O36:O51)</f>
        <v>102930295.2556055</v>
      </c>
      <c r="Q52" s="19">
        <f>SUM(Q36:Q51)</f>
        <v>89832538.813333213</v>
      </c>
      <c r="S52" s="19">
        <f>SUM(S36:S51)</f>
        <v>89115518.226502076</v>
      </c>
      <c r="U52" s="2" t="s">
        <v>0</v>
      </c>
      <c r="V52" s="122">
        <f t="shared" ref="V52:AC52" si="27">SUM(V36:V51)</f>
        <v>79690329.505093873</v>
      </c>
      <c r="W52" s="122">
        <f t="shared" si="27"/>
        <v>0</v>
      </c>
      <c r="X52" s="122">
        <f t="shared" si="27"/>
        <v>0</v>
      </c>
      <c r="Y52" s="122">
        <f t="shared" si="27"/>
        <v>59547598.460000008</v>
      </c>
      <c r="Z52" s="122">
        <f t="shared" si="27"/>
        <v>86609673.439999998</v>
      </c>
      <c r="AA52" s="122">
        <f t="shared" si="27"/>
        <v>-1997616.4199999976</v>
      </c>
      <c r="AB52" s="122">
        <f t="shared" si="27"/>
        <v>69553617.619999975</v>
      </c>
      <c r="AC52" s="122">
        <f t="shared" si="27"/>
        <v>84612057.019999996</v>
      </c>
      <c r="AE52" s="2" t="s">
        <v>0</v>
      </c>
      <c r="AF52" s="122">
        <f t="shared" ref="AF52:AK52" si="28">SUM(AF36:AF51)</f>
        <v>0</v>
      </c>
      <c r="AG52" s="122">
        <f t="shared" si="28"/>
        <v>7374561.4399999995</v>
      </c>
      <c r="AH52" s="122">
        <f t="shared" si="28"/>
        <v>7986262.9799999995</v>
      </c>
      <c r="AI52" s="122">
        <f t="shared" si="28"/>
        <v>6361740.4899999993</v>
      </c>
      <c r="AJ52" s="122">
        <f t="shared" si="28"/>
        <v>7909532.3900000006</v>
      </c>
      <c r="AK52" s="122">
        <f t="shared" si="28"/>
        <v>76730.590000001452</v>
      </c>
      <c r="AL52" s="18"/>
      <c r="AM52" s="18"/>
      <c r="AN52" s="18"/>
      <c r="AO52" s="18"/>
      <c r="AP52" s="18"/>
      <c r="AQ52" s="18"/>
    </row>
    <row r="53" spans="1:43">
      <c r="K53" s="187"/>
      <c r="L53" s="187"/>
      <c r="M53" s="187"/>
      <c r="N53" s="187"/>
      <c r="O53" s="187">
        <f>'Exhibit U,12'!O53-I52-M52</f>
        <v>0</v>
      </c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18"/>
      <c r="AM53" s="18"/>
      <c r="AN53" s="18"/>
      <c r="AO53" s="18"/>
      <c r="AP53" s="18"/>
      <c r="AQ53" s="18"/>
    </row>
    <row r="54" spans="1:43">
      <c r="X54" s="61"/>
      <c r="Y54" s="61"/>
      <c r="AL54" s="18"/>
      <c r="AM54" s="18"/>
      <c r="AN54" s="18"/>
      <c r="AO54" s="18"/>
      <c r="AP54" s="18"/>
      <c r="AQ54" s="18"/>
    </row>
    <row r="55" spans="1:43">
      <c r="V55" s="61"/>
      <c r="W55" s="44"/>
      <c r="X55" s="44"/>
      <c r="Y55" s="44"/>
      <c r="Z55" s="44"/>
      <c r="AA55" s="44"/>
      <c r="AB55" s="44"/>
      <c r="AC55" s="44"/>
      <c r="AF55" s="61"/>
      <c r="AG55" s="44"/>
      <c r="AH55" s="44"/>
      <c r="AI55" s="44"/>
      <c r="AJ55" s="44"/>
      <c r="AK55" s="44"/>
      <c r="AL55" s="44"/>
    </row>
    <row r="56" spans="1:43">
      <c r="A56" s="52" t="s">
        <v>104</v>
      </c>
      <c r="C56" s="3" t="s">
        <v>1774</v>
      </c>
      <c r="V56" s="61"/>
      <c r="W56" s="44"/>
      <c r="X56" s="44"/>
      <c r="Y56" s="44"/>
      <c r="Z56" s="44"/>
      <c r="AA56" s="44"/>
      <c r="AB56" s="44"/>
      <c r="AC56" s="44"/>
      <c r="AF56" s="61"/>
      <c r="AG56" s="44"/>
      <c r="AH56" s="44"/>
      <c r="AI56" s="44"/>
      <c r="AJ56" s="44"/>
      <c r="AK56" s="44"/>
      <c r="AL56" s="44"/>
      <c r="AM56" s="44"/>
    </row>
    <row r="57" spans="1:43">
      <c r="A57" s="52" t="s">
        <v>36</v>
      </c>
      <c r="C57" s="3" t="s">
        <v>961</v>
      </c>
      <c r="V57" s="61"/>
      <c r="W57" s="45"/>
      <c r="X57" s="45"/>
      <c r="Y57" s="45"/>
      <c r="Z57" s="45"/>
      <c r="AA57" s="45"/>
      <c r="AB57" s="45"/>
      <c r="AC57" s="45"/>
      <c r="AF57" s="61"/>
      <c r="AG57" s="45"/>
      <c r="AH57" s="45"/>
      <c r="AI57" s="45"/>
      <c r="AJ57" s="45"/>
      <c r="AK57" s="45"/>
      <c r="AL57" s="45"/>
      <c r="AM57" s="45"/>
    </row>
    <row r="58" spans="1:43">
      <c r="C58" s="3" t="s">
        <v>445</v>
      </c>
      <c r="V58" s="61"/>
      <c r="X58" s="61"/>
      <c r="Y58" s="61"/>
      <c r="AH58" s="61"/>
      <c r="AI58" s="61"/>
    </row>
    <row r="59" spans="1:43">
      <c r="A59" s="52" t="s">
        <v>38</v>
      </c>
      <c r="C59" s="3" t="s">
        <v>167</v>
      </c>
      <c r="U59" s="25"/>
      <c r="W59" s="95"/>
      <c r="X59" s="95"/>
      <c r="Y59" s="95"/>
      <c r="Z59" s="95"/>
      <c r="AA59" s="95"/>
      <c r="AC59" s="20"/>
      <c r="AE59" s="25"/>
      <c r="AH59" s="61"/>
      <c r="AI59" s="61"/>
      <c r="AL59" s="95"/>
      <c r="AM59" s="20"/>
    </row>
    <row r="60" spans="1:43">
      <c r="A60" s="64" t="s">
        <v>40</v>
      </c>
      <c r="C60" s="3" t="s">
        <v>1532</v>
      </c>
      <c r="U60" s="25"/>
      <c r="W60" s="95"/>
      <c r="X60" s="95"/>
      <c r="Y60" s="95"/>
      <c r="Z60" s="95"/>
      <c r="AA60" s="95"/>
      <c r="AB60" s="95"/>
      <c r="AC60" s="20"/>
      <c r="AE60" s="25"/>
      <c r="AH60" s="61"/>
      <c r="AI60" s="61"/>
      <c r="AL60" s="95"/>
      <c r="AM60" s="20"/>
    </row>
    <row r="61" spans="1:43">
      <c r="A61" s="64" t="s">
        <v>577</v>
      </c>
      <c r="C61" s="1" t="s">
        <v>581</v>
      </c>
      <c r="U61" s="25"/>
      <c r="W61" s="95"/>
      <c r="X61" s="95"/>
      <c r="Y61" s="95"/>
      <c r="Z61" s="95"/>
      <c r="AA61" s="95"/>
      <c r="AB61" s="95"/>
      <c r="AC61" s="20"/>
      <c r="AE61" s="25"/>
      <c r="AH61" s="61"/>
      <c r="AI61" s="61"/>
      <c r="AL61" s="95"/>
      <c r="AM61" s="20"/>
    </row>
    <row r="62" spans="1:43">
      <c r="A62" s="64" t="s">
        <v>31</v>
      </c>
      <c r="C62" s="3" t="s">
        <v>578</v>
      </c>
      <c r="U62" s="25"/>
      <c r="W62" s="95"/>
      <c r="X62" s="95"/>
      <c r="Y62" s="95"/>
      <c r="Z62" s="95"/>
      <c r="AA62" s="95"/>
      <c r="AB62" s="95"/>
      <c r="AC62" s="20"/>
      <c r="AE62" s="25"/>
      <c r="AL62" s="95"/>
      <c r="AM62" s="20"/>
    </row>
    <row r="63" spans="1:43">
      <c r="A63" s="64" t="s">
        <v>103</v>
      </c>
      <c r="C63" s="3" t="s">
        <v>579</v>
      </c>
      <c r="U63" s="25"/>
      <c r="V63" s="20"/>
      <c r="W63" s="95"/>
      <c r="X63" s="95"/>
      <c r="Y63" s="95"/>
      <c r="Z63" s="95"/>
      <c r="AA63" s="95"/>
      <c r="AB63" s="95"/>
      <c r="AC63" s="20"/>
      <c r="AE63" s="25"/>
      <c r="AL63" s="95"/>
      <c r="AM63" s="20"/>
    </row>
    <row r="64" spans="1:43">
      <c r="A64" s="64" t="s">
        <v>106</v>
      </c>
      <c r="C64" s="140" t="s">
        <v>582</v>
      </c>
      <c r="U64" s="25"/>
      <c r="V64" s="20"/>
      <c r="W64" s="95"/>
      <c r="X64" s="95"/>
      <c r="Y64" s="95"/>
      <c r="Z64" s="95"/>
      <c r="AA64" s="95"/>
      <c r="AB64" s="95"/>
      <c r="AC64" s="20"/>
      <c r="AE64" s="25"/>
      <c r="AL64" s="95"/>
      <c r="AM64" s="20"/>
    </row>
    <row r="65" spans="21:39">
      <c r="U65" s="25"/>
      <c r="V65" s="20"/>
      <c r="W65" s="95"/>
      <c r="X65" s="95"/>
      <c r="Y65" s="95"/>
      <c r="Z65" s="95"/>
      <c r="AA65" s="95"/>
      <c r="AB65" s="95"/>
      <c r="AC65" s="20"/>
      <c r="AE65" s="25"/>
      <c r="AG65" s="95"/>
      <c r="AH65" s="95"/>
      <c r="AI65" s="95"/>
      <c r="AJ65" s="95"/>
      <c r="AK65" s="95"/>
      <c r="AL65" s="95"/>
      <c r="AM65" s="20"/>
    </row>
    <row r="66" spans="21:39">
      <c r="U66" s="25"/>
      <c r="V66" s="20"/>
      <c r="W66" s="95"/>
      <c r="X66" s="95"/>
      <c r="Y66" s="95"/>
      <c r="Z66" s="95"/>
      <c r="AA66" s="95"/>
      <c r="AB66" s="95"/>
      <c r="AC66" s="20"/>
      <c r="AE66" s="25"/>
      <c r="AG66" s="95"/>
      <c r="AH66" s="95"/>
      <c r="AI66" s="95"/>
      <c r="AJ66" s="95"/>
      <c r="AK66" s="95"/>
      <c r="AL66" s="95"/>
      <c r="AM66" s="20"/>
    </row>
    <row r="67" spans="21:39">
      <c r="U67" s="25"/>
      <c r="V67" s="20"/>
      <c r="W67" s="95"/>
      <c r="X67" s="95"/>
      <c r="Y67" s="95"/>
      <c r="Z67" s="95"/>
      <c r="AA67" s="95"/>
      <c r="AB67" s="95"/>
      <c r="AC67" s="20"/>
      <c r="AE67" s="25"/>
      <c r="AG67" s="95"/>
      <c r="AH67" s="95"/>
      <c r="AI67" s="95"/>
      <c r="AJ67" s="95"/>
      <c r="AK67" s="95"/>
      <c r="AL67" s="95"/>
      <c r="AM67" s="20"/>
    </row>
    <row r="68" spans="21:39">
      <c r="U68" s="25"/>
      <c r="V68" s="20"/>
      <c r="W68" s="95"/>
      <c r="X68" s="95"/>
      <c r="Y68" s="95"/>
      <c r="Z68" s="95"/>
      <c r="AA68" s="95"/>
      <c r="AB68" s="95"/>
      <c r="AC68" s="20"/>
      <c r="AE68" s="25"/>
      <c r="AG68" s="95"/>
      <c r="AH68" s="95"/>
      <c r="AI68" s="95"/>
      <c r="AJ68" s="95"/>
      <c r="AK68" s="95"/>
      <c r="AL68" s="95"/>
      <c r="AM68" s="20"/>
    </row>
    <row r="69" spans="21:39">
      <c r="U69" s="25"/>
      <c r="V69" s="20"/>
      <c r="W69" s="95"/>
      <c r="X69" s="95"/>
      <c r="Y69" s="95"/>
      <c r="Z69" s="95"/>
      <c r="AA69" s="95"/>
      <c r="AB69" s="95"/>
      <c r="AC69" s="20"/>
      <c r="AE69" s="25"/>
      <c r="AG69" s="95"/>
      <c r="AH69" s="95"/>
      <c r="AI69" s="95"/>
      <c r="AJ69" s="95"/>
      <c r="AK69" s="95"/>
      <c r="AL69" s="95"/>
      <c r="AM69" s="20"/>
    </row>
    <row r="70" spans="21:39">
      <c r="U70" s="25"/>
      <c r="V70" s="20"/>
      <c r="W70" s="95"/>
      <c r="X70" s="95"/>
      <c r="Y70" s="95"/>
      <c r="Z70" s="95"/>
      <c r="AA70" s="95"/>
      <c r="AB70" s="95"/>
      <c r="AC70" s="20"/>
      <c r="AE70" s="25"/>
      <c r="AG70" s="95"/>
      <c r="AH70" s="95"/>
      <c r="AI70" s="95"/>
      <c r="AJ70" s="95"/>
      <c r="AK70" s="95"/>
      <c r="AL70" s="95"/>
      <c r="AM70" s="20"/>
    </row>
    <row r="71" spans="21:39">
      <c r="U71" s="25"/>
      <c r="V71" s="20"/>
      <c r="W71" s="95"/>
      <c r="X71" s="95"/>
      <c r="Y71" s="95"/>
      <c r="Z71" s="95"/>
      <c r="AA71" s="95"/>
      <c r="AB71" s="95"/>
      <c r="AC71" s="20"/>
      <c r="AE71" s="25"/>
      <c r="AG71" s="95"/>
      <c r="AH71" s="95"/>
      <c r="AI71" s="95"/>
      <c r="AJ71" s="95"/>
      <c r="AK71" s="95"/>
      <c r="AL71" s="95"/>
      <c r="AM71" s="20"/>
    </row>
    <row r="72" spans="21:39">
      <c r="U72" s="25"/>
      <c r="V72" s="20"/>
      <c r="W72" s="20"/>
      <c r="X72" s="20"/>
      <c r="Y72" s="20"/>
      <c r="Z72" s="20"/>
      <c r="AA72" s="20"/>
      <c r="AB72" s="20"/>
      <c r="AC72" s="20"/>
      <c r="AD72" s="20"/>
      <c r="AE72" s="25"/>
      <c r="AG72" s="95"/>
      <c r="AH72" s="95"/>
      <c r="AI72" s="95"/>
      <c r="AJ72" s="95"/>
      <c r="AK72" s="95"/>
      <c r="AL72" s="95"/>
      <c r="AM72" s="20"/>
    </row>
    <row r="73" spans="21:39">
      <c r="U73" s="25"/>
      <c r="V73" s="20"/>
      <c r="W73" s="20"/>
      <c r="X73" s="20"/>
      <c r="Y73" s="20"/>
      <c r="Z73" s="20"/>
      <c r="AA73" s="20"/>
      <c r="AB73" s="20"/>
      <c r="AC73" s="20"/>
      <c r="AD73" s="20"/>
      <c r="AE73" s="25"/>
      <c r="AG73" s="95"/>
      <c r="AH73" s="95"/>
      <c r="AI73" s="95"/>
      <c r="AJ73" s="95"/>
      <c r="AK73" s="95"/>
      <c r="AL73" s="95"/>
      <c r="AM73" s="20"/>
    </row>
    <row r="74" spans="21:39">
      <c r="U74" s="97"/>
      <c r="V74" s="20"/>
      <c r="W74" s="20"/>
      <c r="X74" s="20"/>
      <c r="Y74" s="20"/>
      <c r="Z74" s="20"/>
      <c r="AA74" s="20"/>
      <c r="AB74" s="20"/>
      <c r="AC74" s="20"/>
      <c r="AD74" s="20"/>
      <c r="AE74" s="97"/>
      <c r="AF74" s="70"/>
      <c r="AG74" s="70"/>
      <c r="AH74" s="70"/>
      <c r="AI74" s="70"/>
      <c r="AJ74" s="70"/>
      <c r="AK74" s="70"/>
      <c r="AL74" s="70"/>
      <c r="AM74" s="70"/>
    </row>
    <row r="75" spans="21:39">
      <c r="U75" s="97"/>
      <c r="V75" s="20"/>
      <c r="W75" s="20"/>
      <c r="X75" s="20"/>
      <c r="Y75" s="20"/>
      <c r="Z75" s="20"/>
      <c r="AA75" s="20"/>
      <c r="AB75" s="20"/>
      <c r="AC75" s="20"/>
      <c r="AD75" s="20"/>
      <c r="AE75" s="97"/>
      <c r="AF75" s="122"/>
      <c r="AG75" s="122"/>
      <c r="AH75" s="122"/>
      <c r="AI75" s="122"/>
      <c r="AJ75" s="122"/>
      <c r="AK75" s="122"/>
      <c r="AL75" s="122"/>
      <c r="AM75" s="122"/>
    </row>
    <row r="76" spans="21:39">
      <c r="V76" s="20"/>
      <c r="W76" s="20"/>
      <c r="X76" s="20"/>
      <c r="Y76" s="20"/>
      <c r="Z76" s="20"/>
      <c r="AA76" s="20"/>
      <c r="AB76" s="20"/>
      <c r="AC76" s="20"/>
      <c r="AD76" s="20"/>
    </row>
    <row r="77" spans="21:39">
      <c r="V77" s="20"/>
      <c r="W77" s="20"/>
      <c r="X77" s="20"/>
      <c r="Y77" s="20"/>
      <c r="Z77" s="20"/>
      <c r="AA77" s="20"/>
      <c r="AB77" s="20"/>
      <c r="AC77" s="20"/>
      <c r="AD77" s="20"/>
    </row>
    <row r="79" spans="21:39">
      <c r="W79" s="95"/>
    </row>
    <row r="80" spans="21:39">
      <c r="W80" s="95"/>
    </row>
    <row r="81" spans="23:23">
      <c r="W81" s="95"/>
    </row>
    <row r="82" spans="23:23">
      <c r="W82" s="95"/>
    </row>
    <row r="83" spans="23:23">
      <c r="W83" s="95"/>
    </row>
    <row r="84" spans="23:23">
      <c r="W84" s="95"/>
    </row>
    <row r="85" spans="23:23">
      <c r="W85" s="95"/>
    </row>
    <row r="86" spans="23:23">
      <c r="W86" s="95"/>
    </row>
    <row r="87" spans="23:23">
      <c r="W87" s="95"/>
    </row>
  </sheetData>
  <printOptions horizontalCentered="1"/>
  <pageMargins left="0.7" right="0.7" top="0.75" bottom="0.75" header="0.3" footer="0.3"/>
  <pageSetup scale="55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70">
    <pageSetUpPr fitToPage="1"/>
  </sheetPr>
  <dimension ref="A1:AV64"/>
  <sheetViews>
    <sheetView zoomScaleNormal="100" workbookViewId="0"/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2.7109375" style="1" customWidth="1"/>
    <col min="14" max="14" width="1.7109375" style="1" customWidth="1"/>
    <col min="15" max="15" width="11.7109375" style="1" customWidth="1"/>
    <col min="16" max="16" width="1.7109375" style="1" customWidth="1"/>
    <col min="17" max="17" width="11.7109375" style="1" customWidth="1"/>
    <col min="18" max="18" width="1.7109375" style="1" customWidth="1"/>
    <col min="19" max="19" width="12.7109375" style="1" customWidth="1"/>
    <col min="20" max="20" width="8.7109375" style="1"/>
    <col min="21" max="52" width="12.7109375" style="1" customWidth="1"/>
    <col min="53" max="16384" width="8.7109375" style="1"/>
  </cols>
  <sheetData>
    <row r="1" spans="1:36">
      <c r="S1" s="64" t="s">
        <v>955</v>
      </c>
    </row>
    <row r="2" spans="1:36">
      <c r="O2" s="3"/>
      <c r="S2" s="64" t="s">
        <v>937</v>
      </c>
      <c r="T2" s="3"/>
    </row>
    <row r="3" spans="1:36">
      <c r="O3" s="3"/>
      <c r="S3" s="52"/>
      <c r="T3" s="3"/>
    </row>
    <row r="4" spans="1:36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140"/>
    </row>
    <row r="5" spans="1:36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140"/>
    </row>
    <row r="6" spans="1:36">
      <c r="A6" s="5" t="s">
        <v>151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140"/>
    </row>
    <row r="7" spans="1:36">
      <c r="A7" s="5" t="s">
        <v>491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140"/>
    </row>
    <row r="8" spans="1:36">
      <c r="A8" s="5" t="s">
        <v>166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140"/>
    </row>
    <row r="9" spans="1:36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S9" s="6" t="s">
        <v>11</v>
      </c>
      <c r="U9" s="61"/>
      <c r="V9" s="61" t="s">
        <v>505</v>
      </c>
      <c r="W9" s="61"/>
      <c r="X9" s="6"/>
      <c r="AD9" s="177">
        <v>44196</v>
      </c>
      <c r="AE9" s="177">
        <v>44561</v>
      </c>
      <c r="AG9" s="177">
        <v>44196</v>
      </c>
      <c r="AH9" s="177">
        <v>44561</v>
      </c>
      <c r="AI9" s="177">
        <v>44196</v>
      </c>
      <c r="AJ9" s="177">
        <v>44561</v>
      </c>
    </row>
    <row r="10" spans="1:36">
      <c r="C10" s="6" t="s">
        <v>562</v>
      </c>
      <c r="G10" s="6" t="s">
        <v>562</v>
      </c>
      <c r="K10" s="6" t="s">
        <v>562</v>
      </c>
      <c r="M10" s="6" t="s">
        <v>575</v>
      </c>
      <c r="S10" s="6" t="s">
        <v>12</v>
      </c>
      <c r="U10" s="61"/>
      <c r="V10" s="61" t="s">
        <v>1357</v>
      </c>
      <c r="W10" s="61"/>
      <c r="X10" s="6"/>
    </row>
    <row r="11" spans="1:36">
      <c r="C11" s="6" t="s">
        <v>565</v>
      </c>
      <c r="E11" s="6" t="s">
        <v>7</v>
      </c>
      <c r="G11" s="2" t="s">
        <v>7</v>
      </c>
      <c r="H11" s="2"/>
      <c r="I11" s="2" t="s">
        <v>575</v>
      </c>
      <c r="K11" s="6" t="s">
        <v>64</v>
      </c>
      <c r="L11" s="6"/>
      <c r="M11" s="6" t="s">
        <v>64</v>
      </c>
      <c r="O11" s="6" t="s">
        <v>153</v>
      </c>
      <c r="Q11" s="2" t="s">
        <v>154</v>
      </c>
      <c r="S11" s="2" t="s">
        <v>154</v>
      </c>
      <c r="T11" s="2"/>
      <c r="U11" s="61"/>
      <c r="V11" s="61"/>
      <c r="W11" s="61"/>
      <c r="X11" s="6"/>
      <c r="AD11" s="6" t="s">
        <v>64</v>
      </c>
      <c r="AE11" s="6" t="s">
        <v>64</v>
      </c>
    </row>
    <row r="12" spans="1:36">
      <c r="A12" s="2" t="s">
        <v>6</v>
      </c>
      <c r="C12" s="6" t="s">
        <v>7</v>
      </c>
      <c r="E12" s="6" t="s">
        <v>62</v>
      </c>
      <c r="G12" s="2" t="s">
        <v>69</v>
      </c>
      <c r="H12" s="2"/>
      <c r="I12" s="2" t="s">
        <v>381</v>
      </c>
      <c r="K12" s="6" t="s">
        <v>12</v>
      </c>
      <c r="L12" s="6"/>
      <c r="M12" s="6" t="s">
        <v>12</v>
      </c>
      <c r="O12" s="2" t="s">
        <v>67</v>
      </c>
      <c r="Q12" s="2" t="s">
        <v>67</v>
      </c>
      <c r="S12" s="2" t="s">
        <v>67</v>
      </c>
      <c r="T12" s="2"/>
      <c r="U12" s="97" t="s">
        <v>3</v>
      </c>
      <c r="V12" s="97" t="s">
        <v>177</v>
      </c>
      <c r="W12" s="97"/>
      <c r="X12" s="6"/>
      <c r="Y12" s="2"/>
      <c r="Z12" s="2"/>
      <c r="AA12" s="2"/>
      <c r="AC12" s="2"/>
      <c r="AD12" s="6" t="s">
        <v>12</v>
      </c>
      <c r="AE12" s="6" t="s">
        <v>12</v>
      </c>
      <c r="AI12" s="6" t="s">
        <v>1</v>
      </c>
      <c r="AJ12" s="6" t="s">
        <v>7</v>
      </c>
    </row>
    <row r="13" spans="1:36">
      <c r="A13" s="6" t="s">
        <v>4</v>
      </c>
      <c r="B13" s="6"/>
      <c r="C13" s="6" t="s">
        <v>55</v>
      </c>
      <c r="E13" s="109" t="s">
        <v>12</v>
      </c>
      <c r="G13" s="2" t="s">
        <v>55</v>
      </c>
      <c r="H13" s="2"/>
      <c r="I13" s="2" t="s">
        <v>55</v>
      </c>
      <c r="K13" s="6" t="s">
        <v>55</v>
      </c>
      <c r="L13" s="6"/>
      <c r="M13" s="6" t="s">
        <v>55</v>
      </c>
      <c r="N13" s="6"/>
      <c r="O13" s="2" t="s">
        <v>55</v>
      </c>
      <c r="Q13" s="2" t="s">
        <v>55</v>
      </c>
      <c r="S13" s="2" t="s">
        <v>55</v>
      </c>
      <c r="T13" s="2"/>
      <c r="U13" s="25" t="s">
        <v>4</v>
      </c>
      <c r="V13" s="97" t="s">
        <v>16</v>
      </c>
      <c r="W13" s="97"/>
      <c r="Y13" s="2"/>
      <c r="Z13" s="2"/>
      <c r="AA13" s="2"/>
      <c r="AC13" s="6"/>
      <c r="AD13" s="6" t="s">
        <v>55</v>
      </c>
      <c r="AE13" s="6" t="s">
        <v>55</v>
      </c>
      <c r="AF13" s="1" t="s">
        <v>119</v>
      </c>
      <c r="AG13" s="6" t="s">
        <v>381</v>
      </c>
      <c r="AH13" s="6" t="s">
        <v>381</v>
      </c>
      <c r="AI13" s="6" t="s">
        <v>171</v>
      </c>
      <c r="AJ13" s="6" t="s">
        <v>171</v>
      </c>
    </row>
    <row r="14" spans="1:36">
      <c r="A14" s="9" t="s">
        <v>27</v>
      </c>
      <c r="B14" s="11"/>
      <c r="C14" s="9">
        <v>-2</v>
      </c>
      <c r="D14" s="11"/>
      <c r="E14" s="9">
        <v>-3</v>
      </c>
      <c r="F14" s="11"/>
      <c r="G14" s="9">
        <v>-4</v>
      </c>
      <c r="H14" s="11"/>
      <c r="I14" s="9">
        <v>-5</v>
      </c>
      <c r="J14" s="11"/>
      <c r="K14" s="9">
        <v>-6</v>
      </c>
      <c r="L14" s="11"/>
      <c r="M14" s="9">
        <v>-7</v>
      </c>
      <c r="O14" s="9">
        <v>-8</v>
      </c>
      <c r="Q14" s="9">
        <v>-9</v>
      </c>
      <c r="S14" s="9">
        <v>-10</v>
      </c>
      <c r="T14" s="11"/>
      <c r="U14" s="143">
        <v>-11</v>
      </c>
      <c r="V14" s="143">
        <v>-12</v>
      </c>
      <c r="W14" s="61"/>
      <c r="AC14" s="6"/>
      <c r="AD14" s="9">
        <v>-6</v>
      </c>
      <c r="AE14" s="9">
        <v>-6</v>
      </c>
      <c r="AF14" s="9">
        <v>-6</v>
      </c>
      <c r="AG14" s="9">
        <v>-6</v>
      </c>
      <c r="AH14" s="9">
        <v>-6</v>
      </c>
      <c r="AI14" s="9">
        <v>-6</v>
      </c>
      <c r="AJ14" s="9">
        <v>-6</v>
      </c>
    </row>
    <row r="15" spans="1:36">
      <c r="U15" s="61"/>
      <c r="V15" s="61"/>
      <c r="W15" s="61"/>
    </row>
    <row r="16" spans="1:36" ht="16">
      <c r="A16" s="15" t="s">
        <v>77</v>
      </c>
      <c r="U16" s="25"/>
      <c r="V16" s="61"/>
      <c r="W16" s="61"/>
      <c r="AC16" s="6"/>
    </row>
    <row r="17" spans="1:48">
      <c r="A17" s="6">
        <v>2008</v>
      </c>
      <c r="C17" s="147">
        <f>'Exhibit U,10'!K36</f>
        <v>1911758.4000000001</v>
      </c>
      <c r="E17" s="74">
        <f>'Exhibit Q,6'!K21</f>
        <v>1</v>
      </c>
      <c r="G17" s="497">
        <f t="shared" ref="G17:G31" si="0">C17*(1-E17)</f>
        <v>0</v>
      </c>
      <c r="H17" s="497"/>
      <c r="I17" s="497">
        <f>'Exhibit U,10'!X36</f>
        <v>0</v>
      </c>
      <c r="J17" s="147"/>
      <c r="K17" s="147">
        <f>'Exhibit U,8'!AC17-'Exhibit U,8'!AH17</f>
        <v>1911758.4000000001</v>
      </c>
      <c r="L17" s="147"/>
      <c r="M17" s="147">
        <f>'Exhibit U,8'!AH17</f>
        <v>0</v>
      </c>
      <c r="N17" s="147"/>
      <c r="O17" s="147">
        <f>K17+G17+I17+M17</f>
        <v>1911758.4000000001</v>
      </c>
      <c r="P17" s="147"/>
      <c r="Q17" s="147">
        <f>K17/E17+I17+M17</f>
        <v>1911758.4000000001</v>
      </c>
      <c r="R17" s="147"/>
      <c r="S17" s="66">
        <f>+(K17+M17)/E17</f>
        <v>1911758.4000000001</v>
      </c>
      <c r="U17" s="25">
        <f>A17</f>
        <v>2008</v>
      </c>
      <c r="V17" s="219">
        <f>'Exhibit U,8'!V17</f>
        <v>0</v>
      </c>
      <c r="W17" s="219"/>
      <c r="X17" s="209"/>
      <c r="Y17" s="209"/>
      <c r="Z17" s="209"/>
      <c r="AA17" s="209"/>
      <c r="AB17" s="20"/>
      <c r="AC17" s="6"/>
      <c r="AD17" s="18">
        <v>135351</v>
      </c>
      <c r="AE17" s="19">
        <f t="shared" ref="AE17:AE31" si="1">K17+L17</f>
        <v>1911758.4000000001</v>
      </c>
      <c r="AG17" s="26">
        <v>0</v>
      </c>
      <c r="AH17" s="76">
        <f>'Exhibit U,7'!M17-AE17</f>
        <v>0</v>
      </c>
      <c r="AI17" s="192">
        <f>AD17+AG17</f>
        <v>135351</v>
      </c>
      <c r="AJ17" s="26">
        <f t="shared" ref="AJ17:AJ30" si="2">C17+I17+M17</f>
        <v>1911758.4000000001</v>
      </c>
      <c r="AK17" s="20"/>
      <c r="AS17" s="26"/>
      <c r="AT17" s="21"/>
      <c r="AU17" s="19"/>
      <c r="AV17" s="26"/>
    </row>
    <row r="18" spans="1:48">
      <c r="A18" s="6">
        <f>A17+1</f>
        <v>2009</v>
      </c>
      <c r="C18" s="494">
        <f>'Exhibit U,10'!K37</f>
        <v>2191506.25</v>
      </c>
      <c r="E18" s="74">
        <f>'Exhibit Q,6'!K22</f>
        <v>1</v>
      </c>
      <c r="G18" s="494">
        <f t="shared" si="0"/>
        <v>0</v>
      </c>
      <c r="H18" s="494"/>
      <c r="I18" s="494">
        <f>'Exhibit U,10'!X37</f>
        <v>0</v>
      </c>
      <c r="J18" s="187"/>
      <c r="K18" s="494">
        <f>'Exhibit U,8'!AC18-'Exhibit U,8'!AH18</f>
        <v>2191506.25</v>
      </c>
      <c r="L18" s="494"/>
      <c r="M18" s="494">
        <f>'Exhibit U,8'!AH18</f>
        <v>0</v>
      </c>
      <c r="N18" s="494"/>
      <c r="O18" s="494">
        <f t="shared" ref="O18:O31" si="3">K18+G18+I18+M18</f>
        <v>2191506.25</v>
      </c>
      <c r="P18" s="187"/>
      <c r="Q18" s="494">
        <f t="shared" ref="Q18:Q31" si="4">K18/E18+I18+M18</f>
        <v>2191506.25</v>
      </c>
      <c r="R18" s="494"/>
      <c r="S18" s="494">
        <f t="shared" ref="S18:S31" si="5">+(K18+M18)/E18</f>
        <v>2191506.25</v>
      </c>
      <c r="U18" s="25">
        <f>U17+1</f>
        <v>2009</v>
      </c>
      <c r="V18" s="598">
        <f>'Exhibit U,8'!V18</f>
        <v>0</v>
      </c>
      <c r="W18" s="598"/>
      <c r="X18" s="54"/>
      <c r="Y18" s="54"/>
      <c r="Z18" s="54"/>
      <c r="AA18" s="54"/>
      <c r="AB18" s="20"/>
      <c r="AC18" s="6"/>
      <c r="AD18" s="20">
        <v>1908968.13</v>
      </c>
      <c r="AE18" s="20">
        <f t="shared" si="1"/>
        <v>2191506.25</v>
      </c>
      <c r="AF18" s="20">
        <f>AE18-AD18</f>
        <v>282538.12000000011</v>
      </c>
      <c r="AG18" s="20">
        <v>0</v>
      </c>
      <c r="AH18" s="20">
        <f>'Exhibit U,7'!M18-AE18</f>
        <v>0</v>
      </c>
      <c r="AI18" s="20">
        <f t="shared" ref="AI18:AI31" si="6">AD18+AG18</f>
        <v>1908968.13</v>
      </c>
      <c r="AJ18" s="20">
        <f t="shared" si="2"/>
        <v>2191506.25</v>
      </c>
      <c r="AK18" s="20"/>
      <c r="AS18" s="26"/>
      <c r="AT18" s="21"/>
      <c r="AU18" s="19"/>
      <c r="AV18" s="26"/>
    </row>
    <row r="19" spans="1:48">
      <c r="A19" s="6">
        <f t="shared" ref="A19:A31" si="7">A18+1</f>
        <v>2010</v>
      </c>
      <c r="C19" s="494">
        <f>'Exhibit U,10'!K38</f>
        <v>8479335.2699999996</v>
      </c>
      <c r="E19" s="74">
        <f>'Exhibit Q,6'!K23</f>
        <v>1</v>
      </c>
      <c r="G19" s="494">
        <f t="shared" si="0"/>
        <v>0</v>
      </c>
      <c r="H19" s="494"/>
      <c r="I19" s="494">
        <f>'Exhibit U,10'!X38</f>
        <v>0</v>
      </c>
      <c r="J19" s="187"/>
      <c r="K19" s="494">
        <f>'Exhibit U,8'!AC19-'Exhibit U,8'!AH19</f>
        <v>8479335.2699999996</v>
      </c>
      <c r="L19" s="494"/>
      <c r="M19" s="494">
        <f>'Exhibit U,8'!AH19</f>
        <v>0</v>
      </c>
      <c r="N19" s="494"/>
      <c r="O19" s="494">
        <f t="shared" si="3"/>
        <v>8479335.2699999996</v>
      </c>
      <c r="P19" s="187"/>
      <c r="Q19" s="494">
        <f t="shared" si="4"/>
        <v>8479335.2699999996</v>
      </c>
      <c r="R19" s="494"/>
      <c r="S19" s="494">
        <f t="shared" si="5"/>
        <v>8479335.2699999996</v>
      </c>
      <c r="U19" s="25">
        <f t="shared" ref="U19:U31" si="8">U18+1</f>
        <v>2010</v>
      </c>
      <c r="V19" s="598">
        <f>'Exhibit U,8'!V19</f>
        <v>0</v>
      </c>
      <c r="W19" s="598"/>
      <c r="X19" s="54"/>
      <c r="Y19" s="54"/>
      <c r="Z19" s="54"/>
      <c r="AA19" s="54"/>
      <c r="AB19" s="20"/>
      <c r="AC19" s="6"/>
      <c r="AD19" s="20">
        <v>2191506.25</v>
      </c>
      <c r="AE19" s="20">
        <f t="shared" si="1"/>
        <v>8479335.2699999996</v>
      </c>
      <c r="AF19" s="20">
        <f t="shared" ref="AF19:AF31" si="9">AE19-AD19</f>
        <v>6287829.0199999996</v>
      </c>
      <c r="AG19" s="20">
        <v>0</v>
      </c>
      <c r="AH19" s="20">
        <f>'Exhibit U,7'!M19-AE19</f>
        <v>0</v>
      </c>
      <c r="AI19" s="20">
        <f t="shared" si="6"/>
        <v>2191506.25</v>
      </c>
      <c r="AJ19" s="20">
        <f t="shared" si="2"/>
        <v>8479335.2699999996</v>
      </c>
      <c r="AK19" s="20"/>
      <c r="AS19" s="26"/>
      <c r="AT19" s="21"/>
      <c r="AU19" s="19"/>
      <c r="AV19" s="26"/>
    </row>
    <row r="20" spans="1:48">
      <c r="A20" s="6">
        <f t="shared" si="7"/>
        <v>2011</v>
      </c>
      <c r="C20" s="494">
        <f>'Exhibit U,10'!K39</f>
        <v>6315267.6400000006</v>
      </c>
      <c r="E20" s="74">
        <f>'Exhibit Q,6'!K24</f>
        <v>1</v>
      </c>
      <c r="G20" s="494">
        <f t="shared" si="0"/>
        <v>0</v>
      </c>
      <c r="H20" s="494"/>
      <c r="I20" s="494">
        <f>'Exhibit U,10'!X39</f>
        <v>0</v>
      </c>
      <c r="J20" s="187"/>
      <c r="K20" s="494">
        <f>'Exhibit U,8'!AC20-'Exhibit U,8'!AH20</f>
        <v>6315267.6400000006</v>
      </c>
      <c r="L20" s="494"/>
      <c r="M20" s="494">
        <f>'Exhibit U,8'!AH20</f>
        <v>0</v>
      </c>
      <c r="N20" s="494"/>
      <c r="O20" s="494">
        <f t="shared" si="3"/>
        <v>6315267.6400000006</v>
      </c>
      <c r="P20" s="187"/>
      <c r="Q20" s="494">
        <f t="shared" si="4"/>
        <v>6315267.6400000006</v>
      </c>
      <c r="R20" s="494"/>
      <c r="S20" s="494">
        <f t="shared" si="5"/>
        <v>6315267.6400000006</v>
      </c>
      <c r="U20" s="25">
        <f t="shared" si="8"/>
        <v>2011</v>
      </c>
      <c r="V20" s="598">
        <f>'Exhibit U,8'!V20</f>
        <v>6435696.0700000077</v>
      </c>
      <c r="W20" s="598"/>
      <c r="X20" s="54"/>
      <c r="Y20" s="54"/>
      <c r="Z20" s="54"/>
      <c r="AA20" s="54"/>
      <c r="AB20" s="20"/>
      <c r="AC20" s="6"/>
      <c r="AD20" s="20">
        <v>8474355.2699999996</v>
      </c>
      <c r="AE20" s="20">
        <f t="shared" si="1"/>
        <v>6315267.6400000006</v>
      </c>
      <c r="AF20" s="20">
        <f t="shared" si="9"/>
        <v>-2159087.629999999</v>
      </c>
      <c r="AG20" s="20">
        <v>0</v>
      </c>
      <c r="AH20" s="20">
        <f>'Exhibit U,7'!M20-AE20</f>
        <v>0</v>
      </c>
      <c r="AI20" s="20">
        <f t="shared" si="6"/>
        <v>8474355.2699999996</v>
      </c>
      <c r="AJ20" s="20">
        <f t="shared" si="2"/>
        <v>6315267.6400000006</v>
      </c>
      <c r="AK20" s="20"/>
      <c r="AS20" s="26"/>
      <c r="AT20" s="21"/>
      <c r="AU20" s="19"/>
      <c r="AV20" s="26"/>
    </row>
    <row r="21" spans="1:48">
      <c r="A21" s="6">
        <f t="shared" si="7"/>
        <v>2012</v>
      </c>
      <c r="C21" s="494">
        <f>'Exhibit U,10'!K40</f>
        <v>15251215.5</v>
      </c>
      <c r="E21" s="74">
        <f>'Exhibit Q,6'!K25</f>
        <v>1</v>
      </c>
      <c r="G21" s="494">
        <f t="shared" si="0"/>
        <v>0</v>
      </c>
      <c r="H21" s="494"/>
      <c r="I21" s="494">
        <f>'Exhibit U,10'!X40</f>
        <v>0</v>
      </c>
      <c r="J21" s="187"/>
      <c r="K21" s="494">
        <f>'Exhibit U,8'!AC21-'Exhibit U,8'!AH21</f>
        <v>15251215.5</v>
      </c>
      <c r="L21" s="494"/>
      <c r="M21" s="494">
        <f>'Exhibit U,8'!AH21</f>
        <v>2318237.2399999984</v>
      </c>
      <c r="N21" s="494"/>
      <c r="O21" s="494">
        <f t="shared" si="3"/>
        <v>17569452.739999998</v>
      </c>
      <c r="P21" s="187"/>
      <c r="Q21" s="494">
        <f t="shared" si="4"/>
        <v>17569452.739999998</v>
      </c>
      <c r="R21" s="494"/>
      <c r="S21" s="494">
        <f t="shared" si="5"/>
        <v>17569452.739999998</v>
      </c>
      <c r="U21" s="25">
        <f t="shared" si="8"/>
        <v>2012</v>
      </c>
      <c r="V21" s="598">
        <f>'Exhibit U,8'!V21</f>
        <v>9294169.459999999</v>
      </c>
      <c r="W21" s="598"/>
      <c r="X21" s="54"/>
      <c r="Y21" s="54"/>
      <c r="Z21" s="54"/>
      <c r="AA21" s="54"/>
      <c r="AB21" s="20"/>
      <c r="AC21" s="6"/>
      <c r="AD21" s="20">
        <v>6835767.1100000003</v>
      </c>
      <c r="AE21" s="20">
        <f t="shared" si="1"/>
        <v>15251215.5</v>
      </c>
      <c r="AF21" s="20">
        <f t="shared" si="9"/>
        <v>8415448.3900000006</v>
      </c>
      <c r="AG21" s="20">
        <v>0</v>
      </c>
      <c r="AH21" s="20">
        <f>'Exhibit U,7'!M21-AE21</f>
        <v>2318237.2399999984</v>
      </c>
      <c r="AI21" s="20">
        <f t="shared" si="6"/>
        <v>6835767.1100000003</v>
      </c>
      <c r="AJ21" s="20">
        <f t="shared" si="2"/>
        <v>17569452.739999998</v>
      </c>
      <c r="AK21" s="20"/>
      <c r="AS21" s="26"/>
      <c r="AT21" s="21"/>
      <c r="AU21" s="19"/>
      <c r="AV21" s="26"/>
    </row>
    <row r="22" spans="1:48">
      <c r="A22" s="6">
        <f t="shared" si="7"/>
        <v>2013</v>
      </c>
      <c r="C22" s="494">
        <f>'Exhibit U,10'!K41</f>
        <v>16243610.689999998</v>
      </c>
      <c r="E22" s="74">
        <f>'Exhibit Q,6'!K26</f>
        <v>1</v>
      </c>
      <c r="G22" s="494">
        <f t="shared" si="0"/>
        <v>0</v>
      </c>
      <c r="H22" s="494"/>
      <c r="I22" s="494">
        <f>'Exhibit U,10'!X41</f>
        <v>0</v>
      </c>
      <c r="J22" s="187"/>
      <c r="K22" s="494">
        <f>'Exhibit U,8'!AC22-'Exhibit U,8'!AH22</f>
        <v>16243610.689999998</v>
      </c>
      <c r="L22" s="494"/>
      <c r="M22" s="494">
        <f>'Exhibit U,8'!AH22</f>
        <v>1114631.2800000012</v>
      </c>
      <c r="N22" s="494"/>
      <c r="O22" s="494">
        <f t="shared" si="3"/>
        <v>17358241.969999999</v>
      </c>
      <c r="P22" s="187"/>
      <c r="Q22" s="494">
        <f t="shared" si="4"/>
        <v>17358241.969999999</v>
      </c>
      <c r="R22" s="494"/>
      <c r="S22" s="494">
        <f t="shared" si="5"/>
        <v>17358241.969999999</v>
      </c>
      <c r="U22" s="25">
        <f t="shared" si="8"/>
        <v>2013</v>
      </c>
      <c r="V22" s="598">
        <f>'Exhibit U,8'!V22</f>
        <v>10085012.299999949</v>
      </c>
      <c r="W22" s="598"/>
      <c r="X22" s="54"/>
      <c r="Y22" s="54"/>
      <c r="Z22" s="54"/>
      <c r="AA22" s="54"/>
      <c r="AB22" s="20"/>
      <c r="AC22" s="6"/>
      <c r="AD22" s="20">
        <v>18297697.009999998</v>
      </c>
      <c r="AE22" s="20">
        <f t="shared" si="1"/>
        <v>16243610.689999998</v>
      </c>
      <c r="AF22" s="20">
        <f t="shared" si="9"/>
        <v>-2054086.3200000003</v>
      </c>
      <c r="AG22" s="20">
        <v>32914.204742819071</v>
      </c>
      <c r="AH22" s="20">
        <f>'Exhibit U,7'!M22-AE22</f>
        <v>1114631.2800000012</v>
      </c>
      <c r="AI22" s="20">
        <f t="shared" si="6"/>
        <v>18330611.214742817</v>
      </c>
      <c r="AJ22" s="20">
        <f t="shared" si="2"/>
        <v>17358241.969999999</v>
      </c>
      <c r="AK22" s="20"/>
      <c r="AS22" s="26"/>
      <c r="AT22" s="21"/>
      <c r="AU22" s="19"/>
      <c r="AV22" s="26"/>
    </row>
    <row r="23" spans="1:48">
      <c r="A23" s="6">
        <f t="shared" si="7"/>
        <v>2014</v>
      </c>
      <c r="C23" s="494">
        <f>'Exhibit U,10'!K42</f>
        <v>15955773.008735241</v>
      </c>
      <c r="E23" s="74">
        <f>'Exhibit Q,6'!K27</f>
        <v>0.99794445190983305</v>
      </c>
      <c r="G23" s="494">
        <f t="shared" si="0"/>
        <v>32797.858735243055</v>
      </c>
      <c r="H23" s="494"/>
      <c r="I23" s="494">
        <f>'Exhibit U,10'!X42</f>
        <v>0</v>
      </c>
      <c r="J23" s="187"/>
      <c r="K23" s="494">
        <f>'Exhibit U,8'!AC23-'Exhibit U,8'!AH23</f>
        <v>15922975.149999999</v>
      </c>
      <c r="L23" s="494"/>
      <c r="M23" s="494">
        <f>'Exhibit U,8'!AH23</f>
        <v>5118044.0100000016</v>
      </c>
      <c r="N23" s="494"/>
      <c r="O23" s="494">
        <f t="shared" si="3"/>
        <v>21073817.018735245</v>
      </c>
      <c r="P23" s="187"/>
      <c r="Q23" s="494">
        <f t="shared" si="4"/>
        <v>21073817.018735245</v>
      </c>
      <c r="R23" s="494"/>
      <c r="S23" s="494">
        <f t="shared" si="5"/>
        <v>21084359.074027009</v>
      </c>
      <c r="U23" s="25">
        <f t="shared" si="8"/>
        <v>2014</v>
      </c>
      <c r="V23" s="598">
        <f>'Exhibit U,8'!V23</f>
        <v>10240662.590000011</v>
      </c>
      <c r="W23" s="598"/>
      <c r="X23" s="54"/>
      <c r="Y23" s="54"/>
      <c r="Z23" s="54"/>
      <c r="AA23" s="54"/>
      <c r="AB23" s="20"/>
      <c r="AC23" s="6"/>
      <c r="AD23" s="20">
        <v>17222020.140000001</v>
      </c>
      <c r="AE23" s="20">
        <f t="shared" si="1"/>
        <v>15922975.149999999</v>
      </c>
      <c r="AF23" s="20">
        <f t="shared" si="9"/>
        <v>-1299044.9900000021</v>
      </c>
      <c r="AG23" s="20">
        <v>319241.06652085483</v>
      </c>
      <c r="AH23" s="20">
        <f>'Exhibit U,7'!M23-AE23</f>
        <v>5150841.8687352464</v>
      </c>
      <c r="AI23" s="20">
        <f t="shared" si="6"/>
        <v>17541261.206520855</v>
      </c>
      <c r="AJ23" s="20">
        <f t="shared" si="2"/>
        <v>21073817.018735245</v>
      </c>
      <c r="AK23" s="20"/>
      <c r="AS23" s="26"/>
      <c r="AT23" s="21"/>
      <c r="AU23" s="19"/>
      <c r="AV23" s="26"/>
    </row>
    <row r="24" spans="1:48">
      <c r="A24" s="6">
        <f t="shared" si="7"/>
        <v>2015</v>
      </c>
      <c r="C24" s="494">
        <f>'Exhibit U,10'!K43</f>
        <v>4027576.3146318416</v>
      </c>
      <c r="E24" s="74">
        <f>'Exhibit Q,6'!K28</f>
        <v>0.98056563835985389</v>
      </c>
      <c r="G24" s="494">
        <f t="shared" si="0"/>
        <v>78273.374631842118</v>
      </c>
      <c r="H24" s="494"/>
      <c r="I24" s="494">
        <f>'Exhibit U,10'!X43</f>
        <v>0</v>
      </c>
      <c r="J24" s="187"/>
      <c r="K24" s="494">
        <f>'Exhibit U,8'!AC24-'Exhibit U,8'!AH24</f>
        <v>3949302.9399999995</v>
      </c>
      <c r="L24" s="494"/>
      <c r="M24" s="494">
        <f>'Exhibit U,8'!AH24</f>
        <v>36491.240000000224</v>
      </c>
      <c r="N24" s="494"/>
      <c r="O24" s="494">
        <f t="shared" si="3"/>
        <v>4064067.5546318418</v>
      </c>
      <c r="P24" s="187"/>
      <c r="Q24" s="494">
        <f t="shared" si="4"/>
        <v>4064067.5546318418</v>
      </c>
      <c r="R24" s="494"/>
      <c r="S24" s="494">
        <f t="shared" si="5"/>
        <v>4064790.794287724</v>
      </c>
      <c r="U24" s="25">
        <f t="shared" si="8"/>
        <v>2015</v>
      </c>
      <c r="V24" s="598">
        <f>'Exhibit U,8'!V24</f>
        <v>9968876.8200000003</v>
      </c>
      <c r="W24" s="598"/>
      <c r="X24" s="54"/>
      <c r="Y24" s="54"/>
      <c r="Z24" s="54"/>
      <c r="AA24" s="54"/>
      <c r="AB24" s="20"/>
      <c r="AC24" s="6"/>
      <c r="AD24" s="20">
        <v>21967124.93</v>
      </c>
      <c r="AE24" s="20">
        <f t="shared" si="1"/>
        <v>3949302.9399999995</v>
      </c>
      <c r="AF24" s="20">
        <f t="shared" si="9"/>
        <v>-18017821.990000002</v>
      </c>
      <c r="AG24" s="20">
        <v>1179316.9855482318</v>
      </c>
      <c r="AH24" s="20">
        <f>'Exhibit U,7'!M24-AE24</f>
        <v>114764.61463184236</v>
      </c>
      <c r="AI24" s="20">
        <f t="shared" si="6"/>
        <v>23146441.915548231</v>
      </c>
      <c r="AJ24" s="20">
        <f t="shared" si="2"/>
        <v>4064067.5546318418</v>
      </c>
      <c r="AK24" s="20"/>
      <c r="AS24" s="26"/>
      <c r="AT24" s="21"/>
      <c r="AU24" s="19"/>
      <c r="AV24" s="26"/>
    </row>
    <row r="25" spans="1:48">
      <c r="A25" s="6">
        <f t="shared" si="7"/>
        <v>2016</v>
      </c>
      <c r="C25" s="494">
        <f>'Exhibit U,10'!K44</f>
        <v>9808020.5341647454</v>
      </c>
      <c r="E25" s="74">
        <f>'Exhibit Q,6'!K29</f>
        <v>0.92162203459026393</v>
      </c>
      <c r="G25" s="494">
        <f t="shared" si="0"/>
        <v>768732.69416474551</v>
      </c>
      <c r="H25" s="494"/>
      <c r="I25" s="494">
        <f>'Exhibit U,10'!T44</f>
        <v>395200</v>
      </c>
      <c r="J25" s="187"/>
      <c r="K25" s="494">
        <f>'Exhibit U,8'!AC25-'Exhibit U,8'!AH25</f>
        <v>9039287.8399999999</v>
      </c>
      <c r="L25" s="494"/>
      <c r="M25" s="494">
        <f>'Exhibit U,8'!AH25</f>
        <v>950805.66999999993</v>
      </c>
      <c r="N25" s="494"/>
      <c r="O25" s="494">
        <f t="shared" si="3"/>
        <v>11154026.204164745</v>
      </c>
      <c r="P25" s="187"/>
      <c r="Q25" s="494">
        <f t="shared" si="4"/>
        <v>11154026.204164745</v>
      </c>
      <c r="R25" s="494"/>
      <c r="S25" s="494">
        <f t="shared" si="5"/>
        <v>10839686.048132963</v>
      </c>
      <c r="U25" s="25">
        <f t="shared" si="8"/>
        <v>2016</v>
      </c>
      <c r="V25" s="598">
        <f>'Exhibit U,8'!V25</f>
        <v>11089131.659999976</v>
      </c>
      <c r="W25" s="598"/>
      <c r="X25" s="54"/>
      <c r="Y25" s="54"/>
      <c r="Z25" s="54"/>
      <c r="AA25" s="54"/>
      <c r="AB25" s="20"/>
      <c r="AC25" s="6"/>
      <c r="AD25" s="20">
        <v>3435628.1399999997</v>
      </c>
      <c r="AE25" s="20">
        <f t="shared" si="1"/>
        <v>9039287.8399999999</v>
      </c>
      <c r="AF25" s="20">
        <f t="shared" si="9"/>
        <v>5603659.7000000002</v>
      </c>
      <c r="AG25" s="20">
        <v>2090676.5482439538</v>
      </c>
      <c r="AH25" s="20">
        <f>'Exhibit U,7'!M25-AE25</f>
        <v>2592405.2058403883</v>
      </c>
      <c r="AI25" s="20">
        <f t="shared" si="6"/>
        <v>5526304.6882439535</v>
      </c>
      <c r="AJ25" s="20">
        <f t="shared" si="2"/>
        <v>11154026.204164745</v>
      </c>
      <c r="AK25" s="20"/>
      <c r="AS25" s="26"/>
      <c r="AT25" s="21"/>
      <c r="AU25" s="19"/>
      <c r="AV25" s="26"/>
    </row>
    <row r="26" spans="1:48">
      <c r="A26" s="6">
        <f t="shared" si="7"/>
        <v>2017</v>
      </c>
      <c r="C26" s="494">
        <f>'Exhibit U,10'!K45</f>
        <v>11855789.809228787</v>
      </c>
      <c r="E26" s="74">
        <f>'Exhibit Q,6'!K30</f>
        <v>0.80560214621144577</v>
      </c>
      <c r="G26" s="494">
        <f t="shared" si="0"/>
        <v>2304740.0938822892</v>
      </c>
      <c r="H26" s="494"/>
      <c r="I26" s="494">
        <f>'Exhibit U,10'!T45</f>
        <v>790400</v>
      </c>
      <c r="J26" s="187"/>
      <c r="K26" s="494">
        <f>'Exhibit U,8'!AC26-'Exhibit U,8'!AH26</f>
        <v>8020484.8799999999</v>
      </c>
      <c r="L26" s="494"/>
      <c r="M26" s="494">
        <f>'Exhibit U,8'!AH26</f>
        <v>145939.22999999952</v>
      </c>
      <c r="N26" s="494"/>
      <c r="O26" s="494">
        <f t="shared" si="3"/>
        <v>11261564.203882288</v>
      </c>
      <c r="P26" s="187"/>
      <c r="Q26" s="494">
        <f t="shared" si="4"/>
        <v>10892227.403484173</v>
      </c>
      <c r="R26" s="494"/>
      <c r="S26" s="494">
        <f t="shared" si="5"/>
        <v>10137043.636743942</v>
      </c>
      <c r="U26" s="25">
        <f t="shared" si="8"/>
        <v>2017</v>
      </c>
      <c r="V26" s="598">
        <f>'Exhibit U,8'!V26</f>
        <v>11045038.820000034</v>
      </c>
      <c r="W26" s="598"/>
      <c r="X26" s="54"/>
      <c r="Y26" s="54"/>
      <c r="Z26" s="54"/>
      <c r="AA26" s="54"/>
      <c r="AB26" s="20"/>
      <c r="AC26" s="6"/>
      <c r="AD26" s="20">
        <v>6389034.0299999993</v>
      </c>
      <c r="AE26" s="20">
        <f t="shared" si="1"/>
        <v>8020484.8799999999</v>
      </c>
      <c r="AF26" s="20">
        <f t="shared" si="9"/>
        <v>1631450.8500000006</v>
      </c>
      <c r="AG26" s="20">
        <v>5929173.2811697647</v>
      </c>
      <c r="AH26" s="20">
        <f>'Exhibit U,7'!M26-AE26</f>
        <v>3241079.3238822883</v>
      </c>
      <c r="AI26" s="20">
        <f t="shared" si="6"/>
        <v>12318207.311169764</v>
      </c>
      <c r="AJ26" s="20">
        <f t="shared" si="2"/>
        <v>12792129.039228786</v>
      </c>
      <c r="AK26" s="20"/>
      <c r="AS26" s="26"/>
      <c r="AT26" s="21"/>
      <c r="AU26" s="19"/>
      <c r="AV26" s="26"/>
    </row>
    <row r="27" spans="1:48">
      <c r="A27" s="6">
        <f t="shared" si="7"/>
        <v>2018</v>
      </c>
      <c r="C27" s="494">
        <f>'Exhibit U,10'!K46</f>
        <v>8092009.4127996648</v>
      </c>
      <c r="E27" s="74">
        <f>'Exhibit Q,6'!K31</f>
        <v>0.63280360109408795</v>
      </c>
      <c r="G27" s="494">
        <f t="shared" si="0"/>
        <v>2971356.7162927808</v>
      </c>
      <c r="H27" s="494"/>
      <c r="I27" s="494">
        <f>'Exhibit U,10'!T46</f>
        <v>790400</v>
      </c>
      <c r="J27" s="187"/>
      <c r="K27" s="494">
        <f>'Exhibit U,8'!AC27-'Exhibit U,8'!AH27</f>
        <v>3138447.09</v>
      </c>
      <c r="L27" s="494"/>
      <c r="M27" s="494">
        <f>'Exhibit U,8'!AH27</f>
        <v>105874.37000000011</v>
      </c>
      <c r="N27" s="187"/>
      <c r="O27" s="494">
        <f t="shared" si="3"/>
        <v>7006078.1762927808</v>
      </c>
      <c r="P27" s="187"/>
      <c r="Q27" s="494">
        <f t="shared" si="4"/>
        <v>5855865.4415011276</v>
      </c>
      <c r="R27" s="494"/>
      <c r="S27" s="494">
        <f t="shared" si="5"/>
        <v>5126901.0707124919</v>
      </c>
      <c r="U27" s="25">
        <f t="shared" si="8"/>
        <v>2018</v>
      </c>
      <c r="V27" s="598">
        <f>'Exhibit U,8'!V27</f>
        <v>7536562.6900000451</v>
      </c>
      <c r="W27" s="598"/>
      <c r="X27" s="54"/>
      <c r="Y27" s="54"/>
      <c r="Z27" s="54"/>
      <c r="AA27" s="54"/>
      <c r="AB27" s="20"/>
      <c r="AC27" s="6"/>
      <c r="AD27" s="20">
        <v>1589239.9</v>
      </c>
      <c r="AE27" s="20">
        <f t="shared" si="1"/>
        <v>3138447.09</v>
      </c>
      <c r="AF27" s="20">
        <f t="shared" si="9"/>
        <v>1549207.19</v>
      </c>
      <c r="AG27" s="20">
        <v>6310189.1713549588</v>
      </c>
      <c r="AH27" s="20">
        <f>'Exhibit U,7'!M27-AE27</f>
        <v>3867631.0862927809</v>
      </c>
      <c r="AI27" s="20">
        <f t="shared" si="6"/>
        <v>7899429.0713549592</v>
      </c>
      <c r="AJ27" s="20">
        <f t="shared" si="2"/>
        <v>8988283.7827996649</v>
      </c>
      <c r="AK27" s="20"/>
      <c r="AS27" s="26"/>
      <c r="AT27" s="21"/>
      <c r="AU27" s="19"/>
      <c r="AV27" s="26"/>
    </row>
    <row r="28" spans="1:48">
      <c r="A28" s="6">
        <f t="shared" si="7"/>
        <v>2019</v>
      </c>
      <c r="C28" s="494">
        <f>'Exhibit U,10'!K47</f>
        <v>8830400.0145976357</v>
      </c>
      <c r="E28" s="74">
        <f>'Exhibit Q,6'!K32</f>
        <v>0.421940580545903</v>
      </c>
      <c r="G28" s="494">
        <f t="shared" si="0"/>
        <v>5104495.9059857586</v>
      </c>
      <c r="H28" s="494"/>
      <c r="I28" s="494">
        <f>'Exhibit U,10'!X47</f>
        <v>0</v>
      </c>
      <c r="J28" s="187"/>
      <c r="K28" s="494">
        <f>'Exhibit U,8'!AC28-'Exhibit U,8'!AH28</f>
        <v>1608117.88</v>
      </c>
      <c r="L28" s="494"/>
      <c r="M28" s="494">
        <f>'Exhibit U,8'!AH28</f>
        <v>0</v>
      </c>
      <c r="N28" s="187"/>
      <c r="O28" s="494">
        <f t="shared" si="3"/>
        <v>6712613.7859857585</v>
      </c>
      <c r="P28" s="187"/>
      <c r="Q28" s="494">
        <f t="shared" si="4"/>
        <v>3811242.5164686251</v>
      </c>
      <c r="R28" s="494"/>
      <c r="S28" s="494">
        <f t="shared" si="5"/>
        <v>3811242.5164686251</v>
      </c>
      <c r="U28" s="25">
        <f t="shared" si="8"/>
        <v>2019</v>
      </c>
      <c r="V28" s="598">
        <f>'Exhibit U,8'!V28</f>
        <v>6209470.9400000097</v>
      </c>
      <c r="W28" s="598"/>
      <c r="X28" s="54"/>
      <c r="Y28" s="54"/>
      <c r="Z28" s="54"/>
      <c r="AA28" s="54"/>
      <c r="AB28" s="20"/>
      <c r="AC28" s="6"/>
      <c r="AD28" s="20">
        <v>1257381.22</v>
      </c>
      <c r="AE28" s="20">
        <f t="shared" si="1"/>
        <v>1608117.88</v>
      </c>
      <c r="AF28" s="20">
        <f t="shared" si="9"/>
        <v>350736.65999999992</v>
      </c>
      <c r="AG28" s="20">
        <v>6420958.0207335157</v>
      </c>
      <c r="AH28" s="20">
        <f>'Exhibit U,7'!M28-AE28</f>
        <v>5104495.9059857586</v>
      </c>
      <c r="AI28" s="20">
        <f t="shared" si="6"/>
        <v>7678339.2407335155</v>
      </c>
      <c r="AJ28" s="20">
        <f t="shared" si="2"/>
        <v>8830400.0145976357</v>
      </c>
      <c r="AK28" s="20"/>
      <c r="AS28" s="26"/>
      <c r="AT28" s="21"/>
      <c r="AU28" s="19"/>
      <c r="AV28" s="26"/>
    </row>
    <row r="29" spans="1:48">
      <c r="A29" s="6">
        <f t="shared" si="7"/>
        <v>2020</v>
      </c>
      <c r="C29" s="494">
        <f>'Exhibit U,10'!K48</f>
        <v>7812359.0303209489</v>
      </c>
      <c r="E29" s="74">
        <f>'Exhibit Q,6'!K33</f>
        <v>0.2244775093118086</v>
      </c>
      <c r="G29" s="494">
        <f t="shared" si="0"/>
        <v>6058660.1333448868</v>
      </c>
      <c r="H29" s="494"/>
      <c r="I29" s="494">
        <f>'Exhibit U,10'!X48</f>
        <v>0</v>
      </c>
      <c r="J29" s="187"/>
      <c r="K29" s="494">
        <f>'Exhibit U,8'!AC29-'Exhibit U,8'!AH29</f>
        <v>899244.04</v>
      </c>
      <c r="L29" s="494"/>
      <c r="M29" s="494">
        <f>'Exhibit U,8'!AH29</f>
        <v>0</v>
      </c>
      <c r="N29" s="187"/>
      <c r="O29" s="494">
        <f t="shared" si="3"/>
        <v>6957904.1733448869</v>
      </c>
      <c r="P29" s="187"/>
      <c r="Q29" s="494">
        <f t="shared" si="4"/>
        <v>4005942.70115013</v>
      </c>
      <c r="R29" s="494"/>
      <c r="S29" s="494">
        <f t="shared" si="5"/>
        <v>4005942.70115013</v>
      </c>
      <c r="U29" s="25">
        <f t="shared" si="8"/>
        <v>2020</v>
      </c>
      <c r="V29" s="598">
        <f>'Exhibit U,8'!V29</f>
        <v>4965992.7600000119</v>
      </c>
      <c r="W29" s="598"/>
      <c r="X29" s="54"/>
      <c r="Y29" s="54"/>
      <c r="Z29" s="54"/>
      <c r="AA29" s="54"/>
      <c r="AB29" s="20"/>
      <c r="AC29" s="6"/>
      <c r="AD29" s="20">
        <v>871809.52</v>
      </c>
      <c r="AE29" s="20">
        <f t="shared" si="1"/>
        <v>899244.04</v>
      </c>
      <c r="AF29" s="20">
        <f t="shared" si="9"/>
        <v>27434.520000000019</v>
      </c>
      <c r="AG29" s="20">
        <v>6646438.8057458419</v>
      </c>
      <c r="AH29" s="20">
        <f>'Exhibit U,7'!M29-AE29</f>
        <v>5470640.0804675305</v>
      </c>
      <c r="AI29" s="20">
        <f t="shared" si="6"/>
        <v>7518248.3257458415</v>
      </c>
      <c r="AJ29" s="20">
        <f t="shared" si="2"/>
        <v>7812359.0303209489</v>
      </c>
      <c r="AK29" s="20"/>
      <c r="AS29" s="26"/>
      <c r="AT29" s="21"/>
      <c r="AU29" s="19"/>
      <c r="AV29" s="26"/>
    </row>
    <row r="30" spans="1:48">
      <c r="A30" s="6">
        <f t="shared" si="7"/>
        <v>2021</v>
      </c>
      <c r="C30" s="494">
        <f>'Exhibit U,10'!K49</f>
        <v>5454743.0538913114</v>
      </c>
      <c r="E30" s="74">
        <f>'Exhibit Q,6'!K34</f>
        <v>9.0829310618462944E-2</v>
      </c>
      <c r="G30" s="494">
        <f t="shared" si="0"/>
        <v>4959292.5027055144</v>
      </c>
      <c r="H30" s="494"/>
      <c r="I30" s="494">
        <f>'Exhibit U,10'!X49</f>
        <v>0</v>
      </c>
      <c r="J30" s="187"/>
      <c r="K30" s="494">
        <f>'Exhibit U,8'!AC30-'Exhibit U,8'!AH30</f>
        <v>356398.98</v>
      </c>
      <c r="L30" s="494"/>
      <c r="M30" s="494">
        <f>'Exhibit U,8'!AH30</f>
        <v>0</v>
      </c>
      <c r="N30" s="187"/>
      <c r="O30" s="494">
        <f t="shared" si="3"/>
        <v>5315691.4827055149</v>
      </c>
      <c r="P30" s="187"/>
      <c r="Q30" s="494">
        <f t="shared" si="4"/>
        <v>3923832.2692669923</v>
      </c>
      <c r="R30" s="494"/>
      <c r="S30" s="494">
        <f t="shared" si="5"/>
        <v>3923832.2692669923</v>
      </c>
      <c r="U30" s="25">
        <f t="shared" si="8"/>
        <v>2021</v>
      </c>
      <c r="V30" s="598">
        <f>'Exhibit U,8'!V30</f>
        <v>3657900.3700000038</v>
      </c>
      <c r="W30" s="598"/>
      <c r="X30" s="54"/>
      <c r="Y30" s="54"/>
      <c r="Z30" s="54"/>
      <c r="AA30" s="54"/>
      <c r="AB30" s="20"/>
      <c r="AC30" s="6"/>
      <c r="AD30" s="20">
        <v>67903.44</v>
      </c>
      <c r="AE30" s="20">
        <f t="shared" si="1"/>
        <v>356398.98</v>
      </c>
      <c r="AF30" s="20">
        <f t="shared" si="9"/>
        <v>288495.53999999998</v>
      </c>
      <c r="AG30" s="20">
        <v>4506361.2028536415</v>
      </c>
      <c r="AH30" s="20">
        <f>'Exhibit U,7'!M30-AE30</f>
        <v>4658776.9587716796</v>
      </c>
      <c r="AI30" s="20">
        <f t="shared" si="6"/>
        <v>4574264.6428536419</v>
      </c>
      <c r="AJ30" s="20">
        <f t="shared" si="2"/>
        <v>5454743.0538913114</v>
      </c>
      <c r="AK30" s="20"/>
      <c r="AS30" s="26"/>
      <c r="AT30" s="21"/>
      <c r="AU30" s="19"/>
      <c r="AV30" s="26"/>
    </row>
    <row r="31" spans="1:48">
      <c r="A31" s="6">
        <f t="shared" si="7"/>
        <v>2022</v>
      </c>
      <c r="C31" s="494">
        <f>'Exhibit U,10'!K50</f>
        <v>5579054.418703963</v>
      </c>
      <c r="E31" s="74">
        <f>'Exhibit Q,6'!K35</f>
        <v>2.1664952564228054E-2</v>
      </c>
      <c r="G31" s="494">
        <f t="shared" si="0"/>
        <v>5458184.4693694944</v>
      </c>
      <c r="H31" s="494"/>
      <c r="I31" s="494">
        <f>'Exhibit U,10'!X50</f>
        <v>0</v>
      </c>
      <c r="J31" s="187"/>
      <c r="K31" s="494">
        <f>'Exhibit U,8'!AC31-'Exhibit U,8'!AH31</f>
        <v>32500</v>
      </c>
      <c r="L31" s="494"/>
      <c r="M31" s="494">
        <f>'Exhibit U,8'!AH31</f>
        <v>0</v>
      </c>
      <c r="N31" s="187"/>
      <c r="O31" s="494">
        <f t="shared" si="3"/>
        <v>5490684.4693694944</v>
      </c>
      <c r="P31" s="187"/>
      <c r="Q31" s="494">
        <f t="shared" si="4"/>
        <v>1500118.6780192708</v>
      </c>
      <c r="R31" s="494"/>
      <c r="S31" s="494">
        <f t="shared" si="5"/>
        <v>1500118.6780192708</v>
      </c>
      <c r="U31" s="25">
        <f t="shared" si="8"/>
        <v>2022</v>
      </c>
      <c r="V31" s="598">
        <f>'Exhibit U,8'!V31</f>
        <v>4017772.8</v>
      </c>
      <c r="W31" s="598"/>
      <c r="X31" s="620">
        <v>2021</v>
      </c>
      <c r="Y31" s="54"/>
      <c r="Z31" s="54"/>
      <c r="AA31" s="54"/>
      <c r="AB31" s="20"/>
      <c r="AC31" s="6"/>
      <c r="AD31" s="20"/>
      <c r="AE31" s="20">
        <f t="shared" si="1"/>
        <v>32500</v>
      </c>
      <c r="AF31" s="20">
        <f t="shared" si="9"/>
        <v>32500</v>
      </c>
      <c r="AG31" s="20"/>
      <c r="AH31" s="20">
        <f>'Exhibit U,7'!M31-AE31</f>
        <v>3589432.1370738312</v>
      </c>
      <c r="AI31" s="20">
        <f t="shared" si="6"/>
        <v>0</v>
      </c>
      <c r="AK31" s="20"/>
      <c r="AS31" s="26"/>
      <c r="AT31" s="21"/>
      <c r="AU31" s="19"/>
      <c r="AV31" s="26"/>
    </row>
    <row r="32" spans="1:48">
      <c r="A32" s="6"/>
      <c r="C32" s="200"/>
      <c r="E32" s="74"/>
      <c r="G32" s="200"/>
      <c r="H32" s="18"/>
      <c r="I32" s="200"/>
      <c r="J32" s="6"/>
      <c r="K32" s="200"/>
      <c r="L32" s="18"/>
      <c r="M32" s="200"/>
      <c r="N32" s="6"/>
      <c r="O32" s="200"/>
      <c r="Q32" s="200"/>
      <c r="S32" s="200"/>
      <c r="U32" s="97"/>
      <c r="V32" s="70"/>
      <c r="W32" s="598"/>
      <c r="X32" s="620" t="s">
        <v>1760</v>
      </c>
      <c r="Y32" s="54"/>
      <c r="Z32" s="54"/>
      <c r="AA32" s="54"/>
      <c r="AC32" s="2"/>
      <c r="AD32" s="63"/>
      <c r="AE32" s="63"/>
      <c r="AF32" s="63"/>
      <c r="AG32" s="63"/>
      <c r="AH32" s="63"/>
      <c r="AI32" s="63"/>
      <c r="AJ32" s="63"/>
      <c r="AK32" s="20"/>
    </row>
    <row r="33" spans="1:47">
      <c r="A33" s="2" t="s">
        <v>0</v>
      </c>
      <c r="C33" s="19">
        <f>SUM(C17:C32)</f>
        <v>127808419.34707414</v>
      </c>
      <c r="E33" s="19"/>
      <c r="G33" s="19">
        <f>SUM(G17:G32)</f>
        <v>27736533.749112554</v>
      </c>
      <c r="H33" s="19"/>
      <c r="I33" s="19">
        <f>SUM(I17:I32)</f>
        <v>1976000</v>
      </c>
      <c r="J33" s="6"/>
      <c r="K33" s="19">
        <f>SUM(K17:K32)</f>
        <v>93359452.550000012</v>
      </c>
      <c r="L33" s="19"/>
      <c r="M33" s="19">
        <f>SUM(M17:M32)</f>
        <v>9790023.0400000028</v>
      </c>
      <c r="N33" s="6"/>
      <c r="O33" s="19">
        <f>SUM(O17:O32)</f>
        <v>132862009.33911255</v>
      </c>
      <c r="Q33" s="19">
        <f>SUM(Q17:Q32)</f>
        <v>120106702.05742216</v>
      </c>
      <c r="R33" s="19"/>
      <c r="S33" s="19">
        <f>SUM(S17:S32)</f>
        <v>118319479.05880918</v>
      </c>
      <c r="U33" s="97" t="s">
        <v>0</v>
      </c>
      <c r="V33" s="223">
        <f>SUM(V17:V32)</f>
        <v>94546287.280000031</v>
      </c>
      <c r="W33" s="223"/>
      <c r="X33" s="241" t="s">
        <v>67</v>
      </c>
      <c r="Y33" s="241" t="s">
        <v>18</v>
      </c>
      <c r="Z33" s="19"/>
      <c r="AA33" s="19"/>
      <c r="AB33" s="66"/>
      <c r="AC33" s="2"/>
      <c r="AD33" s="66">
        <f>SUM(AD17:AD32)</f>
        <v>90643786.090000004</v>
      </c>
      <c r="AE33" s="66">
        <f t="shared" ref="AE33:AJ33" si="10">SUM(AE17:AE32)</f>
        <v>93359452.550000012</v>
      </c>
      <c r="AF33" s="66">
        <f t="shared" si="10"/>
        <v>939259.05999999843</v>
      </c>
      <c r="AG33" s="66">
        <f t="shared" si="10"/>
        <v>33435269.286913581</v>
      </c>
      <c r="AH33" s="66">
        <f t="shared" si="10"/>
        <v>37222935.701681346</v>
      </c>
      <c r="AI33" s="66">
        <f t="shared" si="10"/>
        <v>124079055.37691358</v>
      </c>
      <c r="AJ33" s="66">
        <f t="shared" si="10"/>
        <v>133995387.96837017</v>
      </c>
      <c r="AK33" s="20"/>
      <c r="AS33" s="66"/>
      <c r="AT33" s="66"/>
      <c r="AU33" s="66"/>
    </row>
    <row r="34" spans="1:47">
      <c r="E34" s="74"/>
      <c r="K34" s="187"/>
      <c r="L34" s="187"/>
      <c r="M34" s="187"/>
      <c r="N34" s="187"/>
      <c r="O34" s="187">
        <f>'Exhibit U,10'!I52-I33-M33</f>
        <v>0</v>
      </c>
      <c r="U34" s="61"/>
      <c r="V34" s="61"/>
      <c r="W34" s="61"/>
    </row>
    <row r="35" spans="1:47" ht="16">
      <c r="A35" s="15" t="s">
        <v>118</v>
      </c>
      <c r="C35" s="61"/>
      <c r="E35" s="74"/>
      <c r="K35" s="20">
        <f>'Exhibit U,8'!K35+(Y35+Z35)-(AG35+AH35)</f>
        <v>0</v>
      </c>
      <c r="U35" s="61"/>
      <c r="V35" s="61"/>
      <c r="W35" s="61"/>
      <c r="AK35" s="22"/>
    </row>
    <row r="36" spans="1:47">
      <c r="A36" s="6">
        <f>A17</f>
        <v>2008</v>
      </c>
      <c r="C36" s="147">
        <f>'Exhibit U,12'!G37</f>
        <v>1911758.4000000001</v>
      </c>
      <c r="E36" s="74">
        <v>1</v>
      </c>
      <c r="G36" s="497">
        <f t="shared" ref="G36:G50" si="11">C36*(1-E36)</f>
        <v>0</v>
      </c>
      <c r="H36" s="497"/>
      <c r="I36" s="497">
        <f>I17-'Exhibit U,12'!W37</f>
        <v>0</v>
      </c>
      <c r="J36" s="497"/>
      <c r="K36" s="147">
        <f>'Exhibit U,8'!AC36-'Exhibit U,8'!AH36</f>
        <v>1871146.2100000002</v>
      </c>
      <c r="L36" s="147"/>
      <c r="M36" s="147">
        <f>'Exhibit U,8'!AH36</f>
        <v>0</v>
      </c>
      <c r="N36" s="497"/>
      <c r="O36" s="147">
        <f>K36+G36+I36+M36</f>
        <v>1871146.2100000002</v>
      </c>
      <c r="P36" s="147"/>
      <c r="Q36" s="147">
        <f>K36/E36+I36+M36</f>
        <v>1871146.2100000002</v>
      </c>
      <c r="R36" s="147"/>
      <c r="S36" s="147">
        <f>SUM(W36:Z36)/E36</f>
        <v>1871146.2100000002</v>
      </c>
      <c r="U36" s="25">
        <f>A17</f>
        <v>2008</v>
      </c>
      <c r="V36" s="219">
        <f>'Exhibit U,8'!V36</f>
        <v>0</v>
      </c>
      <c r="W36" s="84"/>
      <c r="X36" s="197">
        <f>'Exhibit B,S3'!S31</f>
        <v>1871146.2100000002</v>
      </c>
      <c r="Y36" s="621">
        <f>O36-X36</f>
        <v>0</v>
      </c>
      <c r="Z36" s="209"/>
      <c r="AA36" s="209"/>
      <c r="AC36" s="6"/>
      <c r="AD36" s="209"/>
      <c r="AE36" s="209"/>
      <c r="AF36" s="209"/>
      <c r="AG36" s="209"/>
      <c r="AH36" s="209"/>
      <c r="AI36" s="209"/>
    </row>
    <row r="37" spans="1:47">
      <c r="A37" s="6">
        <f>A36+1</f>
        <v>2009</v>
      </c>
      <c r="C37" s="494">
        <f>'Exhibit U,12'!G38</f>
        <v>2191506.25</v>
      </c>
      <c r="E37" s="128">
        <f t="shared" ref="E37:E49" si="12">E18*(11/12)+E17*(1/12)</f>
        <v>1</v>
      </c>
      <c r="G37" s="494">
        <f t="shared" si="11"/>
        <v>0</v>
      </c>
      <c r="H37" s="494"/>
      <c r="I37" s="494">
        <f>I18-'Exhibit U,12'!W38</f>
        <v>0</v>
      </c>
      <c r="J37" s="187"/>
      <c r="K37" s="17">
        <f>'Exhibit U,8'!AC37-'Exhibit U,8'!AH37</f>
        <v>2191506.25</v>
      </c>
      <c r="L37" s="494"/>
      <c r="M37" s="494">
        <f>'Exhibit U,8'!AH37</f>
        <v>0</v>
      </c>
      <c r="N37" s="494"/>
      <c r="O37" s="494">
        <f t="shared" ref="O37:O50" si="13">K37+G37+I37+M37</f>
        <v>2191506.25</v>
      </c>
      <c r="P37" s="187"/>
      <c r="Q37" s="494">
        <f t="shared" ref="Q37:Q50" si="14">K37/E37+I37+M37</f>
        <v>2191506.25</v>
      </c>
      <c r="R37" s="494"/>
      <c r="S37" s="494">
        <f t="shared" ref="S37:S50" si="15">SUM(W37:Z37)/E37</f>
        <v>2191506.25</v>
      </c>
      <c r="U37" s="25">
        <f>U36+1</f>
        <v>2009</v>
      </c>
      <c r="V37" s="598">
        <f>'Exhibit U,8'!V37</f>
        <v>0</v>
      </c>
      <c r="W37" s="598"/>
      <c r="X37" s="598">
        <f>'Exhibit B,S3'!S32</f>
        <v>2191506.25</v>
      </c>
      <c r="Y37" s="598">
        <f t="shared" ref="Y37:Y49" si="16">O37-X37</f>
        <v>0</v>
      </c>
      <c r="Z37" s="54"/>
      <c r="AA37" s="54"/>
      <c r="AC37" s="6"/>
      <c r="AD37" s="54"/>
      <c r="AE37" s="54"/>
      <c r="AF37" s="54"/>
      <c r="AG37" s="54"/>
      <c r="AH37" s="54"/>
      <c r="AI37" s="54"/>
    </row>
    <row r="38" spans="1:47">
      <c r="A38" s="6">
        <f t="shared" ref="A38:A50" si="17">A37+1</f>
        <v>2010</v>
      </c>
      <c r="C38" s="494">
        <f>'Exhibit U,12'!G39</f>
        <v>8479335.2699999996</v>
      </c>
      <c r="E38" s="128">
        <f t="shared" si="12"/>
        <v>1</v>
      </c>
      <c r="G38" s="494">
        <f t="shared" si="11"/>
        <v>0</v>
      </c>
      <c r="H38" s="494"/>
      <c r="I38" s="494">
        <f>I19-'Exhibit U,12'!W39</f>
        <v>0</v>
      </c>
      <c r="J38" s="187"/>
      <c r="K38" s="17">
        <f>'Exhibit U,8'!AC38-'Exhibit U,8'!AH38</f>
        <v>6627825.4199999999</v>
      </c>
      <c r="L38" s="494"/>
      <c r="M38" s="494">
        <f>'Exhibit U,8'!AH38</f>
        <v>0</v>
      </c>
      <c r="N38" s="494"/>
      <c r="O38" s="494">
        <f t="shared" si="13"/>
        <v>6627825.4199999999</v>
      </c>
      <c r="P38" s="187"/>
      <c r="Q38" s="494">
        <f t="shared" si="14"/>
        <v>6627825.4199999999</v>
      </c>
      <c r="R38" s="494"/>
      <c r="S38" s="494">
        <f t="shared" si="15"/>
        <v>6627825.4199999999</v>
      </c>
      <c r="U38" s="25">
        <f t="shared" ref="U38:U50" si="18">U37+1</f>
        <v>2010</v>
      </c>
      <c r="V38" s="598">
        <f>'Exhibit U,8'!V38</f>
        <v>0</v>
      </c>
      <c r="W38" s="598"/>
      <c r="X38" s="598">
        <f>'Exhibit B,S3'!S33</f>
        <v>6627582.2400000002</v>
      </c>
      <c r="Y38" s="598">
        <f t="shared" si="16"/>
        <v>243.17999999970198</v>
      </c>
      <c r="Z38" s="54"/>
      <c r="AA38" s="54"/>
      <c r="AC38" s="6"/>
      <c r="AD38" s="54"/>
      <c r="AE38" s="54"/>
      <c r="AF38" s="54"/>
      <c r="AG38" s="54"/>
      <c r="AH38" s="54"/>
      <c r="AI38" s="54"/>
    </row>
    <row r="39" spans="1:47">
      <c r="A39" s="6">
        <f t="shared" si="17"/>
        <v>2011</v>
      </c>
      <c r="C39" s="494">
        <f>'Exhibit U,12'!G40</f>
        <v>6315267.6400000006</v>
      </c>
      <c r="E39" s="128">
        <f t="shared" si="12"/>
        <v>1</v>
      </c>
      <c r="G39" s="494">
        <f t="shared" si="11"/>
        <v>0</v>
      </c>
      <c r="H39" s="494"/>
      <c r="I39" s="494">
        <f>I20-'Exhibit U,12'!W40</f>
        <v>0</v>
      </c>
      <c r="J39" s="187"/>
      <c r="K39" s="17">
        <f>'Exhibit U,8'!AC39-'Exhibit U,8'!AH39</f>
        <v>6221285.9700000007</v>
      </c>
      <c r="L39" s="494"/>
      <c r="M39" s="494">
        <f>'Exhibit U,8'!AH39</f>
        <v>0</v>
      </c>
      <c r="N39" s="494"/>
      <c r="O39" s="494">
        <f t="shared" si="13"/>
        <v>6221285.9700000007</v>
      </c>
      <c r="P39" s="187"/>
      <c r="Q39" s="494">
        <f t="shared" si="14"/>
        <v>6221285.9700000007</v>
      </c>
      <c r="R39" s="494"/>
      <c r="S39" s="494">
        <f t="shared" si="15"/>
        <v>6221285.9700000007</v>
      </c>
      <c r="U39" s="25">
        <f t="shared" si="18"/>
        <v>2011</v>
      </c>
      <c r="V39" s="598">
        <f>'Exhibit U,8'!V39</f>
        <v>5275483.3127475921</v>
      </c>
      <c r="W39" s="598"/>
      <c r="X39" s="598">
        <f>'Exhibit B,S3'!S34</f>
        <v>6742250.5600000005</v>
      </c>
      <c r="Y39" s="598">
        <f t="shared" si="16"/>
        <v>-520964.58999999985</v>
      </c>
      <c r="Z39" s="54"/>
      <c r="AA39" s="54"/>
      <c r="AC39" s="6"/>
      <c r="AD39" s="54"/>
      <c r="AE39" s="54"/>
      <c r="AF39" s="54"/>
      <c r="AG39" s="54"/>
      <c r="AH39" s="54"/>
      <c r="AI39" s="54"/>
    </row>
    <row r="40" spans="1:47">
      <c r="A40" s="6">
        <f t="shared" si="17"/>
        <v>2012</v>
      </c>
      <c r="C40" s="494">
        <f>'Exhibit U,12'!G41</f>
        <v>15461823.328420902</v>
      </c>
      <c r="E40" s="128">
        <f t="shared" si="12"/>
        <v>1</v>
      </c>
      <c r="G40" s="494">
        <f t="shared" si="11"/>
        <v>0</v>
      </c>
      <c r="H40" s="494"/>
      <c r="I40" s="494">
        <f>I21-'Exhibit U,12'!W41</f>
        <v>0</v>
      </c>
      <c r="J40" s="187"/>
      <c r="K40" s="17">
        <f>'Exhibit U,8'!AC40-'Exhibit U,8'!AH40</f>
        <v>12016325.98</v>
      </c>
      <c r="L40" s="494"/>
      <c r="M40" s="494">
        <f>'Exhibit U,8'!AH40</f>
        <v>1795366.2599999998</v>
      </c>
      <c r="N40" s="494"/>
      <c r="O40" s="494">
        <f t="shared" si="13"/>
        <v>13811692.24</v>
      </c>
      <c r="P40" s="187"/>
      <c r="Q40" s="494">
        <f t="shared" si="14"/>
        <v>13811692.24</v>
      </c>
      <c r="R40" s="494"/>
      <c r="S40" s="494">
        <f t="shared" si="15"/>
        <v>13811692.24</v>
      </c>
      <c r="U40" s="25">
        <f t="shared" si="18"/>
        <v>2012</v>
      </c>
      <c r="V40" s="598">
        <f>'Exhibit U,8'!V40</f>
        <v>7630803.7331443904</v>
      </c>
      <c r="W40" s="598"/>
      <c r="X40" s="598">
        <f>'Exhibit B,S3'!S35</f>
        <v>14944762.539999999</v>
      </c>
      <c r="Y40" s="598">
        <f t="shared" si="16"/>
        <v>-1133070.2999999989</v>
      </c>
      <c r="Z40" s="54"/>
      <c r="AA40" s="54"/>
      <c r="AC40" s="6"/>
      <c r="AD40" s="54"/>
      <c r="AE40" s="54"/>
      <c r="AF40" s="54"/>
      <c r="AG40" s="54"/>
      <c r="AH40" s="54"/>
      <c r="AI40" s="54"/>
    </row>
    <row r="41" spans="1:47">
      <c r="A41" s="6">
        <f t="shared" si="17"/>
        <v>2013</v>
      </c>
      <c r="C41" s="494">
        <f>'Exhibit U,12'!G42</f>
        <v>17358241.969999999</v>
      </c>
      <c r="E41" s="128">
        <f t="shared" si="12"/>
        <v>1</v>
      </c>
      <c r="G41" s="494">
        <f t="shared" si="11"/>
        <v>0</v>
      </c>
      <c r="H41" s="494"/>
      <c r="I41" s="494">
        <f>I22-'Exhibit U,12'!W42</f>
        <v>0</v>
      </c>
      <c r="J41" s="187"/>
      <c r="K41" s="17">
        <f>'Exhibit U,8'!AC41-'Exhibit U,8'!AH41</f>
        <v>13322199.139999997</v>
      </c>
      <c r="L41" s="494"/>
      <c r="M41" s="494">
        <f>'Exhibit U,8'!AH41</f>
        <v>1114631.2800000012</v>
      </c>
      <c r="N41" s="494"/>
      <c r="O41" s="494">
        <f t="shared" si="13"/>
        <v>14436830.419999998</v>
      </c>
      <c r="P41" s="187"/>
      <c r="Q41" s="494">
        <f t="shared" si="14"/>
        <v>14436830.419999998</v>
      </c>
      <c r="R41" s="494"/>
      <c r="S41" s="494">
        <f t="shared" si="15"/>
        <v>14436830.419999998</v>
      </c>
      <c r="U41" s="25">
        <f t="shared" si="18"/>
        <v>2013</v>
      </c>
      <c r="V41" s="598">
        <f>'Exhibit U,8'!V41</f>
        <v>8356960.9414274003</v>
      </c>
      <c r="W41" s="598"/>
      <c r="X41" s="598">
        <f>'Exhibit B,S3'!S36</f>
        <v>16061647.872125499</v>
      </c>
      <c r="Y41" s="598">
        <f t="shared" si="16"/>
        <v>-1624817.4521255009</v>
      </c>
      <c r="Z41" s="54"/>
      <c r="AA41" s="54"/>
      <c r="AC41" s="6"/>
      <c r="AD41" s="54"/>
      <c r="AE41" s="54"/>
      <c r="AF41" s="54"/>
      <c r="AG41" s="54"/>
      <c r="AH41" s="54"/>
      <c r="AI41" s="54"/>
    </row>
    <row r="42" spans="1:47">
      <c r="A42" s="6">
        <f t="shared" si="17"/>
        <v>2014</v>
      </c>
      <c r="C42" s="494">
        <f>'Exhibit U,12'!G43</f>
        <v>17774074.296360999</v>
      </c>
      <c r="E42" s="128">
        <f t="shared" si="12"/>
        <v>0.99811574758401367</v>
      </c>
      <c r="G42" s="494">
        <f t="shared" si="11"/>
        <v>33490.842434838771</v>
      </c>
      <c r="H42" s="494"/>
      <c r="I42" s="494">
        <f>I23-'Exhibit U,12'!W43</f>
        <v>0</v>
      </c>
      <c r="J42" s="187"/>
      <c r="K42" s="17">
        <f>'Exhibit U,8'!AC42-'Exhibit U,8'!AH42</f>
        <v>12563756.75</v>
      </c>
      <c r="L42" s="494"/>
      <c r="M42" s="494">
        <f>'Exhibit U,8'!AH42</f>
        <v>3837154.9299999978</v>
      </c>
      <c r="N42" s="494"/>
      <c r="O42" s="494">
        <f t="shared" si="13"/>
        <v>16434402.522434836</v>
      </c>
      <c r="P42" s="187"/>
      <c r="Q42" s="494">
        <f t="shared" si="14"/>
        <v>16424629.659670547</v>
      </c>
      <c r="R42" s="494"/>
      <c r="S42" s="494">
        <f t="shared" si="15"/>
        <v>16465427.544064989</v>
      </c>
      <c r="U42" s="25">
        <f t="shared" si="18"/>
        <v>2014</v>
      </c>
      <c r="V42" s="598">
        <f>'Exhibit U,8'!V42</f>
        <v>8421533.8069613818</v>
      </c>
      <c r="W42" s="598"/>
      <c r="X42" s="598">
        <f>'Exhibit B,S3'!S37</f>
        <v>18021091.667991932</v>
      </c>
      <c r="Y42" s="598">
        <f t="shared" si="16"/>
        <v>-1586689.1455570962</v>
      </c>
      <c r="Z42" s="54"/>
      <c r="AA42" s="54"/>
      <c r="AC42" s="6"/>
      <c r="AD42" s="54"/>
      <c r="AE42" s="54"/>
      <c r="AF42" s="54"/>
      <c r="AG42" s="54"/>
      <c r="AH42" s="54"/>
      <c r="AI42" s="54"/>
    </row>
    <row r="43" spans="1:47">
      <c r="A43" s="6">
        <f t="shared" si="17"/>
        <v>2015</v>
      </c>
      <c r="C43" s="494">
        <f>'Exhibit U,12'!G44</f>
        <v>4064067.5546318418</v>
      </c>
      <c r="E43" s="128">
        <f t="shared" si="12"/>
        <v>0.98201387282235209</v>
      </c>
      <c r="G43" s="494">
        <f t="shared" si="11"/>
        <v>73096.835896160876</v>
      </c>
      <c r="H43" s="494"/>
      <c r="I43" s="494">
        <f>I24-'Exhibit U,12'!W44</f>
        <v>0</v>
      </c>
      <c r="J43" s="187"/>
      <c r="K43" s="17">
        <f>'Exhibit U,8'!AC43-'Exhibit U,8'!AH43</f>
        <v>3509741.2399999998</v>
      </c>
      <c r="L43" s="494"/>
      <c r="M43" s="494">
        <f>'Exhibit U,8'!AH43</f>
        <v>36491.240000000224</v>
      </c>
      <c r="N43" s="494"/>
      <c r="O43" s="494">
        <f t="shared" si="13"/>
        <v>3619329.3158961609</v>
      </c>
      <c r="P43" s="187"/>
      <c r="Q43" s="494">
        <f t="shared" si="14"/>
        <v>3610515.3318520281</v>
      </c>
      <c r="R43" s="494"/>
      <c r="S43" s="494">
        <f t="shared" si="15"/>
        <v>3685619.3339652582</v>
      </c>
      <c r="U43" s="25">
        <f t="shared" si="18"/>
        <v>2015</v>
      </c>
      <c r="V43" s="598">
        <f>'Exhibit U,8'!V43</f>
        <v>8575677.4148845784</v>
      </c>
      <c r="W43" s="598"/>
      <c r="X43" s="598">
        <f>'Exhibit B,S3'!S38</f>
        <v>4067989.0308451727</v>
      </c>
      <c r="Y43" s="598">
        <f t="shared" si="16"/>
        <v>-448659.7149490118</v>
      </c>
      <c r="Z43" s="54"/>
      <c r="AA43" s="54"/>
      <c r="AC43" s="6"/>
      <c r="AD43" s="54"/>
      <c r="AE43" s="54"/>
      <c r="AF43" s="54"/>
      <c r="AG43" s="54"/>
      <c r="AH43" s="54"/>
      <c r="AI43" s="54"/>
    </row>
    <row r="44" spans="1:47">
      <c r="A44" s="6">
        <f t="shared" si="17"/>
        <v>2016</v>
      </c>
      <c r="C44" s="494">
        <f>'Exhibit U,12'!G45</f>
        <v>3681912.3926565112</v>
      </c>
      <c r="E44" s="128">
        <f t="shared" si="12"/>
        <v>0.92653400157106303</v>
      </c>
      <c r="G44" s="494">
        <f t="shared" si="11"/>
        <v>270495.37005438685</v>
      </c>
      <c r="H44" s="494"/>
      <c r="I44" s="494">
        <f>I25-'Exhibit U,12'!W45</f>
        <v>395200</v>
      </c>
      <c r="J44" s="187"/>
      <c r="K44" s="17">
        <f>'Exhibit U,8'!AC44-'Exhibit U,8'!AH44</f>
        <v>6728728.5800000001</v>
      </c>
      <c r="L44" s="494"/>
      <c r="M44" s="494">
        <f>'Exhibit U,8'!AH44</f>
        <v>950805.66999999993</v>
      </c>
      <c r="N44" s="494"/>
      <c r="O44" s="494">
        <f t="shared" si="13"/>
        <v>8345229.6200543866</v>
      </c>
      <c r="P44" s="187"/>
      <c r="Q44" s="494">
        <f t="shared" si="14"/>
        <v>8608263.2542770319</v>
      </c>
      <c r="R44" s="494"/>
      <c r="S44" s="494">
        <f t="shared" si="15"/>
        <v>9006932.9413749818</v>
      </c>
      <c r="U44" s="25">
        <f t="shared" si="18"/>
        <v>2016</v>
      </c>
      <c r="V44" s="598">
        <f>'Exhibit U,8'!V44</f>
        <v>9386397.8707625065</v>
      </c>
      <c r="W44" s="598"/>
      <c r="X44" s="598">
        <f>'Exhibit B,S3'!S39</f>
        <v>10306250.221771397</v>
      </c>
      <c r="Y44" s="598">
        <f t="shared" si="16"/>
        <v>-1961020.6017170101</v>
      </c>
      <c r="Z44" s="54"/>
      <c r="AA44" s="54"/>
      <c r="AB44" s="20"/>
      <c r="AC44" s="6"/>
      <c r="AD44" s="54"/>
      <c r="AE44" s="54"/>
      <c r="AF44" s="54"/>
      <c r="AG44" s="54"/>
      <c r="AH44" s="54"/>
      <c r="AI44" s="54"/>
    </row>
    <row r="45" spans="1:47">
      <c r="A45" s="6">
        <f t="shared" si="17"/>
        <v>2017</v>
      </c>
      <c r="C45" s="494">
        <f>'Exhibit U,12'!G46</f>
        <v>11261564.203882288</v>
      </c>
      <c r="E45" s="128">
        <f t="shared" si="12"/>
        <v>0.81527047024301391</v>
      </c>
      <c r="G45" s="494">
        <f t="shared" si="11"/>
        <v>2080343.4597112825</v>
      </c>
      <c r="H45" s="494"/>
      <c r="I45" s="494">
        <f>I26-'Exhibit U,12'!W46</f>
        <v>790400</v>
      </c>
      <c r="J45" s="187"/>
      <c r="K45" s="17">
        <f>'Exhibit U,8'!AC45-'Exhibit U,8'!AH45</f>
        <v>5538570.5099999998</v>
      </c>
      <c r="L45" s="494"/>
      <c r="M45" s="494">
        <f>'Exhibit U,8'!AH45</f>
        <v>145939.23000000045</v>
      </c>
      <c r="N45" s="494"/>
      <c r="O45" s="494">
        <f t="shared" si="13"/>
        <v>8555253.1997112818</v>
      </c>
      <c r="P45" s="187"/>
      <c r="Q45" s="494">
        <f t="shared" si="14"/>
        <v>7729876.7272542249</v>
      </c>
      <c r="R45" s="494"/>
      <c r="S45" s="494">
        <f t="shared" si="15"/>
        <v>10493760.674492665</v>
      </c>
      <c r="U45" s="25">
        <f t="shared" si="18"/>
        <v>2017</v>
      </c>
      <c r="V45" s="598">
        <f>'Exhibit U,8'!V45</f>
        <v>9788898.7284090389</v>
      </c>
      <c r="W45" s="598"/>
      <c r="X45" s="598">
        <f>'Exhibit B,S3'!S40</f>
        <v>9765745.6673291624</v>
      </c>
      <c r="Y45" s="598">
        <f t="shared" si="16"/>
        <v>-1210492.4676178806</v>
      </c>
      <c r="Z45" s="54"/>
      <c r="AA45" s="54"/>
      <c r="AC45" s="6"/>
      <c r="AD45" s="54"/>
      <c r="AE45" s="54"/>
      <c r="AF45" s="54"/>
      <c r="AG45" s="54"/>
      <c r="AH45" s="54"/>
      <c r="AI45" s="54"/>
    </row>
    <row r="46" spans="1:47">
      <c r="A46" s="6">
        <f t="shared" si="17"/>
        <v>2018</v>
      </c>
      <c r="C46" s="494">
        <f>'Exhibit U,12'!G47</f>
        <v>6346472.3904601019</v>
      </c>
      <c r="E46" s="128">
        <f t="shared" si="12"/>
        <v>0.64720347985386772</v>
      </c>
      <c r="G46" s="494">
        <f t="shared" si="11"/>
        <v>2239013.3745578295</v>
      </c>
      <c r="H46" s="494"/>
      <c r="I46" s="494">
        <f>I27-'Exhibit U,12'!W47</f>
        <v>790400</v>
      </c>
      <c r="J46" s="187"/>
      <c r="K46" s="17">
        <f>'Exhibit U,8'!AC46-'Exhibit U,8'!AH46</f>
        <v>3138447.09</v>
      </c>
      <c r="L46" s="494"/>
      <c r="M46" s="494">
        <f>'Exhibit U,8'!AH46</f>
        <v>105874.37000000011</v>
      </c>
      <c r="N46" s="494"/>
      <c r="O46" s="494">
        <f t="shared" si="13"/>
        <v>6273734.8345578294</v>
      </c>
      <c r="P46" s="187"/>
      <c r="Q46" s="494">
        <f t="shared" si="14"/>
        <v>5745517.5951888245</v>
      </c>
      <c r="R46" s="494"/>
      <c r="S46" s="494">
        <f t="shared" si="15"/>
        <v>9693604.9169179033</v>
      </c>
      <c r="U46" s="25">
        <f t="shared" si="18"/>
        <v>2018</v>
      </c>
      <c r="V46" s="598">
        <f>'Exhibit U,8'!V46</f>
        <v>6493947.3895647256</v>
      </c>
      <c r="W46" s="598"/>
      <c r="X46" s="598">
        <f>'Exhibit B,S3'!S41</f>
        <v>6322124.109693517</v>
      </c>
      <c r="Y46" s="598">
        <f t="shared" si="16"/>
        <v>-48389.275135687552</v>
      </c>
      <c r="Z46" s="54"/>
      <c r="AA46" s="54"/>
      <c r="AC46" s="6"/>
      <c r="AD46" s="54"/>
      <c r="AE46" s="54"/>
      <c r="AF46" s="54"/>
      <c r="AG46" s="54"/>
      <c r="AH46" s="54"/>
      <c r="AI46" s="54"/>
    </row>
    <row r="47" spans="1:47">
      <c r="A47" s="6">
        <f t="shared" si="17"/>
        <v>2019</v>
      </c>
      <c r="C47" s="494">
        <f>'Exhibit U,12'!G48</f>
        <v>5961623.4822161375</v>
      </c>
      <c r="E47" s="128">
        <f t="shared" si="12"/>
        <v>0.43951249892491839</v>
      </c>
      <c r="G47" s="494">
        <f t="shared" si="11"/>
        <v>3341415.4478978491</v>
      </c>
      <c r="H47" s="494"/>
      <c r="I47" s="494">
        <f>I28-'Exhibit U,12'!W48</f>
        <v>0</v>
      </c>
      <c r="J47" s="187"/>
      <c r="K47" s="17">
        <f>'Exhibit U,8'!AC47-'Exhibit U,8'!AH47</f>
        <v>1608117.88</v>
      </c>
      <c r="L47" s="494"/>
      <c r="M47" s="494">
        <f>'Exhibit U,8'!AH47</f>
        <v>0</v>
      </c>
      <c r="N47" s="494"/>
      <c r="O47" s="494">
        <f t="shared" si="13"/>
        <v>4949533.3278978486</v>
      </c>
      <c r="P47" s="187"/>
      <c r="Q47" s="494">
        <f t="shared" si="14"/>
        <v>3658867.2311562942</v>
      </c>
      <c r="R47" s="494"/>
      <c r="S47" s="494">
        <f t="shared" si="15"/>
        <v>11261416.546753028</v>
      </c>
      <c r="U47" s="25">
        <f t="shared" si="18"/>
        <v>2019</v>
      </c>
      <c r="V47" s="598">
        <f>'Exhibit U,8'!V47</f>
        <v>5172215.9608762357</v>
      </c>
      <c r="W47" s="598"/>
      <c r="X47" s="598">
        <f>'Exhibit B,S3'!S42</f>
        <v>5868209.7098056022</v>
      </c>
      <c r="Y47" s="598">
        <f t="shared" si="16"/>
        <v>-918676.38190775365</v>
      </c>
      <c r="Z47" s="54"/>
      <c r="AA47" s="54"/>
      <c r="AC47" s="6"/>
      <c r="AD47" s="54"/>
      <c r="AE47" s="54"/>
      <c r="AF47" s="54"/>
      <c r="AG47" s="54"/>
      <c r="AH47" s="54"/>
      <c r="AI47" s="54"/>
    </row>
    <row r="48" spans="1:47">
      <c r="A48" s="6">
        <f t="shared" si="17"/>
        <v>2020</v>
      </c>
      <c r="C48" s="494">
        <f>'Exhibit U,12'!G49</f>
        <v>5331406.3713014219</v>
      </c>
      <c r="E48" s="128">
        <f t="shared" si="12"/>
        <v>0.24093276524798313</v>
      </c>
      <c r="G48" s="494">
        <f t="shared" si="11"/>
        <v>4046895.8916030549</v>
      </c>
      <c r="H48" s="494"/>
      <c r="I48" s="494">
        <f>I29-'Exhibit U,12'!W49</f>
        <v>0</v>
      </c>
      <c r="J48" s="187"/>
      <c r="K48" s="17">
        <f>'Exhibit U,8'!AC48-'Exhibit U,8'!AH48</f>
        <v>899244.04</v>
      </c>
      <c r="L48" s="494"/>
      <c r="M48" s="494">
        <f>'Exhibit U,8'!AH48</f>
        <v>0</v>
      </c>
      <c r="N48" s="494"/>
      <c r="O48" s="494">
        <f t="shared" si="13"/>
        <v>4946139.9316030554</v>
      </c>
      <c r="P48" s="187"/>
      <c r="Q48" s="494">
        <f t="shared" si="14"/>
        <v>3732344.3288190449</v>
      </c>
      <c r="R48" s="494"/>
      <c r="S48" s="494">
        <f t="shared" si="15"/>
        <v>20529129.471087828</v>
      </c>
      <c r="U48" s="25">
        <f t="shared" si="18"/>
        <v>2020</v>
      </c>
      <c r="V48" s="598">
        <f>'Exhibit U,8'!V48</f>
        <v>3907866.7833377784</v>
      </c>
      <c r="W48" s="598"/>
      <c r="X48" s="598">
        <f>'Exhibit B,S3'!S43</f>
        <v>3661823.2311404599</v>
      </c>
      <c r="Y48" s="598">
        <f t="shared" si="16"/>
        <v>1284316.7004625956</v>
      </c>
      <c r="Z48" s="54"/>
      <c r="AA48" s="54"/>
      <c r="AC48" s="6"/>
      <c r="AD48" s="54"/>
      <c r="AE48" s="54"/>
      <c r="AF48" s="54"/>
      <c r="AG48" s="54"/>
      <c r="AH48" s="54"/>
      <c r="AI48" s="54"/>
    </row>
    <row r="49" spans="1:35">
      <c r="A49" s="6">
        <f t="shared" si="17"/>
        <v>2021</v>
      </c>
      <c r="C49" s="494">
        <f>'Exhibit U,12'!G50</f>
        <v>4110331.9199348679</v>
      </c>
      <c r="E49" s="128">
        <f t="shared" si="12"/>
        <v>0.10196666050957508</v>
      </c>
      <c r="G49" s="494">
        <f>C49*(1-E49)</f>
        <v>3691215.1004731995</v>
      </c>
      <c r="H49" s="494"/>
      <c r="I49" s="494">
        <f>I30-'Exhibit U,12'!W50</f>
        <v>0</v>
      </c>
      <c r="J49" s="187"/>
      <c r="K49" s="17">
        <f>'Exhibit U,8'!AC49-'Exhibit U,8'!AH49</f>
        <v>356398.98</v>
      </c>
      <c r="L49" s="494"/>
      <c r="M49" s="494">
        <f>'Exhibit U,8'!AH49</f>
        <v>0</v>
      </c>
      <c r="N49" s="494"/>
      <c r="O49" s="494">
        <f>K49+G49+I49+M49</f>
        <v>4047614.0804731995</v>
      </c>
      <c r="P49" s="187"/>
      <c r="Q49" s="494">
        <f t="shared" si="14"/>
        <v>3495250.0966385254</v>
      </c>
      <c r="R49" s="494"/>
      <c r="S49" s="494">
        <f t="shared" si="15"/>
        <v>39695465.755624235</v>
      </c>
      <c r="U49" s="25">
        <f t="shared" si="18"/>
        <v>2021</v>
      </c>
      <c r="V49" s="598">
        <f>'Exhibit U,8'!V49</f>
        <v>3292414.3340718988</v>
      </c>
      <c r="W49" s="598"/>
      <c r="X49" s="598">
        <f>'Exhibit B,S3'!S44</f>
        <v>2697837.1396077485</v>
      </c>
      <c r="Y49" s="598">
        <f t="shared" si="16"/>
        <v>1349776.940865451</v>
      </c>
      <c r="Z49" s="54"/>
      <c r="AA49" s="54"/>
      <c r="AC49" s="6"/>
      <c r="AD49" s="54"/>
      <c r="AE49" s="54"/>
      <c r="AF49" s="54"/>
      <c r="AG49" s="54"/>
      <c r="AH49" s="54"/>
      <c r="AI49" s="54"/>
    </row>
    <row r="50" spans="1:35">
      <c r="A50" s="6">
        <f t="shared" si="17"/>
        <v>2022</v>
      </c>
      <c r="C50" s="494">
        <f>'Exhibit U,12'!G51</f>
        <v>3090656.9621109925</v>
      </c>
      <c r="E50" s="128">
        <f>E31*(11/12)+E30*(1/12)</f>
        <v>2.7428649068747625E-2</v>
      </c>
      <c r="G50" s="494">
        <f t="shared" si="11"/>
        <v>3005884.4169053682</v>
      </c>
      <c r="H50" s="494"/>
      <c r="I50" s="494">
        <f>I31-'Exhibit U,12'!W51</f>
        <v>0</v>
      </c>
      <c r="J50" s="187"/>
      <c r="K50" s="17">
        <f>'Exhibit U,8'!AC50-'Exhibit U,8'!AH50</f>
        <v>32500</v>
      </c>
      <c r="L50" s="494"/>
      <c r="M50" s="494">
        <f>'Exhibit U,8'!AH50</f>
        <v>0</v>
      </c>
      <c r="N50" s="494"/>
      <c r="O50" s="494">
        <f t="shared" si="13"/>
        <v>3038384.4169053682</v>
      </c>
      <c r="P50" s="187"/>
      <c r="Q50" s="494">
        <f t="shared" si="14"/>
        <v>1184892.4793394476</v>
      </c>
      <c r="R50" s="494"/>
      <c r="S50" s="494">
        <f t="shared" si="15"/>
        <v>0</v>
      </c>
      <c r="U50" s="25">
        <f t="shared" si="18"/>
        <v>2022</v>
      </c>
      <c r="V50" s="598">
        <f>'Exhibit U,8'!V50</f>
        <v>3388129.2289063614</v>
      </c>
      <c r="W50" s="598"/>
      <c r="X50" s="598"/>
      <c r="Y50" s="54"/>
      <c r="Z50" s="54"/>
      <c r="AA50" s="54"/>
      <c r="AC50" s="6"/>
      <c r="AD50" s="54"/>
      <c r="AE50" s="54"/>
      <c r="AF50" s="54"/>
      <c r="AG50" s="54"/>
      <c r="AH50" s="54"/>
      <c r="AI50" s="54"/>
    </row>
    <row r="51" spans="1:35">
      <c r="A51" s="6"/>
      <c r="C51" s="200"/>
      <c r="G51" s="200"/>
      <c r="H51" s="18"/>
      <c r="I51" s="200"/>
      <c r="J51" s="6"/>
      <c r="K51" s="200"/>
      <c r="L51" s="18"/>
      <c r="M51" s="200"/>
      <c r="N51" s="6"/>
      <c r="O51" s="200"/>
      <c r="Q51" s="200"/>
      <c r="S51" s="200"/>
      <c r="U51" s="97"/>
      <c r="V51" s="70"/>
      <c r="W51" s="97"/>
      <c r="X51" s="70"/>
      <c r="Y51" s="70"/>
      <c r="AC51" s="2"/>
    </row>
    <row r="52" spans="1:35">
      <c r="A52" s="2" t="s">
        <v>0</v>
      </c>
      <c r="C52" s="19">
        <f>SUM(C36:C51)</f>
        <v>113340042.43197608</v>
      </c>
      <c r="E52" s="19"/>
      <c r="G52" s="19">
        <f>SUM(G36:G51)</f>
        <v>18781850.739533968</v>
      </c>
      <c r="H52" s="19"/>
      <c r="I52" s="19">
        <f>SUM(I36:I51)</f>
        <v>1976000</v>
      </c>
      <c r="J52" s="6"/>
      <c r="K52" s="19">
        <f>SUM(K36:K51)</f>
        <v>76625794.040000007</v>
      </c>
      <c r="L52" s="19"/>
      <c r="M52" s="19">
        <f>SUM(M36:M51)</f>
        <v>7986262.9799999995</v>
      </c>
      <c r="N52" s="6"/>
      <c r="O52" s="19">
        <f>SUM(O36:O51)</f>
        <v>105369907.75953399</v>
      </c>
      <c r="Q52" s="19">
        <f>SUM(Q36:Q51)</f>
        <v>99350443.214195982</v>
      </c>
      <c r="S52" s="19">
        <f>SUM(S36:S51)</f>
        <v>165991643.69428092</v>
      </c>
      <c r="U52" s="97" t="s">
        <v>0</v>
      </c>
      <c r="V52" s="122">
        <f>SUM(V41:V51)</f>
        <v>66784042.459201902</v>
      </c>
      <c r="W52" s="97" t="s">
        <v>0</v>
      </c>
      <c r="X52" s="122">
        <f>SUM(X41:X51)</f>
        <v>76772718.650310487</v>
      </c>
      <c r="Y52" s="122">
        <f>SUM(Y41:Y51)</f>
        <v>-5164651.3976818938</v>
      </c>
      <c r="Z52" s="66"/>
      <c r="AA52" s="66"/>
      <c r="AC52" s="2"/>
      <c r="AD52" s="66"/>
      <c r="AE52" s="66"/>
      <c r="AF52" s="66"/>
      <c r="AG52" s="66"/>
      <c r="AH52" s="66"/>
      <c r="AI52" s="66"/>
    </row>
    <row r="53" spans="1:35">
      <c r="H53" s="1" t="s">
        <v>685</v>
      </c>
      <c r="K53" s="187">
        <f>'Exhibit U,8'!AC52-'Exhibit U,8'!AM52-K52</f>
        <v>7986262.9799999893</v>
      </c>
      <c r="L53" s="187"/>
      <c r="M53" s="187">
        <f>'Exhibit U,8'!AM52-M52</f>
        <v>-7986262.9799999995</v>
      </c>
      <c r="N53" s="187"/>
      <c r="O53" s="187">
        <f>'Exhibit U,12'!O53-I52-M52</f>
        <v>0</v>
      </c>
      <c r="U53" s="61"/>
      <c r="V53" s="61"/>
      <c r="W53" s="61"/>
    </row>
    <row r="54" spans="1:35">
      <c r="U54" s="61"/>
      <c r="V54" s="61"/>
      <c r="W54" s="61"/>
      <c r="X54" s="61"/>
      <c r="Y54" s="61"/>
    </row>
    <row r="55" spans="1:35">
      <c r="O55" s="17">
        <f>'Exhibit U,12'!O53</f>
        <v>9962262.9800000004</v>
      </c>
      <c r="X55" s="61"/>
      <c r="Y55" s="61"/>
    </row>
    <row r="56" spans="1:35">
      <c r="A56" s="52" t="s">
        <v>104</v>
      </c>
      <c r="C56" s="3" t="s">
        <v>1774</v>
      </c>
      <c r="X56" s="61"/>
      <c r="Y56" s="61"/>
    </row>
    <row r="57" spans="1:35">
      <c r="A57" s="52" t="s">
        <v>36</v>
      </c>
      <c r="C57" s="3" t="s">
        <v>960</v>
      </c>
      <c r="X57" s="61"/>
      <c r="Y57" s="61"/>
    </row>
    <row r="58" spans="1:35">
      <c r="C58" s="3" t="s">
        <v>445</v>
      </c>
      <c r="X58" s="61"/>
      <c r="Y58" s="61"/>
    </row>
    <row r="59" spans="1:35">
      <c r="A59" s="52" t="s">
        <v>38</v>
      </c>
      <c r="C59" s="3" t="s">
        <v>167</v>
      </c>
      <c r="X59" s="61"/>
      <c r="Y59" s="61"/>
    </row>
    <row r="60" spans="1:35">
      <c r="A60" s="64" t="s">
        <v>40</v>
      </c>
      <c r="C60" s="3" t="s">
        <v>1532</v>
      </c>
      <c r="X60" s="61"/>
      <c r="Y60" s="61"/>
    </row>
    <row r="61" spans="1:35">
      <c r="A61" s="64" t="s">
        <v>577</v>
      </c>
      <c r="C61" s="1" t="s">
        <v>581</v>
      </c>
      <c r="X61" s="61"/>
      <c r="Y61" s="61"/>
    </row>
    <row r="62" spans="1:35">
      <c r="A62" s="64" t="s">
        <v>31</v>
      </c>
      <c r="C62" s="3" t="s">
        <v>578</v>
      </c>
    </row>
    <row r="63" spans="1:35">
      <c r="A63" s="64" t="s">
        <v>103</v>
      </c>
      <c r="C63" s="3" t="s">
        <v>579</v>
      </c>
    </row>
    <row r="64" spans="1:35">
      <c r="A64" s="64" t="s">
        <v>106</v>
      </c>
      <c r="C64" s="140" t="s">
        <v>583</v>
      </c>
    </row>
  </sheetData>
  <phoneticPr fontId="8" type="noConversion"/>
  <printOptions horizontalCentered="1"/>
  <pageMargins left="0.7" right="0.7" top="0.75" bottom="0.75" header="0.3" footer="0.3"/>
  <pageSetup scale="55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71">
    <pageSetUpPr fitToPage="1"/>
  </sheetPr>
  <dimension ref="A1:AN75"/>
  <sheetViews>
    <sheetView topLeftCell="F29" workbookViewId="0">
      <selection activeCell="K36" sqref="K36"/>
    </sheetView>
  </sheetViews>
  <sheetFormatPr baseColWidth="10" defaultColWidth="8.7109375" defaultRowHeight="15"/>
  <cols>
    <col min="1" max="1" width="15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3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3.7109375" style="1" customWidth="1"/>
    <col min="12" max="12" width="1.7109375" style="1" customWidth="1"/>
    <col min="13" max="13" width="12.7109375" style="1" customWidth="1"/>
    <col min="14" max="14" width="1.7109375" style="1" customWidth="1"/>
    <col min="15" max="15" width="12.7109375" style="1" bestFit="1" customWidth="1"/>
    <col min="16" max="16" width="1.7109375" style="1" customWidth="1"/>
    <col min="17" max="17" width="12.7109375" style="1" customWidth="1"/>
    <col min="18" max="18" width="13.85546875" style="1" bestFit="1" customWidth="1"/>
    <col min="19" max="19" width="12.7109375" style="1" customWidth="1"/>
    <col min="20" max="20" width="11.28515625" style="1" bestFit="1" customWidth="1"/>
    <col min="21" max="22" width="13.85546875" style="1" bestFit="1" customWidth="1"/>
    <col min="23" max="25" width="13.85546875" style="1" customWidth="1"/>
    <col min="26" max="29" width="12.85546875" style="1" bestFit="1" customWidth="1"/>
    <col min="30" max="35" width="12.7109375" style="1" customWidth="1"/>
    <col min="36" max="36" width="14.7109375" style="1" bestFit="1" customWidth="1"/>
    <col min="37" max="37" width="2.7109375" style="1" customWidth="1"/>
    <col min="38" max="38" width="8.7109375" style="1"/>
    <col min="39" max="42" width="12.7109375" style="1" customWidth="1"/>
    <col min="43" max="16384" width="8.7109375" style="1"/>
  </cols>
  <sheetData>
    <row r="1" spans="1:40">
      <c r="M1" s="52" t="s">
        <v>955</v>
      </c>
    </row>
    <row r="2" spans="1:40">
      <c r="M2" s="64" t="s">
        <v>938</v>
      </c>
      <c r="O2" s="3"/>
      <c r="AB2" s="3"/>
      <c r="AC2" s="3"/>
    </row>
    <row r="3" spans="1:40">
      <c r="M3" s="3"/>
      <c r="O3" s="3"/>
      <c r="AB3" s="3"/>
      <c r="AC3" s="3"/>
    </row>
    <row r="4" spans="1:40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40">
      <c r="U5" s="2"/>
    </row>
    <row r="6" spans="1:40">
      <c r="A6" s="5" t="s">
        <v>624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U6" s="2"/>
    </row>
    <row r="7" spans="1:40">
      <c r="A7" s="5" t="s">
        <v>77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AK7" s="61"/>
      <c r="AL7" s="6"/>
    </row>
    <row r="8" spans="1:40">
      <c r="A8" s="5" t="s">
        <v>157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AK8" s="61"/>
      <c r="AL8" s="6"/>
    </row>
    <row r="9" spans="1:40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T9" s="352"/>
      <c r="U9" s="352"/>
      <c r="V9" s="61" t="s">
        <v>2</v>
      </c>
      <c r="W9" s="61"/>
      <c r="X9" s="61" t="s">
        <v>1633</v>
      </c>
      <c r="Y9" s="61"/>
      <c r="Z9" s="61"/>
      <c r="AA9" s="61"/>
      <c r="AB9" s="61"/>
      <c r="AC9" s="61"/>
      <c r="AD9" s="61"/>
      <c r="AE9" s="25"/>
      <c r="AF9" s="61"/>
      <c r="AK9" s="61"/>
      <c r="AL9" s="6"/>
    </row>
    <row r="10" spans="1:40">
      <c r="C10" s="6" t="s">
        <v>2</v>
      </c>
      <c r="E10" s="71" t="s">
        <v>1626</v>
      </c>
      <c r="I10" s="6" t="s">
        <v>561</v>
      </c>
      <c r="K10" s="6" t="s">
        <v>562</v>
      </c>
      <c r="O10" s="6">
        <v>2021</v>
      </c>
      <c r="S10" s="302" t="s">
        <v>1626</v>
      </c>
      <c r="T10" s="25" t="s">
        <v>561</v>
      </c>
      <c r="U10" s="25" t="s">
        <v>561</v>
      </c>
      <c r="V10" s="25" t="s">
        <v>561</v>
      </c>
      <c r="W10" s="25"/>
      <c r="X10" s="61"/>
      <c r="Y10" s="61"/>
      <c r="Z10" s="61"/>
      <c r="AA10" s="61"/>
      <c r="AB10" s="61"/>
      <c r="AC10" s="61"/>
      <c r="AD10" s="25"/>
      <c r="AE10" s="24"/>
      <c r="AF10" s="24"/>
      <c r="AK10" s="61"/>
      <c r="AL10" s="6"/>
      <c r="AM10" s="177"/>
    </row>
    <row r="11" spans="1:40">
      <c r="C11" s="2" t="s">
        <v>1</v>
      </c>
      <c r="E11" s="6" t="s">
        <v>563</v>
      </c>
      <c r="G11" s="2" t="s">
        <v>564</v>
      </c>
      <c r="H11" s="2"/>
      <c r="I11" s="2" t="s">
        <v>565</v>
      </c>
      <c r="K11" s="2" t="s">
        <v>565</v>
      </c>
      <c r="L11" s="5"/>
      <c r="M11" s="2" t="s">
        <v>1</v>
      </c>
      <c r="O11" s="2" t="s">
        <v>1</v>
      </c>
      <c r="S11" s="25" t="s">
        <v>561</v>
      </c>
      <c r="T11" s="97" t="s">
        <v>565</v>
      </c>
      <c r="U11" s="97" t="s">
        <v>565</v>
      </c>
      <c r="V11" s="97" t="s">
        <v>565</v>
      </c>
      <c r="W11" s="97"/>
      <c r="X11" s="61"/>
      <c r="Y11" s="61"/>
      <c r="Z11" s="61"/>
      <c r="AA11" s="61"/>
      <c r="AB11" s="61"/>
      <c r="AC11" s="61"/>
      <c r="AD11" s="582"/>
      <c r="AF11" s="25"/>
      <c r="AK11" s="61"/>
      <c r="AL11" s="6"/>
      <c r="AM11" s="6"/>
    </row>
    <row r="12" spans="1:40">
      <c r="A12" s="2" t="s">
        <v>3</v>
      </c>
      <c r="C12" s="2" t="s">
        <v>67</v>
      </c>
      <c r="E12" s="2" t="s">
        <v>7</v>
      </c>
      <c r="F12" s="2"/>
      <c r="G12" s="2" t="s">
        <v>7</v>
      </c>
      <c r="H12" s="2"/>
      <c r="I12" s="2" t="s">
        <v>7</v>
      </c>
      <c r="K12" s="2" t="s">
        <v>7</v>
      </c>
      <c r="L12" s="20"/>
      <c r="M12" s="2" t="s">
        <v>7</v>
      </c>
      <c r="O12" s="2" t="s">
        <v>7</v>
      </c>
      <c r="Q12" s="2"/>
      <c r="R12" s="2"/>
      <c r="S12" s="97" t="s">
        <v>565</v>
      </c>
      <c r="T12" s="25" t="s">
        <v>7</v>
      </c>
      <c r="U12" s="25" t="s">
        <v>7</v>
      </c>
      <c r="V12" s="25" t="s">
        <v>7</v>
      </c>
      <c r="W12" s="25"/>
      <c r="X12" s="61"/>
      <c r="Y12" s="61"/>
      <c r="Z12" s="61"/>
      <c r="AA12" s="25" t="s">
        <v>12</v>
      </c>
      <c r="AB12" s="61"/>
      <c r="AC12" s="61"/>
      <c r="AD12" s="25" t="s">
        <v>7</v>
      </c>
      <c r="AK12" s="61"/>
      <c r="AL12" s="6"/>
      <c r="AM12" s="6"/>
    </row>
    <row r="13" spans="1:40">
      <c r="A13" s="6" t="s">
        <v>4</v>
      </c>
      <c r="B13" s="6"/>
      <c r="C13" s="2" t="s">
        <v>55</v>
      </c>
      <c r="E13" s="2" t="s">
        <v>55</v>
      </c>
      <c r="F13" s="2"/>
      <c r="G13" s="2" t="s">
        <v>55</v>
      </c>
      <c r="H13" s="2"/>
      <c r="I13" s="2" t="s">
        <v>55</v>
      </c>
      <c r="K13" s="2" t="s">
        <v>55</v>
      </c>
      <c r="L13" s="20"/>
      <c r="M13" s="2" t="s">
        <v>55</v>
      </c>
      <c r="O13" s="2" t="s">
        <v>55</v>
      </c>
      <c r="Q13" s="6" t="s">
        <v>119</v>
      </c>
      <c r="R13" s="2"/>
      <c r="S13" s="97" t="s">
        <v>12</v>
      </c>
      <c r="T13" s="97" t="s">
        <v>381</v>
      </c>
      <c r="U13" s="97" t="s">
        <v>55</v>
      </c>
      <c r="V13" s="97" t="s">
        <v>55</v>
      </c>
      <c r="W13" s="97"/>
      <c r="X13" s="61" t="s">
        <v>1627</v>
      </c>
      <c r="Y13" s="25" t="s">
        <v>1634</v>
      </c>
      <c r="Z13" s="25" t="s">
        <v>1629</v>
      </c>
      <c r="AA13" s="583" t="s">
        <v>768</v>
      </c>
      <c r="AB13" s="61" t="s">
        <v>1630</v>
      </c>
      <c r="AC13" s="61" t="s">
        <v>1631</v>
      </c>
      <c r="AD13" s="25" t="s">
        <v>1628</v>
      </c>
      <c r="AE13" s="25" t="s">
        <v>1775</v>
      </c>
      <c r="AF13" s="25" t="s">
        <v>381</v>
      </c>
      <c r="AK13" s="6"/>
      <c r="AL13" s="6"/>
      <c r="AM13" s="6"/>
      <c r="AN13" s="6"/>
    </row>
    <row r="14" spans="1:40">
      <c r="A14" s="9">
        <v>-1</v>
      </c>
      <c r="B14" s="11"/>
      <c r="C14" s="9">
        <v>-2</v>
      </c>
      <c r="E14" s="9">
        <v>-3</v>
      </c>
      <c r="F14" s="11"/>
      <c r="G14" s="9">
        <v>-4</v>
      </c>
      <c r="H14" s="11"/>
      <c r="I14" s="9">
        <v>-5</v>
      </c>
      <c r="K14" s="9">
        <v>-6</v>
      </c>
      <c r="L14" s="20"/>
      <c r="M14" s="9">
        <v>-7</v>
      </c>
      <c r="O14" s="10">
        <v>-8</v>
      </c>
      <c r="Q14" s="10">
        <v>-9</v>
      </c>
      <c r="S14" s="143">
        <v>-10</v>
      </c>
      <c r="T14" s="143">
        <v>-11</v>
      </c>
      <c r="U14" s="143">
        <v>-12</v>
      </c>
      <c r="V14" s="143">
        <v>-13</v>
      </c>
      <c r="W14" s="440"/>
      <c r="X14" s="143"/>
      <c r="Y14" s="440"/>
      <c r="Z14" s="143"/>
      <c r="AA14" s="143"/>
      <c r="AB14" s="143"/>
      <c r="AC14" s="143"/>
      <c r="AD14" s="143"/>
      <c r="AE14" s="143"/>
      <c r="AF14" s="143"/>
      <c r="AK14" s="6"/>
      <c r="AL14" s="6"/>
      <c r="AM14" s="6"/>
    </row>
    <row r="15" spans="1:40">
      <c r="L15" s="6"/>
      <c r="S15" s="61"/>
      <c r="T15" s="61"/>
      <c r="U15" s="61"/>
      <c r="X15" s="61">
        <v>14398</v>
      </c>
      <c r="Y15" s="432" t="s">
        <v>5</v>
      </c>
      <c r="Z15" s="61">
        <v>4</v>
      </c>
      <c r="AA15" s="61">
        <v>129</v>
      </c>
      <c r="AB15" s="61">
        <v>2018</v>
      </c>
      <c r="AC15" s="61">
        <v>2016</v>
      </c>
      <c r="AD15" s="61">
        <f>380000*1.04</f>
        <v>395200</v>
      </c>
      <c r="AE15" s="123">
        <f>'Exhibit U,9'!E25</f>
        <v>0.92162203459026393</v>
      </c>
      <c r="AF15" s="69">
        <f>AD15</f>
        <v>395200</v>
      </c>
      <c r="AK15" s="61"/>
    </row>
    <row r="16" spans="1:40" ht="16">
      <c r="A16" s="175" t="s">
        <v>160</v>
      </c>
      <c r="L16" s="6"/>
      <c r="Q16" s="6"/>
      <c r="S16" s="61"/>
      <c r="T16" s="61"/>
      <c r="U16" s="61"/>
      <c r="V16" s="61"/>
      <c r="W16" s="61"/>
      <c r="X16" s="61">
        <v>14778</v>
      </c>
      <c r="Y16" s="432" t="s">
        <v>1635</v>
      </c>
      <c r="Z16" s="61">
        <v>4</v>
      </c>
      <c r="AA16" s="61">
        <v>49</v>
      </c>
      <c r="AB16" s="61">
        <v>2017</v>
      </c>
      <c r="AC16" s="61">
        <v>2018</v>
      </c>
      <c r="AD16" s="61">
        <f t="shared" ref="AD16:AD18" si="0">380000*1.04</f>
        <v>395200</v>
      </c>
      <c r="AE16" s="123">
        <f>'Exhibit U,9'!E27</f>
        <v>0.63280360109408795</v>
      </c>
      <c r="AF16" s="69">
        <f t="shared" ref="AF16:AF18" si="1">AD16</f>
        <v>395200</v>
      </c>
      <c r="AK16" s="61"/>
    </row>
    <row r="17" spans="1:39">
      <c r="A17" s="6">
        <v>2008</v>
      </c>
      <c r="C17" s="529">
        <v>577451.15</v>
      </c>
      <c r="D17" s="530"/>
      <c r="E17" s="529">
        <v>0</v>
      </c>
      <c r="F17" s="530"/>
      <c r="G17" s="529">
        <f>C17+E17</f>
        <v>577451.15</v>
      </c>
      <c r="H17" s="530"/>
      <c r="I17" s="584">
        <f>U17</f>
        <v>0</v>
      </c>
      <c r="J17" s="530"/>
      <c r="K17" s="530">
        <f>'Exhibit U,11'!AH17</f>
        <v>577451.15</v>
      </c>
      <c r="L17" s="530"/>
      <c r="M17" s="530">
        <f>I17+K17</f>
        <v>577451.15</v>
      </c>
      <c r="N17" s="530"/>
      <c r="O17" s="530">
        <v>577451.15</v>
      </c>
      <c r="P17" s="530"/>
      <c r="Q17" s="584">
        <f>M17-O17</f>
        <v>0</v>
      </c>
      <c r="R17" s="66"/>
      <c r="S17" s="84">
        <f>'Exhibit U,5'!AH17</f>
        <v>0</v>
      </c>
      <c r="T17" s="61"/>
      <c r="U17" s="220">
        <f t="shared" ref="U17:U20" si="2">S17+T17</f>
        <v>0</v>
      </c>
      <c r="V17" s="216">
        <v>0</v>
      </c>
      <c r="W17" s="216"/>
      <c r="X17" s="61">
        <v>14109</v>
      </c>
      <c r="Y17" s="432" t="s">
        <v>1635</v>
      </c>
      <c r="Z17" s="61">
        <v>4</v>
      </c>
      <c r="AA17" s="61">
        <v>284</v>
      </c>
      <c r="AB17" s="61">
        <v>2016</v>
      </c>
      <c r="AC17" s="61">
        <v>2016</v>
      </c>
      <c r="AD17" s="61">
        <f t="shared" si="0"/>
        <v>395200</v>
      </c>
      <c r="AE17" s="123">
        <f>AE15</f>
        <v>0.92162203459026393</v>
      </c>
      <c r="AF17" s="69">
        <f t="shared" si="1"/>
        <v>395200</v>
      </c>
      <c r="AK17" s="61"/>
    </row>
    <row r="18" spans="1:39">
      <c r="A18" s="6">
        <f>A17+1</f>
        <v>2009</v>
      </c>
      <c r="C18" s="338">
        <v>28875.5</v>
      </c>
      <c r="D18" s="533"/>
      <c r="E18" s="532">
        <v>0</v>
      </c>
      <c r="F18" s="533"/>
      <c r="G18" s="532">
        <f t="shared" ref="G18:G30" si="3">C18+E18</f>
        <v>28875.5</v>
      </c>
      <c r="H18" s="533"/>
      <c r="I18" s="442">
        <f t="shared" ref="I18:I31" si="4">U18</f>
        <v>0</v>
      </c>
      <c r="J18" s="533"/>
      <c r="K18" s="532">
        <f>'Exhibit U,11'!AH18</f>
        <v>28875.5</v>
      </c>
      <c r="L18" s="532"/>
      <c r="M18" s="532">
        <f t="shared" ref="M18:M31" si="5">I18+K18</f>
        <v>28875.5</v>
      </c>
      <c r="N18" s="533"/>
      <c r="O18" s="442">
        <v>28875.5</v>
      </c>
      <c r="P18" s="533"/>
      <c r="Q18" s="442">
        <f t="shared" ref="Q18:Q30" si="6">M18-O18</f>
        <v>0</v>
      </c>
      <c r="R18" s="18"/>
      <c r="S18" s="84">
        <f>'Exhibit U,5'!AH18</f>
        <v>0</v>
      </c>
      <c r="T18" s="61"/>
      <c r="U18" s="69">
        <f t="shared" si="2"/>
        <v>0</v>
      </c>
      <c r="V18" s="179">
        <v>0</v>
      </c>
      <c r="W18" s="179"/>
      <c r="X18" s="61">
        <v>14399</v>
      </c>
      <c r="Y18" s="432" t="s">
        <v>1635</v>
      </c>
      <c r="Z18" s="61">
        <v>4</v>
      </c>
      <c r="AA18" s="61">
        <v>189</v>
      </c>
      <c r="AB18" s="61">
        <v>2016</v>
      </c>
      <c r="AC18" s="61">
        <v>2016</v>
      </c>
      <c r="AD18" s="61">
        <f t="shared" si="0"/>
        <v>395200</v>
      </c>
      <c r="AE18" s="123">
        <f>'Exhibit U,9'!E28</f>
        <v>0.421940580545903</v>
      </c>
      <c r="AF18" s="69">
        <f t="shared" si="1"/>
        <v>395200</v>
      </c>
      <c r="AK18" s="61"/>
    </row>
    <row r="19" spans="1:39">
      <c r="A19" s="6">
        <f t="shared" ref="A19:A31" si="7">A18+1</f>
        <v>2010</v>
      </c>
      <c r="C19" s="338">
        <v>1056390.7999999998</v>
      </c>
      <c r="D19" s="533"/>
      <c r="E19" s="532">
        <v>0</v>
      </c>
      <c r="F19" s="533"/>
      <c r="G19" s="532">
        <f t="shared" si="3"/>
        <v>1056390.7999999998</v>
      </c>
      <c r="H19" s="533"/>
      <c r="I19" s="442">
        <f t="shared" si="4"/>
        <v>0</v>
      </c>
      <c r="J19" s="533"/>
      <c r="K19" s="532">
        <f>'Exhibit U,11'!AH19</f>
        <v>1056390.7999999998</v>
      </c>
      <c r="L19" s="532"/>
      <c r="M19" s="532">
        <f t="shared" si="5"/>
        <v>1056390.7999999998</v>
      </c>
      <c r="N19" s="533"/>
      <c r="O19" s="442">
        <v>1056390.7999999998</v>
      </c>
      <c r="P19" s="533"/>
      <c r="Q19" s="442">
        <f t="shared" si="6"/>
        <v>0</v>
      </c>
      <c r="R19" s="18"/>
      <c r="S19" s="84">
        <f>'Exhibit U,5'!AH19</f>
        <v>0</v>
      </c>
      <c r="T19" s="61"/>
      <c r="U19" s="69">
        <f t="shared" si="2"/>
        <v>0</v>
      </c>
      <c r="V19" s="179">
        <v>0</v>
      </c>
      <c r="W19" s="179"/>
      <c r="X19" s="61">
        <v>14502</v>
      </c>
      <c r="Y19" s="432" t="s">
        <v>1635</v>
      </c>
      <c r="Z19" s="432" t="s">
        <v>1632</v>
      </c>
      <c r="AA19" s="61">
        <v>25</v>
      </c>
      <c r="AB19" s="61">
        <v>2016</v>
      </c>
      <c r="AC19" s="61">
        <v>2016</v>
      </c>
      <c r="AD19" s="61">
        <v>25000</v>
      </c>
      <c r="AE19" s="123">
        <f>AE17</f>
        <v>0.92162203459026393</v>
      </c>
      <c r="AF19" s="69">
        <v>0</v>
      </c>
      <c r="AK19" s="61"/>
    </row>
    <row r="20" spans="1:39">
      <c r="A20" s="6">
        <f t="shared" si="7"/>
        <v>2011</v>
      </c>
      <c r="C20" s="338">
        <v>640869.17000000004</v>
      </c>
      <c r="D20" s="533"/>
      <c r="E20" s="532">
        <v>0</v>
      </c>
      <c r="F20" s="533"/>
      <c r="G20" s="532">
        <f t="shared" si="3"/>
        <v>640869.17000000004</v>
      </c>
      <c r="H20" s="533"/>
      <c r="I20" s="442">
        <f t="shared" si="4"/>
        <v>10337.04999999993</v>
      </c>
      <c r="J20" s="533"/>
      <c r="K20" s="532">
        <f>'Exhibit U,11'!AH20</f>
        <v>630532.12000000011</v>
      </c>
      <c r="L20" s="532"/>
      <c r="M20" s="532">
        <f t="shared" si="5"/>
        <v>640869.17000000004</v>
      </c>
      <c r="N20" s="533"/>
      <c r="O20" s="442">
        <v>640869.17000000004</v>
      </c>
      <c r="P20" s="533"/>
      <c r="Q20" s="442">
        <f t="shared" si="6"/>
        <v>0</v>
      </c>
      <c r="R20" s="18"/>
      <c r="S20" s="84">
        <f>'Exhibit U,5'!AH20</f>
        <v>10337.04999999993</v>
      </c>
      <c r="T20" s="61"/>
      <c r="U20" s="69">
        <f t="shared" si="2"/>
        <v>10337.04999999993</v>
      </c>
      <c r="V20" s="179">
        <v>10337.049999999999</v>
      </c>
      <c r="W20" s="179"/>
      <c r="X20" s="61">
        <v>14576</v>
      </c>
      <c r="Y20" s="432" t="s">
        <v>1635</v>
      </c>
      <c r="Z20" s="432" t="s">
        <v>1632</v>
      </c>
      <c r="AA20" s="61">
        <v>375</v>
      </c>
      <c r="AB20" s="61">
        <v>2016</v>
      </c>
      <c r="AC20" s="61">
        <v>2016</v>
      </c>
      <c r="AD20" s="61">
        <v>375000</v>
      </c>
      <c r="AE20" s="123">
        <f>AE15</f>
        <v>0.92162203459026393</v>
      </c>
      <c r="AF20" s="69">
        <v>0</v>
      </c>
      <c r="AK20" s="61"/>
    </row>
    <row r="21" spans="1:39">
      <c r="A21" s="6">
        <f t="shared" si="7"/>
        <v>2012</v>
      </c>
      <c r="C21" s="338">
        <v>4744399.03</v>
      </c>
      <c r="D21" s="533"/>
      <c r="E21" s="532">
        <v>0</v>
      </c>
      <c r="F21" s="533"/>
      <c r="G21" s="532">
        <f t="shared" si="3"/>
        <v>4744399.03</v>
      </c>
      <c r="H21" s="533"/>
      <c r="I21" s="442">
        <f t="shared" si="4"/>
        <v>1240857.4300000002</v>
      </c>
      <c r="J21" s="533"/>
      <c r="K21" s="532">
        <f>'Exhibit U,11'!AH21</f>
        <v>3503541.6</v>
      </c>
      <c r="L21" s="532"/>
      <c r="M21" s="532">
        <f t="shared" si="5"/>
        <v>4744399.03</v>
      </c>
      <c r="N21" s="533"/>
      <c r="O21" s="442">
        <v>4744399.03</v>
      </c>
      <c r="P21" s="533"/>
      <c r="Q21" s="442">
        <f t="shared" si="6"/>
        <v>0</v>
      </c>
      <c r="R21" s="18"/>
      <c r="S21" s="84">
        <f>'Exhibit U,5'!AH21</f>
        <v>1240857.4300000002</v>
      </c>
      <c r="T21" s="160"/>
      <c r="U21" s="69">
        <f>S21+T21</f>
        <v>1240857.4300000002</v>
      </c>
      <c r="V21" s="179">
        <v>1240857.43</v>
      </c>
      <c r="W21" s="179"/>
      <c r="X21" s="61">
        <v>14735</v>
      </c>
      <c r="Y21" s="432" t="s">
        <v>1635</v>
      </c>
      <c r="Z21" s="61">
        <v>4</v>
      </c>
      <c r="AA21" s="61">
        <v>89</v>
      </c>
      <c r="AB21" s="61">
        <v>2017</v>
      </c>
      <c r="AC21" s="61">
        <v>2017</v>
      </c>
      <c r="AD21" s="61">
        <f t="shared" ref="AD21:AD22" si="8">380000*1.04</f>
        <v>395200</v>
      </c>
      <c r="AE21" s="123">
        <f>'Exhibit U,9'!E26</f>
        <v>0.80560214621144577</v>
      </c>
      <c r="AF21" s="69">
        <f t="shared" ref="AF21:AF22" si="9">AD21</f>
        <v>395200</v>
      </c>
      <c r="AK21" s="61"/>
    </row>
    <row r="22" spans="1:39">
      <c r="A22" s="6">
        <f t="shared" si="7"/>
        <v>2013</v>
      </c>
      <c r="C22" s="338">
        <v>712208.5199999999</v>
      </c>
      <c r="D22" s="533"/>
      <c r="E22" s="532">
        <v>2633.7300000000978</v>
      </c>
      <c r="F22" s="533"/>
      <c r="G22" s="532">
        <f t="shared" si="3"/>
        <v>714842.25</v>
      </c>
      <c r="H22" s="533"/>
      <c r="I22" s="442">
        <f t="shared" si="4"/>
        <v>464744.67</v>
      </c>
      <c r="J22" s="533"/>
      <c r="K22" s="532">
        <f>'Exhibit U,11'!AH22</f>
        <v>250097.58000000002</v>
      </c>
      <c r="L22" s="532"/>
      <c r="M22" s="532">
        <f t="shared" si="5"/>
        <v>714842.25</v>
      </c>
      <c r="N22" s="533"/>
      <c r="O22" s="442">
        <v>712208.5199999999</v>
      </c>
      <c r="P22" s="533"/>
      <c r="Q22" s="442">
        <f t="shared" si="6"/>
        <v>2633.7300000000978</v>
      </c>
      <c r="R22" s="18"/>
      <c r="S22" s="84">
        <f>'Exhibit U,5'!AH22</f>
        <v>464744.67</v>
      </c>
      <c r="T22" s="69"/>
      <c r="U22" s="69">
        <f t="shared" ref="U22:U31" si="10">S22+T22</f>
        <v>464744.67</v>
      </c>
      <c r="V22" s="179">
        <v>462110.93999999994</v>
      </c>
      <c r="W22" s="179"/>
      <c r="X22" s="61">
        <v>14272</v>
      </c>
      <c r="Y22" s="432" t="s">
        <v>1635</v>
      </c>
      <c r="Z22" s="61">
        <v>4</v>
      </c>
      <c r="AA22" s="61">
        <v>104</v>
      </c>
      <c r="AB22" s="61">
        <v>2018</v>
      </c>
      <c r="AC22" s="61">
        <v>2016</v>
      </c>
      <c r="AD22" s="61">
        <f t="shared" si="8"/>
        <v>395200</v>
      </c>
      <c r="AE22" s="123">
        <f>AE20</f>
        <v>0.92162203459026393</v>
      </c>
      <c r="AF22" s="69">
        <f t="shared" si="9"/>
        <v>395200</v>
      </c>
      <c r="AK22" s="61"/>
      <c r="AL22" s="31"/>
      <c r="AM22" s="32"/>
    </row>
    <row r="23" spans="1:39">
      <c r="A23" s="6">
        <f t="shared" si="7"/>
        <v>2014</v>
      </c>
      <c r="C23" s="338">
        <v>3385152.22</v>
      </c>
      <c r="D23" s="533"/>
      <c r="E23" s="532">
        <v>-212948.29000000004</v>
      </c>
      <c r="F23" s="533"/>
      <c r="G23" s="532">
        <f t="shared" si="3"/>
        <v>3172203.93</v>
      </c>
      <c r="H23" s="533"/>
      <c r="I23" s="442">
        <f t="shared" si="4"/>
        <v>108138.22999999998</v>
      </c>
      <c r="J23" s="533"/>
      <c r="K23" s="532">
        <f>'Exhibit U,11'!AH23</f>
        <v>3064065.7</v>
      </c>
      <c r="L23" s="532"/>
      <c r="M23" s="532">
        <f t="shared" si="5"/>
        <v>3172203.93</v>
      </c>
      <c r="N23" s="533"/>
      <c r="O23" s="442">
        <v>3385152.2199999997</v>
      </c>
      <c r="P23" s="533"/>
      <c r="Q23" s="442">
        <f t="shared" si="6"/>
        <v>-212948.28999999957</v>
      </c>
      <c r="R23" s="18"/>
      <c r="S23" s="84">
        <f>'Exhibit U,5'!AH23</f>
        <v>108138.22999999998</v>
      </c>
      <c r="T23" s="69"/>
      <c r="U23" s="69">
        <f t="shared" si="10"/>
        <v>108138.22999999998</v>
      </c>
      <c r="V23" s="179">
        <v>108138.23</v>
      </c>
      <c r="W23" s="179"/>
      <c r="X23" s="61"/>
      <c r="Y23" s="61"/>
      <c r="Z23" s="61"/>
      <c r="AA23" s="61"/>
      <c r="AB23" s="61"/>
      <c r="AC23" s="61"/>
      <c r="AD23" s="61"/>
      <c r="AF23" s="172"/>
      <c r="AK23" s="160"/>
      <c r="AL23" s="31"/>
      <c r="AM23" s="32"/>
    </row>
    <row r="24" spans="1:39">
      <c r="A24" s="6">
        <f t="shared" si="7"/>
        <v>2015</v>
      </c>
      <c r="C24" s="338">
        <v>1556448.95</v>
      </c>
      <c r="D24" s="533"/>
      <c r="E24" s="532">
        <v>324948.86999999988</v>
      </c>
      <c r="F24" s="533"/>
      <c r="G24" s="532">
        <f t="shared" si="3"/>
        <v>1881397.8199999998</v>
      </c>
      <c r="H24" s="533"/>
      <c r="I24" s="442">
        <f t="shared" si="4"/>
        <v>3545.2599999997765</v>
      </c>
      <c r="J24" s="533"/>
      <c r="K24" s="532">
        <f>'Exhibit U,11'!AH24</f>
        <v>1877852.56</v>
      </c>
      <c r="L24" s="532"/>
      <c r="M24" s="532">
        <f t="shared" si="5"/>
        <v>1881397.8199999998</v>
      </c>
      <c r="N24" s="533"/>
      <c r="O24" s="442">
        <v>1556448.95</v>
      </c>
      <c r="P24" s="533"/>
      <c r="Q24" s="442">
        <f t="shared" si="6"/>
        <v>324948.86999999988</v>
      </c>
      <c r="R24" s="18"/>
      <c r="S24" s="84">
        <f>'Exhibit U,5'!AH24</f>
        <v>3545.2599999997765</v>
      </c>
      <c r="T24" s="69"/>
      <c r="U24" s="69">
        <f t="shared" si="10"/>
        <v>3545.2599999997765</v>
      </c>
      <c r="V24" s="179">
        <v>3545.26</v>
      </c>
      <c r="W24" s="179"/>
      <c r="X24" s="432" t="s">
        <v>0</v>
      </c>
      <c r="Y24" s="432"/>
      <c r="Z24" s="61"/>
      <c r="AA24" s="61"/>
      <c r="AB24" s="61"/>
      <c r="AC24" s="61"/>
      <c r="AD24" s="61"/>
      <c r="AF24" s="172">
        <f>SUM(AF15:AF22)</f>
        <v>2371200</v>
      </c>
      <c r="AK24" s="61"/>
      <c r="AL24" s="31"/>
      <c r="AM24" s="32"/>
    </row>
    <row r="25" spans="1:39">
      <c r="A25" s="6">
        <f t="shared" si="7"/>
        <v>2016</v>
      </c>
      <c r="C25" s="338">
        <v>4469276.92</v>
      </c>
      <c r="D25" s="533"/>
      <c r="E25" s="532">
        <v>287657.61000000034</v>
      </c>
      <c r="F25" s="533"/>
      <c r="G25" s="532">
        <f t="shared" si="3"/>
        <v>4756934.53</v>
      </c>
      <c r="H25" s="533"/>
      <c r="I25" s="442">
        <f t="shared" si="4"/>
        <v>2445454.2300000004</v>
      </c>
      <c r="J25" s="533"/>
      <c r="K25" s="532">
        <f>'Exhibit U,11'!AH25</f>
        <v>2706680.3</v>
      </c>
      <c r="L25" s="532"/>
      <c r="M25" s="532">
        <f t="shared" si="5"/>
        <v>5152134.53</v>
      </c>
      <c r="N25" s="533"/>
      <c r="O25" s="442">
        <v>4469276.92</v>
      </c>
      <c r="P25" s="533"/>
      <c r="Q25" s="442">
        <f t="shared" si="6"/>
        <v>682857.61000000034</v>
      </c>
      <c r="R25" s="18"/>
      <c r="S25" s="84">
        <f>'Exhibit U,5'!AH25</f>
        <v>2050254.2300000004</v>
      </c>
      <c r="T25" s="69">
        <f>AC28</f>
        <v>395200</v>
      </c>
      <c r="U25" s="69">
        <f t="shared" si="10"/>
        <v>2445454.2300000004</v>
      </c>
      <c r="V25" s="179">
        <v>2050254.23</v>
      </c>
      <c r="W25" s="179"/>
      <c r="X25" s="61"/>
      <c r="Y25" s="61"/>
      <c r="Z25" s="61"/>
      <c r="AB25" s="25" t="s">
        <v>1635</v>
      </c>
      <c r="AC25" s="25" t="s">
        <v>5</v>
      </c>
      <c r="AD25" s="61"/>
      <c r="AE25" s="172"/>
      <c r="AF25" s="172"/>
      <c r="AK25" s="61"/>
      <c r="AL25" s="31"/>
      <c r="AM25" s="32"/>
    </row>
    <row r="26" spans="1:39">
      <c r="A26" s="6">
        <f t="shared" si="7"/>
        <v>2017</v>
      </c>
      <c r="C26" s="338">
        <v>304640.94</v>
      </c>
      <c r="D26" s="533"/>
      <c r="E26" s="532">
        <v>522.09999999997672</v>
      </c>
      <c r="F26" s="533"/>
      <c r="G26" s="532">
        <f t="shared" si="3"/>
        <v>305163.03999999998</v>
      </c>
      <c r="H26" s="533"/>
      <c r="I26" s="442">
        <f t="shared" si="4"/>
        <v>69380.469999999972</v>
      </c>
      <c r="J26" s="533"/>
      <c r="K26" s="532">
        <f>'Exhibit U,11'!AH26</f>
        <v>1767966.9259246956</v>
      </c>
      <c r="L26" s="532"/>
      <c r="M26" s="532">
        <f t="shared" si="5"/>
        <v>1837347.3959246955</v>
      </c>
      <c r="N26" s="533"/>
      <c r="O26" s="442">
        <v>304640.94</v>
      </c>
      <c r="P26" s="533"/>
      <c r="Q26" s="442">
        <f t="shared" si="6"/>
        <v>1532706.4559246956</v>
      </c>
      <c r="R26" s="18"/>
      <c r="S26" s="84">
        <f>'Exhibit U,5'!AH26</f>
        <v>69380.469999999972</v>
      </c>
      <c r="T26" s="69"/>
      <c r="U26" s="69">
        <f t="shared" si="10"/>
        <v>69380.469999999972</v>
      </c>
      <c r="V26" s="179">
        <v>69380.47</v>
      </c>
      <c r="W26" s="179"/>
      <c r="X26" s="179"/>
      <c r="Y26" s="179"/>
      <c r="Z26" s="20"/>
      <c r="AA26" s="25" t="s">
        <v>1630</v>
      </c>
      <c r="AB26" s="25" t="s">
        <v>381</v>
      </c>
      <c r="AC26" s="25" t="s">
        <v>381</v>
      </c>
      <c r="AE26" s="61"/>
      <c r="AF26" s="61"/>
      <c r="AG26" s="61"/>
      <c r="AH26" s="61"/>
      <c r="AI26" s="172"/>
      <c r="AJ26" s="172"/>
      <c r="AK26" s="61"/>
      <c r="AL26" s="31"/>
      <c r="AM26" s="32"/>
    </row>
    <row r="27" spans="1:39">
      <c r="A27" s="6">
        <f t="shared" si="7"/>
        <v>2018</v>
      </c>
      <c r="C27" s="338">
        <v>2037829.809064918</v>
      </c>
      <c r="D27" s="533"/>
      <c r="E27" s="532">
        <v>-1139494.4390649181</v>
      </c>
      <c r="F27" s="533"/>
      <c r="G27" s="532">
        <f t="shared" si="3"/>
        <v>898335.36999999988</v>
      </c>
      <c r="H27" s="533"/>
      <c r="I27" s="442">
        <f t="shared" si="4"/>
        <v>130805.25</v>
      </c>
      <c r="J27" s="533"/>
      <c r="K27" s="532">
        <f>'Exhibit U,11'!AH27</f>
        <v>1004214.6576154318</v>
      </c>
      <c r="L27" s="532"/>
      <c r="M27" s="532">
        <f t="shared" si="5"/>
        <v>1135019.9076154318</v>
      </c>
      <c r="N27" s="533"/>
      <c r="O27" s="442">
        <v>1998843.2399372223</v>
      </c>
      <c r="P27" s="533"/>
      <c r="Q27" s="442">
        <f t="shared" si="6"/>
        <v>-863823.33232179051</v>
      </c>
      <c r="R27" s="18"/>
      <c r="S27" s="84">
        <f>'Exhibit U,5'!AH27</f>
        <v>130805.25</v>
      </c>
      <c r="T27" s="69"/>
      <c r="U27" s="69">
        <f t="shared" si="10"/>
        <v>130805.25</v>
      </c>
      <c r="V27" s="179">
        <v>626805.25</v>
      </c>
      <c r="W27" s="179"/>
      <c r="X27" s="179"/>
      <c r="Y27" s="179"/>
      <c r="Z27" s="20"/>
      <c r="AA27" s="143"/>
      <c r="AB27" s="143"/>
      <c r="AC27" s="143"/>
      <c r="AE27" s="61"/>
      <c r="AF27" s="61"/>
      <c r="AG27" s="61"/>
      <c r="AH27" s="61"/>
      <c r="AI27" s="172"/>
      <c r="AJ27" s="172"/>
      <c r="AK27" s="61"/>
      <c r="AL27" s="31"/>
      <c r="AM27" s="32"/>
    </row>
    <row r="28" spans="1:39">
      <c r="A28" s="6">
        <f t="shared" si="7"/>
        <v>2019</v>
      </c>
      <c r="C28" s="338">
        <v>627716.23940009926</v>
      </c>
      <c r="D28" s="533"/>
      <c r="E28" s="532">
        <v>-165339.27368281977</v>
      </c>
      <c r="F28" s="533"/>
      <c r="G28" s="532">
        <f t="shared" si="3"/>
        <v>462376.96571727947</v>
      </c>
      <c r="H28" s="533"/>
      <c r="I28" s="442">
        <f t="shared" si="4"/>
        <v>0</v>
      </c>
      <c r="J28" s="533"/>
      <c r="K28" s="532">
        <f>'Exhibit U,11'!AH28</f>
        <v>991016.82326559187</v>
      </c>
      <c r="L28" s="532"/>
      <c r="M28" s="532">
        <f t="shared" si="5"/>
        <v>991016.82326559187</v>
      </c>
      <c r="N28" s="533"/>
      <c r="O28" s="442">
        <v>661625.47525035776</v>
      </c>
      <c r="P28" s="533"/>
      <c r="Q28" s="442">
        <f t="shared" si="6"/>
        <v>329391.34801523411</v>
      </c>
      <c r="R28" s="18"/>
      <c r="S28" s="84">
        <f>'Exhibit U,5'!AH28</f>
        <v>0</v>
      </c>
      <c r="T28" s="69"/>
      <c r="U28" s="69">
        <f t="shared" si="10"/>
        <v>0</v>
      </c>
      <c r="V28" s="179">
        <v>0</v>
      </c>
      <c r="W28" s="179"/>
      <c r="X28" s="179"/>
      <c r="Y28" s="179"/>
      <c r="Z28" s="20"/>
      <c r="AA28" s="61">
        <v>2016</v>
      </c>
      <c r="AB28" s="172">
        <f>AF24-AB29-AB30-AC28</f>
        <v>395200</v>
      </c>
      <c r="AC28" s="614">
        <f>AF15</f>
        <v>395200</v>
      </c>
      <c r="AE28" s="61"/>
      <c r="AF28" s="61"/>
      <c r="AG28" s="61"/>
      <c r="AH28" s="61"/>
      <c r="AI28" s="172"/>
      <c r="AJ28" s="172"/>
      <c r="AK28" s="61"/>
      <c r="AL28" s="31"/>
      <c r="AM28" s="32"/>
    </row>
    <row r="29" spans="1:39">
      <c r="A29" s="6">
        <f t="shared" si="7"/>
        <v>2020</v>
      </c>
      <c r="C29" s="338">
        <v>706651.99356974626</v>
      </c>
      <c r="D29" s="533"/>
      <c r="E29" s="532">
        <v>-281109.1957570443</v>
      </c>
      <c r="F29" s="533"/>
      <c r="G29" s="532">
        <f t="shared" si="3"/>
        <v>425542.79781270196</v>
      </c>
      <c r="H29" s="533"/>
      <c r="I29" s="442">
        <f t="shared" si="4"/>
        <v>0</v>
      </c>
      <c r="J29" s="533"/>
      <c r="K29" s="532">
        <f>'Exhibit U,11'!AH29</f>
        <v>1064535.4718410745</v>
      </c>
      <c r="L29" s="532"/>
      <c r="M29" s="532">
        <f t="shared" si="5"/>
        <v>1064535.4718410745</v>
      </c>
      <c r="N29" s="533"/>
      <c r="O29" s="442">
        <v>702812.58615127322</v>
      </c>
      <c r="P29" s="533"/>
      <c r="Q29" s="442">
        <f t="shared" si="6"/>
        <v>361722.8856898013</v>
      </c>
      <c r="R29" s="18"/>
      <c r="S29" s="84">
        <f>'Exhibit U,5'!AH29</f>
        <v>0</v>
      </c>
      <c r="T29" s="69"/>
      <c r="U29" s="69">
        <f t="shared" si="10"/>
        <v>0</v>
      </c>
      <c r="V29" s="179">
        <v>0</v>
      </c>
      <c r="W29" s="179"/>
      <c r="X29" s="179"/>
      <c r="Y29" s="179"/>
      <c r="Z29" s="20"/>
      <c r="AA29" s="61">
        <v>2017</v>
      </c>
      <c r="AB29" s="69">
        <f>AF16+AF21</f>
        <v>790400</v>
      </c>
      <c r="AE29" s="61"/>
      <c r="AF29" s="61"/>
      <c r="AG29" s="61"/>
      <c r="AH29" s="61"/>
      <c r="AI29" s="172"/>
      <c r="AJ29" s="172"/>
      <c r="AK29" s="61"/>
      <c r="AL29" s="31"/>
      <c r="AM29" s="32"/>
    </row>
    <row r="30" spans="1:39">
      <c r="A30" s="6">
        <f t="shared" si="7"/>
        <v>2021</v>
      </c>
      <c r="C30" s="338">
        <v>1463969.9394880519</v>
      </c>
      <c r="D30" s="533"/>
      <c r="E30" s="532">
        <v>-343231.12813128199</v>
      </c>
      <c r="F30" s="533"/>
      <c r="G30" s="532">
        <f t="shared" si="3"/>
        <v>1120738.8113567699</v>
      </c>
      <c r="H30" s="533"/>
      <c r="I30" s="442">
        <f t="shared" si="4"/>
        <v>0</v>
      </c>
      <c r="J30" s="533"/>
      <c r="K30" s="532">
        <f>'Exhibit U,11'!AH30</f>
        <v>1770039.8036102578</v>
      </c>
      <c r="L30" s="532"/>
      <c r="M30" s="532">
        <f t="shared" si="5"/>
        <v>1770039.8036102578</v>
      </c>
      <c r="N30" s="533"/>
      <c r="O30" s="442">
        <v>1640652.8896427609</v>
      </c>
      <c r="P30" s="533"/>
      <c r="Q30" s="442">
        <f t="shared" si="6"/>
        <v>129386.91396749695</v>
      </c>
      <c r="R30" s="17"/>
      <c r="S30" s="84">
        <f>'Exhibit U,5'!AH30</f>
        <v>0</v>
      </c>
      <c r="T30" s="69"/>
      <c r="U30" s="69">
        <f t="shared" si="10"/>
        <v>0</v>
      </c>
      <c r="V30" s="179">
        <v>0</v>
      </c>
      <c r="W30" s="179"/>
      <c r="X30" s="179"/>
      <c r="Y30" s="179"/>
      <c r="Z30" s="20"/>
      <c r="AA30" s="61">
        <v>2018</v>
      </c>
      <c r="AB30" s="69">
        <f>AF15+AF22</f>
        <v>790400</v>
      </c>
      <c r="AE30" s="61"/>
      <c r="AF30" s="61"/>
      <c r="AG30" s="61"/>
      <c r="AH30" s="61"/>
      <c r="AI30" s="172"/>
      <c r="AJ30" s="172"/>
      <c r="AK30" s="61"/>
      <c r="AL30" s="31"/>
      <c r="AM30" s="32"/>
    </row>
    <row r="31" spans="1:39">
      <c r="A31" s="6">
        <f t="shared" si="7"/>
        <v>2022</v>
      </c>
      <c r="C31" s="532"/>
      <c r="D31" s="533"/>
      <c r="E31" s="532"/>
      <c r="F31" s="533"/>
      <c r="G31" s="532"/>
      <c r="H31" s="533"/>
      <c r="I31" s="442">
        <f t="shared" si="4"/>
        <v>0</v>
      </c>
      <c r="J31" s="533"/>
      <c r="K31" s="532">
        <f>'Exhibit U,11'!AH31</f>
        <v>2082630.5534831595</v>
      </c>
      <c r="L31" s="532"/>
      <c r="M31" s="532">
        <f t="shared" si="5"/>
        <v>2082630.5534831595</v>
      </c>
      <c r="N31" s="533"/>
      <c r="O31" s="533"/>
      <c r="P31" s="533"/>
      <c r="Q31" s="533"/>
      <c r="R31" s="20"/>
      <c r="S31" s="84">
        <f>'Exhibit U,5'!AH31</f>
        <v>0</v>
      </c>
      <c r="T31" s="160"/>
      <c r="U31" s="69">
        <f t="shared" si="10"/>
        <v>0</v>
      </c>
      <c r="V31" s="179">
        <v>0</v>
      </c>
      <c r="W31" s="179"/>
      <c r="X31" s="179"/>
      <c r="Y31" s="179"/>
      <c r="Z31" s="20"/>
      <c r="AC31" s="61"/>
      <c r="AD31" s="61"/>
      <c r="AE31" s="61"/>
      <c r="AF31" s="61"/>
      <c r="AG31" s="61"/>
      <c r="AH31" s="61"/>
      <c r="AI31" s="25"/>
      <c r="AJ31" s="25"/>
      <c r="AK31" s="61"/>
      <c r="AL31" s="31"/>
      <c r="AM31" s="32"/>
    </row>
    <row r="32" spans="1:39">
      <c r="A32" s="6"/>
      <c r="C32" s="200"/>
      <c r="E32" s="200"/>
      <c r="G32" s="200"/>
      <c r="H32" s="74"/>
      <c r="I32" s="200"/>
      <c r="K32" s="200"/>
      <c r="L32" s="20"/>
      <c r="M32" s="200"/>
      <c r="O32" s="200"/>
      <c r="P32" s="200"/>
      <c r="Q32" s="200"/>
      <c r="S32" s="70"/>
      <c r="T32" s="70"/>
      <c r="U32" s="70"/>
      <c r="V32" s="70"/>
      <c r="W32" s="61"/>
      <c r="X32" s="179"/>
      <c r="Y32" s="179"/>
      <c r="AH32" s="61"/>
      <c r="AI32" s="6"/>
      <c r="AJ32" s="6"/>
      <c r="AK32" s="61"/>
    </row>
    <row r="33" spans="1:39">
      <c r="A33" s="2" t="s">
        <v>0</v>
      </c>
      <c r="C33" s="19">
        <f>SUM(C17:C32)</f>
        <v>22311881.181522816</v>
      </c>
      <c r="E33" s="19">
        <f>SUM(E17:E32)</f>
        <v>-1526360.016636064</v>
      </c>
      <c r="F33" s="19"/>
      <c r="G33" s="19">
        <f>SUM(G17:G32)</f>
        <v>20785521.16488675</v>
      </c>
      <c r="I33" s="19">
        <f>SUM(I17:I32)</f>
        <v>4473262.59</v>
      </c>
      <c r="J33" s="19"/>
      <c r="K33" s="19">
        <f>SUM(K17:K32)</f>
        <v>22375891.54574021</v>
      </c>
      <c r="L33" s="19"/>
      <c r="M33" s="19">
        <f>SUM(M17:M32)</f>
        <v>26849154.135740209</v>
      </c>
      <c r="O33" s="19">
        <f>SUM(O17:O32)</f>
        <v>22479647.390981615</v>
      </c>
      <c r="P33" s="19">
        <f>SUM(P17:P32)</f>
        <v>0</v>
      </c>
      <c r="Q33" s="19">
        <f>SUM(Q17:Q32)</f>
        <v>2286876.1912754383</v>
      </c>
      <c r="R33" s="19"/>
      <c r="S33" s="223">
        <f t="shared" ref="S33:V33" si="11">SUM(S17:S32)</f>
        <v>4078062.59</v>
      </c>
      <c r="T33" s="223">
        <f t="shared" si="11"/>
        <v>395200</v>
      </c>
      <c r="U33" s="223">
        <f t="shared" si="11"/>
        <v>4473262.59</v>
      </c>
      <c r="V33" s="223">
        <f t="shared" si="11"/>
        <v>4571428.8599999994</v>
      </c>
      <c r="W33" s="223"/>
      <c r="X33" s="179"/>
      <c r="Y33" s="179"/>
      <c r="Z33" s="66"/>
      <c r="AH33" s="61"/>
      <c r="AI33" s="66"/>
      <c r="AJ33" s="66"/>
      <c r="AK33" s="61"/>
      <c r="AL33" s="20"/>
      <c r="AM33" s="73"/>
    </row>
    <row r="34" spans="1:39">
      <c r="O34" s="26"/>
      <c r="S34" s="61"/>
      <c r="T34" s="61"/>
      <c r="U34" s="61"/>
      <c r="V34" s="61"/>
      <c r="W34" s="61"/>
      <c r="X34" s="180"/>
      <c r="Y34" s="180"/>
      <c r="AH34" s="61"/>
      <c r="AI34" s="61"/>
      <c r="AJ34" s="61"/>
      <c r="AK34" s="61"/>
    </row>
    <row r="35" spans="1:39" ht="16">
      <c r="A35" s="175" t="s">
        <v>395</v>
      </c>
      <c r="L35" s="6"/>
      <c r="U35" s="61"/>
      <c r="V35" s="61"/>
      <c r="W35" s="61"/>
      <c r="X35" s="61"/>
      <c r="Y35" s="61"/>
      <c r="AH35" s="61"/>
      <c r="AI35" s="61"/>
      <c r="AJ35" s="61"/>
      <c r="AK35" s="61"/>
    </row>
    <row r="36" spans="1:39">
      <c r="A36" s="6">
        <f>A17</f>
        <v>2008</v>
      </c>
      <c r="C36" s="529">
        <v>135351</v>
      </c>
      <c r="D36" s="530"/>
      <c r="E36" s="529">
        <v>0</v>
      </c>
      <c r="F36" s="530"/>
      <c r="G36" s="529">
        <f t="shared" ref="G36:G50" si="12">C36+E36</f>
        <v>135351</v>
      </c>
      <c r="H36" s="530"/>
      <c r="I36" s="585">
        <f>U36</f>
        <v>0</v>
      </c>
      <c r="J36" s="530"/>
      <c r="K36" s="530">
        <f>'Exhibit U,11'!AH36</f>
        <v>1911758.4000000001</v>
      </c>
      <c r="L36" s="531"/>
      <c r="M36" s="530">
        <f>I36+K36</f>
        <v>1911758.4000000001</v>
      </c>
      <c r="N36" s="530"/>
      <c r="O36" s="530">
        <v>1911758.4000000001</v>
      </c>
      <c r="P36" s="530"/>
      <c r="Q36" s="530">
        <f>M36-O36</f>
        <v>0</v>
      </c>
      <c r="R36" s="217"/>
      <c r="S36" s="84">
        <f>'Exhibit U,8'!AH17</f>
        <v>0</v>
      </c>
      <c r="T36" s="61"/>
      <c r="U36" s="220">
        <f t="shared" ref="U36:U39" si="13">S36+T36</f>
        <v>0</v>
      </c>
      <c r="V36" s="216"/>
      <c r="W36" s="216"/>
      <c r="X36" s="216"/>
      <c r="Y36" s="216"/>
      <c r="AB36" s="2"/>
      <c r="AH36" s="61"/>
      <c r="AI36" s="26"/>
      <c r="AJ36" s="18"/>
      <c r="AK36" s="61"/>
    </row>
    <row r="37" spans="1:39">
      <c r="A37" s="6">
        <f>A36+1</f>
        <v>2009</v>
      </c>
      <c r="C37" s="532">
        <v>1908968.13</v>
      </c>
      <c r="D37" s="533"/>
      <c r="E37" s="586">
        <v>0</v>
      </c>
      <c r="F37" s="533"/>
      <c r="G37" s="532">
        <f t="shared" si="12"/>
        <v>1908968.13</v>
      </c>
      <c r="H37" s="533"/>
      <c r="I37" s="442">
        <f t="shared" ref="I37:I50" si="14">U37</f>
        <v>0</v>
      </c>
      <c r="J37" s="533"/>
      <c r="K37" s="532">
        <f>'Exhibit U,11'!AH37</f>
        <v>2191506.25</v>
      </c>
      <c r="L37" s="532"/>
      <c r="M37" s="532">
        <f t="shared" ref="M37:M50" si="15">I37+K37</f>
        <v>2191506.25</v>
      </c>
      <c r="N37" s="533"/>
      <c r="O37" s="442">
        <v>2191506.25</v>
      </c>
      <c r="P37" s="534"/>
      <c r="Q37" s="532">
        <f t="shared" ref="Q37:Q49" si="16">M37-O37</f>
        <v>0</v>
      </c>
      <c r="R37" s="18"/>
      <c r="S37" s="84">
        <f>'Exhibit U,8'!AH18</f>
        <v>0</v>
      </c>
      <c r="T37" s="61"/>
      <c r="U37" s="69">
        <f t="shared" si="13"/>
        <v>0</v>
      </c>
      <c r="V37" s="179"/>
      <c r="W37" s="179"/>
      <c r="X37" s="179"/>
      <c r="Y37" s="179"/>
      <c r="Z37" s="2"/>
      <c r="AA37" s="2"/>
      <c r="AB37" s="2"/>
      <c r="AH37" s="61"/>
      <c r="AI37" s="18"/>
      <c r="AJ37" s="18"/>
      <c r="AK37" s="61"/>
    </row>
    <row r="38" spans="1:39">
      <c r="A38" s="6">
        <f t="shared" ref="A38:A50" si="17">A37+1</f>
        <v>2010</v>
      </c>
      <c r="C38" s="532">
        <v>2191506.25</v>
      </c>
      <c r="D38" s="533"/>
      <c r="E38" s="338">
        <v>243.17999999970198</v>
      </c>
      <c r="F38" s="533"/>
      <c r="G38" s="532">
        <f t="shared" si="12"/>
        <v>2191749.4299999997</v>
      </c>
      <c r="H38" s="533"/>
      <c r="I38" s="442">
        <f t="shared" si="14"/>
        <v>0</v>
      </c>
      <c r="J38" s="533"/>
      <c r="K38" s="532">
        <f>'Exhibit U,11'!AH38</f>
        <v>8479335.2699999996</v>
      </c>
      <c r="L38" s="532"/>
      <c r="M38" s="532">
        <f t="shared" si="15"/>
        <v>8479335.2699999996</v>
      </c>
      <c r="N38" s="533"/>
      <c r="O38" s="442">
        <v>8479092.0899999999</v>
      </c>
      <c r="P38" s="534"/>
      <c r="Q38" s="532">
        <f t="shared" si="16"/>
        <v>243.17999999970198</v>
      </c>
      <c r="R38" s="18"/>
      <c r="S38" s="84">
        <f>'Exhibit U,8'!AH19</f>
        <v>0</v>
      </c>
      <c r="T38" s="61"/>
      <c r="U38" s="69">
        <f t="shared" si="13"/>
        <v>0</v>
      </c>
      <c r="V38" s="179"/>
      <c r="W38" s="179"/>
      <c r="X38" s="179"/>
      <c r="Y38" s="179"/>
      <c r="Z38" s="2"/>
      <c r="AA38" s="2"/>
      <c r="AB38" s="2"/>
      <c r="AH38" s="61"/>
      <c r="AI38" s="18"/>
      <c r="AJ38" s="18"/>
      <c r="AK38" s="25"/>
    </row>
    <row r="39" spans="1:39">
      <c r="A39" s="6">
        <f t="shared" si="17"/>
        <v>2011</v>
      </c>
      <c r="C39" s="532">
        <v>8474355.2699999996</v>
      </c>
      <c r="D39" s="533"/>
      <c r="E39" s="338">
        <v>-520964.58999999985</v>
      </c>
      <c r="F39" s="533"/>
      <c r="G39" s="532">
        <f t="shared" si="12"/>
        <v>7953390.6799999997</v>
      </c>
      <c r="H39" s="533"/>
      <c r="I39" s="442">
        <f t="shared" si="14"/>
        <v>0</v>
      </c>
      <c r="J39" s="533"/>
      <c r="K39" s="532">
        <f>'Exhibit U,11'!AH39</f>
        <v>6315267.6400000006</v>
      </c>
      <c r="L39" s="532"/>
      <c r="M39" s="532">
        <f t="shared" si="15"/>
        <v>6315267.6400000006</v>
      </c>
      <c r="N39" s="533"/>
      <c r="O39" s="442">
        <v>6836232.2300000004</v>
      </c>
      <c r="P39" s="534"/>
      <c r="Q39" s="532">
        <f t="shared" si="16"/>
        <v>-520964.58999999985</v>
      </c>
      <c r="R39" s="18"/>
      <c r="S39" s="84">
        <f>'Exhibit U,8'!AH20</f>
        <v>0</v>
      </c>
      <c r="T39" s="61"/>
      <c r="U39" s="69">
        <f t="shared" si="13"/>
        <v>0</v>
      </c>
      <c r="V39" s="179"/>
      <c r="W39" s="179"/>
      <c r="X39" s="179"/>
      <c r="Y39" s="179"/>
      <c r="AH39" s="61"/>
      <c r="AI39" s="18"/>
      <c r="AJ39" s="18"/>
      <c r="AK39" s="25"/>
    </row>
    <row r="40" spans="1:39">
      <c r="A40" s="6">
        <f t="shared" si="17"/>
        <v>2012</v>
      </c>
      <c r="C40" s="532">
        <v>6835767.1100000003</v>
      </c>
      <c r="D40" s="533"/>
      <c r="E40" s="338">
        <v>-1570213.3000000007</v>
      </c>
      <c r="F40" s="533"/>
      <c r="G40" s="532">
        <f t="shared" si="12"/>
        <v>5265553.8099999996</v>
      </c>
      <c r="H40" s="533"/>
      <c r="I40" s="442">
        <f t="shared" si="14"/>
        <v>2318237.2399999984</v>
      </c>
      <c r="J40" s="533"/>
      <c r="K40" s="532">
        <f>'Exhibit U,11'!AH40</f>
        <v>15251215.5</v>
      </c>
      <c r="L40" s="532"/>
      <c r="M40" s="532">
        <f t="shared" si="15"/>
        <v>17569452.739999998</v>
      </c>
      <c r="N40" s="533"/>
      <c r="O40" s="442">
        <v>19139666.039999999</v>
      </c>
      <c r="P40" s="534"/>
      <c r="Q40" s="532">
        <f t="shared" si="16"/>
        <v>-1570213.3000000007</v>
      </c>
      <c r="R40" s="18"/>
      <c r="S40" s="84">
        <f>'Exhibit U,8'!AH21</f>
        <v>2318237.2399999984</v>
      </c>
      <c r="T40" s="160"/>
      <c r="U40" s="69">
        <f>S40+T40</f>
        <v>2318237.2399999984</v>
      </c>
      <c r="V40" s="178"/>
      <c r="W40" s="178"/>
      <c r="X40" s="178"/>
      <c r="Y40" s="178"/>
      <c r="AA40" s="16"/>
      <c r="AH40" s="61"/>
      <c r="AI40" s="18"/>
      <c r="AJ40" s="18"/>
      <c r="AK40" s="25"/>
    </row>
    <row r="41" spans="1:39">
      <c r="A41" s="6">
        <f t="shared" si="17"/>
        <v>2013</v>
      </c>
      <c r="C41" s="532">
        <v>18330611.214742817</v>
      </c>
      <c r="D41" s="533"/>
      <c r="E41" s="338">
        <v>-1580865.1699999981</v>
      </c>
      <c r="F41" s="533"/>
      <c r="G41" s="532">
        <f t="shared" si="12"/>
        <v>16749746.044742819</v>
      </c>
      <c r="H41" s="533"/>
      <c r="I41" s="442">
        <f t="shared" si="14"/>
        <v>1114631.2800000012</v>
      </c>
      <c r="J41" s="533"/>
      <c r="K41" s="532">
        <f>'Exhibit U,11'!AH41</f>
        <v>16243610.689999998</v>
      </c>
      <c r="L41" s="532"/>
      <c r="M41" s="532">
        <f t="shared" si="15"/>
        <v>17358241.969999999</v>
      </c>
      <c r="N41" s="533"/>
      <c r="O41" s="442">
        <v>18975821.675806206</v>
      </c>
      <c r="P41" s="534"/>
      <c r="Q41" s="532">
        <f t="shared" si="16"/>
        <v>-1617579.7058062069</v>
      </c>
      <c r="R41" s="66"/>
      <c r="S41" s="84">
        <f>'Exhibit U,8'!AH22</f>
        <v>1114631.2800000012</v>
      </c>
      <c r="T41" s="69"/>
      <c r="U41" s="69">
        <f t="shared" ref="U41:U50" si="18">S41+T41</f>
        <v>1114631.2800000012</v>
      </c>
      <c r="V41" s="179"/>
      <c r="W41" s="179"/>
      <c r="X41" s="179"/>
      <c r="Y41" s="179"/>
      <c r="Z41" s="43"/>
      <c r="AA41" s="16"/>
      <c r="AB41" s="66"/>
      <c r="AH41" s="61"/>
      <c r="AI41" s="18"/>
      <c r="AJ41" s="18"/>
      <c r="AK41" s="25"/>
    </row>
    <row r="42" spans="1:39">
      <c r="A42" s="6">
        <f t="shared" si="17"/>
        <v>2014</v>
      </c>
      <c r="C42" s="532">
        <v>17541261.206520855</v>
      </c>
      <c r="D42" s="533"/>
      <c r="E42" s="338">
        <v>-2605658.6599863432</v>
      </c>
      <c r="F42" s="533"/>
      <c r="G42" s="532">
        <f t="shared" si="12"/>
        <v>14935602.546534512</v>
      </c>
      <c r="H42" s="533"/>
      <c r="I42" s="442">
        <f t="shared" si="14"/>
        <v>5118044.0100000016</v>
      </c>
      <c r="J42" s="533"/>
      <c r="K42" s="532">
        <f>'Exhibit U,11'!AH42</f>
        <v>15955773.008735241</v>
      </c>
      <c r="L42" s="532"/>
      <c r="M42" s="532">
        <f t="shared" si="15"/>
        <v>21073817.018735245</v>
      </c>
      <c r="N42" s="533"/>
      <c r="O42" s="442">
        <v>23846677.819986343</v>
      </c>
      <c r="P42" s="534"/>
      <c r="Q42" s="532">
        <f t="shared" si="16"/>
        <v>-2772860.8012510985</v>
      </c>
      <c r="R42" s="20"/>
      <c r="S42" s="84">
        <f>'Exhibit U,8'!AH23</f>
        <v>5118044.0100000016</v>
      </c>
      <c r="T42" s="69"/>
      <c r="U42" s="69">
        <f t="shared" si="18"/>
        <v>5118044.0100000016</v>
      </c>
      <c r="V42" s="179"/>
      <c r="W42" s="179"/>
      <c r="X42" s="179"/>
      <c r="Y42" s="179"/>
      <c r="Z42" s="182"/>
      <c r="AA42" s="17"/>
      <c r="AB42" s="20"/>
      <c r="AH42" s="61"/>
      <c r="AI42" s="18"/>
      <c r="AJ42" s="18"/>
      <c r="AK42" s="39"/>
    </row>
    <row r="43" spans="1:39">
      <c r="A43" s="6">
        <f t="shared" si="17"/>
        <v>2015</v>
      </c>
      <c r="C43" s="532">
        <v>23146441.915548231</v>
      </c>
      <c r="D43" s="533"/>
      <c r="E43" s="338">
        <v>155954.50246536863</v>
      </c>
      <c r="F43" s="533"/>
      <c r="G43" s="532">
        <f t="shared" si="12"/>
        <v>23302396.418013599</v>
      </c>
      <c r="H43" s="533"/>
      <c r="I43" s="442">
        <f t="shared" si="14"/>
        <v>36491.240000000224</v>
      </c>
      <c r="J43" s="533"/>
      <c r="K43" s="532">
        <f>'Exhibit U,11'!AH43</f>
        <v>4027576.3146318416</v>
      </c>
      <c r="L43" s="532"/>
      <c r="M43" s="532">
        <f t="shared" si="15"/>
        <v>4064067.5546318418</v>
      </c>
      <c r="N43" s="533"/>
      <c r="O43" s="442">
        <v>4084998.0681367856</v>
      </c>
      <c r="P43" s="534"/>
      <c r="Q43" s="532">
        <f t="shared" si="16"/>
        <v>-20930.51350494381</v>
      </c>
      <c r="R43" s="20"/>
      <c r="S43" s="84">
        <f>'Exhibit U,8'!AH24</f>
        <v>36491.240000000224</v>
      </c>
      <c r="T43" s="69"/>
      <c r="U43" s="69">
        <f t="shared" si="18"/>
        <v>36491.240000000224</v>
      </c>
      <c r="V43" s="179"/>
      <c r="W43" s="179"/>
      <c r="X43" s="179"/>
      <c r="Y43" s="179"/>
      <c r="Z43" s="182"/>
      <c r="AA43" s="17"/>
      <c r="AB43" s="20"/>
      <c r="AH43" s="61"/>
      <c r="AI43" s="18"/>
      <c r="AJ43" s="18"/>
      <c r="AK43" s="61"/>
    </row>
    <row r="44" spans="1:39">
      <c r="A44" s="6">
        <f t="shared" si="17"/>
        <v>2016</v>
      </c>
      <c r="C44" s="532">
        <v>5526304.6882439535</v>
      </c>
      <c r="D44" s="533"/>
      <c r="E44" s="338">
        <v>-540202.74279812258</v>
      </c>
      <c r="F44" s="533"/>
      <c r="G44" s="532">
        <f t="shared" si="12"/>
        <v>4986101.9454458309</v>
      </c>
      <c r="H44" s="533"/>
      <c r="I44" s="442">
        <f t="shared" si="14"/>
        <v>1346005.67</v>
      </c>
      <c r="J44" s="533"/>
      <c r="K44" s="532">
        <f>'Exhibit U,11'!AH44</f>
        <v>9808020.5341647454</v>
      </c>
      <c r="L44" s="532"/>
      <c r="M44" s="532">
        <f t="shared" si="15"/>
        <v>11154026.204164745</v>
      </c>
      <c r="N44" s="533"/>
      <c r="O44" s="442">
        <v>13111591.223283045</v>
      </c>
      <c r="P44" s="534"/>
      <c r="Q44" s="532">
        <f t="shared" si="16"/>
        <v>-1957565.0191182997</v>
      </c>
      <c r="R44" s="20"/>
      <c r="S44" s="84">
        <f>'Exhibit U,8'!AH25</f>
        <v>950805.66999999993</v>
      </c>
      <c r="T44" s="69">
        <f>AB28</f>
        <v>395200</v>
      </c>
      <c r="U44" s="69">
        <f t="shared" si="18"/>
        <v>1346005.67</v>
      </c>
      <c r="V44" s="179"/>
      <c r="W44" s="179"/>
      <c r="X44" s="179"/>
      <c r="Y44" s="179"/>
      <c r="Z44" s="182"/>
      <c r="AA44" s="17"/>
      <c r="AB44" s="20"/>
      <c r="AH44" s="61"/>
      <c r="AI44" s="18"/>
      <c r="AJ44" s="18"/>
      <c r="AK44" s="61"/>
    </row>
    <row r="45" spans="1:39">
      <c r="A45" s="6">
        <f t="shared" si="17"/>
        <v>2017</v>
      </c>
      <c r="C45" s="532">
        <v>12318207.311169764</v>
      </c>
      <c r="D45" s="533"/>
      <c r="E45" s="338">
        <v>-1429173.1372492877</v>
      </c>
      <c r="F45" s="533"/>
      <c r="G45" s="532">
        <f t="shared" si="12"/>
        <v>10889034.173920477</v>
      </c>
      <c r="H45" s="533"/>
      <c r="I45" s="442">
        <f t="shared" si="14"/>
        <v>936339.22999999952</v>
      </c>
      <c r="J45" s="533"/>
      <c r="K45" s="532">
        <f>'Exhibit U,11'!AH45</f>
        <v>11855789.809228787</v>
      </c>
      <c r="L45" s="532"/>
      <c r="M45" s="532">
        <f t="shared" si="15"/>
        <v>12792129.039228786</v>
      </c>
      <c r="N45" s="533"/>
      <c r="O45" s="442">
        <v>13149598.05472691</v>
      </c>
      <c r="P45" s="534"/>
      <c r="Q45" s="532">
        <f t="shared" si="16"/>
        <v>-357469.01549812406</v>
      </c>
      <c r="R45" s="20"/>
      <c r="S45" s="84">
        <f>'Exhibit U,8'!AH26</f>
        <v>145939.22999999952</v>
      </c>
      <c r="T45" s="69">
        <f t="shared" ref="T45:T46" si="19">AB29</f>
        <v>790400</v>
      </c>
      <c r="U45" s="69">
        <f t="shared" si="18"/>
        <v>936339.22999999952</v>
      </c>
      <c r="V45" s="179"/>
      <c r="W45" s="179"/>
      <c r="X45" s="179"/>
      <c r="Y45" s="179"/>
      <c r="Z45" s="182"/>
      <c r="AA45" s="17"/>
      <c r="AB45" s="20"/>
      <c r="AH45" s="61"/>
      <c r="AI45" s="18"/>
      <c r="AJ45" s="18"/>
      <c r="AK45" s="48"/>
    </row>
    <row r="46" spans="1:39">
      <c r="A46" s="6">
        <f t="shared" si="17"/>
        <v>2018</v>
      </c>
      <c r="C46" s="532">
        <v>7899429.0713549592</v>
      </c>
      <c r="D46" s="533"/>
      <c r="E46" s="338">
        <v>-1140117.015484805</v>
      </c>
      <c r="F46" s="533"/>
      <c r="G46" s="532">
        <f t="shared" si="12"/>
        <v>6759312.0558701539</v>
      </c>
      <c r="H46" s="533"/>
      <c r="I46" s="442">
        <f t="shared" si="14"/>
        <v>896274.37000000011</v>
      </c>
      <c r="J46" s="533"/>
      <c r="K46" s="532">
        <f>'Exhibit U,11'!AH46</f>
        <v>8092009.4127996648</v>
      </c>
      <c r="L46" s="532"/>
      <c r="M46" s="532">
        <f t="shared" si="15"/>
        <v>8988283.7827996649</v>
      </c>
      <c r="N46" s="533"/>
      <c r="O46" s="442">
        <v>7590322.9216377968</v>
      </c>
      <c r="P46" s="534"/>
      <c r="Q46" s="532">
        <f t="shared" si="16"/>
        <v>1397960.8611618681</v>
      </c>
      <c r="R46" s="20"/>
      <c r="S46" s="84">
        <f>'Exhibit U,8'!AH27</f>
        <v>105874.37000000011</v>
      </c>
      <c r="T46" s="69">
        <f t="shared" si="19"/>
        <v>790400</v>
      </c>
      <c r="U46" s="69">
        <f t="shared" si="18"/>
        <v>896274.37000000011</v>
      </c>
      <c r="V46" s="179"/>
      <c r="W46" s="179"/>
      <c r="X46" s="179"/>
      <c r="Y46" s="179"/>
      <c r="Z46" s="182"/>
      <c r="AA46" s="17"/>
      <c r="AB46" s="20"/>
      <c r="AH46" s="61"/>
      <c r="AI46" s="18"/>
      <c r="AJ46" s="18"/>
      <c r="AK46" s="48"/>
    </row>
    <row r="47" spans="1:39">
      <c r="A47" s="6">
        <f t="shared" si="17"/>
        <v>2019</v>
      </c>
      <c r="C47" s="532">
        <v>7678339.2407335155</v>
      </c>
      <c r="D47" s="533"/>
      <c r="E47" s="338">
        <v>-1098086.8112287926</v>
      </c>
      <c r="F47" s="533"/>
      <c r="G47" s="532">
        <f t="shared" si="12"/>
        <v>6580252.4295047224</v>
      </c>
      <c r="H47" s="533"/>
      <c r="I47" s="442">
        <f t="shared" si="14"/>
        <v>0</v>
      </c>
      <c r="J47" s="533"/>
      <c r="K47" s="532">
        <f>'Exhibit U,11'!AH47</f>
        <v>8830400.0145976357</v>
      </c>
      <c r="L47" s="532"/>
      <c r="M47" s="532">
        <f t="shared" si="15"/>
        <v>8830400.0145976357</v>
      </c>
      <c r="N47" s="533"/>
      <c r="O47" s="442">
        <v>6912223.7704699878</v>
      </c>
      <c r="P47" s="534"/>
      <c r="Q47" s="532">
        <f t="shared" si="16"/>
        <v>1918176.244127648</v>
      </c>
      <c r="R47" s="20"/>
      <c r="S47" s="84">
        <f>'Exhibit U,8'!AH28</f>
        <v>0</v>
      </c>
      <c r="T47" s="69"/>
      <c r="U47" s="69">
        <f t="shared" si="18"/>
        <v>0</v>
      </c>
      <c r="V47" s="179"/>
      <c r="W47" s="179"/>
      <c r="X47" s="179"/>
      <c r="Y47" s="179"/>
      <c r="Z47" s="182"/>
      <c r="AA47" s="17"/>
      <c r="AB47" s="20"/>
      <c r="AH47" s="61"/>
      <c r="AI47" s="18"/>
      <c r="AJ47" s="18"/>
      <c r="AK47" s="48"/>
    </row>
    <row r="48" spans="1:39">
      <c r="A48" s="6">
        <f t="shared" si="17"/>
        <v>2020</v>
      </c>
      <c r="C48" s="532">
        <v>7518248.3257458415</v>
      </c>
      <c r="D48" s="533"/>
      <c r="E48" s="338">
        <v>104412.14700127312</v>
      </c>
      <c r="F48" s="533"/>
      <c r="G48" s="532">
        <f t="shared" si="12"/>
        <v>7622660.4727471145</v>
      </c>
      <c r="H48" s="533"/>
      <c r="I48" s="442">
        <f t="shared" si="14"/>
        <v>0</v>
      </c>
      <c r="J48" s="533"/>
      <c r="K48" s="532">
        <f>'Exhibit U,11'!AH48</f>
        <v>7812359.0303209489</v>
      </c>
      <c r="L48" s="532"/>
      <c r="M48" s="532">
        <f t="shared" si="15"/>
        <v>7812359.0303209489</v>
      </c>
      <c r="N48" s="533"/>
      <c r="O48" s="442">
        <v>4461361.3567426009</v>
      </c>
      <c r="P48" s="534"/>
      <c r="Q48" s="532">
        <f t="shared" si="16"/>
        <v>3350997.673578348</v>
      </c>
      <c r="R48" s="20"/>
      <c r="S48" s="84">
        <f>'Exhibit U,8'!AH29</f>
        <v>0</v>
      </c>
      <c r="T48" s="69"/>
      <c r="U48" s="69">
        <f t="shared" si="18"/>
        <v>0</v>
      </c>
      <c r="V48" s="179"/>
      <c r="W48" s="179"/>
      <c r="X48" s="179"/>
      <c r="Y48" s="179"/>
      <c r="Z48" s="182"/>
      <c r="AA48" s="218"/>
      <c r="AB48" s="20"/>
      <c r="AH48" s="61"/>
      <c r="AI48" s="18"/>
      <c r="AJ48" s="18"/>
      <c r="AK48" s="48"/>
    </row>
    <row r="49" spans="1:39">
      <c r="A49" s="6">
        <f t="shared" si="17"/>
        <v>2021</v>
      </c>
      <c r="C49" s="532">
        <v>4574264.6428536419</v>
      </c>
      <c r="D49" s="533"/>
      <c r="E49" s="338">
        <v>289294.11436776211</v>
      </c>
      <c r="F49" s="533"/>
      <c r="G49" s="532">
        <f t="shared" si="12"/>
        <v>4863558.7572214045</v>
      </c>
      <c r="H49" s="533"/>
      <c r="I49" s="442">
        <f t="shared" si="14"/>
        <v>0</v>
      </c>
      <c r="J49" s="533"/>
      <c r="K49" s="532">
        <f>'Exhibit U,11'!AH49</f>
        <v>5454743.0538913114</v>
      </c>
      <c r="L49" s="532"/>
      <c r="M49" s="532">
        <f t="shared" si="15"/>
        <v>5454743.0538913114</v>
      </c>
      <c r="N49" s="533"/>
      <c r="O49" s="442">
        <v>3314576.463491953</v>
      </c>
      <c r="P49" s="534"/>
      <c r="Q49" s="532">
        <f t="shared" si="16"/>
        <v>2140166.5903993584</v>
      </c>
      <c r="R49" s="20"/>
      <c r="S49" s="84">
        <f>'Exhibit U,8'!AH30</f>
        <v>0</v>
      </c>
      <c r="T49" s="69"/>
      <c r="U49" s="69">
        <f t="shared" si="18"/>
        <v>0</v>
      </c>
      <c r="V49" s="179"/>
      <c r="W49" s="179"/>
      <c r="X49" s="179"/>
      <c r="Y49" s="179"/>
      <c r="Z49" s="182"/>
      <c r="AA49" s="218"/>
      <c r="AB49" s="20"/>
      <c r="AH49" s="61"/>
      <c r="AI49" s="18"/>
      <c r="AJ49" s="18"/>
      <c r="AK49" s="48"/>
    </row>
    <row r="50" spans="1:39">
      <c r="A50" s="6">
        <f t="shared" si="17"/>
        <v>2022</v>
      </c>
      <c r="C50" s="532"/>
      <c r="D50" s="533"/>
      <c r="E50" s="532">
        <v>0</v>
      </c>
      <c r="F50" s="533"/>
      <c r="G50" s="532">
        <f t="shared" si="12"/>
        <v>0</v>
      </c>
      <c r="H50" s="533"/>
      <c r="I50" s="442">
        <f t="shared" si="14"/>
        <v>0</v>
      </c>
      <c r="J50" s="533"/>
      <c r="K50" s="532">
        <f>'Exhibit U,11'!AH50</f>
        <v>5579054.418703963</v>
      </c>
      <c r="L50" s="532"/>
      <c r="M50" s="532">
        <f t="shared" si="15"/>
        <v>5579054.418703963</v>
      </c>
      <c r="N50" s="533"/>
      <c r="O50" s="533"/>
      <c r="P50" s="533"/>
      <c r="Q50" s="533"/>
      <c r="R50" s="20"/>
      <c r="S50" s="84">
        <f>'Exhibit U,8'!AH31</f>
        <v>0</v>
      </c>
      <c r="T50" s="160"/>
      <c r="U50" s="69">
        <f t="shared" si="18"/>
        <v>0</v>
      </c>
      <c r="V50" s="179"/>
      <c r="W50" s="179"/>
      <c r="X50" s="179"/>
      <c r="Y50" s="179"/>
      <c r="Z50" s="182"/>
      <c r="AA50" s="218"/>
      <c r="AB50" s="20"/>
      <c r="AH50" s="61"/>
      <c r="AI50" s="18"/>
      <c r="AJ50" s="18"/>
      <c r="AK50" s="48"/>
    </row>
    <row r="51" spans="1:39">
      <c r="A51" s="6"/>
      <c r="C51" s="200"/>
      <c r="E51" s="200"/>
      <c r="G51" s="200"/>
      <c r="H51" s="74"/>
      <c r="I51" s="200"/>
      <c r="K51" s="200"/>
      <c r="L51" s="189"/>
      <c r="M51" s="200"/>
      <c r="O51" s="200"/>
      <c r="Q51" s="200"/>
      <c r="S51" s="70"/>
      <c r="T51" s="70"/>
      <c r="U51" s="70"/>
      <c r="V51" s="179"/>
      <c r="W51" s="179"/>
      <c r="X51" s="179"/>
      <c r="AH51" s="61"/>
      <c r="AI51" s="18"/>
      <c r="AJ51" s="18"/>
      <c r="AK51" s="48"/>
    </row>
    <row r="52" spans="1:39">
      <c r="A52" s="2" t="s">
        <v>0</v>
      </c>
      <c r="C52" s="19">
        <f>SUM(C36:C51)</f>
        <v>124079055.37691358</v>
      </c>
      <c r="E52" s="19">
        <f>SUM(E36:E51)</f>
        <v>-9935377.4829129446</v>
      </c>
      <c r="F52" s="19"/>
      <c r="G52" s="19">
        <f>SUM(G36:G51)</f>
        <v>114143677.89400065</v>
      </c>
      <c r="I52" s="19">
        <f>SUM(I36:I51)</f>
        <v>11766023.040000003</v>
      </c>
      <c r="K52" s="19">
        <f>SUM(K36:K51)</f>
        <v>127808419.34707414</v>
      </c>
      <c r="L52" s="189"/>
      <c r="M52" s="19">
        <f>SUM(M36:M51)</f>
        <v>139574442.38707414</v>
      </c>
      <c r="O52" s="19">
        <f>SUM(O36:O51)</f>
        <v>134005426.36428162</v>
      </c>
      <c r="Q52" s="19">
        <f>SUM(Q36:Q51)</f>
        <v>-10038.395911450498</v>
      </c>
      <c r="R52" s="66"/>
      <c r="S52" s="122">
        <f>SUM(S40:S51)</f>
        <v>9790023.0400000028</v>
      </c>
      <c r="T52" s="122">
        <f>SUM(T40:T51)</f>
        <v>1976000</v>
      </c>
      <c r="U52" s="122">
        <f>SUM(U40:U51)</f>
        <v>11766023.040000003</v>
      </c>
      <c r="V52" s="66"/>
      <c r="W52" s="66"/>
      <c r="X52" s="66"/>
      <c r="Y52" s="66"/>
      <c r="Z52" s="66"/>
      <c r="AA52" s="66"/>
      <c r="AB52" s="66"/>
      <c r="AH52" s="61"/>
      <c r="AI52" s="66"/>
      <c r="AJ52" s="66"/>
      <c r="AK52" s="48"/>
      <c r="AM52" s="55">
        <f>95411/91311</f>
        <v>1.0449014905104532</v>
      </c>
    </row>
    <row r="53" spans="1:39">
      <c r="I53" s="74"/>
      <c r="K53" s="19" t="s">
        <v>1772</v>
      </c>
      <c r="L53" s="189"/>
      <c r="M53" s="19">
        <f>SUM(M39:M49)</f>
        <v>121412788.04837017</v>
      </c>
      <c r="O53" s="19">
        <f>SUM(O39:O49)</f>
        <v>121423069.62428164</v>
      </c>
      <c r="U53" s="61"/>
      <c r="V53" s="61"/>
      <c r="W53" s="61"/>
      <c r="X53" s="180"/>
      <c r="Y53" s="180"/>
      <c r="AH53" s="61"/>
      <c r="AJ53" s="137"/>
      <c r="AK53" s="48"/>
    </row>
    <row r="54" spans="1:39">
      <c r="K54" s="5"/>
      <c r="L54" s="6"/>
      <c r="M54" s="5"/>
      <c r="U54" s="61"/>
      <c r="V54" s="61"/>
      <c r="W54" s="61"/>
      <c r="X54" s="180"/>
      <c r="Y54" s="180"/>
      <c r="AH54" s="61"/>
      <c r="AJ54" s="39"/>
      <c r="AK54" s="48"/>
    </row>
    <row r="55" spans="1:39">
      <c r="A55" s="52" t="s">
        <v>104</v>
      </c>
      <c r="C55" s="1" t="s">
        <v>1585</v>
      </c>
      <c r="L55" s="6"/>
      <c r="AE55" s="61"/>
      <c r="AF55" s="61"/>
      <c r="AG55" s="61"/>
      <c r="AH55" s="61"/>
      <c r="AI55" s="26"/>
      <c r="AJ55" s="39"/>
      <c r="AK55" s="48"/>
    </row>
    <row r="56" spans="1:39">
      <c r="A56" s="52"/>
      <c r="L56" s="6"/>
      <c r="AE56" s="61"/>
      <c r="AF56" s="61"/>
      <c r="AG56" s="61"/>
      <c r="AH56" s="61"/>
      <c r="AI56" s="26"/>
      <c r="AJ56" s="39"/>
      <c r="AK56" s="48"/>
    </row>
    <row r="57" spans="1:39">
      <c r="A57" s="52" t="s">
        <v>36</v>
      </c>
      <c r="C57" s="3" t="s">
        <v>964</v>
      </c>
      <c r="L57" s="6"/>
      <c r="AE57" s="61"/>
      <c r="AF57" s="61"/>
      <c r="AG57" s="61"/>
      <c r="AH57" s="61"/>
      <c r="AI57" s="18"/>
      <c r="AJ57" s="39"/>
      <c r="AK57" s="48"/>
    </row>
    <row r="58" spans="1:39">
      <c r="A58" s="52" t="s">
        <v>38</v>
      </c>
      <c r="C58" s="77" t="s">
        <v>174</v>
      </c>
      <c r="L58" s="6"/>
      <c r="Z58" s="6"/>
      <c r="AB58" s="6"/>
      <c r="AC58" s="6"/>
      <c r="AE58" s="61"/>
      <c r="AF58" s="61"/>
      <c r="AG58" s="61"/>
      <c r="AH58" s="61"/>
      <c r="AI58" s="18"/>
      <c r="AJ58" s="39"/>
      <c r="AK58" s="48"/>
    </row>
    <row r="59" spans="1:39">
      <c r="A59" s="64" t="s">
        <v>40</v>
      </c>
      <c r="C59" s="3" t="s">
        <v>883</v>
      </c>
      <c r="L59" s="6"/>
      <c r="Z59" s="2"/>
      <c r="AB59" s="2"/>
      <c r="AC59" s="2"/>
      <c r="AE59" s="61"/>
      <c r="AF59" s="61"/>
      <c r="AG59" s="61"/>
      <c r="AH59" s="61"/>
      <c r="AI59" s="18"/>
      <c r="AJ59" s="39"/>
      <c r="AK59" s="48"/>
    </row>
    <row r="60" spans="1:39">
      <c r="A60" s="64" t="s">
        <v>42</v>
      </c>
      <c r="C60" s="3" t="s">
        <v>965</v>
      </c>
      <c r="L60" s="6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E60" s="61"/>
      <c r="AF60" s="61"/>
      <c r="AG60" s="61"/>
      <c r="AH60" s="61"/>
      <c r="AI60" s="18"/>
      <c r="AJ60" s="39"/>
      <c r="AK60" s="48"/>
    </row>
    <row r="61" spans="1:39">
      <c r="A61" s="64" t="s">
        <v>30</v>
      </c>
      <c r="C61" s="1" t="s">
        <v>156</v>
      </c>
      <c r="Q61" s="6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E61" s="61"/>
      <c r="AF61" s="61"/>
      <c r="AG61" s="61"/>
      <c r="AH61" s="61"/>
      <c r="AI61" s="18"/>
      <c r="AJ61" s="61"/>
      <c r="AK61" s="61"/>
    </row>
    <row r="62" spans="1:39">
      <c r="A62" s="64" t="s">
        <v>103</v>
      </c>
      <c r="C62" s="78" t="s">
        <v>569</v>
      </c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I62" s="18"/>
    </row>
    <row r="63" spans="1:39">
      <c r="A63" s="64" t="s">
        <v>694</v>
      </c>
      <c r="C63" s="1" t="s">
        <v>570</v>
      </c>
      <c r="AI63" s="18"/>
    </row>
    <row r="64" spans="1:39">
      <c r="A64" s="64" t="s">
        <v>571</v>
      </c>
      <c r="C64" s="3" t="s">
        <v>989</v>
      </c>
      <c r="Q64" s="6"/>
      <c r="R64" s="66"/>
      <c r="S64" s="66"/>
      <c r="T64" s="66"/>
      <c r="U64" s="66"/>
      <c r="V64" s="66"/>
      <c r="W64" s="66"/>
      <c r="X64" s="66"/>
      <c r="Y64" s="66"/>
      <c r="Z64" s="66"/>
      <c r="AA64" s="66"/>
      <c r="AB64" s="66"/>
      <c r="AC64" s="66"/>
      <c r="AI64" s="18"/>
    </row>
    <row r="65" spans="1:35">
      <c r="A65" s="64" t="s">
        <v>599</v>
      </c>
      <c r="C65" s="1" t="s">
        <v>885</v>
      </c>
      <c r="Q65" s="6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I65" s="18"/>
    </row>
    <row r="66" spans="1:35">
      <c r="A66" s="64"/>
      <c r="Q66" s="6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I66" s="18"/>
    </row>
    <row r="67" spans="1:35">
      <c r="A67" s="64"/>
      <c r="C67" s="3"/>
      <c r="Q67" s="6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I67" s="18"/>
    </row>
    <row r="68" spans="1:35">
      <c r="A68" s="64"/>
      <c r="Q68" s="6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I68" s="18"/>
    </row>
    <row r="69" spans="1:35">
      <c r="A69" s="64"/>
      <c r="C69" s="3"/>
      <c r="Q69" s="6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I69" s="18"/>
    </row>
    <row r="70" spans="1:35">
      <c r="A70" s="64"/>
      <c r="Q70" s="6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I70" s="18"/>
    </row>
    <row r="71" spans="1:35">
      <c r="Q71" s="6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</row>
    <row r="72" spans="1:35">
      <c r="Q72" s="6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I72" s="19"/>
    </row>
    <row r="73" spans="1:35">
      <c r="Q73" s="6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</row>
    <row r="74" spans="1:35">
      <c r="Q74" s="2"/>
    </row>
    <row r="75" spans="1:35">
      <c r="Q75" s="2"/>
      <c r="R75" s="66"/>
      <c r="S75" s="66"/>
      <c r="T75" s="66"/>
      <c r="U75" s="66"/>
      <c r="V75" s="66"/>
      <c r="W75" s="66"/>
      <c r="X75" s="66"/>
      <c r="Y75" s="66"/>
      <c r="Z75" s="66"/>
      <c r="AA75" s="66"/>
      <c r="AB75" s="66"/>
      <c r="AC75" s="66"/>
    </row>
  </sheetData>
  <printOptions horizontalCentered="1"/>
  <pageMargins left="0.7" right="0.7" top="0.75" bottom="0.75" header="0.3" footer="0.3"/>
  <pageSetup scale="68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2">
    <tabColor rgb="FFFF0000"/>
    <pageSetUpPr fitToPage="1"/>
  </sheetPr>
  <dimension ref="A1:BP72"/>
  <sheetViews>
    <sheetView topLeftCell="S26" zoomScale="116" zoomScaleNormal="116" workbookViewId="0">
      <selection activeCell="AH37" sqref="AH37:AH38"/>
    </sheetView>
  </sheetViews>
  <sheetFormatPr baseColWidth="10" defaultColWidth="8.7109375" defaultRowHeight="15"/>
  <cols>
    <col min="1" max="1" width="12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2.7109375" style="1" hidden="1" customWidth="1"/>
    <col min="6" max="6" width="1.7109375" style="1" hidden="1" customWidth="1"/>
    <col min="7" max="7" width="12.7109375" style="1" bestFit="1" customWidth="1"/>
    <col min="8" max="8" width="1.7109375" style="1" customWidth="1"/>
    <col min="9" max="9" width="12.7109375" style="1" customWidth="1"/>
    <col min="10" max="12" width="1.7109375" style="1" customWidth="1"/>
    <col min="13" max="13" width="8.7109375" style="1"/>
    <col min="14" max="14" width="1.7109375" style="1" customWidth="1"/>
    <col min="15" max="15" width="12.7109375" style="1" customWidth="1"/>
    <col min="16" max="16" width="1.7109375" style="1" customWidth="1"/>
    <col min="17" max="17" width="12.7109375" style="1" customWidth="1"/>
    <col min="18" max="18" width="1.7109375" style="1" customWidth="1"/>
    <col min="19" max="19" width="12.7109375" style="1" customWidth="1"/>
    <col min="20" max="20" width="1.7109375" style="1" customWidth="1"/>
    <col min="21" max="21" width="12.7109375" style="1" customWidth="1"/>
    <col min="22" max="22" width="1.7109375" style="1" customWidth="1"/>
    <col min="23" max="23" width="12.7109375" style="1" customWidth="1"/>
    <col min="24" max="24" width="1.7109375" style="1" customWidth="1"/>
    <col min="25" max="25" width="12.7109375" style="1" customWidth="1"/>
    <col min="26" max="26" width="1.7109375" style="1" customWidth="1"/>
    <col min="27" max="27" width="12.7109375" style="1" customWidth="1"/>
    <col min="28" max="28" width="1.7109375" style="1" customWidth="1"/>
    <col min="29" max="29" width="12.7109375" style="1" customWidth="1"/>
    <col min="30" max="30" width="1.7109375" style="1" customWidth="1"/>
    <col min="31" max="31" width="12.7109375" style="1" customWidth="1"/>
    <col min="32" max="32" width="1.7109375" style="1" customWidth="1"/>
    <col min="33" max="33" width="12.7109375" style="1" customWidth="1"/>
    <col min="34" max="34" width="12.7109375" style="1" bestFit="1" customWidth="1"/>
    <col min="35" max="61" width="12.7109375" style="1" customWidth="1"/>
    <col min="62" max="62" width="9.5703125" style="1" bestFit="1" customWidth="1"/>
    <col min="63" max="16384" width="8.7109375" style="1"/>
  </cols>
  <sheetData>
    <row r="1" spans="1:61">
      <c r="AH1" s="64" t="s">
        <v>955</v>
      </c>
      <c r="AI1" s="64"/>
    </row>
    <row r="2" spans="1:61">
      <c r="AH2" s="64" t="s">
        <v>967</v>
      </c>
      <c r="AI2" s="64"/>
    </row>
    <row r="4" spans="1:61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</row>
    <row r="5" spans="1:6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135"/>
      <c r="AH5" s="5"/>
      <c r="AI5" s="5"/>
    </row>
    <row r="6" spans="1:61">
      <c r="A6" s="5" t="s">
        <v>624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</row>
    <row r="7" spans="1:61">
      <c r="A7" s="5" t="s">
        <v>625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</row>
    <row r="8" spans="1:61">
      <c r="A8" s="5" t="s">
        <v>77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88"/>
      <c r="AM8" s="25"/>
      <c r="AN8" s="61"/>
    </row>
    <row r="9" spans="1:6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6" t="s">
        <v>562</v>
      </c>
      <c r="AD9" s="5"/>
      <c r="AE9" s="6" t="s">
        <v>562</v>
      </c>
      <c r="AG9" s="6" t="s">
        <v>562</v>
      </c>
      <c r="AH9" s="6" t="s">
        <v>562</v>
      </c>
      <c r="AI9" s="6"/>
      <c r="AJ9" s="25" t="s">
        <v>562</v>
      </c>
      <c r="AM9" s="25"/>
      <c r="AN9" s="25" t="s">
        <v>1674</v>
      </c>
      <c r="AP9" s="25" t="s">
        <v>1677</v>
      </c>
      <c r="AQ9" s="247"/>
      <c r="AT9" s="25"/>
      <c r="AX9" s="74"/>
      <c r="BA9" s="25"/>
    </row>
    <row r="10" spans="1:61">
      <c r="Y10" s="6" t="s">
        <v>562</v>
      </c>
      <c r="AA10" s="6" t="s">
        <v>562</v>
      </c>
      <c r="AC10" s="6" t="s">
        <v>564</v>
      </c>
      <c r="AE10" s="6" t="s">
        <v>564</v>
      </c>
      <c r="AG10" s="6" t="s">
        <v>1</v>
      </c>
      <c r="AH10" s="6" t="s">
        <v>1</v>
      </c>
      <c r="AI10" s="6"/>
      <c r="AJ10" s="61"/>
      <c r="AK10" s="25" t="s">
        <v>564</v>
      </c>
      <c r="AL10" s="61"/>
      <c r="AM10" s="61"/>
      <c r="AN10" s="61" t="s">
        <v>1675</v>
      </c>
      <c r="AO10" s="61"/>
      <c r="AP10" s="25" t="s">
        <v>284</v>
      </c>
      <c r="AQ10" s="25"/>
      <c r="AR10" s="25"/>
      <c r="AS10" s="25"/>
      <c r="AT10" s="25"/>
      <c r="AU10" s="61"/>
      <c r="AV10" s="61"/>
      <c r="AW10" s="61"/>
      <c r="AX10" s="25"/>
      <c r="AY10" s="25"/>
      <c r="AZ10" s="25"/>
      <c r="BA10" s="25"/>
      <c r="BB10" s="6"/>
      <c r="BC10" s="6"/>
      <c r="BI10" s="6"/>
    </row>
    <row r="11" spans="1:61">
      <c r="C11" s="6"/>
      <c r="E11" s="6"/>
      <c r="G11" s="1" t="s">
        <v>614</v>
      </c>
      <c r="I11" s="6" t="s">
        <v>562</v>
      </c>
      <c r="M11" s="2" t="s">
        <v>7</v>
      </c>
      <c r="N11" s="2"/>
      <c r="O11" s="2" t="s">
        <v>7</v>
      </c>
      <c r="Q11" s="6" t="s">
        <v>1367</v>
      </c>
      <c r="S11" s="1" t="s">
        <v>614</v>
      </c>
      <c r="U11" s="6" t="s">
        <v>1367</v>
      </c>
      <c r="W11" s="1" t="s">
        <v>614</v>
      </c>
      <c r="Y11" s="2" t="s">
        <v>14</v>
      </c>
      <c r="Z11" s="2"/>
      <c r="AA11" s="2" t="s">
        <v>12</v>
      </c>
      <c r="AC11" s="2" t="s">
        <v>1</v>
      </c>
      <c r="AE11" s="2" t="s">
        <v>7</v>
      </c>
      <c r="AG11" s="2" t="s">
        <v>7</v>
      </c>
      <c r="AH11" s="2" t="s">
        <v>7</v>
      </c>
      <c r="AI11" s="2"/>
      <c r="AJ11" s="61"/>
      <c r="AK11" s="97" t="s">
        <v>7</v>
      </c>
      <c r="AL11" s="285" t="s">
        <v>1492</v>
      </c>
      <c r="AM11" s="97" t="s">
        <v>284</v>
      </c>
      <c r="AN11" s="25" t="s">
        <v>1308</v>
      </c>
      <c r="AO11" s="285" t="s">
        <v>1308</v>
      </c>
      <c r="AP11" s="285" t="s">
        <v>109</v>
      </c>
      <c r="AQ11" s="285"/>
      <c r="AR11" s="285"/>
      <c r="AS11" s="25"/>
      <c r="AT11" s="25"/>
      <c r="AU11" s="25"/>
      <c r="AV11" s="25"/>
      <c r="AW11" s="61"/>
      <c r="AX11" s="285"/>
      <c r="AY11" s="285"/>
      <c r="AZ11" s="25"/>
      <c r="BA11" s="25"/>
      <c r="BB11" s="6"/>
      <c r="BC11" s="6"/>
      <c r="BI11" s="2"/>
    </row>
    <row r="12" spans="1:61">
      <c r="A12" s="2" t="s">
        <v>203</v>
      </c>
      <c r="C12" s="2" t="s">
        <v>177</v>
      </c>
      <c r="D12" s="2"/>
      <c r="E12" s="2"/>
      <c r="F12" s="2"/>
      <c r="G12" s="2" t="s">
        <v>177</v>
      </c>
      <c r="I12" s="2" t="s">
        <v>177</v>
      </c>
      <c r="L12" s="2"/>
      <c r="M12" s="2" t="s">
        <v>62</v>
      </c>
      <c r="N12" s="2"/>
      <c r="O12" s="2" t="s">
        <v>62</v>
      </c>
      <c r="Q12" s="2" t="s">
        <v>14</v>
      </c>
      <c r="R12" s="2"/>
      <c r="S12" s="2" t="s">
        <v>14</v>
      </c>
      <c r="T12" s="2"/>
      <c r="U12" s="2" t="s">
        <v>12</v>
      </c>
      <c r="V12" s="2"/>
      <c r="W12" s="2" t="s">
        <v>12</v>
      </c>
      <c r="Y12" s="2" t="s">
        <v>67</v>
      </c>
      <c r="Z12" s="2"/>
      <c r="AA12" s="2" t="s">
        <v>67</v>
      </c>
      <c r="AC12" s="2" t="s">
        <v>67</v>
      </c>
      <c r="AE12" s="2" t="s">
        <v>284</v>
      </c>
      <c r="AG12" s="2" t="s">
        <v>284</v>
      </c>
      <c r="AH12" s="2" t="s">
        <v>67</v>
      </c>
      <c r="AI12" s="2"/>
      <c r="AJ12" s="61"/>
      <c r="AK12" s="97" t="s">
        <v>284</v>
      </c>
      <c r="AL12" s="398" t="s">
        <v>1359</v>
      </c>
      <c r="AM12" s="25" t="s">
        <v>1365</v>
      </c>
      <c r="AN12" s="25" t="s">
        <v>1671</v>
      </c>
      <c r="AO12" s="398" t="s">
        <v>1395</v>
      </c>
      <c r="AP12" s="398" t="s">
        <v>1395</v>
      </c>
      <c r="AQ12" s="398"/>
      <c r="AR12" s="206"/>
      <c r="AS12" s="206"/>
      <c r="AT12" s="206"/>
      <c r="AU12" s="206"/>
      <c r="AV12" s="61"/>
      <c r="AW12" s="61"/>
      <c r="AX12" s="61"/>
      <c r="AY12" s="61"/>
      <c r="AZ12" s="61"/>
      <c r="BA12" s="61"/>
      <c r="BB12" s="2"/>
      <c r="BC12" s="2"/>
      <c r="BD12" s="2"/>
      <c r="BE12" s="2"/>
      <c r="BF12" s="2"/>
      <c r="BG12" s="2"/>
      <c r="BH12" s="2"/>
      <c r="BI12" s="2"/>
    </row>
    <row r="13" spans="1:61">
      <c r="A13" s="2" t="s">
        <v>4</v>
      </c>
      <c r="C13" s="2" t="s">
        <v>16</v>
      </c>
      <c r="D13" s="2"/>
      <c r="E13" s="2"/>
      <c r="F13" s="2"/>
      <c r="G13" s="2" t="s">
        <v>16</v>
      </c>
      <c r="I13" s="2" t="s">
        <v>16</v>
      </c>
      <c r="L13" s="2"/>
      <c r="M13" s="2" t="s">
        <v>14</v>
      </c>
      <c r="N13" s="2"/>
      <c r="O13" s="2" t="s">
        <v>12</v>
      </c>
      <c r="Q13" s="2" t="s">
        <v>55</v>
      </c>
      <c r="R13" s="2"/>
      <c r="S13" s="2" t="s">
        <v>55</v>
      </c>
      <c r="T13" s="2"/>
      <c r="U13" s="2" t="s">
        <v>55</v>
      </c>
      <c r="V13" s="2"/>
      <c r="W13" s="2" t="s">
        <v>55</v>
      </c>
      <c r="Y13" s="2" t="s">
        <v>55</v>
      </c>
      <c r="Z13" s="2"/>
      <c r="AA13" s="2" t="s">
        <v>55</v>
      </c>
      <c r="AC13" s="2" t="s">
        <v>55</v>
      </c>
      <c r="AE13" s="2" t="s">
        <v>109</v>
      </c>
      <c r="AG13" s="2" t="s">
        <v>109</v>
      </c>
      <c r="AH13" s="2" t="s">
        <v>55</v>
      </c>
      <c r="AI13" s="2"/>
      <c r="AJ13" s="25" t="s">
        <v>4</v>
      </c>
      <c r="AK13" s="97" t="s">
        <v>109</v>
      </c>
      <c r="AL13" s="25" t="s">
        <v>1360</v>
      </c>
      <c r="AM13" s="399">
        <v>0.02</v>
      </c>
      <c r="AN13" s="25" t="s">
        <v>1672</v>
      </c>
      <c r="AO13" s="25" t="s">
        <v>1370</v>
      </c>
      <c r="AP13" s="25" t="s">
        <v>1370</v>
      </c>
      <c r="AQ13" s="25"/>
      <c r="AR13" s="206"/>
      <c r="AS13" s="206"/>
      <c r="AT13" s="206"/>
      <c r="AU13" s="206"/>
      <c r="AV13" s="61"/>
      <c r="AW13" s="61"/>
      <c r="AX13" s="61"/>
      <c r="AY13" s="61"/>
      <c r="AZ13" s="61"/>
      <c r="BA13" s="61"/>
      <c r="BB13" s="6"/>
      <c r="BC13" s="6"/>
      <c r="BD13" s="2"/>
      <c r="BE13" s="2"/>
      <c r="BF13" s="2"/>
      <c r="BG13" s="2"/>
      <c r="BH13" s="2"/>
      <c r="BI13" s="2"/>
    </row>
    <row r="14" spans="1:61">
      <c r="A14" s="10">
        <v>-1</v>
      </c>
      <c r="C14" s="10">
        <f>A14-1</f>
        <v>-2</v>
      </c>
      <c r="D14" s="11"/>
      <c r="E14" s="10"/>
      <c r="F14" s="11"/>
      <c r="G14" s="10">
        <f>C14-1</f>
        <v>-3</v>
      </c>
      <c r="H14" s="11"/>
      <c r="I14" s="10">
        <f>G14-1</f>
        <v>-4</v>
      </c>
      <c r="J14" s="11"/>
      <c r="L14" s="11"/>
      <c r="M14" s="10">
        <f>I14-1</f>
        <v>-5</v>
      </c>
      <c r="N14" s="11"/>
      <c r="O14" s="10">
        <f>M14-1</f>
        <v>-6</v>
      </c>
      <c r="P14" s="11"/>
      <c r="Q14" s="10">
        <f>O14-1</f>
        <v>-7</v>
      </c>
      <c r="R14" s="10"/>
      <c r="S14" s="10">
        <f>Q14-1</f>
        <v>-8</v>
      </c>
      <c r="U14" s="10">
        <f>S14-1</f>
        <v>-9</v>
      </c>
      <c r="V14" s="11"/>
      <c r="W14" s="10">
        <f>U14-1</f>
        <v>-10</v>
      </c>
      <c r="X14" s="11"/>
      <c r="Y14" s="10">
        <f>W14-1</f>
        <v>-11</v>
      </c>
      <c r="Z14" s="11"/>
      <c r="AA14" s="10">
        <f>Y14-1</f>
        <v>-12</v>
      </c>
      <c r="AB14" s="11"/>
      <c r="AC14" s="10">
        <f>AA14-1</f>
        <v>-13</v>
      </c>
      <c r="AE14" s="10">
        <f>AC14-1</f>
        <v>-14</v>
      </c>
      <c r="AG14" s="10">
        <f>AE14-1</f>
        <v>-15</v>
      </c>
      <c r="AH14" s="10">
        <f>AG14-1</f>
        <v>-16</v>
      </c>
      <c r="AI14" s="11"/>
      <c r="AJ14" s="143">
        <f>AH14-1</f>
        <v>-17</v>
      </c>
      <c r="AK14" s="143">
        <f t="shared" ref="AK14:AP14" si="0">AJ14-1</f>
        <v>-18</v>
      </c>
      <c r="AL14" s="143">
        <f t="shared" si="0"/>
        <v>-19</v>
      </c>
      <c r="AM14" s="143">
        <f t="shared" si="0"/>
        <v>-20</v>
      </c>
      <c r="AN14" s="143">
        <f t="shared" si="0"/>
        <v>-21</v>
      </c>
      <c r="AO14" s="143">
        <f t="shared" si="0"/>
        <v>-22</v>
      </c>
      <c r="AP14" s="143">
        <f t="shared" si="0"/>
        <v>-23</v>
      </c>
      <c r="AQ14" s="143"/>
      <c r="AR14" s="206"/>
      <c r="AS14" s="206"/>
      <c r="AT14" s="206"/>
      <c r="AU14" s="206"/>
      <c r="AV14" s="61"/>
      <c r="AW14" s="61"/>
      <c r="AX14" s="61"/>
      <c r="AY14" s="61"/>
      <c r="AZ14" s="61"/>
      <c r="BA14" s="61"/>
    </row>
    <row r="15" spans="1:61">
      <c r="AJ15" s="61"/>
      <c r="AK15" s="61"/>
      <c r="AL15" s="61"/>
      <c r="AM15" s="61"/>
      <c r="AN15" s="61"/>
      <c r="AO15" s="61"/>
      <c r="AP15" s="61"/>
      <c r="AQ15" s="206"/>
      <c r="AR15" s="206"/>
      <c r="AS15" s="206"/>
      <c r="AT15" s="206"/>
      <c r="AU15" s="206"/>
      <c r="AV15" s="61"/>
      <c r="AW15" s="61"/>
      <c r="AX15" s="61"/>
      <c r="AY15" s="61"/>
      <c r="AZ15" s="61"/>
      <c r="BA15" s="61"/>
    </row>
    <row r="16" spans="1:61" ht="16">
      <c r="A16" s="175" t="s">
        <v>160</v>
      </c>
      <c r="AJ16" s="61"/>
      <c r="AK16" s="61"/>
      <c r="AL16" s="61"/>
      <c r="AM16" s="61"/>
      <c r="AN16" s="61"/>
      <c r="AO16" s="61"/>
      <c r="AP16" s="61"/>
      <c r="AQ16" s="61"/>
      <c r="AR16" s="61"/>
      <c r="AS16" s="61"/>
      <c r="AT16" s="61"/>
      <c r="AU16" s="61"/>
      <c r="AV16" s="61"/>
      <c r="AW16" s="61"/>
      <c r="AX16" s="61"/>
      <c r="AY16" s="61"/>
      <c r="AZ16" s="61"/>
      <c r="BA16" s="61"/>
      <c r="BE16" s="31"/>
      <c r="BF16" s="32"/>
    </row>
    <row r="17" spans="1:61">
      <c r="A17" s="6">
        <v>2008</v>
      </c>
      <c r="C17" s="497">
        <f>'Exhibit U,5'!V17</f>
        <v>0</v>
      </c>
      <c r="D17" s="147"/>
      <c r="E17" s="147"/>
      <c r="F17" s="147"/>
      <c r="G17" s="147">
        <f>'Exhibit U,5'!AF17</f>
        <v>0</v>
      </c>
      <c r="H17" s="147"/>
      <c r="I17" s="497">
        <f>C17-G17</f>
        <v>0</v>
      </c>
      <c r="L17" s="26"/>
      <c r="M17" s="74">
        <f>'Exhibit U,5'!E17</f>
        <v>1</v>
      </c>
      <c r="N17" s="74"/>
      <c r="O17" s="74">
        <f>'Exhibit U,6'!E17</f>
        <v>1</v>
      </c>
      <c r="P17" s="26"/>
      <c r="Q17" s="147">
        <f>'Exhibit U,5'!AB17</f>
        <v>577451.15</v>
      </c>
      <c r="R17" s="147"/>
      <c r="S17" s="147">
        <f>'Exhibit U,5'!AG17</f>
        <v>0</v>
      </c>
      <c r="T17" s="147"/>
      <c r="U17" s="147">
        <f>'Exhibit U,5'!AC17</f>
        <v>577451.15</v>
      </c>
      <c r="V17" s="147"/>
      <c r="W17" s="147">
        <f>'Exhibit U,5'!AH17</f>
        <v>0</v>
      </c>
      <c r="X17" s="147"/>
      <c r="Y17" s="147">
        <f>(Q17-S17)/M17</f>
        <v>577451.15</v>
      </c>
      <c r="Z17" s="147"/>
      <c r="AA17" s="147">
        <f>(U17-W17)/O17</f>
        <v>577451.15</v>
      </c>
      <c r="AB17" s="147"/>
      <c r="AC17" s="147">
        <f>AA17</f>
        <v>577451.15</v>
      </c>
      <c r="AE17" s="73">
        <f>IF(I17=0,0,AC17/I17)</f>
        <v>0</v>
      </c>
      <c r="AG17" s="73">
        <f>AE17</f>
        <v>0</v>
      </c>
      <c r="AH17" s="147">
        <f>AC17</f>
        <v>577451.15</v>
      </c>
      <c r="AI17" s="147"/>
      <c r="AJ17" s="61">
        <v>2008</v>
      </c>
      <c r="AK17" s="74"/>
      <c r="AL17" s="259"/>
      <c r="AM17" s="259"/>
      <c r="AN17" s="259"/>
      <c r="AO17" s="61"/>
      <c r="AP17" s="61"/>
      <c r="AQ17" s="61"/>
      <c r="AR17" s="221"/>
      <c r="AS17" s="206"/>
      <c r="AU17" s="61"/>
      <c r="AV17" s="61"/>
      <c r="AW17" s="61"/>
      <c r="AX17" s="61"/>
      <c r="AY17" s="221"/>
      <c r="AZ17" s="206"/>
      <c r="BB17" s="214"/>
      <c r="BC17" s="215"/>
      <c r="BD17" s="215"/>
      <c r="BE17" s="215"/>
      <c r="BF17" s="215"/>
      <c r="BG17" s="215"/>
      <c r="BH17" s="181"/>
      <c r="BI17" s="66"/>
    </row>
    <row r="18" spans="1:61">
      <c r="A18" s="6">
        <f>A17+1</f>
        <v>2009</v>
      </c>
      <c r="C18" s="494">
        <f>'Exhibit U,5'!V18</f>
        <v>0</v>
      </c>
      <c r="D18" s="187"/>
      <c r="E18" s="187"/>
      <c r="F18" s="187"/>
      <c r="G18" s="494">
        <f>'Exhibit U,5'!AF18</f>
        <v>0</v>
      </c>
      <c r="H18" s="187"/>
      <c r="I18" s="494">
        <f t="shared" ref="I18:I31" si="1">C18-G18</f>
        <v>0</v>
      </c>
      <c r="L18" s="18"/>
      <c r="M18" s="74">
        <f>'Exhibit U,5'!E18</f>
        <v>1</v>
      </c>
      <c r="N18" s="74"/>
      <c r="O18" s="74">
        <f>'Exhibit U,6'!E18</f>
        <v>1</v>
      </c>
      <c r="P18" s="18"/>
      <c r="Q18" s="494">
        <f>'Exhibit U,5'!AB18</f>
        <v>28875.5</v>
      </c>
      <c r="R18" s="494"/>
      <c r="S18" s="494">
        <f>'Exhibit U,5'!AG18</f>
        <v>0</v>
      </c>
      <c r="T18" s="494"/>
      <c r="U18" s="494">
        <f>'Exhibit U,5'!AC18</f>
        <v>28875.5</v>
      </c>
      <c r="V18" s="494"/>
      <c r="W18" s="494">
        <f>'Exhibit U,5'!AH18</f>
        <v>0</v>
      </c>
      <c r="X18" s="187"/>
      <c r="Y18" s="494">
        <f t="shared" ref="Y18:Y25" si="2">(Q18-S18)/M18</f>
        <v>28875.5</v>
      </c>
      <c r="Z18" s="494"/>
      <c r="AA18" s="494">
        <f t="shared" ref="AA18:AA25" si="3">(U18-W18)/O18</f>
        <v>28875.5</v>
      </c>
      <c r="AB18" s="494"/>
      <c r="AC18" s="494">
        <f t="shared" ref="AC18:AC31" si="4">AA18</f>
        <v>28875.5</v>
      </c>
      <c r="AD18" s="20"/>
      <c r="AE18" s="73">
        <f t="shared" ref="AE18:AE31" si="5">IF(I18=0,0,AC18/I18)</f>
        <v>0</v>
      </c>
      <c r="AG18" s="73">
        <f t="shared" ref="AG18:AG25" si="6">AE18</f>
        <v>0</v>
      </c>
      <c r="AH18" s="17">
        <f t="shared" ref="AH18:AH19" si="7">AC18</f>
        <v>28875.5</v>
      </c>
      <c r="AI18" s="501"/>
      <c r="AJ18" s="61">
        <f>AJ17+1</f>
        <v>2009</v>
      </c>
      <c r="AL18" s="259"/>
      <c r="AM18" s="259"/>
      <c r="AN18" s="259"/>
      <c r="AO18" s="61"/>
      <c r="AP18" s="61"/>
      <c r="AQ18" s="61"/>
      <c r="AR18" s="221"/>
      <c r="AS18" s="206"/>
      <c r="AU18" s="61"/>
      <c r="AV18" s="61"/>
      <c r="AW18" s="61"/>
      <c r="AX18" s="61"/>
      <c r="AY18" s="221"/>
      <c r="AZ18" s="206"/>
      <c r="BB18" s="20"/>
      <c r="BC18" s="182"/>
      <c r="BD18" s="182"/>
      <c r="BE18" s="182"/>
      <c r="BF18" s="182"/>
      <c r="BG18" s="182"/>
      <c r="BH18" s="182"/>
      <c r="BI18" s="20"/>
    </row>
    <row r="19" spans="1:61">
      <c r="A19" s="6">
        <f t="shared" ref="A19:A31" si="8">A18+1</f>
        <v>2010</v>
      </c>
      <c r="C19" s="494">
        <f>'Exhibit U,5'!V19</f>
        <v>0</v>
      </c>
      <c r="D19" s="187"/>
      <c r="E19" s="187"/>
      <c r="F19" s="187"/>
      <c r="G19" s="494">
        <f>'Exhibit U,5'!AF19</f>
        <v>0</v>
      </c>
      <c r="H19" s="187"/>
      <c r="I19" s="494">
        <f t="shared" si="1"/>
        <v>0</v>
      </c>
      <c r="L19" s="18"/>
      <c r="M19" s="74">
        <f>'Exhibit U,5'!E19</f>
        <v>1</v>
      </c>
      <c r="N19" s="74"/>
      <c r="O19" s="74">
        <f>'Exhibit U,6'!E19</f>
        <v>1</v>
      </c>
      <c r="P19" s="18"/>
      <c r="Q19" s="494">
        <f>'Exhibit U,5'!AB19</f>
        <v>1056390.7999999998</v>
      </c>
      <c r="R19" s="494"/>
      <c r="S19" s="494">
        <f>'Exhibit U,5'!AG19</f>
        <v>0</v>
      </c>
      <c r="T19" s="494"/>
      <c r="U19" s="494">
        <f>'Exhibit U,5'!AC19</f>
        <v>1056390.7999999998</v>
      </c>
      <c r="V19" s="494"/>
      <c r="W19" s="494">
        <f>'Exhibit U,5'!AH19</f>
        <v>0</v>
      </c>
      <c r="X19" s="187"/>
      <c r="Y19" s="494">
        <f t="shared" si="2"/>
        <v>1056390.7999999998</v>
      </c>
      <c r="Z19" s="494"/>
      <c r="AA19" s="494">
        <f t="shared" si="3"/>
        <v>1056390.7999999998</v>
      </c>
      <c r="AB19" s="494"/>
      <c r="AC19" s="494">
        <f t="shared" si="4"/>
        <v>1056390.7999999998</v>
      </c>
      <c r="AD19" s="20"/>
      <c r="AE19" s="73">
        <f t="shared" si="5"/>
        <v>0</v>
      </c>
      <c r="AG19" s="73">
        <f t="shared" si="6"/>
        <v>0</v>
      </c>
      <c r="AH19" s="17">
        <f t="shared" si="7"/>
        <v>1056390.7999999998</v>
      </c>
      <c r="AI19" s="501"/>
      <c r="AJ19" s="61">
        <f t="shared" ref="AJ19:AJ31" si="9">AJ18+1</f>
        <v>2010</v>
      </c>
      <c r="AL19" s="259"/>
      <c r="AM19" s="259"/>
      <c r="AN19" s="259"/>
      <c r="AO19" s="61"/>
      <c r="AP19" s="61"/>
      <c r="AQ19" s="61"/>
      <c r="AR19" s="221"/>
      <c r="AS19" s="206"/>
      <c r="AU19" s="61"/>
      <c r="AV19" s="61"/>
      <c r="AW19" s="61"/>
      <c r="AX19" s="61"/>
      <c r="AY19" s="221"/>
      <c r="AZ19" s="206"/>
      <c r="BB19" s="20"/>
      <c r="BC19" s="182"/>
      <c r="BD19" s="182"/>
      <c r="BE19" s="182"/>
      <c r="BF19" s="182"/>
      <c r="BG19" s="182"/>
      <c r="BH19" s="182"/>
      <c r="BI19" s="20"/>
    </row>
    <row r="20" spans="1:61">
      <c r="A20" s="6">
        <f t="shared" si="8"/>
        <v>2011</v>
      </c>
      <c r="C20" s="494">
        <f>'Exhibit U,5'!V20</f>
        <v>2347564.830000001</v>
      </c>
      <c r="D20" s="187"/>
      <c r="E20" s="187"/>
      <c r="F20" s="187"/>
      <c r="G20" s="494">
        <f>'Exhibit U,5'!AF20</f>
        <v>0</v>
      </c>
      <c r="H20" s="187"/>
      <c r="I20" s="494">
        <f t="shared" si="1"/>
        <v>2347564.830000001</v>
      </c>
      <c r="L20" s="18"/>
      <c r="M20" s="74">
        <f>'Exhibit U,5'!E20</f>
        <v>1</v>
      </c>
      <c r="N20" s="74"/>
      <c r="O20" s="74">
        <f>'Exhibit U,6'!E20</f>
        <v>1</v>
      </c>
      <c r="P20" s="18"/>
      <c r="Q20" s="494">
        <f>'Exhibit U,5'!AB20</f>
        <v>640869.17000000004</v>
      </c>
      <c r="R20" s="494"/>
      <c r="S20" s="494">
        <f>'Exhibit U,5'!AG20</f>
        <v>10337.04999999993</v>
      </c>
      <c r="T20" s="494"/>
      <c r="U20" s="494">
        <f>'Exhibit U,5'!AC20</f>
        <v>640869.17000000004</v>
      </c>
      <c r="V20" s="494"/>
      <c r="W20" s="494">
        <f>'Exhibit U,5'!AH20</f>
        <v>10337.04999999993</v>
      </c>
      <c r="X20" s="187"/>
      <c r="Y20" s="494">
        <f t="shared" si="2"/>
        <v>630532.12000000011</v>
      </c>
      <c r="Z20" s="494"/>
      <c r="AA20" s="494">
        <f t="shared" si="3"/>
        <v>630532.12000000011</v>
      </c>
      <c r="AB20" s="494"/>
      <c r="AC20" s="494">
        <f t="shared" si="4"/>
        <v>630532.12000000011</v>
      </c>
      <c r="AD20" s="20"/>
      <c r="AE20" s="73">
        <f t="shared" si="5"/>
        <v>0.2685898646726616</v>
      </c>
      <c r="AG20" s="73">
        <f t="shared" si="6"/>
        <v>0.2685898646726616</v>
      </c>
      <c r="AH20" s="501">
        <f t="shared" ref="AH20:AH31" si="10">I20*AG20</f>
        <v>630532.12000000011</v>
      </c>
      <c r="AI20" s="501"/>
      <c r="AJ20" s="61">
        <f t="shared" si="9"/>
        <v>2011</v>
      </c>
      <c r="AL20" s="259"/>
      <c r="AM20" s="259"/>
      <c r="AN20" s="259"/>
      <c r="AO20" s="61"/>
      <c r="AP20" s="61"/>
      <c r="AQ20" s="61"/>
      <c r="AR20" s="221"/>
      <c r="AS20" s="206"/>
      <c r="AU20" s="61"/>
      <c r="AV20" s="61"/>
      <c r="AW20" s="61"/>
      <c r="AX20" s="61"/>
      <c r="AY20" s="221"/>
      <c r="AZ20" s="206"/>
      <c r="BB20" s="20"/>
      <c r="BC20" s="182"/>
      <c r="BD20" s="182"/>
      <c r="BE20" s="182"/>
      <c r="BF20" s="182"/>
      <c r="BG20" s="182"/>
      <c r="BH20" s="182"/>
      <c r="BI20" s="20"/>
    </row>
    <row r="21" spans="1:61">
      <c r="A21" s="6">
        <f t="shared" si="8"/>
        <v>2012</v>
      </c>
      <c r="C21" s="494">
        <f>'Exhibit U,5'!V21</f>
        <v>2872338.1099999971</v>
      </c>
      <c r="D21" s="187"/>
      <c r="E21" s="187"/>
      <c r="F21" s="187"/>
      <c r="G21" s="494">
        <f>'Exhibit U,5'!AF21</f>
        <v>248497.27000000002</v>
      </c>
      <c r="H21" s="187"/>
      <c r="I21" s="494">
        <f t="shared" si="1"/>
        <v>2623840.8399999971</v>
      </c>
      <c r="L21" s="18"/>
      <c r="M21" s="74">
        <f>'Exhibit U,5'!E21</f>
        <v>1</v>
      </c>
      <c r="N21" s="74"/>
      <c r="O21" s="74">
        <f>'Exhibit U,6'!E21</f>
        <v>1</v>
      </c>
      <c r="P21" s="18"/>
      <c r="Q21" s="494">
        <f>'Exhibit U,5'!AB21</f>
        <v>4744399.03</v>
      </c>
      <c r="R21" s="494"/>
      <c r="S21" s="494">
        <f>'Exhibit U,5'!AG21</f>
        <v>1240857.4300000002</v>
      </c>
      <c r="T21" s="494"/>
      <c r="U21" s="494">
        <f>'Exhibit U,5'!AC21</f>
        <v>4744399.03</v>
      </c>
      <c r="V21" s="494"/>
      <c r="W21" s="494">
        <f>'Exhibit U,5'!AH21</f>
        <v>1240857.4300000002</v>
      </c>
      <c r="X21" s="187"/>
      <c r="Y21" s="494">
        <f t="shared" si="2"/>
        <v>3503541.6</v>
      </c>
      <c r="Z21" s="494"/>
      <c r="AA21" s="494">
        <f t="shared" si="3"/>
        <v>3503541.6</v>
      </c>
      <c r="AB21" s="494"/>
      <c r="AC21" s="494">
        <f t="shared" si="4"/>
        <v>3503541.6</v>
      </c>
      <c r="AD21" s="20"/>
      <c r="AE21" s="73">
        <f t="shared" si="5"/>
        <v>1.3352721501202047</v>
      </c>
      <c r="AG21" s="73">
        <f t="shared" si="6"/>
        <v>1.3352721501202047</v>
      </c>
      <c r="AH21" s="501">
        <f t="shared" si="10"/>
        <v>3503541.6</v>
      </c>
      <c r="AI21" s="501"/>
      <c r="AJ21" s="61">
        <f t="shared" si="9"/>
        <v>2012</v>
      </c>
      <c r="AL21" s="437"/>
      <c r="AM21" s="259"/>
      <c r="AN21" s="259"/>
      <c r="AO21" s="61"/>
      <c r="AP21" s="61"/>
      <c r="AQ21" s="61"/>
      <c r="AR21" s="221"/>
      <c r="AS21" s="206"/>
      <c r="AW21" s="61"/>
      <c r="AX21" s="61"/>
      <c r="AY21" s="221"/>
      <c r="AZ21" s="206"/>
      <c r="BB21" s="182"/>
      <c r="BC21" s="182"/>
      <c r="BD21" s="182"/>
      <c r="BE21" s="182"/>
      <c r="BF21" s="182"/>
      <c r="BG21" s="182"/>
      <c r="BH21" s="182"/>
      <c r="BI21" s="20"/>
    </row>
    <row r="22" spans="1:61">
      <c r="A22" s="6">
        <f t="shared" si="8"/>
        <v>2013</v>
      </c>
      <c r="C22" s="494">
        <f>'Exhibit U,5'!V22</f>
        <v>2483025.370000002</v>
      </c>
      <c r="D22" s="187"/>
      <c r="E22" s="187"/>
      <c r="F22" s="187"/>
      <c r="G22" s="494">
        <f>'Exhibit U,5'!AF22</f>
        <v>441571.22</v>
      </c>
      <c r="H22" s="187"/>
      <c r="I22" s="494">
        <f t="shared" si="1"/>
        <v>2041454.150000002</v>
      </c>
      <c r="L22" s="18"/>
      <c r="M22" s="74">
        <f>'Exhibit U,5'!E22</f>
        <v>1</v>
      </c>
      <c r="N22" s="74"/>
      <c r="O22" s="74">
        <f>'Exhibit U,6'!E22</f>
        <v>1</v>
      </c>
      <c r="P22" s="18"/>
      <c r="Q22" s="494">
        <f>'Exhibit U,5'!AB22</f>
        <v>714842.25</v>
      </c>
      <c r="R22" s="494"/>
      <c r="S22" s="494">
        <f>'Exhibit U,5'!AG22</f>
        <v>464744.67</v>
      </c>
      <c r="T22" s="494"/>
      <c r="U22" s="494">
        <f>'Exhibit U,5'!AC22</f>
        <v>714842.25</v>
      </c>
      <c r="V22" s="494"/>
      <c r="W22" s="494">
        <f>'Exhibit U,5'!AH22</f>
        <v>464744.67</v>
      </c>
      <c r="X22" s="187"/>
      <c r="Y22" s="494">
        <f t="shared" si="2"/>
        <v>250097.58000000002</v>
      </c>
      <c r="Z22" s="494"/>
      <c r="AA22" s="494">
        <f t="shared" si="3"/>
        <v>250097.58000000002</v>
      </c>
      <c r="AB22" s="494"/>
      <c r="AC22" s="494">
        <f t="shared" si="4"/>
        <v>250097.58000000002</v>
      </c>
      <c r="AD22" s="20"/>
      <c r="AE22" s="73">
        <f t="shared" si="5"/>
        <v>0.12250952586909668</v>
      </c>
      <c r="AG22" s="73">
        <f t="shared" si="6"/>
        <v>0.12250952586909668</v>
      </c>
      <c r="AH22" s="501">
        <f t="shared" si="10"/>
        <v>250097.58000000002</v>
      </c>
      <c r="AI22" s="501"/>
      <c r="AJ22" s="61">
        <f t="shared" si="9"/>
        <v>2013</v>
      </c>
      <c r="AK22" s="149">
        <f>AE34</f>
        <v>0.7574353036146908</v>
      </c>
      <c r="AL22" s="437">
        <v>1</v>
      </c>
      <c r="AM22" s="431">
        <v>1</v>
      </c>
      <c r="AN22" s="400"/>
      <c r="AO22" s="61"/>
      <c r="AP22" s="61"/>
      <c r="AQ22" s="61"/>
      <c r="AR22" s="221"/>
      <c r="AS22" s="206"/>
      <c r="AW22" s="61"/>
      <c r="AX22" s="61"/>
      <c r="AY22" s="221"/>
      <c r="AZ22" s="206"/>
      <c r="BB22" s="368"/>
      <c r="BD22" s="182"/>
      <c r="BE22" s="182"/>
      <c r="BF22" s="182"/>
      <c r="BG22" s="182"/>
      <c r="BH22" s="182"/>
      <c r="BI22" s="20"/>
    </row>
    <row r="23" spans="1:61">
      <c r="A23" s="6">
        <f t="shared" si="8"/>
        <v>2014</v>
      </c>
      <c r="C23" s="494">
        <f>'Exhibit U,5'!V23</f>
        <v>3591317.23</v>
      </c>
      <c r="D23" s="187"/>
      <c r="E23" s="187"/>
      <c r="F23" s="187"/>
      <c r="G23" s="494">
        <f>'Exhibit U,5'!AF23</f>
        <v>240946.86</v>
      </c>
      <c r="H23" s="187"/>
      <c r="I23" s="494">
        <f t="shared" si="1"/>
        <v>3350370.37</v>
      </c>
      <c r="L23" s="18"/>
      <c r="M23" s="74">
        <f>'Exhibit U,5'!E23</f>
        <v>0.99977106227106227</v>
      </c>
      <c r="N23" s="74"/>
      <c r="O23" s="74">
        <f>'Exhibit U,6'!E23</f>
        <v>1</v>
      </c>
      <c r="P23" s="18"/>
      <c r="Q23" s="494">
        <f>'Exhibit U,5'!AB23</f>
        <v>3172203.93</v>
      </c>
      <c r="R23" s="494"/>
      <c r="S23" s="494">
        <f>'Exhibit U,5'!AG23</f>
        <v>108138.22999999998</v>
      </c>
      <c r="T23" s="494"/>
      <c r="U23" s="494">
        <f>'Exhibit U,5'!AC23</f>
        <v>3172203.93</v>
      </c>
      <c r="V23" s="494"/>
      <c r="W23" s="494">
        <f>'Exhibit U,5'!AH23</f>
        <v>108138.22999999998</v>
      </c>
      <c r="X23" s="187"/>
      <c r="Y23" s="494">
        <f t="shared" si="2"/>
        <v>3064767.3408747427</v>
      </c>
      <c r="Z23" s="494"/>
      <c r="AA23" s="494">
        <f t="shared" si="3"/>
        <v>3064065.7</v>
      </c>
      <c r="AB23" s="494"/>
      <c r="AC23" s="494">
        <f t="shared" si="4"/>
        <v>3064065.7</v>
      </c>
      <c r="AD23" s="20"/>
      <c r="AE23" s="73">
        <f t="shared" si="5"/>
        <v>0.91454536711414391</v>
      </c>
      <c r="AG23" s="73">
        <f t="shared" si="6"/>
        <v>0.91454536711414391</v>
      </c>
      <c r="AH23" s="501">
        <f t="shared" si="10"/>
        <v>3064065.7</v>
      </c>
      <c r="AI23" s="501"/>
      <c r="AJ23" s="61">
        <f t="shared" si="9"/>
        <v>2014</v>
      </c>
      <c r="AL23" s="437">
        <v>1.0164633490704145</v>
      </c>
      <c r="AM23" s="259">
        <f>AM22*(1+AM$13)</f>
        <v>1.02</v>
      </c>
      <c r="AN23" s="400"/>
      <c r="AO23" s="61"/>
      <c r="AP23" s="61"/>
      <c r="AQ23" s="61"/>
      <c r="AR23" s="221"/>
      <c r="AS23" s="206"/>
      <c r="AT23" s="61"/>
      <c r="AW23" s="61"/>
      <c r="AX23" s="61"/>
      <c r="AY23" s="221"/>
      <c r="AZ23" s="206"/>
      <c r="BA23" s="61"/>
      <c r="BB23" s="368"/>
      <c r="BD23" s="182"/>
      <c r="BE23" s="182"/>
      <c r="BF23" s="182"/>
      <c r="BG23" s="182"/>
      <c r="BH23" s="182"/>
      <c r="BI23" s="20"/>
    </row>
    <row r="24" spans="1:61">
      <c r="A24" s="6">
        <f t="shared" si="8"/>
        <v>2015</v>
      </c>
      <c r="C24" s="494">
        <f>'Exhibit U,5'!V24</f>
        <v>3461301.9600000018</v>
      </c>
      <c r="D24" s="187"/>
      <c r="E24" s="187"/>
      <c r="F24" s="187"/>
      <c r="G24" s="494">
        <f>'Exhibit U,5'!AF24</f>
        <v>370514.99</v>
      </c>
      <c r="H24" s="187"/>
      <c r="I24" s="494">
        <f t="shared" si="1"/>
        <v>3090786.9700000016</v>
      </c>
      <c r="L24" s="18"/>
      <c r="M24" s="74">
        <f>'Exhibit U,5'!E24</f>
        <v>0.98816163994735429</v>
      </c>
      <c r="N24" s="74"/>
      <c r="O24" s="74">
        <f>'Exhibit U,6'!E24</f>
        <v>1</v>
      </c>
      <c r="P24" s="18"/>
      <c r="Q24" s="494">
        <f>'Exhibit U,5'!AB24</f>
        <v>1881397.8199999998</v>
      </c>
      <c r="R24" s="494"/>
      <c r="S24" s="494">
        <f>'Exhibit U,5'!AG24</f>
        <v>3545.2599999997765</v>
      </c>
      <c r="T24" s="494"/>
      <c r="U24" s="494">
        <f>'Exhibit U,5'!AC24</f>
        <v>1881397.8199999998</v>
      </c>
      <c r="V24" s="494"/>
      <c r="W24" s="494">
        <f>'Exhibit U,5'!AH24</f>
        <v>3545.2599999997765</v>
      </c>
      <c r="X24" s="187"/>
      <c r="Y24" s="494">
        <f t="shared" si="2"/>
        <v>1900349.5825845308</v>
      </c>
      <c r="Z24" s="494"/>
      <c r="AA24" s="494">
        <f t="shared" si="3"/>
        <v>1877852.56</v>
      </c>
      <c r="AB24" s="494"/>
      <c r="AC24" s="494">
        <f t="shared" si="4"/>
        <v>1877852.56</v>
      </c>
      <c r="AD24" s="20"/>
      <c r="AE24" s="73">
        <f t="shared" si="5"/>
        <v>0.60756453881387984</v>
      </c>
      <c r="AG24" s="73">
        <f t="shared" si="6"/>
        <v>0.60756453881387984</v>
      </c>
      <c r="AH24" s="501">
        <f t="shared" si="10"/>
        <v>1877852.56</v>
      </c>
      <c r="AI24" s="501"/>
      <c r="AJ24" s="61">
        <f t="shared" si="9"/>
        <v>2015</v>
      </c>
      <c r="AL24" s="437">
        <v>0.98715625057836887</v>
      </c>
      <c r="AM24" s="259">
        <f t="shared" ref="AM24:AM31" si="11">AM23*(1+AM$13)</f>
        <v>1.0404</v>
      </c>
      <c r="AN24" s="400"/>
      <c r="AO24" s="61"/>
      <c r="AP24" s="61"/>
      <c r="AQ24" s="61"/>
      <c r="AR24" s="221"/>
      <c r="AS24" s="206"/>
      <c r="AT24" s="259"/>
      <c r="AU24" s="430"/>
      <c r="AW24" s="61"/>
      <c r="AX24" s="61"/>
      <c r="AY24" s="221"/>
      <c r="AZ24" s="206"/>
      <c r="BA24" s="259"/>
      <c r="BB24" s="368"/>
      <c r="BD24" s="182"/>
      <c r="BE24" s="182"/>
      <c r="BF24" s="182"/>
      <c r="BG24" s="182"/>
      <c r="BH24" s="182"/>
      <c r="BI24" s="20"/>
    </row>
    <row r="25" spans="1:61">
      <c r="A25" s="6">
        <f t="shared" si="8"/>
        <v>2016</v>
      </c>
      <c r="C25" s="494">
        <f>'Exhibit U,5'!V25</f>
        <v>3133438.399999999</v>
      </c>
      <c r="D25" s="187"/>
      <c r="E25" s="187"/>
      <c r="F25" s="187"/>
      <c r="G25" s="494">
        <f>'Exhibit U,5'!AF25</f>
        <v>225073.64</v>
      </c>
      <c r="H25" s="187"/>
      <c r="I25" s="494">
        <f t="shared" si="1"/>
        <v>2908364.7599999988</v>
      </c>
      <c r="L25" s="18"/>
      <c r="M25" s="74">
        <f>'Exhibit U,5'!E25</f>
        <v>0.94013870716140402</v>
      </c>
      <c r="N25" s="74"/>
      <c r="O25" s="74">
        <f>'Exhibit U,6'!E25</f>
        <v>1</v>
      </c>
      <c r="P25" s="18"/>
      <c r="Q25" s="494">
        <f>'Exhibit U,5'!AB25</f>
        <v>4349527.58</v>
      </c>
      <c r="R25" s="494"/>
      <c r="S25" s="494">
        <f>'Exhibit U,5'!AG25</f>
        <v>2050254.23</v>
      </c>
      <c r="T25" s="494"/>
      <c r="U25" s="494">
        <f>'Exhibit U,5'!AC25</f>
        <v>4756934.53</v>
      </c>
      <c r="V25" s="494"/>
      <c r="W25" s="494">
        <f>'Exhibit U,5'!AH25</f>
        <v>2050254.2300000004</v>
      </c>
      <c r="X25" s="187"/>
      <c r="Y25" s="494">
        <f t="shared" si="2"/>
        <v>2445674.5929994546</v>
      </c>
      <c r="Z25" s="494"/>
      <c r="AA25" s="494">
        <f t="shared" si="3"/>
        <v>2706680.3</v>
      </c>
      <c r="AB25" s="494"/>
      <c r="AC25" s="494">
        <f t="shared" si="4"/>
        <v>2706680.3</v>
      </c>
      <c r="AD25" s="20"/>
      <c r="AE25" s="73">
        <f t="shared" si="5"/>
        <v>0.93065365707429382</v>
      </c>
      <c r="AG25" s="73">
        <f t="shared" si="6"/>
        <v>0.93065365707429382</v>
      </c>
      <c r="AH25" s="501">
        <f t="shared" si="10"/>
        <v>2706680.3</v>
      </c>
      <c r="AI25" s="501"/>
      <c r="AJ25" s="61">
        <f t="shared" si="9"/>
        <v>2016</v>
      </c>
      <c r="AL25" s="437">
        <v>0.99220874885484922</v>
      </c>
      <c r="AM25" s="259">
        <f t="shared" si="11"/>
        <v>1.0612079999999999</v>
      </c>
      <c r="AO25" s="61"/>
      <c r="AP25" s="61"/>
      <c r="AQ25" s="61"/>
      <c r="AR25" s="221"/>
      <c r="AS25" s="206"/>
      <c r="AT25" s="259"/>
      <c r="AU25" s="430"/>
      <c r="AW25" s="61"/>
      <c r="AX25" s="61"/>
      <c r="AY25" s="438"/>
      <c r="AZ25" s="206"/>
      <c r="BA25" s="259"/>
      <c r="BB25" s="368"/>
      <c r="BD25" s="182"/>
      <c r="BE25" s="182"/>
      <c r="BF25" s="182"/>
      <c r="BG25" s="182"/>
      <c r="BH25" s="182"/>
      <c r="BI25" s="20"/>
    </row>
    <row r="26" spans="1:61">
      <c r="A26" s="6">
        <f t="shared" si="8"/>
        <v>2017</v>
      </c>
      <c r="C26" s="494">
        <f>'Exhibit U,5'!V26</f>
        <v>2328348.7299999991</v>
      </c>
      <c r="D26" s="187"/>
      <c r="E26" s="535"/>
      <c r="F26" s="187"/>
      <c r="G26" s="494">
        <f>'Exhibit U,5'!AF26</f>
        <v>371295.26</v>
      </c>
      <c r="H26" s="187"/>
      <c r="I26" s="494">
        <f t="shared" si="1"/>
        <v>1957053.469999999</v>
      </c>
      <c r="M26" s="74">
        <f>'Exhibit U,5'!E26</f>
        <v>0.86199281171108022</v>
      </c>
      <c r="O26" s="74">
        <f>'Exhibit U,6'!E26</f>
        <v>1</v>
      </c>
      <c r="Q26" s="494">
        <f>'Exhibit U,5'!AB26</f>
        <v>296163.03999999998</v>
      </c>
      <c r="R26" s="494"/>
      <c r="S26" s="494">
        <f>'Exhibit U,5'!AG26</f>
        <v>69380.469999999972</v>
      </c>
      <c r="T26" s="187"/>
      <c r="U26" s="494">
        <f>'Exhibit U,5'!AC26</f>
        <v>305163.03999999998</v>
      </c>
      <c r="V26" s="494"/>
      <c r="W26" s="494">
        <f>'Exhibit U,5'!AH26</f>
        <v>69380.469999999972</v>
      </c>
      <c r="X26" s="187"/>
      <c r="Y26" s="494">
        <f t="shared" ref="Y26:Y31" si="12">(Q26-S26)/M26</f>
        <v>263091.0222439444</v>
      </c>
      <c r="Z26" s="494"/>
      <c r="AA26" s="494">
        <f t="shared" ref="AA26:AA31" si="13">(U26-W26)/O26</f>
        <v>235782.57</v>
      </c>
      <c r="AB26" s="187"/>
      <c r="AC26" s="494">
        <f t="shared" si="4"/>
        <v>235782.57</v>
      </c>
      <c r="AE26" s="73">
        <f t="shared" si="5"/>
        <v>0.12047834850419295</v>
      </c>
      <c r="AG26" s="73">
        <f>AE$34*AP26</f>
        <v>0.90338202457222405</v>
      </c>
      <c r="AH26" s="501">
        <f t="shared" si="10"/>
        <v>1767966.9259246956</v>
      </c>
      <c r="AI26" s="501"/>
      <c r="AJ26" s="61">
        <f t="shared" si="9"/>
        <v>2017</v>
      </c>
      <c r="AL26" s="437">
        <v>0.90755882832640755</v>
      </c>
      <c r="AM26" s="259">
        <f t="shared" si="11"/>
        <v>1.08243216</v>
      </c>
      <c r="AN26" s="61">
        <v>6</v>
      </c>
      <c r="AO26" s="434">
        <v>1</v>
      </c>
      <c r="AP26" s="400">
        <f t="shared" ref="AP26:AP30" si="14">AM26/AL26*AO26</f>
        <v>1.1926853953876129</v>
      </c>
      <c r="AQ26" s="61"/>
      <c r="AR26" s="221"/>
      <c r="AS26" s="206"/>
      <c r="AT26" s="69"/>
      <c r="AU26" s="430"/>
      <c r="AW26" s="61"/>
      <c r="AX26" s="61"/>
      <c r="AY26" s="61"/>
      <c r="AZ26" s="61"/>
      <c r="BA26" s="69"/>
      <c r="BB26" s="368"/>
      <c r="BD26" s="182"/>
      <c r="BE26" s="182"/>
      <c r="BF26" s="182"/>
      <c r="BG26" s="182"/>
      <c r="BH26" s="182"/>
      <c r="BI26" s="20"/>
    </row>
    <row r="27" spans="1:61">
      <c r="A27" s="6">
        <f t="shared" si="8"/>
        <v>2018</v>
      </c>
      <c r="C27" s="494">
        <f>'Exhibit U,5'!V27</f>
        <v>1529273.7700000005</v>
      </c>
      <c r="D27" s="187"/>
      <c r="E27" s="187"/>
      <c r="F27" s="187"/>
      <c r="G27" s="494">
        <f>'Exhibit U,5'!AF27</f>
        <v>442695.3</v>
      </c>
      <c r="H27" s="187"/>
      <c r="I27" s="494">
        <f t="shared" si="1"/>
        <v>1086578.4700000004</v>
      </c>
      <c r="L27" s="26"/>
      <c r="M27" s="74">
        <f>'Exhibit U,5'!E27</f>
        <v>0.70446258584114707</v>
      </c>
      <c r="O27" s="74">
        <f>'Exhibit U,6'!E27</f>
        <v>1</v>
      </c>
      <c r="P27" s="26"/>
      <c r="Q27" s="494">
        <f>'Exhibit U,5'!AB27</f>
        <v>409498.17</v>
      </c>
      <c r="R27" s="494"/>
      <c r="S27" s="494">
        <f>'Exhibit U,5'!AG27</f>
        <v>69054.719999999972</v>
      </c>
      <c r="T27" s="187"/>
      <c r="U27" s="494">
        <f>'Exhibit U,5'!AC27</f>
        <v>898335.37</v>
      </c>
      <c r="V27" s="494"/>
      <c r="W27" s="494">
        <f>'Exhibit U,5'!AH27</f>
        <v>130805.25</v>
      </c>
      <c r="X27" s="187"/>
      <c r="Y27" s="494">
        <f t="shared" si="12"/>
        <v>483266.89996389445</v>
      </c>
      <c r="Z27" s="494"/>
      <c r="AA27" s="494">
        <f t="shared" si="13"/>
        <v>767530.12</v>
      </c>
      <c r="AB27" s="187"/>
      <c r="AC27" s="494">
        <f t="shared" si="4"/>
        <v>767530.12</v>
      </c>
      <c r="AD27" s="26"/>
      <c r="AE27" s="73">
        <f t="shared" si="5"/>
        <v>0.70637339243432617</v>
      </c>
      <c r="AG27" s="73">
        <f t="shared" ref="AG27:AG31" si="15">AE$34*AP27</f>
        <v>0.92419892841741236</v>
      </c>
      <c r="AH27" s="501">
        <f t="shared" si="10"/>
        <v>1004214.6576154318</v>
      </c>
      <c r="AI27" s="499"/>
      <c r="AJ27" s="61">
        <f t="shared" si="9"/>
        <v>2018</v>
      </c>
      <c r="AL27" s="437">
        <v>0.90485906515706793</v>
      </c>
      <c r="AM27" s="259">
        <f t="shared" si="11"/>
        <v>1.1040808032</v>
      </c>
      <c r="AN27" s="61">
        <v>5</v>
      </c>
      <c r="AO27" s="434">
        <v>1</v>
      </c>
      <c r="AP27" s="400">
        <f t="shared" si="14"/>
        <v>1.2201688038659928</v>
      </c>
      <c r="AQ27" s="61"/>
      <c r="AR27" s="221"/>
      <c r="AS27" s="206"/>
      <c r="AT27" s="69"/>
      <c r="AU27" s="430"/>
      <c r="AW27" s="61"/>
      <c r="AX27" s="84"/>
      <c r="AY27" s="84"/>
      <c r="AZ27" s="206"/>
      <c r="BA27" s="69"/>
      <c r="BB27" s="368"/>
      <c r="BD27" s="182"/>
      <c r="BE27" s="182"/>
      <c r="BF27" s="182"/>
      <c r="BG27" s="182"/>
      <c r="BH27" s="182"/>
      <c r="BI27" s="20"/>
    </row>
    <row r="28" spans="1:61">
      <c r="A28" s="6">
        <f t="shared" si="8"/>
        <v>2019</v>
      </c>
      <c r="C28" s="494">
        <f>'Exhibit U,5'!V28</f>
        <v>1256355.6100000001</v>
      </c>
      <c r="D28" s="187"/>
      <c r="E28" s="187"/>
      <c r="F28" s="187"/>
      <c r="G28" s="494">
        <f>'Exhibit U,5'!AF28</f>
        <v>203955.68</v>
      </c>
      <c r="H28" s="187"/>
      <c r="I28" s="494">
        <f t="shared" si="1"/>
        <v>1052399.9300000002</v>
      </c>
      <c r="M28" s="74">
        <f>'Exhibit U,5'!E28</f>
        <v>0.46689732120903371</v>
      </c>
      <c r="O28" s="74">
        <f>'Exhibit U,6'!E28</f>
        <v>0.92942618223760087</v>
      </c>
      <c r="Q28" s="494">
        <f>'Exhibit U,5'!AB28</f>
        <v>112278.38</v>
      </c>
      <c r="R28" s="494"/>
      <c r="S28" s="494">
        <f>'Exhibit U,5'!AG28</f>
        <v>0</v>
      </c>
      <c r="T28" s="187"/>
      <c r="U28" s="494">
        <f>'Exhibit U,5'!AC28</f>
        <v>415683.53</v>
      </c>
      <c r="V28" s="494"/>
      <c r="W28" s="494">
        <f>'Exhibit U,5'!AH28</f>
        <v>0</v>
      </c>
      <c r="X28" s="187"/>
      <c r="Y28" s="494">
        <f t="shared" si="12"/>
        <v>240477.67014223684</v>
      </c>
      <c r="Z28" s="494"/>
      <c r="AA28" s="494">
        <f t="shared" si="13"/>
        <v>447247.49307065853</v>
      </c>
      <c r="AB28" s="187"/>
      <c r="AC28" s="494">
        <f t="shared" si="4"/>
        <v>447247.49307065853</v>
      </c>
      <c r="AE28" s="73">
        <f t="shared" si="5"/>
        <v>0.42497864197944069</v>
      </c>
      <c r="AG28" s="73">
        <f t="shared" si="15"/>
        <v>0.94167321283040351</v>
      </c>
      <c r="AH28" s="501">
        <f t="shared" si="10"/>
        <v>991016.82326559187</v>
      </c>
      <c r="AI28" s="499"/>
      <c r="AJ28" s="61">
        <f t="shared" si="9"/>
        <v>2019</v>
      </c>
      <c r="AL28" s="437">
        <v>0.90582928592693035</v>
      </c>
      <c r="AM28" s="259">
        <f t="shared" si="11"/>
        <v>1.1261624192640001</v>
      </c>
      <c r="AN28" s="61">
        <v>3</v>
      </c>
      <c r="AO28" s="434">
        <v>1</v>
      </c>
      <c r="AP28" s="400">
        <f t="shared" si="14"/>
        <v>1.2432391365130175</v>
      </c>
      <c r="AQ28" s="61"/>
      <c r="AR28" s="221"/>
      <c r="AS28" s="206"/>
      <c r="AT28" s="69"/>
      <c r="AU28" s="430"/>
      <c r="AW28" s="432"/>
      <c r="AX28" s="84"/>
      <c r="AY28" s="84"/>
      <c r="AZ28" s="206"/>
      <c r="BA28" s="69"/>
      <c r="BB28" s="368"/>
      <c r="BD28" s="182"/>
      <c r="BE28" s="182"/>
      <c r="BF28" s="182"/>
      <c r="BG28" s="182"/>
      <c r="BH28" s="182"/>
      <c r="BI28" s="20"/>
    </row>
    <row r="29" spans="1:61">
      <c r="A29" s="6">
        <f t="shared" si="8"/>
        <v>2020</v>
      </c>
      <c r="C29" s="494">
        <f>'Exhibit U,5'!V29</f>
        <v>1060963.32</v>
      </c>
      <c r="D29" s="187"/>
      <c r="E29" s="187"/>
      <c r="F29" s="187"/>
      <c r="G29" s="494">
        <f>'Exhibit U,5'!AF29</f>
        <v>0</v>
      </c>
      <c r="H29" s="187"/>
      <c r="I29" s="494">
        <f t="shared" si="1"/>
        <v>1060963.32</v>
      </c>
      <c r="M29" s="74">
        <f>'Exhibit U,5'!E29</f>
        <v>0.26906193697320097</v>
      </c>
      <c r="O29" s="74">
        <f>'Exhibit U,6'!E29</f>
        <v>0.63959626961179306</v>
      </c>
      <c r="Q29" s="494">
        <f>'Exhibit U,5'!AB29</f>
        <v>97657.46</v>
      </c>
      <c r="R29" s="494"/>
      <c r="S29" s="494">
        <f>'Exhibit U,5'!AG29</f>
        <v>0</v>
      </c>
      <c r="T29" s="187"/>
      <c r="U29" s="494">
        <f>'Exhibit U,5'!AC29</f>
        <v>172246.52000000002</v>
      </c>
      <c r="V29" s="494"/>
      <c r="W29" s="494">
        <f>'Exhibit U,5'!AH29</f>
        <v>0</v>
      </c>
      <c r="X29" s="187"/>
      <c r="Y29" s="494">
        <f t="shared" si="12"/>
        <v>362955.31467063981</v>
      </c>
      <c r="Z29" s="494"/>
      <c r="AA29" s="494">
        <f t="shared" si="13"/>
        <v>269305.0728775296</v>
      </c>
      <c r="AB29" s="187"/>
      <c r="AC29" s="494">
        <f t="shared" si="4"/>
        <v>269305.0728775296</v>
      </c>
      <c r="AE29" s="73">
        <f t="shared" si="5"/>
        <v>0.25383071007349206</v>
      </c>
      <c r="AG29" s="73">
        <f t="shared" si="15"/>
        <v>1.0033668947585053</v>
      </c>
      <c r="AH29" s="501">
        <f t="shared" si="10"/>
        <v>1064535.4718410745</v>
      </c>
      <c r="AI29" s="499"/>
      <c r="AJ29" s="61">
        <f t="shared" si="9"/>
        <v>2020</v>
      </c>
      <c r="AL29" s="437">
        <v>0.86713552338517697</v>
      </c>
      <c r="AM29" s="259">
        <f t="shared" si="11"/>
        <v>1.14868566764928</v>
      </c>
      <c r="AN29" s="61">
        <v>5</v>
      </c>
      <c r="AO29" s="434">
        <v>1</v>
      </c>
      <c r="AP29" s="400">
        <f t="shared" si="14"/>
        <v>1.3246898975663808</v>
      </c>
      <c r="AQ29" s="61"/>
      <c r="AR29" s="221"/>
      <c r="AS29" s="206"/>
      <c r="AT29" s="69"/>
      <c r="AU29" s="430"/>
      <c r="AW29" s="61"/>
      <c r="AY29" s="368"/>
      <c r="AZ29" s="308"/>
      <c r="BA29" s="371"/>
      <c r="BB29" s="368"/>
      <c r="BD29" s="182"/>
      <c r="BE29" s="182"/>
      <c r="BF29" s="182"/>
      <c r="BG29" s="182"/>
      <c r="BH29" s="182"/>
      <c r="BI29" s="20"/>
    </row>
    <row r="30" spans="1:61">
      <c r="A30" s="6">
        <f t="shared" si="8"/>
        <v>2021</v>
      </c>
      <c r="C30" s="494">
        <f>'Exhibit U,5'!V30</f>
        <v>2177171.58</v>
      </c>
      <c r="D30" s="187"/>
      <c r="E30" s="187"/>
      <c r="F30" s="187"/>
      <c r="G30" s="494">
        <f>'Exhibit U,5'!AF30</f>
        <v>0</v>
      </c>
      <c r="H30" s="187"/>
      <c r="I30" s="494">
        <f t="shared" si="1"/>
        <v>2177171.58</v>
      </c>
      <c r="K30" s="26"/>
      <c r="L30" s="26"/>
      <c r="M30" s="74">
        <f>'Exhibit U,5'!E30</f>
        <v>0.1459962630726411</v>
      </c>
      <c r="N30" s="74"/>
      <c r="O30" s="74">
        <f>'Exhibit U,6'!E30</f>
        <v>0.34806159906885126</v>
      </c>
      <c r="P30" s="26"/>
      <c r="Q30" s="494">
        <f>'Exhibit U,5'!AB30</f>
        <v>11934.19</v>
      </c>
      <c r="R30" s="494"/>
      <c r="S30" s="494">
        <f>'Exhibit U,5'!AG30</f>
        <v>0</v>
      </c>
      <c r="T30" s="187"/>
      <c r="U30" s="494">
        <f>'Exhibit U,5'!AC30</f>
        <v>51134.19</v>
      </c>
      <c r="V30" s="494"/>
      <c r="W30" s="494">
        <f>'Exhibit U,5'!AH30</f>
        <v>0</v>
      </c>
      <c r="X30" s="187"/>
      <c r="Y30" s="494">
        <f t="shared" si="12"/>
        <v>81743.119644521925</v>
      </c>
      <c r="Z30" s="494"/>
      <c r="AA30" s="494">
        <f t="shared" si="13"/>
        <v>146911.32298649519</v>
      </c>
      <c r="AB30" s="187"/>
      <c r="AC30" s="494">
        <f t="shared" si="4"/>
        <v>146911.32298649519</v>
      </c>
      <c r="AE30" s="73">
        <f t="shared" si="5"/>
        <v>6.7478063895402854E-2</v>
      </c>
      <c r="AG30" s="73">
        <f t="shared" si="15"/>
        <v>0.81299968264800593</v>
      </c>
      <c r="AH30" s="501">
        <f t="shared" si="10"/>
        <v>1770039.8036102578</v>
      </c>
      <c r="AI30" s="499"/>
      <c r="AJ30" s="61">
        <f t="shared" si="9"/>
        <v>2021</v>
      </c>
      <c r="AL30" s="437">
        <v>0.81868683154826238</v>
      </c>
      <c r="AM30" s="259">
        <f t="shared" si="11"/>
        <v>1.1716593810022657</v>
      </c>
      <c r="AN30" s="61">
        <v>1</v>
      </c>
      <c r="AO30" s="434">
        <v>0.75</v>
      </c>
      <c r="AP30" s="400">
        <f t="shared" si="14"/>
        <v>1.0733585809482955</v>
      </c>
      <c r="AQ30" s="61"/>
      <c r="AR30" s="221"/>
      <c r="AS30" s="206"/>
      <c r="AT30" s="401"/>
      <c r="AU30" s="430"/>
      <c r="AV30" s="259"/>
      <c r="AW30" s="61"/>
      <c r="AY30" s="368"/>
      <c r="AZ30" s="308"/>
      <c r="BA30" s="371"/>
      <c r="BB30" s="308"/>
      <c r="BD30" s="182"/>
      <c r="BE30" s="182"/>
      <c r="BF30" s="182"/>
      <c r="BG30" s="182"/>
      <c r="BH30" s="182"/>
      <c r="BI30" s="20"/>
    </row>
    <row r="31" spans="1:61">
      <c r="A31" s="6">
        <f t="shared" si="8"/>
        <v>2022</v>
      </c>
      <c r="C31" s="494">
        <f>'Exhibit U,5'!V31</f>
        <v>2201647.7199999997</v>
      </c>
      <c r="D31" s="187"/>
      <c r="E31" s="187"/>
      <c r="F31" s="187"/>
      <c r="G31" s="494">
        <f>'Exhibit U,5'!AF31</f>
        <v>0</v>
      </c>
      <c r="H31" s="187"/>
      <c r="I31" s="494">
        <f t="shared" si="1"/>
        <v>2201647.7199999997</v>
      </c>
      <c r="K31" s="18"/>
      <c r="L31" s="18"/>
      <c r="M31" s="74">
        <f>'Exhibit U,5'!E31</f>
        <v>1.7839674618821338E-2</v>
      </c>
      <c r="N31" s="74"/>
      <c r="O31" s="74">
        <f>'Exhibit U,6'!E31</f>
        <v>0.12927301167335295</v>
      </c>
      <c r="P31" s="18"/>
      <c r="Q31" s="494">
        <f>'Exhibit U,5'!AB31</f>
        <v>21947.98</v>
      </c>
      <c r="R31" s="494"/>
      <c r="S31" s="494">
        <f>'Exhibit U,5'!AG31</f>
        <v>0</v>
      </c>
      <c r="T31" s="187"/>
      <c r="U31" s="494">
        <f>'Exhibit U,5'!AC31</f>
        <v>174500</v>
      </c>
      <c r="V31" s="494"/>
      <c r="W31" s="494">
        <f>'Exhibit U,5'!AH31</f>
        <v>0</v>
      </c>
      <c r="X31" s="187"/>
      <c r="Y31" s="494">
        <f t="shared" si="12"/>
        <v>1230290.3763078889</v>
      </c>
      <c r="Z31" s="494"/>
      <c r="AA31" s="494">
        <f t="shared" si="13"/>
        <v>1349856.3833333333</v>
      </c>
      <c r="AB31" s="187"/>
      <c r="AC31" s="494">
        <f t="shared" si="4"/>
        <v>1349856.3833333333</v>
      </c>
      <c r="AD31" s="18"/>
      <c r="AE31" s="73">
        <f t="shared" si="5"/>
        <v>0.61311188482657597</v>
      </c>
      <c r="AG31" s="73">
        <f t="shared" si="15"/>
        <v>0.94594177559121939</v>
      </c>
      <c r="AH31" s="501">
        <f t="shared" si="10"/>
        <v>2082630.5534831595</v>
      </c>
      <c r="AI31" s="499"/>
      <c r="AJ31" s="61">
        <f t="shared" si="9"/>
        <v>2022</v>
      </c>
      <c r="AL31" s="437">
        <v>0.76554843092438085</v>
      </c>
      <c r="AM31" s="259">
        <f t="shared" si="11"/>
        <v>1.1950925686223111</v>
      </c>
      <c r="AN31" s="61">
        <v>3</v>
      </c>
      <c r="AO31" s="434">
        <v>0.8</v>
      </c>
      <c r="AP31" s="400">
        <f>AM31/AL31*AO31</f>
        <v>1.2488746841834855</v>
      </c>
      <c r="AQ31" s="61"/>
      <c r="AR31" s="221"/>
      <c r="AS31" s="206"/>
      <c r="AT31" s="401"/>
      <c r="AU31" s="430"/>
      <c r="AV31" s="259"/>
      <c r="AW31" s="61"/>
      <c r="AY31" s="368"/>
      <c r="AZ31" s="308"/>
      <c r="BA31" s="371"/>
      <c r="BB31" s="308"/>
      <c r="BD31" s="182"/>
      <c r="BG31" s="95"/>
      <c r="BH31" s="95"/>
    </row>
    <row r="32" spans="1:61">
      <c r="A32" s="6"/>
      <c r="C32" s="200"/>
      <c r="D32" s="18"/>
      <c r="E32" s="18"/>
      <c r="F32" s="18"/>
      <c r="G32" s="200"/>
      <c r="I32" s="200"/>
      <c r="K32" s="18"/>
      <c r="L32" s="18"/>
      <c r="M32" s="74"/>
      <c r="N32" s="74"/>
      <c r="O32" s="74"/>
      <c r="P32" s="18"/>
      <c r="Q32" s="200"/>
      <c r="R32" s="18"/>
      <c r="S32" s="200"/>
      <c r="T32" s="18"/>
      <c r="U32" s="200"/>
      <c r="W32" s="200"/>
      <c r="X32" s="18"/>
      <c r="Y32" s="200"/>
      <c r="Z32" s="18"/>
      <c r="AA32" s="200"/>
      <c r="AC32" s="200"/>
      <c r="AD32" s="18"/>
      <c r="AE32" s="200"/>
      <c r="AF32" s="200"/>
      <c r="AG32" s="200"/>
      <c r="AH32" s="397"/>
      <c r="AI32" s="587"/>
      <c r="AJ32" s="397"/>
      <c r="AK32" s="25"/>
      <c r="AL32" s="25"/>
      <c r="AM32" s="25"/>
      <c r="AN32" s="25"/>
      <c r="AO32" s="61"/>
      <c r="AP32" s="61"/>
      <c r="AQ32" s="61"/>
      <c r="AR32" s="25"/>
      <c r="AS32" s="61"/>
      <c r="AT32" s="61"/>
      <c r="AW32" s="61"/>
      <c r="AY32" s="6"/>
      <c r="AZ32" s="6"/>
      <c r="BA32" s="6"/>
      <c r="BB32" s="6"/>
      <c r="BC32" s="6"/>
      <c r="BD32" s="6"/>
      <c r="BE32" s="6"/>
      <c r="BF32" s="6"/>
      <c r="BG32" s="6"/>
      <c r="BH32" s="6"/>
    </row>
    <row r="33" spans="1:63">
      <c r="A33" s="2" t="s">
        <v>0</v>
      </c>
      <c r="C33" s="147">
        <f>SUM(C17:C32)</f>
        <v>28442746.629999995</v>
      </c>
      <c r="D33" s="147"/>
      <c r="E33" s="147"/>
      <c r="F33" s="147"/>
      <c r="G33" s="147">
        <f>SUM(G17:G32)</f>
        <v>2544550.2200000002</v>
      </c>
      <c r="H33" s="147"/>
      <c r="I33" s="147">
        <f>SUM(I17:I32)</f>
        <v>25898196.409999996</v>
      </c>
      <c r="K33" s="18"/>
      <c r="L33" s="18"/>
      <c r="M33" s="74"/>
      <c r="N33" s="74"/>
      <c r="O33" s="74"/>
      <c r="P33" s="18"/>
      <c r="Q33" s="147">
        <f>SUM(Q17:Q32)</f>
        <v>18115436.450000003</v>
      </c>
      <c r="R33" s="147"/>
      <c r="S33" s="147">
        <f>SUM(S17:S32)</f>
        <v>4016312.0599999996</v>
      </c>
      <c r="T33" s="147"/>
      <c r="U33" s="147">
        <f>SUM(U17:U32)</f>
        <v>19590426.830000002</v>
      </c>
      <c r="V33" s="147"/>
      <c r="W33" s="147">
        <f>SUM(W17:W32)</f>
        <v>4078062.59</v>
      </c>
      <c r="X33" s="147"/>
      <c r="Y33" s="147">
        <f>SUM(Y17:Y32)</f>
        <v>16119504.669431854</v>
      </c>
      <c r="Z33" s="147"/>
      <c r="AA33" s="147">
        <f>SUM(AA17:AA32)</f>
        <v>16912120.272268016</v>
      </c>
      <c r="AB33" s="147"/>
      <c r="AC33" s="147">
        <f>SUM(AC17:AC32)</f>
        <v>16912120.272268016</v>
      </c>
      <c r="AD33" s="18"/>
      <c r="AE33" s="55">
        <f>AC33/I33</f>
        <v>0.65302309104960632</v>
      </c>
      <c r="AF33" s="19"/>
      <c r="AG33" s="73">
        <f>SUMPRODUCT($I17:$I31,AG17:AG31)/$I33</f>
        <v>0.79979214644237895</v>
      </c>
      <c r="AH33" s="147">
        <f>SUM(AH17:AH32)</f>
        <v>22375891.54574021</v>
      </c>
      <c r="AI33" s="74"/>
      <c r="AJ33" s="147"/>
      <c r="AK33" s="61"/>
      <c r="AL33" s="377"/>
      <c r="AM33" s="376" t="s">
        <v>791</v>
      </c>
      <c r="AN33" s="137">
        <f>SUM(AN26:AN31)</f>
        <v>23</v>
      </c>
      <c r="AO33" s="61"/>
      <c r="AP33" s="25"/>
      <c r="AQ33" s="69">
        <f>SUM(AQ21:AQ30)</f>
        <v>0</v>
      </c>
      <c r="AR33" s="69"/>
      <c r="AS33" s="206"/>
      <c r="AT33" s="355"/>
      <c r="AU33" s="430"/>
      <c r="AW33" s="61"/>
      <c r="AY33" s="19"/>
      <c r="BA33" s="2"/>
      <c r="BB33" s="19"/>
      <c r="BC33" s="19"/>
      <c r="BD33" s="19"/>
      <c r="BE33" s="19"/>
      <c r="BF33" s="19"/>
      <c r="BG33" s="19"/>
      <c r="BH33" s="19"/>
      <c r="BI33" s="19"/>
    </row>
    <row r="34" spans="1:63">
      <c r="A34" s="6" t="s">
        <v>1496</v>
      </c>
      <c r="C34" s="3"/>
      <c r="D34" s="18"/>
      <c r="E34" s="18"/>
      <c r="F34" s="18"/>
      <c r="G34" s="18"/>
      <c r="I34" s="74"/>
      <c r="K34" s="18"/>
      <c r="L34" s="18"/>
      <c r="M34" s="74"/>
      <c r="N34" s="74"/>
      <c r="O34" s="74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D34" s="18"/>
      <c r="AE34" s="73">
        <f>SUM(AC17:AC27)/SUM(I17:I27)</f>
        <v>0.7574353036146908</v>
      </c>
      <c r="AI34" s="60"/>
      <c r="AJ34" s="339"/>
      <c r="AK34" s="61"/>
      <c r="AL34" s="61"/>
      <c r="AM34" s="61" t="s">
        <v>1673</v>
      </c>
      <c r="AN34" s="137">
        <f>AVERAGE(AN26:AN31)</f>
        <v>3.8333333333333335</v>
      </c>
      <c r="AO34" s="61"/>
      <c r="AP34" s="61"/>
      <c r="AQ34" s="84"/>
      <c r="AR34" s="84"/>
      <c r="AS34" s="206"/>
      <c r="AT34" s="61"/>
      <c r="AU34" s="206"/>
      <c r="AV34" s="61"/>
      <c r="AW34" s="61"/>
      <c r="BH34" s="95"/>
    </row>
    <row r="35" spans="1:63" ht="16">
      <c r="A35" s="175" t="s">
        <v>395</v>
      </c>
      <c r="C35" s="3"/>
      <c r="D35" s="18"/>
      <c r="E35" s="18"/>
      <c r="F35" s="18"/>
      <c r="G35" s="18"/>
      <c r="I35" s="74"/>
      <c r="K35" s="18"/>
      <c r="L35" s="18"/>
      <c r="M35" s="74"/>
      <c r="N35" s="74"/>
      <c r="O35" s="74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K35" s="61"/>
      <c r="AL35" s="61"/>
      <c r="AM35" s="61"/>
      <c r="AN35" s="205"/>
      <c r="AO35" s="61"/>
      <c r="AP35" s="61"/>
      <c r="AQ35" s="61"/>
      <c r="AR35" s="61"/>
      <c r="AS35" s="69"/>
      <c r="AT35" s="206"/>
      <c r="AU35" s="206"/>
      <c r="AV35" s="61"/>
      <c r="AW35" s="61"/>
      <c r="BH35" s="95"/>
    </row>
    <row r="36" spans="1:63">
      <c r="A36" s="6">
        <f>A17</f>
        <v>2008</v>
      </c>
      <c r="C36" s="497">
        <f>'Exhibit U,8'!V17</f>
        <v>0</v>
      </c>
      <c r="D36" s="147"/>
      <c r="E36" s="147"/>
      <c r="F36" s="147"/>
      <c r="G36" s="147">
        <f>'Exhibit U,8'!AF17</f>
        <v>0</v>
      </c>
      <c r="H36" s="147"/>
      <c r="I36" s="497">
        <f>C36-G36</f>
        <v>0</v>
      </c>
      <c r="L36" s="26"/>
      <c r="M36" s="74">
        <f>'Exhibit U,8'!E17</f>
        <v>1</v>
      </c>
      <c r="N36" s="74"/>
      <c r="O36" s="74">
        <f>'Exhibit U,9'!E17</f>
        <v>1</v>
      </c>
      <c r="P36" s="26"/>
      <c r="Q36" s="147">
        <f>'Exhibit U,8'!AB17</f>
        <v>1911758.4000000001</v>
      </c>
      <c r="R36" s="147"/>
      <c r="S36" s="147">
        <f>'Exhibit U,8'!AG17</f>
        <v>0</v>
      </c>
      <c r="T36" s="147"/>
      <c r="U36" s="147">
        <f>'Exhibit U,8'!AC17</f>
        <v>1911758.4000000001</v>
      </c>
      <c r="V36" s="147"/>
      <c r="W36" s="147">
        <f>'Exhibit U,8'!AH17</f>
        <v>0</v>
      </c>
      <c r="X36" s="147"/>
      <c r="Y36" s="147">
        <f>(Q36-S36)/M36</f>
        <v>1911758.4000000001</v>
      </c>
      <c r="Z36" s="147"/>
      <c r="AA36" s="147">
        <f>(U36-W36)/O36</f>
        <v>1911758.4000000001</v>
      </c>
      <c r="AB36" s="147"/>
      <c r="AC36" s="147">
        <f>AA36</f>
        <v>1911758.4000000001</v>
      </c>
      <c r="AE36" s="73">
        <f>IF(I36=0,0,AC36/I36)</f>
        <v>0</v>
      </c>
      <c r="AG36" s="73">
        <f>AE36</f>
        <v>0</v>
      </c>
      <c r="AH36" s="147">
        <f>AC36</f>
        <v>1911758.4000000001</v>
      </c>
      <c r="AI36" s="147"/>
      <c r="AJ36" s="61">
        <v>2008</v>
      </c>
      <c r="AK36" s="61"/>
      <c r="AL36" s="259"/>
      <c r="AM36" s="259"/>
      <c r="AN36" s="259"/>
      <c r="AO36" s="61"/>
      <c r="AP36" s="61"/>
      <c r="AQ36" s="61"/>
      <c r="AR36" s="61"/>
      <c r="AS36" s="221"/>
      <c r="AT36" s="61"/>
      <c r="AU36" s="61"/>
      <c r="AV36" s="61"/>
      <c r="AW36" s="61"/>
      <c r="AY36" s="20"/>
      <c r="BA36" s="6"/>
      <c r="BB36" s="66"/>
      <c r="BC36" s="31"/>
      <c r="BD36" s="43"/>
      <c r="BE36" s="32"/>
      <c r="BF36" s="43"/>
      <c r="BG36" s="43"/>
      <c r="BH36" s="181"/>
      <c r="BI36" s="66"/>
    </row>
    <row r="37" spans="1:63">
      <c r="A37" s="6">
        <f>A36+1</f>
        <v>2009</v>
      </c>
      <c r="C37" s="494">
        <f>'Exhibit U,8'!V18</f>
        <v>0</v>
      </c>
      <c r="D37" s="494"/>
      <c r="E37" s="494"/>
      <c r="F37" s="494"/>
      <c r="G37" s="494">
        <f>'Exhibit U,8'!AF18</f>
        <v>0</v>
      </c>
      <c r="H37" s="501"/>
      <c r="I37" s="494">
        <f t="shared" ref="I37:I50" si="16">C37-G37</f>
        <v>0</v>
      </c>
      <c r="J37" s="17"/>
      <c r="K37" s="17"/>
      <c r="L37" s="20"/>
      <c r="M37" s="73">
        <f>'Exhibit U,8'!E18</f>
        <v>0.99999333191080764</v>
      </c>
      <c r="N37" s="73"/>
      <c r="O37" s="73">
        <f>'Exhibit U,9'!E18</f>
        <v>1</v>
      </c>
      <c r="P37" s="20"/>
      <c r="Q37" s="494">
        <f>'Exhibit U,8'!AB18</f>
        <v>2191506.25</v>
      </c>
      <c r="R37" s="494"/>
      <c r="S37" s="494">
        <f>'Exhibit U,8'!AG18</f>
        <v>0</v>
      </c>
      <c r="T37" s="494"/>
      <c r="U37" s="17">
        <f>'Exhibit U,8'!AC18</f>
        <v>2191506.25</v>
      </c>
      <c r="V37" s="494"/>
      <c r="W37" s="494">
        <f>'Exhibit U,8'!AH18</f>
        <v>0</v>
      </c>
      <c r="X37" s="187"/>
      <c r="Y37" s="494">
        <f t="shared" ref="Y37:Y49" si="17">(Q37-S37)/M37</f>
        <v>2191520.863256583</v>
      </c>
      <c r="Z37" s="494"/>
      <c r="AA37" s="494">
        <f t="shared" ref="AA37:AA49" si="18">(U37-W37)/O37</f>
        <v>2191506.25</v>
      </c>
      <c r="AB37" s="494"/>
      <c r="AC37" s="494">
        <f t="shared" ref="AC37:AC49" si="19">AA37</f>
        <v>2191506.25</v>
      </c>
      <c r="AD37" s="20"/>
      <c r="AE37" s="73">
        <f t="shared" ref="AE37:AE50" si="20">IF(I37=0,0,AC37/I37)</f>
        <v>0</v>
      </c>
      <c r="AG37" s="73">
        <f t="shared" ref="AG37:AG44" si="21">AE37</f>
        <v>0</v>
      </c>
      <c r="AH37" s="17">
        <f t="shared" ref="AH37:AH38" si="22">AC37</f>
        <v>2191506.25</v>
      </c>
      <c r="AI37" s="17"/>
      <c r="AJ37" s="61">
        <f>AJ36+1</f>
        <v>2009</v>
      </c>
      <c r="AK37" s="61"/>
      <c r="AL37" s="259"/>
      <c r="AM37" s="259"/>
      <c r="AN37" s="259"/>
      <c r="AO37" s="48"/>
      <c r="AP37" s="48"/>
      <c r="AQ37" s="137"/>
      <c r="AR37" s="137"/>
      <c r="AS37" s="221"/>
      <c r="AT37" s="61"/>
      <c r="AU37" s="61"/>
      <c r="AV37" s="61"/>
      <c r="AW37" s="61"/>
      <c r="AY37" s="20"/>
      <c r="BA37" s="6"/>
      <c r="BB37" s="20"/>
      <c r="BC37" s="31"/>
      <c r="BD37" s="182"/>
      <c r="BE37" s="32"/>
      <c r="BF37" s="182"/>
      <c r="BG37" s="182"/>
      <c r="BH37" s="182"/>
      <c r="BI37" s="20"/>
    </row>
    <row r="38" spans="1:63">
      <c r="A38" s="6">
        <f t="shared" ref="A38:A50" si="23">A37+1</f>
        <v>2010</v>
      </c>
      <c r="C38" s="494">
        <f>'Exhibit U,8'!V19</f>
        <v>0</v>
      </c>
      <c r="D38" s="494"/>
      <c r="E38" s="494"/>
      <c r="F38" s="494"/>
      <c r="G38" s="494">
        <f>'Exhibit U,8'!AF19</f>
        <v>0</v>
      </c>
      <c r="H38" s="501"/>
      <c r="I38" s="494">
        <f t="shared" si="16"/>
        <v>0</v>
      </c>
      <c r="J38" s="17"/>
      <c r="K38" s="17"/>
      <c r="L38" s="20"/>
      <c r="M38" s="73">
        <f>'Exhibit U,8'!E19</f>
        <v>0.9996262017043841</v>
      </c>
      <c r="N38" s="73"/>
      <c r="O38" s="73">
        <f>'Exhibit U,9'!E19</f>
        <v>1</v>
      </c>
      <c r="P38" s="20"/>
      <c r="Q38" s="494">
        <f>'Exhibit U,8'!AB19</f>
        <v>8479335.2699999996</v>
      </c>
      <c r="R38" s="494"/>
      <c r="S38" s="494">
        <f>'Exhibit U,8'!AG19</f>
        <v>0</v>
      </c>
      <c r="T38" s="494"/>
      <c r="U38" s="17">
        <f>'Exhibit U,8'!AC19</f>
        <v>8479335.2699999996</v>
      </c>
      <c r="V38" s="494"/>
      <c r="W38" s="494">
        <f>'Exhibit U,8'!AH19</f>
        <v>0</v>
      </c>
      <c r="X38" s="187"/>
      <c r="Y38" s="494">
        <f t="shared" si="17"/>
        <v>8482506.0162914414</v>
      </c>
      <c r="Z38" s="494"/>
      <c r="AA38" s="494">
        <f t="shared" si="18"/>
        <v>8479335.2699999996</v>
      </c>
      <c r="AB38" s="494"/>
      <c r="AC38" s="494">
        <f t="shared" si="19"/>
        <v>8479335.2699999996</v>
      </c>
      <c r="AD38" s="20"/>
      <c r="AE38" s="73">
        <f t="shared" si="20"/>
        <v>0</v>
      </c>
      <c r="AG38" s="73">
        <f t="shared" si="21"/>
        <v>0</v>
      </c>
      <c r="AH38" s="17">
        <f t="shared" si="22"/>
        <v>8479335.2699999996</v>
      </c>
      <c r="AI38" s="17"/>
      <c r="AJ38" s="61">
        <f t="shared" ref="AJ38:AJ50" si="24">AJ37+1</f>
        <v>2010</v>
      </c>
      <c r="AK38" s="61"/>
      <c r="AL38" s="259"/>
      <c r="AM38" s="259"/>
      <c r="AN38" s="259"/>
      <c r="AO38" s="48"/>
      <c r="AP38" s="48"/>
      <c r="AQ38" s="137"/>
      <c r="AR38" s="137"/>
      <c r="AS38" s="221"/>
      <c r="AT38" s="61"/>
      <c r="AU38" s="61"/>
      <c r="AV38" s="61"/>
      <c r="AW38" s="61"/>
      <c r="AY38" s="20"/>
      <c r="BA38" s="6"/>
      <c r="BB38" s="20"/>
      <c r="BC38" s="31"/>
      <c r="BD38" s="182"/>
      <c r="BE38" s="32"/>
      <c r="BF38" s="182"/>
      <c r="BG38" s="182"/>
      <c r="BH38" s="182"/>
      <c r="BI38" s="20"/>
    </row>
    <row r="39" spans="1:63">
      <c r="A39" s="6">
        <f t="shared" si="23"/>
        <v>2011</v>
      </c>
      <c r="C39" s="494">
        <f>'Exhibit U,8'!V20</f>
        <v>6435696.0700000077</v>
      </c>
      <c r="D39" s="494"/>
      <c r="E39" s="494"/>
      <c r="F39" s="494"/>
      <c r="G39" s="494">
        <f>'Exhibit U,8'!AF20</f>
        <v>0</v>
      </c>
      <c r="H39" s="501"/>
      <c r="I39" s="494">
        <f t="shared" si="16"/>
        <v>6435696.0700000077</v>
      </c>
      <c r="J39" s="17"/>
      <c r="K39" s="17"/>
      <c r="L39" s="20"/>
      <c r="M39" s="73">
        <f>'Exhibit U,8'!E20</f>
        <v>0.99671270545003843</v>
      </c>
      <c r="N39" s="73"/>
      <c r="O39" s="73">
        <f>'Exhibit U,9'!E20</f>
        <v>1</v>
      </c>
      <c r="P39" s="20"/>
      <c r="Q39" s="494">
        <f>'Exhibit U,8'!AB20</f>
        <v>6315267.6400000006</v>
      </c>
      <c r="R39" s="494"/>
      <c r="S39" s="494">
        <f>'Exhibit U,8'!AG20</f>
        <v>0</v>
      </c>
      <c r="T39" s="494"/>
      <c r="U39" s="17">
        <f>'Exhibit U,8'!AC20</f>
        <v>6315267.6400000006</v>
      </c>
      <c r="V39" s="494"/>
      <c r="W39" s="494">
        <f>'Exhibit U,8'!AH20</f>
        <v>0</v>
      </c>
      <c r="X39" s="187"/>
      <c r="Y39" s="494">
        <f t="shared" si="17"/>
        <v>6336096.2546860622</v>
      </c>
      <c r="Z39" s="494"/>
      <c r="AA39" s="494">
        <f t="shared" si="18"/>
        <v>6315267.6400000006</v>
      </c>
      <c r="AB39" s="494"/>
      <c r="AC39" s="494">
        <f t="shared" si="19"/>
        <v>6315267.6400000006</v>
      </c>
      <c r="AD39" s="20"/>
      <c r="AE39" s="73">
        <f t="shared" si="20"/>
        <v>0.98128742739089492</v>
      </c>
      <c r="AG39" s="73">
        <f t="shared" si="21"/>
        <v>0.98128742739089492</v>
      </c>
      <c r="AH39" s="501">
        <f t="shared" ref="AH39:AH50" si="25">I39*AG39</f>
        <v>6315267.6400000006</v>
      </c>
      <c r="AI39" s="17"/>
      <c r="AJ39" s="61">
        <f t="shared" si="24"/>
        <v>2011</v>
      </c>
      <c r="AK39" s="61"/>
      <c r="AL39" s="259"/>
      <c r="AM39" s="259"/>
      <c r="AN39" s="259"/>
      <c r="AO39" s="48"/>
      <c r="AP39" s="48"/>
      <c r="AQ39" s="137"/>
      <c r="AR39" s="137"/>
      <c r="AS39" s="221"/>
      <c r="AT39" s="61"/>
      <c r="AU39" s="61"/>
      <c r="AV39" s="61"/>
      <c r="AW39" s="61"/>
      <c r="AY39" s="20"/>
      <c r="BA39" s="6"/>
      <c r="BB39" s="20"/>
      <c r="BC39" s="31"/>
      <c r="BD39" s="182"/>
      <c r="BE39" s="32"/>
      <c r="BF39" s="182"/>
      <c r="BG39" s="182"/>
      <c r="BH39" s="182"/>
      <c r="BI39" s="20"/>
    </row>
    <row r="40" spans="1:63">
      <c r="A40" s="6">
        <f t="shared" si="23"/>
        <v>2012</v>
      </c>
      <c r="C40" s="494">
        <f>'Exhibit U,8'!V21</f>
        <v>9294169.459999999</v>
      </c>
      <c r="D40" s="494"/>
      <c r="E40" s="494"/>
      <c r="F40" s="494"/>
      <c r="G40" s="494">
        <f>'Exhibit U,8'!AF21</f>
        <v>0</v>
      </c>
      <c r="H40" s="501"/>
      <c r="I40" s="494">
        <f t="shared" si="16"/>
        <v>9294169.459999999</v>
      </c>
      <c r="J40" s="17"/>
      <c r="K40" s="17"/>
      <c r="L40" s="20"/>
      <c r="M40" s="73">
        <f>'Exhibit U,8'!E21</f>
        <v>0.98604064130765279</v>
      </c>
      <c r="N40" s="73"/>
      <c r="O40" s="73">
        <f>'Exhibit U,9'!E21</f>
        <v>1</v>
      </c>
      <c r="P40" s="20"/>
      <c r="Q40" s="494">
        <f>'Exhibit U,8'!AB21</f>
        <v>17224733.84</v>
      </c>
      <c r="R40" s="494"/>
      <c r="S40" s="494">
        <f>'Exhibit U,8'!AG21</f>
        <v>2318237.2400000002</v>
      </c>
      <c r="T40" s="494"/>
      <c r="U40" s="17">
        <f>'Exhibit U,8'!AC21</f>
        <v>17569452.739999998</v>
      </c>
      <c r="V40" s="494"/>
      <c r="W40" s="494">
        <f>'Exhibit U,8'!AH21</f>
        <v>2318237.2399999984</v>
      </c>
      <c r="X40" s="187"/>
      <c r="Y40" s="494">
        <f t="shared" si="17"/>
        <v>15117527.590172675</v>
      </c>
      <c r="Z40" s="494"/>
      <c r="AA40" s="494">
        <f t="shared" si="18"/>
        <v>15251215.5</v>
      </c>
      <c r="AB40" s="494"/>
      <c r="AC40" s="494">
        <f t="shared" si="19"/>
        <v>15251215.5</v>
      </c>
      <c r="AD40" s="20"/>
      <c r="AE40" s="73">
        <f t="shared" si="20"/>
        <v>1.6409444185021349</v>
      </c>
      <c r="AG40" s="73">
        <f t="shared" si="21"/>
        <v>1.6409444185021349</v>
      </c>
      <c r="AH40" s="501">
        <f t="shared" si="25"/>
        <v>15251215.5</v>
      </c>
      <c r="AI40" s="17"/>
      <c r="AJ40" s="61">
        <f t="shared" si="24"/>
        <v>2012</v>
      </c>
      <c r="AK40" s="61"/>
      <c r="AL40" s="259"/>
      <c r="AM40" s="259"/>
      <c r="AN40" s="259"/>
      <c r="AO40" s="48"/>
      <c r="AP40" s="61"/>
      <c r="AQ40" s="69"/>
      <c r="AR40" s="403"/>
      <c r="AS40" s="69"/>
      <c r="AT40" s="69"/>
      <c r="AU40" s="377"/>
      <c r="AV40" s="61"/>
      <c r="AW40" s="61"/>
      <c r="AY40" s="20"/>
      <c r="BA40" s="6"/>
      <c r="BB40" s="20"/>
      <c r="BC40" s="31"/>
      <c r="BD40" s="182"/>
      <c r="BE40" s="32"/>
      <c r="BF40" s="182"/>
      <c r="BG40" s="182"/>
      <c r="BH40" s="182"/>
      <c r="BI40" s="20"/>
    </row>
    <row r="41" spans="1:63">
      <c r="A41" s="6">
        <f t="shared" si="23"/>
        <v>2013</v>
      </c>
      <c r="C41" s="494">
        <f>'Exhibit U,8'!V22</f>
        <v>10085012.299999949</v>
      </c>
      <c r="D41" s="494"/>
      <c r="E41" s="494"/>
      <c r="F41" s="494"/>
      <c r="G41" s="494">
        <f>'Exhibit U,8'!AF22</f>
        <v>1013266.2299999999</v>
      </c>
      <c r="H41" s="501"/>
      <c r="I41" s="494">
        <f t="shared" si="16"/>
        <v>9071746.0699999481</v>
      </c>
      <c r="J41" s="17"/>
      <c r="K41" s="17"/>
      <c r="L41" s="20"/>
      <c r="M41" s="73">
        <f>'Exhibit U,8'!E22</f>
        <v>0.95946749874657722</v>
      </c>
      <c r="N41" s="73"/>
      <c r="O41" s="73">
        <f>'Exhibit U,9'!E22</f>
        <v>1</v>
      </c>
      <c r="P41" s="20"/>
      <c r="Q41" s="494">
        <f>'Exhibit U,8'!AB22</f>
        <v>15118983.609999998</v>
      </c>
      <c r="R41" s="494"/>
      <c r="S41" s="494">
        <f>'Exhibit U,8'!AG22</f>
        <v>1114631.2799999993</v>
      </c>
      <c r="T41" s="494"/>
      <c r="U41" s="17">
        <f>'Exhibit U,8'!AC22</f>
        <v>17358241.969999999</v>
      </c>
      <c r="V41" s="494"/>
      <c r="W41" s="494">
        <f>'Exhibit U,8'!AH22</f>
        <v>1114631.2800000012</v>
      </c>
      <c r="X41" s="187"/>
      <c r="Y41" s="494">
        <f t="shared" si="17"/>
        <v>14595963.2278268</v>
      </c>
      <c r="Z41" s="494"/>
      <c r="AA41" s="494">
        <f t="shared" si="18"/>
        <v>16243610.689999998</v>
      </c>
      <c r="AB41" s="494"/>
      <c r="AC41" s="494">
        <f t="shared" si="19"/>
        <v>16243610.689999998</v>
      </c>
      <c r="AD41" s="20"/>
      <c r="AE41" s="73">
        <f t="shared" si="20"/>
        <v>1.7905715795680435</v>
      </c>
      <c r="AG41" s="73">
        <f t="shared" si="21"/>
        <v>1.7905715795680435</v>
      </c>
      <c r="AH41" s="501">
        <f t="shared" si="25"/>
        <v>16243610.689999998</v>
      </c>
      <c r="AI41" s="17"/>
      <c r="AJ41" s="61">
        <f t="shared" si="24"/>
        <v>2013</v>
      </c>
      <c r="AK41" s="61"/>
      <c r="AL41" s="259"/>
      <c r="AM41" s="259"/>
      <c r="AN41" s="400"/>
      <c r="AO41" s="48"/>
      <c r="AP41" s="61"/>
      <c r="AQ41" s="69"/>
      <c r="AR41" s="403"/>
      <c r="AS41" s="69"/>
      <c r="AT41" s="69"/>
      <c r="AU41" s="377"/>
      <c r="AV41" s="61"/>
      <c r="AW41" s="61"/>
      <c r="AY41" s="20"/>
      <c r="BA41" s="6"/>
      <c r="BB41" s="18"/>
      <c r="BC41" s="31"/>
      <c r="BD41" s="182"/>
      <c r="BE41" s="32"/>
      <c r="BF41" s="182"/>
      <c r="BG41" s="182"/>
      <c r="BH41" s="182"/>
      <c r="BI41" s="20"/>
    </row>
    <row r="42" spans="1:63">
      <c r="A42" s="6">
        <f t="shared" si="23"/>
        <v>2014</v>
      </c>
      <c r="C42" s="494">
        <f>'Exhibit U,8'!V23</f>
        <v>10240662.590000011</v>
      </c>
      <c r="D42" s="494"/>
      <c r="E42" s="494"/>
      <c r="F42" s="494"/>
      <c r="G42" s="494">
        <f>'Exhibit U,8'!AF23</f>
        <v>535089.01000000036</v>
      </c>
      <c r="H42" s="501"/>
      <c r="I42" s="494">
        <f t="shared" si="16"/>
        <v>9705573.5800000113</v>
      </c>
      <c r="J42" s="17"/>
      <c r="K42" s="17"/>
      <c r="L42" s="20"/>
      <c r="M42" s="73">
        <f>'Exhibit U,8'!E23</f>
        <v>0.90335137643649732</v>
      </c>
      <c r="N42" s="73"/>
      <c r="O42" s="73">
        <f>'Exhibit U,9'!E23</f>
        <v>0.99794445190983305</v>
      </c>
      <c r="P42" s="20"/>
      <c r="Q42" s="494">
        <f>'Exhibit U,8'!AB23</f>
        <v>17623388.829999998</v>
      </c>
      <c r="R42" s="494"/>
      <c r="S42" s="494">
        <f>'Exhibit U,8'!AG23</f>
        <v>5118044.01</v>
      </c>
      <c r="T42" s="494"/>
      <c r="U42" s="17">
        <f>'Exhibit U,8'!AC23</f>
        <v>21041019.16</v>
      </c>
      <c r="V42" s="494"/>
      <c r="W42" s="494">
        <f>'Exhibit U,8'!AH23</f>
        <v>5118044.0100000016</v>
      </c>
      <c r="X42" s="187"/>
      <c r="Y42" s="494">
        <f t="shared" si="17"/>
        <v>13843278.646821305</v>
      </c>
      <c r="Z42" s="494"/>
      <c r="AA42" s="494">
        <f t="shared" si="18"/>
        <v>15955773.008735241</v>
      </c>
      <c r="AB42" s="494"/>
      <c r="AC42" s="494">
        <f t="shared" si="19"/>
        <v>15955773.008735241</v>
      </c>
      <c r="AD42" s="20"/>
      <c r="AE42" s="73">
        <f t="shared" si="20"/>
        <v>1.6439804280722605</v>
      </c>
      <c r="AG42" s="73">
        <f t="shared" si="21"/>
        <v>1.6439804280722605</v>
      </c>
      <c r="AH42" s="501">
        <f t="shared" si="25"/>
        <v>15955773.008735241</v>
      </c>
      <c r="AI42" s="17"/>
      <c r="AJ42" s="61">
        <f t="shared" si="24"/>
        <v>2014</v>
      </c>
      <c r="AK42" s="149"/>
      <c r="AL42" s="259"/>
      <c r="AM42" s="259"/>
      <c r="AN42" s="400"/>
      <c r="AO42" s="48"/>
      <c r="AP42" s="400"/>
      <c r="AQ42" s="69"/>
      <c r="AR42" s="403"/>
      <c r="AS42" s="69"/>
      <c r="AT42" s="69"/>
      <c r="AU42" s="377"/>
      <c r="AV42" s="61"/>
      <c r="AW42" s="61"/>
      <c r="AY42" s="20"/>
      <c r="BA42" s="6"/>
      <c r="BB42" s="18"/>
      <c r="BC42" s="31"/>
      <c r="BD42" s="32"/>
      <c r="BE42" s="32"/>
      <c r="BF42" s="32"/>
      <c r="BG42" s="32"/>
      <c r="BH42" s="182"/>
      <c r="BI42" s="20"/>
      <c r="BJ42" s="32"/>
      <c r="BK42" s="32"/>
    </row>
    <row r="43" spans="1:63">
      <c r="A43" s="6">
        <f t="shared" si="23"/>
        <v>2015</v>
      </c>
      <c r="C43" s="494">
        <f>'Exhibit U,8'!V24</f>
        <v>9968876.8200000003</v>
      </c>
      <c r="D43" s="494"/>
      <c r="E43" s="494"/>
      <c r="F43" s="494"/>
      <c r="G43" s="494">
        <f>'Exhibit U,8'!AF24</f>
        <v>837964.10999999975</v>
      </c>
      <c r="H43" s="501"/>
      <c r="I43" s="494">
        <f t="shared" si="16"/>
        <v>9130912.7100000009</v>
      </c>
      <c r="J43" s="17"/>
      <c r="K43" s="17"/>
      <c r="L43" s="20"/>
      <c r="M43" s="73">
        <f>'Exhibit U,8'!E24</f>
        <v>0.80478859280259885</v>
      </c>
      <c r="N43" s="73"/>
      <c r="O43" s="73">
        <f>'Exhibit U,9'!E24</f>
        <v>0.98056563835985389</v>
      </c>
      <c r="P43" s="20"/>
      <c r="Q43" s="494">
        <f>'Exhibit U,8'!AB24</f>
        <v>2896938.19</v>
      </c>
      <c r="R43" s="494"/>
      <c r="S43" s="494">
        <f>'Exhibit U,8'!AG24</f>
        <v>36491.240000000224</v>
      </c>
      <c r="T43" s="494"/>
      <c r="U43" s="17">
        <f>'Exhibit U,8'!AC24</f>
        <v>3985794.1799999997</v>
      </c>
      <c r="V43" s="494"/>
      <c r="W43" s="494">
        <f>'Exhibit U,8'!AH24</f>
        <v>36491.240000000224</v>
      </c>
      <c r="X43" s="187"/>
      <c r="Y43" s="494">
        <f t="shared" si="17"/>
        <v>3554283.6660231086</v>
      </c>
      <c r="Z43" s="494"/>
      <c r="AA43" s="494">
        <f t="shared" si="18"/>
        <v>4027576.3146318416</v>
      </c>
      <c r="AB43" s="494"/>
      <c r="AC43" s="494">
        <f t="shared" si="19"/>
        <v>4027576.3146318416</v>
      </c>
      <c r="AD43" s="20"/>
      <c r="AE43" s="73">
        <f t="shared" si="20"/>
        <v>0.44109241239607044</v>
      </c>
      <c r="AG43" s="73">
        <f t="shared" si="21"/>
        <v>0.44109241239607044</v>
      </c>
      <c r="AH43" s="501">
        <f t="shared" si="25"/>
        <v>4027576.3146318416</v>
      </c>
      <c r="AI43" s="17"/>
      <c r="AJ43" s="61">
        <f t="shared" si="24"/>
        <v>2015</v>
      </c>
      <c r="AK43" s="149">
        <f>AE53</f>
        <v>1.1222964209306356</v>
      </c>
      <c r="AL43" s="259">
        <v>1</v>
      </c>
      <c r="AM43" s="259">
        <v>1</v>
      </c>
      <c r="AN43" s="400">
        <v>0.28789687884218573</v>
      </c>
      <c r="AO43" s="435">
        <v>1</v>
      </c>
      <c r="AP43" s="400">
        <f t="shared" ref="AP43:AP49" si="26">AM43/AL43*AO43</f>
        <v>1</v>
      </c>
      <c r="AQ43" s="403"/>
      <c r="AR43" s="403"/>
      <c r="AS43" s="69"/>
      <c r="AT43" s="69"/>
      <c r="AU43" s="377"/>
      <c r="AV43" s="61"/>
      <c r="AW43" s="61"/>
      <c r="AY43" s="20"/>
      <c r="BA43" s="6"/>
      <c r="BB43" s="18"/>
      <c r="BC43" s="31"/>
      <c r="BD43" s="32"/>
      <c r="BE43" s="32"/>
      <c r="BF43" s="32"/>
      <c r="BG43" s="32"/>
      <c r="BH43" s="182"/>
      <c r="BI43" s="20"/>
      <c r="BJ43" s="32"/>
      <c r="BK43" s="32"/>
    </row>
    <row r="44" spans="1:63">
      <c r="A44" s="6">
        <f t="shared" si="23"/>
        <v>2016</v>
      </c>
      <c r="C44" s="494">
        <f>'Exhibit U,8'!V25</f>
        <v>11089131.659999976</v>
      </c>
      <c r="D44" s="494"/>
      <c r="E44" s="494"/>
      <c r="F44" s="494"/>
      <c r="G44" s="494">
        <f>'Exhibit U,8'!AF25</f>
        <v>833819.43999999959</v>
      </c>
      <c r="H44" s="501"/>
      <c r="I44" s="494">
        <f t="shared" si="16"/>
        <v>10255312.219999976</v>
      </c>
      <c r="J44" s="17"/>
      <c r="K44" s="17"/>
      <c r="L44" s="20"/>
      <c r="M44" s="73">
        <f>'Exhibit U,8'!E25</f>
        <v>0.66587387004990795</v>
      </c>
      <c r="N44" s="73"/>
      <c r="O44" s="73">
        <f>'Exhibit U,9'!E25</f>
        <v>0.92162203459026393</v>
      </c>
      <c r="P44" s="20"/>
      <c r="Q44" s="494">
        <f>'Exhibit U,8'!AB25</f>
        <v>6553623.2299999995</v>
      </c>
      <c r="R44" s="494"/>
      <c r="S44" s="494">
        <f>'Exhibit U,8'!AG25</f>
        <v>482573.57999999914</v>
      </c>
      <c r="T44" s="494"/>
      <c r="U44" s="17">
        <f>'Exhibit U,8'!AC25</f>
        <v>9990093.5099999998</v>
      </c>
      <c r="V44" s="494"/>
      <c r="W44" s="494">
        <f>'Exhibit U,8'!AH25</f>
        <v>950805.66999999993</v>
      </c>
      <c r="X44" s="187"/>
      <c r="Y44" s="494">
        <f t="shared" si="17"/>
        <v>9117416.8608613051</v>
      </c>
      <c r="Z44" s="494"/>
      <c r="AA44" s="494">
        <f t="shared" si="18"/>
        <v>9808020.5341647454</v>
      </c>
      <c r="AB44" s="494"/>
      <c r="AC44" s="494">
        <f t="shared" si="19"/>
        <v>9808020.5341647454</v>
      </c>
      <c r="AD44" s="20"/>
      <c r="AE44" s="73">
        <f t="shared" si="20"/>
        <v>0.95638439120723018</v>
      </c>
      <c r="AG44" s="73">
        <f t="shared" si="21"/>
        <v>0.95638439120723018</v>
      </c>
      <c r="AH44" s="501">
        <f t="shared" si="25"/>
        <v>9808020.5341647454</v>
      </c>
      <c r="AI44" s="17"/>
      <c r="AJ44" s="61">
        <f t="shared" si="24"/>
        <v>2016</v>
      </c>
      <c r="AK44" s="61"/>
      <c r="AL44" s="259">
        <v>0.98586942242449727</v>
      </c>
      <c r="AM44" s="259">
        <f t="shared" ref="AM44:AM50" si="27">AM43*(1+AM$13)</f>
        <v>1.02</v>
      </c>
      <c r="AN44" s="400">
        <v>0.32986511325573831</v>
      </c>
      <c r="AO44" s="435">
        <v>1</v>
      </c>
      <c r="AP44" s="400">
        <f t="shared" si="26"/>
        <v>1.034619774991669</v>
      </c>
      <c r="AQ44" s="403"/>
      <c r="AR44" s="403"/>
      <c r="AS44" s="69"/>
      <c r="AT44" s="69"/>
      <c r="AU44" s="377"/>
      <c r="AV44" s="61"/>
      <c r="AW44" s="61"/>
      <c r="AY44" s="20"/>
      <c r="BA44" s="6"/>
      <c r="BB44" s="18"/>
      <c r="BC44" s="31"/>
      <c r="BD44" s="32"/>
      <c r="BE44" s="32"/>
      <c r="BF44" s="32"/>
      <c r="BG44" s="32"/>
      <c r="BH44" s="182"/>
      <c r="BI44" s="20"/>
      <c r="BJ44" s="32"/>
      <c r="BK44" s="32"/>
    </row>
    <row r="45" spans="1:63">
      <c r="A45" s="6">
        <f t="shared" si="23"/>
        <v>2017</v>
      </c>
      <c r="C45" s="494">
        <f>'Exhibit U,8'!V26</f>
        <v>11045038.820000034</v>
      </c>
      <c r="D45" s="494"/>
      <c r="E45" s="494"/>
      <c r="F45" s="494"/>
      <c r="G45" s="494">
        <f>'Exhibit U,8'!AF26</f>
        <v>1126424.7400000016</v>
      </c>
      <c r="H45" s="501"/>
      <c r="I45" s="494">
        <f t="shared" si="16"/>
        <v>9918614.0800000317</v>
      </c>
      <c r="J45" s="17"/>
      <c r="K45" s="17"/>
      <c r="L45" s="20"/>
      <c r="M45" s="73">
        <f>'Exhibit U,8'!E26</f>
        <v>0.50057223572913878</v>
      </c>
      <c r="N45" s="73"/>
      <c r="O45" s="73">
        <f>'Exhibit U,9'!E26</f>
        <v>0.80560214621144577</v>
      </c>
      <c r="P45" s="20"/>
      <c r="Q45" s="494">
        <f>'Exhibit U,8'!AB26</f>
        <v>6540671.2999999998</v>
      </c>
      <c r="R45" s="494"/>
      <c r="S45" s="494">
        <f>'Exhibit U,8'!AG26</f>
        <v>36386.950000000186</v>
      </c>
      <c r="T45" s="494"/>
      <c r="U45" s="17">
        <f>'Exhibit U,8'!AC26</f>
        <v>8166424.1099999994</v>
      </c>
      <c r="V45" s="494"/>
      <c r="W45" s="494">
        <f>'Exhibit U,8'!AH26</f>
        <v>145939.22999999952</v>
      </c>
      <c r="X45" s="187"/>
      <c r="Y45" s="494">
        <f t="shared" si="17"/>
        <v>12993697.783749014</v>
      </c>
      <c r="Z45" s="494"/>
      <c r="AA45" s="494">
        <f t="shared" si="18"/>
        <v>9955888.1734841727</v>
      </c>
      <c r="AB45" s="187"/>
      <c r="AC45" s="494">
        <f t="shared" si="19"/>
        <v>9955888.1734841727</v>
      </c>
      <c r="AE45" s="73">
        <f t="shared" si="20"/>
        <v>1.0037579941293715</v>
      </c>
      <c r="AG45" s="73">
        <f t="shared" ref="AG45:AG49" si="28">AE$53*AP45</f>
        <v>1.1953070977058067</v>
      </c>
      <c r="AH45" s="501">
        <f t="shared" si="25"/>
        <v>11855789.809228787</v>
      </c>
      <c r="AI45" s="17"/>
      <c r="AJ45" s="61">
        <f t="shared" si="24"/>
        <v>2017</v>
      </c>
      <c r="AK45" s="149"/>
      <c r="AL45" s="259">
        <v>0.97685121972195998</v>
      </c>
      <c r="AM45" s="259">
        <f t="shared" si="27"/>
        <v>1.0404</v>
      </c>
      <c r="AN45" s="400">
        <v>0.27964745149966441</v>
      </c>
      <c r="AO45" s="435">
        <v>1</v>
      </c>
      <c r="AP45" s="400">
        <f t="shared" si="26"/>
        <v>1.0650547176428031</v>
      </c>
      <c r="AQ45" s="403"/>
      <c r="AR45" s="403"/>
      <c r="AS45" s="69"/>
      <c r="AT45" s="69"/>
      <c r="AU45" s="377"/>
      <c r="AV45" s="61"/>
      <c r="AW45" s="61"/>
      <c r="AY45" s="20"/>
      <c r="BA45" s="6"/>
      <c r="BB45" s="18"/>
      <c r="BC45" s="31"/>
      <c r="BD45" s="32"/>
      <c r="BE45" s="32"/>
      <c r="BF45" s="32"/>
      <c r="BG45" s="32"/>
      <c r="BH45" s="182"/>
      <c r="BI45" s="20"/>
      <c r="BJ45" s="32"/>
      <c r="BK45" s="32"/>
    </row>
    <row r="46" spans="1:63">
      <c r="A46" s="6">
        <f t="shared" si="23"/>
        <v>2018</v>
      </c>
      <c r="C46" s="494">
        <f>'Exhibit U,8'!V27</f>
        <v>7536562.6900000451</v>
      </c>
      <c r="D46" s="494"/>
      <c r="E46" s="494"/>
      <c r="F46" s="494"/>
      <c r="G46" s="494">
        <f>'Exhibit U,8'!AF27</f>
        <v>1310021.2099999981</v>
      </c>
      <c r="H46" s="501"/>
      <c r="I46" s="494">
        <f t="shared" si="16"/>
        <v>6226541.480000047</v>
      </c>
      <c r="J46" s="17"/>
      <c r="K46" s="17"/>
      <c r="L46" s="20"/>
      <c r="M46" s="73">
        <f>'Exhibit U,8'!E27</f>
        <v>0.32813744798328975</v>
      </c>
      <c r="N46" s="73"/>
      <c r="O46" s="73">
        <f>'Exhibit U,9'!E27</f>
        <v>0.63280360109408795</v>
      </c>
      <c r="P46" s="20"/>
      <c r="Q46" s="494">
        <f>'Exhibit U,8'!AB27</f>
        <v>1434620.3199999998</v>
      </c>
      <c r="R46" s="494"/>
      <c r="S46" s="494">
        <f>'Exhibit U,8'!AG27</f>
        <v>71957.199999999721</v>
      </c>
      <c r="T46" s="494"/>
      <c r="U46" s="17">
        <f>'Exhibit U,8'!AC27</f>
        <v>3244321.46</v>
      </c>
      <c r="V46" s="494"/>
      <c r="W46" s="494">
        <f>'Exhibit U,8'!AH27</f>
        <v>105874.37000000011</v>
      </c>
      <c r="X46" s="187"/>
      <c r="Y46" s="494">
        <f t="shared" si="17"/>
        <v>4152720.5394411217</v>
      </c>
      <c r="Z46" s="494"/>
      <c r="AA46" s="494">
        <f t="shared" si="18"/>
        <v>4959591.0715011274</v>
      </c>
      <c r="AB46" s="187"/>
      <c r="AC46" s="494">
        <f t="shared" si="19"/>
        <v>4959591.0715011274</v>
      </c>
      <c r="AD46" s="26"/>
      <c r="AE46" s="73">
        <f t="shared" si="20"/>
        <v>0.79652421612087132</v>
      </c>
      <c r="AG46" s="73">
        <f t="shared" si="28"/>
        <v>1.2995993745149841</v>
      </c>
      <c r="AH46" s="501">
        <f t="shared" si="25"/>
        <v>8092009.4127996648</v>
      </c>
      <c r="AI46" s="17"/>
      <c r="AJ46" s="61">
        <f t="shared" si="24"/>
        <v>2018</v>
      </c>
      <c r="AK46" s="61"/>
      <c r="AL46" s="259">
        <v>0.91642852683538756</v>
      </c>
      <c r="AM46" s="259">
        <f t="shared" si="27"/>
        <v>1.0612079999999999</v>
      </c>
      <c r="AN46" s="400">
        <v>0.37551512847754281</v>
      </c>
      <c r="AO46" s="435">
        <v>1</v>
      </c>
      <c r="AP46" s="400">
        <f t="shared" si="26"/>
        <v>1.1579822854975554</v>
      </c>
      <c r="AQ46" s="403"/>
      <c r="AR46" s="403"/>
      <c r="AS46" s="69"/>
      <c r="AT46" s="69"/>
      <c r="AU46" s="377"/>
      <c r="AV46" s="61"/>
      <c r="AW46" s="61"/>
      <c r="AY46" s="20"/>
      <c r="BA46" s="6"/>
      <c r="BB46" s="18"/>
      <c r="BC46" s="69"/>
      <c r="BD46" s="32"/>
      <c r="BE46" s="32"/>
      <c r="BF46" s="32"/>
      <c r="BG46" s="32"/>
      <c r="BH46" s="182"/>
      <c r="BI46" s="20"/>
      <c r="BJ46" s="32"/>
      <c r="BK46" s="32"/>
    </row>
    <row r="47" spans="1:63">
      <c r="A47" s="6">
        <f t="shared" si="23"/>
        <v>2019</v>
      </c>
      <c r="C47" s="494">
        <f>'Exhibit U,8'!V28</f>
        <v>6209470.9400000097</v>
      </c>
      <c r="D47" s="494"/>
      <c r="E47" s="494"/>
      <c r="F47" s="494"/>
      <c r="G47" s="494">
        <f>'Exhibit U,8'!AF28</f>
        <v>141428.56999999998</v>
      </c>
      <c r="H47" s="501"/>
      <c r="I47" s="494">
        <f t="shared" si="16"/>
        <v>6068042.3700000094</v>
      </c>
      <c r="J47" s="17"/>
      <c r="K47" s="17"/>
      <c r="L47" s="20"/>
      <c r="M47" s="73">
        <f>'Exhibit U,8'!E28</f>
        <v>0.18300462196474462</v>
      </c>
      <c r="N47" s="73"/>
      <c r="O47" s="73">
        <f>'Exhibit U,9'!E28</f>
        <v>0.421940580545903</v>
      </c>
      <c r="P47" s="20"/>
      <c r="Q47" s="494">
        <f>'Exhibit U,8'!AB28</f>
        <v>720132.63</v>
      </c>
      <c r="R47" s="494"/>
      <c r="S47" s="494">
        <f>'Exhibit U,8'!AG28</f>
        <v>0</v>
      </c>
      <c r="T47" s="494"/>
      <c r="U47" s="17">
        <f>'Exhibit U,8'!AC28</f>
        <v>1608117.88</v>
      </c>
      <c r="V47" s="494"/>
      <c r="W47" s="494">
        <f>'Exhibit U,8'!AH28</f>
        <v>0</v>
      </c>
      <c r="X47" s="187"/>
      <c r="Y47" s="494">
        <f t="shared" si="17"/>
        <v>3935051.5974330516</v>
      </c>
      <c r="Z47" s="494"/>
      <c r="AA47" s="494">
        <f t="shared" si="18"/>
        <v>3811242.5164686251</v>
      </c>
      <c r="AB47" s="187"/>
      <c r="AC47" s="494">
        <f t="shared" si="19"/>
        <v>3811242.5164686251</v>
      </c>
      <c r="AE47" s="73">
        <f t="shared" si="20"/>
        <v>0.62808436132732859</v>
      </c>
      <c r="AG47" s="73">
        <f t="shared" si="28"/>
        <v>1.4552304476736246</v>
      </c>
      <c r="AH47" s="501">
        <f t="shared" si="25"/>
        <v>8830400.0145976357</v>
      </c>
      <c r="AI47" s="17"/>
      <c r="AJ47" s="61">
        <f t="shared" si="24"/>
        <v>2019</v>
      </c>
      <c r="AK47" s="61"/>
      <c r="AL47" s="259">
        <v>0.83478856631281217</v>
      </c>
      <c r="AM47" s="259">
        <f t="shared" si="27"/>
        <v>1.08243216</v>
      </c>
      <c r="AN47" s="400">
        <v>0.21091738697079579</v>
      </c>
      <c r="AO47" s="435">
        <v>1</v>
      </c>
      <c r="AP47" s="400">
        <f t="shared" si="26"/>
        <v>1.2966542711300033</v>
      </c>
      <c r="AQ47" s="403"/>
      <c r="AR47" s="403"/>
      <c r="AS47" s="69"/>
      <c r="AT47" s="69"/>
      <c r="AU47" s="377"/>
      <c r="AV47" s="61"/>
      <c r="AW47" s="61"/>
      <c r="AY47" s="20"/>
      <c r="BA47" s="6"/>
      <c r="BB47" s="18"/>
      <c r="BC47" s="69"/>
      <c r="BD47" s="32"/>
      <c r="BE47" s="32"/>
      <c r="BF47" s="32"/>
      <c r="BG47" s="32"/>
      <c r="BH47" s="182"/>
      <c r="BI47" s="20"/>
      <c r="BJ47" s="32"/>
      <c r="BK47" s="32"/>
    </row>
    <row r="48" spans="1:63">
      <c r="A48" s="6">
        <f t="shared" si="23"/>
        <v>2020</v>
      </c>
      <c r="C48" s="494">
        <f>'Exhibit U,8'!V29</f>
        <v>4965992.7600000119</v>
      </c>
      <c r="D48" s="494"/>
      <c r="E48" s="494"/>
      <c r="F48" s="494"/>
      <c r="G48" s="494">
        <f>'Exhibit U,8'!AF29</f>
        <v>0</v>
      </c>
      <c r="H48" s="501"/>
      <c r="I48" s="494">
        <f t="shared" si="16"/>
        <v>4965992.7600000119</v>
      </c>
      <c r="J48" s="17"/>
      <c r="K48" s="17"/>
      <c r="L48" s="20"/>
      <c r="M48" s="73">
        <f>'Exhibit U,8'!E29</f>
        <v>8.5904619395570272E-2</v>
      </c>
      <c r="N48" s="73"/>
      <c r="O48" s="73">
        <f>'Exhibit U,9'!E29</f>
        <v>0.2244775093118086</v>
      </c>
      <c r="P48" s="20"/>
      <c r="Q48" s="494">
        <f>'Exhibit U,8'!AB29</f>
        <v>289419.82</v>
      </c>
      <c r="R48" s="494"/>
      <c r="S48" s="494">
        <f>'Exhibit U,8'!AG29</f>
        <v>0</v>
      </c>
      <c r="T48" s="494"/>
      <c r="U48" s="17">
        <f>'Exhibit U,8'!AC29</f>
        <v>899244.04</v>
      </c>
      <c r="V48" s="494"/>
      <c r="W48" s="494">
        <f>'Exhibit U,5'!AH29</f>
        <v>0</v>
      </c>
      <c r="X48" s="187"/>
      <c r="Y48" s="494">
        <f t="shared" si="17"/>
        <v>3369083.3163149329</v>
      </c>
      <c r="Z48" s="494"/>
      <c r="AA48" s="494">
        <f t="shared" si="18"/>
        <v>4005942.70115013</v>
      </c>
      <c r="AB48" s="187"/>
      <c r="AC48" s="494">
        <f t="shared" si="19"/>
        <v>4005942.70115013</v>
      </c>
      <c r="AE48" s="73">
        <f t="shared" si="20"/>
        <v>0.80667509896855361</v>
      </c>
      <c r="AG48" s="73">
        <f t="shared" si="28"/>
        <v>1.5731716512452045</v>
      </c>
      <c r="AH48" s="501">
        <f t="shared" si="25"/>
        <v>7812359.0303209489</v>
      </c>
      <c r="AI48" s="17"/>
      <c r="AJ48" s="61">
        <f t="shared" si="24"/>
        <v>2020</v>
      </c>
      <c r="AK48" s="61"/>
      <c r="AL48" s="259">
        <v>0.78764827275446914</v>
      </c>
      <c r="AM48" s="259">
        <f t="shared" si="27"/>
        <v>1.1040808032</v>
      </c>
      <c r="AN48" s="400">
        <v>0.26538307783266668</v>
      </c>
      <c r="AO48" s="435">
        <v>1</v>
      </c>
      <c r="AP48" s="400">
        <f t="shared" si="26"/>
        <v>1.4017434448741199</v>
      </c>
      <c r="AQ48" s="403"/>
      <c r="AR48" s="403"/>
      <c r="AS48" s="69"/>
      <c r="AT48" s="69"/>
      <c r="AU48" s="377"/>
      <c r="AV48" s="61"/>
      <c r="AW48" s="61"/>
      <c r="AY48" s="20"/>
      <c r="BA48" s="6"/>
      <c r="BB48" s="18"/>
      <c r="BC48" s="69"/>
      <c r="BD48" s="32"/>
      <c r="BE48" s="32"/>
      <c r="BF48" s="32"/>
      <c r="BG48" s="32"/>
      <c r="BH48" s="182"/>
      <c r="BI48" s="20"/>
      <c r="BJ48" s="32"/>
      <c r="BK48" s="32"/>
    </row>
    <row r="49" spans="1:68">
      <c r="A49" s="6">
        <f t="shared" si="23"/>
        <v>2021</v>
      </c>
      <c r="C49" s="494">
        <f>'Exhibit U,8'!V30</f>
        <v>3657900.3700000038</v>
      </c>
      <c r="D49" s="494"/>
      <c r="E49" s="494"/>
      <c r="F49" s="494"/>
      <c r="G49" s="494">
        <f>'Exhibit U,8'!AF30</f>
        <v>0</v>
      </c>
      <c r="H49" s="501"/>
      <c r="I49" s="494">
        <f t="shared" si="16"/>
        <v>3657900.3700000038</v>
      </c>
      <c r="J49" s="17"/>
      <c r="K49" s="17"/>
      <c r="L49" s="20"/>
      <c r="M49" s="73">
        <f>'Exhibit U,8'!E30</f>
        <v>2.8952258651229849E-2</v>
      </c>
      <c r="N49" s="73"/>
      <c r="O49" s="73">
        <f>'Exhibit U,9'!E30</f>
        <v>9.0829310618462944E-2</v>
      </c>
      <c r="P49" s="20"/>
      <c r="Q49" s="494">
        <f>'Exhibit U,8'!AB30</f>
        <v>17823.86</v>
      </c>
      <c r="R49" s="494"/>
      <c r="S49" s="494">
        <f>'Exhibit U,8'!AG30</f>
        <v>0</v>
      </c>
      <c r="T49" s="494"/>
      <c r="U49" s="17">
        <f>'Exhibit U,8'!AC30</f>
        <v>356398.98</v>
      </c>
      <c r="V49" s="494"/>
      <c r="W49" s="494">
        <f>'Exhibit U,5'!AH30</f>
        <v>0</v>
      </c>
      <c r="X49" s="187"/>
      <c r="Y49" s="494">
        <f t="shared" si="17"/>
        <v>615629.34397323325</v>
      </c>
      <c r="Z49" s="494"/>
      <c r="AA49" s="494">
        <f t="shared" si="18"/>
        <v>3923832.2692669923</v>
      </c>
      <c r="AB49" s="187"/>
      <c r="AC49" s="494">
        <f t="shared" si="19"/>
        <v>3923832.2692669923</v>
      </c>
      <c r="AE49" s="73">
        <f t="shared" si="20"/>
        <v>1.0727006950347826</v>
      </c>
      <c r="AG49" s="73">
        <f t="shared" si="28"/>
        <v>1.4912224232863143</v>
      </c>
      <c r="AH49" s="501">
        <f t="shared" si="25"/>
        <v>5454743.0538913114</v>
      </c>
      <c r="AI49" s="17"/>
      <c r="AJ49" s="61">
        <f t="shared" si="24"/>
        <v>2021</v>
      </c>
      <c r="AK49" s="61"/>
      <c r="AL49" s="259">
        <v>0.84755166820872507</v>
      </c>
      <c r="AM49" s="259">
        <f t="shared" si="27"/>
        <v>1.1261624192640001</v>
      </c>
      <c r="AN49" s="400">
        <v>0.3</v>
      </c>
      <c r="AO49" s="436">
        <v>1</v>
      </c>
      <c r="AP49" s="400">
        <f t="shared" si="26"/>
        <v>1.32872420821743</v>
      </c>
      <c r="AQ49" s="403"/>
      <c r="AR49" s="403"/>
      <c r="AS49" s="69"/>
      <c r="AT49" s="69"/>
      <c r="AU49" s="377"/>
      <c r="AV49" s="259"/>
      <c r="AW49" s="221"/>
      <c r="AX49" s="182"/>
      <c r="AY49" s="20"/>
      <c r="BA49" s="6"/>
      <c r="BB49" s="18"/>
      <c r="BC49" s="31"/>
      <c r="BD49" s="32"/>
      <c r="BE49" s="32"/>
      <c r="BF49" s="32"/>
      <c r="BG49" s="182"/>
      <c r="BH49" s="182"/>
      <c r="BI49" s="20"/>
      <c r="BJ49" s="32"/>
      <c r="BK49" s="32"/>
    </row>
    <row r="50" spans="1:68">
      <c r="A50" s="6">
        <f t="shared" si="23"/>
        <v>2022</v>
      </c>
      <c r="C50" s="494">
        <f>'Exhibit U,8'!V31</f>
        <v>4017772.8</v>
      </c>
      <c r="D50" s="494"/>
      <c r="E50" s="494"/>
      <c r="F50" s="494"/>
      <c r="G50" s="494">
        <f>'Exhibit U,8'!AF31</f>
        <v>0</v>
      </c>
      <c r="H50" s="501"/>
      <c r="I50" s="494">
        <f t="shared" si="16"/>
        <v>4017772.8</v>
      </c>
      <c r="J50" s="17"/>
      <c r="K50" s="17"/>
      <c r="L50" s="20"/>
      <c r="M50" s="73">
        <f>'Exhibit U,8'!E31</f>
        <v>2.9897632875965237E-3</v>
      </c>
      <c r="N50" s="73"/>
      <c r="O50" s="73">
        <f>'Exhibit U,9'!E31</f>
        <v>2.1664952564228054E-2</v>
      </c>
      <c r="P50" s="20"/>
      <c r="Q50" s="494">
        <f>'Exhibit U,8'!AB31</f>
        <v>4500</v>
      </c>
      <c r="R50" s="494"/>
      <c r="S50" s="494">
        <f>'Exhibit U,8'!AG31</f>
        <v>0</v>
      </c>
      <c r="T50" s="494"/>
      <c r="U50" s="17">
        <f>'Exhibit U,8'!AC31</f>
        <v>32500</v>
      </c>
      <c r="V50" s="494"/>
      <c r="W50" s="494">
        <f>'Exhibit U,5'!AH31</f>
        <v>0</v>
      </c>
      <c r="X50" s="187"/>
      <c r="Y50" s="494">
        <f t="shared" ref="Y50" si="29">(Q50-S50)/M50</f>
        <v>1505135.8810474786</v>
      </c>
      <c r="Z50" s="494"/>
      <c r="AA50" s="494">
        <f t="shared" ref="AA50" si="30">(U50-W50)/O50</f>
        <v>1500118.6780192708</v>
      </c>
      <c r="AB50" s="187"/>
      <c r="AC50" s="494">
        <f t="shared" ref="AC50" si="31">AA50</f>
        <v>1500118.6780192708</v>
      </c>
      <c r="AD50" s="18"/>
      <c r="AE50" s="73">
        <f t="shared" si="20"/>
        <v>0.37337070877160372</v>
      </c>
      <c r="AG50" s="73">
        <f>AE$53*AP50</f>
        <v>1.3885938046830233</v>
      </c>
      <c r="AH50" s="501">
        <f t="shared" si="25"/>
        <v>5579054.418703963</v>
      </c>
      <c r="AI50" s="147"/>
      <c r="AJ50" s="61">
        <f t="shared" si="24"/>
        <v>2022</v>
      </c>
      <c r="AK50" s="61"/>
      <c r="AL50" s="259">
        <v>0.92839663350751056</v>
      </c>
      <c r="AM50" s="259">
        <f t="shared" si="27"/>
        <v>1.14868566764928</v>
      </c>
      <c r="AN50" s="400">
        <v>0.3</v>
      </c>
      <c r="AO50" s="436">
        <v>1</v>
      </c>
      <c r="AP50" s="400">
        <f>AM50/AL50*AO50</f>
        <v>1.2372790100600761</v>
      </c>
      <c r="AQ50" s="403"/>
      <c r="AR50" s="403"/>
      <c r="AS50" s="69"/>
      <c r="AT50" s="69"/>
      <c r="AU50" s="377"/>
      <c r="AV50" s="259"/>
      <c r="AW50" s="205"/>
      <c r="AX50" s="182"/>
      <c r="AY50" s="20"/>
      <c r="BA50" s="6"/>
      <c r="BB50" s="18"/>
      <c r="BC50" s="18"/>
      <c r="BG50" s="95"/>
      <c r="BH50" s="182"/>
      <c r="BI50" s="20"/>
      <c r="BK50" s="32"/>
    </row>
    <row r="51" spans="1:68">
      <c r="A51" s="6"/>
      <c r="C51" s="200"/>
      <c r="D51" s="18"/>
      <c r="E51" s="18"/>
      <c r="F51" s="18"/>
      <c r="G51" s="200"/>
      <c r="I51" s="200"/>
      <c r="K51" s="18"/>
      <c r="L51" s="18"/>
      <c r="M51" s="74"/>
      <c r="N51" s="74"/>
      <c r="O51" s="74"/>
      <c r="P51" s="18"/>
      <c r="Q51" s="200"/>
      <c r="R51" s="18"/>
      <c r="S51" s="200"/>
      <c r="T51" s="18"/>
      <c r="U51" s="200"/>
      <c r="W51" s="200"/>
      <c r="X51" s="18"/>
      <c r="Y51" s="200"/>
      <c r="Z51" s="18"/>
      <c r="AA51" s="200"/>
      <c r="AC51" s="200"/>
      <c r="AD51" s="18"/>
      <c r="AE51" s="200"/>
      <c r="AF51" s="200"/>
      <c r="AG51" s="200"/>
      <c r="AH51" s="200"/>
      <c r="AI51" s="200"/>
      <c r="AJ51" s="69"/>
      <c r="AK51" s="25"/>
      <c r="AL51" s="25"/>
      <c r="AM51" s="25"/>
      <c r="AN51" s="25"/>
      <c r="AO51" s="25"/>
      <c r="AP51" s="61"/>
      <c r="AQ51" s="61"/>
      <c r="AR51" s="61"/>
      <c r="AS51" s="25"/>
      <c r="AT51" s="61"/>
      <c r="AU51" s="61"/>
      <c r="AV51" s="61"/>
      <c r="AW51" s="61"/>
      <c r="BA51" s="6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</row>
    <row r="52" spans="1:68">
      <c r="A52" s="2" t="s">
        <v>0</v>
      </c>
      <c r="C52" s="147">
        <f>SUM(C36:C51)</f>
        <v>94546287.280000031</v>
      </c>
      <c r="D52" s="147"/>
      <c r="E52" s="147"/>
      <c r="F52" s="147"/>
      <c r="G52" s="147">
        <f>SUM(G36:G51)</f>
        <v>5798013.3099999996</v>
      </c>
      <c r="H52" s="147"/>
      <c r="I52" s="147">
        <f>SUM(I36:I51)</f>
        <v>88748273.970000044</v>
      </c>
      <c r="K52" s="18"/>
      <c r="L52" s="18"/>
      <c r="M52" s="74"/>
      <c r="N52" s="74"/>
      <c r="O52" s="74"/>
      <c r="P52" s="18"/>
      <c r="Q52" s="147">
        <f>SUM(Q36:Q51)</f>
        <v>87322703.189999983</v>
      </c>
      <c r="R52" s="147"/>
      <c r="S52" s="147">
        <f>SUM(S36:S51)</f>
        <v>9178321.4999999963</v>
      </c>
      <c r="T52" s="147"/>
      <c r="U52" s="147">
        <f>SUM(U36:U51)</f>
        <v>103149475.58999999</v>
      </c>
      <c r="V52" s="147"/>
      <c r="W52" s="147">
        <f>SUM(W36:W51)</f>
        <v>9790023.0400000028</v>
      </c>
      <c r="X52" s="147"/>
      <c r="Y52" s="147">
        <f>SUM(Y36:Y51)</f>
        <v>101721669.9878981</v>
      </c>
      <c r="Z52" s="147"/>
      <c r="AA52" s="147">
        <f>SUM(AA36:AA51)</f>
        <v>108340679.01742214</v>
      </c>
      <c r="AB52" s="147"/>
      <c r="AC52" s="147">
        <f>SUM(AC36:AC51)</f>
        <v>108340679.01742214</v>
      </c>
      <c r="AD52" s="18"/>
      <c r="AE52" s="73">
        <f>SUMPRODUCT($I36:$I50,AE36:AE50)/$I52</f>
        <v>1.0789852558686568</v>
      </c>
      <c r="AF52" s="19"/>
      <c r="AG52" s="73">
        <f>SUMPRODUCT($I36:$I50,AG36:AG50)/$I52</f>
        <v>1.2983443426294061</v>
      </c>
      <c r="AH52" s="147">
        <f>SUM(AH36:AH51)</f>
        <v>127808419.34707414</v>
      </c>
      <c r="AI52" s="147">
        <f>SUM(AI36:AI51)</f>
        <v>0</v>
      </c>
      <c r="AK52" s="61"/>
      <c r="AL52" s="377"/>
      <c r="AM52" s="376" t="s">
        <v>1673</v>
      </c>
      <c r="AN52" s="376">
        <v>0.2956487851289899</v>
      </c>
      <c r="AO52" s="97"/>
      <c r="AP52" s="61"/>
      <c r="AQ52" s="137"/>
      <c r="AR52" s="137"/>
      <c r="AS52" s="137"/>
      <c r="AT52" s="137"/>
      <c r="AU52" s="377"/>
      <c r="AV52" s="61"/>
      <c r="AW52" s="223"/>
      <c r="AX52" s="19"/>
      <c r="AY52" s="19"/>
      <c r="BA52" s="2"/>
      <c r="BB52" s="19"/>
      <c r="BC52" s="19"/>
      <c r="BD52" s="19"/>
      <c r="BE52" s="19"/>
      <c r="BF52" s="19"/>
      <c r="BG52" s="19"/>
      <c r="BH52" s="19"/>
      <c r="BI52" s="19"/>
      <c r="BJ52" s="95"/>
      <c r="BK52" s="32"/>
    </row>
    <row r="53" spans="1:68">
      <c r="A53" s="1" t="s">
        <v>1497</v>
      </c>
      <c r="AE53" s="55">
        <f>SUM(AC41:AC46)/SUM(I41:I46)</f>
        <v>1.1222964209306356</v>
      </c>
      <c r="AG53" s="64" t="s">
        <v>1676</v>
      </c>
      <c r="AH53" s="147">
        <f>AH52-AH50</f>
        <v>122229364.92837018</v>
      </c>
      <c r="AJ53" s="339"/>
      <c r="AK53" s="61"/>
      <c r="AL53" s="377"/>
      <c r="AM53" s="61"/>
      <c r="AN53" s="61"/>
      <c r="AO53" s="61"/>
      <c r="AP53" s="61"/>
      <c r="AQ53" s="61"/>
      <c r="AR53" s="61"/>
      <c r="AS53" s="61"/>
      <c r="AT53" s="61"/>
      <c r="AU53" s="61"/>
      <c r="AV53" s="61"/>
      <c r="AW53" s="61"/>
      <c r="BK53" s="32"/>
    </row>
    <row r="54" spans="1:68">
      <c r="AE54" s="55"/>
      <c r="AG54" s="3"/>
      <c r="AJ54" s="61"/>
      <c r="AK54" s="223"/>
      <c r="AL54" s="61"/>
      <c r="AM54" s="61"/>
      <c r="AN54" s="61"/>
      <c r="AO54" s="61"/>
      <c r="AP54" s="61"/>
      <c r="AQ54" s="61"/>
      <c r="AR54" s="61"/>
      <c r="AS54" s="61"/>
      <c r="AT54" s="61"/>
      <c r="AU54" s="61"/>
      <c r="AV54" s="61"/>
      <c r="AW54" s="61"/>
      <c r="BK54" s="32"/>
    </row>
    <row r="55" spans="1:68">
      <c r="AG55" s="595"/>
      <c r="AH55" s="19"/>
      <c r="AI55" s="19"/>
      <c r="AK55" s="61"/>
      <c r="AL55" s="61"/>
      <c r="AM55" s="61"/>
      <c r="AN55" s="61"/>
      <c r="AO55" s="61"/>
      <c r="AP55" s="61"/>
      <c r="AQ55" s="61"/>
      <c r="AR55" s="61"/>
      <c r="AS55" s="61"/>
      <c r="AT55" s="61"/>
      <c r="AU55" s="61"/>
      <c r="AV55" s="61"/>
      <c r="AW55" s="61"/>
      <c r="BK55" s="32"/>
    </row>
    <row r="56" spans="1:68">
      <c r="AG56" s="3"/>
      <c r="AK56" s="402" t="s">
        <v>1493</v>
      </c>
      <c r="AL56" s="61"/>
      <c r="AM56" s="61"/>
      <c r="AN56" s="61"/>
      <c r="AO56" s="61"/>
      <c r="AP56" s="61"/>
      <c r="AQ56" s="61"/>
      <c r="AR56" s="61"/>
      <c r="AS56" s="61"/>
      <c r="AT56" s="61"/>
      <c r="AU56" s="61"/>
      <c r="AV56" s="61"/>
      <c r="AW56" s="61"/>
      <c r="BK56" s="32"/>
    </row>
    <row r="57" spans="1:68">
      <c r="A57" s="64" t="s">
        <v>104</v>
      </c>
      <c r="C57" s="3" t="s">
        <v>1004</v>
      </c>
      <c r="AG57" s="3"/>
      <c r="AK57" s="402" t="s">
        <v>1396</v>
      </c>
      <c r="AL57" s="61"/>
      <c r="AM57" s="61"/>
      <c r="AN57" s="61"/>
      <c r="AO57" s="61"/>
      <c r="AP57" s="61"/>
      <c r="AQ57" s="61"/>
      <c r="AR57" s="61"/>
      <c r="AS57" s="61"/>
      <c r="AT57" s="61"/>
      <c r="AU57" s="61"/>
      <c r="AV57" s="61"/>
      <c r="AW57" s="61"/>
      <c r="BK57" s="32"/>
    </row>
    <row r="58" spans="1:68">
      <c r="A58" s="52" t="s">
        <v>36</v>
      </c>
      <c r="C58" s="3" t="s">
        <v>1004</v>
      </c>
      <c r="AG58" s="3"/>
      <c r="AK58" s="121" t="s">
        <v>1467</v>
      </c>
      <c r="AL58" s="61"/>
      <c r="AM58" s="61"/>
      <c r="AN58" s="61"/>
      <c r="AO58" s="61"/>
      <c r="AP58" s="61"/>
      <c r="AQ58" s="61"/>
      <c r="AR58" s="61"/>
      <c r="AS58" s="61"/>
      <c r="AT58" s="61"/>
      <c r="AU58" s="61"/>
      <c r="AV58" s="61"/>
      <c r="AW58" s="61"/>
      <c r="BK58" s="32"/>
    </row>
    <row r="59" spans="1:68">
      <c r="A59" s="52" t="s">
        <v>38</v>
      </c>
      <c r="C59" s="3" t="s">
        <v>389</v>
      </c>
      <c r="AG59" s="3"/>
      <c r="AK59" s="61"/>
      <c r="AL59" s="61"/>
      <c r="AM59" s="61"/>
      <c r="AN59" s="61"/>
      <c r="AO59" s="61"/>
      <c r="AP59" s="61"/>
      <c r="AQ59" s="61"/>
      <c r="AR59" s="61"/>
      <c r="AS59" s="61"/>
      <c r="AT59" s="61"/>
      <c r="AU59" s="61"/>
      <c r="AV59" s="61"/>
      <c r="AW59" s="61"/>
      <c r="BK59" s="32"/>
    </row>
    <row r="60" spans="1:68">
      <c r="A60" s="52" t="s">
        <v>40</v>
      </c>
      <c r="C60" s="3" t="s">
        <v>1565</v>
      </c>
      <c r="AG60" s="3"/>
      <c r="AK60" s="61"/>
      <c r="AL60" s="61"/>
      <c r="AM60" s="61"/>
      <c r="AN60" s="61"/>
      <c r="AO60" s="61"/>
      <c r="AP60" s="61"/>
      <c r="AQ60" s="61"/>
      <c r="AR60" s="61"/>
      <c r="AS60" s="61"/>
      <c r="AT60" s="61"/>
      <c r="AU60" s="61"/>
      <c r="AV60" s="61"/>
      <c r="AW60" s="61"/>
      <c r="BK60" s="32"/>
    </row>
    <row r="61" spans="1:68">
      <c r="A61" s="64" t="s">
        <v>42</v>
      </c>
      <c r="C61" s="3" t="s">
        <v>1566</v>
      </c>
      <c r="AG61" s="3"/>
      <c r="BK61" s="32"/>
      <c r="BP61" s="1" t="s">
        <v>626</v>
      </c>
    </row>
    <row r="62" spans="1:68">
      <c r="A62" s="64" t="s">
        <v>630</v>
      </c>
      <c r="C62" s="3" t="s">
        <v>1638</v>
      </c>
      <c r="AG62" s="3"/>
      <c r="BK62" s="32"/>
    </row>
    <row r="63" spans="1:68">
      <c r="A63" s="64" t="s">
        <v>108</v>
      </c>
      <c r="C63" s="3" t="s">
        <v>631</v>
      </c>
      <c r="AG63" s="3"/>
      <c r="BK63" s="32"/>
    </row>
    <row r="64" spans="1:68">
      <c r="A64" s="64" t="s">
        <v>134</v>
      </c>
      <c r="C64" s="3" t="s">
        <v>632</v>
      </c>
      <c r="AG64" s="3"/>
      <c r="BK64" s="32"/>
    </row>
    <row r="65" spans="1:63">
      <c r="A65" s="64" t="s">
        <v>345</v>
      </c>
      <c r="C65" s="3" t="s">
        <v>633</v>
      </c>
      <c r="AG65" s="3"/>
      <c r="BK65" s="32"/>
    </row>
    <row r="66" spans="1:63">
      <c r="A66" s="64" t="s">
        <v>571</v>
      </c>
      <c r="C66" s="23" t="s">
        <v>1397</v>
      </c>
      <c r="AG66" s="3"/>
      <c r="BK66" s="32"/>
    </row>
    <row r="67" spans="1:63">
      <c r="A67" s="64" t="s">
        <v>599</v>
      </c>
      <c r="C67" s="3" t="s">
        <v>1623</v>
      </c>
    </row>
    <row r="68" spans="1:63">
      <c r="C68" s="140"/>
    </row>
    <row r="69" spans="1:63">
      <c r="C69" s="60"/>
    </row>
    <row r="70" spans="1:63">
      <c r="C70" s="60"/>
    </row>
    <row r="72" spans="1:63">
      <c r="A72" s="64"/>
    </row>
  </sheetData>
  <printOptions horizontalCentered="1"/>
  <pageMargins left="0.7" right="0.7" top="0.75" bottom="0.75" header="0.3" footer="0.3"/>
  <pageSetup scale="45" orientation="landscape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3">
    <pageSetUpPr fitToPage="1"/>
  </sheetPr>
  <dimension ref="A1:AA84"/>
  <sheetViews>
    <sheetView zoomScaleNormal="100" workbookViewId="0">
      <selection activeCell="C31" sqref="C31"/>
    </sheetView>
  </sheetViews>
  <sheetFormatPr baseColWidth="10" defaultColWidth="8.7109375" defaultRowHeight="15"/>
  <cols>
    <col min="1" max="1" width="15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2.7109375" style="1" customWidth="1"/>
    <col min="12" max="12" width="1.7109375" style="1" customWidth="1"/>
    <col min="13" max="13" width="12.7109375" style="1" customWidth="1"/>
    <col min="14" max="14" width="1.7109375" style="1" customWidth="1"/>
    <col min="15" max="15" width="12.7109375" style="1" customWidth="1"/>
    <col min="16" max="16" width="1.7109375" style="1" customWidth="1"/>
    <col min="17" max="17" width="12.7109375" style="1" bestFit="1" customWidth="1"/>
    <col min="18" max="18" width="12" style="1" bestFit="1" customWidth="1"/>
    <col min="19" max="20" width="12.7109375" style="1" customWidth="1"/>
    <col min="21" max="21" width="13.7109375" style="1" customWidth="1"/>
    <col min="22" max="27" width="12.7109375" style="1" customWidth="1"/>
    <col min="28" max="16384" width="8.7109375" style="1"/>
  </cols>
  <sheetData>
    <row r="1" spans="1:27">
      <c r="O1" s="52" t="s">
        <v>955</v>
      </c>
    </row>
    <row r="2" spans="1:27">
      <c r="O2" s="64" t="s">
        <v>966</v>
      </c>
      <c r="Q2" s="3"/>
    </row>
    <row r="3" spans="1:27">
      <c r="O3" s="3"/>
      <c r="Q3" s="3"/>
    </row>
    <row r="4" spans="1:27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6" spans="1:27">
      <c r="A6" s="5" t="s">
        <v>624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</row>
    <row r="7" spans="1:27">
      <c r="A7" s="5" t="s">
        <v>118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27">
      <c r="A8" s="5" t="s">
        <v>157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Q8" s="6"/>
      <c r="S8" s="352"/>
      <c r="T8" s="352"/>
      <c r="U8" s="352"/>
    </row>
    <row r="9" spans="1:27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Q9" s="6"/>
      <c r="S9" s="352"/>
      <c r="T9" s="352"/>
      <c r="U9" s="352"/>
    </row>
    <row r="10" spans="1:27">
      <c r="A10" s="5"/>
      <c r="B10" s="5"/>
      <c r="C10" s="6" t="s">
        <v>9</v>
      </c>
      <c r="D10" s="6"/>
      <c r="E10" s="6"/>
      <c r="F10" s="6"/>
      <c r="G10" s="6" t="s">
        <v>17</v>
      </c>
      <c r="H10" s="6"/>
      <c r="I10" s="6" t="s">
        <v>9</v>
      </c>
      <c r="J10" s="6"/>
      <c r="K10" s="6" t="s">
        <v>17</v>
      </c>
      <c r="L10" s="6"/>
      <c r="M10" s="6" t="s">
        <v>17</v>
      </c>
      <c r="N10" s="6"/>
      <c r="O10" s="6" t="s">
        <v>17</v>
      </c>
      <c r="P10" s="6"/>
      <c r="Q10" s="2"/>
      <c r="S10" s="6"/>
      <c r="T10" s="6"/>
      <c r="U10" s="6"/>
      <c r="V10" s="6"/>
      <c r="W10" s="6"/>
    </row>
    <row r="11" spans="1:27">
      <c r="C11" s="6" t="s">
        <v>562</v>
      </c>
      <c r="E11" s="207" t="s">
        <v>1</v>
      </c>
      <c r="G11" s="6" t="s">
        <v>562</v>
      </c>
      <c r="I11" s="6" t="s">
        <v>561</v>
      </c>
      <c r="K11" s="6" t="s">
        <v>561</v>
      </c>
      <c r="M11" s="6" t="s">
        <v>561</v>
      </c>
      <c r="O11" s="6" t="s">
        <v>561</v>
      </c>
      <c r="Q11" s="2"/>
      <c r="R11" s="5"/>
      <c r="S11" s="2"/>
      <c r="T11" s="2"/>
      <c r="U11" s="2"/>
      <c r="V11" s="352"/>
      <c r="W11" s="352"/>
      <c r="X11" s="208"/>
      <c r="Y11" s="208"/>
      <c r="AA11" s="208"/>
    </row>
    <row r="12" spans="1:27">
      <c r="C12" s="2" t="s">
        <v>565</v>
      </c>
      <c r="E12" s="6" t="s">
        <v>572</v>
      </c>
      <c r="G12" s="2" t="s">
        <v>565</v>
      </c>
      <c r="H12" s="2"/>
      <c r="I12" s="2" t="s">
        <v>565</v>
      </c>
      <c r="K12" s="2" t="s">
        <v>565</v>
      </c>
      <c r="L12" s="5"/>
      <c r="M12" s="2" t="s">
        <v>565</v>
      </c>
      <c r="N12" s="5"/>
      <c r="O12" s="2" t="s">
        <v>565</v>
      </c>
      <c r="Q12" s="2"/>
      <c r="R12" s="20"/>
      <c r="S12" s="6"/>
      <c r="T12" s="6"/>
      <c r="U12" s="6"/>
      <c r="V12" s="6"/>
      <c r="W12" s="6"/>
      <c r="X12" s="6"/>
      <c r="Y12" s="6"/>
      <c r="AA12" s="6"/>
    </row>
    <row r="13" spans="1:27">
      <c r="A13" s="2" t="s">
        <v>3</v>
      </c>
      <c r="C13" s="2" t="s">
        <v>1</v>
      </c>
      <c r="E13" s="2" t="s">
        <v>9</v>
      </c>
      <c r="F13" s="2"/>
      <c r="G13" s="2" t="s">
        <v>7</v>
      </c>
      <c r="H13" s="2"/>
      <c r="I13" s="2" t="s">
        <v>7</v>
      </c>
      <c r="K13" s="2" t="s">
        <v>12</v>
      </c>
      <c r="L13" s="20"/>
      <c r="M13" s="2" t="s">
        <v>381</v>
      </c>
      <c r="N13" s="20"/>
      <c r="O13" s="2" t="s">
        <v>7</v>
      </c>
      <c r="Q13" s="2"/>
      <c r="R13" s="20"/>
      <c r="Y13" s="6"/>
      <c r="AA13" s="6"/>
    </row>
    <row r="14" spans="1:27">
      <c r="A14" s="6" t="s">
        <v>4</v>
      </c>
      <c r="B14" s="6"/>
      <c r="C14" s="2" t="s">
        <v>55</v>
      </c>
      <c r="E14" s="2" t="s">
        <v>109</v>
      </c>
      <c r="F14" s="2"/>
      <c r="G14" s="2" t="s">
        <v>55</v>
      </c>
      <c r="H14" s="2"/>
      <c r="I14" s="2" t="s">
        <v>55</v>
      </c>
      <c r="K14" s="2" t="s">
        <v>55</v>
      </c>
      <c r="L14" s="20"/>
      <c r="M14" s="2" t="s">
        <v>55</v>
      </c>
      <c r="N14" s="20"/>
      <c r="O14" s="2" t="s">
        <v>55</v>
      </c>
      <c r="Q14" s="2"/>
      <c r="R14" s="6"/>
      <c r="Y14" s="2"/>
      <c r="Z14" s="6"/>
      <c r="AA14" s="2"/>
    </row>
    <row r="15" spans="1:27">
      <c r="A15" s="9">
        <v>-1</v>
      </c>
      <c r="B15" s="11"/>
      <c r="C15" s="9">
        <v>-2</v>
      </c>
      <c r="E15" s="9">
        <v>-3</v>
      </c>
      <c r="F15" s="11"/>
      <c r="G15" s="9">
        <v>-4</v>
      </c>
      <c r="H15" s="11"/>
      <c r="I15" s="9">
        <v>-5</v>
      </c>
      <c r="K15" s="9">
        <v>-6</v>
      </c>
      <c r="L15" s="20"/>
      <c r="M15" s="9">
        <v>-7</v>
      </c>
      <c r="N15" s="20"/>
      <c r="O15" s="9">
        <v>-8</v>
      </c>
      <c r="Q15" s="26"/>
      <c r="Y15" s="6"/>
      <c r="Z15" s="6"/>
      <c r="AA15" s="6"/>
    </row>
    <row r="16" spans="1:27">
      <c r="L16" s="6"/>
      <c r="M16" s="6"/>
      <c r="N16" s="6"/>
      <c r="Y16" s="97"/>
    </row>
    <row r="17" spans="1:27" ht="16">
      <c r="A17" s="175" t="s">
        <v>160</v>
      </c>
      <c r="L17" s="6"/>
      <c r="M17" s="6"/>
      <c r="N17" s="6"/>
      <c r="R17" s="6"/>
      <c r="Y17" s="97"/>
    </row>
    <row r="18" spans="1:27">
      <c r="A18" s="6">
        <v>2008</v>
      </c>
      <c r="C18" s="497">
        <f>'Exhibit U,4'!K17</f>
        <v>577451.15</v>
      </c>
      <c r="E18" s="73">
        <v>1</v>
      </c>
      <c r="G18" s="497">
        <f>C18*E18</f>
        <v>577451.15</v>
      </c>
      <c r="H18" s="147"/>
      <c r="I18" s="497">
        <f>'Exhibit U,10'!I17</f>
        <v>0</v>
      </c>
      <c r="J18" s="147"/>
      <c r="K18" s="497">
        <f>'Exhibit U,5'!AH36</f>
        <v>0</v>
      </c>
      <c r="L18" s="508"/>
      <c r="M18" s="530">
        <f>'Exhibit U,10'!T17</f>
        <v>0</v>
      </c>
      <c r="N18" s="508"/>
      <c r="O18" s="497">
        <f>K18+M18</f>
        <v>0</v>
      </c>
      <c r="Q18" s="26"/>
      <c r="R18" s="6"/>
      <c r="Y18" s="210"/>
      <c r="Z18" s="16"/>
      <c r="AA18" s="211"/>
    </row>
    <row r="19" spans="1:27">
      <c r="A19" s="6">
        <f>A18+1</f>
        <v>2009</v>
      </c>
      <c r="C19" s="20">
        <f>'Exhibit U,4'!K18</f>
        <v>28875.5</v>
      </c>
      <c r="E19" s="73">
        <v>1</v>
      </c>
      <c r="G19" s="532">
        <f t="shared" ref="G19:G32" si="0">C19*E19</f>
        <v>28875.5</v>
      </c>
      <c r="H19" s="533"/>
      <c r="I19" s="532">
        <f>'Exhibit U,10'!I18</f>
        <v>0</v>
      </c>
      <c r="J19" s="533"/>
      <c r="K19" s="20">
        <f>'Exhibit U,5'!AH37</f>
        <v>0</v>
      </c>
      <c r="L19" s="532"/>
      <c r="M19" s="442">
        <f>'Exhibit U,10'!T18</f>
        <v>0</v>
      </c>
      <c r="N19" s="532"/>
      <c r="O19" s="20">
        <f t="shared" ref="O19:O32" si="1">K19+M19</f>
        <v>0</v>
      </c>
      <c r="Q19" s="17"/>
      <c r="R19" s="6"/>
      <c r="S19" s="20"/>
      <c r="U19" s="179"/>
      <c r="V19" s="179"/>
      <c r="W19" s="179"/>
      <c r="X19" s="20"/>
      <c r="Y19" s="212"/>
      <c r="Z19" s="17"/>
      <c r="AA19" s="17"/>
    </row>
    <row r="20" spans="1:27">
      <c r="A20" s="6">
        <f t="shared" ref="A20:A32" si="2">A19+1</f>
        <v>2010</v>
      </c>
      <c r="C20" s="20">
        <f>'Exhibit U,4'!K19</f>
        <v>1056390.7999999998</v>
      </c>
      <c r="E20" s="73">
        <v>1</v>
      </c>
      <c r="G20" s="532">
        <f t="shared" si="0"/>
        <v>1056390.7999999998</v>
      </c>
      <c r="H20" s="533"/>
      <c r="I20" s="532">
        <f>'Exhibit U,10'!I19</f>
        <v>0</v>
      </c>
      <c r="J20" s="533"/>
      <c r="K20" s="20">
        <f>'Exhibit U,5'!AH38</f>
        <v>0</v>
      </c>
      <c r="L20" s="532"/>
      <c r="M20" s="442">
        <f>'Exhibit U,10'!T19</f>
        <v>0</v>
      </c>
      <c r="N20" s="532"/>
      <c r="O20" s="20">
        <f t="shared" si="1"/>
        <v>0</v>
      </c>
      <c r="Q20" s="17"/>
      <c r="R20" s="6"/>
      <c r="S20" s="20"/>
      <c r="U20" s="179"/>
      <c r="V20" s="179"/>
      <c r="W20" s="179"/>
      <c r="X20" s="20"/>
      <c r="Y20" s="212"/>
      <c r="Z20" s="17"/>
      <c r="AA20" s="17"/>
    </row>
    <row r="21" spans="1:27">
      <c r="A21" s="6">
        <f t="shared" si="2"/>
        <v>2011</v>
      </c>
      <c r="C21" s="20">
        <f>'Exhibit U,4'!K20</f>
        <v>640869.17000000004</v>
      </c>
      <c r="E21" s="73">
        <v>1</v>
      </c>
      <c r="G21" s="532">
        <f t="shared" si="0"/>
        <v>640869.17000000004</v>
      </c>
      <c r="H21" s="533"/>
      <c r="I21" s="532">
        <f>'Exhibit U,10'!I20</f>
        <v>10337.04999999993</v>
      </c>
      <c r="J21" s="533"/>
      <c r="K21" s="20">
        <f>'Exhibit U,5'!AH39</f>
        <v>10337.04999999993</v>
      </c>
      <c r="L21" s="532"/>
      <c r="M21" s="442">
        <f>'Exhibit U,10'!T20</f>
        <v>0</v>
      </c>
      <c r="N21" s="532"/>
      <c r="O21" s="20">
        <f t="shared" si="1"/>
        <v>10337.04999999993</v>
      </c>
      <c r="Q21" s="17"/>
      <c r="R21" s="6"/>
      <c r="S21" s="20"/>
      <c r="U21" s="179"/>
      <c r="V21" s="179"/>
      <c r="W21" s="179"/>
      <c r="X21" s="20"/>
      <c r="Y21" s="212"/>
      <c r="Z21" s="17"/>
      <c r="AA21" s="17"/>
    </row>
    <row r="22" spans="1:27">
      <c r="A22" s="6">
        <f t="shared" si="2"/>
        <v>2012</v>
      </c>
      <c r="C22" s="20">
        <f>'Exhibit U,4'!K21</f>
        <v>4744399.03</v>
      </c>
      <c r="E22" s="73">
        <v>0.88004012175173207</v>
      </c>
      <c r="G22" s="532">
        <f t="shared" si="0"/>
        <v>4175261.5</v>
      </c>
      <c r="H22" s="533"/>
      <c r="I22" s="532">
        <f>'Exhibit U,10'!I21</f>
        <v>1240857.4300000002</v>
      </c>
      <c r="J22" s="533"/>
      <c r="K22" s="20">
        <f>'Exhibit U,5'!AH40</f>
        <v>871981.25</v>
      </c>
      <c r="L22" s="532"/>
      <c r="M22" s="442">
        <f>'Exhibit U,10'!T21</f>
        <v>0</v>
      </c>
      <c r="N22" s="532"/>
      <c r="O22" s="20">
        <f t="shared" si="1"/>
        <v>871981.25</v>
      </c>
      <c r="Q22" s="17"/>
      <c r="R22" s="6"/>
      <c r="S22" s="66"/>
      <c r="T22" s="21"/>
      <c r="U22" s="178"/>
      <c r="V22" s="178"/>
      <c r="W22" s="178"/>
      <c r="X22" s="20"/>
      <c r="Y22" s="212"/>
      <c r="Z22" s="17"/>
      <c r="AA22" s="17"/>
    </row>
    <row r="23" spans="1:27">
      <c r="A23" s="6">
        <f t="shared" si="2"/>
        <v>2013</v>
      </c>
      <c r="C23" s="20">
        <f>'Exhibit U,4'!K22</f>
        <v>714842.25</v>
      </c>
      <c r="E23" s="73">
        <v>1</v>
      </c>
      <c r="G23" s="532">
        <f t="shared" si="0"/>
        <v>714842.25</v>
      </c>
      <c r="H23" s="533"/>
      <c r="I23" s="532">
        <f>'Exhibit U,10'!I22</f>
        <v>464744.67</v>
      </c>
      <c r="J23" s="533"/>
      <c r="K23" s="20">
        <f>'Exhibit U,5'!AH41</f>
        <v>464744.67</v>
      </c>
      <c r="L23" s="532"/>
      <c r="M23" s="442">
        <f>'Exhibit U,10'!T22</f>
        <v>0</v>
      </c>
      <c r="N23" s="532"/>
      <c r="O23" s="20">
        <f t="shared" si="1"/>
        <v>464744.67</v>
      </c>
      <c r="Q23" s="17"/>
      <c r="R23" s="6"/>
      <c r="S23" s="20"/>
      <c r="T23" s="17"/>
      <c r="U23" s="361"/>
      <c r="V23" s="179"/>
      <c r="W23" s="179"/>
      <c r="X23" s="66"/>
      <c r="Y23" s="212"/>
      <c r="Z23" s="17"/>
      <c r="AA23" s="17"/>
    </row>
    <row r="24" spans="1:27">
      <c r="A24" s="6">
        <f t="shared" si="2"/>
        <v>2014</v>
      </c>
      <c r="C24" s="20">
        <f>'Exhibit U,4'!K23</f>
        <v>3172203.93</v>
      </c>
      <c r="E24" s="73">
        <v>0.84341978866758316</v>
      </c>
      <c r="G24" s="532">
        <f t="shared" si="0"/>
        <v>2675499.5682510771</v>
      </c>
      <c r="H24" s="533"/>
      <c r="I24" s="532">
        <f>'Exhibit U,10'!I23</f>
        <v>108138.22999999998</v>
      </c>
      <c r="J24" s="533"/>
      <c r="K24" s="20">
        <f>'Exhibit U,5'!AH42</f>
        <v>108138.22999999998</v>
      </c>
      <c r="L24" s="532"/>
      <c r="M24" s="442">
        <f>'Exhibit U,10'!T23</f>
        <v>0</v>
      </c>
      <c r="N24" s="532"/>
      <c r="O24" s="20">
        <f t="shared" si="1"/>
        <v>108138.22999999998</v>
      </c>
      <c r="R24" s="6"/>
      <c r="S24" s="20"/>
      <c r="T24" s="17"/>
      <c r="U24" s="361"/>
      <c r="V24" s="179"/>
      <c r="W24" s="179"/>
      <c r="X24" s="20"/>
      <c r="Y24" s="212"/>
      <c r="Z24" s="17"/>
      <c r="AA24" s="17"/>
    </row>
    <row r="25" spans="1:27">
      <c r="A25" s="6">
        <f t="shared" si="2"/>
        <v>2015</v>
      </c>
      <c r="C25" s="20">
        <f>'Exhibit U,4'!K24</f>
        <v>1881397.8199999998</v>
      </c>
      <c r="E25" s="73">
        <v>1</v>
      </c>
      <c r="G25" s="532">
        <f t="shared" si="0"/>
        <v>1881397.8199999998</v>
      </c>
      <c r="H25" s="533"/>
      <c r="I25" s="532">
        <f>'Exhibit U,10'!I24</f>
        <v>3545.2599999997765</v>
      </c>
      <c r="J25" s="533"/>
      <c r="K25" s="20">
        <f>'Exhibit U,5'!AH43</f>
        <v>3545.2599999997765</v>
      </c>
      <c r="L25" s="532"/>
      <c r="M25" s="442">
        <f>'Exhibit U,10'!T24</f>
        <v>0</v>
      </c>
      <c r="N25" s="532"/>
      <c r="O25" s="20">
        <f t="shared" si="1"/>
        <v>3545.2599999997765</v>
      </c>
      <c r="Q25" s="22"/>
      <c r="R25" s="6"/>
      <c r="S25" s="20"/>
      <c r="T25" s="17"/>
      <c r="U25" s="361"/>
      <c r="V25" s="179"/>
      <c r="W25" s="179"/>
      <c r="X25" s="20"/>
      <c r="Y25" s="212"/>
      <c r="Z25" s="17"/>
      <c r="AA25" s="17"/>
    </row>
    <row r="26" spans="1:27">
      <c r="A26" s="6">
        <f t="shared" si="2"/>
        <v>2016</v>
      </c>
      <c r="C26" s="20">
        <f>'Exhibit U,4'!K25</f>
        <v>5152134.53</v>
      </c>
      <c r="E26" s="73">
        <v>0.3165413992740464</v>
      </c>
      <c r="G26" s="532">
        <f t="shared" si="0"/>
        <v>1630863.8733743315</v>
      </c>
      <c r="H26" s="533"/>
      <c r="I26" s="532">
        <f>'Exhibit U,10'!I25</f>
        <v>2445454.2300000004</v>
      </c>
      <c r="J26" s="533"/>
      <c r="K26" s="20">
        <f>'Exhibit U,5'!AH44</f>
        <v>32202.6800000004</v>
      </c>
      <c r="L26" s="532"/>
      <c r="M26" s="442">
        <f>'Exhibit U,10'!T25</f>
        <v>395200</v>
      </c>
      <c r="N26" s="532"/>
      <c r="O26" s="20">
        <f t="shared" si="1"/>
        <v>427402.6800000004</v>
      </c>
      <c r="Q26" s="22"/>
      <c r="R26" s="6"/>
      <c r="S26" s="20"/>
      <c r="T26" s="17"/>
      <c r="U26" s="361"/>
      <c r="V26" s="179"/>
      <c r="W26" s="179"/>
      <c r="X26" s="20"/>
      <c r="Y26" s="212"/>
      <c r="Z26" s="17"/>
      <c r="AA26" s="17"/>
    </row>
    <row r="27" spans="1:27">
      <c r="A27" s="6">
        <f t="shared" si="2"/>
        <v>2017</v>
      </c>
      <c r="C27" s="20">
        <f>'Exhibit U,4'!K26</f>
        <v>305163.03999999998</v>
      </c>
      <c r="E27" s="73">
        <v>1</v>
      </c>
      <c r="G27" s="532">
        <f t="shared" si="0"/>
        <v>305163.03999999998</v>
      </c>
      <c r="H27" s="533"/>
      <c r="I27" s="532">
        <f>'Exhibit U,10'!I26</f>
        <v>69380.469999999972</v>
      </c>
      <c r="J27" s="533"/>
      <c r="K27" s="20">
        <f>'Exhibit U,5'!AH45</f>
        <v>69380.469999999972</v>
      </c>
      <c r="L27" s="532"/>
      <c r="M27" s="442">
        <f>'Exhibit U,10'!T26</f>
        <v>0</v>
      </c>
      <c r="N27" s="532"/>
      <c r="O27" s="20">
        <f t="shared" si="1"/>
        <v>69380.469999999972</v>
      </c>
      <c r="Q27" s="22"/>
      <c r="R27" s="6"/>
      <c r="S27" s="20"/>
      <c r="T27" s="17"/>
      <c r="U27" s="361"/>
      <c r="V27" s="179"/>
      <c r="W27" s="179"/>
      <c r="X27" s="20"/>
      <c r="Y27" s="212"/>
      <c r="Z27" s="17"/>
      <c r="AA27" s="17"/>
    </row>
    <row r="28" spans="1:27">
      <c r="A28" s="6">
        <f t="shared" si="2"/>
        <v>2018</v>
      </c>
      <c r="C28" s="20">
        <f>'Exhibit U,4'!K27</f>
        <v>898335.37</v>
      </c>
      <c r="E28" s="73">
        <v>0.90585235145324849</v>
      </c>
      <c r="G28" s="532">
        <f t="shared" si="0"/>
        <v>813759.20730812405</v>
      </c>
      <c r="H28" s="533"/>
      <c r="I28" s="532">
        <f>'Exhibit U,10'!I27</f>
        <v>130805.25</v>
      </c>
      <c r="J28" s="533"/>
      <c r="K28" s="20">
        <f>'Exhibit U,5'!AH46</f>
        <v>130805.25</v>
      </c>
      <c r="L28" s="532"/>
      <c r="M28" s="442">
        <f>'Exhibit U,10'!T27</f>
        <v>0</v>
      </c>
      <c r="N28" s="532"/>
      <c r="O28" s="20">
        <f t="shared" si="1"/>
        <v>130805.25</v>
      </c>
      <c r="Q28" s="22"/>
      <c r="R28" s="6"/>
      <c r="S28" s="20"/>
      <c r="T28" s="17"/>
      <c r="U28" s="361"/>
      <c r="V28" s="179"/>
      <c r="W28" s="179"/>
      <c r="X28" s="20"/>
      <c r="Y28" s="212"/>
      <c r="Z28" s="17"/>
      <c r="AA28" s="17"/>
    </row>
    <row r="29" spans="1:27">
      <c r="A29" s="6">
        <f t="shared" si="2"/>
        <v>2019</v>
      </c>
      <c r="C29" s="20">
        <f>'Exhibit U,4'!K28</f>
        <v>485623.37068461761</v>
      </c>
      <c r="E29" s="73">
        <v>0.88812252161184979</v>
      </c>
      <c r="G29" s="532">
        <f t="shared" si="0"/>
        <v>431293.05252606864</v>
      </c>
      <c r="H29" s="533"/>
      <c r="I29" s="532">
        <f>'Exhibit U,10'!I28</f>
        <v>0</v>
      </c>
      <c r="J29" s="533"/>
      <c r="K29" s="20">
        <f>'Exhibit U,5'!AH47</f>
        <v>0</v>
      </c>
      <c r="L29" s="532"/>
      <c r="M29" s="442">
        <f>'Exhibit U,10'!T28</f>
        <v>0</v>
      </c>
      <c r="N29" s="532"/>
      <c r="O29" s="20">
        <f t="shared" si="1"/>
        <v>0</v>
      </c>
      <c r="Q29" s="22"/>
      <c r="R29" s="6"/>
      <c r="S29" s="20"/>
      <c r="T29" s="17"/>
      <c r="U29" s="361"/>
      <c r="V29" s="179"/>
      <c r="W29" s="179"/>
      <c r="X29" s="20"/>
      <c r="Y29" s="212"/>
      <c r="Z29" s="17"/>
      <c r="AA29" s="17"/>
    </row>
    <row r="30" spans="1:27">
      <c r="A30" s="6">
        <f t="shared" si="2"/>
        <v>2020</v>
      </c>
      <c r="C30" s="20">
        <f>'Exhibit U,4'!K29</f>
        <v>555909.07518209331</v>
      </c>
      <c r="E30" s="73">
        <v>0.83697070001174723</v>
      </c>
      <c r="G30" s="532">
        <f t="shared" si="0"/>
        <v>465279.60779803968</v>
      </c>
      <c r="H30" s="533"/>
      <c r="I30" s="532">
        <f>'Exhibit U,10'!I29</f>
        <v>0</v>
      </c>
      <c r="J30" s="533"/>
      <c r="K30" s="20">
        <f>'Exhibit U,5'!AH48</f>
        <v>0</v>
      </c>
      <c r="L30" s="532"/>
      <c r="M30" s="442">
        <f>'Exhibit U,10'!T29</f>
        <v>0</v>
      </c>
      <c r="N30" s="532"/>
      <c r="O30" s="20">
        <f t="shared" si="1"/>
        <v>0</v>
      </c>
      <c r="Q30" s="22"/>
      <c r="R30" s="6"/>
      <c r="S30" s="17"/>
      <c r="T30" s="17"/>
      <c r="U30" s="17"/>
      <c r="V30" s="17"/>
      <c r="W30" s="17"/>
      <c r="X30" s="20"/>
      <c r="Y30" s="212"/>
      <c r="Z30" s="17"/>
      <c r="AA30" s="17"/>
    </row>
    <row r="31" spans="1:27">
      <c r="A31" s="6">
        <f t="shared" si="2"/>
        <v>2021</v>
      </c>
      <c r="C31" s="20">
        <f>'Exhibit U,4'!K30</f>
        <v>1205091.1091501559</v>
      </c>
      <c r="E31" s="73">
        <v>0.81957880842393194</v>
      </c>
      <c r="G31" s="532">
        <f t="shared" si="0"/>
        <v>987667.1352795593</v>
      </c>
      <c r="H31" s="533"/>
      <c r="I31" s="532">
        <f>'Exhibit U,10'!I30</f>
        <v>0</v>
      </c>
      <c r="J31" s="533"/>
      <c r="K31" s="20">
        <f>'Exhibit U,5'!AH49</f>
        <v>0</v>
      </c>
      <c r="L31" s="532"/>
      <c r="M31" s="442">
        <f>'Exhibit U,10'!T30</f>
        <v>0</v>
      </c>
      <c r="N31" s="532"/>
      <c r="O31" s="20">
        <f t="shared" si="1"/>
        <v>0</v>
      </c>
      <c r="Q31" s="22"/>
      <c r="R31" s="6"/>
      <c r="S31" s="17"/>
      <c r="T31" s="17"/>
      <c r="U31" s="17"/>
      <c r="V31" s="17"/>
      <c r="W31" s="17"/>
      <c r="X31" s="20"/>
      <c r="Y31" s="212"/>
      <c r="Z31" s="17"/>
      <c r="AA31" s="17"/>
    </row>
    <row r="32" spans="1:27">
      <c r="A32" s="6">
        <f t="shared" si="2"/>
        <v>2022</v>
      </c>
      <c r="C32" s="20">
        <f>'Exhibit U,4'!K31</f>
        <v>1541153.4039999996</v>
      </c>
      <c r="E32" s="73">
        <v>0.85331719235577475</v>
      </c>
      <c r="G32" s="532">
        <f t="shared" si="0"/>
        <v>1315092.6956908247</v>
      </c>
      <c r="H32" s="533"/>
      <c r="I32" s="532">
        <f>'Exhibit U,10'!I31</f>
        <v>0</v>
      </c>
      <c r="J32" s="533"/>
      <c r="K32" s="20">
        <f>'Exhibit U,5'!AH50</f>
        <v>0</v>
      </c>
      <c r="L32" s="532"/>
      <c r="M32" s="442">
        <f>'Exhibit U,10'!T31</f>
        <v>0</v>
      </c>
      <c r="N32" s="532"/>
      <c r="O32" s="20">
        <f t="shared" si="1"/>
        <v>0</v>
      </c>
      <c r="R32" s="6"/>
      <c r="S32" s="17"/>
      <c r="T32" s="17"/>
      <c r="U32" s="17"/>
      <c r="V32" s="17"/>
      <c r="W32" s="17"/>
      <c r="X32" s="20"/>
      <c r="Y32" s="212"/>
      <c r="Z32" s="17"/>
      <c r="AA32" s="17"/>
    </row>
    <row r="33" spans="1:27">
      <c r="A33" s="6"/>
      <c r="C33" s="200"/>
      <c r="E33" s="19"/>
      <c r="G33" s="200"/>
      <c r="H33" s="74"/>
      <c r="I33" s="200"/>
      <c r="K33" s="200"/>
      <c r="L33" s="20"/>
      <c r="M33" s="200"/>
      <c r="N33" s="20"/>
      <c r="O33" s="200"/>
      <c r="Q33" s="22"/>
      <c r="R33" s="2"/>
      <c r="S33" s="17"/>
      <c r="T33" s="17"/>
      <c r="U33" s="17"/>
      <c r="V33" s="17"/>
      <c r="W33" s="17"/>
      <c r="X33" s="6"/>
      <c r="Y33" s="6"/>
      <c r="Z33" s="6"/>
      <c r="AA33" s="6"/>
    </row>
    <row r="34" spans="1:27">
      <c r="A34" s="2" t="s">
        <v>0</v>
      </c>
      <c r="C34" s="19">
        <f>SUM(C18:C33)</f>
        <v>22959839.549016863</v>
      </c>
      <c r="E34" s="19"/>
      <c r="F34" s="19"/>
      <c r="G34" s="19">
        <f>SUM(G18:G33)</f>
        <v>17699706.370228022</v>
      </c>
      <c r="I34" s="19">
        <f>SUM(I18:I33)</f>
        <v>4473262.59</v>
      </c>
      <c r="J34" s="19"/>
      <c r="K34" s="19">
        <f>SUM(K18:K33)</f>
        <v>1691134.86</v>
      </c>
      <c r="L34" s="19"/>
      <c r="M34" s="19">
        <f>SUM(M18:M33)</f>
        <v>395200</v>
      </c>
      <c r="N34" s="19"/>
      <c r="O34" s="19">
        <f>SUM(O18:O33)</f>
        <v>2086334.86</v>
      </c>
      <c r="R34" s="2"/>
      <c r="S34" s="17"/>
      <c r="T34" s="17"/>
      <c r="U34" s="17"/>
      <c r="V34" s="17"/>
      <c r="W34" s="17"/>
      <c r="X34" s="66"/>
      <c r="Y34" s="66"/>
      <c r="Z34" s="66"/>
      <c r="AA34" s="66"/>
    </row>
    <row r="35" spans="1:27">
      <c r="S35" s="17"/>
      <c r="T35" s="17"/>
      <c r="U35" s="17"/>
      <c r="V35" s="17"/>
      <c r="W35" s="17"/>
      <c r="Y35" s="97"/>
    </row>
    <row r="36" spans="1:27" ht="16">
      <c r="A36" s="175" t="s">
        <v>395</v>
      </c>
      <c r="L36" s="6"/>
      <c r="M36" s="6"/>
      <c r="N36" s="6"/>
      <c r="S36" s="17"/>
      <c r="T36" s="17"/>
      <c r="U36" s="17"/>
      <c r="V36" s="17"/>
      <c r="W36" s="17"/>
      <c r="Y36" s="97"/>
      <c r="AA36" s="213"/>
    </row>
    <row r="37" spans="1:27">
      <c r="A37" s="6">
        <v>2008</v>
      </c>
      <c r="C37" s="497">
        <f>'Exhibit U,7'!M17</f>
        <v>1911758.4000000001</v>
      </c>
      <c r="E37" s="73">
        <v>1</v>
      </c>
      <c r="G37" s="497">
        <f>C37*E37</f>
        <v>1911758.4000000001</v>
      </c>
      <c r="H37" s="147"/>
      <c r="I37" s="497">
        <f>'Exhibit U,10'!I36</f>
        <v>0</v>
      </c>
      <c r="J37" s="147"/>
      <c r="K37" s="497">
        <f>'Exhibit U,8'!AH36</f>
        <v>0</v>
      </c>
      <c r="L37" s="528"/>
      <c r="M37" s="529">
        <f>'Exhibit U,10'!T36</f>
        <v>0</v>
      </c>
      <c r="N37" s="536"/>
      <c r="O37" s="66">
        <f t="shared" ref="O37:O51" si="3">K37+M37</f>
        <v>0</v>
      </c>
      <c r="Q37" s="26"/>
      <c r="R37" s="147"/>
      <c r="S37" s="22"/>
      <c r="T37" s="26"/>
      <c r="U37" s="17"/>
      <c r="V37" s="216"/>
      <c r="W37" s="216"/>
      <c r="Y37" s="66"/>
      <c r="Z37" s="16"/>
      <c r="AA37" s="211"/>
    </row>
    <row r="38" spans="1:27">
      <c r="A38" s="6">
        <f>A37+1</f>
        <v>2009</v>
      </c>
      <c r="C38" s="20">
        <f>'Exhibit U,7'!M18</f>
        <v>2191506.25</v>
      </c>
      <c r="E38" s="73">
        <v>1</v>
      </c>
      <c r="G38" s="532">
        <f t="shared" ref="G38:G51" si="4">C38*E38</f>
        <v>2191506.25</v>
      </c>
      <c r="H38" s="533"/>
      <c r="I38" s="532">
        <f>'Exhibit U,10'!I37</f>
        <v>0</v>
      </c>
      <c r="J38" s="533"/>
      <c r="K38" s="20">
        <f>'Exhibit U,8'!AH37</f>
        <v>0</v>
      </c>
      <c r="L38" s="532"/>
      <c r="M38" s="338">
        <f>'Exhibit U,10'!T37</f>
        <v>0</v>
      </c>
      <c r="N38" s="532"/>
      <c r="O38" s="20">
        <f t="shared" si="3"/>
        <v>0</v>
      </c>
      <c r="Q38" s="26"/>
      <c r="R38" s="147"/>
      <c r="S38" s="20"/>
      <c r="T38" s="26"/>
      <c r="U38" s="17"/>
      <c r="V38" s="179"/>
      <c r="W38" s="179"/>
      <c r="Y38" s="20"/>
      <c r="Z38" s="17"/>
      <c r="AA38" s="17"/>
    </row>
    <row r="39" spans="1:27">
      <c r="A39" s="6">
        <f t="shared" ref="A39:A51" si="5">A38+1</f>
        <v>2010</v>
      </c>
      <c r="C39" s="20">
        <f>'Exhibit U,7'!M19</f>
        <v>8479335.2699999996</v>
      </c>
      <c r="E39" s="73">
        <v>1</v>
      </c>
      <c r="G39" s="532">
        <f t="shared" si="4"/>
        <v>8479335.2699999996</v>
      </c>
      <c r="H39" s="533"/>
      <c r="I39" s="532">
        <f>'Exhibit U,10'!I38</f>
        <v>0</v>
      </c>
      <c r="J39" s="533"/>
      <c r="K39" s="20">
        <f>'Exhibit U,8'!AH38</f>
        <v>0</v>
      </c>
      <c r="L39" s="532"/>
      <c r="M39" s="338">
        <f>'Exhibit U,10'!T38</f>
        <v>0</v>
      </c>
      <c r="N39" s="532"/>
      <c r="O39" s="20">
        <f t="shared" si="3"/>
        <v>0</v>
      </c>
      <c r="Q39" s="26"/>
      <c r="R39" s="147"/>
      <c r="S39" s="20"/>
      <c r="T39" s="26"/>
      <c r="U39" s="17"/>
      <c r="V39" s="179"/>
      <c r="W39" s="179"/>
      <c r="X39" s="2"/>
      <c r="Y39" s="20"/>
      <c r="Z39" s="17"/>
      <c r="AA39" s="17"/>
    </row>
    <row r="40" spans="1:27">
      <c r="A40" s="6">
        <f t="shared" si="5"/>
        <v>2011</v>
      </c>
      <c r="C40" s="20">
        <f>'Exhibit U,7'!M20</f>
        <v>6315267.6400000006</v>
      </c>
      <c r="E40" s="73">
        <v>1</v>
      </c>
      <c r="G40" s="532">
        <f t="shared" si="4"/>
        <v>6315267.6400000006</v>
      </c>
      <c r="H40" s="533"/>
      <c r="I40" s="532">
        <f>'Exhibit U,10'!I39</f>
        <v>0</v>
      </c>
      <c r="J40" s="533"/>
      <c r="K40" s="20">
        <f>'Exhibit U,8'!AH39</f>
        <v>0</v>
      </c>
      <c r="L40" s="532"/>
      <c r="M40" s="338">
        <f>'Exhibit U,10'!T39</f>
        <v>0</v>
      </c>
      <c r="N40" s="532"/>
      <c r="O40" s="20">
        <f t="shared" si="3"/>
        <v>0</v>
      </c>
      <c r="Q40" s="26"/>
      <c r="R40" s="147"/>
      <c r="S40" s="20"/>
      <c r="T40" s="26"/>
      <c r="U40" s="17"/>
      <c r="V40" s="179"/>
      <c r="W40" s="179"/>
      <c r="X40" s="2"/>
      <c r="Y40" s="20"/>
      <c r="Z40" s="17"/>
      <c r="AA40" s="17"/>
    </row>
    <row r="41" spans="1:27">
      <c r="A41" s="6">
        <f t="shared" si="5"/>
        <v>2012</v>
      </c>
      <c r="C41" s="20">
        <f>'Exhibit U,7'!M21</f>
        <v>17569452.739999998</v>
      </c>
      <c r="E41" s="73">
        <v>0.88004012175173207</v>
      </c>
      <c r="G41" s="532">
        <f t="shared" si="4"/>
        <v>15461823.328420902</v>
      </c>
      <c r="H41" s="533"/>
      <c r="I41" s="532">
        <f>'Exhibit U,10'!I40</f>
        <v>2318237.2399999984</v>
      </c>
      <c r="J41" s="533"/>
      <c r="K41" s="20">
        <f>'Exhibit U,8'!AH40</f>
        <v>1795366.2599999998</v>
      </c>
      <c r="L41" s="532"/>
      <c r="M41" s="338">
        <f>'Exhibit U,10'!T40</f>
        <v>0</v>
      </c>
      <c r="N41" s="532"/>
      <c r="O41" s="20">
        <f t="shared" si="3"/>
        <v>1795366.2599999998</v>
      </c>
      <c r="Q41" s="26"/>
      <c r="R41" s="147"/>
      <c r="S41" s="66"/>
      <c r="T41" s="26"/>
      <c r="U41" s="17"/>
      <c r="V41" s="178"/>
      <c r="W41" s="178"/>
      <c r="Y41" s="20"/>
      <c r="Z41" s="17"/>
      <c r="AA41" s="17"/>
    </row>
    <row r="42" spans="1:27">
      <c r="A42" s="6">
        <f t="shared" si="5"/>
        <v>2013</v>
      </c>
      <c r="C42" s="20">
        <f>'Exhibit U,7'!M22</f>
        <v>17358241.969999999</v>
      </c>
      <c r="E42" s="73">
        <v>1</v>
      </c>
      <c r="G42" s="532">
        <f t="shared" si="4"/>
        <v>17358241.969999999</v>
      </c>
      <c r="H42" s="533"/>
      <c r="I42" s="532">
        <f>'Exhibit U,10'!I41</f>
        <v>1114631.2800000012</v>
      </c>
      <c r="J42" s="533"/>
      <c r="K42" s="20">
        <f>'Exhibit U,8'!AH41</f>
        <v>1114631.2800000012</v>
      </c>
      <c r="L42" s="532"/>
      <c r="M42" s="338">
        <f>'Exhibit U,10'!T41</f>
        <v>0</v>
      </c>
      <c r="N42" s="532"/>
      <c r="O42" s="20">
        <f t="shared" si="3"/>
        <v>1114631.2800000012</v>
      </c>
      <c r="Q42" s="26"/>
      <c r="R42" s="147"/>
      <c r="S42" s="20"/>
      <c r="T42" s="26"/>
      <c r="U42" s="17"/>
      <c r="V42" s="179"/>
      <c r="W42" s="179"/>
      <c r="Y42" s="20"/>
      <c r="Z42" s="17"/>
      <c r="AA42" s="17"/>
    </row>
    <row r="43" spans="1:27">
      <c r="A43" s="6">
        <f t="shared" si="5"/>
        <v>2014</v>
      </c>
      <c r="C43" s="20">
        <f>'Exhibit U,7'!M23</f>
        <v>21073817.018735245</v>
      </c>
      <c r="E43" s="73">
        <v>0.84341978866758316</v>
      </c>
      <c r="G43" s="532">
        <f t="shared" si="4"/>
        <v>17774074.296360999</v>
      </c>
      <c r="H43" s="533"/>
      <c r="I43" s="532">
        <f>'Exhibit U,10'!I42</f>
        <v>5118044.0100000016</v>
      </c>
      <c r="J43" s="533"/>
      <c r="K43" s="20">
        <f>'Exhibit U,8'!AH42</f>
        <v>3837154.9299999978</v>
      </c>
      <c r="L43" s="532"/>
      <c r="M43" s="338">
        <f>'Exhibit U,10'!T42</f>
        <v>0</v>
      </c>
      <c r="N43" s="532"/>
      <c r="O43" s="20">
        <f t="shared" si="3"/>
        <v>3837154.9299999978</v>
      </c>
      <c r="Q43" s="26"/>
      <c r="R43" s="147"/>
      <c r="S43" s="20"/>
      <c r="T43" s="26"/>
      <c r="U43" s="17"/>
      <c r="V43" s="179"/>
      <c r="W43" s="179"/>
      <c r="X43" s="66"/>
      <c r="Y43" s="20"/>
      <c r="Z43" s="17"/>
      <c r="AA43" s="17"/>
    </row>
    <row r="44" spans="1:27">
      <c r="A44" s="6">
        <f t="shared" si="5"/>
        <v>2015</v>
      </c>
      <c r="C44" s="20">
        <f>'Exhibit U,7'!M24</f>
        <v>4064067.5546318418</v>
      </c>
      <c r="E44" s="73">
        <v>1</v>
      </c>
      <c r="G44" s="532">
        <f t="shared" si="4"/>
        <v>4064067.5546318418</v>
      </c>
      <c r="H44" s="533"/>
      <c r="I44" s="532">
        <f>'Exhibit U,10'!I43</f>
        <v>36491.240000000224</v>
      </c>
      <c r="J44" s="533"/>
      <c r="K44" s="20">
        <f>'Exhibit U,8'!AH43</f>
        <v>36491.240000000224</v>
      </c>
      <c r="L44" s="532"/>
      <c r="M44" s="338">
        <f>'Exhibit U,10'!T43</f>
        <v>0</v>
      </c>
      <c r="N44" s="532"/>
      <c r="O44" s="20">
        <f t="shared" si="3"/>
        <v>36491.240000000224</v>
      </c>
      <c r="Q44" s="26"/>
      <c r="R44" s="147"/>
      <c r="S44" s="20"/>
      <c r="T44" s="26"/>
      <c r="U44" s="17"/>
      <c r="V44" s="179"/>
      <c r="W44" s="179"/>
      <c r="X44" s="20"/>
      <c r="Y44" s="20"/>
      <c r="Z44" s="17"/>
      <c r="AA44" s="17"/>
    </row>
    <row r="45" spans="1:27">
      <c r="A45" s="6">
        <f t="shared" si="5"/>
        <v>2016</v>
      </c>
      <c r="C45" s="20">
        <f>'Exhibit U,7'!M25</f>
        <v>11631693.045840388</v>
      </c>
      <c r="E45" s="73">
        <v>0.3165413992740464</v>
      </c>
      <c r="G45" s="532">
        <f t="shared" si="4"/>
        <v>3681912.3926565112</v>
      </c>
      <c r="H45" s="533"/>
      <c r="I45" s="532">
        <f>'Exhibit U,10'!I44</f>
        <v>1346005.67</v>
      </c>
      <c r="J45" s="533"/>
      <c r="K45" s="20">
        <f>'Exhibit U,8'!AH44</f>
        <v>950805.66999999993</v>
      </c>
      <c r="L45" s="532"/>
      <c r="M45" s="338">
        <f>'Exhibit U,10'!T44</f>
        <v>395200</v>
      </c>
      <c r="N45" s="532"/>
      <c r="O45" s="20">
        <f t="shared" si="3"/>
        <v>1346005.67</v>
      </c>
      <c r="Q45" s="26"/>
      <c r="R45" s="147"/>
      <c r="S45" s="20"/>
      <c r="T45" s="26"/>
      <c r="U45" s="17"/>
      <c r="V45" s="179"/>
      <c r="W45" s="179"/>
      <c r="X45" s="20"/>
      <c r="Y45" s="20"/>
      <c r="Z45" s="17"/>
      <c r="AA45" s="17"/>
    </row>
    <row r="46" spans="1:27">
      <c r="A46" s="6">
        <f t="shared" si="5"/>
        <v>2017</v>
      </c>
      <c r="C46" s="20">
        <f>'Exhibit U,7'!M26</f>
        <v>11261564.203882288</v>
      </c>
      <c r="E46" s="73">
        <v>1</v>
      </c>
      <c r="G46" s="532">
        <f t="shared" si="4"/>
        <v>11261564.203882288</v>
      </c>
      <c r="H46" s="533"/>
      <c r="I46" s="532">
        <f>'Exhibit U,10'!I45</f>
        <v>936339.22999999952</v>
      </c>
      <c r="J46" s="533"/>
      <c r="K46" s="20">
        <f>'Exhibit U,8'!AH45</f>
        <v>145939.23000000045</v>
      </c>
      <c r="L46" s="532"/>
      <c r="M46" s="338">
        <f>'Exhibit U,10'!T45</f>
        <v>790400</v>
      </c>
      <c r="N46" s="532"/>
      <c r="O46" s="20">
        <f t="shared" si="3"/>
        <v>936339.23000000045</v>
      </c>
      <c r="Q46" s="26"/>
      <c r="R46" s="147"/>
      <c r="S46" s="20"/>
      <c r="T46" s="26"/>
      <c r="U46" s="17"/>
      <c r="V46" s="179"/>
      <c r="W46" s="179"/>
      <c r="X46" s="20"/>
      <c r="Y46" s="20"/>
      <c r="Z46" s="17"/>
      <c r="AA46" s="17"/>
    </row>
    <row r="47" spans="1:27">
      <c r="A47" s="6">
        <f t="shared" si="5"/>
        <v>2018</v>
      </c>
      <c r="C47" s="20">
        <f>'Exhibit U,7'!M27</f>
        <v>7006078.1762927808</v>
      </c>
      <c r="E47" s="73">
        <v>0.90585235145324849</v>
      </c>
      <c r="G47" s="532">
        <f t="shared" si="4"/>
        <v>6346472.3904601019</v>
      </c>
      <c r="H47" s="533"/>
      <c r="I47" s="532">
        <f>'Exhibit U,10'!I46</f>
        <v>896274.37000000011</v>
      </c>
      <c r="J47" s="533"/>
      <c r="K47" s="20">
        <f>'Exhibit U,8'!AH46</f>
        <v>105874.37000000011</v>
      </c>
      <c r="L47" s="532"/>
      <c r="M47" s="338">
        <f>'Exhibit U,10'!T46</f>
        <v>790400</v>
      </c>
      <c r="N47" s="532"/>
      <c r="O47" s="20">
        <f t="shared" si="3"/>
        <v>896274.37000000011</v>
      </c>
      <c r="Q47" s="26"/>
      <c r="R47" s="147"/>
      <c r="S47" s="20"/>
      <c r="T47" s="26"/>
      <c r="U47" s="17"/>
      <c r="V47" s="179"/>
      <c r="W47" s="179"/>
      <c r="X47" s="20"/>
      <c r="Y47" s="20"/>
      <c r="Z47" s="17"/>
      <c r="AA47" s="17"/>
    </row>
    <row r="48" spans="1:27">
      <c r="A48" s="6">
        <f t="shared" si="5"/>
        <v>2019</v>
      </c>
      <c r="C48" s="20">
        <f>'Exhibit U,7'!M28</f>
        <v>6712613.7859857585</v>
      </c>
      <c r="E48" s="73">
        <v>0.88812252161184979</v>
      </c>
      <c r="G48" s="532">
        <f t="shared" si="4"/>
        <v>5961623.4822161375</v>
      </c>
      <c r="H48" s="533"/>
      <c r="I48" s="532">
        <f>'Exhibit U,10'!I47</f>
        <v>0</v>
      </c>
      <c r="J48" s="533"/>
      <c r="K48" s="20">
        <f>'Exhibit U,8'!AH47</f>
        <v>0</v>
      </c>
      <c r="L48" s="532"/>
      <c r="M48" s="338">
        <f>'Exhibit U,10'!T47</f>
        <v>0</v>
      </c>
      <c r="N48" s="532"/>
      <c r="O48" s="20">
        <f t="shared" si="3"/>
        <v>0</v>
      </c>
      <c r="Q48" s="26"/>
      <c r="R48" s="147"/>
      <c r="S48" s="20"/>
      <c r="T48" s="26"/>
      <c r="U48" s="17"/>
      <c r="V48" s="179"/>
      <c r="W48" s="179"/>
      <c r="X48" s="20"/>
      <c r="Y48" s="20"/>
      <c r="Z48" s="17"/>
      <c r="AA48" s="17"/>
    </row>
    <row r="49" spans="1:27">
      <c r="A49" s="6">
        <f t="shared" si="5"/>
        <v>2020</v>
      </c>
      <c r="C49" s="20">
        <f>'Exhibit U,7'!M29</f>
        <v>6369884.1204675306</v>
      </c>
      <c r="E49" s="73">
        <v>0.83697070001174723</v>
      </c>
      <c r="G49" s="532">
        <f t="shared" si="4"/>
        <v>5331406.3713014219</v>
      </c>
      <c r="H49" s="533"/>
      <c r="I49" s="532">
        <f>'Exhibit U,10'!I48</f>
        <v>0</v>
      </c>
      <c r="J49" s="533"/>
      <c r="K49" s="20">
        <f>'Exhibit U,8'!AH48</f>
        <v>0</v>
      </c>
      <c r="L49" s="532"/>
      <c r="M49" s="338">
        <f>'Exhibit U,10'!T48</f>
        <v>0</v>
      </c>
      <c r="N49" s="532"/>
      <c r="O49" s="20">
        <f t="shared" si="3"/>
        <v>0</v>
      </c>
      <c r="Q49" s="26"/>
      <c r="R49" s="147"/>
      <c r="S49" s="20"/>
      <c r="T49" s="26"/>
      <c r="U49" s="17"/>
      <c r="V49" s="179"/>
      <c r="W49" s="179"/>
      <c r="X49" s="20"/>
      <c r="Y49" s="20"/>
      <c r="Z49" s="17"/>
      <c r="AA49" s="17"/>
    </row>
    <row r="50" spans="1:27">
      <c r="A50" s="6">
        <f t="shared" si="5"/>
        <v>2021</v>
      </c>
      <c r="C50" s="20">
        <f>'Exhibit U,7'!M30</f>
        <v>5015175.93877168</v>
      </c>
      <c r="E50" s="73">
        <v>0.81957880842393194</v>
      </c>
      <c r="G50" s="532">
        <f>C50*E50</f>
        <v>4110331.9199348679</v>
      </c>
      <c r="H50" s="533"/>
      <c r="I50" s="532">
        <f>'Exhibit U,10'!I49</f>
        <v>0</v>
      </c>
      <c r="J50" s="533"/>
      <c r="K50" s="20">
        <f>'Exhibit U,8'!AH49</f>
        <v>0</v>
      </c>
      <c r="L50" s="532"/>
      <c r="M50" s="338">
        <f>'Exhibit U,10'!T49</f>
        <v>0</v>
      </c>
      <c r="N50" s="532"/>
      <c r="O50" s="20">
        <f t="shared" si="3"/>
        <v>0</v>
      </c>
      <c r="Q50" s="26"/>
      <c r="R50" s="147"/>
      <c r="S50" s="17"/>
      <c r="T50" s="26"/>
      <c r="U50" s="17"/>
      <c r="V50" s="17"/>
      <c r="W50" s="17"/>
      <c r="X50" s="20"/>
      <c r="Y50" s="20"/>
      <c r="Z50" s="17"/>
      <c r="AA50" s="17"/>
    </row>
    <row r="51" spans="1:27">
      <c r="A51" s="6">
        <f t="shared" si="5"/>
        <v>2022</v>
      </c>
      <c r="C51" s="20">
        <f>'Exhibit U,7'!M31</f>
        <v>3621932.1370738312</v>
      </c>
      <c r="E51" s="73">
        <v>0.85331719235577475</v>
      </c>
      <c r="G51" s="532">
        <f t="shared" si="4"/>
        <v>3090656.9621109925</v>
      </c>
      <c r="H51" s="533"/>
      <c r="I51" s="532">
        <f>'Exhibit U,10'!I50</f>
        <v>0</v>
      </c>
      <c r="J51" s="533"/>
      <c r="K51" s="20">
        <f>'Exhibit U,8'!AH50</f>
        <v>0</v>
      </c>
      <c r="L51" s="532"/>
      <c r="M51" s="338">
        <f>'Exhibit U,10'!T50</f>
        <v>0</v>
      </c>
      <c r="N51" s="532"/>
      <c r="O51" s="20">
        <f t="shared" si="3"/>
        <v>0</v>
      </c>
      <c r="Q51" s="17"/>
      <c r="R51" s="6"/>
      <c r="S51" s="17"/>
      <c r="T51" s="17"/>
      <c r="U51" s="17"/>
      <c r="V51" s="17"/>
      <c r="W51" s="17"/>
      <c r="X51" s="20"/>
      <c r="Y51" s="20"/>
      <c r="Z51" s="17"/>
      <c r="AA51" s="17"/>
    </row>
    <row r="52" spans="1:27">
      <c r="A52" s="6"/>
      <c r="C52" s="200"/>
      <c r="G52" s="200"/>
      <c r="H52" s="74"/>
      <c r="I52" s="200"/>
      <c r="K52" s="200"/>
      <c r="L52" s="189"/>
      <c r="M52" s="200"/>
      <c r="O52" s="200"/>
      <c r="R52" s="6"/>
      <c r="S52" s="17"/>
      <c r="T52" s="17"/>
      <c r="U52" s="17"/>
      <c r="V52" s="17"/>
      <c r="W52" s="17"/>
      <c r="Y52" s="20"/>
      <c r="Z52" s="17"/>
      <c r="AA52" s="17"/>
    </row>
    <row r="53" spans="1:27">
      <c r="A53" s="2" t="s">
        <v>0</v>
      </c>
      <c r="C53" s="19">
        <f>SUM(C37:C52)</f>
        <v>130582388.25168133</v>
      </c>
      <c r="F53" s="19"/>
      <c r="G53" s="19">
        <f>SUM(G37:G52)</f>
        <v>113340042.43197608</v>
      </c>
      <c r="I53" s="19">
        <f>SUM(I37:I52)</f>
        <v>11766023.040000003</v>
      </c>
      <c r="K53" s="19">
        <f>SUM(K37:K52)</f>
        <v>7986262.9799999995</v>
      </c>
      <c r="L53" s="189"/>
      <c r="M53" s="19">
        <f>SUM(M37:M52)</f>
        <v>1976000</v>
      </c>
      <c r="O53" s="19">
        <f>SUM(O37:O52)</f>
        <v>9962262.9800000004</v>
      </c>
      <c r="R53" s="19"/>
      <c r="S53" s="17"/>
      <c r="T53" s="17"/>
      <c r="U53" s="19"/>
      <c r="V53" s="17"/>
      <c r="W53" s="17"/>
      <c r="X53" s="6"/>
      <c r="Y53" s="6"/>
      <c r="Z53" s="6"/>
      <c r="AA53" s="6"/>
    </row>
    <row r="54" spans="1:27">
      <c r="A54" s="1" t="s">
        <v>1679</v>
      </c>
      <c r="C54" s="147">
        <f>SUM(C37:C50)</f>
        <v>126960456.1146075</v>
      </c>
      <c r="G54" s="147">
        <f>SUM(G37:G50)</f>
        <v>110249385.46986508</v>
      </c>
      <c r="I54" s="147">
        <f>SUM(I37:I50)</f>
        <v>11766023.040000003</v>
      </c>
      <c r="K54" s="19"/>
      <c r="L54" s="189"/>
      <c r="M54" s="189"/>
      <c r="N54" s="189"/>
      <c r="O54" s="19"/>
      <c r="R54" s="2"/>
      <c r="S54" s="17"/>
      <c r="T54" s="17"/>
      <c r="U54" s="17"/>
      <c r="V54" s="17"/>
      <c r="W54" s="17"/>
      <c r="X54" s="66"/>
      <c r="Y54" s="66"/>
      <c r="Z54" s="66"/>
      <c r="AA54" s="66"/>
    </row>
    <row r="55" spans="1:27">
      <c r="C55" s="187"/>
      <c r="G55" s="187"/>
      <c r="I55" s="187"/>
      <c r="K55" s="5"/>
      <c r="L55" s="6"/>
      <c r="M55" s="6"/>
      <c r="N55" s="6"/>
      <c r="O55" s="5"/>
      <c r="S55" s="17"/>
      <c r="T55" s="17"/>
      <c r="U55" s="17"/>
      <c r="V55" s="17"/>
      <c r="W55" s="17"/>
    </row>
    <row r="56" spans="1:27">
      <c r="A56" s="52" t="s">
        <v>104</v>
      </c>
      <c r="C56" s="1" t="s">
        <v>1773</v>
      </c>
      <c r="L56" s="6"/>
      <c r="M56" s="6"/>
      <c r="N56" s="6"/>
      <c r="S56" s="17"/>
      <c r="T56" s="17"/>
      <c r="U56" s="17"/>
      <c r="V56" s="17"/>
      <c r="W56" s="17"/>
      <c r="AA56" s="213"/>
    </row>
    <row r="57" spans="1:27">
      <c r="A57" s="52" t="s">
        <v>36</v>
      </c>
      <c r="C57" s="3" t="s">
        <v>1695</v>
      </c>
      <c r="L57" s="6"/>
      <c r="M57" s="6"/>
      <c r="N57" s="6"/>
    </row>
    <row r="58" spans="1:27">
      <c r="A58" s="52" t="s">
        <v>38</v>
      </c>
      <c r="C58" s="3" t="s">
        <v>573</v>
      </c>
      <c r="L58" s="6"/>
      <c r="M58" s="6"/>
      <c r="N58" s="6"/>
      <c r="Y58" s="6"/>
    </row>
    <row r="59" spans="1:27">
      <c r="A59" s="64" t="s">
        <v>40</v>
      </c>
      <c r="C59" s="3" t="s">
        <v>883</v>
      </c>
      <c r="L59" s="6"/>
      <c r="M59" s="6"/>
      <c r="N59" s="6"/>
      <c r="Y59" s="2"/>
    </row>
    <row r="60" spans="1:27">
      <c r="A60" s="64" t="s">
        <v>42</v>
      </c>
      <c r="C60" s="1" t="s">
        <v>570</v>
      </c>
      <c r="L60" s="6"/>
      <c r="M60" s="6"/>
      <c r="N60" s="6"/>
      <c r="R60" s="2"/>
      <c r="S60" s="2"/>
      <c r="T60" s="2"/>
      <c r="U60" s="2"/>
      <c r="V60" s="2"/>
      <c r="W60" s="2"/>
      <c r="X60" s="2"/>
      <c r="Y60" s="2"/>
    </row>
    <row r="61" spans="1:27">
      <c r="A61" s="64" t="s">
        <v>30</v>
      </c>
      <c r="C61" s="3" t="s">
        <v>883</v>
      </c>
      <c r="L61" s="6"/>
      <c r="M61" s="6"/>
      <c r="N61" s="6"/>
      <c r="R61" s="2"/>
      <c r="S61" s="2"/>
      <c r="T61" s="2"/>
      <c r="U61" s="2"/>
      <c r="V61" s="2"/>
      <c r="W61" s="2"/>
      <c r="X61" s="2"/>
      <c r="Y61" s="2"/>
    </row>
    <row r="62" spans="1:27">
      <c r="A62" s="64" t="s">
        <v>31</v>
      </c>
      <c r="C62" s="3" t="s">
        <v>1637</v>
      </c>
      <c r="R62" s="6"/>
      <c r="S62" s="2"/>
      <c r="T62" s="2"/>
      <c r="U62" s="2"/>
      <c r="V62" s="2"/>
      <c r="W62" s="2"/>
      <c r="X62" s="2"/>
      <c r="Y62" s="2"/>
    </row>
    <row r="63" spans="1:27">
      <c r="A63" s="64"/>
      <c r="C63" s="140"/>
      <c r="R63" s="6"/>
      <c r="S63" s="20"/>
      <c r="T63" s="20"/>
      <c r="U63" s="20"/>
      <c r="V63" s="20"/>
      <c r="W63" s="20"/>
      <c r="X63" s="20"/>
      <c r="Y63" s="20"/>
    </row>
    <row r="64" spans="1:27">
      <c r="A64" s="64"/>
    </row>
    <row r="65" spans="1:25">
      <c r="A65" s="64"/>
      <c r="C65" s="3"/>
      <c r="R65" s="6"/>
      <c r="S65" s="66"/>
      <c r="T65" s="66"/>
      <c r="U65" s="66"/>
      <c r="V65" s="66"/>
      <c r="W65" s="66"/>
      <c r="X65" s="66"/>
      <c r="Y65" s="66"/>
    </row>
    <row r="66" spans="1:25">
      <c r="A66" s="64"/>
      <c r="C66" s="23"/>
      <c r="R66" s="6"/>
      <c r="S66" s="20"/>
      <c r="T66" s="20"/>
      <c r="U66" s="20"/>
      <c r="V66" s="20"/>
      <c r="W66" s="20"/>
      <c r="X66" s="20"/>
      <c r="Y66" s="20"/>
    </row>
    <row r="67" spans="1:25">
      <c r="A67" s="64"/>
      <c r="C67" s="3"/>
      <c r="R67" s="6"/>
      <c r="S67" s="20"/>
      <c r="T67" s="20"/>
      <c r="U67" s="20"/>
      <c r="V67" s="20"/>
      <c r="W67" s="20"/>
      <c r="X67" s="20"/>
      <c r="Y67" s="20"/>
    </row>
    <row r="68" spans="1:25">
      <c r="A68" s="64"/>
      <c r="R68" s="6"/>
      <c r="S68" s="20"/>
      <c r="T68" s="20"/>
      <c r="U68" s="20"/>
      <c r="V68" s="20"/>
      <c r="W68" s="20"/>
      <c r="X68" s="20"/>
      <c r="Y68" s="20"/>
    </row>
    <row r="69" spans="1:25">
      <c r="R69" s="6"/>
      <c r="S69" s="20"/>
      <c r="T69" s="20"/>
      <c r="U69" s="20"/>
      <c r="V69" s="20"/>
      <c r="W69" s="20"/>
      <c r="X69" s="20"/>
      <c r="Y69" s="20"/>
    </row>
    <row r="70" spans="1:25">
      <c r="D70" s="6"/>
      <c r="E70" s="6"/>
      <c r="F70" s="6"/>
      <c r="G70" s="6"/>
      <c r="H70" s="6"/>
      <c r="I70" s="6"/>
      <c r="R70" s="6"/>
      <c r="S70" s="20"/>
      <c r="T70" s="20"/>
      <c r="U70" s="20"/>
      <c r="V70" s="20"/>
      <c r="W70" s="20"/>
      <c r="X70" s="20"/>
      <c r="Y70" s="20"/>
    </row>
    <row r="71" spans="1:25">
      <c r="C71" s="61"/>
      <c r="D71" s="25"/>
      <c r="E71" s="415"/>
      <c r="F71" s="25"/>
      <c r="G71" s="415"/>
      <c r="I71" s="277"/>
      <c r="J71" s="25"/>
      <c r="K71" s="415"/>
      <c r="R71" s="6"/>
      <c r="S71" s="20"/>
      <c r="T71" s="20"/>
      <c r="U71" s="20"/>
      <c r="V71" s="20"/>
      <c r="W71" s="20"/>
      <c r="X71" s="20"/>
      <c r="Y71" s="20"/>
    </row>
    <row r="72" spans="1:25">
      <c r="C72" s="68"/>
      <c r="D72" s="25"/>
      <c r="E72" s="25"/>
      <c r="F72" s="25"/>
      <c r="G72" s="25"/>
      <c r="I72" s="415"/>
      <c r="J72" s="240"/>
      <c r="K72" s="25"/>
      <c r="R72" s="6"/>
      <c r="S72" s="20"/>
      <c r="T72" s="20"/>
      <c r="U72" s="20"/>
      <c r="V72" s="20"/>
      <c r="W72" s="20"/>
      <c r="X72" s="20"/>
      <c r="Y72" s="20"/>
    </row>
    <row r="73" spans="1:25">
      <c r="C73" s="172"/>
      <c r="D73" s="25"/>
      <c r="E73" s="415"/>
      <c r="F73" s="25"/>
      <c r="G73" s="415"/>
      <c r="I73" s="415"/>
      <c r="J73" s="230"/>
      <c r="K73" s="25"/>
      <c r="R73" s="6"/>
      <c r="S73" s="20"/>
      <c r="T73" s="20"/>
      <c r="U73" s="20"/>
      <c r="V73" s="20"/>
      <c r="W73" s="20"/>
      <c r="X73" s="20"/>
      <c r="Y73" s="20"/>
    </row>
    <row r="74" spans="1:25">
      <c r="C74" s="25"/>
      <c r="D74" s="25"/>
      <c r="E74" s="25"/>
      <c r="F74" s="25"/>
      <c r="G74" s="25"/>
      <c r="I74" s="415"/>
      <c r="J74" s="230"/>
      <c r="K74" s="415"/>
      <c r="R74" s="6"/>
      <c r="S74" s="20"/>
      <c r="T74" s="20"/>
      <c r="U74" s="20"/>
      <c r="V74" s="20"/>
      <c r="W74" s="20"/>
      <c r="X74" s="20"/>
      <c r="Y74" s="20"/>
    </row>
    <row r="75" spans="1:25">
      <c r="C75" s="25"/>
      <c r="D75" s="61"/>
      <c r="E75" s="160"/>
      <c r="F75" s="61"/>
      <c r="I75" s="160"/>
      <c r="J75" s="172"/>
      <c r="K75" s="172"/>
      <c r="R75" s="6"/>
      <c r="S75" s="20"/>
      <c r="T75" s="20"/>
      <c r="U75" s="20"/>
      <c r="V75" s="20"/>
      <c r="W75" s="20"/>
      <c r="X75" s="20"/>
      <c r="Y75" s="20"/>
    </row>
    <row r="76" spans="1:25">
      <c r="C76" s="25"/>
      <c r="D76" s="61"/>
      <c r="E76" s="160"/>
      <c r="F76" s="61"/>
      <c r="G76" s="84"/>
      <c r="I76" s="72"/>
      <c r="J76" s="172"/>
      <c r="K76" s="172"/>
      <c r="R76" s="2"/>
      <c r="S76" s="66"/>
      <c r="T76" s="66"/>
      <c r="U76" s="66"/>
      <c r="V76" s="66"/>
      <c r="W76" s="66"/>
      <c r="X76" s="66"/>
      <c r="Y76" s="66"/>
    </row>
    <row r="77" spans="1:25">
      <c r="C77" s="25"/>
      <c r="D77" s="61"/>
      <c r="E77" s="137"/>
      <c r="F77" s="61"/>
      <c r="G77" s="84"/>
      <c r="I77" s="72"/>
      <c r="J77" s="172"/>
      <c r="K77" s="172"/>
    </row>
    <row r="78" spans="1:25">
      <c r="C78" s="25"/>
      <c r="D78" s="61"/>
      <c r="E78" s="137"/>
      <c r="F78" s="61"/>
      <c r="G78" s="84"/>
      <c r="I78" s="72"/>
      <c r="J78" s="172"/>
      <c r="K78" s="414"/>
    </row>
    <row r="79" spans="1:25">
      <c r="C79" s="25"/>
      <c r="D79" s="61"/>
      <c r="E79" s="137"/>
      <c r="F79" s="61"/>
      <c r="G79" s="84"/>
      <c r="I79" s="72"/>
      <c r="J79" s="172"/>
      <c r="K79" s="414"/>
    </row>
    <row r="80" spans="1:25">
      <c r="C80" s="25"/>
      <c r="D80" s="61"/>
      <c r="E80" s="137"/>
      <c r="F80" s="61"/>
      <c r="G80" s="22"/>
      <c r="I80" s="72"/>
      <c r="J80" s="172"/>
      <c r="K80" s="84"/>
    </row>
    <row r="81" spans="3:11">
      <c r="C81" s="25"/>
      <c r="D81" s="61"/>
      <c r="E81" s="137"/>
      <c r="F81" s="61"/>
      <c r="G81" s="22"/>
      <c r="I81" s="72"/>
      <c r="J81" s="61"/>
      <c r="K81" s="84"/>
    </row>
    <row r="82" spans="3:11">
      <c r="C82" s="25"/>
      <c r="D82" s="68"/>
      <c r="E82" s="137"/>
      <c r="F82" s="61"/>
      <c r="I82" s="68"/>
      <c r="J82" s="61"/>
      <c r="K82" s="68"/>
    </row>
    <row r="83" spans="3:11">
      <c r="C83" s="25"/>
      <c r="D83" s="61"/>
      <c r="E83" s="61"/>
      <c r="F83" s="61"/>
      <c r="I83" s="61"/>
      <c r="J83" s="61"/>
      <c r="K83" s="61"/>
    </row>
    <row r="84" spans="3:11">
      <c r="C84" s="97"/>
      <c r="D84" s="61"/>
      <c r="E84" s="68"/>
      <c r="F84" s="61"/>
      <c r="I84" s="61"/>
      <c r="J84" s="61"/>
      <c r="K84" s="68"/>
    </row>
  </sheetData>
  <printOptions horizontalCentered="1"/>
  <pageMargins left="0.7" right="0.7" top="0.75" bottom="0.75" header="0.3" footer="0.3"/>
  <pageSetup scale="66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61"/>
  <dimension ref="A1:BJ77"/>
  <sheetViews>
    <sheetView topLeftCell="A32" zoomScaleNormal="100" workbookViewId="0">
      <selection activeCell="G52" sqref="G52"/>
    </sheetView>
  </sheetViews>
  <sheetFormatPr baseColWidth="10" defaultColWidth="8.7109375" defaultRowHeight="15"/>
  <cols>
    <col min="1" max="1" width="12.570312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1.7109375" style="1" customWidth="1"/>
    <col min="14" max="14" width="1.7109375" style="1" customWidth="1"/>
    <col min="15" max="15" width="11.7109375" style="1" customWidth="1"/>
    <col min="16" max="16" width="1.7109375" style="1" customWidth="1"/>
    <col min="17" max="17" width="11.7109375" style="1" customWidth="1"/>
    <col min="18" max="18" width="1.7109375" style="1" customWidth="1"/>
    <col min="19" max="19" width="11.7109375" style="1" customWidth="1"/>
    <col min="20" max="20" width="1.7109375" style="1" customWidth="1"/>
    <col min="21" max="21" width="11.7109375" style="1" customWidth="1"/>
    <col min="22" max="22" width="1.7109375" style="1" customWidth="1"/>
    <col min="23" max="23" width="11.7109375" style="1" customWidth="1"/>
    <col min="24" max="24" width="1.7109375" style="1" customWidth="1"/>
    <col min="25" max="25" width="11.7109375" style="1" customWidth="1"/>
    <col min="26" max="26" width="1.7109375" style="1" customWidth="1"/>
    <col min="27" max="27" width="11.7109375" style="1" customWidth="1"/>
    <col min="28" max="28" width="1.7109375" style="1" customWidth="1"/>
    <col min="29" max="29" width="11.7109375" style="1" customWidth="1"/>
    <col min="30" max="30" width="1.7109375" style="1" customWidth="1"/>
    <col min="31" max="31" width="11.7109375" style="1" customWidth="1"/>
    <col min="32" max="32" width="1.7109375" style="1" customWidth="1"/>
    <col min="33" max="33" width="11.7109375" style="1" customWidth="1"/>
    <col min="34" max="35" width="8.7109375" style="1" bestFit="1" customWidth="1"/>
    <col min="36" max="36" width="8.7109375" style="1"/>
    <col min="37" max="37" width="8.7109375" style="1" bestFit="1" customWidth="1"/>
    <col min="38" max="38" width="8.7109375" style="1"/>
    <col min="39" max="51" width="12.7109375" style="1" customWidth="1"/>
    <col min="52" max="52" width="8.7109375" style="1"/>
    <col min="53" max="56" width="12.7109375" style="1" customWidth="1"/>
    <col min="57" max="57" width="8.7109375" style="1"/>
    <col min="58" max="58" width="10.140625" style="1" bestFit="1" customWidth="1"/>
    <col min="59" max="59" width="12.7109375" style="1" customWidth="1"/>
    <col min="60" max="60" width="8.7109375" style="1"/>
    <col min="61" max="62" width="12.7109375" style="1" customWidth="1"/>
    <col min="63" max="16384" width="8.7109375" style="1"/>
  </cols>
  <sheetData>
    <row r="1" spans="1:62">
      <c r="M1" s="3"/>
      <c r="N1" s="3"/>
      <c r="O1" s="64" t="s">
        <v>1525</v>
      </c>
      <c r="AE1" s="3" t="s">
        <v>1525</v>
      </c>
    </row>
    <row r="2" spans="1:62">
      <c r="M2" s="3"/>
      <c r="N2" s="3"/>
      <c r="O2" s="52" t="s">
        <v>56</v>
      </c>
      <c r="AE2" s="1" t="s">
        <v>56</v>
      </c>
    </row>
    <row r="4" spans="1:62" s="140" customFormat="1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Q4" s="4" t="s">
        <v>872</v>
      </c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</row>
    <row r="5" spans="1:62" s="140" customForma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</row>
    <row r="6" spans="1:62" s="140" customFormat="1">
      <c r="A6" s="5" t="s">
        <v>1549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Q6" s="5" t="str">
        <f>A6</f>
        <v>Assumed From Integris Risk Rention Group, Inc.</v>
      </c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M6" s="510"/>
    </row>
    <row r="7" spans="1:62" s="140" customFormat="1">
      <c r="A7" s="5" t="s">
        <v>640</v>
      </c>
      <c r="B7" s="5"/>
      <c r="C7" s="5"/>
      <c r="D7" s="5"/>
      <c r="E7" s="328"/>
      <c r="F7" s="5"/>
      <c r="G7" s="5"/>
      <c r="H7" s="5"/>
      <c r="I7" s="5"/>
      <c r="J7" s="5"/>
      <c r="K7" s="5"/>
      <c r="L7" s="5"/>
      <c r="M7" s="5"/>
      <c r="N7" s="5"/>
      <c r="O7" s="5"/>
      <c r="Q7" s="5" t="str">
        <f>A7</f>
        <v>Direct and Net of Reinsurnace</v>
      </c>
      <c r="R7" s="5"/>
      <c r="S7" s="5"/>
      <c r="T7" s="5"/>
      <c r="U7" s="328"/>
      <c r="V7" s="5"/>
      <c r="W7" s="328"/>
      <c r="X7" s="5"/>
      <c r="Y7" s="5"/>
      <c r="Z7" s="5"/>
      <c r="AA7" s="5"/>
      <c r="AB7" s="5"/>
      <c r="AC7" s="5"/>
      <c r="AD7" s="5"/>
      <c r="AE7" s="5"/>
      <c r="AH7" s="510"/>
      <c r="AI7" s="510"/>
      <c r="AJ7" s="510"/>
      <c r="AK7" s="510"/>
      <c r="AL7" s="510"/>
      <c r="AM7" s="510"/>
      <c r="AN7" s="510"/>
      <c r="AO7" s="510"/>
      <c r="AP7" s="510"/>
      <c r="AQ7" s="510"/>
      <c r="AR7" s="510"/>
      <c r="AS7" s="510"/>
      <c r="AT7" s="510"/>
      <c r="AU7" s="510"/>
      <c r="AV7" s="510"/>
      <c r="AW7" s="510"/>
      <c r="AX7" s="510"/>
      <c r="AY7" s="510"/>
    </row>
    <row r="8" spans="1:62" s="140" customFormat="1">
      <c r="A8" s="5" t="s">
        <v>1298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Q8" s="5" t="str">
        <f>A8</f>
        <v>Ultimate and Unpaid Losses - Medical Malpractice Only</v>
      </c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H8" s="510"/>
      <c r="AI8" s="510"/>
      <c r="AJ8" s="510"/>
      <c r="AK8" s="510"/>
      <c r="AL8" s="510"/>
      <c r="AM8" s="510"/>
      <c r="AN8" s="510"/>
      <c r="AO8" s="510"/>
      <c r="AP8" s="510"/>
      <c r="AQ8" s="510"/>
      <c r="AR8" s="510"/>
      <c r="AS8" s="510"/>
      <c r="AT8" s="510"/>
      <c r="AU8" s="510"/>
      <c r="AV8" s="510"/>
      <c r="AW8" s="510"/>
      <c r="AX8" s="510"/>
      <c r="AY8" s="510"/>
    </row>
    <row r="9" spans="1:62" s="140" customForma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H9" s="510"/>
      <c r="AI9" s="510"/>
      <c r="AJ9" s="510"/>
      <c r="AK9" s="510"/>
      <c r="AL9" s="510"/>
      <c r="AM9" s="510"/>
      <c r="AN9" s="510"/>
      <c r="AO9" s="25" t="s">
        <v>5</v>
      </c>
      <c r="AP9" s="510"/>
      <c r="AQ9" s="25" t="s">
        <v>395</v>
      </c>
      <c r="AR9" s="510"/>
      <c r="AS9" s="510"/>
      <c r="AT9" s="510"/>
      <c r="AU9" s="510"/>
      <c r="AV9" s="510"/>
      <c r="AW9" s="510"/>
      <c r="AX9" s="510"/>
      <c r="AY9" s="510"/>
    </row>
    <row r="10" spans="1:62" s="140" customFormat="1" ht="16">
      <c r="A10" s="4" t="s">
        <v>160</v>
      </c>
      <c r="B10" s="5"/>
      <c r="C10" s="5"/>
      <c r="D10" s="5"/>
      <c r="E10" s="5"/>
      <c r="F10" s="5"/>
      <c r="G10" s="4"/>
      <c r="H10" s="5"/>
      <c r="I10" s="5"/>
      <c r="J10" s="5"/>
      <c r="K10" s="5"/>
      <c r="L10" s="5"/>
      <c r="M10" s="5"/>
      <c r="N10" s="5"/>
      <c r="O10" s="5"/>
      <c r="Q10" s="4" t="s">
        <v>637</v>
      </c>
      <c r="R10" s="5"/>
      <c r="S10" s="5"/>
      <c r="T10" s="5"/>
      <c r="U10" s="5"/>
      <c r="V10" s="5"/>
      <c r="W10" s="4"/>
      <c r="X10" s="5"/>
      <c r="Y10" s="5"/>
      <c r="Z10" s="5"/>
      <c r="AA10" s="5"/>
      <c r="AB10" s="5"/>
      <c r="AC10" s="5"/>
      <c r="AD10" s="5"/>
      <c r="AE10" s="5"/>
      <c r="AH10" s="510"/>
      <c r="AI10" s="510"/>
      <c r="AJ10" s="510"/>
      <c r="AK10" s="510"/>
      <c r="AL10" s="510"/>
      <c r="AM10" s="510"/>
      <c r="AN10" s="510"/>
      <c r="AO10" s="25" t="s">
        <v>2</v>
      </c>
      <c r="AP10" s="510"/>
      <c r="AQ10" s="25" t="s">
        <v>2</v>
      </c>
      <c r="AR10" s="510"/>
      <c r="AS10" s="510"/>
      <c r="AT10" s="510"/>
      <c r="AU10" s="510"/>
      <c r="AV10" s="510"/>
      <c r="AW10" s="510"/>
      <c r="AX10" s="510"/>
      <c r="AY10" s="510"/>
    </row>
    <row r="11" spans="1:62">
      <c r="C11" s="2" t="s">
        <v>1</v>
      </c>
      <c r="O11" s="6" t="s">
        <v>635</v>
      </c>
      <c r="S11" s="2" t="s">
        <v>1</v>
      </c>
      <c r="AH11" s="61"/>
      <c r="AI11" s="97" t="s">
        <v>7</v>
      </c>
      <c r="AJ11" s="61"/>
      <c r="AK11" s="97" t="s">
        <v>7</v>
      </c>
      <c r="AL11" s="61"/>
      <c r="AM11" s="25"/>
      <c r="AN11" s="61"/>
      <c r="AO11" s="97" t="s">
        <v>1</v>
      </c>
      <c r="AP11" s="61"/>
      <c r="AQ11" s="97" t="s">
        <v>1</v>
      </c>
      <c r="AR11" s="61"/>
      <c r="AS11" s="25"/>
      <c r="AT11" s="25"/>
      <c r="AU11" s="25"/>
      <c r="AV11" s="25"/>
      <c r="AW11" s="25"/>
      <c r="AX11" s="25"/>
      <c r="AY11" s="25"/>
      <c r="AZ11" s="6"/>
    </row>
    <row r="12" spans="1:62">
      <c r="C12" s="2" t="s">
        <v>67</v>
      </c>
      <c r="E12" s="2" t="s">
        <v>14</v>
      </c>
      <c r="G12" s="2" t="s">
        <v>12</v>
      </c>
      <c r="I12" s="2" t="s">
        <v>139</v>
      </c>
      <c r="M12" s="2" t="s">
        <v>63</v>
      </c>
      <c r="N12" s="2"/>
      <c r="O12" s="6" t="s">
        <v>567</v>
      </c>
      <c r="S12" s="2" t="s">
        <v>67</v>
      </c>
      <c r="U12" s="2" t="s">
        <v>14</v>
      </c>
      <c r="W12" s="2" t="s">
        <v>12</v>
      </c>
      <c r="Y12" s="2" t="s">
        <v>139</v>
      </c>
      <c r="AC12" s="2" t="s">
        <v>63</v>
      </c>
      <c r="AD12" s="6"/>
      <c r="AE12" s="6" t="s">
        <v>635</v>
      </c>
      <c r="AH12" s="25" t="s">
        <v>122</v>
      </c>
      <c r="AI12" s="97" t="s">
        <v>62</v>
      </c>
      <c r="AJ12" s="61"/>
      <c r="AK12" s="97" t="s">
        <v>62</v>
      </c>
      <c r="AL12" s="61"/>
      <c r="AM12" s="510"/>
      <c r="AN12" s="61"/>
      <c r="AO12" s="97" t="s">
        <v>67</v>
      </c>
      <c r="AP12" s="25" t="s">
        <v>18</v>
      </c>
      <c r="AQ12" s="97" t="s">
        <v>67</v>
      </c>
      <c r="AR12" s="61" t="s">
        <v>18</v>
      </c>
      <c r="AS12" s="510"/>
      <c r="AT12" s="510"/>
      <c r="AU12" s="510"/>
      <c r="AV12" s="510"/>
      <c r="AW12" s="510"/>
      <c r="AX12" s="510"/>
      <c r="AY12" s="510"/>
      <c r="AZ12" s="510"/>
    </row>
    <row r="13" spans="1:62">
      <c r="A13" s="2" t="s">
        <v>4</v>
      </c>
      <c r="C13" s="2" t="s">
        <v>55</v>
      </c>
      <c r="E13" s="2" t="s">
        <v>55</v>
      </c>
      <c r="G13" s="2" t="s">
        <v>55</v>
      </c>
      <c r="I13" s="2" t="s">
        <v>112</v>
      </c>
      <c r="K13" s="2" t="s">
        <v>381</v>
      </c>
      <c r="M13" s="2" t="s">
        <v>55</v>
      </c>
      <c r="N13" s="2"/>
      <c r="O13" s="6" t="s">
        <v>117</v>
      </c>
      <c r="Q13" s="2" t="s">
        <v>4</v>
      </c>
      <c r="S13" s="2" t="s">
        <v>55</v>
      </c>
      <c r="U13" s="2" t="s">
        <v>55</v>
      </c>
      <c r="W13" s="2" t="s">
        <v>55</v>
      </c>
      <c r="Y13" s="2" t="s">
        <v>112</v>
      </c>
      <c r="AA13" s="2" t="s">
        <v>381</v>
      </c>
      <c r="AC13" s="2" t="s">
        <v>55</v>
      </c>
      <c r="AD13" s="6"/>
      <c r="AE13" s="6" t="s">
        <v>567</v>
      </c>
      <c r="AH13" s="25" t="s">
        <v>123</v>
      </c>
      <c r="AI13" s="97" t="s">
        <v>14</v>
      </c>
      <c r="AJ13" s="61"/>
      <c r="AK13" s="97" t="s">
        <v>12</v>
      </c>
      <c r="AL13" s="61"/>
      <c r="AM13" s="510"/>
      <c r="AN13" s="97" t="s">
        <v>4</v>
      </c>
      <c r="AO13" s="97" t="s">
        <v>55</v>
      </c>
      <c r="AP13" s="97" t="s">
        <v>1680</v>
      </c>
      <c r="AQ13" s="97" t="s">
        <v>55</v>
      </c>
      <c r="AR13" s="121" t="s">
        <v>1681</v>
      </c>
      <c r="AS13" s="510"/>
      <c r="AT13" s="510"/>
      <c r="AU13" s="510"/>
      <c r="AV13" s="510"/>
      <c r="AW13" s="510"/>
      <c r="AX13" s="510"/>
      <c r="AY13" s="510"/>
      <c r="AZ13" s="510"/>
      <c r="BF13" s="61"/>
      <c r="BI13" s="61"/>
    </row>
    <row r="14" spans="1:62">
      <c r="A14" s="10">
        <v>-1</v>
      </c>
      <c r="C14" s="10">
        <v>-2</v>
      </c>
      <c r="E14" s="10">
        <v>-3</v>
      </c>
      <c r="G14" s="10">
        <v>-4</v>
      </c>
      <c r="I14" s="10">
        <v>-5</v>
      </c>
      <c r="K14" s="10">
        <v>-6</v>
      </c>
      <c r="M14" s="10">
        <v>-7</v>
      </c>
      <c r="N14" s="10"/>
      <c r="O14" s="10">
        <v>-8</v>
      </c>
      <c r="Q14" s="10">
        <v>-1</v>
      </c>
      <c r="S14" s="10">
        <v>-2</v>
      </c>
      <c r="U14" s="10">
        <v>-3</v>
      </c>
      <c r="W14" s="10">
        <v>-4</v>
      </c>
      <c r="Y14" s="10">
        <v>-5</v>
      </c>
      <c r="AA14" s="10">
        <v>-6</v>
      </c>
      <c r="AC14" s="10">
        <v>-7</v>
      </c>
      <c r="AE14" s="10">
        <v>-8</v>
      </c>
      <c r="AH14" s="202">
        <v>-9</v>
      </c>
      <c r="AI14" s="143">
        <f>AH14-1</f>
        <v>-10</v>
      </c>
      <c r="AJ14" s="61"/>
      <c r="AK14" s="143">
        <f>AI14-1</f>
        <v>-11</v>
      </c>
      <c r="AL14" s="61"/>
      <c r="AM14" s="510"/>
      <c r="AN14" s="143">
        <f>AK14-1</f>
        <v>-12</v>
      </c>
      <c r="AO14" s="143">
        <f t="shared" ref="AO14:AP14" si="0">AN14-1</f>
        <v>-13</v>
      </c>
      <c r="AP14" s="143">
        <f t="shared" si="0"/>
        <v>-14</v>
      </c>
      <c r="AQ14" s="143">
        <f t="shared" ref="AQ14:AR14" si="1">AP14-1</f>
        <v>-15</v>
      </c>
      <c r="AR14" s="143">
        <f t="shared" si="1"/>
        <v>-16</v>
      </c>
      <c r="AS14" s="510"/>
      <c r="AT14" s="510"/>
      <c r="AU14" s="510"/>
      <c r="AV14" s="510"/>
      <c r="AW14" s="510"/>
      <c r="AX14" s="510"/>
      <c r="AY14" s="510"/>
      <c r="AZ14" s="510"/>
      <c r="BE14" s="61"/>
      <c r="BF14" s="61"/>
      <c r="BG14" s="61"/>
      <c r="BI14" s="61"/>
      <c r="BJ14" s="61"/>
    </row>
    <row r="15" spans="1:62">
      <c r="AH15" s="61" t="s">
        <v>637</v>
      </c>
      <c r="AI15" s="61"/>
      <c r="AJ15" s="61"/>
      <c r="AK15" s="61"/>
      <c r="AL15" s="61"/>
      <c r="AM15" s="510"/>
      <c r="AN15" s="61"/>
      <c r="AO15" s="61"/>
      <c r="AP15" s="61"/>
      <c r="AQ15" s="61"/>
      <c r="AR15" s="61"/>
      <c r="AS15" s="510"/>
      <c r="AT15" s="510"/>
      <c r="AU15" s="510"/>
      <c r="AV15" s="510"/>
      <c r="AW15" s="510"/>
      <c r="AX15" s="510"/>
      <c r="AY15" s="510"/>
      <c r="AZ15" s="510"/>
      <c r="BE15" s="61"/>
      <c r="BF15" s="243"/>
      <c r="BG15" s="61"/>
      <c r="BI15" s="243"/>
      <c r="BJ15" s="61"/>
    </row>
    <row r="16" spans="1:62">
      <c r="A16" s="3" t="s">
        <v>643</v>
      </c>
      <c r="C16" s="22">
        <f>G16</f>
        <v>2375</v>
      </c>
      <c r="E16" s="17">
        <f>'Exhibit A, 1d'!U16+'Exhibit A, 1d'!U44</f>
        <v>2375</v>
      </c>
      <c r="G16" s="17">
        <f>'Exhibit A, 1d'!W16+'Exhibit A, 1d'!W44</f>
        <v>2375</v>
      </c>
      <c r="Q16" s="3" t="s">
        <v>643</v>
      </c>
      <c r="AH16" s="61">
        <f t="shared" ref="AH16:AH23" si="2">AH17+12</f>
        <v>120</v>
      </c>
      <c r="AI16" s="144">
        <f>'Exhibit Q,3'!I26</f>
        <v>0.98813728327931161</v>
      </c>
      <c r="AJ16" s="149"/>
      <c r="AK16" s="149">
        <f>'Exhibit Q,1'!I26</f>
        <v>1</v>
      </c>
      <c r="AL16" s="61"/>
      <c r="AM16" s="72"/>
      <c r="AN16" s="115" t="s">
        <v>643</v>
      </c>
      <c r="AO16" s="61"/>
      <c r="AP16" s="61"/>
      <c r="AQ16" s="61"/>
      <c r="AR16" s="61"/>
      <c r="AS16" s="145"/>
      <c r="AT16" s="145"/>
      <c r="AU16" s="145"/>
      <c r="AV16" s="145"/>
      <c r="AW16" s="145"/>
      <c r="AX16" s="145"/>
      <c r="AY16" s="145"/>
      <c r="BE16" s="61"/>
      <c r="BF16" s="61"/>
      <c r="BG16" s="61"/>
      <c r="BI16" s="61"/>
      <c r="BJ16" s="61"/>
    </row>
    <row r="17" spans="1:62">
      <c r="A17" s="6">
        <v>2013</v>
      </c>
      <c r="C17" s="147">
        <f>'Exhibit A, 1d'!S17+'Exhibit A, 1d'!S45</f>
        <v>8418.1970000000001</v>
      </c>
      <c r="D17" s="147"/>
      <c r="E17" s="17">
        <f>'Exhibit A, 1d'!U17+'Exhibit A, 1d'!U45</f>
        <v>8418.1970000000001</v>
      </c>
      <c r="F17" s="147"/>
      <c r="G17" s="147">
        <f>'Exhibit A, 1d'!W17+'Exhibit A, 1d'!W45</f>
        <v>8418.1970000000001</v>
      </c>
      <c r="H17" s="147"/>
      <c r="I17" s="147">
        <f>G17-E17</f>
        <v>0</v>
      </c>
      <c r="J17" s="147"/>
      <c r="K17" s="147">
        <f>C17-G17</f>
        <v>0</v>
      </c>
      <c r="L17" s="147"/>
      <c r="M17" s="147">
        <f>C17-E17</f>
        <v>0</v>
      </c>
      <c r="N17" s="147"/>
      <c r="O17" s="147">
        <f>'Exhibit A, 1d'!AE17+'Exhibit A, 1d'!AE45</f>
        <v>0</v>
      </c>
      <c r="Q17" s="6">
        <f>A17</f>
        <v>2013</v>
      </c>
      <c r="S17" s="147">
        <f>'EXhbit A, 1e'!S17+'EXhbit A, 1e'!S45</f>
        <v>0</v>
      </c>
      <c r="T17" s="147"/>
      <c r="U17" s="16">
        <f>'EXhbit A, 1e'!U17+'EXhbit A, 1e'!U45</f>
        <v>0</v>
      </c>
      <c r="V17" s="147"/>
      <c r="W17" s="147">
        <f>'EXhbit A, 1e'!W17+'EXhbit A, 1e'!W45</f>
        <v>0</v>
      </c>
      <c r="X17" s="147"/>
      <c r="Y17" s="147">
        <f>W17-U17</f>
        <v>0</v>
      </c>
      <c r="Z17" s="147"/>
      <c r="AA17" s="147">
        <f>S17-W17</f>
        <v>0</v>
      </c>
      <c r="AB17" s="147"/>
      <c r="AC17" s="147">
        <f>'EXhbit A, 1e'!AE17+'EXhbit A, 1e'!AE45</f>
        <v>0</v>
      </c>
      <c r="AD17" s="147"/>
      <c r="AE17" s="147">
        <f>'Exhibit A, 1d'!AU17+'Exhibit A, 1d'!AU45</f>
        <v>0</v>
      </c>
      <c r="AH17" s="61">
        <f t="shared" si="2"/>
        <v>108</v>
      </c>
      <c r="AI17" s="144">
        <f>'Exhibit Q,3'!K27</f>
        <v>0.9055136018007176</v>
      </c>
      <c r="AJ17" s="149"/>
      <c r="AK17" s="149">
        <f>'Exhibit Q,1'!K27</f>
        <v>0.98633438596944767</v>
      </c>
      <c r="AL17" s="61"/>
      <c r="AM17" s="72"/>
      <c r="AN17" s="25">
        <v>2013</v>
      </c>
      <c r="AO17" s="157">
        <v>8422.9748207906159</v>
      </c>
      <c r="AP17" s="157">
        <f>C17-AO17</f>
        <v>-4.7778207906158059</v>
      </c>
      <c r="AQ17" s="157">
        <v>0</v>
      </c>
      <c r="AR17" s="223">
        <f>S17-AQ17</f>
        <v>0</v>
      </c>
      <c r="AS17" s="145"/>
      <c r="AT17" s="145"/>
      <c r="AU17" s="145"/>
      <c r="AV17" s="145"/>
      <c r="AW17" s="145"/>
      <c r="AX17" s="145"/>
      <c r="AY17" s="145"/>
      <c r="BE17" s="61"/>
      <c r="BF17" s="172"/>
      <c r="BG17" s="68"/>
      <c r="BI17" s="18"/>
      <c r="BJ17" s="68"/>
    </row>
    <row r="18" spans="1:62">
      <c r="A18" s="6">
        <f>A17+1</f>
        <v>2014</v>
      </c>
      <c r="C18" s="17">
        <f>'Exhibit A, 1d'!S18+'Exhibit A, 1d'!S46</f>
        <v>3802613.0536734839</v>
      </c>
      <c r="D18" s="17"/>
      <c r="E18" s="17">
        <f>'Exhibit A, 1d'!U18+'Exhibit A, 1d'!U46</f>
        <v>3800456.0380000002</v>
      </c>
      <c r="F18" s="17"/>
      <c r="G18" s="17">
        <f>'Exhibit A, 1d'!W18+'Exhibit A, 1d'!W46</f>
        <v>3800456.0380000002</v>
      </c>
      <c r="H18" s="17"/>
      <c r="I18" s="573">
        <f t="shared" ref="I18:I26" si="3">G18-E18</f>
        <v>0</v>
      </c>
      <c r="J18" s="17"/>
      <c r="K18" s="17">
        <f t="shared" ref="K18:K26" si="4">C18-G18</f>
        <v>2157.0156734837219</v>
      </c>
      <c r="L18" s="17"/>
      <c r="M18" s="17">
        <f t="shared" ref="M18:M26" si="5">C18-E18</f>
        <v>2157.0156734837219</v>
      </c>
      <c r="N18" s="17"/>
      <c r="O18" s="17">
        <f>'Exhibit A, 1d'!AE18+'Exhibit A, 1d'!AE46</f>
        <v>63.576262106993113</v>
      </c>
      <c r="Q18" s="6">
        <f>Q17+1</f>
        <v>2014</v>
      </c>
      <c r="S18" s="17">
        <f>'EXhbit A, 1e'!S18+'EXhbit A, 1e'!S46</f>
        <v>1065256.4509738579</v>
      </c>
      <c r="T18" s="17"/>
      <c r="U18" s="17">
        <f>'EXhbit A, 1e'!U18+'EXhbit A, 1e'!U46</f>
        <v>57448.476000000002</v>
      </c>
      <c r="V18" s="17"/>
      <c r="W18" s="17">
        <f>'EXhbit A, 1e'!W18+'EXhbit A, 1e'!W46</f>
        <v>1045000</v>
      </c>
      <c r="X18" s="17"/>
      <c r="Y18" s="17">
        <f t="shared" ref="Y18:Y26" si="6">W18-U18</f>
        <v>987551.52399999998</v>
      </c>
      <c r="Z18" s="17"/>
      <c r="AA18" s="17">
        <f t="shared" ref="AA18:AA26" si="7">S18-W18</f>
        <v>20256.450973857893</v>
      </c>
      <c r="AB18" s="17"/>
      <c r="AC18" s="17">
        <f>'EXhbit A, 1e'!AE18+'EXhbit A, 1e'!AE46</f>
        <v>32336.966246877651</v>
      </c>
      <c r="AD18" s="17"/>
      <c r="AE18" s="17">
        <f>'Exhibit A, 1d'!AU18+'Exhibit A, 1d'!AU46</f>
        <v>3.3461190582628006</v>
      </c>
      <c r="AH18" s="61">
        <f t="shared" si="2"/>
        <v>96</v>
      </c>
      <c r="AI18" s="144">
        <f>'Exhibit Q,3'!K28</f>
        <v>0.81516569847337383</v>
      </c>
      <c r="AJ18" s="149"/>
      <c r="AK18" s="149">
        <f>'Exhibit Q,1'!K28</f>
        <v>0.96560050468394742</v>
      </c>
      <c r="AL18" s="61"/>
      <c r="AM18" s="72"/>
      <c r="AN18" s="25">
        <f>AN17+1</f>
        <v>2014</v>
      </c>
      <c r="AO18" s="69">
        <v>3819439.9949843893</v>
      </c>
      <c r="AP18" s="69">
        <f t="shared" ref="AP18:AP25" si="8">C18-AO18</f>
        <v>-16826.941310905386</v>
      </c>
      <c r="AQ18" s="69">
        <v>173041.24859258032</v>
      </c>
      <c r="AR18" s="69">
        <f t="shared" ref="AR18:AR25" si="9">S18-AQ18</f>
        <v>892215.20238127757</v>
      </c>
      <c r="AS18" s="145"/>
      <c r="AT18" s="145"/>
      <c r="AU18" s="244"/>
      <c r="AV18" s="145"/>
      <c r="AW18" s="145"/>
      <c r="AX18" s="145"/>
      <c r="AY18" s="244"/>
      <c r="BE18" s="61"/>
      <c r="BF18" s="172"/>
      <c r="BG18" s="68"/>
      <c r="BI18" s="18"/>
      <c r="BJ18" s="69"/>
    </row>
    <row r="19" spans="1:62">
      <c r="A19" s="6">
        <f t="shared" ref="A19:A26" si="10">A18+1</f>
        <v>2015</v>
      </c>
      <c r="C19" s="17">
        <f>'Exhibit A, 1d'!S19+'Exhibit A, 1d'!S47</f>
        <v>2467321.1415077848</v>
      </c>
      <c r="D19" s="17"/>
      <c r="E19" s="17">
        <f>'Exhibit A, 1d'!U19+'Exhibit A, 1d'!U47</f>
        <v>2455021.122</v>
      </c>
      <c r="F19" s="17"/>
      <c r="G19" s="17">
        <f>'Exhibit A, 1d'!W19+'Exhibit A, 1d'!W47</f>
        <v>2455021.122</v>
      </c>
      <c r="H19" s="17"/>
      <c r="I19" s="573">
        <f t="shared" si="3"/>
        <v>0</v>
      </c>
      <c r="J19" s="17"/>
      <c r="K19" s="17">
        <f t="shared" si="4"/>
        <v>12300.019507784862</v>
      </c>
      <c r="L19" s="17"/>
      <c r="M19" s="17">
        <f t="shared" si="5"/>
        <v>12300.019507784862</v>
      </c>
      <c r="N19" s="17"/>
      <c r="O19" s="17">
        <f>'Exhibit A, 1d'!AE19+'Exhibit A, 1d'!AE47</f>
        <v>362.53295410000766</v>
      </c>
      <c r="Q19" s="6">
        <f t="shared" ref="Q19:Q26" si="11">Q18+1</f>
        <v>2015</v>
      </c>
      <c r="S19" s="17">
        <f>'EXhbit A, 1e'!S19+'EXhbit A, 1e'!S47</f>
        <v>371474.1982110159</v>
      </c>
      <c r="T19" s="17"/>
      <c r="U19" s="17">
        <f>'EXhbit A, 1e'!U19+'EXhbit A, 1e'!U47</f>
        <v>320970.84749999997</v>
      </c>
      <c r="V19" s="17"/>
      <c r="W19" s="17">
        <f>'EXhbit A, 1e'!W19+'EXhbit A, 1e'!W47</f>
        <v>356514.14749999996</v>
      </c>
      <c r="X19" s="17"/>
      <c r="Y19" s="17">
        <f t="shared" si="6"/>
        <v>35543.299999999988</v>
      </c>
      <c r="Z19" s="17"/>
      <c r="AA19" s="17">
        <f t="shared" si="7"/>
        <v>14960.050711015938</v>
      </c>
      <c r="AB19" s="17"/>
      <c r="AC19" s="17">
        <f>'EXhbit A, 1e'!AE19+'EXhbit A, 1e'!AE47</f>
        <v>1620.472538271697</v>
      </c>
      <c r="AD19" s="17"/>
      <c r="AE19" s="17">
        <f>'Exhibit A, 1d'!AU19+'Exhibit A, 1d'!AU47</f>
        <v>19.080681794737288</v>
      </c>
      <c r="AH19" s="61">
        <f t="shared" si="2"/>
        <v>84</v>
      </c>
      <c r="AI19" s="144">
        <f>'Exhibit Q,3'!K29</f>
        <v>0.6814968594205304</v>
      </c>
      <c r="AJ19" s="149"/>
      <c r="AK19" s="149">
        <f>'Exhibit Q,1'!K29</f>
        <v>0.92425274542575031</v>
      </c>
      <c r="AL19" s="61"/>
      <c r="AM19" s="72"/>
      <c r="AN19" s="25">
        <f t="shared" ref="AN19:AN26" si="12">AN18+1</f>
        <v>2015</v>
      </c>
      <c r="AO19" s="69">
        <v>2500601.2173551456</v>
      </c>
      <c r="AP19" s="69">
        <f t="shared" si="8"/>
        <v>-33280.075847360771</v>
      </c>
      <c r="AQ19" s="69">
        <v>338468.20580547786</v>
      </c>
      <c r="AR19" s="69">
        <f t="shared" si="9"/>
        <v>33005.99240553804</v>
      </c>
      <c r="AS19" s="145"/>
      <c r="AT19" s="145"/>
      <c r="AU19" s="145"/>
      <c r="AV19" s="145"/>
      <c r="AW19" s="145"/>
      <c r="AX19" s="145"/>
      <c r="AY19" s="145"/>
      <c r="BE19" s="61"/>
      <c r="BF19" s="172"/>
      <c r="BG19" s="68"/>
      <c r="BI19" s="18"/>
      <c r="BJ19" s="69"/>
    </row>
    <row r="20" spans="1:62">
      <c r="A20" s="6">
        <f t="shared" si="10"/>
        <v>2016</v>
      </c>
      <c r="C20" s="17">
        <f>'Exhibit A, 1d'!S20+'Exhibit A, 1d'!S48</f>
        <v>2791129.8596265609</v>
      </c>
      <c r="D20" s="17"/>
      <c r="E20" s="17">
        <f>'Exhibit A, 1d'!U20+'Exhibit A, 1d'!U48</f>
        <v>2739679.0554999998</v>
      </c>
      <c r="F20" s="17"/>
      <c r="G20" s="17">
        <f>'Exhibit A, 1d'!W20+'Exhibit A, 1d'!W48</f>
        <v>2739679.0554999998</v>
      </c>
      <c r="H20" s="17"/>
      <c r="I20" s="573">
        <f t="shared" si="3"/>
        <v>0</v>
      </c>
      <c r="J20" s="17"/>
      <c r="K20" s="17">
        <f t="shared" si="4"/>
        <v>51450.804126561154</v>
      </c>
      <c r="L20" s="17"/>
      <c r="M20" s="17">
        <f t="shared" si="5"/>
        <v>51450.804126561154</v>
      </c>
      <c r="N20" s="17"/>
      <c r="O20" s="17">
        <f>'Exhibit A, 1d'!AE20+'Exhibit A, 1d'!AE48</f>
        <v>1516.4701160854331</v>
      </c>
      <c r="Q20" s="6">
        <f t="shared" si="11"/>
        <v>2016</v>
      </c>
      <c r="S20" s="17">
        <f>'EXhbit A, 1e'!S20+'EXhbit A, 1e'!S48</f>
        <v>11907540.336780919</v>
      </c>
      <c r="T20" s="17"/>
      <c r="U20" s="17">
        <f>'EXhbit A, 1e'!U20+'EXhbit A, 1e'!U48</f>
        <v>11277703.887499999</v>
      </c>
      <c r="V20" s="17"/>
      <c r="W20" s="17">
        <f>'EXhbit A, 1e'!W20+'EXhbit A, 1e'!W48</f>
        <v>11777987.748</v>
      </c>
      <c r="X20" s="17"/>
      <c r="Y20" s="17">
        <f t="shared" si="6"/>
        <v>500283.86050000042</v>
      </c>
      <c r="Z20" s="17"/>
      <c r="AA20" s="17">
        <f t="shared" si="7"/>
        <v>129552.58878091909</v>
      </c>
      <c r="AB20" s="17"/>
      <c r="AC20" s="17">
        <f>'EXhbit A, 1e'!AE20+'EXhbit A, 1e'!AE48</f>
        <v>20209.207018805992</v>
      </c>
      <c r="AD20" s="17"/>
      <c r="AE20" s="17">
        <f>'Exhibit A, 1d'!AU20+'Exhibit A, 1d'!AU48</f>
        <v>79.814216636075599</v>
      </c>
      <c r="AH20" s="61">
        <f t="shared" si="2"/>
        <v>72</v>
      </c>
      <c r="AI20" s="144">
        <f>'Exhibit Q,3'!K30</f>
        <v>0.51484881007748451</v>
      </c>
      <c r="AJ20" s="149"/>
      <c r="AK20" s="149">
        <f>'Exhibit Q,1'!K30</f>
        <v>0.84979646448736712</v>
      </c>
      <c r="AL20" s="61"/>
      <c r="AM20" s="72"/>
      <c r="AN20" s="25">
        <f t="shared" si="12"/>
        <v>2016</v>
      </c>
      <c r="AO20" s="69">
        <v>2864659.6766766165</v>
      </c>
      <c r="AP20" s="69">
        <f t="shared" si="8"/>
        <v>-73529.817050055601</v>
      </c>
      <c r="AQ20" s="69">
        <v>12312396.41982522</v>
      </c>
      <c r="AR20" s="69">
        <f t="shared" si="9"/>
        <v>-404856.08304430172</v>
      </c>
      <c r="AS20" s="145"/>
      <c r="AT20" s="145"/>
      <c r="AU20" s="145"/>
      <c r="AV20" s="145"/>
      <c r="AW20" s="145"/>
      <c r="AX20" s="145"/>
      <c r="AY20" s="145"/>
      <c r="BE20" s="61"/>
      <c r="BF20" s="172"/>
      <c r="BG20" s="68"/>
      <c r="BI20" s="18"/>
      <c r="BJ20" s="69"/>
    </row>
    <row r="21" spans="1:62">
      <c r="A21" s="6">
        <f t="shared" si="10"/>
        <v>2017</v>
      </c>
      <c r="C21" s="17">
        <f>'Exhibit A, 1d'!S21+'Exhibit A, 1d'!S49</f>
        <v>1933758.3233675407</v>
      </c>
      <c r="D21" s="17"/>
      <c r="E21" s="17">
        <f>'Exhibit A, 1d'!U21+'Exhibit A, 1d'!U49</f>
        <v>1607026.1464999998</v>
      </c>
      <c r="F21" s="17"/>
      <c r="G21" s="17">
        <f>'Exhibit A, 1d'!W21+'Exhibit A, 1d'!W49</f>
        <v>1846426.1464999998</v>
      </c>
      <c r="H21" s="17"/>
      <c r="I21" s="17">
        <f t="shared" si="3"/>
        <v>239400</v>
      </c>
      <c r="J21" s="17"/>
      <c r="K21" s="17">
        <f t="shared" si="4"/>
        <v>87332.176867540926</v>
      </c>
      <c r="L21" s="17"/>
      <c r="M21" s="17">
        <f t="shared" si="5"/>
        <v>326732.17686754093</v>
      </c>
      <c r="N21" s="17"/>
      <c r="O21" s="17">
        <f>'Exhibit A, 1d'!AE21+'Exhibit A, 1d'!AE49</f>
        <v>9630.1620663568465</v>
      </c>
      <c r="Q21" s="6">
        <f t="shared" si="11"/>
        <v>2017</v>
      </c>
      <c r="S21" s="17">
        <f>'EXhbit A, 1e'!S21+'EXhbit A, 1e'!S49</f>
        <v>7843705.8491707006</v>
      </c>
      <c r="T21" s="17"/>
      <c r="U21" s="17">
        <f>'EXhbit A, 1e'!U21+'EXhbit A, 1e'!U49</f>
        <v>6096433.2805000003</v>
      </c>
      <c r="V21" s="17"/>
      <c r="W21" s="17">
        <f>'EXhbit A, 1e'!W21+'EXhbit A, 1e'!W49</f>
        <v>7861028.2699999996</v>
      </c>
      <c r="X21" s="17"/>
      <c r="Y21" s="17">
        <f t="shared" si="6"/>
        <v>1764594.9894999992</v>
      </c>
      <c r="Z21" s="17"/>
      <c r="AA21" s="17">
        <f t="shared" si="7"/>
        <v>-17322.420829298906</v>
      </c>
      <c r="AB21" s="17"/>
      <c r="AC21" s="17">
        <f>'EXhbit A, 1e'!AE21+'EXhbit A, 1e'!AE49</f>
        <v>56063.749722426364</v>
      </c>
      <c r="AD21" s="17"/>
      <c r="AE21" s="17">
        <f>'Exhibit A, 1d'!AU21+'Exhibit A, 1d'!AU49</f>
        <v>506.85063507141308</v>
      </c>
      <c r="AH21" s="61">
        <f t="shared" si="2"/>
        <v>60</v>
      </c>
      <c r="AI21" s="144">
        <f>'Exhibit Q,3'!K31</f>
        <v>0.34545932325954892</v>
      </c>
      <c r="AJ21" s="149"/>
      <c r="AK21" s="149">
        <f>'Exhibit Q,1'!K31</f>
        <v>0.71061196953439254</v>
      </c>
      <c r="AL21" s="61"/>
      <c r="AM21" s="72"/>
      <c r="AN21" s="25">
        <f t="shared" si="12"/>
        <v>2017</v>
      </c>
      <c r="AO21" s="69">
        <v>2283279.0724499123</v>
      </c>
      <c r="AP21" s="69">
        <f t="shared" si="8"/>
        <v>-349520.74908237159</v>
      </c>
      <c r="AQ21" s="69">
        <v>8583944.6953876596</v>
      </c>
      <c r="AR21" s="69">
        <f t="shared" si="9"/>
        <v>-740238.84621695895</v>
      </c>
      <c r="AS21" s="151"/>
      <c r="AT21" s="72"/>
      <c r="AU21" s="72"/>
      <c r="AV21" s="72"/>
      <c r="AW21" s="72"/>
      <c r="AX21" s="72"/>
      <c r="AY21" s="137"/>
      <c r="BE21" s="61"/>
      <c r="BF21" s="172"/>
      <c r="BG21" s="68"/>
      <c r="BI21" s="18"/>
      <c r="BJ21" s="69"/>
    </row>
    <row r="22" spans="1:62">
      <c r="A22" s="6">
        <f t="shared" si="10"/>
        <v>2018</v>
      </c>
      <c r="C22" s="17">
        <f>'Exhibit A, 1d'!S22+'Exhibit A, 1d'!S50</f>
        <v>600050.60388452851</v>
      </c>
      <c r="D22" s="17"/>
      <c r="E22" s="17">
        <f>'Exhibit A, 1d'!U22+'Exhibit A, 1d'!U50</f>
        <v>79087.215000000011</v>
      </c>
      <c r="F22" s="17"/>
      <c r="G22" s="17">
        <f>'Exhibit A, 1d'!W22+'Exhibit A, 1d'!W50</f>
        <v>79087.215000000011</v>
      </c>
      <c r="H22" s="17"/>
      <c r="I22" s="17">
        <f t="shared" si="3"/>
        <v>0</v>
      </c>
      <c r="J22" s="17"/>
      <c r="K22" s="17">
        <f t="shared" si="4"/>
        <v>520963.38888452848</v>
      </c>
      <c r="L22" s="17"/>
      <c r="M22" s="17">
        <f t="shared" si="5"/>
        <v>520963.38888452848</v>
      </c>
      <c r="N22" s="17"/>
      <c r="O22" s="17">
        <f>'Exhibit A, 1d'!AE22+'Exhibit A, 1d'!AE50</f>
        <v>15354.967220233117</v>
      </c>
      <c r="Q22" s="6">
        <f t="shared" si="11"/>
        <v>2018</v>
      </c>
      <c r="S22" s="17">
        <f>'EXhbit A, 1e'!S22+'EXhbit A, 1e'!S50</f>
        <v>17419630.135781612</v>
      </c>
      <c r="T22" s="17"/>
      <c r="U22" s="17">
        <f>'EXhbit A, 1e'!U22+'EXhbit A, 1e'!U50</f>
        <v>6631953.1729999995</v>
      </c>
      <c r="V22" s="17"/>
      <c r="W22" s="17">
        <f>'EXhbit A, 1e'!W22+'EXhbit A, 1e'!W50</f>
        <v>10594277.811000001</v>
      </c>
      <c r="X22" s="17"/>
      <c r="Y22" s="17">
        <f t="shared" si="6"/>
        <v>3962324.6380000012</v>
      </c>
      <c r="Z22" s="17"/>
      <c r="AA22" s="17">
        <f t="shared" si="7"/>
        <v>6825352.3247816116</v>
      </c>
      <c r="AB22" s="17"/>
      <c r="AC22" s="17">
        <f>'EXhbit A, 1e'!AE22+'EXhbit A, 1e'!AE50</f>
        <v>346138.10814181878</v>
      </c>
      <c r="AD22" s="17"/>
      <c r="AE22" s="17">
        <f>'Exhibit A, 1d'!AU22+'Exhibit A, 1d'!AU50</f>
        <v>808.15616948595368</v>
      </c>
      <c r="AH22" s="61">
        <f t="shared" si="2"/>
        <v>48</v>
      </c>
      <c r="AI22" s="144">
        <f>'Exhibit Q,3'!K32</f>
        <v>0.19211274815808235</v>
      </c>
      <c r="AJ22" s="149"/>
      <c r="AK22" s="149">
        <f>'Exhibit Q,1'!K32</f>
        <v>0.50085952168583414</v>
      </c>
      <c r="AL22" s="61"/>
      <c r="AM22" s="72"/>
      <c r="AN22" s="25">
        <f t="shared" si="12"/>
        <v>2018</v>
      </c>
      <c r="AO22" s="69">
        <v>913539.97661241307</v>
      </c>
      <c r="AP22" s="69">
        <f t="shared" si="8"/>
        <v>-313489.37272788456</v>
      </c>
      <c r="AQ22" s="69">
        <v>12524386.76859515</v>
      </c>
      <c r="AR22" s="69">
        <f t="shared" si="9"/>
        <v>4895243.3671864625</v>
      </c>
      <c r="AS22" s="151"/>
      <c r="AT22" s="72"/>
      <c r="AU22" s="72"/>
      <c r="AV22" s="72"/>
      <c r="AW22" s="72"/>
      <c r="AX22" s="72"/>
      <c r="AY22" s="137"/>
      <c r="BE22" s="61"/>
      <c r="BF22" s="172"/>
      <c r="BG22" s="68"/>
      <c r="BI22" s="18"/>
      <c r="BJ22" s="69"/>
    </row>
    <row r="23" spans="1:62">
      <c r="A23" s="6">
        <f t="shared" si="10"/>
        <v>2019</v>
      </c>
      <c r="C23" s="17">
        <f>'Exhibit A, 1d'!S23+'Exhibit A, 1d'!S51</f>
        <v>3665410.3212876292</v>
      </c>
      <c r="D23" s="17"/>
      <c r="E23" s="17">
        <f>'Exhibit A, 1d'!U23+'Exhibit A, 1d'!U51</f>
        <v>1721522.6735</v>
      </c>
      <c r="F23" s="17"/>
      <c r="G23" s="17">
        <f>'Exhibit A, 1d'!W23+'Exhibit A, 1d'!W51</f>
        <v>3147930.8585000001</v>
      </c>
      <c r="H23" s="17"/>
      <c r="I23" s="17">
        <f t="shared" si="3"/>
        <v>1426408.1850000001</v>
      </c>
      <c r="J23" s="17"/>
      <c r="K23" s="17">
        <f t="shared" si="4"/>
        <v>517479.46278762911</v>
      </c>
      <c r="L23" s="17"/>
      <c r="M23" s="17">
        <f t="shared" si="5"/>
        <v>1943887.6477876292</v>
      </c>
      <c r="N23" s="17"/>
      <c r="O23" s="17">
        <f>'Exhibit A, 1d'!AE23+'Exhibit A, 1d'!AE51</f>
        <v>57294.488918895942</v>
      </c>
      <c r="Q23" s="6">
        <f t="shared" si="11"/>
        <v>2019</v>
      </c>
      <c r="S23" s="17">
        <f>'EXhbit A, 1e'!S23+'EXhbit A, 1e'!S51</f>
        <v>14377367.782148203</v>
      </c>
      <c r="T23" s="17"/>
      <c r="U23" s="17">
        <f>'EXhbit A, 1e'!U23+'EXhbit A, 1e'!U51</f>
        <v>5861905.8875000002</v>
      </c>
      <c r="V23" s="17"/>
      <c r="W23" s="17">
        <f>'EXhbit A, 1e'!W23+'EXhbit A, 1e'!W51</f>
        <v>6655817.5530000003</v>
      </c>
      <c r="X23" s="17"/>
      <c r="Y23" s="17">
        <f t="shared" si="6"/>
        <v>793911.66550000012</v>
      </c>
      <c r="Z23" s="17"/>
      <c r="AA23" s="17">
        <f t="shared" si="7"/>
        <v>7721550.2291482026</v>
      </c>
      <c r="AB23" s="17"/>
      <c r="AC23" s="17">
        <f>'EXhbit A, 1e'!AE23+'EXhbit A, 1e'!AE51</f>
        <v>273230.82442461769</v>
      </c>
      <c r="AD23" s="17"/>
      <c r="AE23" s="17">
        <f>'Exhibit A, 1d'!AU23+'Exhibit A, 1d'!AU51</f>
        <v>3015.4994167840005</v>
      </c>
      <c r="AH23" s="61">
        <f t="shared" si="2"/>
        <v>36</v>
      </c>
      <c r="AI23" s="144">
        <f>'Exhibit Q,3'!K33</f>
        <v>8.3222349877287466E-2</v>
      </c>
      <c r="AJ23" s="149"/>
      <c r="AK23" s="149">
        <f>'Exhibit Q,1'!K33</f>
        <v>0.28283117215824882</v>
      </c>
      <c r="AL23" s="61"/>
      <c r="AM23" s="72"/>
      <c r="AN23" s="25">
        <f t="shared" si="12"/>
        <v>2019</v>
      </c>
      <c r="AO23" s="69">
        <v>4674367.9625221388</v>
      </c>
      <c r="AP23" s="69">
        <f t="shared" si="8"/>
        <v>-1008957.6412345096</v>
      </c>
      <c r="AQ23" s="69">
        <v>15856141.935148189</v>
      </c>
      <c r="AR23" s="69">
        <f t="shared" si="9"/>
        <v>-1478774.152999986</v>
      </c>
      <c r="AS23" s="151"/>
      <c r="AT23" s="72"/>
      <c r="AU23" s="72"/>
      <c r="AV23" s="72"/>
      <c r="AW23" s="72"/>
      <c r="AX23" s="72"/>
      <c r="AY23" s="137"/>
      <c r="BE23" s="61"/>
      <c r="BF23" s="172"/>
      <c r="BG23" s="68"/>
      <c r="BI23" s="18"/>
      <c r="BJ23" s="69"/>
    </row>
    <row r="24" spans="1:62">
      <c r="A24" s="6">
        <f t="shared" si="10"/>
        <v>2020</v>
      </c>
      <c r="C24" s="17">
        <f>'Exhibit A, 1d'!S24+'Exhibit A, 1d'!S52</f>
        <v>1664250.2295275228</v>
      </c>
      <c r="D24" s="17"/>
      <c r="E24" s="17">
        <f>'Exhibit A, 1d'!U24+'Exhibit A, 1d'!U52</f>
        <v>1149549.0485</v>
      </c>
      <c r="F24" s="17"/>
      <c r="G24" s="17">
        <f>'Exhibit A, 1d'!W24+'Exhibit A, 1d'!W52</f>
        <v>1184893.7985</v>
      </c>
      <c r="H24" s="17"/>
      <c r="I24" s="17">
        <f t="shared" si="3"/>
        <v>35344.75</v>
      </c>
      <c r="J24" s="17"/>
      <c r="K24" s="17">
        <f t="shared" si="4"/>
        <v>479356.43102752278</v>
      </c>
      <c r="L24" s="17"/>
      <c r="M24" s="17">
        <f t="shared" si="5"/>
        <v>514701.18102752278</v>
      </c>
      <c r="N24" s="17"/>
      <c r="O24" s="17">
        <f>'Exhibit A, 1d'!AE24+'Exhibit A, 1d'!AE52</f>
        <v>15170.393796414412</v>
      </c>
      <c r="Q24" s="6">
        <f t="shared" si="11"/>
        <v>2020</v>
      </c>
      <c r="S24" s="17">
        <f>'EXhbit A, 1e'!S24+'EXhbit A, 1e'!S52</f>
        <v>2803431.0351470332</v>
      </c>
      <c r="T24" s="17"/>
      <c r="U24" s="17">
        <f>'EXhbit A, 1e'!U24+'EXhbit A, 1e'!U52</f>
        <v>149356.397</v>
      </c>
      <c r="V24" s="17"/>
      <c r="W24" s="17">
        <f>'EXhbit A, 1e'!W24+'EXhbit A, 1e'!W52</f>
        <v>409243.08049999998</v>
      </c>
      <c r="X24" s="17"/>
      <c r="Y24" s="17">
        <f t="shared" si="6"/>
        <v>259886.68349999998</v>
      </c>
      <c r="Z24" s="17"/>
      <c r="AA24" s="17">
        <f t="shared" si="7"/>
        <v>2394187.954647033</v>
      </c>
      <c r="AB24" s="17"/>
      <c r="AC24" s="17">
        <f>'EXhbit A, 1e'!AE24+'EXhbit A, 1e'!AE52</f>
        <v>85159.79643114144</v>
      </c>
      <c r="AD24" s="17"/>
      <c r="AE24" s="17">
        <f>'Exhibit A, 1d'!AU24+'Exhibit A, 1d'!AU52</f>
        <v>798.44177875865353</v>
      </c>
      <c r="AH24" s="61">
        <f>AH25+12</f>
        <v>24</v>
      </c>
      <c r="AI24" s="144">
        <f>'Exhibit Q,3'!K34</f>
        <v>2.5503589020583816E-2</v>
      </c>
      <c r="AJ24" s="149"/>
      <c r="AK24" s="149">
        <f>'Exhibit Q,1'!K34</f>
        <v>0.10899607353648681</v>
      </c>
      <c r="AL24" s="61"/>
      <c r="AM24" s="72"/>
      <c r="AN24" s="25">
        <f t="shared" si="12"/>
        <v>2020</v>
      </c>
      <c r="AO24" s="69">
        <v>1473030.6583756101</v>
      </c>
      <c r="AP24" s="69">
        <f t="shared" si="8"/>
        <v>191219.57115191268</v>
      </c>
      <c r="AQ24" s="69">
        <v>2147475.9921582039</v>
      </c>
      <c r="AR24" s="69">
        <f t="shared" si="9"/>
        <v>655955.04298882931</v>
      </c>
      <c r="AS24" s="151"/>
      <c r="AT24" s="72"/>
      <c r="AU24" s="72"/>
      <c r="AV24" s="72"/>
      <c r="AW24" s="72"/>
      <c r="AX24" s="72"/>
      <c r="AY24" s="137"/>
      <c r="BE24" s="61"/>
      <c r="BF24" s="172"/>
      <c r="BG24" s="68"/>
      <c r="BI24" s="18"/>
      <c r="BJ24" s="69"/>
    </row>
    <row r="25" spans="1:62">
      <c r="A25" s="6">
        <f t="shared" si="10"/>
        <v>2021</v>
      </c>
      <c r="C25" s="17">
        <f>'Exhibit A, 1d'!S25+'Exhibit A, 1d'!S53</f>
        <v>5483514.8397288853</v>
      </c>
      <c r="D25" s="17"/>
      <c r="E25" s="17">
        <f>'Exhibit A, 1d'!U25+'Exhibit A, 1d'!U53</f>
        <v>1171306.9934999999</v>
      </c>
      <c r="F25" s="17"/>
      <c r="G25" s="17">
        <f>'Exhibit A, 1d'!W25+'Exhibit A, 1d'!W53</f>
        <v>3309961.5474999999</v>
      </c>
      <c r="H25" s="17"/>
      <c r="I25" s="17">
        <f t="shared" si="3"/>
        <v>2138654.554</v>
      </c>
      <c r="J25" s="17"/>
      <c r="K25" s="17">
        <f t="shared" si="4"/>
        <v>2173553.2922288855</v>
      </c>
      <c r="L25" s="17"/>
      <c r="M25" s="17">
        <f t="shared" si="5"/>
        <v>4312207.8462288855</v>
      </c>
      <c r="N25" s="17"/>
      <c r="O25" s="17">
        <f>'Exhibit A, 1d'!AE25+'Exhibit A, 1d'!AE53</f>
        <v>127098.77803016378</v>
      </c>
      <c r="Q25" s="6">
        <f t="shared" si="11"/>
        <v>2021</v>
      </c>
      <c r="S25" s="17">
        <f>'EXhbit A, 1e'!S25+'EXhbit A, 1e'!S53</f>
        <v>4004152.5025019371</v>
      </c>
      <c r="T25" s="17"/>
      <c r="U25" s="17">
        <f>'EXhbit A, 1e'!U25+'EXhbit A, 1e'!U53</f>
        <v>2706.6545000000001</v>
      </c>
      <c r="V25" s="17"/>
      <c r="W25" s="17">
        <f>'EXhbit A, 1e'!W25+'EXhbit A, 1e'!W53</f>
        <v>136325</v>
      </c>
      <c r="X25" s="17"/>
      <c r="Y25" s="17">
        <f t="shared" si="6"/>
        <v>133618.3455</v>
      </c>
      <c r="Z25" s="17"/>
      <c r="AA25" s="17">
        <f t="shared" si="7"/>
        <v>3867827.5025019371</v>
      </c>
      <c r="AB25" s="17"/>
      <c r="AC25" s="17">
        <f>'EXhbit A, 1e'!AE25+'EXhbit A, 1e'!AE53</f>
        <v>128392.13673507975</v>
      </c>
      <c r="AD25" s="17"/>
      <c r="AE25" s="17">
        <f>'Exhibit A, 1d'!AU25+'Exhibit A, 1d'!AU53</f>
        <v>6689.4093700086287</v>
      </c>
      <c r="AH25" s="61">
        <v>12</v>
      </c>
      <c r="AI25" s="144">
        <f>'Exhibit Q,3'!K35</f>
        <v>3.4281230686320661E-3</v>
      </c>
      <c r="AJ25" s="149"/>
      <c r="AK25" s="149">
        <f>'Exhibit Q,1'!K35</f>
        <v>2.9083170495257857E-2</v>
      </c>
      <c r="AL25" s="61"/>
      <c r="AM25" s="72"/>
      <c r="AN25" s="25">
        <f t="shared" si="12"/>
        <v>2021</v>
      </c>
      <c r="AO25" s="69">
        <v>2380121.8920091046</v>
      </c>
      <c r="AP25" s="69">
        <f t="shared" si="8"/>
        <v>3103392.9477197807</v>
      </c>
      <c r="AQ25" s="69">
        <v>2185893.6206462914</v>
      </c>
      <c r="AR25" s="69">
        <f t="shared" si="9"/>
        <v>1818258.8818556457</v>
      </c>
      <c r="AS25" s="151"/>
      <c r="AT25" s="72"/>
      <c r="AU25" s="72"/>
      <c r="AV25" s="72"/>
      <c r="AW25" s="72"/>
      <c r="AX25" s="72"/>
      <c r="AY25" s="137"/>
      <c r="BE25" s="61"/>
      <c r="BF25" s="61"/>
      <c r="BG25" s="61"/>
      <c r="BI25" s="18"/>
      <c r="BJ25" s="61"/>
    </row>
    <row r="26" spans="1:62">
      <c r="A26" s="6">
        <f t="shared" si="10"/>
        <v>2022</v>
      </c>
      <c r="C26" s="17">
        <f>'Exhibit A, 1d'!S26+'Exhibit A, 1d'!S54</f>
        <v>2318921.9353191541</v>
      </c>
      <c r="D26" s="17"/>
      <c r="E26" s="17">
        <f>'Exhibit A, 1d'!U26+'Exhibit A, 1d'!U54</f>
        <v>34775.224999999999</v>
      </c>
      <c r="F26" s="17"/>
      <c r="G26" s="17">
        <f>'Exhibit A, 1d'!W26+'Exhibit A, 1d'!W54</f>
        <v>250184.875</v>
      </c>
      <c r="H26" s="17"/>
      <c r="I26" s="17">
        <f t="shared" si="3"/>
        <v>215409.65</v>
      </c>
      <c r="J26" s="17"/>
      <c r="K26" s="17">
        <f t="shared" si="4"/>
        <v>2068737.0603191541</v>
      </c>
      <c r="L26" s="17"/>
      <c r="M26" s="17">
        <f t="shared" si="5"/>
        <v>2284146.710319154</v>
      </c>
      <c r="N26" s="17"/>
      <c r="O26" s="17">
        <f>'Exhibit A, 1d'!AE26+'Exhibit A, 1d'!AE54</f>
        <v>67323.344809797825</v>
      </c>
      <c r="Q26" s="6">
        <f t="shared" si="11"/>
        <v>2022</v>
      </c>
      <c r="S26" s="17">
        <f>'EXhbit A, 1e'!S26+'EXhbit A, 1e'!S54</f>
        <v>2374659.3762991414</v>
      </c>
      <c r="T26" s="17"/>
      <c r="U26" s="573">
        <f>'EXhbit A, 1e'!U26+'EXhbit A, 1e'!U54</f>
        <v>0</v>
      </c>
      <c r="V26" s="573"/>
      <c r="W26" s="573">
        <f>'EXhbit A, 1e'!W26+'EXhbit A, 1e'!W54</f>
        <v>0</v>
      </c>
      <c r="X26" s="573"/>
      <c r="Y26" s="573">
        <f t="shared" si="6"/>
        <v>0</v>
      </c>
      <c r="Z26" s="17"/>
      <c r="AA26" s="17">
        <f t="shared" si="7"/>
        <v>2374659.3762991414</v>
      </c>
      <c r="AB26" s="17"/>
      <c r="AC26" s="17">
        <f>'EXhbit A, 1e'!AE26+'EXhbit A, 1e'!AE54</f>
        <v>76194.356470744111</v>
      </c>
      <c r="AD26" s="17"/>
      <c r="AE26" s="17">
        <f>'Exhibit A, 1d'!AU26+'Exhibit A, 1d'!AU54</f>
        <v>3543.3339373577874</v>
      </c>
      <c r="AH26" s="61"/>
      <c r="AI26" s="144"/>
      <c r="AJ26" s="149"/>
      <c r="AK26" s="149"/>
      <c r="AL26" s="61"/>
      <c r="AM26" s="72"/>
      <c r="AN26" s="25">
        <f t="shared" si="12"/>
        <v>2022</v>
      </c>
      <c r="AO26" s="69">
        <v>0</v>
      </c>
      <c r="AP26" s="69"/>
      <c r="AQ26" s="172"/>
      <c r="AR26" s="172"/>
      <c r="AS26" s="151"/>
      <c r="AT26" s="72"/>
      <c r="AU26" s="72"/>
      <c r="AV26" s="72"/>
      <c r="AW26" s="72"/>
      <c r="AX26" s="72"/>
      <c r="AY26" s="137"/>
      <c r="BE26" s="61"/>
      <c r="BF26" s="61"/>
      <c r="BG26" s="61"/>
      <c r="BI26" s="18"/>
      <c r="BJ26" s="61"/>
    </row>
    <row r="27" spans="1:62">
      <c r="A27" s="6"/>
      <c r="C27" s="63"/>
      <c r="E27" s="63"/>
      <c r="G27" s="63"/>
      <c r="I27" s="63"/>
      <c r="K27" s="63"/>
      <c r="M27" s="63"/>
      <c r="N27" s="63"/>
      <c r="O27" s="63"/>
      <c r="Q27" s="6"/>
      <c r="S27" s="63"/>
      <c r="U27" s="63"/>
      <c r="W27" s="63"/>
      <c r="Y27" s="63"/>
      <c r="AA27" s="63"/>
      <c r="AC27" s="63"/>
      <c r="AE27" s="63"/>
      <c r="AH27" s="61"/>
      <c r="AI27" s="61"/>
      <c r="AJ27" s="61"/>
      <c r="AK27" s="61"/>
      <c r="AL27" s="61"/>
      <c r="AM27" s="61"/>
      <c r="AN27" s="25"/>
      <c r="AO27" s="70"/>
      <c r="AP27" s="70"/>
      <c r="AQ27" s="70"/>
      <c r="AR27" s="70"/>
      <c r="AS27" s="61"/>
      <c r="AT27" s="61"/>
      <c r="AU27" s="61"/>
      <c r="AV27" s="61"/>
      <c r="AW27" s="61"/>
      <c r="AX27" s="61"/>
      <c r="AY27" s="61"/>
      <c r="BE27" s="61"/>
      <c r="BF27" s="61"/>
      <c r="BG27" s="68"/>
      <c r="BI27" s="61"/>
      <c r="BJ27" s="68"/>
    </row>
    <row r="28" spans="1:62">
      <c r="A28" s="2" t="s">
        <v>0</v>
      </c>
      <c r="C28" s="147">
        <f>SUM(C17:C27)</f>
        <v>24735388.50492309</v>
      </c>
      <c r="D28" s="147"/>
      <c r="E28" s="147">
        <f>SUM(E17:E27)</f>
        <v>14766841.714499999</v>
      </c>
      <c r="F28" s="147"/>
      <c r="G28" s="147">
        <f>SUM(G17:G27)</f>
        <v>18822058.853500001</v>
      </c>
      <c r="H28" s="147"/>
      <c r="I28" s="147">
        <f>SUM(I17:I27)</f>
        <v>4055217.139</v>
      </c>
      <c r="J28" s="147"/>
      <c r="K28" s="147">
        <f>SUM(K17:K27)</f>
        <v>5913329.6514230911</v>
      </c>
      <c r="L28" s="147"/>
      <c r="M28" s="147">
        <f>SUM(M17:M27)</f>
        <v>9968546.7904230915</v>
      </c>
      <c r="N28" s="147"/>
      <c r="O28" s="147">
        <f>SUM(O17:O27)</f>
        <v>293814.71417415433</v>
      </c>
      <c r="Q28" s="2" t="s">
        <v>0</v>
      </c>
      <c r="S28" s="147">
        <f>SUM(S17:S27)</f>
        <v>62167217.66701442</v>
      </c>
      <c r="T28" s="147"/>
      <c r="U28" s="147">
        <f>SUM(U17:U27)</f>
        <v>30398478.603499997</v>
      </c>
      <c r="V28" s="147"/>
      <c r="W28" s="147">
        <f>SUM(W17:W27)</f>
        <v>38836193.609999999</v>
      </c>
      <c r="X28" s="147"/>
      <c r="Y28" s="147">
        <f>SUM(Y17:Y27)</f>
        <v>8437715.006500002</v>
      </c>
      <c r="Z28" s="147"/>
      <c r="AA28" s="147">
        <f>SUM(AA17:AA27)</f>
        <v>23331024.057014424</v>
      </c>
      <c r="AB28" s="147"/>
      <c r="AC28" s="147">
        <f>SUM(AC17:AC27)</f>
        <v>1019345.6177297835</v>
      </c>
      <c r="AD28" s="147"/>
      <c r="AE28" s="505">
        <f>'Exhibit B,3'!AK72</f>
        <v>1072995.3870839826</v>
      </c>
      <c r="AM28" s="61"/>
      <c r="AN28" s="97" t="s">
        <v>0</v>
      </c>
      <c r="AO28" s="157">
        <f>SUM(AO17:AO27)</f>
        <v>20917463.425806124</v>
      </c>
      <c r="AP28" s="157">
        <f>SUM(AP17:AP27)</f>
        <v>1499003.1437978153</v>
      </c>
      <c r="AQ28" s="157">
        <f t="shared" ref="AQ28:AR28" si="13">SUM(AQ17:AQ27)</f>
        <v>54121748.886158772</v>
      </c>
      <c r="AR28" s="157">
        <f t="shared" si="13"/>
        <v>5670809.4045565072</v>
      </c>
      <c r="AS28" s="84"/>
      <c r="AT28" s="84"/>
      <c r="AU28" s="84"/>
      <c r="AV28" s="84"/>
      <c r="AW28" s="84"/>
      <c r="AX28" s="84"/>
      <c r="AY28" s="84"/>
    </row>
    <row r="29" spans="1:62">
      <c r="A29" s="6"/>
      <c r="Q29" s="6"/>
      <c r="AN29" s="6"/>
      <c r="BA29" s="172"/>
      <c r="BB29" s="61"/>
      <c r="BC29" s="61"/>
      <c r="BD29" s="61"/>
    </row>
    <row r="30" spans="1:62">
      <c r="A30" s="3" t="s">
        <v>969</v>
      </c>
      <c r="Q30" s="3" t="s">
        <v>969</v>
      </c>
      <c r="AH30" s="61"/>
      <c r="AI30" s="144"/>
      <c r="AJ30" s="61"/>
      <c r="AK30" s="144"/>
      <c r="AL30" s="61"/>
      <c r="AM30" s="72"/>
      <c r="AN30" s="25" t="s">
        <v>969</v>
      </c>
      <c r="AQ30" s="72"/>
      <c r="AR30" s="72"/>
      <c r="AS30" s="145"/>
      <c r="AT30" s="145"/>
      <c r="AU30" s="145"/>
      <c r="AV30" s="145"/>
      <c r="AW30" s="145"/>
      <c r="AX30" s="145"/>
      <c r="AY30" s="145"/>
      <c r="BA30" s="172"/>
      <c r="BB30" s="61"/>
    </row>
    <row r="31" spans="1:62">
      <c r="A31" s="6">
        <f>A17</f>
        <v>2013</v>
      </c>
      <c r="C31" s="147">
        <f>'Exhibit B,2'!U17-'Exhibit A,2'!U17</f>
        <v>0</v>
      </c>
      <c r="D31" s="147"/>
      <c r="E31" s="147">
        <f>'Exhibit B,2'!M17-'Exhibit A,2'!M17</f>
        <v>0</v>
      </c>
      <c r="F31" s="147"/>
      <c r="G31" s="147">
        <f>'Exhibit B,2'!O17-'Exhibit A,2'!O17</f>
        <v>0</v>
      </c>
      <c r="H31" s="147"/>
      <c r="I31" s="495">
        <f t="shared" ref="I31:I39" si="14">G31-E31</f>
        <v>0</v>
      </c>
      <c r="J31" s="495"/>
      <c r="K31" s="495">
        <f t="shared" ref="K31:K39" si="15">C31-G31</f>
        <v>0</v>
      </c>
      <c r="L31" s="495"/>
      <c r="M31" s="495">
        <f t="shared" ref="M31:M39" si="16">C31-E31</f>
        <v>0</v>
      </c>
      <c r="N31" s="147"/>
      <c r="O31" s="505">
        <v>0</v>
      </c>
      <c r="Q31" s="6">
        <f>Q17</f>
        <v>2013</v>
      </c>
      <c r="S31" s="147">
        <f>'Exhibit B,3'!AI17-'Exhibit A,3'!AI17</f>
        <v>0</v>
      </c>
      <c r="T31" s="147"/>
      <c r="U31" s="147">
        <f>('Exhibit B,3'!O17+'Exhibit B,3'!Q17)-('Exhibit A,3'!O17+'Exhibit A,3'!Q17)</f>
        <v>0</v>
      </c>
      <c r="V31" s="147"/>
      <c r="W31" s="147">
        <f>('Exhibit B,3'!S17+'Exhibit B,3'!U17)-('Exhibit A,3'!S17+'Exhibit A,3'!U17)</f>
        <v>0</v>
      </c>
      <c r="X31" s="147"/>
      <c r="Y31" s="147">
        <f>W31-U31</f>
        <v>0</v>
      </c>
      <c r="Z31" s="147"/>
      <c r="AA31" s="147">
        <f>S31-W31</f>
        <v>0</v>
      </c>
      <c r="AB31" s="147"/>
      <c r="AC31" s="147">
        <f>S31-U31</f>
        <v>0</v>
      </c>
      <c r="AD31" s="147"/>
      <c r="AE31" s="505">
        <v>0</v>
      </c>
      <c r="AH31" s="61" t="s">
        <v>685</v>
      </c>
      <c r="AI31" s="136">
        <f>K31+AA31-'Exhibit A, 1c'!K31</f>
        <v>0</v>
      </c>
      <c r="AJ31" s="149"/>
      <c r="AK31" s="149"/>
      <c r="AL31" s="61"/>
      <c r="AM31" s="72"/>
      <c r="AN31" s="25">
        <v>2013</v>
      </c>
      <c r="AO31" s="157">
        <v>1.6763841167557985</v>
      </c>
      <c r="AP31" s="157">
        <f>C31-AO31</f>
        <v>-1.6763841167557985</v>
      </c>
      <c r="AQ31" s="157">
        <v>0</v>
      </c>
      <c r="AR31" s="223">
        <f>S31-AQ31</f>
        <v>0</v>
      </c>
      <c r="AS31" s="145"/>
      <c r="AT31" s="145"/>
      <c r="AU31" s="145"/>
      <c r="AV31" s="145"/>
      <c r="AW31" s="145"/>
      <c r="AX31" s="145"/>
      <c r="AY31" s="145"/>
      <c r="BA31" s="172"/>
      <c r="BB31" s="61"/>
    </row>
    <row r="32" spans="1:62">
      <c r="A32" s="6">
        <f>A31+1</f>
        <v>2014</v>
      </c>
      <c r="C32" s="494">
        <f>'Exhibit B,2'!U18-'Exhibit A,2'!U18</f>
        <v>2897435.3600000003</v>
      </c>
      <c r="D32" s="494"/>
      <c r="E32" s="494">
        <f>'Exhibit B,2'!M18-'Exhibit A,2'!M18</f>
        <v>2897435.36</v>
      </c>
      <c r="F32" s="494"/>
      <c r="G32" s="494">
        <f>'Exhibit B,2'!O18-'Exhibit A,2'!O18</f>
        <v>2897435.3600000003</v>
      </c>
      <c r="H32" s="187"/>
      <c r="I32" s="494">
        <f t="shared" si="14"/>
        <v>0</v>
      </c>
      <c r="J32" s="494"/>
      <c r="K32" s="494">
        <f t="shared" si="15"/>
        <v>0</v>
      </c>
      <c r="L32" s="494"/>
      <c r="M32" s="494">
        <f t="shared" si="16"/>
        <v>0</v>
      </c>
      <c r="N32" s="494"/>
      <c r="O32" s="501">
        <v>0</v>
      </c>
      <c r="Q32" s="6">
        <f>Q31+1</f>
        <v>2014</v>
      </c>
      <c r="S32" s="494">
        <f>'Exhibit B,3'!AI18-'Exhibit A,3'!AI18</f>
        <v>2010.1832910382655</v>
      </c>
      <c r="T32" s="494"/>
      <c r="U32" s="494">
        <f>('Exhibit B,3'!O18+'Exhibit B,3'!Q18)-('Exhibit A,3'!O18+'Exhibit A,3'!Q18)</f>
        <v>0</v>
      </c>
      <c r="V32" s="187"/>
      <c r="W32" s="494">
        <f>('Exhibit B,3'!S18+'Exhibit B,3'!U18)-('Exhibit A,3'!S18+'Exhibit A,3'!U18)</f>
        <v>0</v>
      </c>
      <c r="X32" s="187"/>
      <c r="Y32" s="494">
        <f t="shared" ref="Y32:Y39" si="17">W32-U32</f>
        <v>0</v>
      </c>
      <c r="Z32" s="494"/>
      <c r="AA32" s="494">
        <f t="shared" ref="AA32:AA39" si="18">S32-W32</f>
        <v>2010.1832910382655</v>
      </c>
      <c r="AB32" s="494"/>
      <c r="AC32" s="494">
        <f t="shared" ref="AC32:AC39" si="19">S32-U32</f>
        <v>2010.1832910382655</v>
      </c>
      <c r="AD32" s="187"/>
      <c r="AE32" s="501">
        <v>0</v>
      </c>
      <c r="AH32" s="61"/>
      <c r="AI32" s="136">
        <f>K32+AA32-'Exhibit A, 1c'!K32</f>
        <v>-2.3283064365386963E-10</v>
      </c>
      <c r="AJ32" s="149"/>
      <c r="AK32" s="149"/>
      <c r="AL32" s="61"/>
      <c r="AM32" s="72"/>
      <c r="AN32" s="25">
        <f>AN31+1</f>
        <v>2014</v>
      </c>
      <c r="AO32" s="69">
        <v>2903631.3342136219</v>
      </c>
      <c r="AP32" s="69">
        <f t="shared" ref="AP32:AP39" si="20">C32-AO32</f>
        <v>-6195.9742136215791</v>
      </c>
      <c r="AQ32" s="69">
        <v>693.33062825186062</v>
      </c>
      <c r="AR32" s="69">
        <f t="shared" ref="AR32:AR39" si="21">S32-AQ32</f>
        <v>1316.8526627864048</v>
      </c>
      <c r="AS32" s="145"/>
      <c r="AT32" s="145"/>
      <c r="AU32" s="145"/>
      <c r="AV32" s="145"/>
      <c r="AW32" s="145"/>
      <c r="AX32" s="145"/>
      <c r="AY32" s="145"/>
    </row>
    <row r="33" spans="1:54">
      <c r="A33" s="6">
        <f t="shared" ref="A33:A40" si="22">A32+1</f>
        <v>2015</v>
      </c>
      <c r="C33" s="494">
        <f>'Exhibit B,2'!U19-'Exhibit A,2'!U19</f>
        <v>0</v>
      </c>
      <c r="D33" s="494"/>
      <c r="E33" s="494">
        <f>'Exhibit B,2'!M19-'Exhibit A,2'!M19</f>
        <v>0</v>
      </c>
      <c r="F33" s="494"/>
      <c r="G33" s="494">
        <f>'Exhibit B,2'!O19-'Exhibit A,2'!O19</f>
        <v>0</v>
      </c>
      <c r="H33" s="187"/>
      <c r="I33" s="494">
        <f t="shared" si="14"/>
        <v>0</v>
      </c>
      <c r="J33" s="494"/>
      <c r="K33" s="494">
        <f t="shared" si="15"/>
        <v>0</v>
      </c>
      <c r="L33" s="494"/>
      <c r="M33" s="494">
        <f t="shared" si="16"/>
        <v>0</v>
      </c>
      <c r="N33" s="494"/>
      <c r="O33" s="501">
        <v>0</v>
      </c>
      <c r="Q33" s="6">
        <f t="shared" ref="Q33:Q40" si="23">Q32+1</f>
        <v>2015</v>
      </c>
      <c r="S33" s="494">
        <f>'Exhibit B,3'!AI19-'Exhibit A,3'!AI19</f>
        <v>258412.05924698914</v>
      </c>
      <c r="T33" s="494"/>
      <c r="U33" s="494">
        <f>('Exhibit B,3'!O19+'Exhibit B,3'!Q19)-('Exhibit A,3'!O19+'Exhibit A,3'!Q19)</f>
        <v>257086.33000000002</v>
      </c>
      <c r="V33" s="187"/>
      <c r="W33" s="494">
        <f>('Exhibit B,3'!S19+'Exhibit B,3'!U19)-('Exhibit A,3'!S19+'Exhibit A,3'!U19)</f>
        <v>257086.32999999996</v>
      </c>
      <c r="X33" s="187"/>
      <c r="Y33" s="494">
        <f t="shared" si="17"/>
        <v>0</v>
      </c>
      <c r="Z33" s="494"/>
      <c r="AA33" s="494">
        <f t="shared" si="18"/>
        <v>1325.7292469891836</v>
      </c>
      <c r="AB33" s="494"/>
      <c r="AC33" s="494">
        <f t="shared" si="19"/>
        <v>1325.7292469891254</v>
      </c>
      <c r="AD33" s="187"/>
      <c r="AE33" s="501">
        <v>0</v>
      </c>
      <c r="AH33" s="61"/>
      <c r="AI33" s="136">
        <f>K33+AA33-'Exhibit A, 1c'!K33</f>
        <v>0</v>
      </c>
      <c r="AJ33" s="149"/>
      <c r="AK33" s="149"/>
      <c r="AL33" s="61"/>
      <c r="AM33" s="72"/>
      <c r="AN33" s="25">
        <f t="shared" ref="AN33:AN40" si="24">AN32+1</f>
        <v>2015</v>
      </c>
      <c r="AO33" s="69">
        <v>4384.0538282841444</v>
      </c>
      <c r="AP33" s="69">
        <f t="shared" si="20"/>
        <v>-4384.0538282841444</v>
      </c>
      <c r="AQ33" s="69">
        <v>3675.2003252495197</v>
      </c>
      <c r="AR33" s="69">
        <f t="shared" si="21"/>
        <v>254736.85892173962</v>
      </c>
      <c r="AS33" s="145"/>
      <c r="AT33" s="145"/>
      <c r="AU33" s="145"/>
      <c r="AV33" s="145"/>
      <c r="AW33" s="145"/>
      <c r="AX33" s="145"/>
      <c r="AY33" s="145"/>
    </row>
    <row r="34" spans="1:54">
      <c r="A34" s="6">
        <f t="shared" si="22"/>
        <v>2016</v>
      </c>
      <c r="C34" s="494">
        <f>'Exhibit B,2'!U20-'Exhibit A,2'!U20</f>
        <v>861504.93999999971</v>
      </c>
      <c r="D34" s="494"/>
      <c r="E34" s="494">
        <f>'Exhibit B,2'!M20-'Exhibit A,2'!M20</f>
        <v>861504.94</v>
      </c>
      <c r="F34" s="494"/>
      <c r="G34" s="494">
        <f>'Exhibit B,2'!O20-'Exhibit A,2'!O20</f>
        <v>861504.93999999971</v>
      </c>
      <c r="H34" s="187"/>
      <c r="I34" s="494">
        <f t="shared" si="14"/>
        <v>0</v>
      </c>
      <c r="J34" s="494"/>
      <c r="K34" s="494">
        <f t="shared" si="15"/>
        <v>0</v>
      </c>
      <c r="L34" s="494"/>
      <c r="M34" s="494">
        <f t="shared" si="16"/>
        <v>0</v>
      </c>
      <c r="N34" s="494"/>
      <c r="O34" s="501">
        <v>0</v>
      </c>
      <c r="Q34" s="6">
        <f t="shared" si="23"/>
        <v>2016</v>
      </c>
      <c r="S34" s="494">
        <f>'Exhibit B,3'!AI20-'Exhibit A,3'!AI20</f>
        <v>877969.63737289608</v>
      </c>
      <c r="T34" s="494"/>
      <c r="U34" s="494">
        <f>('Exhibit B,3'!O20+'Exhibit B,3'!Q20)-('Exhibit A,3'!O20+'Exhibit A,3'!Q20)</f>
        <v>860560.8599999994</v>
      </c>
      <c r="V34" s="187"/>
      <c r="W34" s="494">
        <f>('Exhibit B,3'!S20+'Exhibit B,3'!U20)-('Exhibit A,3'!S20+'Exhibit A,3'!U20)</f>
        <v>860560.8599999994</v>
      </c>
      <c r="X34" s="187"/>
      <c r="Y34" s="494">
        <f t="shared" si="17"/>
        <v>0</v>
      </c>
      <c r="Z34" s="494"/>
      <c r="AA34" s="494">
        <f t="shared" si="18"/>
        <v>17408.777372896671</v>
      </c>
      <c r="AB34" s="494"/>
      <c r="AC34" s="494">
        <f t="shared" si="19"/>
        <v>17408.777372896671</v>
      </c>
      <c r="AD34" s="187"/>
      <c r="AE34" s="501">
        <v>0</v>
      </c>
      <c r="AH34" s="61"/>
      <c r="AI34" s="136">
        <f>K34+AA34-'Exhibit A, 1c'!K34</f>
        <v>0</v>
      </c>
      <c r="AJ34" s="149"/>
      <c r="AK34" s="149"/>
      <c r="AL34" s="61"/>
      <c r="AM34" s="144"/>
      <c r="AN34" s="25">
        <f t="shared" si="24"/>
        <v>2016</v>
      </c>
      <c r="AO34" s="69">
        <v>966690.57980382792</v>
      </c>
      <c r="AP34" s="69">
        <f t="shared" si="20"/>
        <v>-105185.63980382821</v>
      </c>
      <c r="AQ34" s="69">
        <v>881722.50920480676</v>
      </c>
      <c r="AR34" s="69">
        <f t="shared" si="21"/>
        <v>-3752.8718319106847</v>
      </c>
      <c r="AS34" s="145"/>
      <c r="AT34" s="145"/>
      <c r="AU34" s="145"/>
      <c r="AV34" s="145"/>
      <c r="AW34" s="145"/>
      <c r="AX34" s="145"/>
      <c r="AY34" s="145"/>
      <c r="BA34" s="122"/>
      <c r="BB34" s="122"/>
    </row>
    <row r="35" spans="1:54">
      <c r="A35" s="6">
        <f t="shared" si="22"/>
        <v>2017</v>
      </c>
      <c r="C35" s="494">
        <f>'Exhibit B,2'!U21-'Exhibit A,2'!U21</f>
        <v>0</v>
      </c>
      <c r="D35" s="494"/>
      <c r="E35" s="494">
        <f>'Exhibit B,2'!M21-'Exhibit A,2'!M21</f>
        <v>0</v>
      </c>
      <c r="F35" s="494"/>
      <c r="G35" s="494">
        <f>'Exhibit B,2'!O21-'Exhibit A,2'!O21</f>
        <v>0</v>
      </c>
      <c r="H35" s="187"/>
      <c r="I35" s="494">
        <f t="shared" si="14"/>
        <v>0</v>
      </c>
      <c r="J35" s="494"/>
      <c r="K35" s="494">
        <f t="shared" si="15"/>
        <v>0</v>
      </c>
      <c r="L35" s="494"/>
      <c r="M35" s="494">
        <f t="shared" si="16"/>
        <v>0</v>
      </c>
      <c r="N35" s="494"/>
      <c r="O35" s="501">
        <v>0</v>
      </c>
      <c r="Q35" s="6">
        <f t="shared" si="23"/>
        <v>2017</v>
      </c>
      <c r="S35" s="494">
        <f>'Exhibit B,3'!AI21-'Exhibit A,3'!AI21</f>
        <v>883701.62399870064</v>
      </c>
      <c r="T35" s="494"/>
      <c r="U35" s="494">
        <f>('Exhibit B,3'!O21+'Exhibit B,3'!Q21)-('Exhibit A,3'!O21+'Exhibit A,3'!Q21)</f>
        <v>828473.88999999966</v>
      </c>
      <c r="V35" s="187"/>
      <c r="W35" s="494">
        <f>('Exhibit B,3'!S21+'Exhibit B,3'!U21)-('Exhibit A,3'!S21+'Exhibit A,3'!U21)</f>
        <v>828473.88999999966</v>
      </c>
      <c r="X35" s="187"/>
      <c r="Y35" s="494">
        <f t="shared" si="17"/>
        <v>0</v>
      </c>
      <c r="Z35" s="494"/>
      <c r="AA35" s="494">
        <f t="shared" si="18"/>
        <v>55227.733998700976</v>
      </c>
      <c r="AB35" s="494"/>
      <c r="AC35" s="494">
        <f t="shared" si="19"/>
        <v>55227.733998700976</v>
      </c>
      <c r="AD35" s="187"/>
      <c r="AE35" s="501">
        <v>0</v>
      </c>
      <c r="AH35" s="61"/>
      <c r="AI35" s="136">
        <f>K35+AA35-'Exhibit A, 1c'!K35</f>
        <v>0</v>
      </c>
      <c r="AJ35" s="137"/>
      <c r="AK35" s="137"/>
      <c r="AL35" s="61"/>
      <c r="AM35" s="144"/>
      <c r="AN35" s="25">
        <f t="shared" si="24"/>
        <v>2017</v>
      </c>
      <c r="AO35" s="69">
        <v>20031.322703424376</v>
      </c>
      <c r="AP35" s="69">
        <f t="shared" si="20"/>
        <v>-20031.322703424376</v>
      </c>
      <c r="AQ35" s="69">
        <v>1042678.8788211467</v>
      </c>
      <c r="AR35" s="69">
        <f t="shared" si="21"/>
        <v>-158977.25482244603</v>
      </c>
      <c r="AS35" s="151"/>
      <c r="AT35" s="72"/>
      <c r="AU35" s="72"/>
      <c r="AV35" s="72"/>
      <c r="AW35" s="72"/>
      <c r="AX35" s="72"/>
      <c r="AY35" s="137"/>
    </row>
    <row r="36" spans="1:54">
      <c r="A36" s="6">
        <f t="shared" si="22"/>
        <v>2018</v>
      </c>
      <c r="C36" s="494">
        <f>'Exhibit B,2'!U22-'Exhibit A,2'!U22</f>
        <v>0</v>
      </c>
      <c r="D36" s="494"/>
      <c r="E36" s="494">
        <f>'Exhibit B,2'!M22-'Exhibit A,2'!M22</f>
        <v>0</v>
      </c>
      <c r="F36" s="494"/>
      <c r="G36" s="494">
        <f>'Exhibit B,2'!O22-'Exhibit A,2'!O22</f>
        <v>0</v>
      </c>
      <c r="H36" s="187"/>
      <c r="I36" s="494">
        <f t="shared" si="14"/>
        <v>0</v>
      </c>
      <c r="J36" s="494"/>
      <c r="K36" s="494">
        <f t="shared" si="15"/>
        <v>0</v>
      </c>
      <c r="L36" s="494"/>
      <c r="M36" s="494">
        <f t="shared" si="16"/>
        <v>0</v>
      </c>
      <c r="N36" s="494"/>
      <c r="O36" s="501">
        <v>0</v>
      </c>
      <c r="Q36" s="6">
        <f t="shared" si="23"/>
        <v>2018</v>
      </c>
      <c r="S36" s="494">
        <f>'Exhibit B,3'!AI22-'Exhibit A,3'!AI22</f>
        <v>579453.87527820095</v>
      </c>
      <c r="T36" s="494"/>
      <c r="U36" s="494">
        <f>('Exhibit B,3'!O22+'Exhibit B,3'!Q22)-('Exhibit A,3'!O22+'Exhibit A,3'!Q22)</f>
        <v>74952.19000000041</v>
      </c>
      <c r="V36" s="187"/>
      <c r="W36" s="494">
        <f>('Exhibit B,3'!S22+'Exhibit B,3'!U22)-('Exhibit A,3'!S22+'Exhibit A,3'!U22)</f>
        <v>74952.190000001341</v>
      </c>
      <c r="X36" s="187"/>
      <c r="Y36" s="494">
        <f t="shared" si="17"/>
        <v>9.3132257461547852E-10</v>
      </c>
      <c r="Z36" s="494"/>
      <c r="AA36" s="494">
        <f t="shared" si="18"/>
        <v>504501.68527819961</v>
      </c>
      <c r="AB36" s="494"/>
      <c r="AC36" s="494">
        <f t="shared" si="19"/>
        <v>504501.68527820054</v>
      </c>
      <c r="AD36" s="187"/>
      <c r="AE36" s="501">
        <v>0</v>
      </c>
      <c r="AH36" s="61"/>
      <c r="AI36" s="136">
        <f>K36+AA36-'Exhibit A, 1c'!K36</f>
        <v>0</v>
      </c>
      <c r="AJ36" s="137"/>
      <c r="AK36" s="137"/>
      <c r="AL36" s="61"/>
      <c r="AM36" s="144"/>
      <c r="AN36" s="25">
        <f t="shared" si="24"/>
        <v>2018</v>
      </c>
      <c r="AO36" s="69">
        <v>58118.477132350672</v>
      </c>
      <c r="AP36" s="69">
        <f t="shared" si="20"/>
        <v>-58118.477132350672</v>
      </c>
      <c r="AQ36" s="69">
        <v>987841.75733086653</v>
      </c>
      <c r="AR36" s="69">
        <f t="shared" si="21"/>
        <v>-408387.88205266558</v>
      </c>
      <c r="AS36" s="151"/>
      <c r="AT36" s="72"/>
      <c r="AU36" s="72"/>
      <c r="AV36" s="72"/>
      <c r="AW36" s="72"/>
      <c r="AX36" s="72"/>
      <c r="AY36" s="137"/>
    </row>
    <row r="37" spans="1:54">
      <c r="A37" s="6">
        <f t="shared" si="22"/>
        <v>2019</v>
      </c>
      <c r="C37" s="494">
        <f>'Exhibit B,2'!U23-'Exhibit A,2'!U23</f>
        <v>634566.93999999994</v>
      </c>
      <c r="D37" s="494"/>
      <c r="E37" s="494">
        <f>'Exhibit B,2'!M23-'Exhibit A,2'!M23</f>
        <v>191.93999999994412</v>
      </c>
      <c r="F37" s="494"/>
      <c r="G37" s="494">
        <f>'Exhibit B,2'!O23-'Exhibit A,2'!O23</f>
        <v>634566.93999999994</v>
      </c>
      <c r="H37" s="187"/>
      <c r="I37" s="494">
        <f t="shared" si="14"/>
        <v>634375</v>
      </c>
      <c r="J37" s="494"/>
      <c r="K37" s="494">
        <f t="shared" si="15"/>
        <v>0</v>
      </c>
      <c r="L37" s="494"/>
      <c r="M37" s="494">
        <f t="shared" si="16"/>
        <v>634375</v>
      </c>
      <c r="N37" s="494"/>
      <c r="O37" s="501">
        <v>0</v>
      </c>
      <c r="Q37" s="6">
        <f t="shared" si="23"/>
        <v>2019</v>
      </c>
      <c r="S37" s="494">
        <f>'Exhibit B,3'!AI23-'Exhibit A,3'!AI23</f>
        <v>1376776.0818976536</v>
      </c>
      <c r="T37" s="494"/>
      <c r="U37" s="494">
        <f>('Exhibit B,3'!O23+'Exhibit B,3'!Q23)-('Exhibit A,3'!O23+'Exhibit A,3'!Q23)</f>
        <v>683572.79</v>
      </c>
      <c r="V37" s="187"/>
      <c r="W37" s="494">
        <f>('Exhibit B,3'!S23+'Exhibit B,3'!U23)-('Exhibit A,3'!S23+'Exhibit A,3'!U23)</f>
        <v>683572.79</v>
      </c>
      <c r="X37" s="187"/>
      <c r="Y37" s="494">
        <f t="shared" si="17"/>
        <v>0</v>
      </c>
      <c r="Z37" s="494"/>
      <c r="AA37" s="494">
        <f t="shared" si="18"/>
        <v>693203.2918976536</v>
      </c>
      <c r="AB37" s="494"/>
      <c r="AC37" s="494">
        <f t="shared" si="19"/>
        <v>693203.2918976536</v>
      </c>
      <c r="AD37" s="187"/>
      <c r="AE37" s="501">
        <v>0</v>
      </c>
      <c r="AH37" s="61"/>
      <c r="AI37" s="136">
        <f>K37+AA37-'Exhibit A, 1c'!K37</f>
        <v>0</v>
      </c>
      <c r="AJ37" s="137"/>
      <c r="AK37" s="137"/>
      <c r="AL37" s="61"/>
      <c r="AM37" s="144"/>
      <c r="AN37" s="25">
        <f t="shared" si="24"/>
        <v>2019</v>
      </c>
      <c r="AO37" s="69">
        <v>226792.83524871897</v>
      </c>
      <c r="AP37" s="69">
        <f t="shared" si="20"/>
        <v>407774.10475128097</v>
      </c>
      <c r="AQ37" s="69">
        <v>2160171.9838221371</v>
      </c>
      <c r="AR37" s="69">
        <f t="shared" si="21"/>
        <v>-783395.90192448348</v>
      </c>
      <c r="AS37" s="151"/>
      <c r="AT37" s="72"/>
      <c r="AU37" s="72"/>
      <c r="AV37" s="72"/>
      <c r="AW37" s="72"/>
      <c r="AX37" s="72"/>
      <c r="AY37" s="137"/>
    </row>
    <row r="38" spans="1:54">
      <c r="A38" s="6">
        <f t="shared" si="22"/>
        <v>2020</v>
      </c>
      <c r="C38" s="494">
        <f>'Exhibit B,2'!U24-'Exhibit A,2'!U24</f>
        <v>378808</v>
      </c>
      <c r="D38" s="494"/>
      <c r="E38" s="494">
        <f>'Exhibit B,2'!M24-'Exhibit A,2'!M24</f>
        <v>0</v>
      </c>
      <c r="F38" s="494"/>
      <c r="G38" s="494">
        <f>'Exhibit B,2'!O24-'Exhibit A,2'!O24</f>
        <v>378808</v>
      </c>
      <c r="H38" s="187"/>
      <c r="I38" s="494">
        <f t="shared" si="14"/>
        <v>378808</v>
      </c>
      <c r="J38" s="494"/>
      <c r="K38" s="494">
        <f t="shared" si="15"/>
        <v>0</v>
      </c>
      <c r="L38" s="494"/>
      <c r="M38" s="494">
        <f t="shared" si="16"/>
        <v>378808</v>
      </c>
      <c r="N38" s="494"/>
      <c r="O38" s="501">
        <v>0</v>
      </c>
      <c r="Q38" s="6">
        <f t="shared" si="23"/>
        <v>2020</v>
      </c>
      <c r="S38" s="494">
        <f>'Exhibit B,3'!AI24-'Exhibit A,3'!AI24</f>
        <v>523874.67054594541</v>
      </c>
      <c r="T38" s="494"/>
      <c r="U38" s="494">
        <f>('Exhibit B,3'!O24+'Exhibit B,3'!Q24)-('Exhibit A,3'!O24+'Exhibit A,3'!Q24)</f>
        <v>0</v>
      </c>
      <c r="V38" s="187"/>
      <c r="W38" s="494">
        <f>('Exhibit B,3'!S24+'Exhibit B,3'!U24)-('Exhibit A,3'!S24+'Exhibit A,3'!U24)</f>
        <v>0</v>
      </c>
      <c r="X38" s="187"/>
      <c r="Y38" s="494">
        <f t="shared" si="17"/>
        <v>0</v>
      </c>
      <c r="Z38" s="494"/>
      <c r="AA38" s="494">
        <f t="shared" si="18"/>
        <v>523874.67054594541</v>
      </c>
      <c r="AB38" s="494"/>
      <c r="AC38" s="494">
        <f t="shared" si="19"/>
        <v>523874.67054594541</v>
      </c>
      <c r="AD38" s="187"/>
      <c r="AE38" s="501">
        <v>0</v>
      </c>
      <c r="AH38" s="61"/>
      <c r="AI38" s="136">
        <f>K38+AA38-'Exhibit A, 1c'!K38</f>
        <v>0</v>
      </c>
      <c r="AJ38" s="137"/>
      <c r="AK38" s="137"/>
      <c r="AL38" s="61"/>
      <c r="AM38" s="144"/>
      <c r="AN38" s="25">
        <f t="shared" si="24"/>
        <v>2020</v>
      </c>
      <c r="AO38" s="69">
        <v>416412.94482181943</v>
      </c>
      <c r="AP38" s="69">
        <f t="shared" si="20"/>
        <v>-37604.94482181943</v>
      </c>
      <c r="AQ38" s="69">
        <v>359296.76117266016</v>
      </c>
      <c r="AR38" s="69">
        <f t="shared" si="21"/>
        <v>164577.90937328525</v>
      </c>
      <c r="AS38" s="151"/>
      <c r="AT38" s="72"/>
      <c r="AU38" s="72"/>
      <c r="AV38" s="72"/>
      <c r="AW38" s="72"/>
      <c r="AX38" s="72"/>
      <c r="AY38" s="137"/>
    </row>
    <row r="39" spans="1:54">
      <c r="A39" s="6">
        <f t="shared" si="22"/>
        <v>2021</v>
      </c>
      <c r="C39" s="494">
        <f>'Exhibit B,2'!U25-'Exhibit A,2'!U25</f>
        <v>770350</v>
      </c>
      <c r="D39" s="494"/>
      <c r="E39" s="494">
        <f>'Exhibit B,2'!M25-'Exhibit A,2'!M25</f>
        <v>0</v>
      </c>
      <c r="F39" s="494"/>
      <c r="G39" s="494">
        <f>'Exhibit B,2'!O25-'Exhibit A,2'!O25</f>
        <v>770350</v>
      </c>
      <c r="H39" s="187"/>
      <c r="I39" s="494">
        <f t="shared" si="14"/>
        <v>770350</v>
      </c>
      <c r="J39" s="494"/>
      <c r="K39" s="494">
        <f t="shared" si="15"/>
        <v>0</v>
      </c>
      <c r="L39" s="494"/>
      <c r="M39" s="494">
        <f t="shared" si="16"/>
        <v>770350</v>
      </c>
      <c r="N39" s="494"/>
      <c r="O39" s="501">
        <v>0</v>
      </c>
      <c r="Q39" s="6">
        <f t="shared" si="23"/>
        <v>2021</v>
      </c>
      <c r="S39" s="494">
        <f>'Exhibit B,3'!AI25-'Exhibit A,3'!AI25</f>
        <v>751429.37524167867</v>
      </c>
      <c r="T39" s="494"/>
      <c r="U39" s="494">
        <f>('Exhibit B,3'!O25+'Exhibit B,3'!Q25)-('Exhibit A,3'!O25+'Exhibit A,3'!Q25)</f>
        <v>0</v>
      </c>
      <c r="V39" s="187"/>
      <c r="W39" s="494">
        <f>('Exhibit B,3'!S25+'Exhibit B,3'!U25)-('Exhibit A,3'!S25+'Exhibit A,3'!U25)</f>
        <v>0</v>
      </c>
      <c r="X39" s="187"/>
      <c r="Y39" s="494">
        <f t="shared" si="17"/>
        <v>0</v>
      </c>
      <c r="Z39" s="494"/>
      <c r="AA39" s="494">
        <f t="shared" si="18"/>
        <v>751429.37524167867</v>
      </c>
      <c r="AB39" s="494"/>
      <c r="AC39" s="494">
        <f t="shared" si="19"/>
        <v>751429.37524167867</v>
      </c>
      <c r="AD39" s="187"/>
      <c r="AE39" s="501">
        <v>0</v>
      </c>
      <c r="AH39" s="61"/>
      <c r="AI39" s="136">
        <f>K39+AA39-'Exhibit A, 1c'!K39</f>
        <v>0</v>
      </c>
      <c r="AJ39" s="137"/>
      <c r="AK39" s="137"/>
      <c r="AL39" s="61"/>
      <c r="AM39" s="144"/>
      <c r="AN39" s="25">
        <f t="shared" si="24"/>
        <v>2021</v>
      </c>
      <c r="AO39" s="69">
        <v>338841.96269182675</v>
      </c>
      <c r="AP39" s="69">
        <f t="shared" si="20"/>
        <v>431508.03730817325</v>
      </c>
      <c r="AQ39" s="69">
        <v>411625.8291450527</v>
      </c>
      <c r="AR39" s="69">
        <f t="shared" si="21"/>
        <v>339803.54609662597</v>
      </c>
      <c r="AS39" s="151"/>
      <c r="AT39" s="72"/>
      <c r="AU39" s="72"/>
      <c r="AV39" s="72"/>
      <c r="AW39" s="72"/>
      <c r="AX39" s="72"/>
      <c r="AY39" s="137"/>
    </row>
    <row r="40" spans="1:54">
      <c r="A40" s="6">
        <f t="shared" si="22"/>
        <v>2022</v>
      </c>
      <c r="C40" s="494">
        <f>'Exhibit B,2'!U26-'Exhibit A,2'!U26</f>
        <v>0</v>
      </c>
      <c r="D40" s="494"/>
      <c r="E40" s="494">
        <f>'Exhibit B,2'!M26-'Exhibit A,2'!M26</f>
        <v>0</v>
      </c>
      <c r="F40" s="494"/>
      <c r="G40" s="494">
        <f>'Exhibit B,2'!O26-'Exhibit A,2'!O26</f>
        <v>0</v>
      </c>
      <c r="H40" s="187"/>
      <c r="I40" s="494">
        <f t="shared" ref="I40" si="25">G40-E40</f>
        <v>0</v>
      </c>
      <c r="J40" s="494"/>
      <c r="K40" s="494">
        <f t="shared" ref="K40" si="26">C40-G40</f>
        <v>0</v>
      </c>
      <c r="L40" s="494"/>
      <c r="M40" s="494">
        <f t="shared" ref="M40" si="27">C40-E40</f>
        <v>0</v>
      </c>
      <c r="N40" s="494"/>
      <c r="O40" s="501">
        <v>0</v>
      </c>
      <c r="Q40" s="6">
        <f t="shared" si="23"/>
        <v>2022</v>
      </c>
      <c r="S40" s="494">
        <f>'Exhibit B,3'!AI26-'Exhibit A,3'!AI26</f>
        <v>440958.02553148358</v>
      </c>
      <c r="T40" s="494"/>
      <c r="U40" s="494">
        <f>('Exhibit B,3'!O26+'Exhibit B,3'!Q26)-('Exhibit A,3'!O26+'Exhibit A,3'!Q26)</f>
        <v>0</v>
      </c>
      <c r="V40" s="187"/>
      <c r="W40" s="494">
        <f>('Exhibit B,3'!S26+'Exhibit B,3'!U26)-('Exhibit A,3'!S26+'Exhibit A,3'!U26)</f>
        <v>0</v>
      </c>
      <c r="X40" s="187"/>
      <c r="Y40" s="494">
        <f t="shared" ref="Y40" si="28">W40-U40</f>
        <v>0</v>
      </c>
      <c r="Z40" s="494"/>
      <c r="AA40" s="494">
        <f t="shared" ref="AA40" si="29">S40-W40</f>
        <v>440958.02553148358</v>
      </c>
      <c r="AB40" s="494"/>
      <c r="AC40" s="494">
        <f t="shared" ref="AC40" si="30">S40-U40</f>
        <v>440958.02553148358</v>
      </c>
      <c r="AD40" s="187"/>
      <c r="AE40" s="501"/>
      <c r="AH40" s="61"/>
      <c r="AI40" s="136"/>
      <c r="AJ40" s="137"/>
      <c r="AK40" s="137"/>
      <c r="AL40" s="61"/>
      <c r="AM40" s="144"/>
      <c r="AN40" s="25">
        <f t="shared" si="24"/>
        <v>2022</v>
      </c>
      <c r="AO40" s="69"/>
      <c r="AP40" s="69"/>
      <c r="AQ40" s="172"/>
      <c r="AR40" s="172"/>
      <c r="AS40" s="151"/>
      <c r="AT40" s="72"/>
      <c r="AU40" s="72"/>
      <c r="AV40" s="72"/>
      <c r="AW40" s="72"/>
      <c r="AX40" s="72"/>
      <c r="AY40" s="137"/>
    </row>
    <row r="41" spans="1:54">
      <c r="A41" s="6"/>
      <c r="C41" s="63"/>
      <c r="E41" s="63"/>
      <c r="G41" s="63"/>
      <c r="I41" s="63"/>
      <c r="K41" s="63"/>
      <c r="M41" s="63"/>
      <c r="N41" s="63"/>
      <c r="O41" s="63"/>
      <c r="Q41" s="6"/>
      <c r="S41" s="63"/>
      <c r="U41" s="63"/>
      <c r="W41" s="63"/>
      <c r="Y41" s="63"/>
      <c r="AA41" s="63"/>
      <c r="AC41" s="63"/>
      <c r="AD41" s="63"/>
      <c r="AE41" s="63"/>
      <c r="AH41" s="61"/>
      <c r="AI41" s="70"/>
      <c r="AJ41" s="61"/>
      <c r="AK41" s="61"/>
      <c r="AL41" s="61"/>
      <c r="AM41" s="61"/>
      <c r="AN41" s="25"/>
      <c r="AO41" s="70"/>
      <c r="AP41" s="70"/>
      <c r="AQ41" s="70"/>
      <c r="AR41" s="70"/>
      <c r="AS41" s="61"/>
      <c r="AT41" s="61"/>
      <c r="AU41" s="61"/>
      <c r="AV41" s="61"/>
      <c r="AW41" s="61"/>
      <c r="AX41" s="61"/>
      <c r="AY41" s="61"/>
    </row>
    <row r="42" spans="1:54">
      <c r="A42" s="2" t="s">
        <v>0</v>
      </c>
      <c r="C42" s="147">
        <f>SUM(C31:C41)</f>
        <v>5542665.2400000002</v>
      </c>
      <c r="D42" s="147"/>
      <c r="E42" s="147">
        <f>SUM(E31:E41)</f>
        <v>3759132.2399999998</v>
      </c>
      <c r="F42" s="147"/>
      <c r="G42" s="147">
        <f>SUM(G31:G41)</f>
        <v>5542665.2400000002</v>
      </c>
      <c r="H42" s="147"/>
      <c r="I42" s="147">
        <f>SUM(I31:I41)</f>
        <v>1783533</v>
      </c>
      <c r="J42" s="147"/>
      <c r="K42" s="147">
        <f>SUM(K31:K41)</f>
        <v>0</v>
      </c>
      <c r="L42" s="147"/>
      <c r="M42" s="147">
        <f>SUM(M31:M41)</f>
        <v>1783533</v>
      </c>
      <c r="N42" s="147"/>
      <c r="O42" s="147">
        <f>SUM(O31:O41)</f>
        <v>0</v>
      </c>
      <c r="Q42" s="2" t="s">
        <v>0</v>
      </c>
      <c r="S42" s="147">
        <f>SUM(S31:S41)</f>
        <v>5694585.5324045867</v>
      </c>
      <c r="T42" s="147"/>
      <c r="U42" s="147">
        <f>SUM(U31:U41)</f>
        <v>2704646.0599999996</v>
      </c>
      <c r="V42" s="147"/>
      <c r="W42" s="147">
        <f>SUM(W31:W41)</f>
        <v>2704646.0600000005</v>
      </c>
      <c r="X42" s="147"/>
      <c r="Y42" s="147">
        <f>SUM(Y31:Y41)</f>
        <v>9.3132257461547852E-10</v>
      </c>
      <c r="Z42" s="147"/>
      <c r="AA42" s="147">
        <f>SUM(AA31:AA41)</f>
        <v>2989939.4724045862</v>
      </c>
      <c r="AB42" s="147"/>
      <c r="AC42" s="147">
        <f>SUM(AC31:AC41)</f>
        <v>2989939.4724045871</v>
      </c>
      <c r="AD42" s="147"/>
      <c r="AE42" s="147">
        <f>SUM(AE31:AE41)</f>
        <v>0</v>
      </c>
      <c r="AI42" s="68">
        <f>SUM(AI31:AI41)</f>
        <v>-2.3283064365386963E-10</v>
      </c>
      <c r="AJ42" s="84"/>
      <c r="AK42" s="84"/>
      <c r="AN42" s="97" t="s">
        <v>0</v>
      </c>
      <c r="AO42" s="157">
        <f>SUM(AO31:AO41)</f>
        <v>4934905.1868279912</v>
      </c>
      <c r="AP42" s="157">
        <f>SUM(AP31:AP41)</f>
        <v>607760.05317200907</v>
      </c>
      <c r="AQ42" s="157">
        <f t="shared" ref="AQ42" si="31">SUM(AQ31:AQ41)</f>
        <v>5847706.2504501706</v>
      </c>
      <c r="AR42" s="157">
        <f t="shared" ref="AR42" si="32">SUM(AR31:AR41)</f>
        <v>-594078.74357706844</v>
      </c>
      <c r="AS42" s="84"/>
      <c r="AT42" s="84"/>
      <c r="AU42" s="84"/>
      <c r="AV42" s="84"/>
      <c r="AW42" s="84"/>
      <c r="AX42" s="84"/>
      <c r="AY42" s="137"/>
    </row>
    <row r="43" spans="1:54">
      <c r="A43" s="2"/>
      <c r="C43" s="26"/>
      <c r="E43" s="187"/>
      <c r="F43" s="187"/>
      <c r="G43" s="187"/>
      <c r="I43" s="26"/>
      <c r="K43" s="26"/>
      <c r="Q43" s="2"/>
      <c r="S43" s="26"/>
      <c r="U43" s="26"/>
      <c r="W43" s="26"/>
      <c r="Y43" s="26"/>
      <c r="AA43" s="26"/>
      <c r="AH43" s="61"/>
      <c r="AJ43" s="149"/>
      <c r="AK43" s="149"/>
      <c r="AL43" s="61"/>
      <c r="AM43" s="72"/>
      <c r="AN43" s="2"/>
      <c r="AP43" s="26"/>
      <c r="AQ43" s="72"/>
      <c r="AR43" s="72"/>
      <c r="AS43" s="145"/>
      <c r="AT43" s="145"/>
      <c r="AU43" s="145"/>
      <c r="AV43" s="145"/>
      <c r="AW43" s="145"/>
      <c r="AX43" s="145"/>
      <c r="AY43" s="145"/>
    </row>
    <row r="44" spans="1:54">
      <c r="A44" s="3" t="s">
        <v>638</v>
      </c>
      <c r="C44" s="494">
        <f t="shared" ref="C44:C54" si="33">C16-C30</f>
        <v>2375</v>
      </c>
      <c r="D44" s="494"/>
      <c r="E44" s="494">
        <f t="shared" ref="E44:E54" si="34">E16-E30</f>
        <v>2375</v>
      </c>
      <c r="F44" s="494"/>
      <c r="G44" s="494">
        <f t="shared" ref="G44:G54" si="35">G16-G30</f>
        <v>2375</v>
      </c>
      <c r="Q44" s="3" t="s">
        <v>638</v>
      </c>
      <c r="AH44" s="61"/>
      <c r="AI44" s="3"/>
      <c r="AJ44" s="149"/>
      <c r="AK44" s="149"/>
      <c r="AL44" s="61"/>
      <c r="AM44" s="72"/>
      <c r="AN44" s="25" t="s">
        <v>638</v>
      </c>
      <c r="AQ44" s="72"/>
      <c r="AR44" s="72"/>
      <c r="AS44" s="145"/>
      <c r="AT44" s="145"/>
      <c r="AU44" s="145"/>
      <c r="AV44" s="145"/>
      <c r="AW44" s="145"/>
      <c r="AX44" s="145"/>
      <c r="AY44" s="145"/>
    </row>
    <row r="45" spans="1:54">
      <c r="A45" s="6">
        <f>A31</f>
        <v>2013</v>
      </c>
      <c r="C45" s="147">
        <f t="shared" si="33"/>
        <v>8418.1970000000001</v>
      </c>
      <c r="D45" s="147"/>
      <c r="E45" s="147">
        <f t="shared" si="34"/>
        <v>8418.1970000000001</v>
      </c>
      <c r="F45" s="147"/>
      <c r="G45" s="147">
        <f t="shared" si="35"/>
        <v>8418.1970000000001</v>
      </c>
      <c r="H45" s="147"/>
      <c r="I45" s="147">
        <f>G45-E45</f>
        <v>0</v>
      </c>
      <c r="J45" s="147"/>
      <c r="K45" s="147">
        <f>C45-G45</f>
        <v>0</v>
      </c>
      <c r="L45" s="147"/>
      <c r="M45" s="147">
        <f>C45-E45</f>
        <v>0</v>
      </c>
      <c r="N45" s="147"/>
      <c r="O45" s="147">
        <f t="shared" ref="O45:O54" si="36">O17-O31</f>
        <v>0</v>
      </c>
      <c r="Q45" s="6">
        <f>Q31</f>
        <v>2013</v>
      </c>
      <c r="S45" s="147">
        <f t="shared" ref="S45:S54" si="37">S17-S31</f>
        <v>0</v>
      </c>
      <c r="T45" s="147"/>
      <c r="U45" s="147">
        <f t="shared" ref="U45:U54" si="38">U17-U31</f>
        <v>0</v>
      </c>
      <c r="V45" s="147"/>
      <c r="W45" s="147">
        <f t="shared" ref="W45:W54" si="39">W17-W31</f>
        <v>0</v>
      </c>
      <c r="X45" s="147"/>
      <c r="Y45" s="147">
        <f>W45-U45</f>
        <v>0</v>
      </c>
      <c r="Z45" s="147"/>
      <c r="AA45" s="147">
        <f>S45-W45</f>
        <v>0</v>
      </c>
      <c r="AB45" s="147"/>
      <c r="AC45" s="147">
        <f>S45-U45</f>
        <v>0</v>
      </c>
      <c r="AD45" s="147"/>
      <c r="AE45" s="147">
        <f t="shared" ref="AE45:AE54" si="40">AE17-AE31</f>
        <v>0</v>
      </c>
      <c r="AH45" s="61"/>
      <c r="AI45" s="6"/>
      <c r="AJ45" s="149"/>
      <c r="AK45" s="149"/>
      <c r="AL45" s="61"/>
      <c r="AM45" s="144"/>
      <c r="AN45" s="25">
        <v>2013</v>
      </c>
      <c r="AO45" s="157">
        <v>8421.2984366738601</v>
      </c>
      <c r="AP45" s="157">
        <f>C45-AO45</f>
        <v>-3.1014366738600074</v>
      </c>
      <c r="AQ45" s="157">
        <v>0</v>
      </c>
      <c r="AR45" s="223">
        <f>S45-AQ45</f>
        <v>0</v>
      </c>
      <c r="AS45" s="145"/>
      <c r="AT45" s="145"/>
      <c r="AU45" s="145"/>
      <c r="AV45" s="145"/>
      <c r="AW45" s="145"/>
      <c r="AX45" s="145"/>
      <c r="AY45" s="145"/>
    </row>
    <row r="46" spans="1:54">
      <c r="A46" s="6">
        <f>A45+1</f>
        <v>2014</v>
      </c>
      <c r="C46" s="494">
        <f t="shared" si="33"/>
        <v>905177.69367348356</v>
      </c>
      <c r="D46" s="494"/>
      <c r="E46" s="494">
        <f t="shared" si="34"/>
        <v>903020.67800000031</v>
      </c>
      <c r="F46" s="494"/>
      <c r="G46" s="494">
        <f t="shared" si="35"/>
        <v>903020.67799999984</v>
      </c>
      <c r="H46" s="187"/>
      <c r="I46" s="494">
        <f t="shared" ref="I46:I53" si="41">G46-E46</f>
        <v>0</v>
      </c>
      <c r="J46" s="494"/>
      <c r="K46" s="494">
        <f t="shared" ref="K46:K53" si="42">C46-G46</f>
        <v>2157.0156734837219</v>
      </c>
      <c r="L46" s="494"/>
      <c r="M46" s="494">
        <f t="shared" ref="M46:M53" si="43">C46-E46</f>
        <v>2157.0156734832563</v>
      </c>
      <c r="N46" s="494"/>
      <c r="O46" s="494">
        <f t="shared" si="36"/>
        <v>63.576262106993113</v>
      </c>
      <c r="Q46" s="6">
        <f>Q45+1</f>
        <v>2014</v>
      </c>
      <c r="S46" s="494">
        <f t="shared" si="37"/>
        <v>1063246.2676828196</v>
      </c>
      <c r="T46" s="494"/>
      <c r="U46" s="494">
        <f t="shared" si="38"/>
        <v>57448.476000000002</v>
      </c>
      <c r="V46" s="494"/>
      <c r="W46" s="494">
        <f t="shared" si="39"/>
        <v>1045000</v>
      </c>
      <c r="X46" s="187"/>
      <c r="Y46" s="494">
        <f t="shared" ref="Y46:Y53" si="44">W46-U46</f>
        <v>987551.52399999998</v>
      </c>
      <c r="Z46" s="494"/>
      <c r="AA46" s="494">
        <f t="shared" ref="AA46:AA53" si="45">S46-W46</f>
        <v>18246.267682819627</v>
      </c>
      <c r="AB46" s="494"/>
      <c r="AC46" s="494">
        <f t="shared" ref="AC46:AC53" si="46">S46-U46</f>
        <v>1005797.7916828196</v>
      </c>
      <c r="AD46" s="187"/>
      <c r="AE46" s="494">
        <f t="shared" si="40"/>
        <v>3.3461190582628006</v>
      </c>
      <c r="AH46" s="61"/>
      <c r="AI46" s="6"/>
      <c r="AJ46" s="137"/>
      <c r="AK46" s="137"/>
      <c r="AL46" s="61"/>
      <c r="AM46" s="144"/>
      <c r="AN46" s="25">
        <f>AN45+1</f>
        <v>2014</v>
      </c>
      <c r="AO46" s="69">
        <v>915808.66077076737</v>
      </c>
      <c r="AP46" s="69">
        <f t="shared" ref="AP46:AP53" si="47">C46-AO46</f>
        <v>-10630.967097283807</v>
      </c>
      <c r="AQ46" s="69">
        <v>172347.91796432846</v>
      </c>
      <c r="AR46" s="69">
        <f t="shared" ref="AR46:AR53" si="48">S46-AQ46</f>
        <v>890898.3497184912</v>
      </c>
      <c r="AS46" s="151"/>
      <c r="AT46" s="72"/>
      <c r="AU46" s="72"/>
      <c r="AV46" s="72"/>
      <c r="AW46" s="72"/>
      <c r="AX46" s="72"/>
      <c r="AY46" s="137"/>
    </row>
    <row r="47" spans="1:54">
      <c r="A47" s="6">
        <f t="shared" ref="A47:A54" si="49">A46+1</f>
        <v>2015</v>
      </c>
      <c r="C47" s="494">
        <f t="shared" si="33"/>
        <v>2467321.1415077848</v>
      </c>
      <c r="D47" s="494"/>
      <c r="E47" s="494">
        <f t="shared" si="34"/>
        <v>2455021.122</v>
      </c>
      <c r="F47" s="494"/>
      <c r="G47" s="494">
        <f t="shared" si="35"/>
        <v>2455021.122</v>
      </c>
      <c r="H47" s="187"/>
      <c r="I47" s="494">
        <f t="shared" si="41"/>
        <v>0</v>
      </c>
      <c r="J47" s="494"/>
      <c r="K47" s="494">
        <f t="shared" si="42"/>
        <v>12300.019507784862</v>
      </c>
      <c r="L47" s="494"/>
      <c r="M47" s="494">
        <f t="shared" si="43"/>
        <v>12300.019507784862</v>
      </c>
      <c r="N47" s="494"/>
      <c r="O47" s="494">
        <f t="shared" si="36"/>
        <v>362.53295410000766</v>
      </c>
      <c r="Q47" s="6">
        <f t="shared" ref="Q47:Q54" si="50">Q46+1</f>
        <v>2015</v>
      </c>
      <c r="S47" s="494">
        <f t="shared" si="37"/>
        <v>113062.13896402676</v>
      </c>
      <c r="T47" s="494"/>
      <c r="U47" s="494">
        <f t="shared" si="38"/>
        <v>63884.517499999958</v>
      </c>
      <c r="V47" s="494"/>
      <c r="W47" s="494">
        <f t="shared" si="39"/>
        <v>99427.817500000005</v>
      </c>
      <c r="X47" s="187"/>
      <c r="Y47" s="494">
        <f t="shared" si="44"/>
        <v>35543.300000000047</v>
      </c>
      <c r="Z47" s="494"/>
      <c r="AA47" s="494">
        <f t="shared" si="45"/>
        <v>13634.321464026754</v>
      </c>
      <c r="AB47" s="494"/>
      <c r="AC47" s="494">
        <f t="shared" si="46"/>
        <v>49177.621464026801</v>
      </c>
      <c r="AD47" s="187"/>
      <c r="AE47" s="494">
        <f t="shared" si="40"/>
        <v>19.080681794737288</v>
      </c>
      <c r="AH47" s="61"/>
      <c r="AI47" s="6"/>
      <c r="AJ47" s="137"/>
      <c r="AK47" s="137"/>
      <c r="AL47" s="61"/>
      <c r="AM47" s="144"/>
      <c r="AN47" s="25">
        <f t="shared" ref="AN47:AN54" si="51">AN46+1</f>
        <v>2015</v>
      </c>
      <c r="AO47" s="69">
        <v>2496217.1635268615</v>
      </c>
      <c r="AP47" s="69">
        <f t="shared" si="47"/>
        <v>-28896.022019076627</v>
      </c>
      <c r="AQ47" s="69">
        <v>334793.00548022834</v>
      </c>
      <c r="AR47" s="69">
        <f t="shared" si="48"/>
        <v>-221730.86651620158</v>
      </c>
      <c r="AS47" s="151"/>
      <c r="AT47" s="72"/>
      <c r="AU47" s="72"/>
      <c r="AV47" s="72"/>
      <c r="AW47" s="72"/>
      <c r="AX47" s="72"/>
      <c r="AY47" s="137"/>
    </row>
    <row r="48" spans="1:54">
      <c r="A48" s="6">
        <f t="shared" si="49"/>
        <v>2016</v>
      </c>
      <c r="C48" s="494">
        <f t="shared" si="33"/>
        <v>1929624.9196265612</v>
      </c>
      <c r="D48" s="494"/>
      <c r="E48" s="494">
        <f t="shared" si="34"/>
        <v>1878174.1154999998</v>
      </c>
      <c r="F48" s="494"/>
      <c r="G48" s="494">
        <f t="shared" si="35"/>
        <v>1878174.1155000001</v>
      </c>
      <c r="H48" s="187"/>
      <c r="I48" s="494">
        <f t="shared" si="41"/>
        <v>0</v>
      </c>
      <c r="J48" s="494"/>
      <c r="K48" s="494">
        <f t="shared" si="42"/>
        <v>51450.804126561154</v>
      </c>
      <c r="L48" s="494"/>
      <c r="M48" s="494">
        <f t="shared" si="43"/>
        <v>51450.804126561387</v>
      </c>
      <c r="N48" s="494"/>
      <c r="O48" s="494">
        <f t="shared" si="36"/>
        <v>1516.4701160854331</v>
      </c>
      <c r="Q48" s="6">
        <f t="shared" si="50"/>
        <v>2016</v>
      </c>
      <c r="S48" s="494">
        <f t="shared" si="37"/>
        <v>11029570.699408023</v>
      </c>
      <c r="T48" s="494"/>
      <c r="U48" s="494">
        <f t="shared" si="38"/>
        <v>10417143.0275</v>
      </c>
      <c r="V48" s="494"/>
      <c r="W48" s="494">
        <f t="shared" si="39"/>
        <v>10917426.888</v>
      </c>
      <c r="X48" s="187"/>
      <c r="Y48" s="494">
        <f t="shared" si="44"/>
        <v>500283.86050000042</v>
      </c>
      <c r="Z48" s="494"/>
      <c r="AA48" s="494">
        <f t="shared" si="45"/>
        <v>112143.81140802242</v>
      </c>
      <c r="AB48" s="494"/>
      <c r="AC48" s="494">
        <f t="shared" si="46"/>
        <v>612427.67190802284</v>
      </c>
      <c r="AD48" s="187"/>
      <c r="AE48" s="494">
        <f t="shared" si="40"/>
        <v>79.814216636075599</v>
      </c>
      <c r="AH48" s="61"/>
      <c r="AI48" s="6"/>
      <c r="AJ48" s="137"/>
      <c r="AK48" s="137"/>
      <c r="AL48" s="61"/>
      <c r="AM48" s="144"/>
      <c r="AN48" s="25">
        <f t="shared" si="51"/>
        <v>2016</v>
      </c>
      <c r="AO48" s="69">
        <v>1897969.0968727886</v>
      </c>
      <c r="AP48" s="69">
        <f t="shared" si="47"/>
        <v>31655.822753772605</v>
      </c>
      <c r="AQ48" s="69">
        <v>11430673.910620414</v>
      </c>
      <c r="AR48" s="69">
        <f t="shared" si="48"/>
        <v>-401103.21121239103</v>
      </c>
      <c r="AS48" s="151"/>
      <c r="AT48" s="72"/>
      <c r="AU48" s="72"/>
      <c r="AV48" s="72"/>
      <c r="AW48" s="72"/>
      <c r="AX48" s="72"/>
      <c r="AY48" s="137"/>
    </row>
    <row r="49" spans="1:51">
      <c r="A49" s="6">
        <f t="shared" si="49"/>
        <v>2017</v>
      </c>
      <c r="C49" s="494">
        <f t="shared" si="33"/>
        <v>1933758.3233675407</v>
      </c>
      <c r="D49" s="494"/>
      <c r="E49" s="494">
        <f t="shared" si="34"/>
        <v>1607026.1464999998</v>
      </c>
      <c r="F49" s="494"/>
      <c r="G49" s="494">
        <f t="shared" si="35"/>
        <v>1846426.1464999998</v>
      </c>
      <c r="H49" s="187"/>
      <c r="I49" s="494">
        <f t="shared" si="41"/>
        <v>239400</v>
      </c>
      <c r="J49" s="494"/>
      <c r="K49" s="494">
        <f t="shared" si="42"/>
        <v>87332.176867540926</v>
      </c>
      <c r="L49" s="494"/>
      <c r="M49" s="494">
        <f t="shared" si="43"/>
        <v>326732.17686754093</v>
      </c>
      <c r="N49" s="494"/>
      <c r="O49" s="494">
        <f t="shared" si="36"/>
        <v>9630.1620663568465</v>
      </c>
      <c r="Q49" s="6">
        <f t="shared" si="50"/>
        <v>2017</v>
      </c>
      <c r="S49" s="494">
        <f t="shared" si="37"/>
        <v>6960004.225172</v>
      </c>
      <c r="T49" s="494"/>
      <c r="U49" s="494">
        <f t="shared" si="38"/>
        <v>5267959.3905000007</v>
      </c>
      <c r="V49" s="494"/>
      <c r="W49" s="494">
        <f t="shared" si="39"/>
        <v>7032554.3799999999</v>
      </c>
      <c r="X49" s="187"/>
      <c r="Y49" s="494">
        <f t="shared" si="44"/>
        <v>1764594.9894999992</v>
      </c>
      <c r="Z49" s="494"/>
      <c r="AA49" s="494">
        <f t="shared" si="45"/>
        <v>-72550.154827999882</v>
      </c>
      <c r="AB49" s="494"/>
      <c r="AC49" s="494">
        <f t="shared" si="46"/>
        <v>1692044.8346719993</v>
      </c>
      <c r="AD49" s="187"/>
      <c r="AE49" s="494">
        <f t="shared" si="40"/>
        <v>506.85063507141308</v>
      </c>
      <c r="AH49" s="61"/>
      <c r="AI49" s="6"/>
      <c r="AJ49" s="137"/>
      <c r="AK49" s="137"/>
      <c r="AL49" s="61"/>
      <c r="AM49" s="144"/>
      <c r="AN49" s="25">
        <f t="shared" si="51"/>
        <v>2017</v>
      </c>
      <c r="AO49" s="69">
        <v>2263247.7497464879</v>
      </c>
      <c r="AP49" s="69">
        <f t="shared" si="47"/>
        <v>-329489.42637894722</v>
      </c>
      <c r="AQ49" s="69">
        <v>7541265.8165665129</v>
      </c>
      <c r="AR49" s="69">
        <f t="shared" si="48"/>
        <v>-581261.59139451291</v>
      </c>
      <c r="AS49" s="151"/>
      <c r="AT49" s="72"/>
      <c r="AU49" s="72"/>
      <c r="AV49" s="72"/>
      <c r="AW49" s="72"/>
      <c r="AX49" s="72"/>
      <c r="AY49" s="137"/>
    </row>
    <row r="50" spans="1:51">
      <c r="A50" s="6">
        <f t="shared" si="49"/>
        <v>2018</v>
      </c>
      <c r="C50" s="494">
        <f t="shared" si="33"/>
        <v>600050.60388452851</v>
      </c>
      <c r="D50" s="494"/>
      <c r="E50" s="494">
        <f t="shared" si="34"/>
        <v>79087.215000000011</v>
      </c>
      <c r="F50" s="494"/>
      <c r="G50" s="494">
        <f t="shared" si="35"/>
        <v>79087.215000000011</v>
      </c>
      <c r="H50" s="187"/>
      <c r="I50" s="494">
        <f t="shared" si="41"/>
        <v>0</v>
      </c>
      <c r="J50" s="494"/>
      <c r="K50" s="494">
        <f t="shared" si="42"/>
        <v>520963.38888452848</v>
      </c>
      <c r="L50" s="494"/>
      <c r="M50" s="494">
        <f t="shared" si="43"/>
        <v>520963.38888452848</v>
      </c>
      <c r="N50" s="494"/>
      <c r="O50" s="494">
        <f t="shared" si="36"/>
        <v>15354.967220233117</v>
      </c>
      <c r="Q50" s="6">
        <f t="shared" si="50"/>
        <v>2018</v>
      </c>
      <c r="S50" s="494">
        <f t="shared" si="37"/>
        <v>16840176.260503411</v>
      </c>
      <c r="T50" s="494"/>
      <c r="U50" s="494">
        <f t="shared" si="38"/>
        <v>6557000.9829999991</v>
      </c>
      <c r="V50" s="494"/>
      <c r="W50" s="494">
        <f t="shared" si="39"/>
        <v>10519325.620999999</v>
      </c>
      <c r="X50" s="187"/>
      <c r="Y50" s="494">
        <f t="shared" si="44"/>
        <v>3962324.6380000003</v>
      </c>
      <c r="Z50" s="494"/>
      <c r="AA50" s="494">
        <f t="shared" si="45"/>
        <v>6320850.6395034119</v>
      </c>
      <c r="AB50" s="494"/>
      <c r="AC50" s="494">
        <f t="shared" si="46"/>
        <v>10283175.277503412</v>
      </c>
      <c r="AD50" s="187"/>
      <c r="AE50" s="494">
        <f t="shared" si="40"/>
        <v>808.15616948595368</v>
      </c>
      <c r="AH50" s="61"/>
      <c r="AI50" s="6"/>
      <c r="AJ50" s="137"/>
      <c r="AK50" s="137"/>
      <c r="AL50" s="61"/>
      <c r="AM50" s="144"/>
      <c r="AN50" s="25">
        <f t="shared" si="51"/>
        <v>2018</v>
      </c>
      <c r="AO50" s="69">
        <v>855421.4994800624</v>
      </c>
      <c r="AP50" s="69">
        <f t="shared" si="47"/>
        <v>-255370.89559553389</v>
      </c>
      <c r="AQ50" s="69">
        <v>11536545.011264283</v>
      </c>
      <c r="AR50" s="69">
        <f t="shared" si="48"/>
        <v>5303631.2492391281</v>
      </c>
      <c r="AS50" s="151"/>
      <c r="AT50" s="72"/>
      <c r="AU50" s="72"/>
      <c r="AV50" s="72"/>
      <c r="AW50" s="72"/>
      <c r="AX50" s="72"/>
      <c r="AY50" s="137"/>
    </row>
    <row r="51" spans="1:51">
      <c r="A51" s="6">
        <f t="shared" si="49"/>
        <v>2019</v>
      </c>
      <c r="C51" s="494">
        <f t="shared" si="33"/>
        <v>3030843.3812876293</v>
      </c>
      <c r="D51" s="494"/>
      <c r="E51" s="494">
        <f t="shared" si="34"/>
        <v>1721330.7335000001</v>
      </c>
      <c r="F51" s="494"/>
      <c r="G51" s="494">
        <f t="shared" si="35"/>
        <v>2513363.9185000001</v>
      </c>
      <c r="H51" s="187"/>
      <c r="I51" s="494">
        <f t="shared" si="41"/>
        <v>792033.18500000006</v>
      </c>
      <c r="J51" s="494"/>
      <c r="K51" s="494">
        <f t="shared" si="42"/>
        <v>517479.46278762911</v>
      </c>
      <c r="L51" s="494"/>
      <c r="M51" s="494">
        <f t="shared" si="43"/>
        <v>1309512.6477876292</v>
      </c>
      <c r="N51" s="494"/>
      <c r="O51" s="494">
        <f t="shared" si="36"/>
        <v>57294.488918895942</v>
      </c>
      <c r="Q51" s="6">
        <f t="shared" si="50"/>
        <v>2019</v>
      </c>
      <c r="S51" s="494">
        <f t="shared" si="37"/>
        <v>13000591.700250549</v>
      </c>
      <c r="T51" s="494"/>
      <c r="U51" s="494">
        <f t="shared" si="38"/>
        <v>5178333.0975000001</v>
      </c>
      <c r="V51" s="494"/>
      <c r="W51" s="494">
        <f t="shared" si="39"/>
        <v>5972244.7630000003</v>
      </c>
      <c r="X51" s="187"/>
      <c r="Y51" s="494">
        <f t="shared" si="44"/>
        <v>793911.66550000012</v>
      </c>
      <c r="Z51" s="494"/>
      <c r="AA51" s="494">
        <f t="shared" si="45"/>
        <v>7028346.937250549</v>
      </c>
      <c r="AB51" s="494"/>
      <c r="AC51" s="494">
        <f t="shared" si="46"/>
        <v>7822258.6027505491</v>
      </c>
      <c r="AD51" s="187"/>
      <c r="AE51" s="494">
        <f t="shared" si="40"/>
        <v>3015.4994167840005</v>
      </c>
      <c r="AH51" s="61"/>
      <c r="AI51" s="6"/>
      <c r="AJ51" s="61"/>
      <c r="AK51" s="61"/>
      <c r="AL51" s="61"/>
      <c r="AM51" s="61"/>
      <c r="AN51" s="25">
        <f t="shared" si="51"/>
        <v>2019</v>
      </c>
      <c r="AO51" s="69">
        <v>4447575.1272734199</v>
      </c>
      <c r="AP51" s="69">
        <f t="shared" si="47"/>
        <v>-1416731.7459857906</v>
      </c>
      <c r="AQ51" s="69">
        <v>13695969.951326052</v>
      </c>
      <c r="AR51" s="69">
        <f t="shared" si="48"/>
        <v>-695378.25107550249</v>
      </c>
      <c r="AS51" s="61"/>
      <c r="AT51" s="61"/>
      <c r="AU51" s="61"/>
      <c r="AV51" s="61"/>
      <c r="AW51" s="61"/>
      <c r="AX51" s="61"/>
      <c r="AY51" s="61"/>
    </row>
    <row r="52" spans="1:51">
      <c r="A52" s="6">
        <f t="shared" si="49"/>
        <v>2020</v>
      </c>
      <c r="C52" s="494">
        <f t="shared" si="33"/>
        <v>1285442.2295275228</v>
      </c>
      <c r="D52" s="494"/>
      <c r="E52" s="494">
        <f t="shared" si="34"/>
        <v>1149549.0485</v>
      </c>
      <c r="F52" s="494"/>
      <c r="G52" s="494">
        <f t="shared" si="35"/>
        <v>806085.79850000003</v>
      </c>
      <c r="H52" s="187"/>
      <c r="I52" s="494">
        <f t="shared" si="41"/>
        <v>-343463.25</v>
      </c>
      <c r="J52" s="494"/>
      <c r="K52" s="494">
        <f t="shared" si="42"/>
        <v>479356.43102752278</v>
      </c>
      <c r="L52" s="494"/>
      <c r="M52" s="494">
        <f t="shared" si="43"/>
        <v>135893.18102752278</v>
      </c>
      <c r="N52" s="494"/>
      <c r="O52" s="494">
        <f t="shared" si="36"/>
        <v>15170.393796414412</v>
      </c>
      <c r="Q52" s="6">
        <f t="shared" si="50"/>
        <v>2020</v>
      </c>
      <c r="S52" s="494">
        <f t="shared" si="37"/>
        <v>2279556.3646010878</v>
      </c>
      <c r="T52" s="494"/>
      <c r="U52" s="494">
        <f t="shared" si="38"/>
        <v>149356.397</v>
      </c>
      <c r="V52" s="494"/>
      <c r="W52" s="494">
        <f t="shared" si="39"/>
        <v>409243.08049999998</v>
      </c>
      <c r="X52" s="187"/>
      <c r="Y52" s="494">
        <f t="shared" si="44"/>
        <v>259886.68349999998</v>
      </c>
      <c r="Z52" s="494"/>
      <c r="AA52" s="494">
        <f t="shared" si="45"/>
        <v>1870313.2841010878</v>
      </c>
      <c r="AB52" s="494"/>
      <c r="AC52" s="494">
        <f t="shared" si="46"/>
        <v>2130199.9676010879</v>
      </c>
      <c r="AD52" s="187"/>
      <c r="AE52" s="494">
        <f t="shared" si="40"/>
        <v>798.44177875865353</v>
      </c>
      <c r="AI52" s="6"/>
      <c r="AJ52" s="84"/>
      <c r="AK52" s="84"/>
      <c r="AN52" s="25">
        <f t="shared" si="51"/>
        <v>2020</v>
      </c>
      <c r="AO52" s="69">
        <v>1056617.7135537907</v>
      </c>
      <c r="AP52" s="69">
        <f t="shared" si="47"/>
        <v>228824.51597373211</v>
      </c>
      <c r="AQ52" s="69">
        <v>1788179.2309855437</v>
      </c>
      <c r="AR52" s="69">
        <f t="shared" si="48"/>
        <v>491377.13361554407</v>
      </c>
      <c r="AS52" s="84"/>
      <c r="AT52" s="84"/>
      <c r="AU52" s="84"/>
      <c r="AV52" s="84"/>
      <c r="AW52" s="84"/>
      <c r="AX52" s="84"/>
      <c r="AY52" s="137"/>
    </row>
    <row r="53" spans="1:51">
      <c r="A53" s="6">
        <f t="shared" si="49"/>
        <v>2021</v>
      </c>
      <c r="C53" s="494">
        <f t="shared" si="33"/>
        <v>4713164.8397288853</v>
      </c>
      <c r="D53" s="494"/>
      <c r="E53" s="494">
        <f t="shared" si="34"/>
        <v>1171306.9934999999</v>
      </c>
      <c r="F53" s="494"/>
      <c r="G53" s="494">
        <f t="shared" si="35"/>
        <v>2539611.5474999999</v>
      </c>
      <c r="H53" s="187"/>
      <c r="I53" s="494">
        <f t="shared" si="41"/>
        <v>1368304.554</v>
      </c>
      <c r="J53" s="494"/>
      <c r="K53" s="494">
        <f t="shared" si="42"/>
        <v>2173553.2922288855</v>
      </c>
      <c r="L53" s="494"/>
      <c r="M53" s="494">
        <f t="shared" si="43"/>
        <v>3541857.8462288855</v>
      </c>
      <c r="N53" s="494"/>
      <c r="O53" s="494">
        <f t="shared" si="36"/>
        <v>127098.77803016378</v>
      </c>
      <c r="Q53" s="6">
        <f t="shared" si="50"/>
        <v>2021</v>
      </c>
      <c r="S53" s="494">
        <f t="shared" si="37"/>
        <v>3252723.1272602584</v>
      </c>
      <c r="T53" s="494"/>
      <c r="U53" s="494">
        <f t="shared" si="38"/>
        <v>2706.6545000000001</v>
      </c>
      <c r="V53" s="494"/>
      <c r="W53" s="494">
        <f t="shared" si="39"/>
        <v>136325</v>
      </c>
      <c r="X53" s="187"/>
      <c r="Y53" s="494">
        <f t="shared" si="44"/>
        <v>133618.3455</v>
      </c>
      <c r="Z53" s="494"/>
      <c r="AA53" s="494">
        <f t="shared" si="45"/>
        <v>3116398.1272602584</v>
      </c>
      <c r="AB53" s="494"/>
      <c r="AC53" s="494">
        <f t="shared" si="46"/>
        <v>3250016.4727602582</v>
      </c>
      <c r="AD53" s="187"/>
      <c r="AE53" s="494">
        <f t="shared" si="40"/>
        <v>6689.4093700086287</v>
      </c>
      <c r="AI53" s="6"/>
      <c r="AN53" s="25">
        <f t="shared" si="51"/>
        <v>2021</v>
      </c>
      <c r="AO53" s="69">
        <v>2041279.9293172779</v>
      </c>
      <c r="AP53" s="69">
        <f t="shared" si="47"/>
        <v>2671884.9104116075</v>
      </c>
      <c r="AQ53" s="69">
        <v>1774267.7915012387</v>
      </c>
      <c r="AR53" s="69">
        <f t="shared" si="48"/>
        <v>1478455.3357590197</v>
      </c>
    </row>
    <row r="54" spans="1:51">
      <c r="A54" s="6">
        <f t="shared" si="49"/>
        <v>2022</v>
      </c>
      <c r="C54" s="494">
        <f t="shared" si="33"/>
        <v>2318921.9353191541</v>
      </c>
      <c r="D54" s="494"/>
      <c r="E54" s="494">
        <f t="shared" si="34"/>
        <v>34775.224999999999</v>
      </c>
      <c r="F54" s="494"/>
      <c r="G54" s="494">
        <f t="shared" si="35"/>
        <v>250184.875</v>
      </c>
      <c r="H54" s="187"/>
      <c r="I54" s="494">
        <f t="shared" ref="I54" si="52">G54-E54</f>
        <v>215409.65</v>
      </c>
      <c r="J54" s="494"/>
      <c r="K54" s="494">
        <f t="shared" ref="K54" si="53">C54-G54</f>
        <v>2068737.0603191541</v>
      </c>
      <c r="L54" s="494"/>
      <c r="M54" s="494">
        <f t="shared" ref="M54" si="54">C54-E54</f>
        <v>2284146.710319154</v>
      </c>
      <c r="N54" s="494"/>
      <c r="O54" s="494">
        <f t="shared" si="36"/>
        <v>67323.344809797825</v>
      </c>
      <c r="Q54" s="6">
        <f t="shared" si="50"/>
        <v>2022</v>
      </c>
      <c r="S54" s="494">
        <f t="shared" si="37"/>
        <v>1933701.3507676579</v>
      </c>
      <c r="T54" s="494"/>
      <c r="U54" s="494">
        <f t="shared" si="38"/>
        <v>0</v>
      </c>
      <c r="V54" s="494"/>
      <c r="W54" s="494">
        <f t="shared" si="39"/>
        <v>0</v>
      </c>
      <c r="X54" s="187"/>
      <c r="Y54" s="494">
        <f t="shared" ref="Y54" si="55">W54-U54</f>
        <v>0</v>
      </c>
      <c r="Z54" s="494"/>
      <c r="AA54" s="494">
        <f t="shared" ref="AA54" si="56">S54-W54</f>
        <v>1933701.3507676579</v>
      </c>
      <c r="AB54" s="494"/>
      <c r="AC54" s="494">
        <f t="shared" ref="AC54" si="57">S54-U54</f>
        <v>1933701.3507676579</v>
      </c>
      <c r="AD54" s="187"/>
      <c r="AE54" s="494">
        <f t="shared" si="40"/>
        <v>3543.3339373577874</v>
      </c>
      <c r="AI54" s="6"/>
      <c r="AN54" s="25">
        <f t="shared" si="51"/>
        <v>2022</v>
      </c>
      <c r="AO54" s="69"/>
      <c r="AP54" s="69"/>
      <c r="AQ54" s="172"/>
      <c r="AR54" s="172"/>
    </row>
    <row r="55" spans="1:51">
      <c r="A55" s="6"/>
      <c r="C55" s="63"/>
      <c r="E55" s="63"/>
      <c r="G55" s="63"/>
      <c r="I55" s="63"/>
      <c r="K55" s="63"/>
      <c r="M55" s="63"/>
      <c r="N55" s="63"/>
      <c r="O55" s="63"/>
      <c r="Q55" s="6"/>
      <c r="S55" s="63"/>
      <c r="U55" s="63"/>
      <c r="W55" s="63"/>
      <c r="Y55" s="63"/>
      <c r="AA55" s="63"/>
      <c r="AC55" s="63"/>
      <c r="AD55" s="63"/>
      <c r="AE55" s="63"/>
      <c r="AI55" s="6"/>
      <c r="AN55" s="25"/>
      <c r="AO55" s="70"/>
      <c r="AP55" s="70"/>
      <c r="AQ55" s="70"/>
      <c r="AR55" s="70"/>
    </row>
    <row r="56" spans="1:51">
      <c r="A56" s="2" t="s">
        <v>0</v>
      </c>
      <c r="C56" s="147">
        <f>SUM(C45:C55)</f>
        <v>19192723.264923092</v>
      </c>
      <c r="D56" s="147"/>
      <c r="E56" s="147">
        <f>SUM(E45:E55)</f>
        <v>11007709.474499999</v>
      </c>
      <c r="F56" s="147"/>
      <c r="G56" s="147">
        <f>SUM(G45:G55)</f>
        <v>13279393.613499999</v>
      </c>
      <c r="H56" s="147"/>
      <c r="I56" s="147">
        <f>SUM(I45:I55)</f>
        <v>2271684.139</v>
      </c>
      <c r="J56" s="147"/>
      <c r="K56" s="147">
        <f>SUM(K45:K55)</f>
        <v>5913329.6514230911</v>
      </c>
      <c r="L56" s="147"/>
      <c r="M56" s="147">
        <f>SUM(M45:M55)</f>
        <v>8185013.7904230896</v>
      </c>
      <c r="N56" s="147"/>
      <c r="O56" s="147">
        <f>SUM(O45:O55)</f>
        <v>293814.71417415433</v>
      </c>
      <c r="Q56" s="2" t="s">
        <v>0</v>
      </c>
      <c r="S56" s="147">
        <f>SUM(S45:S55)</f>
        <v>56472632.134609841</v>
      </c>
      <c r="T56" s="147"/>
      <c r="U56" s="147">
        <f>SUM(U45:U55)</f>
        <v>27693832.543499999</v>
      </c>
      <c r="V56" s="147"/>
      <c r="W56" s="147">
        <f>SUM(W45:W55)</f>
        <v>36131547.549999997</v>
      </c>
      <c r="X56" s="147"/>
      <c r="Y56" s="147">
        <f>SUM(Y45:Y55)</f>
        <v>8437715.0065000001</v>
      </c>
      <c r="Z56" s="147"/>
      <c r="AA56" s="147">
        <f>SUM(AA45:AA55)</f>
        <v>20341084.584609833</v>
      </c>
      <c r="AB56" s="147"/>
      <c r="AC56" s="147">
        <f>SUM(AC45:AC55)</f>
        <v>28778799.591109835</v>
      </c>
      <c r="AD56" s="147"/>
      <c r="AE56" s="147">
        <f>SUM(AE45:AE55)</f>
        <v>15463.932324955513</v>
      </c>
      <c r="AI56" s="2"/>
      <c r="AN56" s="97" t="s">
        <v>0</v>
      </c>
      <c r="AO56" s="157">
        <f>SUM(AO45:AO55)</f>
        <v>15982558.238978129</v>
      </c>
      <c r="AP56" s="157">
        <f>SUM(AP45:AP55)</f>
        <v>891243.09062580625</v>
      </c>
      <c r="AQ56" s="157">
        <f t="shared" ref="AQ56" si="58">SUM(AQ45:AQ55)</f>
        <v>48274042.6357086</v>
      </c>
      <c r="AR56" s="157">
        <f t="shared" ref="AR56" si="59">SUM(AR45:AR55)</f>
        <v>6264888.148133575</v>
      </c>
    </row>
    <row r="57" spans="1:51">
      <c r="K57" s="17"/>
    </row>
    <row r="58" spans="1:51">
      <c r="C58" s="26"/>
      <c r="K58" s="26"/>
      <c r="AP58" s="69"/>
      <c r="AQ58" s="69"/>
      <c r="AR58" s="69"/>
    </row>
    <row r="59" spans="1:51">
      <c r="A59" s="2" t="s">
        <v>644</v>
      </c>
      <c r="B59" s="1" t="s">
        <v>1526</v>
      </c>
      <c r="Q59" s="2" t="s">
        <v>644</v>
      </c>
      <c r="R59" s="1" t="s">
        <v>1527</v>
      </c>
    </row>
    <row r="60" spans="1:51">
      <c r="A60" s="2"/>
      <c r="B60" s="1" t="s">
        <v>1528</v>
      </c>
      <c r="Q60" s="2"/>
      <c r="R60" s="1" t="s">
        <v>1529</v>
      </c>
    </row>
    <row r="61" spans="1:51">
      <c r="A61" s="2"/>
      <c r="B61" s="1" t="s">
        <v>641</v>
      </c>
      <c r="Q61" s="2"/>
      <c r="R61" s="1" t="s">
        <v>641</v>
      </c>
    </row>
    <row r="62" spans="1:51">
      <c r="A62" s="64" t="s">
        <v>40</v>
      </c>
      <c r="B62" s="130" t="s">
        <v>387</v>
      </c>
      <c r="Q62" s="64" t="s">
        <v>40</v>
      </c>
      <c r="R62" s="130" t="s">
        <v>387</v>
      </c>
    </row>
    <row r="63" spans="1:51">
      <c r="A63" s="64" t="s">
        <v>42</v>
      </c>
      <c r="B63" s="130" t="s">
        <v>388</v>
      </c>
      <c r="Q63" s="64" t="s">
        <v>42</v>
      </c>
      <c r="R63" s="130" t="s">
        <v>388</v>
      </c>
    </row>
    <row r="64" spans="1:51">
      <c r="A64" s="199">
        <v>-7</v>
      </c>
      <c r="B64" s="130" t="s">
        <v>389</v>
      </c>
      <c r="D64" s="20"/>
      <c r="E64" s="20"/>
      <c r="F64" s="20"/>
      <c r="G64" s="20"/>
      <c r="H64" s="18"/>
      <c r="I64" s="20"/>
      <c r="J64" s="20"/>
      <c r="K64" s="20"/>
      <c r="L64" s="20"/>
      <c r="M64" s="20"/>
      <c r="N64" s="20"/>
      <c r="Q64" s="199">
        <v>-7</v>
      </c>
      <c r="R64" s="130" t="s">
        <v>389</v>
      </c>
      <c r="T64" s="20"/>
      <c r="U64" s="20"/>
      <c r="V64" s="20"/>
      <c r="W64" s="20"/>
      <c r="X64" s="18"/>
      <c r="Y64" s="20"/>
      <c r="Z64" s="20"/>
      <c r="AA64" s="20"/>
      <c r="AB64" s="20"/>
      <c r="AC64" s="20"/>
    </row>
    <row r="65" spans="1:30">
      <c r="A65" s="64" t="s">
        <v>31</v>
      </c>
      <c r="B65" s="1" t="s">
        <v>1530</v>
      </c>
      <c r="D65" s="20"/>
      <c r="E65" s="20"/>
      <c r="F65" s="20"/>
      <c r="G65" s="20"/>
      <c r="H65" s="18"/>
      <c r="I65" s="20"/>
      <c r="J65" s="20"/>
      <c r="K65" s="20"/>
      <c r="L65" s="20"/>
      <c r="M65" s="20"/>
      <c r="N65" s="20"/>
      <c r="Q65" s="64" t="s">
        <v>31</v>
      </c>
      <c r="R65" s="1" t="s">
        <v>1531</v>
      </c>
      <c r="T65" s="20"/>
      <c r="U65" s="20"/>
      <c r="V65" s="20"/>
      <c r="W65" s="20"/>
      <c r="X65" s="18"/>
      <c r="Y65" s="20"/>
      <c r="Z65" s="20"/>
      <c r="AA65" s="20"/>
      <c r="AB65" s="20"/>
      <c r="AC65" s="20"/>
    </row>
    <row r="66" spans="1:30">
      <c r="A66" s="6"/>
      <c r="B66" s="1" t="s">
        <v>645</v>
      </c>
      <c r="Q66" s="6"/>
      <c r="R66" s="1" t="s">
        <v>645</v>
      </c>
    </row>
    <row r="67" spans="1:30">
      <c r="A67" s="2"/>
      <c r="B67" s="1" t="s">
        <v>641</v>
      </c>
      <c r="E67" s="26"/>
      <c r="G67" s="26"/>
      <c r="I67" s="26"/>
      <c r="J67" s="26"/>
      <c r="K67" s="26"/>
      <c r="M67" s="26"/>
      <c r="N67" s="26"/>
      <c r="O67" s="26"/>
      <c r="Q67" s="2"/>
      <c r="R67" s="1" t="s">
        <v>641</v>
      </c>
      <c r="U67" s="26"/>
      <c r="W67" s="26"/>
      <c r="Y67" s="26"/>
      <c r="Z67" s="26"/>
      <c r="AA67" s="26"/>
      <c r="AC67" s="26"/>
      <c r="AD67" s="26"/>
    </row>
    <row r="72" spans="1:30">
      <c r="A72" s="2"/>
    </row>
    <row r="73" spans="1:30">
      <c r="A73" s="2"/>
    </row>
    <row r="74" spans="1:30">
      <c r="A74" s="2"/>
    </row>
    <row r="75" spans="1:30">
      <c r="A75" s="64"/>
      <c r="C75" s="130"/>
    </row>
    <row r="76" spans="1:30">
      <c r="A76" s="64"/>
      <c r="C76" s="130"/>
    </row>
    <row r="77" spans="1:30">
      <c r="A77" s="199"/>
      <c r="C77" s="130"/>
    </row>
  </sheetData>
  <printOptions horizontalCentered="1"/>
  <pageMargins left="0.7" right="0.7" top="0.75" bottom="0.75" header="0.3" footer="0.3"/>
  <pageSetup scale="62" fitToWidth="2" orientation="portrait" r:id="rId1"/>
  <colBreaks count="1" manualBreakCount="1">
    <brk id="16" max="63" man="1"/>
  </colBreak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>
    <pageSetUpPr fitToPage="1"/>
  </sheetPr>
  <dimension ref="A1:V43"/>
  <sheetViews>
    <sheetView topLeftCell="D15" workbookViewId="0">
      <selection activeCell="E26" sqref="E26:S26"/>
    </sheetView>
  </sheetViews>
  <sheetFormatPr baseColWidth="10" defaultColWidth="8.7109375" defaultRowHeight="16"/>
  <cols>
    <col min="1" max="4" width="8.7109375" customWidth="1"/>
    <col min="5" max="5" width="12.7109375" customWidth="1"/>
    <col min="6" max="6" width="1.7109375" customWidth="1"/>
    <col min="7" max="7" width="12.7109375" customWidth="1"/>
    <col min="8" max="8" width="1.7109375" customWidth="1"/>
    <col min="9" max="9" width="12.7109375" customWidth="1"/>
    <col min="10" max="10" width="1.7109375" customWidth="1"/>
    <col min="11" max="11" width="11.7109375" customWidth="1"/>
    <col min="12" max="12" width="1.7109375" customWidth="1"/>
    <col min="13" max="13" width="12" customWidth="1"/>
    <col min="14" max="14" width="1.7109375" customWidth="1"/>
    <col min="15" max="15" width="12.7109375" customWidth="1"/>
    <col min="16" max="16" width="1.7109375" customWidth="1"/>
    <col min="17" max="17" width="12.7109375" customWidth="1"/>
    <col min="18" max="18" width="1.7109375" customWidth="1"/>
    <col min="19" max="19" width="12.7109375" customWidth="1"/>
    <col min="20" max="20" width="1.7109375" customWidth="1"/>
    <col min="21" max="21" width="12.7109375" customWidth="1"/>
  </cols>
  <sheetData>
    <row r="1" spans="1:2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52" t="s">
        <v>105</v>
      </c>
      <c r="T1" s="1"/>
      <c r="U1" s="1"/>
    </row>
    <row r="2" spans="1:2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52" t="s">
        <v>56</v>
      </c>
      <c r="T2" s="1"/>
      <c r="U2" s="1"/>
    </row>
    <row r="3" spans="1:2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1"/>
      <c r="U3" s="1"/>
    </row>
    <row r="4" spans="1:22" s="547" customFormat="1">
      <c r="A4" s="4" t="s">
        <v>886</v>
      </c>
      <c r="B4" s="5"/>
      <c r="C4" s="5"/>
      <c r="D4" s="5"/>
      <c r="E4" s="5"/>
      <c r="F4" s="5"/>
      <c r="G4" s="5"/>
      <c r="H4" s="5"/>
      <c r="I4" s="5"/>
      <c r="J4" s="537"/>
      <c r="K4" s="5"/>
      <c r="L4" s="5"/>
      <c r="M4" s="5"/>
      <c r="N4" s="5"/>
      <c r="O4" s="5"/>
      <c r="P4" s="5"/>
      <c r="Q4" s="5"/>
      <c r="R4" s="5"/>
      <c r="S4" s="5"/>
      <c r="T4" s="140"/>
      <c r="U4" s="140"/>
    </row>
    <row r="5" spans="1:22" s="547" customForma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140"/>
      <c r="U5" s="140"/>
    </row>
    <row r="6" spans="1:22" s="547" customFormat="1">
      <c r="A6" s="5" t="s">
        <v>1368</v>
      </c>
      <c r="B6" s="5"/>
      <c r="C6" s="5"/>
      <c r="D6" s="5"/>
      <c r="E6" s="5"/>
      <c r="F6" s="5"/>
      <c r="G6" s="5"/>
      <c r="H6" s="5"/>
      <c r="I6" s="5"/>
      <c r="J6" s="537"/>
      <c r="K6" s="5"/>
      <c r="L6" s="5"/>
      <c r="M6" s="5"/>
      <c r="N6" s="5"/>
      <c r="O6" s="5"/>
      <c r="P6" s="5"/>
      <c r="Q6" s="5"/>
      <c r="R6" s="5"/>
      <c r="S6" s="5"/>
      <c r="T6" s="140"/>
      <c r="U6" s="140"/>
    </row>
    <row r="7" spans="1:22" s="547" customFormat="1">
      <c r="A7" s="140"/>
      <c r="B7" s="140"/>
      <c r="C7" s="140"/>
      <c r="D7" s="140"/>
      <c r="E7" s="140"/>
      <c r="F7" s="140"/>
      <c r="G7" s="3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</row>
    <row r="8" spans="1:22">
      <c r="A8" s="538"/>
      <c r="B8" s="538"/>
      <c r="C8" s="538"/>
      <c r="D8" s="538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1"/>
      <c r="U8" s="1"/>
    </row>
    <row r="9" spans="1:22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1"/>
      <c r="U9" s="1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1"/>
      <c r="U10" s="1"/>
    </row>
    <row r="11" spans="1:2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2">
      <c r="A12" s="1"/>
      <c r="B12" s="1"/>
      <c r="C12" s="1"/>
      <c r="D12" s="1"/>
      <c r="E12" s="6" t="s">
        <v>718</v>
      </c>
      <c r="F12" s="1"/>
      <c r="G12" s="6" t="s">
        <v>718</v>
      </c>
      <c r="H12" s="1"/>
      <c r="I12" s="6" t="s">
        <v>279</v>
      </c>
      <c r="J12" s="1"/>
      <c r="K12" s="6" t="s">
        <v>279</v>
      </c>
      <c r="L12" s="1"/>
      <c r="M12" s="6" t="s">
        <v>1385</v>
      </c>
      <c r="N12" s="1"/>
      <c r="O12" s="6" t="s">
        <v>703</v>
      </c>
      <c r="P12" s="1"/>
      <c r="Q12" s="6" t="s">
        <v>703</v>
      </c>
      <c r="R12" s="1"/>
      <c r="S12" s="6" t="s">
        <v>703</v>
      </c>
      <c r="T12" s="1"/>
      <c r="U12" s="1"/>
    </row>
    <row r="13" spans="1:22">
      <c r="A13" s="1"/>
      <c r="B13" s="1"/>
      <c r="C13" s="1"/>
      <c r="D13" s="1"/>
      <c r="E13" s="6" t="s">
        <v>5</v>
      </c>
      <c r="F13" s="1"/>
      <c r="G13" s="6" t="s">
        <v>719</v>
      </c>
      <c r="H13" s="1"/>
      <c r="I13" s="6" t="s">
        <v>5</v>
      </c>
      <c r="J13" s="1"/>
      <c r="K13" s="6" t="s">
        <v>395</v>
      </c>
      <c r="L13" s="1"/>
      <c r="M13" s="6" t="s">
        <v>0</v>
      </c>
      <c r="N13" s="1"/>
      <c r="O13" s="6" t="s">
        <v>5</v>
      </c>
      <c r="P13" s="6"/>
      <c r="Q13" s="6" t="s">
        <v>395</v>
      </c>
      <c r="R13" s="1"/>
      <c r="S13" s="6" t="s">
        <v>0</v>
      </c>
      <c r="T13" s="1"/>
      <c r="U13" s="1"/>
    </row>
    <row r="14" spans="1:2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2">
      <c r="A15" s="1" t="s">
        <v>1571</v>
      </c>
      <c r="B15" s="1"/>
      <c r="C15" s="1"/>
      <c r="D15" s="1"/>
      <c r="E15" s="548">
        <f>'Exhibit E, 1'!E15</f>
        <v>12462424.428943126</v>
      </c>
      <c r="F15" s="147"/>
      <c r="G15" s="548">
        <f>'Exhibit E, 1'!G15</f>
        <v>2938754.5803482933</v>
      </c>
      <c r="H15" s="147"/>
      <c r="I15" s="548">
        <f>'Exhibit E, 1'!I15</f>
        <v>1315092.6956908247</v>
      </c>
      <c r="J15" s="147"/>
      <c r="K15" s="548">
        <f>'Exhibit E, 1'!K15</f>
        <v>3038384.4169053682</v>
      </c>
      <c r="L15" s="147"/>
      <c r="M15" s="548">
        <f>'Exhibit E, 1'!M15</f>
        <v>19754656.121887613</v>
      </c>
      <c r="N15" s="147"/>
      <c r="O15" s="548">
        <f>'Exhibit E, 1'!O15</f>
        <v>2440970.4582306887</v>
      </c>
      <c r="P15" s="505"/>
      <c r="Q15" s="548">
        <f>'Exhibit E, 1'!Q15</f>
        <v>1980906.362590614</v>
      </c>
      <c r="R15" s="147"/>
      <c r="S15" s="548">
        <f>'Exhibit E, 1'!S15</f>
        <v>4421876.8208213029</v>
      </c>
      <c r="T15" s="1"/>
      <c r="U15" s="17"/>
    </row>
    <row r="16" spans="1:22">
      <c r="A16" s="1"/>
      <c r="B16" s="1"/>
      <c r="C16" s="1"/>
      <c r="D16" s="1"/>
      <c r="E16" s="17"/>
      <c r="F16" s="17"/>
      <c r="G16" s="17"/>
      <c r="H16" s="1"/>
      <c r="I16" s="17"/>
      <c r="J16" s="1"/>
      <c r="K16" s="17"/>
      <c r="M16" s="17"/>
      <c r="N16" s="1"/>
      <c r="O16" s="114"/>
      <c r="P16" s="1"/>
      <c r="Q16" s="187"/>
      <c r="R16" s="1"/>
      <c r="S16" s="1"/>
      <c r="T16" s="1"/>
      <c r="U16" s="61" t="s">
        <v>685</v>
      </c>
      <c r="V16" s="84">
        <f>M15-'Summary Exhibit 3'!Q35</f>
        <v>0</v>
      </c>
    </row>
    <row r="17" spans="1:22">
      <c r="A17" s="1" t="s">
        <v>777</v>
      </c>
      <c r="B17" s="1"/>
      <c r="C17" s="1"/>
      <c r="D17" s="55">
        <f>'Exhibit E, 1'!D17</f>
        <v>0.05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14"/>
    </row>
    <row r="18" spans="1:2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  <row r="19" spans="1:22">
      <c r="A19" s="1" t="s">
        <v>778</v>
      </c>
      <c r="B19" s="1"/>
      <c r="C19" s="1"/>
      <c r="D19" s="55">
        <f>'Exhibit E, 1'!D19</f>
        <v>3.6999999999999998E-2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</row>
    <row r="21" spans="1:22">
      <c r="A21" s="1" t="s">
        <v>1572</v>
      </c>
      <c r="B21" s="1"/>
      <c r="C21" s="1"/>
      <c r="D21" s="1"/>
      <c r="E21" s="17">
        <f>'Exhibit E, 1'!E21</f>
        <v>13569710.839454722</v>
      </c>
      <c r="F21" s="1"/>
      <c r="G21" s="17">
        <f>'Exhibit E, 1'!G21</f>
        <v>3199862.9248122387</v>
      </c>
      <c r="H21" s="1"/>
      <c r="I21" s="17">
        <f>'Exhibit E, 1'!I21</f>
        <v>1431938.6817029545</v>
      </c>
      <c r="J21" s="1"/>
      <c r="K21" s="17">
        <f>'Exhibit E, 1'!K21</f>
        <v>3308344.8723474103</v>
      </c>
      <c r="L21" s="1"/>
      <c r="M21" s="17">
        <f>'Exhibit E, 1'!M21</f>
        <v>0</v>
      </c>
      <c r="N21" s="1"/>
      <c r="O21" s="17">
        <f>'Exhibit E, 1'!O21</f>
        <v>2657850.6834444855</v>
      </c>
      <c r="P21" s="16"/>
      <c r="Q21" s="17">
        <f>'Exhibit E, 1'!Q21</f>
        <v>2156909.8929067901</v>
      </c>
      <c r="R21" s="1"/>
      <c r="S21" s="17">
        <f>'Exhibit E, 1'!S21</f>
        <v>0</v>
      </c>
      <c r="T21" s="1"/>
      <c r="U21" s="17"/>
    </row>
    <row r="22" spans="1:2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</row>
    <row r="23" spans="1:22">
      <c r="A23" s="1" t="s">
        <v>1573</v>
      </c>
      <c r="B23" s="1"/>
      <c r="C23" s="1"/>
      <c r="D23" s="1"/>
      <c r="E23" s="17">
        <f>'Exhibit E, 1'!E23</f>
        <v>15890167.78097108</v>
      </c>
      <c r="F23" s="1"/>
      <c r="G23" s="17">
        <f>'Exhibit E, 1'!G23</f>
        <v>1134600.3793432082</v>
      </c>
      <c r="H23" s="1"/>
      <c r="I23" s="17">
        <f>'Exhibit E, 1'!I23</f>
        <v>1998886.0042928304</v>
      </c>
      <c r="J23" s="1"/>
      <c r="K23" s="17">
        <f>'Exhibit E, 1'!K23</f>
        <v>3388129.2289063614</v>
      </c>
      <c r="L23" s="1"/>
      <c r="M23" s="17">
        <f>'Exhibit E, 1'!M23</f>
        <v>22411783.393513478</v>
      </c>
      <c r="N23" s="1"/>
      <c r="O23" s="17">
        <f>'Exhibit E, 1'!O23</f>
        <v>3129720.2244899999</v>
      </c>
      <c r="P23" s="16"/>
      <c r="Q23" s="17">
        <f>'Exhibit E, 1'!Q23</f>
        <v>1788852.3286949997</v>
      </c>
      <c r="R23" s="1"/>
      <c r="S23" s="17">
        <f>'Exhibit E, 1'!S23</f>
        <v>4918572.5531849992</v>
      </c>
      <c r="T23" s="1"/>
      <c r="U23" s="1"/>
    </row>
    <row r="24" spans="1:22">
      <c r="A24" s="1"/>
      <c r="B24" s="1"/>
      <c r="C24" s="1"/>
      <c r="D24" s="1"/>
      <c r="E24" s="17"/>
      <c r="F24" s="1"/>
      <c r="G24" s="17"/>
      <c r="H24" s="1"/>
      <c r="I24" s="17"/>
      <c r="J24" s="1"/>
      <c r="K24" s="17"/>
      <c r="N24" s="1"/>
      <c r="O24" s="17"/>
      <c r="P24" s="1"/>
      <c r="Q24" s="17"/>
      <c r="R24" s="1"/>
      <c r="S24" s="1"/>
      <c r="T24" s="1"/>
      <c r="U24" s="61" t="s">
        <v>685</v>
      </c>
      <c r="V24" s="84">
        <f>M23-'Summary Exhibit 3'!Q34</f>
        <v>0</v>
      </c>
    </row>
    <row r="25" spans="1:22">
      <c r="A25" s="1" t="s">
        <v>779</v>
      </c>
      <c r="B25" s="1"/>
      <c r="C25" s="1"/>
      <c r="D25" s="1"/>
      <c r="E25" s="55">
        <f>E21/E23</f>
        <v>0.85396900942133724</v>
      </c>
      <c r="F25" s="1"/>
      <c r="G25" s="55">
        <f>G21/G23</f>
        <v>2.8202554688590529</v>
      </c>
      <c r="H25" s="1"/>
      <c r="I25" s="55">
        <f>I21/I23</f>
        <v>0.71636835648841735</v>
      </c>
      <c r="J25" s="1"/>
      <c r="K25" s="55">
        <f>K21/K23</f>
        <v>0.97645179650225311</v>
      </c>
      <c r="L25" s="1"/>
      <c r="M25" s="1"/>
      <c r="N25" s="1"/>
      <c r="O25" s="55">
        <f>O21/O23</f>
        <v>0.84922948148746835</v>
      </c>
      <c r="P25" s="1"/>
      <c r="Q25" s="55">
        <f>Q21/Q23</f>
        <v>1.2057506694699025</v>
      </c>
      <c r="R25" s="1"/>
      <c r="S25" s="55"/>
      <c r="T25" s="1"/>
      <c r="U25" s="22"/>
    </row>
    <row r="26" spans="1:22">
      <c r="A26" s="1"/>
      <c r="B26" s="1"/>
      <c r="C26" s="1"/>
      <c r="D26" s="1"/>
      <c r="E26" s="55"/>
      <c r="F26" s="1"/>
      <c r="G26" s="55"/>
      <c r="H26" s="1"/>
      <c r="I26" s="55"/>
      <c r="J26" s="1"/>
      <c r="K26" s="55"/>
      <c r="L26" s="1"/>
      <c r="M26" s="1"/>
      <c r="N26" s="1"/>
      <c r="O26" s="55"/>
      <c r="P26" s="1"/>
      <c r="Q26" s="55"/>
      <c r="R26" s="1"/>
      <c r="S26" s="1"/>
      <c r="T26" s="1"/>
      <c r="U26" s="1"/>
    </row>
    <row r="27" spans="1:22">
      <c r="A27" s="1" t="s">
        <v>785</v>
      </c>
      <c r="B27" s="1"/>
      <c r="C27" s="1"/>
      <c r="D27" s="55">
        <f>'Exhibit E, 1'!D27</f>
        <v>0.03</v>
      </c>
      <c r="E27" s="55">
        <f>'Exhibit E, 1'!E27</f>
        <v>0.74189054492353679</v>
      </c>
      <c r="F27" s="55"/>
      <c r="G27" s="55">
        <f>'Exhibit E, 1'!G27</f>
        <v>2.3129797817724613</v>
      </c>
      <c r="H27" s="55"/>
      <c r="I27" s="55">
        <f>'Exhibit E, 1'!I27</f>
        <v>0.6369044189412657</v>
      </c>
      <c r="J27" s="55"/>
      <c r="K27" s="55">
        <f>'Exhibit E, 1'!K27</f>
        <v>0.79315372333499534</v>
      </c>
      <c r="L27" s="1"/>
      <c r="M27" s="1"/>
      <c r="N27" s="1"/>
      <c r="O27" s="55">
        <f>'Exhibit E, 1'!O27</f>
        <v>0.76349682880589842</v>
      </c>
      <c r="P27" s="55"/>
      <c r="Q27" s="55">
        <f>'Exhibit E, 1'!Q27</f>
        <v>0.97424671226475101</v>
      </c>
      <c r="R27" s="1"/>
      <c r="S27" s="55"/>
      <c r="T27" s="1"/>
      <c r="U27" s="1"/>
    </row>
    <row r="28" spans="1:2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</row>
    <row r="29" spans="1:22">
      <c r="A29" s="1" t="s">
        <v>1574</v>
      </c>
      <c r="B29" s="1"/>
      <c r="C29" s="1"/>
      <c r="D29" s="1"/>
      <c r="E29" s="17">
        <f>'Exhibit E, 1'!E29</f>
        <v>2732958.7300000004</v>
      </c>
      <c r="F29" s="1"/>
      <c r="G29" s="17">
        <f>'Exhibit E, 1'!G29</f>
        <v>37110.6</v>
      </c>
      <c r="H29" s="1"/>
      <c r="I29" s="17">
        <f>'Exhibit E, 1'!I29</f>
        <v>1057576.7100000004</v>
      </c>
      <c r="J29" s="1"/>
      <c r="K29" s="17">
        <f>'Exhibit E, 1'!K29</f>
        <v>535041.01</v>
      </c>
      <c r="L29" s="1"/>
      <c r="M29" s="1"/>
      <c r="N29" s="1"/>
      <c r="O29" s="17">
        <f>'Exhibit E, 1'!O29</f>
        <v>706510.75000000012</v>
      </c>
      <c r="P29" s="1"/>
      <c r="Q29" s="17">
        <f>'Exhibit E, 1'!Q29</f>
        <v>1162935.5100000007</v>
      </c>
      <c r="R29" s="1"/>
      <c r="S29" s="17"/>
      <c r="T29" s="1"/>
      <c r="U29" s="22"/>
    </row>
    <row r="30" spans="1:2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</row>
    <row r="31" spans="1:22">
      <c r="A31" s="1" t="s">
        <v>786</v>
      </c>
      <c r="B31" s="1"/>
      <c r="C31" s="1"/>
      <c r="D31" s="1"/>
      <c r="E31" s="548">
        <f>'Exhibit E, 1'!E31</f>
        <v>0</v>
      </c>
      <c r="F31" s="147"/>
      <c r="G31" s="548">
        <f>'Exhibit E, 1'!G31</f>
        <v>48725.467489445102</v>
      </c>
      <c r="H31" s="147"/>
      <c r="I31" s="548">
        <f>'Exhibit E, 1'!I31</f>
        <v>0</v>
      </c>
      <c r="J31" s="147"/>
      <c r="K31" s="548">
        <f>'Exhibit E, 1'!K31</f>
        <v>0</v>
      </c>
      <c r="L31" s="147"/>
      <c r="M31" s="147">
        <f>SUM(E31:K31)</f>
        <v>48725.467489445102</v>
      </c>
      <c r="N31" s="147"/>
      <c r="O31" s="548">
        <f>'Exhibit E, 1'!O31</f>
        <v>0</v>
      </c>
      <c r="P31" s="147"/>
      <c r="Q31" s="548">
        <f>'Exhibit E, 1'!Q31</f>
        <v>0</v>
      </c>
      <c r="R31" s="147"/>
      <c r="S31" s="548">
        <f>O31+Q31</f>
        <v>0</v>
      </c>
      <c r="T31" s="1"/>
      <c r="U31" s="22"/>
    </row>
    <row r="32" spans="1:2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>
      <c r="A33" s="1"/>
      <c r="B33" s="1"/>
      <c r="C33" s="1"/>
      <c r="D33" s="1"/>
      <c r="E33" s="22"/>
      <c r="F33" s="1"/>
      <c r="G33" s="22"/>
      <c r="H33" s="1"/>
      <c r="I33" s="22"/>
      <c r="J33" s="1"/>
      <c r="K33" s="22"/>
      <c r="L33" s="1"/>
      <c r="M33" s="22"/>
      <c r="N33" s="1"/>
      <c r="O33" s="22"/>
      <c r="P33" s="1"/>
      <c r="Q33" s="22"/>
      <c r="R33" s="1"/>
      <c r="S33" s="20"/>
      <c r="T33" s="1"/>
      <c r="U33" s="1"/>
    </row>
    <row r="34" spans="1:2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>
      <c r="A35" s="1" t="s">
        <v>141</v>
      </c>
      <c r="B35" s="1" t="s">
        <v>1512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>
      <c r="A36" s="64" t="s">
        <v>33</v>
      </c>
      <c r="B36" s="1" t="s">
        <v>1567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>
      <c r="A37" s="64" t="s">
        <v>36</v>
      </c>
      <c r="B37" s="1" t="s">
        <v>1513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>
      <c r="A38" s="64" t="s">
        <v>38</v>
      </c>
      <c r="B38" s="23" t="s">
        <v>1024</v>
      </c>
      <c r="C38" s="1"/>
      <c r="D38" s="1"/>
      <c r="E38" s="1"/>
      <c r="F38" s="1"/>
      <c r="G38" s="1"/>
      <c r="H38" s="1"/>
      <c r="I38" s="6"/>
      <c r="J38" s="6"/>
      <c r="K38" s="6"/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>
      <c r="A39" s="64" t="s">
        <v>40</v>
      </c>
      <c r="B39" s="1" t="s">
        <v>995</v>
      </c>
      <c r="C39" s="1"/>
      <c r="D39" s="1"/>
      <c r="E39" s="1"/>
      <c r="F39" s="1"/>
      <c r="G39" s="1"/>
      <c r="H39" s="1"/>
      <c r="I39" s="186"/>
      <c r="J39" s="81"/>
      <c r="K39" s="186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>
      <c r="A40" s="64" t="s">
        <v>42</v>
      </c>
      <c r="B40" s="23" t="s">
        <v>143</v>
      </c>
      <c r="C40" s="1"/>
      <c r="D40" s="1"/>
      <c r="E40" s="1"/>
      <c r="F40" s="1"/>
      <c r="G40" s="1"/>
      <c r="H40" s="1"/>
      <c r="I40" s="6"/>
      <c r="J40" s="6"/>
      <c r="K40" s="6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>
      <c r="A41" s="64" t="s">
        <v>30</v>
      </c>
      <c r="B41" s="1" t="s">
        <v>1514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>
      <c r="A42" s="64" t="s">
        <v>31</v>
      </c>
      <c r="B42" s="1" t="s">
        <v>995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>
      <c r="A43" s="64" t="s">
        <v>103</v>
      </c>
      <c r="B43" s="1" t="s">
        <v>1025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</sheetData>
  <printOptions horizontalCentered="1"/>
  <pageMargins left="0.7" right="0.7" top="0.75" bottom="0.75" header="0.3" footer="0.3"/>
  <pageSetup scale="52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>
    <pageSetUpPr fitToPage="1"/>
  </sheetPr>
  <dimension ref="A1"/>
  <sheetViews>
    <sheetView topLeftCell="A19" workbookViewId="0"/>
  </sheetViews>
  <sheetFormatPr baseColWidth="10" defaultColWidth="8.7109375" defaultRowHeight="16"/>
  <sheetData/>
  <printOptions horizontalCentered="1"/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4">
    <pageSetUpPr fitToPage="1"/>
  </sheetPr>
  <dimension ref="A1:BM134"/>
  <sheetViews>
    <sheetView zoomScaleNormal="100" workbookViewId="0"/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2.7109375" style="1" customWidth="1"/>
    <col min="12" max="12" width="10.28515625" style="1" bestFit="1" customWidth="1"/>
    <col min="13" max="14" width="9.7109375" style="1"/>
    <col min="15" max="18" width="12.7109375" style="1" customWidth="1"/>
    <col min="19" max="19" width="1.7109375" style="1" customWidth="1"/>
    <col min="20" max="24" width="12.7109375" style="1" customWidth="1"/>
    <col min="25" max="25" width="1.7109375" style="1" customWidth="1"/>
    <col min="26" max="33" width="12.7109375" style="1" customWidth="1"/>
    <col min="34" max="34" width="10.7109375" style="1" customWidth="1"/>
    <col min="35" max="37" width="12.7109375" style="1" customWidth="1"/>
    <col min="38" max="38" width="10.7109375" style="1" customWidth="1"/>
    <col min="39" max="42" width="15.7109375" style="1" customWidth="1"/>
    <col min="43" max="43" width="6.7109375" style="1" customWidth="1"/>
    <col min="44" max="51" width="15.7109375" style="1" customWidth="1"/>
    <col min="52" max="52" width="6.7109375" style="1" customWidth="1"/>
    <col min="53" max="60" width="15.7109375" style="1" customWidth="1"/>
    <col min="61" max="63" width="12.7109375" style="1" customWidth="1"/>
    <col min="64" max="16384" width="8.7109375" style="1"/>
  </cols>
  <sheetData>
    <row r="1" spans="1:64">
      <c r="A1" s="1">
        <v>0</v>
      </c>
      <c r="K1" s="52" t="s">
        <v>121</v>
      </c>
    </row>
    <row r="2" spans="1:64">
      <c r="K2" s="64" t="s">
        <v>884</v>
      </c>
    </row>
    <row r="3" spans="1:64">
      <c r="K3" s="3"/>
    </row>
    <row r="4" spans="1:64" ht="16">
      <c r="A4" s="4" t="s">
        <v>1550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64">
      <c r="A5" s="5"/>
      <c r="B5" s="5"/>
      <c r="C5" s="5"/>
      <c r="D5" s="5"/>
      <c r="E5" s="5"/>
      <c r="F5" s="5"/>
      <c r="G5" s="5"/>
      <c r="H5" s="5"/>
      <c r="I5" s="5"/>
      <c r="J5" s="5"/>
      <c r="K5" s="5"/>
    </row>
    <row r="6" spans="1:64">
      <c r="A6" s="5" t="s">
        <v>754</v>
      </c>
      <c r="B6" s="5"/>
      <c r="C6" s="5"/>
      <c r="D6" s="5"/>
      <c r="E6" s="5"/>
      <c r="F6" s="5"/>
      <c r="G6" s="5"/>
      <c r="H6" s="5"/>
      <c r="I6" s="5"/>
      <c r="J6" s="5"/>
      <c r="K6" s="5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25" t="s">
        <v>738</v>
      </c>
      <c r="AI6" s="61"/>
      <c r="AJ6" s="61"/>
    </row>
    <row r="7" spans="1:64">
      <c r="A7" s="5" t="s">
        <v>118</v>
      </c>
      <c r="B7" s="5"/>
      <c r="C7" s="5"/>
      <c r="D7" s="5"/>
      <c r="E7" s="5"/>
      <c r="F7" s="5"/>
      <c r="G7" s="5"/>
      <c r="H7" s="5"/>
      <c r="I7" s="5"/>
      <c r="J7" s="5"/>
      <c r="K7" s="5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25" t="s">
        <v>9</v>
      </c>
      <c r="AI7" s="61"/>
      <c r="AJ7" s="61"/>
      <c r="AQ7" s="61"/>
      <c r="AZ7" s="25"/>
      <c r="BF7" s="25"/>
      <c r="BJ7" s="25"/>
    </row>
    <row r="8" spans="1:64" s="147" customFormat="1">
      <c r="A8" s="539"/>
      <c r="B8" s="539"/>
      <c r="C8" s="539"/>
      <c r="D8" s="539"/>
      <c r="E8" s="539"/>
      <c r="F8" s="539"/>
      <c r="G8" s="539"/>
      <c r="H8" s="539"/>
      <c r="I8" s="539"/>
      <c r="J8" s="539"/>
      <c r="K8" s="539"/>
      <c r="Q8" s="157"/>
      <c r="R8" s="157"/>
      <c r="S8" s="157"/>
      <c r="T8" s="157"/>
      <c r="U8" s="157"/>
      <c r="V8" s="157"/>
      <c r="W8" s="157"/>
      <c r="X8" s="157"/>
      <c r="Y8" s="157"/>
      <c r="Z8" s="157"/>
      <c r="AA8" s="157"/>
      <c r="AB8" s="157"/>
      <c r="AC8" s="157"/>
      <c r="AD8" s="157"/>
      <c r="AE8" s="157"/>
      <c r="AF8" s="157"/>
      <c r="AG8" s="157"/>
      <c r="AH8" s="540"/>
      <c r="AI8" s="157"/>
      <c r="AJ8" s="157"/>
      <c r="AQ8" s="157"/>
      <c r="AZ8" s="540"/>
      <c r="BF8" s="540"/>
      <c r="BJ8" s="540"/>
    </row>
    <row r="9" spans="1:64">
      <c r="A9" s="5"/>
      <c r="B9" s="5"/>
      <c r="C9" s="5"/>
      <c r="D9" s="5"/>
      <c r="E9" s="5"/>
      <c r="F9" s="5"/>
      <c r="G9" s="5"/>
      <c r="H9" s="5"/>
      <c r="I9" s="5"/>
      <c r="J9" s="5"/>
      <c r="K9" s="5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25"/>
      <c r="AI9" s="61"/>
      <c r="AJ9" s="61"/>
      <c r="AQ9" s="61"/>
      <c r="AZ9" s="25"/>
      <c r="BF9" s="25"/>
      <c r="BJ9" s="25"/>
    </row>
    <row r="10" spans="1:6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25"/>
      <c r="AI10" s="61"/>
      <c r="AJ10" s="61"/>
      <c r="AQ10" s="61"/>
      <c r="AZ10" s="25"/>
      <c r="BF10" s="25"/>
      <c r="BJ10" s="25"/>
    </row>
    <row r="11" spans="1:64">
      <c r="A11" s="201"/>
      <c r="B11" s="5"/>
      <c r="C11" s="5"/>
      <c r="D11" s="5"/>
      <c r="E11" s="5"/>
      <c r="F11" s="5"/>
      <c r="G11" s="5"/>
      <c r="H11" s="5"/>
      <c r="I11" s="5"/>
      <c r="J11" s="5"/>
      <c r="K11" s="5"/>
      <c r="Q11" s="61"/>
      <c r="R11" s="61"/>
      <c r="S11" s="25" t="s">
        <v>329</v>
      </c>
      <c r="T11" s="61"/>
      <c r="U11" s="61"/>
      <c r="V11" s="61"/>
      <c r="W11" s="61"/>
      <c r="X11" s="61"/>
      <c r="Y11" s="25" t="s">
        <v>478</v>
      </c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O11" s="25"/>
      <c r="AS11" s="25"/>
      <c r="AX11" s="25"/>
      <c r="BB11" s="25"/>
      <c r="BF11" s="25"/>
      <c r="BG11" s="25"/>
      <c r="BJ11" s="25"/>
      <c r="BK11" s="25"/>
    </row>
    <row r="12" spans="1:64">
      <c r="A12" s="6" t="s">
        <v>3</v>
      </c>
      <c r="B12" s="5"/>
      <c r="C12" s="2" t="s">
        <v>67</v>
      </c>
      <c r="E12" s="6" t="s">
        <v>14</v>
      </c>
      <c r="G12" s="2" t="s">
        <v>139</v>
      </c>
      <c r="H12" s="6"/>
      <c r="K12" s="6" t="s">
        <v>79</v>
      </c>
      <c r="Q12" s="61"/>
      <c r="R12" s="61"/>
      <c r="S12" s="25" t="s">
        <v>9</v>
      </c>
      <c r="T12" s="61"/>
      <c r="U12" s="61"/>
      <c r="V12" s="61"/>
      <c r="W12" s="61"/>
      <c r="X12" s="61"/>
      <c r="Y12" s="25" t="s">
        <v>9</v>
      </c>
      <c r="Z12" s="61"/>
      <c r="AA12" s="61"/>
      <c r="AB12" s="61"/>
      <c r="AC12" s="61"/>
      <c r="AD12" s="25" t="s">
        <v>2</v>
      </c>
      <c r="AE12" s="61"/>
      <c r="AF12" s="25" t="s">
        <v>2</v>
      </c>
      <c r="AG12" s="25"/>
      <c r="AH12" s="25" t="s">
        <v>2</v>
      </c>
      <c r="AI12" s="25"/>
      <c r="AN12" s="25"/>
      <c r="AO12" s="25"/>
      <c r="AP12" s="25"/>
      <c r="AQ12" s="61"/>
      <c r="AR12" s="25"/>
      <c r="AS12" s="25"/>
      <c r="AT12" s="25"/>
      <c r="AU12" s="25"/>
      <c r="AW12" s="25"/>
      <c r="AX12" s="25"/>
      <c r="AY12" s="25"/>
      <c r="AZ12" s="61"/>
      <c r="BA12" s="25"/>
      <c r="BB12" s="25"/>
      <c r="BC12" s="25"/>
      <c r="BD12" s="25"/>
      <c r="BF12" s="25"/>
      <c r="BG12" s="25"/>
      <c r="BJ12" s="25"/>
      <c r="BK12" s="25"/>
    </row>
    <row r="13" spans="1:64">
      <c r="A13" s="6" t="s">
        <v>4</v>
      </c>
      <c r="B13" s="5"/>
      <c r="C13" s="2" t="s">
        <v>55</v>
      </c>
      <c r="E13" s="6" t="s">
        <v>1644</v>
      </c>
      <c r="G13" s="6" t="s">
        <v>1644</v>
      </c>
      <c r="H13" s="6"/>
      <c r="I13" s="2" t="s">
        <v>381</v>
      </c>
      <c r="K13" s="6" t="s">
        <v>117</v>
      </c>
      <c r="Q13" s="25" t="s">
        <v>3</v>
      </c>
      <c r="R13" s="97" t="s">
        <v>67</v>
      </c>
      <c r="S13" s="97"/>
      <c r="T13" s="25" t="s">
        <v>14</v>
      </c>
      <c r="U13" s="25" t="s">
        <v>12</v>
      </c>
      <c r="V13" s="25" t="s">
        <v>381</v>
      </c>
      <c r="W13" s="25" t="s">
        <v>3</v>
      </c>
      <c r="X13" s="97" t="s">
        <v>67</v>
      </c>
      <c r="Y13" s="97"/>
      <c r="Z13" s="25" t="s">
        <v>14</v>
      </c>
      <c r="AA13" s="25" t="s">
        <v>12</v>
      </c>
      <c r="AB13" s="25" t="s">
        <v>381</v>
      </c>
      <c r="AC13" s="25"/>
      <c r="AD13" s="97" t="s">
        <v>67</v>
      </c>
      <c r="AE13" s="61"/>
      <c r="AF13" s="25" t="s">
        <v>706</v>
      </c>
      <c r="AG13" s="25"/>
      <c r="AH13" s="25" t="s">
        <v>706</v>
      </c>
      <c r="AI13" s="25"/>
      <c r="AM13" s="61"/>
      <c r="AN13" s="25"/>
      <c r="AO13" s="25"/>
      <c r="AP13" s="25"/>
      <c r="AQ13" s="61"/>
      <c r="AR13" s="25"/>
      <c r="AS13" s="25"/>
      <c r="AT13" s="25"/>
      <c r="AU13" s="25"/>
      <c r="AW13" s="25"/>
      <c r="AX13" s="25"/>
      <c r="AY13" s="25"/>
      <c r="AZ13" s="61"/>
      <c r="BA13" s="25"/>
      <c r="BB13" s="25"/>
      <c r="BC13" s="25"/>
      <c r="BD13" s="25"/>
      <c r="BE13" s="25"/>
      <c r="BF13" s="25"/>
      <c r="BG13" s="25"/>
      <c r="BI13" s="25"/>
      <c r="BJ13" s="25"/>
      <c r="BK13" s="25"/>
    </row>
    <row r="14" spans="1:64">
      <c r="A14" s="106" t="s">
        <v>27</v>
      </c>
      <c r="C14" s="106" t="s">
        <v>33</v>
      </c>
      <c r="E14" s="106" t="s">
        <v>36</v>
      </c>
      <c r="G14" s="118" t="s">
        <v>38</v>
      </c>
      <c r="I14" s="118" t="s">
        <v>40</v>
      </c>
      <c r="K14" s="118" t="s">
        <v>42</v>
      </c>
      <c r="Q14" s="25" t="s">
        <v>4</v>
      </c>
      <c r="R14" s="97" t="s">
        <v>55</v>
      </c>
      <c r="S14" s="97"/>
      <c r="T14" s="25" t="s">
        <v>1644</v>
      </c>
      <c r="U14" s="25" t="s">
        <v>1644</v>
      </c>
      <c r="V14" s="25" t="s">
        <v>1644</v>
      </c>
      <c r="W14" s="25" t="s">
        <v>4</v>
      </c>
      <c r="X14" s="97" t="s">
        <v>55</v>
      </c>
      <c r="Y14" s="97"/>
      <c r="Z14" s="25" t="s">
        <v>1644</v>
      </c>
      <c r="AA14" s="25" t="s">
        <v>1644</v>
      </c>
      <c r="AB14" s="25" t="s">
        <v>1644</v>
      </c>
      <c r="AC14" s="25"/>
      <c r="AD14" s="97" t="s">
        <v>55</v>
      </c>
      <c r="AE14" s="25" t="s">
        <v>18</v>
      </c>
      <c r="AF14" s="25" t="s">
        <v>14</v>
      </c>
      <c r="AG14" s="25" t="s">
        <v>18</v>
      </c>
      <c r="AH14" s="25" t="s">
        <v>12</v>
      </c>
      <c r="AI14" s="25" t="s">
        <v>18</v>
      </c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</row>
    <row r="15" spans="1:64">
      <c r="I15" s="61"/>
      <c r="Q15" s="142" t="s">
        <v>27</v>
      </c>
      <c r="R15" s="142" t="s">
        <v>33</v>
      </c>
      <c r="S15" s="142"/>
      <c r="T15" s="142" t="s">
        <v>36</v>
      </c>
      <c r="U15" s="142" t="s">
        <v>36</v>
      </c>
      <c r="V15" s="203" t="s">
        <v>38</v>
      </c>
      <c r="W15" s="142" t="s">
        <v>27</v>
      </c>
      <c r="X15" s="142" t="s">
        <v>33</v>
      </c>
      <c r="Y15" s="142"/>
      <c r="Z15" s="142" t="s">
        <v>36</v>
      </c>
      <c r="AA15" s="142" t="s">
        <v>36</v>
      </c>
      <c r="AB15" s="203" t="s">
        <v>38</v>
      </c>
      <c r="AC15" s="97"/>
      <c r="AD15" s="591">
        <f>-5</f>
        <v>-5</v>
      </c>
      <c r="AE15" s="202">
        <f>AD15-1</f>
        <v>-6</v>
      </c>
      <c r="AF15" s="202">
        <f t="shared" ref="AF15:AI15" si="0">AE15-1</f>
        <v>-7</v>
      </c>
      <c r="AG15" s="202">
        <f t="shared" si="0"/>
        <v>-8</v>
      </c>
      <c r="AH15" s="202">
        <f t="shared" si="0"/>
        <v>-9</v>
      </c>
      <c r="AI15" s="202">
        <f t="shared" si="0"/>
        <v>-10</v>
      </c>
      <c r="AM15" s="61"/>
      <c r="AN15" s="61"/>
      <c r="AO15" s="61"/>
      <c r="AP15" s="61"/>
      <c r="AQ15" s="61"/>
      <c r="AR15" s="61"/>
      <c r="AS15" s="61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</row>
    <row r="16" spans="1:64">
      <c r="A16" s="2" t="s">
        <v>2</v>
      </c>
      <c r="C16" s="147"/>
      <c r="E16" s="147"/>
      <c r="G16" s="497"/>
      <c r="I16" s="147"/>
      <c r="K16" s="147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M16" s="61"/>
      <c r="AN16" s="61"/>
      <c r="AO16" s="61"/>
      <c r="AP16" s="61"/>
      <c r="AQ16" s="61"/>
      <c r="BB16" s="18"/>
      <c r="BF16" s="46"/>
      <c r="BG16" s="137"/>
      <c r="BJ16" s="46"/>
      <c r="BK16" s="137"/>
    </row>
    <row r="17" spans="1:65">
      <c r="A17" s="6">
        <v>2012</v>
      </c>
      <c r="C17" s="16">
        <f>R43+X43</f>
        <v>0</v>
      </c>
      <c r="D17" s="16"/>
      <c r="E17" s="16">
        <f>T43+Z43</f>
        <v>0</v>
      </c>
      <c r="F17" s="16"/>
      <c r="G17" s="16">
        <f t="shared" ref="G17:G27" si="1">U43+AA43-E17</f>
        <v>0</v>
      </c>
      <c r="H17" s="16"/>
      <c r="I17" s="16">
        <f>C17-E17-G17</f>
        <v>0</v>
      </c>
      <c r="J17" s="16"/>
      <c r="K17" s="16">
        <f>C17-E17</f>
        <v>0</v>
      </c>
      <c r="Q17" s="97"/>
      <c r="R17" s="61"/>
      <c r="S17" s="61"/>
      <c r="T17" s="61"/>
      <c r="U17" s="61"/>
      <c r="V17" s="61"/>
      <c r="W17" s="97"/>
      <c r="X17" s="61"/>
      <c r="Y17" s="61"/>
      <c r="Z17" s="61"/>
      <c r="AA17" s="61"/>
      <c r="AB17" s="61"/>
      <c r="AC17" s="61"/>
      <c r="AD17" s="61"/>
      <c r="AE17" s="61"/>
      <c r="AF17" s="172"/>
      <c r="AG17" s="84"/>
      <c r="AH17" s="172"/>
      <c r="AI17" s="84"/>
      <c r="AM17" s="61"/>
      <c r="AN17" s="146"/>
      <c r="AO17" s="204"/>
      <c r="AP17" s="137"/>
      <c r="AQ17" s="18"/>
      <c r="AR17" s="18"/>
      <c r="AS17" s="18"/>
      <c r="AT17" s="18"/>
      <c r="AU17" s="20"/>
      <c r="AV17" s="61"/>
      <c r="AW17" s="46"/>
      <c r="AX17" s="46"/>
      <c r="AY17" s="137"/>
      <c r="BA17" s="18"/>
      <c r="BB17" s="18"/>
      <c r="BC17" s="18"/>
      <c r="BD17" s="17"/>
      <c r="BE17" s="25"/>
      <c r="BF17" s="26"/>
      <c r="BG17" s="137"/>
      <c r="BI17" s="25"/>
      <c r="BJ17" s="26"/>
      <c r="BK17" s="137"/>
    </row>
    <row r="18" spans="1:65">
      <c r="A18" s="6">
        <f t="shared" ref="A18:A27" si="2">A17+1</f>
        <v>2013</v>
      </c>
      <c r="C18" s="494">
        <f t="shared" ref="C18:C27" si="3">R44+X44</f>
        <v>2164.0630000000001</v>
      </c>
      <c r="D18" s="494"/>
      <c r="E18" s="494">
        <f t="shared" ref="E18:E27" si="4">T44+Z44</f>
        <v>2164.0630000000001</v>
      </c>
      <c r="F18" s="494"/>
      <c r="G18" s="494">
        <f t="shared" si="1"/>
        <v>0</v>
      </c>
      <c r="H18" s="494"/>
      <c r="I18" s="494">
        <f t="shared" ref="I18:I27" si="5">C18-E18-G18</f>
        <v>0</v>
      </c>
      <c r="J18" s="494"/>
      <c r="K18" s="494">
        <f t="shared" ref="K18:K26" si="6">C18-E18</f>
        <v>0</v>
      </c>
      <c r="P18" s="22"/>
      <c r="Q18" s="97" t="s">
        <v>2</v>
      </c>
      <c r="R18" s="69">
        <f>U18</f>
        <v>10079.66</v>
      </c>
      <c r="S18" s="69"/>
      <c r="T18" s="69">
        <f>'Exhibit B,2'!M58</f>
        <v>10079.66</v>
      </c>
      <c r="U18" s="69">
        <f>'Exhibit B,2'!O58</f>
        <v>10079.66</v>
      </c>
      <c r="V18" s="84"/>
      <c r="W18" s="97" t="s">
        <v>2</v>
      </c>
      <c r="X18" s="69">
        <f>AA18</f>
        <v>2700</v>
      </c>
      <c r="Y18" s="69"/>
      <c r="Z18" s="69">
        <f>AA18</f>
        <v>2700</v>
      </c>
      <c r="AA18" s="69">
        <v>2700</v>
      </c>
      <c r="AB18" s="84">
        <f>X18-AA18</f>
        <v>0</v>
      </c>
      <c r="AC18" s="84"/>
      <c r="AE18" s="61"/>
      <c r="AF18" s="172">
        <f>'Exhibit B,2'!AC58+'Exhibit B,3'!AS58</f>
        <v>37804.619999999995</v>
      </c>
      <c r="AG18" s="84">
        <f t="shared" ref="AG18:AG26" si="7">T18+Z18-AF18</f>
        <v>-25024.959999999995</v>
      </c>
      <c r="AH18" s="172">
        <f>'Exhibit B,2'!AD58+'Exhibit B,3'!AT58</f>
        <v>37804.619999999995</v>
      </c>
      <c r="AI18" s="84">
        <f t="shared" ref="AI18:AI28" si="8">U18+AA18-AH18</f>
        <v>-25024.959999999995</v>
      </c>
      <c r="AM18" s="61"/>
      <c r="AN18" s="146"/>
      <c r="AO18" s="204"/>
      <c r="AP18" s="137"/>
      <c r="AQ18" s="18"/>
      <c r="AR18" s="18"/>
      <c r="AS18" s="18"/>
      <c r="AT18" s="18"/>
      <c r="AU18" s="20"/>
      <c r="AV18" s="61"/>
      <c r="AW18" s="46"/>
      <c r="AX18" s="46"/>
      <c r="AY18" s="137"/>
      <c r="BA18" s="18"/>
      <c r="BB18" s="18"/>
      <c r="BC18" s="18"/>
      <c r="BD18" s="17"/>
      <c r="BE18" s="25"/>
      <c r="BF18" s="18"/>
      <c r="BG18" s="137"/>
      <c r="BI18" s="25"/>
      <c r="BJ18" s="18"/>
      <c r="BK18" s="137"/>
    </row>
    <row r="19" spans="1:65">
      <c r="A19" s="6">
        <f t="shared" si="2"/>
        <v>2014</v>
      </c>
      <c r="C19" s="494">
        <f t="shared" si="3"/>
        <v>333804.47813933349</v>
      </c>
      <c r="D19" s="494"/>
      <c r="E19" s="494">
        <f t="shared" si="4"/>
        <v>280648.42599999986</v>
      </c>
      <c r="F19" s="494"/>
      <c r="G19" s="494">
        <f t="shared" si="1"/>
        <v>51976.396000000008</v>
      </c>
      <c r="H19" s="494"/>
      <c r="I19" s="494">
        <f t="shared" si="5"/>
        <v>1179.656139333616</v>
      </c>
      <c r="J19" s="494"/>
      <c r="K19" s="494">
        <f t="shared" si="6"/>
        <v>53156.052139333624</v>
      </c>
      <c r="P19" s="147"/>
      <c r="Q19" s="25">
        <v>2013</v>
      </c>
      <c r="R19" s="69">
        <f>'Exhibit B,2'!U59</f>
        <v>8861.26</v>
      </c>
      <c r="S19" s="69"/>
      <c r="T19" s="69">
        <f>'Exhibit B,2'!M59</f>
        <v>8861.26</v>
      </c>
      <c r="U19" s="69">
        <f>'Exhibit B,2'!O59</f>
        <v>8861.26</v>
      </c>
      <c r="V19" s="84">
        <f t="shared" ref="V19:V28" si="9">R19-U19</f>
        <v>0</v>
      </c>
      <c r="W19" s="25">
        <v>2013</v>
      </c>
      <c r="X19" s="69">
        <f>'Exhibit B,3'!AI59</f>
        <v>1721</v>
      </c>
      <c r="Y19" s="69"/>
      <c r="Z19" s="69">
        <f>'Exhibit B,3'!O59+'Exhibit B,3'!Q59</f>
        <v>1721</v>
      </c>
      <c r="AA19" s="69">
        <f>'Exhibit B,3'!S59+'Exhibit B,3'!U59</f>
        <v>1721</v>
      </c>
      <c r="AB19" s="84">
        <f t="shared" ref="AB19:AB27" si="10">X19-AA19</f>
        <v>0</v>
      </c>
      <c r="AC19" s="84"/>
      <c r="AD19" s="84">
        <f>'Exhibit B,2'!AF59+'Exhibit B,3'!BV59</f>
        <v>10587.289285042754</v>
      </c>
      <c r="AE19" s="172">
        <f>R19+X19-AD19</f>
        <v>-5.0292850427540543</v>
      </c>
      <c r="AF19" s="172">
        <f>'Exhibit B,2'!AC59+'Exhibit B,3'!AS59</f>
        <v>10582.26</v>
      </c>
      <c r="AG19" s="84">
        <f t="shared" si="7"/>
        <v>0</v>
      </c>
      <c r="AH19" s="172">
        <f>'Exhibit B,2'!AD59+'Exhibit B,3'!AT59</f>
        <v>10582.26</v>
      </c>
      <c r="AI19" s="84">
        <f t="shared" si="8"/>
        <v>0</v>
      </c>
      <c r="AK19" s="18"/>
      <c r="AL19" s="22"/>
      <c r="AM19" s="172"/>
      <c r="AN19" s="590"/>
      <c r="AO19" s="204"/>
      <c r="AP19" s="137"/>
      <c r="AQ19" s="18"/>
      <c r="AR19" s="18"/>
      <c r="AS19" s="18"/>
      <c r="AT19" s="18"/>
      <c r="AU19" s="20"/>
      <c r="AV19" s="61"/>
      <c r="AW19" s="46"/>
      <c r="AX19" s="46"/>
      <c r="AY19" s="137"/>
      <c r="BA19" s="18"/>
      <c r="BB19" s="18"/>
      <c r="BC19" s="18"/>
      <c r="BD19" s="17"/>
      <c r="BE19" s="25"/>
      <c r="BF19" s="18"/>
      <c r="BG19" s="137"/>
      <c r="BI19" s="25"/>
      <c r="BJ19" s="18"/>
      <c r="BK19" s="137"/>
    </row>
    <row r="20" spans="1:65">
      <c r="A20" s="6">
        <f t="shared" si="2"/>
        <v>2015</v>
      </c>
      <c r="C20" s="494">
        <f t="shared" si="3"/>
        <v>192607.58103783129</v>
      </c>
      <c r="D20" s="494"/>
      <c r="E20" s="494">
        <f t="shared" si="4"/>
        <v>189302.1404999998</v>
      </c>
      <c r="F20" s="494"/>
      <c r="G20" s="494">
        <f t="shared" si="1"/>
        <v>1870.7000000000116</v>
      </c>
      <c r="H20" s="494"/>
      <c r="I20" s="494">
        <f t="shared" si="5"/>
        <v>1434.7405378314725</v>
      </c>
      <c r="J20" s="494"/>
      <c r="K20" s="494">
        <f t="shared" si="6"/>
        <v>3305.4405378314841</v>
      </c>
      <c r="P20" s="147"/>
      <c r="Q20" s="25">
        <f t="shared" ref="Q20:Q28" si="11">Q19+1</f>
        <v>2014</v>
      </c>
      <c r="R20" s="69">
        <f>'Exhibit B,2'!U60</f>
        <v>4080771.4028141932</v>
      </c>
      <c r="S20" s="69"/>
      <c r="T20" s="69">
        <f>'Exhibit B,2'!M60</f>
        <v>4078500.86</v>
      </c>
      <c r="U20" s="69">
        <f>'Exhibit B,2'!O60</f>
        <v>4078500.86</v>
      </c>
      <c r="V20" s="84">
        <f t="shared" si="9"/>
        <v>2270.5428141932935</v>
      </c>
      <c r="W20" s="25">
        <f t="shared" ref="W20:W28" si="12">W19+1</f>
        <v>2014</v>
      </c>
      <c r="X20" s="69">
        <f>'Exhibit B,3'!AI60</f>
        <v>1121322.5799724818</v>
      </c>
      <c r="Y20" s="69"/>
      <c r="Z20" s="69">
        <f>'Exhibit B,3'!O60+'Exhibit B,3'!Q60</f>
        <v>60472.08</v>
      </c>
      <c r="AA20" s="69">
        <f>'Exhibit B,3'!S60+'Exhibit B,3'!U60</f>
        <v>1100000</v>
      </c>
      <c r="AB20" s="84">
        <f t="shared" si="10"/>
        <v>21322.579972481821</v>
      </c>
      <c r="AC20" s="84"/>
      <c r="AD20" s="84">
        <f>'Exhibit B,2'!AF60+'Exhibit B,3'!BV60</f>
        <v>4280632.6553441789</v>
      </c>
      <c r="AE20" s="172">
        <f t="shared" ref="AE20:AE27" si="13">R20+X20-AD20</f>
        <v>921461.32744249608</v>
      </c>
      <c r="AF20" s="172">
        <f>'Exhibit B,2'!AC60+'Exhibit B,3'!AS60</f>
        <v>4135522.44</v>
      </c>
      <c r="AG20" s="84">
        <f t="shared" si="7"/>
        <v>3450.5</v>
      </c>
      <c r="AH20" s="172">
        <f>'Exhibit B,2'!AD60+'Exhibit B,3'!AT60</f>
        <v>4252500.8599999994</v>
      </c>
      <c r="AI20" s="84">
        <f t="shared" si="8"/>
        <v>926000</v>
      </c>
      <c r="AK20" s="18"/>
      <c r="AL20" s="22"/>
      <c r="AM20" s="172"/>
      <c r="AN20" s="590"/>
      <c r="AO20" s="204"/>
      <c r="AP20" s="137"/>
      <c r="AQ20" s="18"/>
      <c r="AR20" s="18"/>
      <c r="AS20" s="18"/>
      <c r="AT20" s="18"/>
      <c r="AU20" s="20"/>
      <c r="AV20" s="61"/>
      <c r="AW20" s="46"/>
      <c r="AX20" s="46"/>
      <c r="AY20" s="137"/>
      <c r="BA20" s="18"/>
      <c r="BB20" s="18"/>
      <c r="BC20" s="18"/>
      <c r="BD20" s="17"/>
      <c r="BE20" s="25"/>
      <c r="BF20" s="18"/>
      <c r="BG20" s="137"/>
      <c r="BI20" s="25"/>
      <c r="BJ20" s="18"/>
      <c r="BK20" s="137"/>
    </row>
    <row r="21" spans="1:65">
      <c r="A21" s="6">
        <f t="shared" si="2"/>
        <v>2016</v>
      </c>
      <c r="C21" s="494">
        <f t="shared" si="3"/>
        <v>810993.50086355233</v>
      </c>
      <c r="D21" s="494"/>
      <c r="E21" s="494">
        <f t="shared" si="4"/>
        <v>775136.27700000093</v>
      </c>
      <c r="F21" s="494"/>
      <c r="G21" s="494">
        <f t="shared" si="1"/>
        <v>26330.729499999434</v>
      </c>
      <c r="H21" s="494"/>
      <c r="I21" s="494">
        <f t="shared" si="5"/>
        <v>9526.4943635519594</v>
      </c>
      <c r="J21" s="494"/>
      <c r="K21" s="494">
        <f t="shared" si="6"/>
        <v>35857.223863551393</v>
      </c>
      <c r="P21" s="147"/>
      <c r="Q21" s="25">
        <f t="shared" si="11"/>
        <v>2015</v>
      </c>
      <c r="R21" s="69">
        <f>'Exhibit B,2'!U61</f>
        <v>2723474.7589555625</v>
      </c>
      <c r="S21" s="69"/>
      <c r="T21" s="69">
        <f>'Exhibit B,2'!M61</f>
        <v>2710527.3699999996</v>
      </c>
      <c r="U21" s="69">
        <f>'Exhibit B,2'!O61</f>
        <v>2710527.3699999996</v>
      </c>
      <c r="V21" s="84">
        <f t="shared" si="9"/>
        <v>12947.388955562841</v>
      </c>
      <c r="W21" s="25">
        <f t="shared" si="12"/>
        <v>2015</v>
      </c>
      <c r="X21" s="69">
        <f>'Exhibit B,3'!AI61</f>
        <v>412303.16180106939</v>
      </c>
      <c r="Y21" s="69"/>
      <c r="Z21" s="69">
        <f>'Exhibit B,3'!O61+'Exhibit B,3'!Q61</f>
        <v>359141.74</v>
      </c>
      <c r="AA21" s="69">
        <f>'Exhibit B,3'!S61+'Exhibit B,3'!U61</f>
        <v>396555.74</v>
      </c>
      <c r="AB21" s="84">
        <f t="shared" si="10"/>
        <v>15747.421801069402</v>
      </c>
      <c r="AC21" s="84"/>
      <c r="AD21" s="84">
        <f>'Exhibit B,2'!AF61+'Exhibit B,3'!BV61</f>
        <v>3178556.4296427616</v>
      </c>
      <c r="AE21" s="172">
        <f t="shared" si="13"/>
        <v>-42778.508886129595</v>
      </c>
      <c r="AF21" s="172">
        <f>'Exhibit B,2'!AC61+'Exhibit B,3'!AS61</f>
        <v>3054468.1099999994</v>
      </c>
      <c r="AG21" s="84">
        <f t="shared" si="7"/>
        <v>15201</v>
      </c>
      <c r="AH21" s="172">
        <f>'Exhibit B,2'!AD61+'Exhibit B,3'!AT61</f>
        <v>3096958.1099999994</v>
      </c>
      <c r="AI21" s="84">
        <f t="shared" si="8"/>
        <v>10125</v>
      </c>
      <c r="AK21" s="18"/>
      <c r="AL21" s="22"/>
      <c r="AM21" s="172"/>
      <c r="AN21" s="590"/>
      <c r="AO21" s="204"/>
      <c r="AP21" s="137"/>
      <c r="AQ21" s="18"/>
      <c r="AR21" s="18"/>
      <c r="AS21" s="18"/>
      <c r="AT21" s="18"/>
      <c r="AU21" s="20"/>
      <c r="AV21" s="61"/>
      <c r="AW21" s="46"/>
      <c r="AX21" s="46"/>
      <c r="AY21" s="137"/>
      <c r="BA21" s="18"/>
      <c r="BB21" s="18"/>
      <c r="BC21" s="18"/>
      <c r="BD21" s="17"/>
      <c r="BE21" s="25"/>
      <c r="BF21" s="18"/>
      <c r="BG21" s="137"/>
      <c r="BI21" s="25"/>
      <c r="BJ21" s="18"/>
      <c r="BK21" s="137"/>
    </row>
    <row r="22" spans="1:65">
      <c r="A22" s="6">
        <f t="shared" si="2"/>
        <v>2017</v>
      </c>
      <c r="C22" s="494">
        <f t="shared" si="3"/>
        <v>780587.64750201395</v>
      </c>
      <c r="D22" s="494"/>
      <c r="E22" s="494">
        <f t="shared" si="4"/>
        <v>671429.50299999968</v>
      </c>
      <c r="F22" s="494"/>
      <c r="G22" s="494">
        <f t="shared" si="1"/>
        <v>105473.42050000117</v>
      </c>
      <c r="H22" s="494"/>
      <c r="I22" s="494">
        <f t="shared" si="5"/>
        <v>3684.7240020130994</v>
      </c>
      <c r="J22" s="494"/>
      <c r="K22" s="494">
        <f t="shared" si="6"/>
        <v>109158.14450201427</v>
      </c>
      <c r="P22" s="147"/>
      <c r="Q22" s="25">
        <f t="shared" si="11"/>
        <v>2016</v>
      </c>
      <c r="R22" s="69">
        <f>'Exhibit B,2'!U62</f>
        <v>3068410.5511858538</v>
      </c>
      <c r="S22" s="69"/>
      <c r="T22" s="69">
        <f>'Exhibit B,2'!M62</f>
        <v>3014251.8099999996</v>
      </c>
      <c r="U22" s="69">
        <f>'Exhibit B,2'!O62</f>
        <v>3014251.8099999996</v>
      </c>
      <c r="V22" s="84">
        <f t="shared" si="9"/>
        <v>54158.741185854189</v>
      </c>
      <c r="W22" s="25">
        <f t="shared" si="12"/>
        <v>2016</v>
      </c>
      <c r="X22" s="69">
        <f>'Exhibit B,3'!AI62</f>
        <v>12555483.716085177</v>
      </c>
      <c r="Y22" s="69"/>
      <c r="Z22" s="69">
        <f>'Exhibit B,3'!O62+'Exhibit B,3'!Q62</f>
        <v>11892497.98</v>
      </c>
      <c r="AA22" s="69">
        <f>'Exhibit B,3'!S62+'Exhibit B,3'!U62</f>
        <v>12419112.57</v>
      </c>
      <c r="AB22" s="84">
        <f t="shared" si="10"/>
        <v>136371.14608517662</v>
      </c>
      <c r="AC22" s="84"/>
      <c r="AD22" s="84">
        <f>'Exhibit B,2'!AF62+'Exhibit B,3'!BV62</f>
        <v>16127458.372633513</v>
      </c>
      <c r="AE22" s="172">
        <f t="shared" si="13"/>
        <v>-503564.10536248237</v>
      </c>
      <c r="AF22" s="172">
        <f>'Exhibit B,2'!AC62+'Exhibit B,3'!AS62</f>
        <v>13505461.479999997</v>
      </c>
      <c r="AG22" s="84">
        <f t="shared" si="7"/>
        <v>1401288.3100000024</v>
      </c>
      <c r="AH22" s="172">
        <f>'Exhibit B,2'!AD62+'Exhibit B,3'!AT62</f>
        <v>14904069.159999996</v>
      </c>
      <c r="AI22" s="84">
        <f t="shared" si="8"/>
        <v>529295.22000000253</v>
      </c>
      <c r="AK22" s="18"/>
      <c r="AL22" s="22"/>
      <c r="AM22" s="172"/>
      <c r="AN22" s="590"/>
      <c r="AO22" s="204"/>
      <c r="AP22" s="137"/>
      <c r="AQ22" s="18"/>
      <c r="AR22" s="18"/>
      <c r="AS22" s="18"/>
      <c r="AT22" s="18"/>
      <c r="AU22" s="20"/>
      <c r="AV22" s="61"/>
      <c r="AW22" s="46"/>
      <c r="AX22" s="46"/>
      <c r="AY22" s="137"/>
      <c r="BA22" s="18"/>
      <c r="BB22" s="18"/>
      <c r="BC22" s="18"/>
      <c r="BD22" s="17"/>
      <c r="BE22" s="25"/>
      <c r="BF22" s="18"/>
      <c r="BG22" s="137"/>
      <c r="BI22" s="25"/>
      <c r="BJ22" s="18"/>
      <c r="BK22" s="137"/>
    </row>
    <row r="23" spans="1:65">
      <c r="A23" s="6">
        <f t="shared" si="2"/>
        <v>2018</v>
      </c>
      <c r="C23" s="494">
        <f t="shared" si="3"/>
        <v>984951.9194561122</v>
      </c>
      <c r="D23" s="494"/>
      <c r="E23" s="494">
        <f t="shared" si="4"/>
        <v>389760.32200000033</v>
      </c>
      <c r="F23" s="494"/>
      <c r="G23" s="494">
        <f t="shared" si="1"/>
        <v>208543.40199999796</v>
      </c>
      <c r="H23" s="494"/>
      <c r="I23" s="494">
        <f t="shared" si="5"/>
        <v>386648.19545611384</v>
      </c>
      <c r="J23" s="494"/>
      <c r="K23" s="494">
        <f t="shared" si="6"/>
        <v>595191.59745611181</v>
      </c>
      <c r="P23" s="147"/>
      <c r="Q23" s="25">
        <f t="shared" si="11"/>
        <v>2017</v>
      </c>
      <c r="R23" s="69">
        <f>'Exhibit B,2'!U63</f>
        <v>2129410.8872289904</v>
      </c>
      <c r="S23" s="69"/>
      <c r="T23" s="69">
        <f>'Exhibit B,2'!M63</f>
        <v>1785482.28</v>
      </c>
      <c r="U23" s="69">
        <f>'Exhibit B,2'!O63</f>
        <v>2037482.28</v>
      </c>
      <c r="V23" s="84">
        <f t="shared" si="9"/>
        <v>91928.607228990411</v>
      </c>
      <c r="W23" s="25">
        <f t="shared" si="12"/>
        <v>2017</v>
      </c>
      <c r="X23" s="69">
        <f>'Exhibit B,3'!AI63</f>
        <v>8501095.9828112647</v>
      </c>
      <c r="Y23" s="69"/>
      <c r="Z23" s="69">
        <f>'Exhibit B,3'!O63+'Exhibit B,3'!Q63</f>
        <v>6661861.6999999993</v>
      </c>
      <c r="AA23" s="69">
        <f>'Exhibit B,3'!S63+'Exhibit B,3'!U63</f>
        <v>8519330.1099999994</v>
      </c>
      <c r="AB23" s="84">
        <f t="shared" si="10"/>
        <v>-18234.12718873471</v>
      </c>
      <c r="AC23" s="84"/>
      <c r="AD23" s="84">
        <f>'Exhibit B,2'!AF63+'Exhibit B,3'!BV63</f>
        <v>11784435.853513235</v>
      </c>
      <c r="AE23" s="172">
        <f t="shared" si="13"/>
        <v>-1153928.9834729806</v>
      </c>
      <c r="AF23" s="172">
        <f>'Exhibit B,2'!AC63+'Exhibit B,3'!AS63</f>
        <v>8176905.3399999999</v>
      </c>
      <c r="AG23" s="84">
        <f t="shared" si="7"/>
        <v>270438.63999999873</v>
      </c>
      <c r="AH23" s="172">
        <f>'Exhibit B,2'!AD63+'Exhibit B,3'!AT63</f>
        <v>9287477.6199999992</v>
      </c>
      <c r="AI23" s="84">
        <f t="shared" si="8"/>
        <v>1269334.7699999996</v>
      </c>
      <c r="AK23" s="18"/>
      <c r="AL23" s="22"/>
      <c r="AM23" s="172"/>
      <c r="AN23" s="590"/>
      <c r="AO23" s="204"/>
      <c r="AP23" s="137"/>
      <c r="AQ23" s="18"/>
      <c r="AR23" s="18"/>
      <c r="AS23" s="18"/>
      <c r="AT23" s="18"/>
      <c r="AU23" s="20"/>
      <c r="AV23" s="61"/>
      <c r="AW23" s="46"/>
      <c r="AX23" s="46"/>
      <c r="AY23" s="137"/>
      <c r="BA23" s="18"/>
      <c r="BB23" s="18"/>
      <c r="BC23" s="18"/>
      <c r="BD23" s="17"/>
      <c r="BE23" s="25"/>
      <c r="BF23" s="18"/>
      <c r="BG23" s="137"/>
      <c r="BI23" s="25"/>
      <c r="BJ23" s="18"/>
      <c r="BK23" s="137"/>
    </row>
    <row r="24" spans="1:65">
      <c r="A24" s="6">
        <f t="shared" si="2"/>
        <v>2019</v>
      </c>
      <c r="C24" s="494">
        <f t="shared" si="3"/>
        <v>1091018.7801808319</v>
      </c>
      <c r="D24" s="494"/>
      <c r="E24" s="494">
        <f t="shared" si="4"/>
        <v>540526.69899999967</v>
      </c>
      <c r="F24" s="494"/>
      <c r="G24" s="494">
        <f t="shared" si="1"/>
        <v>116858.93950000021</v>
      </c>
      <c r="H24" s="494"/>
      <c r="I24" s="494">
        <f t="shared" si="5"/>
        <v>433633.14168083202</v>
      </c>
      <c r="J24" s="494"/>
      <c r="K24" s="494">
        <f t="shared" si="6"/>
        <v>550492.08118083223</v>
      </c>
      <c r="P24" s="147"/>
      <c r="Q24" s="25">
        <f t="shared" si="11"/>
        <v>2018</v>
      </c>
      <c r="R24" s="69">
        <f>'Exhibit B,2'!U64</f>
        <v>639833.15461529314</v>
      </c>
      <c r="S24" s="69"/>
      <c r="T24" s="69">
        <f>'Exhibit B,2'!M64</f>
        <v>91450.640000000014</v>
      </c>
      <c r="U24" s="69">
        <f>'Exhibit B,2'!O64</f>
        <v>91450.640000000014</v>
      </c>
      <c r="V24" s="84">
        <f t="shared" si="9"/>
        <v>548382.51461529313</v>
      </c>
      <c r="W24" s="25">
        <f t="shared" si="12"/>
        <v>2018</v>
      </c>
      <c r="X24" s="69">
        <f>'Exhibit B,3'!AI64</f>
        <v>18364799.504506961</v>
      </c>
      <c r="Y24" s="69"/>
      <c r="Z24" s="69">
        <f>'Exhibit B,3'!O64+'Exhibit B,3'!Q64</f>
        <v>7009350.0700000003</v>
      </c>
      <c r="AA24" s="69">
        <f>'Exhibit B,3'!S64+'Exhibit B,3'!U64</f>
        <v>11180218.109999999</v>
      </c>
      <c r="AB24" s="84">
        <f t="shared" si="10"/>
        <v>7184581.3945069611</v>
      </c>
      <c r="AC24" s="84"/>
      <c r="AD24" s="84">
        <f>'Exhibit B,2'!AF64+'Exhibit B,3'!BV64</f>
        <v>14306748.240003454</v>
      </c>
      <c r="AE24" s="172">
        <f t="shared" si="13"/>
        <v>4697884.4191188011</v>
      </c>
      <c r="AF24" s="172">
        <f>'Exhibit B,2'!AC64+'Exhibit B,3'!AS64</f>
        <v>5719840.2000000002</v>
      </c>
      <c r="AG24" s="84">
        <f t="shared" si="7"/>
        <v>1380960.5099999998</v>
      </c>
      <c r="AH24" s="172">
        <f>'Exhibit B,2'!AD64+'Exhibit B,3'!AT64</f>
        <v>6448014.5799999991</v>
      </c>
      <c r="AI24" s="84">
        <f t="shared" si="8"/>
        <v>4823654.1700000009</v>
      </c>
      <c r="AK24" s="18"/>
      <c r="AL24" s="22"/>
      <c r="AM24" s="172"/>
      <c r="AN24" s="590"/>
      <c r="AO24" s="204"/>
      <c r="AP24" s="137"/>
      <c r="AQ24" s="18"/>
      <c r="AR24" s="18"/>
      <c r="AS24" s="18"/>
      <c r="AT24" s="18"/>
      <c r="AU24" s="20"/>
      <c r="AV24" s="61"/>
      <c r="AW24" s="46"/>
      <c r="AX24" s="46"/>
      <c r="AY24" s="137"/>
      <c r="BA24" s="18"/>
      <c r="BB24" s="18"/>
      <c r="BC24" s="18"/>
      <c r="BD24" s="17"/>
      <c r="BE24" s="25"/>
      <c r="BF24" s="18"/>
      <c r="BG24" s="137"/>
      <c r="BI24" s="25"/>
      <c r="BJ24" s="18"/>
      <c r="BK24" s="137"/>
    </row>
    <row r="25" spans="1:65">
      <c r="A25" s="6">
        <f t="shared" si="2"/>
        <v>2020</v>
      </c>
      <c r="C25" s="494">
        <f t="shared" si="3"/>
        <v>493154.31919339718</v>
      </c>
      <c r="D25" s="494"/>
      <c r="E25" s="494">
        <f t="shared" si="4"/>
        <v>326376.64449999988</v>
      </c>
      <c r="F25" s="494"/>
      <c r="G25" s="494">
        <f t="shared" si="1"/>
        <v>15538.496500000008</v>
      </c>
      <c r="H25" s="494"/>
      <c r="I25" s="494">
        <f t="shared" si="5"/>
        <v>151239.1781933973</v>
      </c>
      <c r="J25" s="494"/>
      <c r="K25" s="494">
        <f t="shared" si="6"/>
        <v>166777.6746933973</v>
      </c>
      <c r="P25" s="147"/>
      <c r="Q25" s="25">
        <f t="shared" si="11"/>
        <v>2019</v>
      </c>
      <c r="R25" s="69">
        <f>'Exhibit B,2'!U65</f>
        <v>3964632.7639869782</v>
      </c>
      <c r="S25" s="69"/>
      <c r="T25" s="69">
        <f>'Exhibit B,2'!M65</f>
        <v>1918435.24</v>
      </c>
      <c r="U25" s="69">
        <f>'Exhibit B,2'!O65</f>
        <v>3419917.54</v>
      </c>
      <c r="V25" s="84">
        <f t="shared" si="9"/>
        <v>544715.22398697818</v>
      </c>
      <c r="W25" s="25">
        <f t="shared" si="12"/>
        <v>2019</v>
      </c>
      <c r="X25" s="69">
        <f>'Exhibit B,3'!AI65</f>
        <v>15169164.119629685</v>
      </c>
      <c r="Y25" s="69"/>
      <c r="Z25" s="69">
        <f>'Exhibit B,3'!O65+'Exhibit B,3'!Q65</f>
        <v>6205520.0199999996</v>
      </c>
      <c r="AA25" s="69">
        <f>'Exhibit B,3'!S65+'Exhibit B,3'!U65</f>
        <v>7041216.5099999998</v>
      </c>
      <c r="AB25" s="84">
        <f t="shared" si="10"/>
        <v>8127947.6096296851</v>
      </c>
      <c r="AC25" s="84"/>
      <c r="AD25" s="84">
        <f>'Exhibit B,2'!AF65+'Exhibit B,3'!BV65</f>
        <v>22000631.16001498</v>
      </c>
      <c r="AE25" s="172">
        <f t="shared" si="13"/>
        <v>-2866834.276398316</v>
      </c>
      <c r="AF25" s="172">
        <f>'Exhibit B,2'!AC65+'Exhibit B,3'!AS65</f>
        <v>4085884.8</v>
      </c>
      <c r="AG25" s="84">
        <f t="shared" si="7"/>
        <v>4038070.46</v>
      </c>
      <c r="AH25" s="172">
        <f>'Exhibit B,2'!AD65+'Exhibit B,3'!AT65</f>
        <v>8552296.5500000007</v>
      </c>
      <c r="AI25" s="84">
        <f t="shared" si="8"/>
        <v>1908837.5</v>
      </c>
      <c r="AK25" s="18"/>
      <c r="AL25" s="22"/>
      <c r="AM25" s="172"/>
      <c r="AN25" s="590"/>
      <c r="AO25" s="204"/>
      <c r="AP25" s="137"/>
      <c r="AQ25" s="18"/>
      <c r="AR25" s="18"/>
      <c r="AS25" s="18"/>
      <c r="AT25" s="18"/>
      <c r="AU25" s="20"/>
      <c r="AV25" s="61"/>
      <c r="AW25" s="46"/>
      <c r="AX25" s="46"/>
      <c r="AY25" s="137"/>
      <c r="BA25" s="18"/>
      <c r="BB25" s="18"/>
      <c r="BC25" s="18"/>
      <c r="BD25" s="17"/>
      <c r="BE25" s="25"/>
      <c r="BF25" s="18"/>
      <c r="BG25" s="137"/>
      <c r="BI25" s="25"/>
      <c r="BJ25" s="18"/>
      <c r="BK25" s="137"/>
    </row>
    <row r="26" spans="1:65">
      <c r="A26" s="6">
        <f t="shared" si="2"/>
        <v>2021</v>
      </c>
      <c r="C26" s="494">
        <f t="shared" si="3"/>
        <v>502595.9127489918</v>
      </c>
      <c r="D26" s="494"/>
      <c r="E26" s="494">
        <f t="shared" si="4"/>
        <v>65035.192000000214</v>
      </c>
      <c r="F26" s="494"/>
      <c r="G26" s="494">
        <f t="shared" si="1"/>
        <v>119593.31049999982</v>
      </c>
      <c r="H26" s="494"/>
      <c r="I26" s="494">
        <f t="shared" si="5"/>
        <v>317967.4102489918</v>
      </c>
      <c r="J26" s="494"/>
      <c r="K26" s="494">
        <f t="shared" si="6"/>
        <v>437560.72074899159</v>
      </c>
      <c r="P26" s="147"/>
      <c r="Q26" s="25">
        <f t="shared" si="11"/>
        <v>2020</v>
      </c>
      <c r="R26" s="69">
        <f>'Exhibit B,2'!U66</f>
        <v>1968568.5468710763</v>
      </c>
      <c r="S26" s="69"/>
      <c r="T26" s="69">
        <f>'Exhibit B,2'!M66</f>
        <v>1426777.8299999998</v>
      </c>
      <c r="U26" s="69">
        <f>'Exhibit B,2'!O66</f>
        <v>1463982.8299999998</v>
      </c>
      <c r="V26" s="84">
        <f t="shared" si="9"/>
        <v>504585.7168710765</v>
      </c>
      <c r="W26" s="25">
        <f t="shared" si="12"/>
        <v>2020</v>
      </c>
      <c r="X26" s="69">
        <f>'Exhibit B,3'!AI66</f>
        <v>2994269.0369968764</v>
      </c>
      <c r="Y26" s="69"/>
      <c r="Z26" s="69">
        <f>'Exhibit B,3'!O66+'Exhibit B,3'!Q66</f>
        <v>200506.26</v>
      </c>
      <c r="AA26" s="69">
        <f>'Exhibit B,3'!S66+'Exhibit B,3'!U66</f>
        <v>474071.19</v>
      </c>
      <c r="AB26" s="84">
        <f t="shared" si="10"/>
        <v>2520197.8469968764</v>
      </c>
      <c r="AC26" s="84"/>
      <c r="AD26" s="84">
        <f>'Exhibit B,2'!AF66+'Exhibit B,3'!BV66</f>
        <v>4165883.0660070339</v>
      </c>
      <c r="AE26" s="172">
        <f t="shared" si="13"/>
        <v>796954.51786091831</v>
      </c>
      <c r="AF26" s="172">
        <f>'Exhibit B,2'!AC66+'Exhibit B,3'!AS66</f>
        <v>480112.82</v>
      </c>
      <c r="AG26" s="84">
        <f t="shared" si="7"/>
        <v>1147171.2699999998</v>
      </c>
      <c r="AH26" s="172">
        <f>'Exhibit B,2'!AD66+'Exhibit B,3'!AT66</f>
        <v>862511.9</v>
      </c>
      <c r="AI26" s="84">
        <f t="shared" si="8"/>
        <v>1075542.1199999996</v>
      </c>
      <c r="AK26" s="18"/>
      <c r="AL26" s="22"/>
      <c r="AM26" s="172"/>
      <c r="AN26" s="590"/>
      <c r="AO26" s="204"/>
      <c r="AP26" s="137"/>
      <c r="AQ26" s="18"/>
      <c r="AR26" s="18"/>
      <c r="AS26" s="18"/>
      <c r="AT26" s="18"/>
      <c r="AU26" s="20"/>
      <c r="AV26" s="61"/>
      <c r="AW26" s="46"/>
      <c r="AX26" s="46"/>
      <c r="AY26" s="137"/>
      <c r="BB26" s="18"/>
      <c r="BC26" s="18"/>
      <c r="BD26" s="17"/>
      <c r="BE26" s="25"/>
      <c r="BF26" s="47"/>
      <c r="BG26" s="137"/>
      <c r="BI26" s="25"/>
      <c r="BJ26" s="47"/>
      <c r="BK26" s="137"/>
    </row>
    <row r="27" spans="1:65">
      <c r="A27" s="6">
        <f t="shared" si="2"/>
        <v>2022</v>
      </c>
      <c r="C27" s="494">
        <f t="shared" si="3"/>
        <v>247030.59534833173</v>
      </c>
      <c r="E27" s="494">
        <f t="shared" si="4"/>
        <v>1830.2750000000015</v>
      </c>
      <c r="G27" s="494">
        <f t="shared" si="1"/>
        <v>11337.349999999999</v>
      </c>
      <c r="I27" s="494">
        <f t="shared" si="5"/>
        <v>233862.97034833173</v>
      </c>
      <c r="K27" s="494">
        <f>C27-E27</f>
        <v>245200.32034833173</v>
      </c>
      <c r="P27" s="147"/>
      <c r="Q27" s="25">
        <f t="shared" si="11"/>
        <v>2021</v>
      </c>
      <c r="R27" s="69">
        <f>'Exhibit B,2'!U67</f>
        <v>5775365.8839251436</v>
      </c>
      <c r="S27" s="69"/>
      <c r="T27" s="69">
        <f>'Exhibit B,2'!M67</f>
        <v>1236199.73</v>
      </c>
      <c r="U27" s="69">
        <f>'Exhibit B,2'!O67</f>
        <v>3487415.05</v>
      </c>
      <c r="V27" s="84">
        <f t="shared" si="9"/>
        <v>2287950.8339251438</v>
      </c>
      <c r="W27" s="25">
        <f t="shared" si="12"/>
        <v>2021</v>
      </c>
      <c r="X27" s="69">
        <f>'Exhibit B,3'!AI67</f>
        <v>4214897.3710546708</v>
      </c>
      <c r="Y27" s="69"/>
      <c r="Z27" s="69">
        <f>'Exhibit B,3'!O67+'Exhibit B,3'!Q67</f>
        <v>2849.11</v>
      </c>
      <c r="AA27" s="69">
        <f>'Exhibit B,3'!S67+'Exhibit B,3'!U67</f>
        <v>143500</v>
      </c>
      <c r="AB27" s="84">
        <f t="shared" si="10"/>
        <v>4071397.3710546708</v>
      </c>
      <c r="AC27" s="84"/>
      <c r="AD27" s="84">
        <f>'Exhibit B,2'!AF67+'Exhibit B,3'!BV67</f>
        <v>4878197.1613501916</v>
      </c>
      <c r="AE27" s="172">
        <f t="shared" si="13"/>
        <v>5112066.0936296238</v>
      </c>
      <c r="AF27" s="172">
        <f>'Exhibit B,2'!AC67+'Exhibit B,3'!AS67</f>
        <v>37551.15</v>
      </c>
      <c r="AG27" s="84">
        <f>T27+Z27-AF27</f>
        <v>1201497.6900000002</v>
      </c>
      <c r="AH27" s="172">
        <f>'Exhibit B,2'!AD67+'Exhibit B,3'!AT67</f>
        <v>358113</v>
      </c>
      <c r="AI27" s="84">
        <f t="shared" si="8"/>
        <v>3272802.05</v>
      </c>
      <c r="AK27" s="18"/>
      <c r="AL27" s="22"/>
      <c r="AM27" s="172"/>
      <c r="AN27" s="590"/>
      <c r="AO27" s="61"/>
      <c r="AP27" s="61"/>
      <c r="AQ27" s="61"/>
      <c r="AR27" s="61"/>
      <c r="AS27" s="61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</row>
    <row r="28" spans="1:65">
      <c r="A28" s="6"/>
      <c r="P28" s="147"/>
      <c r="Q28" s="25">
        <f t="shared" si="11"/>
        <v>2022</v>
      </c>
      <c r="R28" s="69">
        <f>'Exhibit B,2'!U68</f>
        <v>2440970.4582306887</v>
      </c>
      <c r="S28" s="61"/>
      <c r="T28" s="69">
        <f>'Exhibit B,2'!M68</f>
        <v>36605.5</v>
      </c>
      <c r="U28" s="69">
        <f>'Exhibit B,2'!O68</f>
        <v>263352.5</v>
      </c>
      <c r="V28" s="84">
        <f t="shared" si="9"/>
        <v>2177617.9582306887</v>
      </c>
      <c r="W28" s="25">
        <f t="shared" si="12"/>
        <v>2022</v>
      </c>
      <c r="X28" s="69">
        <f>'Exhibit B,3'!AI68</f>
        <v>2499641.4487359389</v>
      </c>
      <c r="Y28" s="69"/>
      <c r="Z28" s="69">
        <f>'Exhibit B,3'!O68+'Exhibit B,3'!Q68</f>
        <v>0</v>
      </c>
      <c r="AA28" s="69">
        <f>'Exhibit B,3'!S68+'Exhibit B,3'!U68</f>
        <v>0</v>
      </c>
      <c r="AB28" s="84">
        <f t="shared" ref="AB28" si="14">X28-AA28</f>
        <v>2499641.4487359389</v>
      </c>
      <c r="AC28" s="84"/>
      <c r="AD28" s="84">
        <f>'Exhibit B,2'!AF68+'Exhibit B,3'!BV68</f>
        <v>0</v>
      </c>
      <c r="AE28" s="172"/>
      <c r="AF28" s="172">
        <f>'Exhibit B,2'!AC68+'Exhibit B,3'!AS68</f>
        <v>0</v>
      </c>
      <c r="AG28" s="84">
        <f>T28+Z28-AF28</f>
        <v>36605.5</v>
      </c>
      <c r="AH28" s="172">
        <f>'Exhibit B,2'!AD68+'Exhibit B,3'!AT68</f>
        <v>0</v>
      </c>
      <c r="AI28" s="84">
        <f t="shared" si="8"/>
        <v>263352.5</v>
      </c>
      <c r="AM28" s="61"/>
      <c r="AN28" s="61"/>
      <c r="AO28" s="61"/>
      <c r="AP28" s="61"/>
      <c r="AQ28" s="61"/>
      <c r="AR28" s="61"/>
      <c r="AS28" s="61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</row>
    <row r="29" spans="1:65">
      <c r="A29" s="6" t="s">
        <v>0</v>
      </c>
      <c r="C29" s="26">
        <f>SUM(C17:C27)</f>
        <v>5438908.7974703955</v>
      </c>
      <c r="E29" s="26">
        <f>SUM(E17:E27)</f>
        <v>3242209.5419999999</v>
      </c>
      <c r="G29" s="26">
        <f>SUM(G17:G27)</f>
        <v>657522.74449999863</v>
      </c>
      <c r="I29" s="26">
        <f>SUM(I17:I27)</f>
        <v>1539176.5109703969</v>
      </c>
      <c r="K29" s="26">
        <f>SUM(K17:K27)</f>
        <v>2196699.2554703956</v>
      </c>
      <c r="Q29" s="25"/>
      <c r="R29" s="61"/>
      <c r="S29" s="61"/>
      <c r="T29" s="61"/>
      <c r="U29" s="61"/>
      <c r="V29" s="61"/>
      <c r="W29" s="25"/>
      <c r="X29" s="61"/>
      <c r="Y29" s="61"/>
      <c r="Z29" s="61"/>
      <c r="AA29" s="61"/>
      <c r="AB29" s="61"/>
      <c r="AC29" s="61"/>
      <c r="AD29" s="61"/>
      <c r="AE29" s="61"/>
      <c r="AG29" s="61"/>
      <c r="AH29" s="61"/>
      <c r="AI29" s="61"/>
      <c r="BE29" s="25"/>
      <c r="BG29" s="84"/>
      <c r="BI29" s="25"/>
      <c r="BK29" s="84">
        <f>BK28-BK17</f>
        <v>0</v>
      </c>
    </row>
    <row r="30" spans="1:65">
      <c r="A30" s="6"/>
      <c r="C30" s="26"/>
      <c r="E30" s="26"/>
      <c r="G30" s="26"/>
      <c r="I30" s="26"/>
      <c r="K30" s="26"/>
      <c r="P30" s="84"/>
      <c r="Q30" s="25"/>
      <c r="R30" s="61"/>
      <c r="S30" s="61"/>
      <c r="T30" s="61"/>
      <c r="U30" s="61"/>
      <c r="V30" s="61"/>
      <c r="W30" s="25"/>
      <c r="X30" s="61"/>
      <c r="Y30" s="61"/>
      <c r="Z30" s="61"/>
      <c r="AA30" s="61"/>
      <c r="AB30" s="61"/>
      <c r="AC30" s="61"/>
      <c r="AD30" s="61"/>
      <c r="AE30" s="61"/>
      <c r="AG30" s="61"/>
      <c r="AH30" s="61"/>
      <c r="AI30" s="61"/>
      <c r="AK30" s="61"/>
    </row>
    <row r="31" spans="1:65">
      <c r="A31" s="6"/>
      <c r="C31" s="26"/>
      <c r="E31" s="26"/>
      <c r="G31" s="26"/>
      <c r="I31" s="26"/>
      <c r="K31" s="26"/>
      <c r="P31" s="84"/>
      <c r="Q31" s="25" t="s">
        <v>0</v>
      </c>
      <c r="R31" s="84">
        <f>SUM(R18:R28)</f>
        <v>26810379.327813778</v>
      </c>
      <c r="S31" s="61"/>
      <c r="T31" s="84">
        <f>SUM(T18:T28)</f>
        <v>16317172.18</v>
      </c>
      <c r="U31" s="84">
        <f>SUM(U18:U28)</f>
        <v>20585821.799999997</v>
      </c>
      <c r="V31" s="84">
        <f>SUM(V18:V28)</f>
        <v>6224557.5278137811</v>
      </c>
      <c r="W31" s="25" t="s">
        <v>0</v>
      </c>
      <c r="X31" s="84">
        <f>SUM(X18:X28)</f>
        <v>65837397.921594128</v>
      </c>
      <c r="Y31" s="61"/>
      <c r="Z31" s="84">
        <f>SUM(Z18:Z28)</f>
        <v>32396619.960000001</v>
      </c>
      <c r="AA31" s="84">
        <f>SUM(AA18:AA28)</f>
        <v>41278425.229999997</v>
      </c>
      <c r="AB31" s="84">
        <f>SUM(AB18:AB28)</f>
        <v>24558972.691594124</v>
      </c>
      <c r="AC31" s="84"/>
      <c r="AD31" s="84">
        <f t="shared" ref="AD31:AI31" si="15">SUM(AD18:AD28)</f>
        <v>80733130.227794394</v>
      </c>
      <c r="AE31" s="84">
        <f t="shared" si="15"/>
        <v>6961255.4546468882</v>
      </c>
      <c r="AF31" s="84">
        <f t="shared" si="15"/>
        <v>39244133.219999991</v>
      </c>
      <c r="AG31" s="84">
        <f t="shared" si="15"/>
        <v>9469658.9199999999</v>
      </c>
      <c r="AH31" s="84">
        <f t="shared" si="15"/>
        <v>47810328.659999989</v>
      </c>
      <c r="AI31" s="84">
        <f t="shared" si="15"/>
        <v>14053918.370000001</v>
      </c>
      <c r="AK31" s="61" t="s">
        <v>1646</v>
      </c>
      <c r="BE31" s="25"/>
      <c r="BF31" s="69"/>
      <c r="BG31" s="61"/>
    </row>
    <row r="32" spans="1:65">
      <c r="A32" s="23" t="s">
        <v>742</v>
      </c>
      <c r="K32" s="16">
        <f>0.05*K59</f>
        <v>69113.701679154634</v>
      </c>
      <c r="Q32" s="25" t="s">
        <v>119</v>
      </c>
      <c r="R32" s="84">
        <f>R31-R28-R91</f>
        <v>1488303.2861029617</v>
      </c>
      <c r="S32" s="61"/>
      <c r="T32" s="84"/>
      <c r="U32" s="84"/>
      <c r="V32" s="61"/>
      <c r="W32" s="25" t="s">
        <v>119</v>
      </c>
      <c r="X32" s="84">
        <f>X31-X28-X91</f>
        <v>5447927.208543919</v>
      </c>
      <c r="Y32" s="61"/>
      <c r="Z32" s="84"/>
      <c r="AA32" s="84"/>
      <c r="AB32" s="61"/>
      <c r="AC32" s="61"/>
      <c r="AD32" s="61"/>
      <c r="AE32" s="84"/>
      <c r="AF32" s="84"/>
      <c r="AG32" s="84"/>
      <c r="AH32" s="84"/>
      <c r="AI32" s="84"/>
      <c r="AK32" s="84">
        <v>-25024.629999998957</v>
      </c>
      <c r="AL32" s="61" t="s">
        <v>1645</v>
      </c>
      <c r="BE32" s="25"/>
      <c r="BF32" s="69"/>
      <c r="BG32" s="84"/>
    </row>
    <row r="33" spans="1:61">
      <c r="A33" s="3" t="s">
        <v>462</v>
      </c>
      <c r="K33" s="16">
        <v>0</v>
      </c>
      <c r="Q33" s="25" t="s">
        <v>1344</v>
      </c>
      <c r="R33" s="84"/>
      <c r="S33" s="84">
        <f>S31-S92</f>
        <v>0</v>
      </c>
      <c r="T33" s="84">
        <f>T31-T91</f>
        <v>3186387.7400000021</v>
      </c>
      <c r="U33" s="84">
        <f>U31-U91</f>
        <v>4243135.7999999989</v>
      </c>
      <c r="W33" s="25" t="s">
        <v>1344</v>
      </c>
      <c r="X33" s="84"/>
      <c r="Y33" s="84">
        <f>Y31-Y92</f>
        <v>0</v>
      </c>
      <c r="Z33" s="84">
        <f>Z31-Z91</f>
        <v>6283271.1800000034</v>
      </c>
      <c r="AA33" s="84">
        <f>AA31-AA91</f>
        <v>9810782.570000004</v>
      </c>
      <c r="AE33" s="61"/>
      <c r="AF33" s="84"/>
      <c r="AG33" s="84"/>
      <c r="AH33" s="84"/>
      <c r="AI33" s="84"/>
      <c r="AK33" s="61"/>
    </row>
    <row r="34" spans="1:61">
      <c r="A34" s="23" t="s">
        <v>741</v>
      </c>
      <c r="K34" s="105"/>
      <c r="Q34" s="25"/>
      <c r="R34" s="84"/>
      <c r="S34" s="61"/>
      <c r="T34" s="61"/>
      <c r="U34" s="61"/>
      <c r="V34" s="61"/>
      <c r="W34" s="61"/>
      <c r="X34" s="61"/>
      <c r="Y34" s="61"/>
      <c r="Z34" s="61"/>
      <c r="AA34" s="61"/>
      <c r="AE34" s="61"/>
      <c r="AF34" s="61"/>
      <c r="AG34" s="61"/>
      <c r="AH34" s="61"/>
      <c r="AI34" s="61"/>
      <c r="BA34" s="61"/>
      <c r="BB34" s="25"/>
      <c r="BC34" s="61"/>
      <c r="BD34" s="61"/>
      <c r="BE34" s="61"/>
      <c r="BG34" s="61"/>
      <c r="BI34" s="61"/>
    </row>
    <row r="35" spans="1:61">
      <c r="K35" s="66">
        <f>K29+K33</f>
        <v>2196699.2554703956</v>
      </c>
      <c r="R35" s="17"/>
      <c r="S35" s="61"/>
      <c r="T35" s="61"/>
      <c r="U35" s="22"/>
      <c r="V35" s="17"/>
      <c r="W35" s="84"/>
      <c r="X35" s="17"/>
      <c r="Y35" s="61"/>
      <c r="Z35" s="61"/>
      <c r="AB35" s="17"/>
      <c r="AC35" s="17"/>
      <c r="AD35" s="17"/>
      <c r="AE35" s="61"/>
      <c r="AF35" s="61"/>
      <c r="AG35" s="61"/>
      <c r="AH35" s="61"/>
      <c r="AI35" s="61"/>
      <c r="AM35" s="6"/>
      <c r="AN35" s="6"/>
      <c r="AO35" s="6"/>
      <c r="AP35" s="6"/>
      <c r="AQ35" s="6"/>
      <c r="AR35" s="6"/>
      <c r="AS35" s="6"/>
      <c r="AT35" s="6"/>
      <c r="AU35" s="6"/>
      <c r="AX35" s="25"/>
      <c r="BA35" s="61"/>
      <c r="BB35" s="25"/>
      <c r="BC35" s="61"/>
      <c r="BD35" s="61"/>
      <c r="BE35" s="61"/>
      <c r="BF35" s="25"/>
      <c r="BG35" s="61"/>
      <c r="BI35" s="61"/>
    </row>
    <row r="36" spans="1:61">
      <c r="B36" s="3"/>
      <c r="K36" s="184"/>
      <c r="Q36" s="61"/>
      <c r="R36" s="61"/>
      <c r="S36" s="25" t="s">
        <v>329</v>
      </c>
      <c r="T36" s="61"/>
      <c r="U36" s="61"/>
      <c r="V36" s="61"/>
      <c r="W36" s="61"/>
      <c r="X36" s="61"/>
      <c r="Y36" s="25" t="s">
        <v>478</v>
      </c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M36" s="25"/>
      <c r="AN36" s="25"/>
      <c r="AO36" s="25"/>
      <c r="AP36" s="25"/>
      <c r="AQ36" s="25"/>
      <c r="AR36" s="25"/>
      <c r="AS36" s="25"/>
      <c r="AT36" s="25"/>
      <c r="AU36" s="6"/>
      <c r="AX36" s="25"/>
      <c r="AY36" s="25"/>
      <c r="BB36" s="25"/>
      <c r="BC36" s="25"/>
      <c r="BF36" s="25"/>
      <c r="BG36" s="25"/>
    </row>
    <row r="37" spans="1:61">
      <c r="B37" s="3"/>
      <c r="F37" s="5" t="s">
        <v>77</v>
      </c>
      <c r="Q37" s="61"/>
      <c r="R37" s="61"/>
      <c r="S37" s="25" t="s">
        <v>17</v>
      </c>
      <c r="T37" s="61"/>
      <c r="U37" s="61"/>
      <c r="V37" s="61"/>
      <c r="W37" s="61"/>
      <c r="X37" s="61"/>
      <c r="Y37" s="25" t="s">
        <v>17</v>
      </c>
      <c r="Z37" s="61"/>
      <c r="AA37" s="61"/>
      <c r="AB37" s="61"/>
      <c r="AC37" s="61"/>
      <c r="AD37" s="61"/>
      <c r="AE37" s="61"/>
      <c r="AF37" s="25" t="s">
        <v>706</v>
      </c>
      <c r="AG37" s="25"/>
      <c r="AH37" s="25" t="s">
        <v>706</v>
      </c>
      <c r="AI37" s="25"/>
      <c r="AM37" s="25"/>
      <c r="AN37" s="25"/>
      <c r="AO37" s="25"/>
      <c r="AP37" s="25"/>
      <c r="AQ37" s="25"/>
      <c r="AR37" s="25"/>
      <c r="AS37" s="25"/>
      <c r="AT37" s="25"/>
      <c r="AU37" s="6"/>
      <c r="AX37" s="25"/>
      <c r="AY37" s="25"/>
      <c r="BB37" s="25"/>
      <c r="BC37" s="25"/>
      <c r="BF37" s="25"/>
      <c r="BG37" s="25"/>
    </row>
    <row r="38" spans="1:61">
      <c r="C38" s="5"/>
      <c r="Q38" s="25" t="s">
        <v>3</v>
      </c>
      <c r="R38" s="97" t="s">
        <v>67</v>
      </c>
      <c r="S38" s="97"/>
      <c r="T38" s="25" t="s">
        <v>14</v>
      </c>
      <c r="U38" s="25" t="s">
        <v>12</v>
      </c>
      <c r="V38" s="25" t="s">
        <v>381</v>
      </c>
      <c r="W38" s="25" t="s">
        <v>3</v>
      </c>
      <c r="X38" s="97" t="s">
        <v>67</v>
      </c>
      <c r="Y38" s="97"/>
      <c r="Z38" s="25" t="s">
        <v>14</v>
      </c>
      <c r="AA38" s="25" t="s">
        <v>12</v>
      </c>
      <c r="AB38" s="25" t="s">
        <v>381</v>
      </c>
      <c r="AC38" s="25"/>
      <c r="AD38" s="25"/>
      <c r="AE38" s="61"/>
      <c r="AF38" s="25" t="s">
        <v>14</v>
      </c>
      <c r="AG38" s="25"/>
      <c r="AH38" s="25" t="s">
        <v>12</v>
      </c>
      <c r="AI38" s="25"/>
      <c r="AL38" s="408"/>
      <c r="AM38" s="408"/>
      <c r="AN38" s="408"/>
      <c r="AO38" s="408"/>
      <c r="AP38" s="408"/>
      <c r="AQ38" s="25"/>
      <c r="AR38" s="25"/>
      <c r="AS38" s="25"/>
      <c r="AT38" s="25"/>
      <c r="AU38" s="25"/>
      <c r="AW38" s="25"/>
      <c r="AX38" s="25"/>
      <c r="AY38" s="25"/>
      <c r="BA38" s="25"/>
      <c r="BB38" s="25"/>
      <c r="BC38" s="25"/>
      <c r="BE38" s="25"/>
      <c r="BF38" s="25"/>
      <c r="BG38" s="25"/>
    </row>
    <row r="39" spans="1:61">
      <c r="A39" s="6" t="s">
        <v>3</v>
      </c>
      <c r="B39" s="5"/>
      <c r="C39" s="2" t="s">
        <v>67</v>
      </c>
      <c r="E39" s="6" t="s">
        <v>14</v>
      </c>
      <c r="G39" s="2" t="s">
        <v>139</v>
      </c>
      <c r="H39" s="6"/>
      <c r="K39" s="6" t="s">
        <v>79</v>
      </c>
      <c r="Q39" s="25" t="s">
        <v>4</v>
      </c>
      <c r="R39" s="97" t="s">
        <v>55</v>
      </c>
      <c r="S39" s="97"/>
      <c r="T39" s="25" t="s">
        <v>1644</v>
      </c>
      <c r="U39" s="25" t="s">
        <v>1644</v>
      </c>
      <c r="V39" s="25" t="s">
        <v>1644</v>
      </c>
      <c r="W39" s="25" t="s">
        <v>4</v>
      </c>
      <c r="X39" s="97" t="s">
        <v>55</v>
      </c>
      <c r="Y39" s="97"/>
      <c r="Z39" s="25" t="s">
        <v>1644</v>
      </c>
      <c r="AA39" s="25" t="s">
        <v>1644</v>
      </c>
      <c r="AB39" s="25" t="s">
        <v>1644</v>
      </c>
      <c r="AC39" s="25"/>
      <c r="AD39" s="25"/>
      <c r="AE39" s="61"/>
      <c r="AF39" s="25" t="s">
        <v>1369</v>
      </c>
      <c r="AG39" s="25" t="s">
        <v>18</v>
      </c>
      <c r="AH39" s="25" t="s">
        <v>1369</v>
      </c>
      <c r="AI39" s="25" t="s">
        <v>18</v>
      </c>
      <c r="AL39" s="409"/>
      <c r="AM39" s="409"/>
      <c r="AN39" s="409"/>
      <c r="AO39" s="409"/>
      <c r="AP39" s="409"/>
      <c r="AQ39" s="25"/>
      <c r="AR39" s="25"/>
      <c r="AS39" s="25"/>
      <c r="AT39" s="6"/>
      <c r="AU39" s="25"/>
      <c r="AV39" s="61"/>
      <c r="AW39" s="25"/>
      <c r="AX39" s="25"/>
      <c r="AY39" s="25"/>
      <c r="BA39" s="25"/>
      <c r="BB39" s="25"/>
      <c r="BC39" s="25"/>
      <c r="BD39" s="17"/>
      <c r="BE39" s="25"/>
      <c r="BF39" s="25"/>
      <c r="BG39" s="25"/>
    </row>
    <row r="40" spans="1:61" ht="16">
      <c r="A40" s="6" t="s">
        <v>4</v>
      </c>
      <c r="B40" s="5"/>
      <c r="C40" s="2" t="s">
        <v>55</v>
      </c>
      <c r="E40" s="6" t="s">
        <v>1644</v>
      </c>
      <c r="G40" s="6" t="s">
        <v>1644</v>
      </c>
      <c r="H40" s="6"/>
      <c r="I40" s="2" t="s">
        <v>381</v>
      </c>
      <c r="K40" s="6" t="s">
        <v>117</v>
      </c>
      <c r="Q40" s="142" t="s">
        <v>27</v>
      </c>
      <c r="R40" s="142" t="s">
        <v>33</v>
      </c>
      <c r="S40" s="142"/>
      <c r="T40" s="142" t="s">
        <v>36</v>
      </c>
      <c r="U40" s="142" t="s">
        <v>36</v>
      </c>
      <c r="V40" s="203" t="s">
        <v>38</v>
      </c>
      <c r="W40" s="142" t="s">
        <v>27</v>
      </c>
      <c r="X40" s="142" t="s">
        <v>33</v>
      </c>
      <c r="Y40" s="142"/>
      <c r="Z40" s="142" t="s">
        <v>36</v>
      </c>
      <c r="AA40" s="142" t="s">
        <v>36</v>
      </c>
      <c r="AB40" s="203" t="s">
        <v>38</v>
      </c>
      <c r="AC40" s="97"/>
      <c r="AD40" s="97"/>
      <c r="AE40" s="61"/>
      <c r="AF40" s="202">
        <v>-4</v>
      </c>
      <c r="AG40" s="202">
        <v>-5</v>
      </c>
      <c r="AH40" s="202">
        <v>-4</v>
      </c>
      <c r="AI40" s="202">
        <v>-5</v>
      </c>
      <c r="AL40" s="360"/>
      <c r="AM40" s="364"/>
      <c r="AN40" s="360"/>
      <c r="AO40" s="360"/>
      <c r="AP40" s="360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</row>
    <row r="41" spans="1:61" ht="16">
      <c r="A41" s="106" t="s">
        <v>27</v>
      </c>
      <c r="C41" s="106" t="s">
        <v>33</v>
      </c>
      <c r="E41" s="106" t="s">
        <v>36</v>
      </c>
      <c r="G41" s="118" t="s">
        <v>38</v>
      </c>
      <c r="I41" s="118" t="s">
        <v>40</v>
      </c>
      <c r="K41" s="118" t="s">
        <v>42</v>
      </c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L41" s="360"/>
      <c r="AM41" s="364"/>
      <c r="AN41" s="360"/>
      <c r="AO41" s="360"/>
      <c r="AP41" s="360"/>
      <c r="AQ41" s="61"/>
      <c r="AR41" s="61"/>
      <c r="AS41" s="61"/>
      <c r="AU41" s="61"/>
      <c r="AV41" s="61"/>
      <c r="AX41" s="46"/>
      <c r="AY41" s="137"/>
      <c r="BB41" s="46"/>
      <c r="BC41" s="137"/>
      <c r="BD41" s="17"/>
      <c r="BF41" s="46"/>
      <c r="BG41" s="137"/>
    </row>
    <row r="42" spans="1:61" ht="16">
      <c r="Q42" s="25">
        <f t="shared" ref="Q42:Q53" si="16">Q17</f>
        <v>0</v>
      </c>
      <c r="R42" s="69"/>
      <c r="S42" s="69"/>
      <c r="T42" s="69"/>
      <c r="U42" s="69"/>
      <c r="V42" s="61"/>
      <c r="W42" s="25"/>
      <c r="X42" s="61"/>
      <c r="Y42" s="61"/>
      <c r="Z42" s="61"/>
      <c r="AA42" s="61"/>
      <c r="AB42" s="61"/>
      <c r="AC42" s="61"/>
      <c r="AD42" s="61"/>
      <c r="AE42" s="25"/>
      <c r="AF42" s="172"/>
      <c r="AG42" s="84"/>
      <c r="AH42" s="172"/>
      <c r="AI42" s="84">
        <f t="shared" ref="AI42:AI52" si="17">U42+AA42-AH42</f>
        <v>0</v>
      </c>
      <c r="AL42" s="360"/>
      <c r="AM42" s="364"/>
      <c r="AN42" s="360"/>
      <c r="AO42" s="360"/>
      <c r="AP42" s="360"/>
      <c r="AQ42" s="61"/>
      <c r="AR42" s="61"/>
      <c r="AS42" s="61"/>
      <c r="AU42" s="61"/>
      <c r="AV42" s="61"/>
      <c r="AX42" s="46"/>
      <c r="AY42" s="137"/>
      <c r="BB42" s="46"/>
      <c r="BC42" s="137"/>
      <c r="BD42" s="17"/>
      <c r="BF42" s="46"/>
      <c r="BG42" s="137"/>
    </row>
    <row r="43" spans="1:61" ht="16">
      <c r="A43" s="2" t="s">
        <v>2</v>
      </c>
      <c r="C43" s="196"/>
      <c r="E43" s="16"/>
      <c r="K43" s="19"/>
      <c r="Q43" s="25" t="str">
        <f t="shared" si="16"/>
        <v>Prior</v>
      </c>
      <c r="R43" s="69"/>
      <c r="S43" s="69"/>
      <c r="T43" s="69">
        <f>'Exhibit A, 1d'!AK16+'Exhibit A, 1d'!AK44</f>
        <v>0</v>
      </c>
      <c r="U43" s="69">
        <f>'Exhibit A, 1d'!AM16+'Exhibit A, 1d'!AM44</f>
        <v>0</v>
      </c>
      <c r="V43" s="84">
        <f>R43-U43</f>
        <v>0</v>
      </c>
      <c r="W43" s="25" t="str">
        <f t="shared" ref="W43:W53" si="18">W18</f>
        <v>Prior</v>
      </c>
      <c r="X43" s="69"/>
      <c r="Y43" s="69"/>
      <c r="Z43" s="69">
        <f>'EXhbit A, 1e'!AK16+'EXhbit A, 1e'!AK44</f>
        <v>0</v>
      </c>
      <c r="AA43" s="69">
        <f>'EXhbit A, 1e'!AM16+'EXhbit A, 1e'!AM44</f>
        <v>0</v>
      </c>
      <c r="AB43" s="84">
        <f>X43-AA43</f>
        <v>0</v>
      </c>
      <c r="AC43" s="84"/>
      <c r="AD43" s="84"/>
      <c r="AE43" s="25"/>
      <c r="AF43" s="172"/>
      <c r="AG43" s="84"/>
      <c r="AH43" s="172"/>
      <c r="AI43" s="84">
        <f t="shared" si="17"/>
        <v>0</v>
      </c>
      <c r="AL43" s="360"/>
      <c r="AM43" s="364"/>
      <c r="AN43" s="360"/>
      <c r="AO43" s="360"/>
      <c r="AP43" s="360"/>
      <c r="AQ43" s="172"/>
      <c r="AR43" s="172"/>
      <c r="AS43" s="205"/>
      <c r="AT43" s="61"/>
      <c r="AU43" s="172"/>
      <c r="AV43" s="61"/>
      <c r="AW43" s="25"/>
      <c r="AX43" s="47"/>
      <c r="AY43" s="137"/>
      <c r="BA43" s="25"/>
      <c r="BB43" s="26"/>
      <c r="BC43" s="137"/>
      <c r="BD43" s="17"/>
      <c r="BE43" s="25"/>
      <c r="BF43" s="26"/>
      <c r="BG43" s="137"/>
    </row>
    <row r="44" spans="1:61" ht="16">
      <c r="A44" s="6">
        <v>2012</v>
      </c>
      <c r="C44" s="196">
        <f>R18+X18</f>
        <v>12779.66</v>
      </c>
      <c r="D44" s="16"/>
      <c r="E44" s="16">
        <f>T18+Z18</f>
        <v>12779.66</v>
      </c>
      <c r="F44" s="147"/>
      <c r="G44" s="147">
        <f t="shared" ref="G44:G53" si="19">U18+AA18-E44</f>
        <v>0</v>
      </c>
      <c r="H44" s="147"/>
      <c r="I44" s="147">
        <f t="shared" ref="I44:I53" si="20">C44-E44-G44</f>
        <v>0</v>
      </c>
      <c r="J44" s="147"/>
      <c r="K44" s="147">
        <f>C44-E44</f>
        <v>0</v>
      </c>
      <c r="L44" s="187"/>
      <c r="Q44" s="25">
        <f t="shared" si="16"/>
        <v>2013</v>
      </c>
      <c r="R44" s="69">
        <f>'Exhibit A, 1d'!AI17+'Exhibit A, 1d'!AI45</f>
        <v>443.0630000000001</v>
      </c>
      <c r="S44" s="69"/>
      <c r="T44" s="69">
        <f>'Exhibit A, 1d'!AK17+'Exhibit A, 1d'!AK45</f>
        <v>443.0630000000001</v>
      </c>
      <c r="U44" s="69">
        <f>'Exhibit A, 1d'!AM17+'Exhibit A, 1d'!AM45</f>
        <v>443.0630000000001</v>
      </c>
      <c r="V44" s="84">
        <f t="shared" ref="V44:V53" si="21">R44-U44</f>
        <v>0</v>
      </c>
      <c r="W44" s="25">
        <f t="shared" si="18"/>
        <v>2013</v>
      </c>
      <c r="X44" s="69">
        <f>'EXhbit A, 1e'!AI17+'EXhbit A, 1e'!AI45</f>
        <v>1721</v>
      </c>
      <c r="Y44" s="69"/>
      <c r="Z44" s="69">
        <f>'EXhbit A, 1e'!AK17+'EXhbit A, 1e'!AK45</f>
        <v>1721</v>
      </c>
      <c r="AA44" s="69">
        <f>'EXhbit A, 1e'!AM17+'EXhbit A, 1e'!AM45</f>
        <v>1721</v>
      </c>
      <c r="AB44" s="84">
        <f t="shared" ref="AB44" si="22">X44-AA44</f>
        <v>0</v>
      </c>
      <c r="AC44" s="84"/>
      <c r="AD44" s="84"/>
      <c r="AE44" s="25"/>
      <c r="AF44" s="172">
        <v>2164.0630000000001</v>
      </c>
      <c r="AG44" s="84">
        <f t="shared" ref="AG44:AG51" si="23">T44+Z44-AF44</f>
        <v>0</v>
      </c>
      <c r="AH44" s="172">
        <v>2164.0730000000003</v>
      </c>
      <c r="AI44" s="84">
        <f t="shared" si="17"/>
        <v>-1.0000000000218279E-2</v>
      </c>
      <c r="AL44" s="360"/>
      <c r="AM44" s="364"/>
      <c r="AN44" s="360"/>
      <c r="AO44" s="360"/>
      <c r="AP44" s="360"/>
      <c r="AQ44" s="172"/>
      <c r="AR44" s="172"/>
      <c r="AS44" s="205"/>
      <c r="AT44" s="61"/>
      <c r="AU44" s="172"/>
      <c r="AV44" s="61"/>
      <c r="AW44" s="25"/>
      <c r="AX44" s="47"/>
      <c r="AY44" s="137"/>
      <c r="BA44" s="25"/>
      <c r="BB44" s="18"/>
      <c r="BC44" s="137"/>
      <c r="BD44" s="17"/>
      <c r="BE44" s="25"/>
      <c r="BF44" s="18"/>
      <c r="BG44" s="137"/>
    </row>
    <row r="45" spans="1:61" ht="16">
      <c r="A45" s="6">
        <f t="shared" ref="A45:A54" si="24">A44+1</f>
        <v>2013</v>
      </c>
      <c r="C45" s="54">
        <f t="shared" ref="C45:C54" si="25">R19+X19</f>
        <v>10582.26</v>
      </c>
      <c r="D45" s="17"/>
      <c r="E45" s="17">
        <f t="shared" ref="E45:E54" si="26">T19+Z19</f>
        <v>10582.26</v>
      </c>
      <c r="F45" s="187"/>
      <c r="G45" s="494">
        <f t="shared" si="19"/>
        <v>0</v>
      </c>
      <c r="H45" s="187"/>
      <c r="I45" s="494">
        <f t="shared" si="20"/>
        <v>0</v>
      </c>
      <c r="J45" s="187"/>
      <c r="K45" s="494">
        <f t="shared" ref="K45:K53" si="27">C45-E45</f>
        <v>0</v>
      </c>
      <c r="L45" s="187"/>
      <c r="Q45" s="25">
        <f t="shared" si="16"/>
        <v>2014</v>
      </c>
      <c r="R45" s="69">
        <f>'Exhibit A, 1d'!AI18+'Exhibit A, 1d'!AI46</f>
        <v>277738.34914070944</v>
      </c>
      <c r="S45" s="69"/>
      <c r="T45" s="69">
        <f>'Exhibit A, 1d'!AK18+'Exhibit A, 1d'!AK46</f>
        <v>277624.82199999987</v>
      </c>
      <c r="U45" s="69">
        <f>'Exhibit A, 1d'!AM18+'Exhibit A, 1d'!AM46</f>
        <v>277624.82199999987</v>
      </c>
      <c r="V45" s="84">
        <f t="shared" si="21"/>
        <v>113.52714070957154</v>
      </c>
      <c r="W45" s="25">
        <f t="shared" si="18"/>
        <v>2014</v>
      </c>
      <c r="X45" s="69">
        <f>'EXhbit A, 1e'!AI18+'EXhbit A, 1e'!AI46</f>
        <v>56066.128998624037</v>
      </c>
      <c r="Y45" s="69"/>
      <c r="Z45" s="69">
        <f>'EXhbit A, 1e'!AK18+'EXhbit A, 1e'!AK46</f>
        <v>3023.6039999999994</v>
      </c>
      <c r="AA45" s="69">
        <f>'EXhbit A, 1e'!AM18+'EXhbit A, 1e'!AM46</f>
        <v>55000</v>
      </c>
      <c r="AB45" s="84">
        <f t="shared" ref="AB45:AB52" si="28">X45-AA45</f>
        <v>1066.1289986240372</v>
      </c>
      <c r="AC45" s="84"/>
      <c r="AD45" s="84"/>
      <c r="AE45" s="25"/>
      <c r="AF45" s="172">
        <v>280475.90100000007</v>
      </c>
      <c r="AG45" s="84">
        <f t="shared" si="23"/>
        <v>172.52499999979045</v>
      </c>
      <c r="AH45" s="172">
        <v>286324.82199999999</v>
      </c>
      <c r="AI45" s="84">
        <f t="shared" si="17"/>
        <v>46299.999999999884</v>
      </c>
      <c r="AL45" s="360"/>
      <c r="AM45" s="364"/>
      <c r="AN45" s="360"/>
      <c r="AO45" s="360"/>
      <c r="AP45" s="360"/>
      <c r="AQ45" s="172"/>
      <c r="AR45" s="172"/>
      <c r="AS45" s="205"/>
      <c r="AT45" s="61"/>
      <c r="AU45" s="172"/>
      <c r="AV45" s="61"/>
      <c r="AW45" s="25"/>
      <c r="AX45" s="47"/>
      <c r="AY45" s="137"/>
      <c r="BA45" s="25"/>
      <c r="BB45" s="18"/>
      <c r="BC45" s="137"/>
      <c r="BD45" s="17"/>
      <c r="BE45" s="25"/>
      <c r="BF45" s="18"/>
      <c r="BG45" s="137"/>
    </row>
    <row r="46" spans="1:61" ht="16">
      <c r="A46" s="6">
        <f t="shared" si="24"/>
        <v>2014</v>
      </c>
      <c r="C46" s="54">
        <f t="shared" si="25"/>
        <v>5202093.982786675</v>
      </c>
      <c r="D46" s="17"/>
      <c r="E46" s="17">
        <f t="shared" si="26"/>
        <v>4138972.94</v>
      </c>
      <c r="F46" s="187"/>
      <c r="G46" s="494">
        <f t="shared" si="19"/>
        <v>1039527.9199999995</v>
      </c>
      <c r="H46" s="187"/>
      <c r="I46" s="494">
        <f t="shared" si="20"/>
        <v>23593.12278667558</v>
      </c>
      <c r="J46" s="187"/>
      <c r="K46" s="494">
        <f t="shared" si="27"/>
        <v>1063121.042786675</v>
      </c>
      <c r="L46" s="187"/>
      <c r="Q46" s="25">
        <f t="shared" si="16"/>
        <v>2015</v>
      </c>
      <c r="R46" s="69">
        <f>'Exhibit A, 1d'!AI19+'Exhibit A, 1d'!AI47</f>
        <v>151778.61744777783</v>
      </c>
      <c r="S46" s="69"/>
      <c r="T46" s="69">
        <f>'Exhibit A, 1d'!AK19+'Exhibit A, 1d'!AK47</f>
        <v>151131.24799999979</v>
      </c>
      <c r="U46" s="69">
        <f>'Exhibit A, 1d'!AM19+'Exhibit A, 1d'!AM47</f>
        <v>151131.24799999979</v>
      </c>
      <c r="V46" s="84">
        <f t="shared" si="21"/>
        <v>647.36944777803728</v>
      </c>
      <c r="W46" s="25">
        <f t="shared" si="18"/>
        <v>2015</v>
      </c>
      <c r="X46" s="69">
        <f>'EXhbit A, 1e'!AI19+'EXhbit A, 1e'!AI47</f>
        <v>40828.96359005347</v>
      </c>
      <c r="Y46" s="69"/>
      <c r="Z46" s="69">
        <f>'EXhbit A, 1e'!AK19+'EXhbit A, 1e'!AK47</f>
        <v>38170.892500000031</v>
      </c>
      <c r="AA46" s="69">
        <f>'EXhbit A, 1e'!AM19+'EXhbit A, 1e'!AM47</f>
        <v>40041.592500000028</v>
      </c>
      <c r="AB46" s="84">
        <f t="shared" si="28"/>
        <v>787.37109005344246</v>
      </c>
      <c r="AC46" s="84"/>
      <c r="AD46" s="84"/>
      <c r="AE46" s="25"/>
      <c r="AF46" s="172">
        <v>188542.0905000004</v>
      </c>
      <c r="AG46" s="84">
        <f t="shared" si="23"/>
        <v>760.04999999940628</v>
      </c>
      <c r="AH46" s="172">
        <v>231032.11050000007</v>
      </c>
      <c r="AI46" s="84">
        <f t="shared" si="17"/>
        <v>-39859.270000000251</v>
      </c>
      <c r="AL46" s="360"/>
      <c r="AM46" s="364"/>
      <c r="AN46" s="360"/>
      <c r="AO46" s="360"/>
      <c r="AP46" s="360"/>
      <c r="AQ46" s="172"/>
      <c r="AR46" s="172"/>
      <c r="AS46" s="205"/>
      <c r="AT46" s="61"/>
      <c r="AU46" s="172"/>
      <c r="AV46" s="61"/>
      <c r="AW46" s="25"/>
      <c r="AX46" s="47"/>
      <c r="AY46" s="137"/>
      <c r="BA46" s="25"/>
      <c r="BB46" s="18"/>
      <c r="BC46" s="137"/>
      <c r="BD46" s="17"/>
      <c r="BE46" s="25"/>
      <c r="BF46" s="18"/>
      <c r="BG46" s="137"/>
    </row>
    <row r="47" spans="1:61" ht="16">
      <c r="A47" s="6">
        <f t="shared" si="24"/>
        <v>2015</v>
      </c>
      <c r="C47" s="54">
        <f t="shared" si="25"/>
        <v>3135777.920756632</v>
      </c>
      <c r="D47" s="17"/>
      <c r="E47" s="17">
        <f t="shared" si="26"/>
        <v>3069669.1099999994</v>
      </c>
      <c r="F47" s="187"/>
      <c r="G47" s="494">
        <f t="shared" si="19"/>
        <v>37414</v>
      </c>
      <c r="H47" s="187"/>
      <c r="I47" s="494">
        <f t="shared" si="20"/>
        <v>28694.810756632593</v>
      </c>
      <c r="J47" s="187"/>
      <c r="K47" s="494">
        <f t="shared" si="27"/>
        <v>66108.810756632593</v>
      </c>
      <c r="L47" s="187"/>
      <c r="Q47" s="25">
        <f t="shared" si="16"/>
        <v>2016</v>
      </c>
      <c r="R47" s="69">
        <f>'Exhibit A, 1d'!AI20+'Exhibit A, 1d'!AI48</f>
        <v>163050.12155929304</v>
      </c>
      <c r="S47" s="69"/>
      <c r="T47" s="69">
        <f>'Exhibit A, 1d'!AK20+'Exhibit A, 1d'!AK48</f>
        <v>160342.18450000015</v>
      </c>
      <c r="U47" s="69">
        <f>'Exhibit A, 1d'!AM20+'Exhibit A, 1d'!AM48</f>
        <v>160342.18450000015</v>
      </c>
      <c r="V47" s="84">
        <f t="shared" si="21"/>
        <v>2707.9370592928899</v>
      </c>
      <c r="W47" s="25">
        <f t="shared" si="18"/>
        <v>2016</v>
      </c>
      <c r="X47" s="69">
        <f>'EXhbit A, 1e'!AI20+'EXhbit A, 1e'!AI48</f>
        <v>647943.37930425932</v>
      </c>
      <c r="Y47" s="69"/>
      <c r="Z47" s="69">
        <f>'EXhbit A, 1e'!AK20+'EXhbit A, 1e'!AK48</f>
        <v>614794.09250000073</v>
      </c>
      <c r="AA47" s="69">
        <f>'EXhbit A, 1e'!AM20+'EXhbit A, 1e'!AM48</f>
        <v>641124.82200000016</v>
      </c>
      <c r="AB47" s="84">
        <f t="shared" si="28"/>
        <v>6818.5573042591568</v>
      </c>
      <c r="AC47" s="84"/>
      <c r="AD47" s="84"/>
      <c r="AE47" s="25"/>
      <c r="AF47" s="172">
        <v>1180071.8619999997</v>
      </c>
      <c r="AG47" s="84">
        <f t="shared" si="23"/>
        <v>-404935.5849999988</v>
      </c>
      <c r="AH47" s="172">
        <v>1242349.9080000008</v>
      </c>
      <c r="AI47" s="84">
        <f t="shared" si="17"/>
        <v>-440882.90150000039</v>
      </c>
      <c r="AL47" s="360"/>
      <c r="AM47" s="364"/>
      <c r="AN47" s="360"/>
      <c r="AO47" s="360"/>
      <c r="AP47" s="360"/>
      <c r="AQ47" s="172"/>
      <c r="AR47" s="172"/>
      <c r="AS47" s="205"/>
      <c r="AT47" s="61"/>
      <c r="AU47" s="172"/>
      <c r="AV47" s="61"/>
      <c r="AW47" s="25"/>
      <c r="AX47" s="47"/>
      <c r="AY47" s="137"/>
      <c r="BA47" s="25"/>
      <c r="BB47" s="18"/>
      <c r="BC47" s="137"/>
      <c r="BD47" s="17"/>
      <c r="BE47" s="25"/>
      <c r="BF47" s="18"/>
      <c r="BG47" s="137"/>
    </row>
    <row r="48" spans="1:61" ht="16">
      <c r="A48" s="6">
        <f t="shared" si="24"/>
        <v>2016</v>
      </c>
      <c r="C48" s="54">
        <f t="shared" si="25"/>
        <v>15623894.267271031</v>
      </c>
      <c r="D48" s="17"/>
      <c r="E48" s="17">
        <f t="shared" si="26"/>
        <v>14906749.789999999</v>
      </c>
      <c r="F48" s="187"/>
      <c r="G48" s="494">
        <f t="shared" si="19"/>
        <v>526614.58999999985</v>
      </c>
      <c r="H48" s="187"/>
      <c r="I48" s="494">
        <f t="shared" si="20"/>
        <v>190529.88727103174</v>
      </c>
      <c r="J48" s="187"/>
      <c r="K48" s="494">
        <f t="shared" si="27"/>
        <v>717144.47727103159</v>
      </c>
      <c r="L48" s="187"/>
      <c r="Q48" s="25">
        <f t="shared" si="16"/>
        <v>2017</v>
      </c>
      <c r="R48" s="69">
        <f>'Exhibit A, 1d'!AI21+'Exhibit A, 1d'!AI49</f>
        <v>123197.51386144964</v>
      </c>
      <c r="S48" s="69"/>
      <c r="T48" s="69">
        <f>'Exhibit A, 1d'!AK21+'Exhibit A, 1d'!AK49</f>
        <v>106001.08350000018</v>
      </c>
      <c r="U48" s="69">
        <f>'Exhibit A, 1d'!AM21+'Exhibit A, 1d'!AM49</f>
        <v>118601.08350000018</v>
      </c>
      <c r="V48" s="84">
        <f t="shared" si="21"/>
        <v>4596.4303614494565</v>
      </c>
      <c r="W48" s="25">
        <f t="shared" si="18"/>
        <v>2017</v>
      </c>
      <c r="X48" s="69">
        <f>'EXhbit A, 1e'!AI21+'EXhbit A, 1e'!AI49</f>
        <v>657390.13364056428</v>
      </c>
      <c r="Y48" s="69"/>
      <c r="Z48" s="69">
        <f>'EXhbit A, 1e'!AK21+'EXhbit A, 1e'!AK49</f>
        <v>565428.41949999949</v>
      </c>
      <c r="AA48" s="69">
        <f>'EXhbit A, 1e'!AM21+'EXhbit A, 1e'!AM49</f>
        <v>658301.84000000067</v>
      </c>
      <c r="AB48" s="84">
        <f t="shared" si="28"/>
        <v>-911.70635943638626</v>
      </c>
      <c r="AC48" s="84"/>
      <c r="AD48" s="84"/>
      <c r="AE48" s="25"/>
      <c r="AF48" s="172">
        <v>657907.57100000046</v>
      </c>
      <c r="AG48" s="84">
        <f t="shared" si="23"/>
        <v>13521.931999999215</v>
      </c>
      <c r="AH48" s="172">
        <v>684839.32800000045</v>
      </c>
      <c r="AI48" s="84">
        <f t="shared" si="17"/>
        <v>92063.595500000403</v>
      </c>
      <c r="AL48" s="360"/>
      <c r="AM48" s="364"/>
      <c r="AN48" s="360"/>
      <c r="AO48" s="360"/>
      <c r="AP48" s="360"/>
      <c r="AQ48" s="172"/>
      <c r="AR48" s="172"/>
      <c r="AS48" s="205"/>
      <c r="AT48" s="61"/>
      <c r="AU48" s="172"/>
      <c r="AW48" s="25"/>
      <c r="AX48" s="47"/>
      <c r="AY48" s="137"/>
      <c r="BA48" s="25"/>
      <c r="BB48" s="18"/>
      <c r="BC48" s="137"/>
      <c r="BE48" s="25"/>
      <c r="BF48" s="18"/>
      <c r="BG48" s="137"/>
    </row>
    <row r="49" spans="1:59" ht="16">
      <c r="A49" s="6">
        <f t="shared" si="24"/>
        <v>2017</v>
      </c>
      <c r="C49" s="54">
        <f t="shared" si="25"/>
        <v>10630506.870040255</v>
      </c>
      <c r="D49" s="17"/>
      <c r="E49" s="17">
        <f t="shared" si="26"/>
        <v>8447343.9799999986</v>
      </c>
      <c r="F49" s="187"/>
      <c r="G49" s="494">
        <f t="shared" si="19"/>
        <v>2109468.41</v>
      </c>
      <c r="H49" s="187"/>
      <c r="I49" s="494">
        <f t="shared" si="20"/>
        <v>73694.480040255934</v>
      </c>
      <c r="J49" s="187"/>
      <c r="K49" s="494">
        <f t="shared" si="27"/>
        <v>2183162.8900402561</v>
      </c>
      <c r="L49" s="187"/>
      <c r="Q49" s="25">
        <f t="shared" si="16"/>
        <v>2018</v>
      </c>
      <c r="R49" s="69">
        <f>'Exhibit A, 1d'!AI22+'Exhibit A, 1d'!AI50</f>
        <v>39782.550730764648</v>
      </c>
      <c r="S49" s="69"/>
      <c r="T49" s="69">
        <f>'Exhibit A, 1d'!AK22+'Exhibit A, 1d'!AK50</f>
        <v>12363.425000000001</v>
      </c>
      <c r="U49" s="69">
        <f>'Exhibit A, 1d'!AM22+'Exhibit A, 1d'!AM50</f>
        <v>12363.425000000001</v>
      </c>
      <c r="V49" s="84">
        <f t="shared" si="21"/>
        <v>27419.125730764645</v>
      </c>
      <c r="W49" s="25">
        <f t="shared" si="18"/>
        <v>2018</v>
      </c>
      <c r="X49" s="69">
        <f>'EXhbit A, 1e'!AI22+'EXhbit A, 1e'!AI50</f>
        <v>945169.36872534757</v>
      </c>
      <c r="Y49" s="69"/>
      <c r="Z49" s="69">
        <f>'EXhbit A, 1e'!AK22+'EXhbit A, 1e'!AK50</f>
        <v>377396.89700000035</v>
      </c>
      <c r="AA49" s="69">
        <f>'EXhbit A, 1e'!AM22+'EXhbit A, 1e'!AM50</f>
        <v>585940.29899999825</v>
      </c>
      <c r="AB49" s="84">
        <f t="shared" si="28"/>
        <v>359229.06972534931</v>
      </c>
      <c r="AC49" s="84"/>
      <c r="AD49" s="84"/>
      <c r="AE49" s="25"/>
      <c r="AF49" s="172">
        <v>605712.29650000017</v>
      </c>
      <c r="AG49" s="84">
        <f t="shared" si="23"/>
        <v>-215951.97449999984</v>
      </c>
      <c r="AH49" s="172">
        <v>642121.02900000033</v>
      </c>
      <c r="AI49" s="84">
        <f t="shared" si="17"/>
        <v>-43817.30500000203</v>
      </c>
      <c r="AL49" s="360"/>
      <c r="AM49" s="364"/>
      <c r="AN49" s="360"/>
      <c r="AO49" s="360"/>
      <c r="AP49" s="360"/>
      <c r="AQ49" s="172"/>
      <c r="AR49" s="172"/>
      <c r="AS49" s="205"/>
      <c r="AT49" s="61"/>
      <c r="AU49" s="172"/>
      <c r="AW49" s="25"/>
      <c r="AX49" s="47"/>
      <c r="AY49" s="137"/>
      <c r="BA49" s="25"/>
      <c r="BB49" s="18"/>
      <c r="BC49" s="137"/>
      <c r="BE49" s="25"/>
      <c r="BF49" s="18"/>
      <c r="BG49" s="137"/>
    </row>
    <row r="50" spans="1:59" ht="16">
      <c r="A50" s="6">
        <f t="shared" si="24"/>
        <v>2018</v>
      </c>
      <c r="C50" s="54">
        <f t="shared" si="25"/>
        <v>19004632.659122255</v>
      </c>
      <c r="D50" s="17"/>
      <c r="E50" s="17">
        <f t="shared" si="26"/>
        <v>7100800.71</v>
      </c>
      <c r="F50" s="187"/>
      <c r="G50" s="494">
        <f t="shared" si="19"/>
        <v>4170868.04</v>
      </c>
      <c r="H50" s="187"/>
      <c r="I50" s="494">
        <f t="shared" si="20"/>
        <v>7732963.9091222538</v>
      </c>
      <c r="J50" s="187"/>
      <c r="K50" s="494">
        <f t="shared" si="27"/>
        <v>11903831.949122254</v>
      </c>
      <c r="L50" s="187"/>
      <c r="Q50" s="25">
        <f t="shared" si="16"/>
        <v>2019</v>
      </c>
      <c r="R50" s="69">
        <f>'Exhibit A, 1d'!AI23+'Exhibit A, 1d'!AI51</f>
        <v>299222.44269934867</v>
      </c>
      <c r="S50" s="69"/>
      <c r="T50" s="69">
        <f>'Exhibit A, 1d'!AK23+'Exhibit A, 1d'!AK51</f>
        <v>196912.56649999984</v>
      </c>
      <c r="U50" s="69">
        <f>'Exhibit A, 1d'!AM23+'Exhibit A, 1d'!AM51</f>
        <v>271986.68149999995</v>
      </c>
      <c r="V50" s="84">
        <f t="shared" si="21"/>
        <v>27235.761199348723</v>
      </c>
      <c r="W50" s="25">
        <f t="shared" si="18"/>
        <v>2019</v>
      </c>
      <c r="X50" s="69">
        <f>'EXhbit A, 1e'!AI23+'EXhbit A, 1e'!AI51</f>
        <v>791796.33748148335</v>
      </c>
      <c r="Y50" s="69"/>
      <c r="Z50" s="69">
        <f>'EXhbit A, 1e'!AK23+'EXhbit A, 1e'!AK51</f>
        <v>343614.13249999983</v>
      </c>
      <c r="AA50" s="69">
        <f>'EXhbit A, 1e'!AM23+'EXhbit A, 1e'!AM51</f>
        <v>385398.95699999994</v>
      </c>
      <c r="AB50" s="84">
        <f t="shared" si="28"/>
        <v>406397.38048148341</v>
      </c>
      <c r="AC50" s="84"/>
      <c r="AD50" s="84"/>
      <c r="AE50" s="25"/>
      <c r="AF50" s="172">
        <v>433623.17599999998</v>
      </c>
      <c r="AG50" s="84">
        <f t="shared" si="23"/>
        <v>106903.5229999997</v>
      </c>
      <c r="AH50" s="172">
        <v>678660.15749999974</v>
      </c>
      <c r="AI50" s="84">
        <f t="shared" si="17"/>
        <v>-21274.518999999855</v>
      </c>
      <c r="AL50" s="360"/>
      <c r="AM50" s="364"/>
      <c r="AN50" s="360"/>
      <c r="AO50" s="360"/>
      <c r="AP50" s="360"/>
      <c r="AQ50" s="172"/>
      <c r="AR50" s="172"/>
      <c r="AS50" s="205"/>
      <c r="AT50" s="61"/>
      <c r="AU50" s="172"/>
      <c r="AW50" s="25"/>
      <c r="AX50" s="47"/>
      <c r="AY50" s="137"/>
      <c r="BA50" s="25"/>
      <c r="BB50" s="18"/>
      <c r="BC50" s="137"/>
      <c r="BE50" s="25"/>
      <c r="BF50" s="18"/>
      <c r="BG50" s="137"/>
    </row>
    <row r="51" spans="1:59" ht="16">
      <c r="A51" s="6">
        <f t="shared" si="24"/>
        <v>2019</v>
      </c>
      <c r="C51" s="54">
        <f t="shared" si="25"/>
        <v>19133796.883616664</v>
      </c>
      <c r="D51" s="17"/>
      <c r="E51" s="17">
        <f t="shared" si="26"/>
        <v>8123955.2599999998</v>
      </c>
      <c r="F51" s="187"/>
      <c r="G51" s="494">
        <f t="shared" si="19"/>
        <v>2337178.790000001</v>
      </c>
      <c r="H51" s="187"/>
      <c r="I51" s="494">
        <f t="shared" si="20"/>
        <v>8672662.8336166628</v>
      </c>
      <c r="J51" s="187"/>
      <c r="K51" s="494">
        <f t="shared" si="27"/>
        <v>11009841.623616664</v>
      </c>
      <c r="L51" s="187"/>
      <c r="Q51" s="25">
        <f t="shared" si="16"/>
        <v>2020</v>
      </c>
      <c r="R51" s="69">
        <f>'Exhibit A, 1d'!AI24+'Exhibit A, 1d'!AI52</f>
        <v>302316.31734355364</v>
      </c>
      <c r="S51" s="69"/>
      <c r="T51" s="69">
        <f>'Exhibit A, 1d'!AK24+'Exhibit A, 1d'!AK52</f>
        <v>275226.78149999987</v>
      </c>
      <c r="U51" s="69">
        <f>'Exhibit A, 1d'!AM24+'Exhibit A, 1d'!AM52</f>
        <v>277087.03149999987</v>
      </c>
      <c r="V51" s="84">
        <f t="shared" si="21"/>
        <v>25229.285843553778</v>
      </c>
      <c r="W51" s="25">
        <f t="shared" si="18"/>
        <v>2020</v>
      </c>
      <c r="X51" s="69">
        <f>'EXhbit A, 1e'!AI24+'EXhbit A, 1e'!AI52</f>
        <v>190838.00184984354</v>
      </c>
      <c r="Y51" s="69"/>
      <c r="Z51" s="69">
        <f>'EXhbit A, 1e'!AK24+'EXhbit A, 1e'!AK52</f>
        <v>51149.863000000005</v>
      </c>
      <c r="AA51" s="69">
        <f>'EXhbit A, 1e'!AM24+'EXhbit A, 1e'!AM52</f>
        <v>64828.10950000002</v>
      </c>
      <c r="AB51" s="84">
        <f t="shared" si="28"/>
        <v>126009.89234984352</v>
      </c>
      <c r="AC51" s="84"/>
      <c r="AD51" s="84"/>
      <c r="AE51" s="25"/>
      <c r="AF51" s="172">
        <v>271020.08100000001</v>
      </c>
      <c r="AG51" s="84">
        <f t="shared" si="23"/>
        <v>55356.563499999873</v>
      </c>
      <c r="AH51" s="172">
        <v>338245.78500000003</v>
      </c>
      <c r="AI51" s="84">
        <f t="shared" si="17"/>
        <v>3669.3559999998542</v>
      </c>
      <c r="AL51" s="360"/>
      <c r="AM51" s="364"/>
      <c r="AN51" s="360"/>
      <c r="AO51" s="360"/>
      <c r="AP51" s="360"/>
      <c r="AQ51" s="172"/>
      <c r="AR51" s="172"/>
      <c r="AS51" s="205"/>
      <c r="AT51" s="61"/>
      <c r="AU51" s="172"/>
      <c r="AW51" s="25"/>
      <c r="AX51" s="47"/>
      <c r="AY51" s="137"/>
      <c r="BA51" s="25"/>
      <c r="BB51" s="18"/>
      <c r="BC51" s="137"/>
      <c r="BE51" s="25"/>
      <c r="BF51" s="18"/>
      <c r="BG51" s="137"/>
    </row>
    <row r="52" spans="1:59" ht="16">
      <c r="A52" s="6">
        <f t="shared" si="24"/>
        <v>2020</v>
      </c>
      <c r="C52" s="54">
        <f t="shared" si="25"/>
        <v>4962837.5838679522</v>
      </c>
      <c r="D52" s="17"/>
      <c r="E52" s="17">
        <f t="shared" si="26"/>
        <v>1627284.0899999999</v>
      </c>
      <c r="F52" s="187"/>
      <c r="G52" s="494">
        <f t="shared" si="19"/>
        <v>310769.92999999993</v>
      </c>
      <c r="H52" s="187"/>
      <c r="I52" s="494">
        <f t="shared" si="20"/>
        <v>3024783.5638679527</v>
      </c>
      <c r="J52" s="187"/>
      <c r="K52" s="494">
        <f t="shared" si="27"/>
        <v>3335553.4938679524</v>
      </c>
      <c r="L52" s="187"/>
      <c r="Q52" s="25">
        <f>Q27</f>
        <v>2021</v>
      </c>
      <c r="R52" s="69">
        <f>'Exhibit A, 1d'!AI25+'Exhibit A, 1d'!AI53</f>
        <v>291851.04419625795</v>
      </c>
      <c r="S52" s="69"/>
      <c r="T52" s="69">
        <f>'Exhibit A, 1d'!AK25+'Exhibit A, 1d'!AK53</f>
        <v>64892.73650000021</v>
      </c>
      <c r="U52" s="69">
        <f>'Exhibit A, 1d'!AM25+'Exhibit A, 1d'!AM53</f>
        <v>177453.50250000003</v>
      </c>
      <c r="V52" s="84">
        <f t="shared" si="21"/>
        <v>114397.54169625792</v>
      </c>
      <c r="W52" s="25">
        <f t="shared" si="18"/>
        <v>2021</v>
      </c>
      <c r="X52" s="69">
        <f>'EXhbit A, 1e'!AI25+'EXhbit A, 1e'!AI53</f>
        <v>210744.86855273385</v>
      </c>
      <c r="Y52" s="69"/>
      <c r="Z52" s="69">
        <f>'EXhbit A, 1e'!AK25+'EXhbit A, 1e'!AK53</f>
        <v>142.45550000000003</v>
      </c>
      <c r="AA52" s="69">
        <f>'EXhbit A, 1e'!AM25+'EXhbit A, 1e'!AM53</f>
        <v>7175</v>
      </c>
      <c r="AB52" s="84">
        <f t="shared" si="28"/>
        <v>203569.86855273385</v>
      </c>
      <c r="AC52" s="84"/>
      <c r="AD52" s="84"/>
      <c r="AE52" s="25"/>
      <c r="AF52" s="172">
        <v>4960.3075000000026</v>
      </c>
      <c r="AG52" s="84">
        <f>T52+Z52-AF52</f>
        <v>60074.884500000211</v>
      </c>
      <c r="AH52" s="172">
        <v>33979.649999999994</v>
      </c>
      <c r="AI52" s="84">
        <f t="shared" si="17"/>
        <v>150648.85250000004</v>
      </c>
      <c r="AL52" s="360"/>
      <c r="AM52" s="364"/>
      <c r="AN52" s="360"/>
      <c r="AO52" s="360"/>
      <c r="AP52" s="360"/>
      <c r="AQ52" s="172"/>
      <c r="AR52" s="172"/>
      <c r="AS52" s="205"/>
      <c r="AT52" s="61"/>
      <c r="AU52" s="172"/>
      <c r="AW52" s="25"/>
      <c r="AX52" s="47"/>
      <c r="AY52" s="137"/>
      <c r="BA52" s="25"/>
      <c r="BB52" s="47"/>
      <c r="BC52" s="137"/>
      <c r="BE52" s="25"/>
      <c r="BF52" s="47"/>
      <c r="BG52" s="137"/>
    </row>
    <row r="53" spans="1:59" ht="16">
      <c r="A53" s="6">
        <f t="shared" si="24"/>
        <v>2021</v>
      </c>
      <c r="C53" s="54">
        <f t="shared" si="25"/>
        <v>9990263.2549798153</v>
      </c>
      <c r="D53" s="17"/>
      <c r="E53" s="17">
        <f t="shared" si="26"/>
        <v>1239048.8400000001</v>
      </c>
      <c r="F53" s="187"/>
      <c r="G53" s="494">
        <f t="shared" si="19"/>
        <v>2391866.21</v>
      </c>
      <c r="H53" s="187"/>
      <c r="I53" s="494">
        <f t="shared" si="20"/>
        <v>6359348.2049798155</v>
      </c>
      <c r="J53" s="187"/>
      <c r="K53" s="494">
        <f t="shared" si="27"/>
        <v>8751214.4149798155</v>
      </c>
      <c r="L53" s="187"/>
      <c r="Q53" s="25">
        <f t="shared" si="16"/>
        <v>2022</v>
      </c>
      <c r="R53" s="69">
        <f>'Exhibit A, 1d'!AI26+'Exhibit A, 1d'!AI54</f>
        <v>122048.52291153457</v>
      </c>
      <c r="S53" s="69"/>
      <c r="T53" s="69">
        <f>'Exhibit A, 1d'!AK26+'Exhibit A, 1d'!AK54</f>
        <v>1830.2750000000015</v>
      </c>
      <c r="U53" s="69">
        <f>'Exhibit A, 1d'!AM26+'Exhibit A, 1d'!AM54</f>
        <v>13167.625</v>
      </c>
      <c r="V53" s="84">
        <f t="shared" si="21"/>
        <v>108880.89791153457</v>
      </c>
      <c r="W53" s="25">
        <f t="shared" si="18"/>
        <v>2022</v>
      </c>
      <c r="X53" s="69">
        <f>'EXhbit A, 1e'!AI26+'EXhbit A, 1e'!AI54</f>
        <v>124982.07243679717</v>
      </c>
      <c r="Y53" s="69"/>
      <c r="Z53" s="69">
        <f>'EXhbit A, 1e'!AK68</f>
        <v>0</v>
      </c>
      <c r="AA53" s="69">
        <f>'EXhbit A, 1e'!AM26+'EXhbit A, 1e'!AM54</f>
        <v>0</v>
      </c>
      <c r="AB53" s="84">
        <f t="shared" ref="AB53" si="29">X53-AA53</f>
        <v>124982.07243679717</v>
      </c>
      <c r="AC53" s="84"/>
      <c r="AD53" s="84"/>
      <c r="AE53" s="25"/>
      <c r="AF53" s="172"/>
      <c r="AG53" s="84"/>
      <c r="AH53" s="172"/>
      <c r="AI53" s="84"/>
      <c r="AL53" s="360"/>
      <c r="AM53" s="364"/>
      <c r="AN53" s="360"/>
      <c r="AO53" s="360"/>
      <c r="AP53" s="360"/>
      <c r="AQ53" s="61"/>
      <c r="AR53" s="61"/>
      <c r="AS53" s="61"/>
      <c r="AU53" s="61"/>
      <c r="AW53" s="25"/>
      <c r="BA53" s="25"/>
      <c r="BE53" s="25"/>
    </row>
    <row r="54" spans="1:59" ht="16">
      <c r="A54" s="6">
        <f t="shared" si="24"/>
        <v>2022</v>
      </c>
      <c r="C54" s="54">
        <f t="shared" si="25"/>
        <v>4940611.9069666276</v>
      </c>
      <c r="D54" s="17"/>
      <c r="E54" s="17">
        <f t="shared" si="26"/>
        <v>36605.5</v>
      </c>
      <c r="F54" s="187"/>
      <c r="G54" s="494">
        <f>U28+AA28-E54</f>
        <v>226747</v>
      </c>
      <c r="H54" s="187"/>
      <c r="I54" s="494">
        <f>C54-E54-G54</f>
        <v>4677259.4069666276</v>
      </c>
      <c r="J54" s="187"/>
      <c r="K54" s="494">
        <f>C54-E54</f>
        <v>4904006.4069666276</v>
      </c>
      <c r="L54" s="187"/>
      <c r="Q54" s="25"/>
      <c r="R54" s="61"/>
      <c r="S54" s="61"/>
      <c r="T54" s="61"/>
      <c r="U54" s="61"/>
      <c r="V54" s="61"/>
      <c r="W54" s="25"/>
      <c r="X54" s="61"/>
      <c r="Y54" s="61"/>
      <c r="Z54" s="61"/>
      <c r="AA54" s="61"/>
      <c r="AB54" s="61"/>
      <c r="AC54" s="61"/>
      <c r="AD54" s="61"/>
      <c r="AE54" s="61"/>
      <c r="AH54" s="61"/>
      <c r="AI54" s="61"/>
      <c r="AL54" s="360"/>
      <c r="AM54" s="364"/>
      <c r="AN54" s="360"/>
      <c r="AO54" s="360"/>
      <c r="AP54" s="360"/>
      <c r="AQ54" s="84"/>
      <c r="AR54" s="84"/>
      <c r="AS54" s="84"/>
      <c r="AT54" s="84"/>
      <c r="AU54" s="84"/>
      <c r="AW54" s="25"/>
      <c r="AX54" s="84"/>
      <c r="AY54" s="84"/>
      <c r="BA54" s="25"/>
      <c r="BB54" s="84"/>
      <c r="BC54" s="84"/>
      <c r="BE54" s="25"/>
      <c r="BF54" s="84"/>
      <c r="BG54" s="84"/>
    </row>
    <row r="55" spans="1:59" ht="16">
      <c r="A55" s="6"/>
      <c r="C55" s="105"/>
      <c r="E55" s="105"/>
      <c r="G55" s="105"/>
      <c r="I55" s="105"/>
      <c r="K55" s="105"/>
      <c r="Q55" s="25" t="s">
        <v>0</v>
      </c>
      <c r="R55" s="84">
        <f>SUM(R44:R54)</f>
        <v>1771428.5428906893</v>
      </c>
      <c r="S55" s="61"/>
      <c r="T55" s="84">
        <f>SUM(T44:T54)</f>
        <v>1246768.1854999999</v>
      </c>
      <c r="U55" s="84">
        <f>SUM(U44:U54)</f>
        <v>1460200.6664999998</v>
      </c>
      <c r="V55" s="84">
        <f>SUM(V44:V54)</f>
        <v>311227.87639068958</v>
      </c>
      <c r="W55" s="25" t="s">
        <v>0</v>
      </c>
      <c r="X55" s="84">
        <f>SUM(X43:X54)</f>
        <v>3667480.2545797061</v>
      </c>
      <c r="Y55" s="61"/>
      <c r="Z55" s="84">
        <f>SUM(Z43:Z54)</f>
        <v>1995441.3565000002</v>
      </c>
      <c r="AA55" s="84">
        <f>SUM(AA43:AA54)</f>
        <v>2439531.6199999992</v>
      </c>
      <c r="AB55" s="84">
        <f>SUM(AB43:AB54)</f>
        <v>1227948.6345797076</v>
      </c>
      <c r="AC55" s="61"/>
      <c r="AD55" s="61"/>
      <c r="AE55" s="61"/>
      <c r="AF55" s="84">
        <f>SUM(AF42:AF52)</f>
        <v>3624477.3485000012</v>
      </c>
      <c r="AG55" s="84">
        <f>SUM(AG44:AG52)</f>
        <v>-384098.08150000044</v>
      </c>
      <c r="AH55" s="84">
        <f>SUM(AH42:AH52)</f>
        <v>4139716.8630000013</v>
      </c>
      <c r="AI55" s="84">
        <f>SUM(AI44:AI52)</f>
        <v>-253152.20150000235</v>
      </c>
      <c r="AL55" s="360"/>
      <c r="AM55" s="364"/>
      <c r="AN55" s="360"/>
      <c r="AO55" s="360"/>
      <c r="AP55" s="360"/>
      <c r="AQ55" s="61"/>
      <c r="AR55" s="61"/>
      <c r="AS55" s="61"/>
      <c r="AT55" s="61"/>
      <c r="BA55" s="25"/>
      <c r="BC55" s="84"/>
      <c r="BE55" s="25"/>
      <c r="BG55" s="84"/>
    </row>
    <row r="56" spans="1:59" ht="16">
      <c r="A56" s="6" t="s">
        <v>0</v>
      </c>
      <c r="C56" s="26">
        <f>SUM(C44:C55)</f>
        <v>92647777.249407902</v>
      </c>
      <c r="E56" s="26">
        <f>SUM(E44:E55)</f>
        <v>48713792.140000001</v>
      </c>
      <c r="G56" s="26">
        <f>SUM(G44:G55)</f>
        <v>13150454.890000001</v>
      </c>
      <c r="I56" s="26">
        <f>SUM(I44:I55)</f>
        <v>30783530.219407909</v>
      </c>
      <c r="K56" s="26">
        <f>SUM(K44:K55)</f>
        <v>43933985.109407902</v>
      </c>
      <c r="Q56" s="25" t="s">
        <v>119</v>
      </c>
      <c r="R56" s="84">
        <f>R55-R53-R115</f>
        <v>14325.10230514803</v>
      </c>
      <c r="S56" s="61"/>
      <c r="T56" s="84"/>
      <c r="U56" s="84"/>
      <c r="V56" s="61"/>
      <c r="W56" s="25" t="s">
        <v>119</v>
      </c>
      <c r="X56" s="84">
        <f>X55-X53-X115</f>
        <v>-222882.19601258263</v>
      </c>
      <c r="Y56" s="61"/>
      <c r="Z56" s="84"/>
      <c r="AA56" s="84"/>
      <c r="AB56" s="61"/>
      <c r="AC56" s="61"/>
      <c r="AD56" s="61"/>
      <c r="AE56" s="61"/>
      <c r="AF56" s="61"/>
      <c r="AG56" s="61"/>
      <c r="AH56" s="61"/>
      <c r="AI56" s="61"/>
      <c r="AK56" s="61"/>
      <c r="AL56" s="360"/>
      <c r="AM56" s="364"/>
      <c r="AN56" s="360"/>
      <c r="AO56" s="360"/>
      <c r="AP56" s="360"/>
      <c r="AQ56" s="61"/>
      <c r="AR56" s="172"/>
      <c r="AS56" s="172"/>
      <c r="AT56" s="172"/>
      <c r="AU56" s="84"/>
      <c r="AW56" s="61"/>
    </row>
    <row r="57" spans="1:59" ht="16">
      <c r="Q57" s="25" t="s">
        <v>1344</v>
      </c>
      <c r="R57" s="84"/>
      <c r="S57" s="84">
        <f>S55-S115</f>
        <v>0</v>
      </c>
      <c r="T57" s="84">
        <f>T55-T115</f>
        <v>160570.63499999978</v>
      </c>
      <c r="U57" s="84">
        <f>U55-U115</f>
        <v>149866.72800000012</v>
      </c>
      <c r="V57" s="84">
        <f>SUM(V43:V54)</f>
        <v>311227.87639068958</v>
      </c>
      <c r="W57" s="25" t="s">
        <v>1344</v>
      </c>
      <c r="X57" s="84"/>
      <c r="Y57" s="84">
        <f>Y55-Y115</f>
        <v>0</v>
      </c>
      <c r="Z57" s="84">
        <f>Z55-Z115</f>
        <v>314163.55900000408</v>
      </c>
      <c r="AA57" s="84">
        <f>AA55-AA115</f>
        <v>421902.5980000014</v>
      </c>
      <c r="AB57" s="84">
        <f>SUM(AB43:AB54)</f>
        <v>1227948.6345797076</v>
      </c>
      <c r="AC57" s="84"/>
      <c r="AD57" s="84"/>
      <c r="AE57" s="61"/>
      <c r="AF57" s="61" t="s">
        <v>832</v>
      </c>
      <c r="AG57" s="61"/>
      <c r="AH57" s="61"/>
      <c r="AI57" s="61"/>
      <c r="AK57" s="61"/>
      <c r="AL57" s="360"/>
      <c r="AM57" s="364"/>
      <c r="AN57" s="360"/>
      <c r="AO57" s="360"/>
      <c r="AP57" s="360"/>
      <c r="AQ57" s="61"/>
      <c r="AR57" s="61"/>
      <c r="AS57" s="61"/>
      <c r="AT57" s="61"/>
      <c r="AU57" s="61"/>
    </row>
    <row r="58" spans="1:59" ht="16"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 t="s">
        <v>1405</v>
      </c>
      <c r="AG58" s="61"/>
      <c r="AH58" s="61"/>
      <c r="AI58" s="61"/>
      <c r="AK58" s="61"/>
      <c r="AL58" s="360"/>
      <c r="AM58" s="364"/>
      <c r="AN58" s="360"/>
      <c r="AO58" s="360"/>
      <c r="AP58" s="360"/>
      <c r="AQ58" s="61"/>
      <c r="AR58" s="69"/>
      <c r="AS58" s="69"/>
      <c r="AT58" s="61"/>
      <c r="AU58" s="69"/>
    </row>
    <row r="59" spans="1:59" ht="16">
      <c r="A59" s="3" t="s">
        <v>461</v>
      </c>
      <c r="K59" s="505">
        <f>'Exhibit B,2'!W72+'Exhibit B,3'!AK72</f>
        <v>1382274.0335830925</v>
      </c>
      <c r="R59" s="17"/>
      <c r="S59" s="61"/>
      <c r="T59" s="61"/>
      <c r="V59" s="17"/>
      <c r="W59" s="61"/>
      <c r="X59" s="17"/>
      <c r="Y59" s="69"/>
      <c r="Z59" s="69"/>
      <c r="AB59" s="17"/>
      <c r="AC59" s="17"/>
      <c r="AD59" s="17"/>
      <c r="AE59" s="61"/>
      <c r="AF59" s="61"/>
      <c r="AG59" s="61"/>
      <c r="AH59" s="61"/>
      <c r="AI59" s="61"/>
      <c r="AK59" s="61"/>
      <c r="AL59" s="360"/>
      <c r="AM59" s="364"/>
      <c r="AN59" s="360"/>
      <c r="AO59" s="360"/>
      <c r="AP59" s="360"/>
      <c r="AQ59" s="61"/>
      <c r="AR59" s="61"/>
      <c r="AS59" s="61"/>
      <c r="AT59" s="61"/>
      <c r="AU59" s="61"/>
    </row>
    <row r="60" spans="1:59" ht="16">
      <c r="A60" s="3" t="s">
        <v>462</v>
      </c>
      <c r="K60" s="541">
        <v>0</v>
      </c>
      <c r="Q60" s="61"/>
      <c r="R60" s="61"/>
      <c r="S60" s="61"/>
      <c r="T60" s="61"/>
      <c r="U60" s="61"/>
      <c r="V60" s="61"/>
      <c r="W60" s="61"/>
      <c r="X60" s="69"/>
      <c r="Y60" s="69"/>
      <c r="Z60" s="69"/>
      <c r="AA60" s="69"/>
      <c r="AB60" s="61"/>
      <c r="AC60" s="61"/>
      <c r="AD60" s="61"/>
      <c r="AE60" s="61"/>
      <c r="AF60" s="61"/>
      <c r="AG60" s="61"/>
      <c r="AH60" s="61"/>
      <c r="AI60" s="61"/>
      <c r="AK60" s="61"/>
      <c r="AL60" s="360"/>
      <c r="AM60" s="364"/>
      <c r="AN60" s="360"/>
      <c r="AO60" s="360"/>
      <c r="AP60" s="360"/>
      <c r="AQ60" s="61"/>
      <c r="AR60" s="61"/>
      <c r="AS60" s="61"/>
      <c r="AT60" s="61"/>
      <c r="AU60" s="61"/>
    </row>
    <row r="61" spans="1:59" ht="16">
      <c r="A61" s="3" t="s">
        <v>741</v>
      </c>
      <c r="K61" s="138">
        <f>K56+K60+K59</f>
        <v>45316259.142990991</v>
      </c>
      <c r="AL61" s="360"/>
      <c r="AM61" s="364"/>
      <c r="AN61" s="360"/>
      <c r="AO61" s="360"/>
      <c r="AP61" s="360"/>
    </row>
    <row r="62" spans="1:59" ht="16">
      <c r="X62" s="61"/>
      <c r="Y62" s="61"/>
      <c r="Z62" s="69"/>
      <c r="AA62" s="69"/>
      <c r="AL62" s="360"/>
      <c r="AM62" s="364"/>
      <c r="AN62" s="360"/>
      <c r="AO62" s="360"/>
      <c r="AP62" s="360"/>
    </row>
    <row r="63" spans="1:59" ht="16">
      <c r="X63" s="61"/>
      <c r="Y63" s="61"/>
      <c r="Z63" s="61"/>
      <c r="AA63" s="61"/>
      <c r="AL63" s="360"/>
      <c r="AM63" s="364"/>
      <c r="AN63" s="360"/>
      <c r="AO63" s="360"/>
      <c r="AP63" s="360"/>
    </row>
    <row r="64" spans="1:59" ht="16">
      <c r="X64" s="61"/>
      <c r="Y64" s="61"/>
      <c r="Z64" s="61"/>
      <c r="AA64" s="61"/>
      <c r="AL64" s="360"/>
      <c r="AM64" s="364"/>
      <c r="AN64" s="360"/>
      <c r="AO64" s="360"/>
      <c r="AP64" s="360"/>
    </row>
    <row r="65" spans="1:42" ht="16">
      <c r="A65" s="52" t="s">
        <v>104</v>
      </c>
      <c r="B65" s="3" t="s">
        <v>970</v>
      </c>
      <c r="X65" s="61"/>
      <c r="Y65" s="61"/>
      <c r="Z65" s="61"/>
      <c r="AA65" s="61"/>
      <c r="AL65" s="360"/>
      <c r="AM65" s="364"/>
      <c r="AN65" s="360"/>
      <c r="AO65" s="360"/>
      <c r="AP65" s="360"/>
    </row>
    <row r="66" spans="1:42" ht="16">
      <c r="A66" s="52"/>
      <c r="B66" s="3" t="s">
        <v>971</v>
      </c>
      <c r="AL66" s="360"/>
      <c r="AM66" s="364"/>
      <c r="AN66" s="360"/>
      <c r="AO66" s="360"/>
      <c r="AP66" s="360"/>
    </row>
    <row r="67" spans="1:42" ht="16">
      <c r="A67" s="52"/>
      <c r="B67" s="3" t="s">
        <v>972</v>
      </c>
      <c r="AL67" s="360"/>
      <c r="AM67" s="364"/>
      <c r="AN67" s="360"/>
      <c r="AO67" s="360"/>
      <c r="AP67" s="360"/>
    </row>
    <row r="68" spans="1:42" ht="16">
      <c r="A68" s="52" t="s">
        <v>36</v>
      </c>
      <c r="B68" s="3" t="s">
        <v>973</v>
      </c>
      <c r="AL68" s="360"/>
      <c r="AM68" s="364"/>
      <c r="AN68" s="360"/>
      <c r="AO68" s="360"/>
      <c r="AP68" s="360"/>
    </row>
    <row r="69" spans="1:42" ht="16">
      <c r="A69" s="52"/>
      <c r="B69" s="3" t="s">
        <v>974</v>
      </c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L69" s="360"/>
      <c r="AM69" s="364"/>
      <c r="AN69" s="360"/>
      <c r="AO69" s="360"/>
      <c r="AP69" s="360"/>
    </row>
    <row r="70" spans="1:42" ht="16">
      <c r="A70" s="52"/>
      <c r="B70" s="3" t="s">
        <v>975</v>
      </c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L70" s="360"/>
      <c r="AM70" s="364"/>
      <c r="AN70" s="360"/>
      <c r="AO70" s="360"/>
      <c r="AP70" s="360"/>
    </row>
    <row r="71" spans="1:42" ht="16">
      <c r="A71" s="52" t="s">
        <v>38</v>
      </c>
      <c r="B71" s="3" t="s">
        <v>976</v>
      </c>
      <c r="Q71" s="61"/>
      <c r="R71" s="61"/>
      <c r="S71" s="25" t="s">
        <v>329</v>
      </c>
      <c r="T71" s="61"/>
      <c r="U71" s="61"/>
      <c r="V71" s="61"/>
      <c r="W71" s="61"/>
      <c r="X71" s="61"/>
      <c r="Y71" s="25" t="s">
        <v>478</v>
      </c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L71" s="360"/>
      <c r="AM71" s="364"/>
      <c r="AN71" s="360"/>
      <c r="AO71" s="360"/>
      <c r="AP71" s="360"/>
    </row>
    <row r="72" spans="1:42" ht="16">
      <c r="A72" s="52"/>
      <c r="B72" s="3" t="s">
        <v>977</v>
      </c>
      <c r="Q72" s="61"/>
      <c r="R72" s="61"/>
      <c r="S72" s="25" t="s">
        <v>9</v>
      </c>
      <c r="T72" s="61"/>
      <c r="U72" s="61"/>
      <c r="V72" s="61"/>
      <c r="W72" s="61"/>
      <c r="X72" s="61"/>
      <c r="Y72" s="25" t="s">
        <v>9</v>
      </c>
      <c r="Z72" s="61"/>
      <c r="AA72" s="61"/>
      <c r="AB72" s="61"/>
      <c r="AC72" s="61"/>
      <c r="AD72" s="61"/>
      <c r="AE72" s="61"/>
      <c r="AF72" s="25"/>
      <c r="AG72" s="25"/>
      <c r="AH72" s="25"/>
      <c r="AI72" s="25"/>
      <c r="AL72" s="360"/>
      <c r="AM72" s="364"/>
      <c r="AN72" s="360"/>
      <c r="AO72" s="360"/>
      <c r="AP72" s="360"/>
    </row>
    <row r="73" spans="1:42" ht="16">
      <c r="A73" s="52"/>
      <c r="B73" s="3" t="s">
        <v>978</v>
      </c>
      <c r="Q73" s="25" t="s">
        <v>3</v>
      </c>
      <c r="R73" s="97" t="s">
        <v>67</v>
      </c>
      <c r="S73" s="97"/>
      <c r="T73" s="25" t="s">
        <v>14</v>
      </c>
      <c r="U73" s="25" t="s">
        <v>12</v>
      </c>
      <c r="V73" s="61"/>
      <c r="W73" s="25" t="s">
        <v>3</v>
      </c>
      <c r="X73" s="97" t="s">
        <v>67</v>
      </c>
      <c r="Y73" s="97"/>
      <c r="Z73" s="25" t="s">
        <v>14</v>
      </c>
      <c r="AA73" s="25" t="s">
        <v>12</v>
      </c>
      <c r="AB73" s="61"/>
      <c r="AC73" s="61"/>
      <c r="AD73" s="61"/>
      <c r="AE73" s="61"/>
      <c r="AF73" s="25"/>
      <c r="AG73" s="25"/>
      <c r="AH73" s="25"/>
      <c r="AI73" s="25"/>
      <c r="AL73" s="360"/>
      <c r="AM73" s="364"/>
      <c r="AN73" s="360"/>
      <c r="AO73" s="360"/>
      <c r="AP73" s="360"/>
    </row>
    <row r="74" spans="1:42" ht="16">
      <c r="A74" s="52" t="s">
        <v>40</v>
      </c>
      <c r="B74" s="3" t="s">
        <v>464</v>
      </c>
      <c r="Q74" s="25" t="s">
        <v>4</v>
      </c>
      <c r="R74" s="97" t="s">
        <v>55</v>
      </c>
      <c r="S74" s="97"/>
      <c r="T74" s="25" t="s">
        <v>1369</v>
      </c>
      <c r="U74" s="25" t="s">
        <v>1369</v>
      </c>
      <c r="V74" s="61"/>
      <c r="W74" s="25" t="s">
        <v>4</v>
      </c>
      <c r="X74" s="97" t="s">
        <v>55</v>
      </c>
      <c r="Y74" s="97"/>
      <c r="Z74" s="25" t="s">
        <v>1369</v>
      </c>
      <c r="AA74" s="25" t="s">
        <v>1369</v>
      </c>
      <c r="AB74" s="61"/>
      <c r="AC74" s="61"/>
      <c r="AD74" s="61"/>
      <c r="AE74" s="61"/>
      <c r="AF74" s="25"/>
      <c r="AG74" s="25"/>
      <c r="AH74" s="25"/>
      <c r="AI74" s="25"/>
      <c r="AL74" s="360"/>
      <c r="AM74" s="364"/>
      <c r="AN74" s="360"/>
      <c r="AO74" s="360"/>
      <c r="AP74" s="360"/>
    </row>
    <row r="75" spans="1:42" ht="16">
      <c r="A75" s="52" t="s">
        <v>42</v>
      </c>
      <c r="B75" s="1" t="s">
        <v>120</v>
      </c>
      <c r="Q75" s="142" t="s">
        <v>27</v>
      </c>
      <c r="R75" s="142" t="s">
        <v>33</v>
      </c>
      <c r="S75" s="142"/>
      <c r="T75" s="142" t="s">
        <v>36</v>
      </c>
      <c r="U75" s="142" t="s">
        <v>36</v>
      </c>
      <c r="V75" s="61"/>
      <c r="W75" s="142" t="s">
        <v>27</v>
      </c>
      <c r="X75" s="142" t="s">
        <v>33</v>
      </c>
      <c r="Y75" s="142"/>
      <c r="Z75" s="142" t="s">
        <v>36</v>
      </c>
      <c r="AA75" s="142" t="s">
        <v>36</v>
      </c>
      <c r="AB75" s="61"/>
      <c r="AC75" s="61"/>
      <c r="AD75" s="61"/>
      <c r="AE75" s="61"/>
      <c r="AL75" s="360"/>
      <c r="AM75" s="364"/>
      <c r="AN75" s="360"/>
      <c r="AO75" s="360"/>
      <c r="AP75" s="360"/>
    </row>
    <row r="76" spans="1:42" ht="16">
      <c r="A76" s="52" t="s">
        <v>30</v>
      </c>
      <c r="B76" s="3" t="s">
        <v>1524</v>
      </c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L76" s="360"/>
      <c r="AM76" s="364"/>
      <c r="AN76" s="360"/>
      <c r="AO76" s="360"/>
      <c r="AP76" s="360"/>
    </row>
    <row r="77" spans="1:42" ht="16">
      <c r="A77" s="64" t="s">
        <v>31</v>
      </c>
      <c r="B77" s="1" t="s">
        <v>1553</v>
      </c>
      <c r="R77" s="61"/>
      <c r="S77" s="61"/>
      <c r="T77" s="61"/>
      <c r="U77" s="61"/>
      <c r="V77" s="61"/>
      <c r="X77" s="61"/>
      <c r="Y77" s="61"/>
      <c r="Z77" s="61"/>
      <c r="AA77" s="61"/>
      <c r="AB77" s="61"/>
      <c r="AC77" s="61"/>
      <c r="AD77" s="61"/>
      <c r="AE77" s="61"/>
      <c r="AF77" s="172"/>
      <c r="AG77" s="84"/>
      <c r="AH77" s="172"/>
      <c r="AI77" s="84"/>
      <c r="AL77" s="360"/>
      <c r="AM77" s="364"/>
      <c r="AN77" s="360"/>
      <c r="AO77" s="360"/>
      <c r="AP77" s="360"/>
    </row>
    <row r="78" spans="1:42">
      <c r="A78" s="64" t="s">
        <v>103</v>
      </c>
      <c r="B78" s="3" t="s">
        <v>979</v>
      </c>
      <c r="Q78" s="97" t="s">
        <v>2</v>
      </c>
      <c r="R78" s="407">
        <f>'Exhibit B,2'!AF58</f>
        <v>35104.619999999995</v>
      </c>
      <c r="S78" s="407"/>
      <c r="T78" s="407">
        <f>'Exhibit B,2'!AC58</f>
        <v>35104.619999999995</v>
      </c>
      <c r="U78" s="407">
        <f>'Exhibit B,2'!AD58</f>
        <v>35104.619999999995</v>
      </c>
      <c r="V78" s="61"/>
      <c r="W78" s="97" t="s">
        <v>2</v>
      </c>
      <c r="X78" s="407">
        <f>'Exhibit B,3'!BV58</f>
        <v>2700</v>
      </c>
      <c r="Y78" s="407"/>
      <c r="Z78" s="407">
        <f>'Exhibit B,3'!AS58</f>
        <v>2700</v>
      </c>
      <c r="AA78" s="407">
        <f>'Exhibit B,3'!AT58</f>
        <v>2700</v>
      </c>
      <c r="AB78" s="61"/>
      <c r="AC78" s="61"/>
      <c r="AD78" s="61"/>
      <c r="AE78" s="61"/>
      <c r="AF78" s="172"/>
      <c r="AG78" s="84"/>
      <c r="AH78" s="172"/>
      <c r="AI78" s="84"/>
    </row>
    <row r="79" spans="1:42">
      <c r="A79" s="64"/>
      <c r="Q79" s="25">
        <v>2013</v>
      </c>
      <c r="R79" s="407">
        <f>'Exhibit B,2'!AF59</f>
        <v>8866.2892850427543</v>
      </c>
      <c r="S79" s="407"/>
      <c r="T79" s="407">
        <f>'Exhibit B,2'!AC59</f>
        <v>8861.26</v>
      </c>
      <c r="U79" s="407">
        <f>'Exhibit B,2'!AD59</f>
        <v>8861.26</v>
      </c>
      <c r="V79" s="61"/>
      <c r="W79" s="25">
        <v>2013</v>
      </c>
      <c r="X79" s="407">
        <f>'Exhibit B,3'!BV59</f>
        <v>1721</v>
      </c>
      <c r="Y79" s="407"/>
      <c r="Z79" s="407">
        <f>'Exhibit B,3'!AS59</f>
        <v>1721</v>
      </c>
      <c r="AA79" s="407">
        <f>'Exhibit B,3'!AT59</f>
        <v>1721</v>
      </c>
      <c r="AB79" s="61"/>
      <c r="AC79" s="61"/>
      <c r="AD79" s="61"/>
      <c r="AE79" s="61"/>
      <c r="AF79" s="172"/>
      <c r="AG79" s="84"/>
      <c r="AH79" s="172"/>
      <c r="AI79" s="84"/>
    </row>
    <row r="80" spans="1:42">
      <c r="Q80" s="25">
        <f>Q79+1</f>
        <v>2014</v>
      </c>
      <c r="R80" s="407">
        <f>'Exhibit B,2'!AF60</f>
        <v>4098483.9726151465</v>
      </c>
      <c r="S80" s="407"/>
      <c r="T80" s="407">
        <f>'Exhibit B,2'!AC60</f>
        <v>4078500.86</v>
      </c>
      <c r="U80" s="407">
        <f>'Exhibit B,2'!AD60</f>
        <v>4078500.86</v>
      </c>
      <c r="V80" s="61"/>
      <c r="W80" s="25">
        <f>W79+1</f>
        <v>2014</v>
      </c>
      <c r="X80" s="407">
        <f>'Exhibit B,3'!BV60</f>
        <v>182148.68272903192</v>
      </c>
      <c r="Y80" s="407"/>
      <c r="Z80" s="407">
        <f>'Exhibit B,3'!AS60</f>
        <v>57021.58</v>
      </c>
      <c r="AA80" s="407">
        <f>'Exhibit B,3'!AT60</f>
        <v>174000</v>
      </c>
      <c r="AB80" s="61"/>
      <c r="AC80" s="61"/>
      <c r="AD80" s="61"/>
      <c r="AE80" s="61"/>
      <c r="AF80" s="172"/>
      <c r="AG80" s="84"/>
      <c r="AH80" s="172"/>
      <c r="AI80" s="84"/>
    </row>
    <row r="81" spans="17:35">
      <c r="Q81" s="25">
        <f t="shared" ref="Q81:Q87" si="30">Q80+1</f>
        <v>2015</v>
      </c>
      <c r="R81" s="407">
        <f>'Exhibit B,2'!AF61</f>
        <v>2758506.4177422584</v>
      </c>
      <c r="S81" s="407"/>
      <c r="T81" s="407">
        <f>'Exhibit B,2'!AC61</f>
        <v>2710527.3699999996</v>
      </c>
      <c r="U81" s="407">
        <f>'Exhibit B,2'!AD61</f>
        <v>2710527.3699999996</v>
      </c>
      <c r="V81" s="61"/>
      <c r="W81" s="25">
        <f t="shared" ref="W81:W87" si="31">W80+1</f>
        <v>2015</v>
      </c>
      <c r="X81" s="407">
        <f>'Exhibit B,3'!BV61</f>
        <v>420050.01190050301</v>
      </c>
      <c r="Y81" s="407"/>
      <c r="Z81" s="407">
        <f>'Exhibit B,3'!AS61</f>
        <v>343940.74</v>
      </c>
      <c r="AA81" s="407">
        <f>'Exhibit B,3'!AT61</f>
        <v>386430.74</v>
      </c>
      <c r="AB81" s="61"/>
      <c r="AC81" s="61"/>
      <c r="AD81" s="61"/>
      <c r="AE81" s="61"/>
      <c r="AF81" s="172"/>
      <c r="AG81" s="84"/>
      <c r="AH81" s="172"/>
      <c r="AI81" s="84"/>
    </row>
    <row r="82" spans="17:35">
      <c r="Q82" s="25">
        <f t="shared" si="30"/>
        <v>2016</v>
      </c>
      <c r="R82" s="407">
        <f>'Exhibit B,2'!AF62</f>
        <v>3145810.3586069643</v>
      </c>
      <c r="S82" s="407"/>
      <c r="T82" s="407">
        <f>'Exhibit B,2'!AC62</f>
        <v>3014251.8099999996</v>
      </c>
      <c r="U82" s="407">
        <f>'Exhibit B,2'!AD62</f>
        <v>3014251.8099999996</v>
      </c>
      <c r="V82" s="61"/>
      <c r="W82" s="25">
        <f t="shared" si="31"/>
        <v>2016</v>
      </c>
      <c r="X82" s="407">
        <f>'Exhibit B,3'!BV62</f>
        <v>12981648.014026549</v>
      </c>
      <c r="Y82" s="407"/>
      <c r="Z82" s="407">
        <f>'Exhibit B,3'!AS62</f>
        <v>10491209.669999998</v>
      </c>
      <c r="AA82" s="407">
        <f>'Exhibit B,3'!AT62</f>
        <v>11889817.349999998</v>
      </c>
      <c r="AB82" s="61"/>
      <c r="AC82" s="61"/>
      <c r="AD82" s="61"/>
      <c r="AE82" s="61"/>
      <c r="AF82" s="172"/>
      <c r="AG82" s="84"/>
      <c r="AH82" s="172"/>
      <c r="AI82" s="84"/>
    </row>
    <row r="83" spans="17:35">
      <c r="Q83" s="25">
        <f t="shared" si="30"/>
        <v>2017</v>
      </c>
      <c r="R83" s="407">
        <f>'Exhibit B,2'!AF63</f>
        <v>2497327.4652104336</v>
      </c>
      <c r="S83" s="407"/>
      <c r="T83" s="407">
        <f>'Exhibit B,2'!AC63</f>
        <v>1645974.7000000002</v>
      </c>
      <c r="U83" s="407">
        <f>'Exhibit B,2'!AD63</f>
        <v>2270922.0199999996</v>
      </c>
      <c r="V83" s="61"/>
      <c r="W83" s="25">
        <f t="shared" si="31"/>
        <v>2017</v>
      </c>
      <c r="X83" s="407">
        <f>'Exhibit B,3'!BV63</f>
        <v>9287108.3883028012</v>
      </c>
      <c r="Y83" s="407"/>
      <c r="Z83" s="407">
        <f>'Exhibit B,3'!AS63</f>
        <v>6530930.6399999997</v>
      </c>
      <c r="AA83" s="407">
        <f>'Exhibit B,3'!AT63</f>
        <v>7016555.5999999996</v>
      </c>
      <c r="AB83" s="61"/>
      <c r="AC83" s="61"/>
      <c r="AD83" s="61"/>
      <c r="AE83" s="61"/>
      <c r="AF83" s="172"/>
      <c r="AG83" s="84"/>
      <c r="AH83" s="172"/>
      <c r="AI83" s="84"/>
    </row>
    <row r="84" spans="17:35">
      <c r="Q84" s="25">
        <f t="shared" si="30"/>
        <v>2018</v>
      </c>
      <c r="R84" s="407">
        <f>'Exhibit B,2'!AF64</f>
        <v>969821.96801306633</v>
      </c>
      <c r="S84" s="407"/>
      <c r="T84" s="407">
        <f>'Exhibit B,2'!AC64</f>
        <v>91450.64</v>
      </c>
      <c r="U84" s="407">
        <f>'Exhibit B,2'!AD64</f>
        <v>91450.64</v>
      </c>
      <c r="V84" s="61"/>
      <c r="W84" s="25">
        <f t="shared" si="31"/>
        <v>2018</v>
      </c>
      <c r="X84" s="407">
        <f>'Exhibit B,3'!BV64</f>
        <v>13336926.271990387</v>
      </c>
      <c r="Y84" s="407"/>
      <c r="Z84" s="407">
        <f>'Exhibit B,3'!AS64</f>
        <v>5628389.5600000005</v>
      </c>
      <c r="AA84" s="407">
        <f>'Exhibit B,3'!AT64</f>
        <v>6356563.9399999995</v>
      </c>
      <c r="AB84" s="61"/>
      <c r="AC84" s="61"/>
      <c r="AD84" s="61"/>
      <c r="AE84" s="61"/>
      <c r="AF84" s="172"/>
      <c r="AG84" s="84"/>
      <c r="AH84" s="172"/>
      <c r="AI84" s="84"/>
    </row>
    <row r="85" spans="17:35">
      <c r="Q85" s="25">
        <f t="shared" si="30"/>
        <v>2019</v>
      </c>
      <c r="R85" s="407">
        <f>'Exhibit B,2'!AF65</f>
        <v>5042383.2389706727</v>
      </c>
      <c r="S85" s="407"/>
      <c r="T85" s="407">
        <f>'Exhibit B,2'!AC65</f>
        <v>1158122.77</v>
      </c>
      <c r="U85" s="407">
        <f>'Exhibit B,2'!AD65</f>
        <v>3269032.72</v>
      </c>
      <c r="V85" s="61"/>
      <c r="W85" s="25">
        <f t="shared" si="31"/>
        <v>2019</v>
      </c>
      <c r="X85" s="407">
        <f>'Exhibit B,3'!BV65</f>
        <v>16958247.921044309</v>
      </c>
      <c r="Y85" s="407"/>
      <c r="Z85" s="407">
        <f>'Exhibit B,3'!AS65</f>
        <v>2927762.03</v>
      </c>
      <c r="AA85" s="407">
        <f>'Exhibit B,3'!AT65</f>
        <v>5283263.83</v>
      </c>
      <c r="AB85" s="61"/>
      <c r="AC85" s="61"/>
      <c r="AD85" s="61"/>
      <c r="AE85" s="61"/>
      <c r="AF85" s="172"/>
      <c r="AG85" s="84"/>
      <c r="AH85" s="172"/>
      <c r="AI85" s="84"/>
    </row>
    <row r="86" spans="17:35">
      <c r="Q86" s="25">
        <f t="shared" si="30"/>
        <v>2020</v>
      </c>
      <c r="R86" s="407">
        <f>'Exhibit B,2'!AF66</f>
        <v>1802489.7877638002</v>
      </c>
      <c r="S86" s="407"/>
      <c r="T86" s="407">
        <f>'Exhibit B,2'!AC66</f>
        <v>350439.26</v>
      </c>
      <c r="U86" s="407">
        <f>'Exhibit B,2'!AD66</f>
        <v>505921.7</v>
      </c>
      <c r="V86" s="61"/>
      <c r="W86" s="25">
        <f t="shared" si="31"/>
        <v>2020</v>
      </c>
      <c r="X86" s="407">
        <f>'Exhibit B,3'!BV66</f>
        <v>2363393.2782432334</v>
      </c>
      <c r="Y86" s="407"/>
      <c r="Z86" s="407">
        <f>'Exhibit B,3'!AS66</f>
        <v>129673.56000000001</v>
      </c>
      <c r="AA86" s="407">
        <f>'Exhibit B,3'!AT66</f>
        <v>356590.2</v>
      </c>
      <c r="AB86" s="61"/>
      <c r="AC86" s="61"/>
      <c r="AD86" s="61"/>
      <c r="AE86" s="61"/>
      <c r="AF86" s="172"/>
      <c r="AG86" s="84"/>
      <c r="AH86" s="172"/>
      <c r="AI86" s="84"/>
    </row>
    <row r="87" spans="17:35">
      <c r="Q87" s="25">
        <f t="shared" si="30"/>
        <v>2021</v>
      </c>
      <c r="R87" s="407">
        <f>'Exhibit B,2'!AF67</f>
        <v>2522311.4652727419</v>
      </c>
      <c r="S87" s="407"/>
      <c r="T87" s="407">
        <f>'Exhibit B,2'!AC67</f>
        <v>37551.15</v>
      </c>
      <c r="U87" s="407">
        <f>'Exhibit B,2'!AD67</f>
        <v>358113</v>
      </c>
      <c r="V87" s="61"/>
      <c r="W87" s="25">
        <f t="shared" si="31"/>
        <v>2021</v>
      </c>
      <c r="X87" s="407">
        <f>'Exhibit B,3'!BV67</f>
        <v>2355885.6960774497</v>
      </c>
      <c r="Y87" s="407"/>
      <c r="Z87" s="407">
        <f>'Exhibit B,3'!AS67</f>
        <v>0</v>
      </c>
      <c r="AA87" s="407">
        <f>'Exhibit B,3'!AT67</f>
        <v>0</v>
      </c>
      <c r="AB87" s="61"/>
      <c r="AC87" s="61"/>
      <c r="AD87" s="61"/>
      <c r="AE87" s="61"/>
      <c r="AF87" s="172"/>
      <c r="AG87" s="84"/>
      <c r="AH87" s="172"/>
      <c r="AI87" s="84"/>
    </row>
    <row r="88" spans="17:35">
      <c r="Q88" s="25"/>
      <c r="R88" s="61"/>
      <c r="S88" s="61"/>
      <c r="T88" s="61"/>
      <c r="U88" s="61"/>
      <c r="V88" s="61"/>
      <c r="W88" s="25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</row>
    <row r="89" spans="17:35">
      <c r="Q89" s="25"/>
      <c r="R89" s="61"/>
      <c r="S89" s="61"/>
      <c r="T89" s="61"/>
      <c r="U89" s="61"/>
      <c r="V89" s="61"/>
      <c r="W89" s="25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</row>
    <row r="90" spans="17:35">
      <c r="Q90" s="25"/>
      <c r="R90" s="61"/>
      <c r="S90" s="61"/>
      <c r="T90" s="61"/>
      <c r="U90" s="61"/>
      <c r="V90" s="61"/>
      <c r="W90" s="25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</row>
    <row r="91" spans="17:35">
      <c r="Q91" s="25" t="s">
        <v>0</v>
      </c>
      <c r="R91" s="84">
        <f>SUM(R78:R87)</f>
        <v>22881105.583480127</v>
      </c>
      <c r="S91" s="61"/>
      <c r="T91" s="84">
        <f t="shared" ref="T91:U91" si="32">SUM(T78:T87)</f>
        <v>13130784.439999998</v>
      </c>
      <c r="U91" s="84">
        <f t="shared" si="32"/>
        <v>16342685.999999998</v>
      </c>
      <c r="V91" s="61"/>
      <c r="W91" s="25" t="s">
        <v>0</v>
      </c>
      <c r="X91" s="84">
        <f>SUM(X78:X87)</f>
        <v>57889829.264314272</v>
      </c>
      <c r="Y91" s="61"/>
      <c r="Z91" s="84">
        <f t="shared" ref="Z91:AA91" si="33">SUM(Z78:Z87)</f>
        <v>26113348.779999997</v>
      </c>
      <c r="AA91" s="84">
        <f t="shared" si="33"/>
        <v>31467642.659999993</v>
      </c>
      <c r="AB91" s="61"/>
      <c r="AC91" s="61" t="s">
        <v>67</v>
      </c>
      <c r="AD91" s="61" t="s">
        <v>14</v>
      </c>
      <c r="AE91" s="84" t="s">
        <v>12</v>
      </c>
      <c r="AH91" s="84"/>
      <c r="AI91" s="84"/>
    </row>
    <row r="92" spans="17:35">
      <c r="Q92" s="25" t="s">
        <v>685</v>
      </c>
      <c r="R92" s="84">
        <f>R91-'Exhibit B,2'!AF70-'Exhibit B,2'!AF58</f>
        <v>-2.6775524020195007E-9</v>
      </c>
      <c r="S92" s="61"/>
      <c r="T92" s="84"/>
      <c r="U92" s="84"/>
      <c r="V92" s="61"/>
      <c r="W92" s="25"/>
      <c r="X92" s="84"/>
      <c r="Y92" s="61"/>
      <c r="Z92" s="84"/>
      <c r="AA92" s="84"/>
      <c r="AB92" s="61" t="s">
        <v>685</v>
      </c>
      <c r="AC92" s="84">
        <f>R91+X91-AD31-R78-X78</f>
        <v>4.7730281949043274E-9</v>
      </c>
      <c r="AD92" s="84">
        <f>T91+Z91-AF31</f>
        <v>0</v>
      </c>
      <c r="AE92" s="84">
        <f>U91+AA91-AH31</f>
        <v>0</v>
      </c>
      <c r="AH92" s="84"/>
      <c r="AI92" s="84"/>
    </row>
    <row r="93" spans="17:35">
      <c r="Q93" s="25"/>
      <c r="R93" s="84"/>
      <c r="S93" s="61"/>
      <c r="T93" s="84"/>
      <c r="U93" s="84"/>
      <c r="V93" s="61"/>
      <c r="W93" s="25"/>
      <c r="X93" s="84"/>
      <c r="Y93" s="61"/>
      <c r="Z93" s="84"/>
      <c r="AA93" s="84"/>
      <c r="AB93" s="61"/>
      <c r="AC93" s="61"/>
      <c r="AD93" s="61"/>
      <c r="AF93" s="61"/>
      <c r="AG93" s="84"/>
      <c r="AH93" s="84"/>
      <c r="AI93" s="84"/>
    </row>
    <row r="94" spans="17:35">
      <c r="Q94" s="25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</row>
    <row r="95" spans="17:35">
      <c r="Q95" s="25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</row>
    <row r="96" spans="17:35">
      <c r="Q96" s="61"/>
      <c r="R96" s="61"/>
      <c r="S96" s="25" t="s">
        <v>329</v>
      </c>
      <c r="T96" s="61"/>
      <c r="U96" s="61"/>
      <c r="V96" s="61"/>
      <c r="W96" s="61"/>
      <c r="X96" s="61"/>
      <c r="Y96" s="25" t="s">
        <v>478</v>
      </c>
      <c r="Z96" s="61"/>
      <c r="AA96" s="61"/>
      <c r="AB96" s="61"/>
      <c r="AC96" s="61"/>
      <c r="AD96" s="61"/>
      <c r="AE96" s="61"/>
      <c r="AF96" s="61"/>
      <c r="AG96" s="61"/>
      <c r="AH96" s="61"/>
      <c r="AI96" s="61"/>
    </row>
    <row r="97" spans="16:36">
      <c r="Q97" s="61"/>
      <c r="R97" s="61"/>
      <c r="S97" s="25" t="s">
        <v>17</v>
      </c>
      <c r="T97" s="61"/>
      <c r="U97" s="61"/>
      <c r="V97" s="61"/>
      <c r="W97" s="61"/>
      <c r="X97" s="61"/>
      <c r="Y97" s="25" t="s">
        <v>17</v>
      </c>
      <c r="Z97" s="61"/>
      <c r="AA97" s="61"/>
      <c r="AB97" s="61"/>
      <c r="AC97" s="61"/>
      <c r="AD97" s="61"/>
      <c r="AE97" s="61"/>
      <c r="AF97" s="25"/>
      <c r="AG97" s="25"/>
      <c r="AH97" s="61"/>
      <c r="AI97" s="25"/>
      <c r="AJ97" s="25"/>
    </row>
    <row r="98" spans="16:36">
      <c r="Q98" s="25" t="s">
        <v>3</v>
      </c>
      <c r="R98" s="97" t="s">
        <v>67</v>
      </c>
      <c r="S98" s="97"/>
      <c r="T98" s="25" t="s">
        <v>14</v>
      </c>
      <c r="U98" s="25" t="s">
        <v>12</v>
      </c>
      <c r="V98" s="61"/>
      <c r="W98" s="25" t="s">
        <v>3</v>
      </c>
      <c r="X98" s="97" t="s">
        <v>67</v>
      </c>
      <c r="Y98" s="97"/>
      <c r="Z98" s="25" t="s">
        <v>14</v>
      </c>
      <c r="AA98" s="25" t="s">
        <v>12</v>
      </c>
      <c r="AB98" s="61"/>
      <c r="AC98" s="61"/>
      <c r="AD98" s="61"/>
      <c r="AE98" s="61"/>
      <c r="AF98" s="25"/>
      <c r="AG98" s="25"/>
      <c r="AH98" s="61"/>
      <c r="AI98" s="25"/>
      <c r="AJ98" s="25"/>
    </row>
    <row r="99" spans="16:36">
      <c r="Q99" s="25" t="s">
        <v>4</v>
      </c>
      <c r="R99" s="97" t="s">
        <v>55</v>
      </c>
      <c r="S99" s="97"/>
      <c r="T99" s="25" t="s">
        <v>1369</v>
      </c>
      <c r="U99" s="25" t="s">
        <v>1369</v>
      </c>
      <c r="V99" s="61"/>
      <c r="W99" s="25" t="s">
        <v>4</v>
      </c>
      <c r="X99" s="97" t="s">
        <v>55</v>
      </c>
      <c r="Y99" s="97"/>
      <c r="Z99" s="25" t="s">
        <v>1369</v>
      </c>
      <c r="AA99" s="25" t="s">
        <v>1369</v>
      </c>
      <c r="AB99" s="61"/>
      <c r="AC99" s="61"/>
      <c r="AD99" s="61"/>
      <c r="AE99" s="61"/>
      <c r="AF99" s="25"/>
      <c r="AG99" s="25"/>
      <c r="AH99" s="61"/>
      <c r="AI99" s="25"/>
      <c r="AJ99" s="25"/>
    </row>
    <row r="100" spans="16:36">
      <c r="Q100" s="142" t="s">
        <v>27</v>
      </c>
      <c r="R100" s="142" t="s">
        <v>33</v>
      </c>
      <c r="S100" s="142"/>
      <c r="T100" s="142" t="s">
        <v>36</v>
      </c>
      <c r="U100" s="142" t="s">
        <v>36</v>
      </c>
      <c r="V100" s="61"/>
      <c r="W100" s="142" t="s">
        <v>27</v>
      </c>
      <c r="X100" s="142" t="s">
        <v>33</v>
      </c>
      <c r="Y100" s="142"/>
      <c r="Z100" s="142" t="s">
        <v>36</v>
      </c>
      <c r="AA100" s="142" t="s">
        <v>36</v>
      </c>
      <c r="AB100" s="61"/>
      <c r="AC100" s="61"/>
      <c r="AD100" s="61"/>
      <c r="AE100" s="61"/>
      <c r="AF100" s="172"/>
      <c r="AG100" s="172"/>
      <c r="AH100" s="172"/>
      <c r="AI100" s="172"/>
      <c r="AJ100" s="172"/>
    </row>
    <row r="101" spans="16:36"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</row>
    <row r="102" spans="16:36">
      <c r="Q102" s="97" t="s">
        <v>2</v>
      </c>
      <c r="R102" s="407">
        <v>0</v>
      </c>
      <c r="S102" s="407"/>
      <c r="T102" s="407">
        <v>0</v>
      </c>
      <c r="U102" s="407">
        <v>0</v>
      </c>
      <c r="V102" s="61"/>
      <c r="W102" s="97" t="s">
        <v>2</v>
      </c>
      <c r="X102" s="407">
        <v>0</v>
      </c>
      <c r="Y102" s="407"/>
      <c r="Z102" s="407">
        <v>0</v>
      </c>
      <c r="AA102" s="407">
        <v>0</v>
      </c>
      <c r="AB102" s="61"/>
      <c r="AC102" s="61"/>
      <c r="AD102" s="61"/>
      <c r="AE102" s="61"/>
      <c r="AF102" s="172"/>
      <c r="AG102" s="84"/>
      <c r="AH102" s="61"/>
      <c r="AI102" s="172"/>
      <c r="AJ102" s="84"/>
    </row>
    <row r="103" spans="16:36">
      <c r="Q103" s="25">
        <v>2012</v>
      </c>
      <c r="R103" s="407">
        <v>0</v>
      </c>
      <c r="S103" s="407"/>
      <c r="T103" s="407">
        <v>0</v>
      </c>
      <c r="U103" s="407">
        <v>0</v>
      </c>
      <c r="V103" s="61"/>
      <c r="W103" s="25">
        <v>2012</v>
      </c>
      <c r="X103" s="407">
        <v>0</v>
      </c>
      <c r="Y103" s="407"/>
      <c r="Z103" s="407">
        <v>0</v>
      </c>
      <c r="AA103" s="407">
        <v>0</v>
      </c>
      <c r="AB103" s="61"/>
      <c r="AC103" s="61"/>
      <c r="AD103" s="61"/>
      <c r="AE103" s="61"/>
      <c r="AF103" s="172"/>
      <c r="AG103" s="84"/>
      <c r="AH103" s="61"/>
      <c r="AI103" s="172"/>
      <c r="AJ103" s="84"/>
    </row>
    <row r="104" spans="16:36">
      <c r="P104" s="22"/>
      <c r="Q104" s="25">
        <f>Q103+1</f>
        <v>2013</v>
      </c>
      <c r="R104" s="407">
        <v>443.31446425213835</v>
      </c>
      <c r="S104" s="407"/>
      <c r="T104" s="407">
        <v>443.0630000000001</v>
      </c>
      <c r="U104" s="407">
        <v>443.0630000000001</v>
      </c>
      <c r="V104" s="61"/>
      <c r="W104" s="25">
        <f>W103+1</f>
        <v>2013</v>
      </c>
      <c r="X104" s="407">
        <v>1721</v>
      </c>
      <c r="Y104" s="407"/>
      <c r="Z104" s="407">
        <v>1721</v>
      </c>
      <c r="AA104" s="407">
        <v>1721</v>
      </c>
      <c r="AB104" s="61"/>
      <c r="AC104" s="61"/>
      <c r="AD104" s="61"/>
      <c r="AE104" s="61"/>
      <c r="AF104" s="172"/>
      <c r="AG104" s="84"/>
      <c r="AH104" s="61"/>
      <c r="AI104" s="172"/>
      <c r="AJ104" s="84"/>
    </row>
    <row r="105" spans="16:36">
      <c r="Q105" s="25">
        <f t="shared" ref="Q105:Q112" si="34">Q104+1</f>
        <v>2014</v>
      </c>
      <c r="R105" s="407">
        <v>278623.97763075744</v>
      </c>
      <c r="S105" s="407"/>
      <c r="T105" s="407">
        <v>277624.82199999987</v>
      </c>
      <c r="U105" s="407">
        <v>277624.82199999987</v>
      </c>
      <c r="V105" s="61"/>
      <c r="W105" s="25">
        <f t="shared" ref="W105:W112" si="35">W104+1</f>
        <v>2014</v>
      </c>
      <c r="X105" s="407">
        <v>9107.4341364516004</v>
      </c>
      <c r="Y105" s="407"/>
      <c r="Z105" s="407">
        <v>2851.0790000000052</v>
      </c>
      <c r="AA105" s="407">
        <v>7024</v>
      </c>
      <c r="AB105" s="61"/>
      <c r="AC105" s="61"/>
      <c r="AD105" s="61"/>
      <c r="AE105" s="61"/>
      <c r="AF105" s="172"/>
      <c r="AG105" s="84"/>
      <c r="AH105" s="61"/>
      <c r="AI105" s="172"/>
      <c r="AJ105" s="84"/>
    </row>
    <row r="106" spans="16:36">
      <c r="Q106" s="25">
        <f t="shared" si="34"/>
        <v>2015</v>
      </c>
      <c r="R106" s="407">
        <v>153530.20038711291</v>
      </c>
      <c r="S106" s="407"/>
      <c r="T106" s="407">
        <v>151131.24799999979</v>
      </c>
      <c r="U106" s="407">
        <v>151131.24799999979</v>
      </c>
      <c r="V106" s="61"/>
      <c r="W106" s="25">
        <f t="shared" si="35"/>
        <v>2015</v>
      </c>
      <c r="X106" s="407">
        <v>81581.806095025153</v>
      </c>
      <c r="Y106" s="407"/>
      <c r="Z106" s="407">
        <v>37410.842500000028</v>
      </c>
      <c r="AA106" s="407">
        <v>79900.842500000028</v>
      </c>
      <c r="AB106" s="61"/>
      <c r="AC106" s="61"/>
      <c r="AD106" s="61"/>
      <c r="AE106" s="61"/>
      <c r="AF106" s="172"/>
      <c r="AG106" s="84"/>
      <c r="AH106" s="61"/>
      <c r="AI106" s="172"/>
      <c r="AJ106" s="84"/>
    </row>
    <row r="107" spans="16:36">
      <c r="Q107" s="25">
        <f t="shared" si="34"/>
        <v>2016</v>
      </c>
      <c r="R107" s="407">
        <v>166920.11193034815</v>
      </c>
      <c r="S107" s="407"/>
      <c r="T107" s="407">
        <v>160342.18450000015</v>
      </c>
      <c r="U107" s="407">
        <v>160342.18450000015</v>
      </c>
      <c r="V107" s="61"/>
      <c r="W107" s="25">
        <f t="shared" si="35"/>
        <v>2016</v>
      </c>
      <c r="X107" s="407">
        <v>669251.59420132777</v>
      </c>
      <c r="Y107" s="407"/>
      <c r="Z107" s="407">
        <v>544729.676999997</v>
      </c>
      <c r="AA107" s="407">
        <v>614660.06099999847</v>
      </c>
      <c r="AB107" s="61"/>
      <c r="AC107" s="61"/>
      <c r="AD107" s="61"/>
      <c r="AE107" s="61"/>
      <c r="AF107" s="172"/>
      <c r="AG107" s="84"/>
      <c r="AH107" s="61"/>
      <c r="AI107" s="172"/>
      <c r="AJ107" s="84"/>
    </row>
    <row r="108" spans="16:36">
      <c r="Q108" s="25">
        <f t="shared" si="34"/>
        <v>2017</v>
      </c>
      <c r="R108" s="407">
        <v>141593.34276052169</v>
      </c>
      <c r="S108" s="407"/>
      <c r="T108" s="407">
        <v>99025.704500000225</v>
      </c>
      <c r="U108" s="407">
        <v>130273.07049999991</v>
      </c>
      <c r="V108" s="61"/>
      <c r="W108" s="25">
        <f t="shared" si="35"/>
        <v>2017</v>
      </c>
      <c r="X108" s="407">
        <v>703163.69291514077</v>
      </c>
      <c r="Y108" s="407"/>
      <c r="Z108" s="407">
        <v>558881.86649999965</v>
      </c>
      <c r="AA108" s="407">
        <v>589636.05349999946</v>
      </c>
      <c r="AB108" s="61"/>
      <c r="AC108" s="61"/>
      <c r="AD108" s="61"/>
      <c r="AE108" s="61"/>
      <c r="AF108" s="172"/>
      <c r="AG108" s="84"/>
      <c r="AH108" s="61"/>
      <c r="AI108" s="172"/>
      <c r="AJ108" s="84"/>
    </row>
    <row r="109" spans="16:36">
      <c r="Q109" s="25">
        <f t="shared" si="34"/>
        <v>2018</v>
      </c>
      <c r="R109" s="407">
        <v>56281.991400653322</v>
      </c>
      <c r="S109" s="407"/>
      <c r="T109" s="407">
        <v>12363.425000000001</v>
      </c>
      <c r="U109" s="407">
        <v>12363.425000000001</v>
      </c>
      <c r="V109" s="61"/>
      <c r="W109" s="25">
        <f t="shared" si="35"/>
        <v>2018</v>
      </c>
      <c r="X109" s="407">
        <v>812539.50339523796</v>
      </c>
      <c r="Y109" s="407"/>
      <c r="Z109" s="407">
        <v>308348.87149999989</v>
      </c>
      <c r="AA109" s="407">
        <v>344757.59049999947</v>
      </c>
      <c r="AB109" s="61"/>
      <c r="AC109" s="61"/>
      <c r="AD109" s="61"/>
      <c r="AE109" s="61"/>
      <c r="AF109" s="172"/>
      <c r="AG109" s="84"/>
      <c r="AH109" s="61"/>
      <c r="AI109" s="172"/>
      <c r="AJ109" s="84"/>
    </row>
    <row r="110" spans="16:36">
      <c r="Q110" s="25">
        <f t="shared" si="34"/>
        <v>2019</v>
      </c>
      <c r="R110" s="407">
        <v>368015.27644853375</v>
      </c>
      <c r="S110" s="407"/>
      <c r="T110" s="407">
        <v>158896.94299999985</v>
      </c>
      <c r="U110" s="407">
        <v>279347.75049999997</v>
      </c>
      <c r="V110" s="61"/>
      <c r="W110" s="25">
        <f t="shared" si="35"/>
        <v>2019</v>
      </c>
      <c r="X110" s="407">
        <v>1102105.9858961208</v>
      </c>
      <c r="Y110" s="407"/>
      <c r="Z110" s="407">
        <v>179726.23299999954</v>
      </c>
      <c r="AA110" s="407">
        <v>304312.41450000013</v>
      </c>
      <c r="AB110" s="61"/>
      <c r="AC110" s="61"/>
      <c r="AD110" s="61"/>
      <c r="AE110" s="61"/>
      <c r="AF110" s="172"/>
      <c r="AG110" s="84"/>
      <c r="AH110" s="61"/>
      <c r="AI110" s="172"/>
      <c r="AJ110" s="84"/>
    </row>
    <row r="111" spans="16:36">
      <c r="Q111" s="25">
        <f t="shared" si="34"/>
        <v>2020</v>
      </c>
      <c r="R111" s="407">
        <v>327457.12938819017</v>
      </c>
      <c r="S111" s="407"/>
      <c r="T111" s="407">
        <v>221409.853</v>
      </c>
      <c r="U111" s="407">
        <v>264828.72499999998</v>
      </c>
      <c r="V111" s="61"/>
      <c r="W111" s="25">
        <f t="shared" si="35"/>
        <v>2020</v>
      </c>
      <c r="X111" s="407">
        <v>215917.28608502939</v>
      </c>
      <c r="Y111" s="407"/>
      <c r="Z111" s="407">
        <v>47608.228000000017</v>
      </c>
      <c r="AA111" s="407">
        <v>75617.06</v>
      </c>
      <c r="AB111" s="61"/>
      <c r="AC111" s="61"/>
      <c r="AD111" s="61"/>
      <c r="AE111" s="61"/>
      <c r="AF111" s="172"/>
      <c r="AG111" s="84"/>
      <c r="AH111" s="61"/>
      <c r="AI111" s="172"/>
      <c r="AJ111" s="84"/>
    </row>
    <row r="112" spans="16:36">
      <c r="Q112" s="25">
        <f t="shared" si="34"/>
        <v>2021</v>
      </c>
      <c r="R112" s="407">
        <v>142189.57326363726</v>
      </c>
      <c r="S112" s="407"/>
      <c r="T112" s="407">
        <v>4960.3075000000026</v>
      </c>
      <c r="U112" s="407">
        <v>33979.650000000023</v>
      </c>
      <c r="V112" s="61"/>
      <c r="W112" s="25">
        <f t="shared" si="35"/>
        <v>2021</v>
      </c>
      <c r="X112" s="407">
        <v>169992.07543115818</v>
      </c>
      <c r="Y112" s="407"/>
      <c r="Z112" s="407">
        <v>0</v>
      </c>
      <c r="AA112" s="407">
        <v>0</v>
      </c>
      <c r="AB112" s="61"/>
      <c r="AC112" s="61"/>
      <c r="AD112" s="61"/>
      <c r="AE112" s="61"/>
      <c r="AF112" s="172"/>
      <c r="AG112" s="84"/>
      <c r="AH112" s="61"/>
      <c r="AI112" s="172"/>
      <c r="AJ112" s="84"/>
    </row>
    <row r="113" spans="17:37">
      <c r="Q113" s="25"/>
      <c r="R113" s="61"/>
      <c r="S113" s="61"/>
      <c r="T113" s="407"/>
      <c r="U113" s="407"/>
      <c r="V113" s="61"/>
      <c r="W113" s="25"/>
      <c r="X113" s="61"/>
      <c r="Y113" s="61"/>
      <c r="Z113" s="61"/>
      <c r="AA113" s="61"/>
      <c r="AB113" s="61"/>
      <c r="AC113" s="61"/>
      <c r="AD113" s="61"/>
      <c r="AE113" s="61"/>
      <c r="AH113" s="61"/>
      <c r="AI113" s="61"/>
      <c r="AJ113" s="61"/>
    </row>
    <row r="114" spans="17:37">
      <c r="Q114" s="25" t="s">
        <v>0</v>
      </c>
      <c r="R114" s="84">
        <f>SUM(R103:R112)</f>
        <v>1635054.9176740067</v>
      </c>
      <c r="S114" s="61"/>
      <c r="T114" s="84">
        <f t="shared" ref="T114:U114" si="36">SUM(T103:T112)</f>
        <v>1086197.5505000001</v>
      </c>
      <c r="U114" s="84">
        <f t="shared" si="36"/>
        <v>1310333.9384999997</v>
      </c>
      <c r="V114" s="61"/>
      <c r="W114" s="25" t="s">
        <v>0</v>
      </c>
      <c r="X114" s="84">
        <f t="shared" ref="X114:AA114" si="37">SUM(X103:X112)</f>
        <v>3765380.3781554918</v>
      </c>
      <c r="Y114" s="61"/>
      <c r="Z114" s="84">
        <f t="shared" si="37"/>
        <v>1681277.7974999961</v>
      </c>
      <c r="AA114" s="84">
        <f t="shared" si="37"/>
        <v>2017629.0219999978</v>
      </c>
      <c r="AB114" s="61"/>
      <c r="AC114" s="61"/>
      <c r="AD114" s="61"/>
      <c r="AE114" s="61"/>
      <c r="AF114" s="84"/>
      <c r="AG114" s="84"/>
      <c r="AH114" s="61"/>
      <c r="AI114" s="84"/>
      <c r="AJ114" s="84"/>
    </row>
    <row r="115" spans="17:37">
      <c r="Q115" s="25" t="s">
        <v>1404</v>
      </c>
      <c r="R115" s="84">
        <f>R114-R102-R103</f>
        <v>1635054.9176740067</v>
      </c>
      <c r="S115" s="61"/>
      <c r="T115" s="84">
        <f t="shared" ref="T115:U115" si="38">T114-T102-T103</f>
        <v>1086197.5505000001</v>
      </c>
      <c r="U115" s="84">
        <f t="shared" si="38"/>
        <v>1310333.9384999997</v>
      </c>
      <c r="V115" s="61"/>
      <c r="W115" s="25" t="s">
        <v>1404</v>
      </c>
      <c r="X115" s="84">
        <f t="shared" ref="X115" si="39">X114-X102-X103</f>
        <v>3765380.3781554918</v>
      </c>
      <c r="Y115" s="61"/>
      <c r="Z115" s="84">
        <f t="shared" ref="Z115" si="40">Z114-Z102-Z103</f>
        <v>1681277.7974999961</v>
      </c>
      <c r="AA115" s="84">
        <f t="shared" ref="AA115" si="41">AA114-AA102-AA103</f>
        <v>2017629.0219999978</v>
      </c>
      <c r="AB115" s="61"/>
      <c r="AC115" s="61"/>
      <c r="AD115" s="61"/>
      <c r="AE115" s="61"/>
      <c r="AF115" s="61"/>
      <c r="AG115" s="61"/>
      <c r="AH115" s="61"/>
      <c r="AI115" s="61"/>
      <c r="AJ115" s="61"/>
      <c r="AK115" s="61"/>
    </row>
    <row r="116" spans="17:37">
      <c r="Q116" s="61"/>
      <c r="R116" s="61"/>
      <c r="S116" s="61"/>
      <c r="T116" s="61"/>
      <c r="U116" s="84"/>
      <c r="V116" s="61"/>
      <c r="W116" s="61"/>
      <c r="X116" s="84"/>
      <c r="Y116" s="61"/>
      <c r="Z116" s="84"/>
      <c r="AA116" s="84"/>
      <c r="AB116" s="84"/>
      <c r="AC116" s="84"/>
      <c r="AD116" s="84"/>
      <c r="AE116" s="61"/>
      <c r="AF116" s="61"/>
      <c r="AG116" s="61"/>
      <c r="AH116" s="61"/>
      <c r="AI116" s="61"/>
      <c r="AJ116" s="61"/>
      <c r="AK116" s="61"/>
    </row>
    <row r="117" spans="17:37"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61"/>
      <c r="AK117" s="61"/>
    </row>
    <row r="118" spans="17:37">
      <c r="Q118" s="61"/>
      <c r="R118" s="61"/>
      <c r="S118" s="61"/>
      <c r="T118" s="61"/>
      <c r="U118" s="61"/>
      <c r="V118" s="61"/>
      <c r="W118" s="61"/>
      <c r="X118" s="407"/>
      <c r="Y118" s="407"/>
      <c r="Z118" s="407"/>
      <c r="AA118" s="407"/>
      <c r="AB118" s="61"/>
      <c r="AC118" s="61"/>
      <c r="AD118" s="61"/>
      <c r="AE118" s="61"/>
      <c r="AF118" s="61"/>
      <c r="AG118" s="61"/>
      <c r="AH118" s="61"/>
      <c r="AI118" s="61"/>
      <c r="AJ118" s="61"/>
      <c r="AK118" s="61"/>
    </row>
    <row r="119" spans="17:37">
      <c r="Q119" s="97" t="s">
        <v>2</v>
      </c>
      <c r="R119" s="123"/>
      <c r="S119" s="61"/>
      <c r="T119" s="61"/>
      <c r="U119" s="61"/>
      <c r="V119" s="61"/>
      <c r="W119" s="61"/>
      <c r="X119" s="407"/>
      <c r="Y119" s="407"/>
      <c r="Z119" s="407"/>
      <c r="AA119" s="407"/>
      <c r="AB119" s="61"/>
      <c r="AC119" s="61"/>
      <c r="AD119" s="61"/>
      <c r="AE119" s="61"/>
      <c r="AF119" s="61"/>
      <c r="AG119" s="61"/>
      <c r="AH119" s="61"/>
      <c r="AI119" s="61"/>
      <c r="AJ119" s="61"/>
      <c r="AK119" s="61"/>
    </row>
    <row r="120" spans="17:37">
      <c r="Q120" s="25">
        <v>2013</v>
      </c>
      <c r="R120" s="123">
        <f>R44/R19</f>
        <v>5.000000000000001E-2</v>
      </c>
    </row>
    <row r="121" spans="17:37">
      <c r="Q121" s="25">
        <f>Q120+1</f>
        <v>2014</v>
      </c>
      <c r="R121" s="123">
        <f t="shared" ref="R121:R129" si="42">R45/R20</f>
        <v>6.8060256683129747E-2</v>
      </c>
      <c r="X121" s="61"/>
      <c r="Y121" s="61"/>
      <c r="Z121" s="407"/>
      <c r="AA121" s="407"/>
    </row>
    <row r="122" spans="17:37">
      <c r="Q122" s="25">
        <f t="shared" ref="Q122:Q129" si="43">Q121+1</f>
        <v>2015</v>
      </c>
      <c r="R122" s="123">
        <f t="shared" si="42"/>
        <v>5.5729768358853488E-2</v>
      </c>
      <c r="X122" s="61"/>
      <c r="Y122" s="61"/>
      <c r="Z122" s="61"/>
      <c r="AA122" s="61"/>
    </row>
    <row r="123" spans="17:37">
      <c r="Q123" s="25">
        <f t="shared" si="43"/>
        <v>2016</v>
      </c>
      <c r="R123" s="123">
        <f t="shared" si="42"/>
        <v>5.3138300380396873E-2</v>
      </c>
      <c r="X123" s="61"/>
      <c r="Y123" s="61"/>
      <c r="Z123" s="84"/>
      <c r="AA123" s="84"/>
    </row>
    <row r="124" spans="17:37">
      <c r="Q124" s="25">
        <f t="shared" si="43"/>
        <v>2017</v>
      </c>
      <c r="R124" s="123">
        <f t="shared" si="42"/>
        <v>5.7855209908204697E-2</v>
      </c>
      <c r="X124" s="61"/>
      <c r="Y124" s="61"/>
      <c r="Z124" s="61"/>
      <c r="AA124" s="61"/>
    </row>
    <row r="125" spans="17:37">
      <c r="Q125" s="25">
        <f t="shared" si="43"/>
        <v>2018</v>
      </c>
      <c r="R125" s="123">
        <f t="shared" si="42"/>
        <v>6.2176444661865567E-2</v>
      </c>
      <c r="X125" s="61"/>
      <c r="Y125" s="61"/>
      <c r="Z125" s="61"/>
      <c r="AA125" s="61"/>
    </row>
    <row r="126" spans="17:37">
      <c r="Q126" s="25">
        <f t="shared" si="43"/>
        <v>2019</v>
      </c>
      <c r="R126" s="123">
        <f t="shared" si="42"/>
        <v>7.5472927888140584E-2</v>
      </c>
    </row>
    <row r="127" spans="17:37">
      <c r="Q127" s="25">
        <f t="shared" si="43"/>
        <v>2020</v>
      </c>
      <c r="R127" s="123">
        <f t="shared" si="42"/>
        <v>0.15357164871097204</v>
      </c>
    </row>
    <row r="128" spans="17:37">
      <c r="Q128" s="25">
        <f t="shared" si="43"/>
        <v>2021</v>
      </c>
      <c r="R128" s="123">
        <f t="shared" si="42"/>
        <v>5.0533775705636441E-2</v>
      </c>
    </row>
    <row r="129" spans="17:18">
      <c r="Q129" s="25">
        <f t="shared" si="43"/>
        <v>2022</v>
      </c>
      <c r="R129" s="123">
        <f t="shared" si="42"/>
        <v>5.0000000000000058E-2</v>
      </c>
    </row>
    <row r="130" spans="17:18">
      <c r="Q130" s="25"/>
      <c r="R130" s="61"/>
    </row>
    <row r="131" spans="17:18">
      <c r="Q131" s="25" t="s">
        <v>0</v>
      </c>
      <c r="R131" s="61"/>
    </row>
    <row r="132" spans="17:18">
      <c r="R132" s="61"/>
    </row>
    <row r="133" spans="17:18">
      <c r="R133" s="61"/>
    </row>
    <row r="134" spans="17:18">
      <c r="R134" s="61"/>
    </row>
  </sheetData>
  <printOptions horizontalCentered="1"/>
  <pageMargins left="0.7" right="0.7" top="0.75" bottom="0.75" header="0.3" footer="0.3"/>
  <pageSetup scale="57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5">
    <tabColor rgb="FFFF0000"/>
    <pageSetUpPr fitToPage="1"/>
  </sheetPr>
  <dimension ref="A1:U73"/>
  <sheetViews>
    <sheetView workbookViewId="0">
      <selection activeCell="C43" sqref="C43"/>
    </sheetView>
  </sheetViews>
  <sheetFormatPr baseColWidth="10" defaultColWidth="8.7109375" defaultRowHeight="15"/>
  <cols>
    <col min="1" max="1" width="9.42578125" style="1" customWidth="1"/>
    <col min="2" max="2" width="1.7109375" style="1" customWidth="1"/>
    <col min="3" max="3" width="11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1.7109375" style="1" customWidth="1"/>
    <col min="14" max="14" width="1.7109375" style="1" customWidth="1"/>
    <col min="15" max="15" width="11.7109375" style="1" customWidth="1"/>
    <col min="16" max="16" width="1.7109375" style="1" customWidth="1"/>
    <col min="17" max="17" width="11.7109375" style="1" customWidth="1"/>
    <col min="18" max="18" width="1.7109375" style="1" customWidth="1"/>
    <col min="19" max="19" width="11.7109375" style="1" customWidth="1"/>
    <col min="20" max="20" width="8.7109375" style="1"/>
    <col min="21" max="21" width="9.7109375" style="1" bestFit="1" customWidth="1"/>
    <col min="22" max="16384" width="8.7109375" style="1"/>
  </cols>
  <sheetData>
    <row r="1" spans="1:19">
      <c r="A1" s="1" t="s">
        <v>452</v>
      </c>
      <c r="S1" s="64" t="s">
        <v>121</v>
      </c>
    </row>
    <row r="2" spans="1:19">
      <c r="S2" s="64" t="s">
        <v>982</v>
      </c>
    </row>
    <row r="4" spans="1:19" ht="16">
      <c r="A4" s="4" t="s">
        <v>1550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</row>
    <row r="6" spans="1:19">
      <c r="A6" s="5" t="s">
        <v>730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19">
      <c r="A7" s="5" t="s">
        <v>49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19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1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1" spans="1:19">
      <c r="N11" s="6"/>
      <c r="O11" s="6"/>
      <c r="P11" s="6"/>
      <c r="Q11" s="6"/>
    </row>
    <row r="12" spans="1:19">
      <c r="A12" s="2" t="s">
        <v>3</v>
      </c>
      <c r="C12" s="8" t="s">
        <v>310</v>
      </c>
      <c r="D12" s="8"/>
      <c r="E12" s="8"/>
      <c r="F12" s="8"/>
      <c r="G12" s="8"/>
      <c r="I12" s="8" t="s">
        <v>184</v>
      </c>
      <c r="J12" s="8"/>
      <c r="K12" s="8"/>
      <c r="L12" s="8"/>
      <c r="M12" s="8"/>
      <c r="N12" s="6"/>
      <c r="O12" s="8" t="s">
        <v>119</v>
      </c>
      <c r="P12" s="8"/>
      <c r="Q12" s="8"/>
      <c r="R12" s="8"/>
      <c r="S12" s="8"/>
    </row>
    <row r="13" spans="1:19">
      <c r="A13" s="6" t="s">
        <v>4</v>
      </c>
      <c r="B13" s="6"/>
      <c r="C13" s="2" t="s">
        <v>160</v>
      </c>
      <c r="D13" s="6"/>
      <c r="E13" s="2" t="s">
        <v>395</v>
      </c>
      <c r="F13" s="6"/>
      <c r="G13" s="2" t="s">
        <v>0</v>
      </c>
      <c r="H13" s="2"/>
      <c r="I13" s="2" t="s">
        <v>160</v>
      </c>
      <c r="J13" s="6"/>
      <c r="K13" s="2" t="s">
        <v>395</v>
      </c>
      <c r="L13" s="6"/>
      <c r="M13" s="2" t="s">
        <v>0</v>
      </c>
      <c r="N13" s="6"/>
      <c r="O13" s="2" t="s">
        <v>160</v>
      </c>
      <c r="P13" s="6"/>
      <c r="Q13" s="2" t="s">
        <v>395</v>
      </c>
      <c r="R13" s="6"/>
      <c r="S13" s="2" t="s">
        <v>0</v>
      </c>
    </row>
    <row r="14" spans="1:19">
      <c r="A14" s="9">
        <v>-1</v>
      </c>
      <c r="B14" s="11"/>
      <c r="C14" s="9">
        <v>-2</v>
      </c>
      <c r="D14" s="11"/>
      <c r="E14" s="9">
        <v>-3</v>
      </c>
      <c r="F14" s="11"/>
      <c r="G14" s="9">
        <v>-4</v>
      </c>
      <c r="H14" s="11"/>
      <c r="I14" s="9">
        <v>-5</v>
      </c>
      <c r="J14" s="11"/>
      <c r="K14" s="9">
        <v>-6</v>
      </c>
      <c r="L14" s="11"/>
      <c r="M14" s="9">
        <v>-7</v>
      </c>
      <c r="N14" s="11"/>
      <c r="O14" s="9">
        <v>-8</v>
      </c>
      <c r="P14" s="11"/>
      <c r="Q14" s="9">
        <v>-9</v>
      </c>
      <c r="R14" s="11"/>
      <c r="S14" s="9">
        <v>-10</v>
      </c>
    </row>
    <row r="16" spans="1:19" ht="16">
      <c r="A16" s="15" t="s">
        <v>77</v>
      </c>
      <c r="C16" s="61"/>
      <c r="G16" s="61"/>
      <c r="I16" s="61"/>
      <c r="M16" s="61"/>
      <c r="O16" s="26"/>
      <c r="P16" s="26"/>
      <c r="Q16" s="26"/>
      <c r="S16" s="26"/>
    </row>
    <row r="17" spans="1:21">
      <c r="A17" s="6" t="s">
        <v>2</v>
      </c>
      <c r="C17" s="147"/>
      <c r="D17" s="147"/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U17" s="21"/>
    </row>
    <row r="18" spans="1:21">
      <c r="A18" s="6">
        <v>2013</v>
      </c>
      <c r="C18" s="494">
        <f>'Exhibit A, 1a'!R19</f>
        <v>8861.26</v>
      </c>
      <c r="D18" s="494"/>
      <c r="E18" s="494">
        <f>'Exhibit A, 1a'!X19</f>
        <v>1721</v>
      </c>
      <c r="F18" s="494"/>
      <c r="G18" s="494">
        <f t="shared" ref="G18:G26" si="0">C18+E18</f>
        <v>10582.26</v>
      </c>
      <c r="H18" s="494"/>
      <c r="I18" s="17">
        <f>'Exhibit A, 1a'!R79</f>
        <v>8866.2892850427543</v>
      </c>
      <c r="J18" s="17"/>
      <c r="K18" s="17">
        <f>'Exhibit A, 1a'!X79</f>
        <v>1721</v>
      </c>
      <c r="L18" s="187"/>
      <c r="M18" s="494">
        <f t="shared" ref="M18:M26" si="1">I18+K18</f>
        <v>10587.289285042754</v>
      </c>
      <c r="N18" s="494"/>
      <c r="O18" s="494">
        <f>C18-I18</f>
        <v>-5.0292850427540543</v>
      </c>
      <c r="P18" s="494"/>
      <c r="Q18" s="494">
        <f>E18-K18</f>
        <v>0</v>
      </c>
      <c r="R18" s="494"/>
      <c r="S18" s="494">
        <f t="shared" ref="S18:S25" si="2">G18-M18</f>
        <v>-5.0292850427540543</v>
      </c>
      <c r="U18" s="21"/>
    </row>
    <row r="19" spans="1:21">
      <c r="A19" s="6">
        <f t="shared" ref="A19:A27" si="3">A18+1</f>
        <v>2014</v>
      </c>
      <c r="C19" s="494">
        <f>'Exhibit A, 1a'!R20</f>
        <v>4080771.4028141932</v>
      </c>
      <c r="D19" s="494"/>
      <c r="E19" s="494">
        <f>'Exhibit A, 1a'!X20</f>
        <v>1121322.5799724818</v>
      </c>
      <c r="F19" s="494"/>
      <c r="G19" s="494">
        <f t="shared" si="0"/>
        <v>5202093.982786675</v>
      </c>
      <c r="H19" s="494"/>
      <c r="I19" s="17">
        <f>'Exhibit A, 1a'!R80</f>
        <v>4098483.9726151465</v>
      </c>
      <c r="J19" s="17"/>
      <c r="K19" s="17">
        <f>'Exhibit A, 1a'!X80</f>
        <v>182148.68272903192</v>
      </c>
      <c r="L19" s="187"/>
      <c r="M19" s="494">
        <f t="shared" si="1"/>
        <v>4280632.6553441789</v>
      </c>
      <c r="N19" s="494"/>
      <c r="O19" s="494">
        <f t="shared" ref="O19:O25" si="4">C19-I19</f>
        <v>-17712.569800953381</v>
      </c>
      <c r="P19" s="494"/>
      <c r="Q19" s="494">
        <f t="shared" ref="Q19:Q25" si="5">E19-K19</f>
        <v>939173.89724344993</v>
      </c>
      <c r="R19" s="494"/>
      <c r="S19" s="494">
        <f t="shared" si="2"/>
        <v>921461.32744249608</v>
      </c>
      <c r="U19" s="21"/>
    </row>
    <row r="20" spans="1:21">
      <c r="A20" s="6">
        <f t="shared" si="3"/>
        <v>2015</v>
      </c>
      <c r="C20" s="494">
        <f>'Exhibit A, 1a'!R21</f>
        <v>2723474.7589555625</v>
      </c>
      <c r="D20" s="494"/>
      <c r="E20" s="494">
        <f>'Exhibit A, 1a'!X21</f>
        <v>412303.16180106939</v>
      </c>
      <c r="F20" s="494"/>
      <c r="G20" s="494">
        <f t="shared" si="0"/>
        <v>3135777.920756632</v>
      </c>
      <c r="H20" s="494"/>
      <c r="I20" s="17">
        <f>'Exhibit A, 1a'!R81</f>
        <v>2758506.4177422584</v>
      </c>
      <c r="J20" s="17"/>
      <c r="K20" s="17">
        <f>'Exhibit A, 1a'!X81</f>
        <v>420050.01190050301</v>
      </c>
      <c r="L20" s="187"/>
      <c r="M20" s="494">
        <f t="shared" si="1"/>
        <v>3178556.4296427616</v>
      </c>
      <c r="N20" s="494"/>
      <c r="O20" s="494">
        <f t="shared" si="4"/>
        <v>-35031.658786695916</v>
      </c>
      <c r="P20" s="494"/>
      <c r="Q20" s="494">
        <f t="shared" si="5"/>
        <v>-7746.8500994336209</v>
      </c>
      <c r="R20" s="494"/>
      <c r="S20" s="494">
        <f t="shared" si="2"/>
        <v>-42778.508886129595</v>
      </c>
      <c r="U20" s="21"/>
    </row>
    <row r="21" spans="1:21">
      <c r="A21" s="6">
        <f t="shared" si="3"/>
        <v>2016</v>
      </c>
      <c r="C21" s="494">
        <f>'Exhibit A, 1a'!R22</f>
        <v>3068410.5511858538</v>
      </c>
      <c r="D21" s="494"/>
      <c r="E21" s="494">
        <f>'Exhibit A, 1a'!X22</f>
        <v>12555483.716085177</v>
      </c>
      <c r="F21" s="494"/>
      <c r="G21" s="494">
        <f t="shared" si="0"/>
        <v>15623894.267271031</v>
      </c>
      <c r="H21" s="494"/>
      <c r="I21" s="17">
        <f>'Exhibit A, 1a'!R82</f>
        <v>3145810.3586069643</v>
      </c>
      <c r="J21" s="17"/>
      <c r="K21" s="17">
        <f>'Exhibit A, 1a'!X82</f>
        <v>12981648.014026549</v>
      </c>
      <c r="L21" s="187"/>
      <c r="M21" s="494">
        <f t="shared" si="1"/>
        <v>16127458.372633513</v>
      </c>
      <c r="N21" s="494"/>
      <c r="O21" s="494">
        <f t="shared" si="4"/>
        <v>-77399.80742111057</v>
      </c>
      <c r="P21" s="494"/>
      <c r="Q21" s="494">
        <f t="shared" si="5"/>
        <v>-426164.2979413718</v>
      </c>
      <c r="R21" s="494"/>
      <c r="S21" s="494">
        <f t="shared" si="2"/>
        <v>-503564.10536248237</v>
      </c>
      <c r="U21" s="21"/>
    </row>
    <row r="22" spans="1:21">
      <c r="A22" s="6">
        <f t="shared" si="3"/>
        <v>2017</v>
      </c>
      <c r="C22" s="494">
        <f>'Exhibit A, 1a'!R23</f>
        <v>2129410.8872289904</v>
      </c>
      <c r="D22" s="494"/>
      <c r="E22" s="494">
        <f>'Exhibit A, 1a'!X23</f>
        <v>8501095.9828112647</v>
      </c>
      <c r="F22" s="494"/>
      <c r="G22" s="494">
        <f t="shared" si="0"/>
        <v>10630506.870040255</v>
      </c>
      <c r="H22" s="494"/>
      <c r="I22" s="17">
        <f>'Exhibit A, 1a'!R83</f>
        <v>2497327.4652104336</v>
      </c>
      <c r="J22" s="17"/>
      <c r="K22" s="17">
        <f>'Exhibit A, 1a'!X83</f>
        <v>9287108.3883028012</v>
      </c>
      <c r="L22" s="187"/>
      <c r="M22" s="494">
        <f t="shared" si="1"/>
        <v>11784435.853513235</v>
      </c>
      <c r="N22" s="494"/>
      <c r="O22" s="494">
        <f t="shared" si="4"/>
        <v>-367916.57798144314</v>
      </c>
      <c r="P22" s="494"/>
      <c r="Q22" s="494">
        <f t="shared" si="5"/>
        <v>-786012.40549153648</v>
      </c>
      <c r="R22" s="494"/>
      <c r="S22" s="494">
        <f t="shared" si="2"/>
        <v>-1153928.9834729806</v>
      </c>
      <c r="U22" s="21"/>
    </row>
    <row r="23" spans="1:21">
      <c r="A23" s="6">
        <f t="shared" si="3"/>
        <v>2018</v>
      </c>
      <c r="C23" s="494">
        <f>'Exhibit A, 1a'!R24</f>
        <v>639833.15461529314</v>
      </c>
      <c r="D23" s="494"/>
      <c r="E23" s="494">
        <f>'Exhibit A, 1a'!X24</f>
        <v>18364799.504506961</v>
      </c>
      <c r="F23" s="494"/>
      <c r="G23" s="494">
        <f t="shared" si="0"/>
        <v>19004632.659122255</v>
      </c>
      <c r="H23" s="494"/>
      <c r="I23" s="17">
        <f>'Exhibit A, 1a'!R84</f>
        <v>969821.96801306633</v>
      </c>
      <c r="J23" s="17"/>
      <c r="K23" s="17">
        <f>'Exhibit A, 1a'!X84</f>
        <v>13336926.271990387</v>
      </c>
      <c r="L23" s="187"/>
      <c r="M23" s="494">
        <f t="shared" si="1"/>
        <v>14306748.240003454</v>
      </c>
      <c r="N23" s="494"/>
      <c r="O23" s="494">
        <f t="shared" si="4"/>
        <v>-329988.81339777319</v>
      </c>
      <c r="P23" s="494"/>
      <c r="Q23" s="494">
        <f t="shared" si="5"/>
        <v>5027873.2325165737</v>
      </c>
      <c r="R23" s="494"/>
      <c r="S23" s="494">
        <f t="shared" si="2"/>
        <v>4697884.4191188011</v>
      </c>
      <c r="U23" s="21"/>
    </row>
    <row r="24" spans="1:21">
      <c r="A24" s="6">
        <f t="shared" si="3"/>
        <v>2019</v>
      </c>
      <c r="C24" s="494">
        <f>'Exhibit A, 1a'!R25</f>
        <v>3964632.7639869782</v>
      </c>
      <c r="D24" s="494"/>
      <c r="E24" s="494">
        <f>'Exhibit A, 1a'!X25</f>
        <v>15169164.119629685</v>
      </c>
      <c r="F24" s="494"/>
      <c r="G24" s="494">
        <f t="shared" si="0"/>
        <v>19133796.883616664</v>
      </c>
      <c r="H24" s="494"/>
      <c r="I24" s="17">
        <f>'Exhibit A, 1a'!R85</f>
        <v>5042383.2389706727</v>
      </c>
      <c r="J24" s="17"/>
      <c r="K24" s="17">
        <f>'Exhibit A, 1a'!X85</f>
        <v>16958247.921044309</v>
      </c>
      <c r="L24" s="187"/>
      <c r="M24" s="494">
        <f t="shared" si="1"/>
        <v>22000631.16001498</v>
      </c>
      <c r="N24" s="494"/>
      <c r="O24" s="494">
        <f>C24-I24</f>
        <v>-1077750.4749836945</v>
      </c>
      <c r="P24" s="494"/>
      <c r="Q24" s="494">
        <f t="shared" si="5"/>
        <v>-1789083.8014146239</v>
      </c>
      <c r="R24" s="494"/>
      <c r="S24" s="494">
        <f t="shared" si="2"/>
        <v>-2866834.276398316</v>
      </c>
      <c r="U24" s="21"/>
    </row>
    <row r="25" spans="1:21">
      <c r="A25" s="6">
        <f t="shared" si="3"/>
        <v>2020</v>
      </c>
      <c r="C25" s="494">
        <f>'Exhibit A, 1a'!R26</f>
        <v>1968568.5468710763</v>
      </c>
      <c r="D25" s="494"/>
      <c r="E25" s="494">
        <f>'Exhibit A, 1a'!X26</f>
        <v>2994269.0369968764</v>
      </c>
      <c r="F25" s="494"/>
      <c r="G25" s="494">
        <f t="shared" si="0"/>
        <v>4962837.5838679522</v>
      </c>
      <c r="H25" s="494"/>
      <c r="I25" s="17">
        <f>'Exhibit A, 1a'!R86</f>
        <v>1802489.7877638002</v>
      </c>
      <c r="J25" s="17"/>
      <c r="K25" s="17">
        <f>'Exhibit A, 1a'!X86</f>
        <v>2363393.2782432334</v>
      </c>
      <c r="L25" s="187"/>
      <c r="M25" s="494">
        <f t="shared" si="1"/>
        <v>4165883.0660070339</v>
      </c>
      <c r="N25" s="494"/>
      <c r="O25" s="494">
        <f t="shared" si="4"/>
        <v>166078.7591072761</v>
      </c>
      <c r="P25" s="494"/>
      <c r="Q25" s="494">
        <f t="shared" si="5"/>
        <v>630875.75875364291</v>
      </c>
      <c r="R25" s="494"/>
      <c r="S25" s="494">
        <f t="shared" si="2"/>
        <v>796954.51786091831</v>
      </c>
      <c r="U25" s="21"/>
    </row>
    <row r="26" spans="1:21">
      <c r="A26" s="6">
        <f t="shared" si="3"/>
        <v>2021</v>
      </c>
      <c r="C26" s="494">
        <f>'Exhibit A, 1a'!R27</f>
        <v>5775365.8839251436</v>
      </c>
      <c r="D26" s="494"/>
      <c r="E26" s="494">
        <f>'Exhibit A, 1a'!X27</f>
        <v>4214897.3710546708</v>
      </c>
      <c r="F26" s="20"/>
      <c r="G26" s="494">
        <f t="shared" si="0"/>
        <v>9990263.2549798153</v>
      </c>
      <c r="H26" s="20"/>
      <c r="I26" s="17">
        <f>'Exhibit A, 1a'!R87</f>
        <v>2522311.4652727419</v>
      </c>
      <c r="J26" s="17"/>
      <c r="K26" s="17">
        <f>'Exhibit A, 1a'!X87</f>
        <v>2355885.6960774497</v>
      </c>
      <c r="M26" s="494">
        <f t="shared" si="1"/>
        <v>4878197.1613501916</v>
      </c>
      <c r="N26" s="20"/>
      <c r="O26" s="494">
        <f>C26-I26</f>
        <v>3253054.4186524018</v>
      </c>
      <c r="P26" s="494"/>
      <c r="Q26" s="494">
        <f t="shared" ref="Q26" si="6">E26-K26</f>
        <v>1859011.6749772211</v>
      </c>
      <c r="R26" s="494"/>
      <c r="S26" s="494">
        <f t="shared" ref="S26" si="7">G26-M26</f>
        <v>5112066.0936296238</v>
      </c>
    </row>
    <row r="27" spans="1:21">
      <c r="A27" s="6">
        <f t="shared" si="3"/>
        <v>2022</v>
      </c>
      <c r="C27" s="494">
        <f>'Exhibit A, 1a'!R28</f>
        <v>2440970.4582306887</v>
      </c>
      <c r="D27" s="20"/>
      <c r="E27" s="494">
        <f>'Exhibit A, 1a'!X28</f>
        <v>2499641.4487359389</v>
      </c>
      <c r="F27" s="20"/>
      <c r="G27" s="494">
        <f t="shared" ref="G27" si="8">C27+E27</f>
        <v>4940611.9069666276</v>
      </c>
      <c r="H27" s="20"/>
      <c r="I27" s="17"/>
      <c r="J27" s="17"/>
      <c r="K27" s="17"/>
      <c r="M27" s="494"/>
      <c r="N27" s="20"/>
      <c r="O27" s="494"/>
      <c r="P27" s="494"/>
      <c r="Q27" s="494"/>
      <c r="R27" s="494"/>
      <c r="S27" s="494"/>
    </row>
    <row r="28" spans="1:21">
      <c r="A28" s="6"/>
      <c r="C28" s="200"/>
      <c r="E28" s="200"/>
      <c r="G28" s="200"/>
      <c r="H28" s="18"/>
      <c r="I28" s="200"/>
      <c r="K28" s="200"/>
      <c r="M28" s="200"/>
      <c r="N28" s="18"/>
      <c r="O28" s="200"/>
      <c r="Q28" s="200"/>
      <c r="S28" s="200"/>
    </row>
    <row r="29" spans="1:21">
      <c r="A29" s="2" t="s">
        <v>0</v>
      </c>
      <c r="C29" s="147">
        <f>SUM(C17:C28)</f>
        <v>26800299.667813778</v>
      </c>
      <c r="D29" s="147"/>
      <c r="E29" s="147">
        <f>SUM(E17:E28)</f>
        <v>65834697.921594128</v>
      </c>
      <c r="F29" s="508"/>
      <c r="G29" s="147">
        <f>SUM(G17:G28)</f>
        <v>92634997.589407906</v>
      </c>
      <c r="H29" s="147"/>
      <c r="I29" s="147">
        <f>SUM(I17:I28)</f>
        <v>22846000.96348013</v>
      </c>
      <c r="J29" s="508"/>
      <c r="K29" s="147">
        <f>SUM(K17:K28)</f>
        <v>57887129.264314272</v>
      </c>
      <c r="L29" s="147"/>
      <c r="M29" s="147">
        <f>SUM(M17:M28)</f>
        <v>80733130.227794394</v>
      </c>
      <c r="N29" s="147"/>
      <c r="O29" s="147">
        <f>SUM(O17:O28)</f>
        <v>1513328.2461029643</v>
      </c>
      <c r="P29" s="508"/>
      <c r="Q29" s="147">
        <f>SUM(Q17:Q28)</f>
        <v>5447927.2085439218</v>
      </c>
      <c r="R29" s="147"/>
      <c r="S29" s="147">
        <f>SUM(S17:S28)</f>
        <v>6961255.4546468882</v>
      </c>
    </row>
    <row r="31" spans="1:21">
      <c r="A31" s="6"/>
      <c r="C31" s="20"/>
      <c r="D31" s="20"/>
      <c r="E31" s="20"/>
      <c r="F31" s="20"/>
      <c r="G31" s="20"/>
      <c r="H31" s="20"/>
      <c r="I31" s="18"/>
      <c r="K31" s="18"/>
      <c r="M31" s="18"/>
      <c r="N31" s="20"/>
      <c r="O31" s="20"/>
      <c r="P31" s="20"/>
      <c r="Q31" s="20"/>
      <c r="R31" s="20"/>
      <c r="S31" s="20"/>
    </row>
    <row r="32" spans="1:21" ht="16">
      <c r="A32" s="15" t="s">
        <v>118</v>
      </c>
      <c r="C32" s="61"/>
      <c r="G32" s="61"/>
      <c r="I32" s="61"/>
      <c r="M32" s="61"/>
      <c r="O32" s="26"/>
      <c r="P32" s="26"/>
      <c r="Q32" s="26"/>
      <c r="S32" s="26"/>
    </row>
    <row r="33" spans="1:19">
      <c r="A33" s="6" t="str">
        <f>A17</f>
        <v>Prior</v>
      </c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</row>
    <row r="34" spans="1:19">
      <c r="A34" s="6">
        <f>A18</f>
        <v>2013</v>
      </c>
      <c r="C34" s="497">
        <f>'Exhibit A, 1a'!R44</f>
        <v>443.0630000000001</v>
      </c>
      <c r="D34" s="497"/>
      <c r="E34" s="497">
        <f>'Exhibit A, 1a'!X44</f>
        <v>1721</v>
      </c>
      <c r="F34" s="497"/>
      <c r="G34" s="497">
        <f t="shared" ref="G34:G41" si="9">C34+E34</f>
        <v>2164.0630000000001</v>
      </c>
      <c r="H34" s="497"/>
      <c r="I34" s="497">
        <f>'Exhibit A, 1a'!R104</f>
        <v>443.31446425213835</v>
      </c>
      <c r="J34" s="497"/>
      <c r="K34" s="497">
        <f>'Exhibit A, 1a'!X104</f>
        <v>1721</v>
      </c>
      <c r="L34" s="497"/>
      <c r="M34" s="497">
        <f t="shared" ref="M34:M41" si="10">I34+K34</f>
        <v>2164.3144642521384</v>
      </c>
      <c r="N34" s="497"/>
      <c r="O34" s="497">
        <f>C34-I34</f>
        <v>-0.25146425213824841</v>
      </c>
      <c r="P34" s="497"/>
      <c r="Q34" s="497">
        <f>E34-K34</f>
        <v>0</v>
      </c>
      <c r="R34" s="497"/>
      <c r="S34" s="497">
        <f t="shared" ref="S34:S41" si="11">G34-M34</f>
        <v>-0.25146425213824841</v>
      </c>
    </row>
    <row r="35" spans="1:19">
      <c r="A35" s="6">
        <f t="shared" ref="A35:A43" si="12">A34+1</f>
        <v>2014</v>
      </c>
      <c r="C35" s="494">
        <f>'Exhibit A, 1a'!R45</f>
        <v>277738.34914070944</v>
      </c>
      <c r="D35" s="494"/>
      <c r="E35" s="494">
        <f>'Exhibit A, 1a'!X45</f>
        <v>56066.128998624037</v>
      </c>
      <c r="F35" s="494"/>
      <c r="G35" s="494">
        <f t="shared" si="9"/>
        <v>333804.47813933349</v>
      </c>
      <c r="H35" s="494"/>
      <c r="I35" s="20">
        <f>'Exhibit A, 1a'!R105</f>
        <v>278623.97763075744</v>
      </c>
      <c r="J35" s="20"/>
      <c r="K35" s="20">
        <f>'Exhibit A, 1a'!X105</f>
        <v>9107.4341364516004</v>
      </c>
      <c r="L35" s="187"/>
      <c r="M35" s="494">
        <f t="shared" si="10"/>
        <v>287731.41176720907</v>
      </c>
      <c r="N35" s="494"/>
      <c r="O35" s="494">
        <f t="shared" ref="O35:O41" si="13">C35-I35</f>
        <v>-885.628490047995</v>
      </c>
      <c r="P35" s="494"/>
      <c r="Q35" s="494">
        <f t="shared" ref="Q35:Q41" si="14">E35-K35</f>
        <v>46958.694862172437</v>
      </c>
      <c r="R35" s="494"/>
      <c r="S35" s="494">
        <f t="shared" si="11"/>
        <v>46073.06637212442</v>
      </c>
    </row>
    <row r="36" spans="1:19">
      <c r="A36" s="6">
        <f t="shared" si="12"/>
        <v>2015</v>
      </c>
      <c r="C36" s="494">
        <f>'Exhibit A, 1a'!R46</f>
        <v>151778.61744777783</v>
      </c>
      <c r="D36" s="494"/>
      <c r="E36" s="494">
        <f>'Exhibit A, 1a'!X46</f>
        <v>40828.96359005347</v>
      </c>
      <c r="F36" s="494"/>
      <c r="G36" s="494">
        <f t="shared" si="9"/>
        <v>192607.58103783129</v>
      </c>
      <c r="H36" s="494"/>
      <c r="I36" s="20">
        <f>'Exhibit A, 1a'!R106</f>
        <v>153530.20038711291</v>
      </c>
      <c r="J36" s="20"/>
      <c r="K36" s="20">
        <f>'Exhibit A, 1a'!X106</f>
        <v>81581.806095025153</v>
      </c>
      <c r="L36" s="187"/>
      <c r="M36" s="494">
        <f t="shared" si="10"/>
        <v>235112.00648213807</v>
      </c>
      <c r="N36" s="494"/>
      <c r="O36" s="494">
        <f t="shared" si="13"/>
        <v>-1751.5829393350868</v>
      </c>
      <c r="P36" s="494"/>
      <c r="Q36" s="494">
        <f t="shared" si="14"/>
        <v>-40752.842504971683</v>
      </c>
      <c r="R36" s="494"/>
      <c r="S36" s="494">
        <f t="shared" si="11"/>
        <v>-42504.425444306777</v>
      </c>
    </row>
    <row r="37" spans="1:19">
      <c r="A37" s="6">
        <f t="shared" si="12"/>
        <v>2016</v>
      </c>
      <c r="C37" s="494">
        <f>'Exhibit A, 1a'!R47</f>
        <v>163050.12155929304</v>
      </c>
      <c r="D37" s="494"/>
      <c r="E37" s="494">
        <f>'Exhibit A, 1a'!X47</f>
        <v>647943.37930425932</v>
      </c>
      <c r="F37" s="494"/>
      <c r="G37" s="494">
        <f t="shared" si="9"/>
        <v>810993.50086355233</v>
      </c>
      <c r="H37" s="494"/>
      <c r="I37" s="20">
        <f>'Exhibit A, 1a'!R107</f>
        <v>166920.11193034815</v>
      </c>
      <c r="J37" s="20"/>
      <c r="K37" s="20">
        <f>'Exhibit A, 1a'!X107</f>
        <v>669251.59420132777</v>
      </c>
      <c r="L37" s="187"/>
      <c r="M37" s="494">
        <f t="shared" si="10"/>
        <v>836171.70613167598</v>
      </c>
      <c r="N37" s="494"/>
      <c r="O37" s="494">
        <f t="shared" si="13"/>
        <v>-3869.9903710551152</v>
      </c>
      <c r="P37" s="494"/>
      <c r="Q37" s="494">
        <f t="shared" si="14"/>
        <v>-21308.21489706845</v>
      </c>
      <c r="R37" s="494"/>
      <c r="S37" s="494">
        <f t="shared" si="11"/>
        <v>-25178.205268123653</v>
      </c>
    </row>
    <row r="38" spans="1:19">
      <c r="A38" s="6">
        <f t="shared" si="12"/>
        <v>2017</v>
      </c>
      <c r="C38" s="494">
        <f>'Exhibit A, 1a'!R48</f>
        <v>123197.51386144964</v>
      </c>
      <c r="D38" s="494"/>
      <c r="E38" s="494">
        <f>'Exhibit A, 1a'!X48</f>
        <v>657390.13364056428</v>
      </c>
      <c r="F38" s="494"/>
      <c r="G38" s="494">
        <f t="shared" si="9"/>
        <v>780587.64750201395</v>
      </c>
      <c r="H38" s="494"/>
      <c r="I38" s="20">
        <f>'Exhibit A, 1a'!R108</f>
        <v>141593.34276052169</v>
      </c>
      <c r="J38" s="20"/>
      <c r="K38" s="20">
        <f>'Exhibit A, 1a'!X108</f>
        <v>703163.69291514077</v>
      </c>
      <c r="L38" s="187"/>
      <c r="M38" s="494">
        <f t="shared" si="10"/>
        <v>844757.03567566245</v>
      </c>
      <c r="N38" s="494"/>
      <c r="O38" s="494">
        <f t="shared" si="13"/>
        <v>-18395.828899072047</v>
      </c>
      <c r="P38" s="494"/>
      <c r="Q38" s="494">
        <f t="shared" si="14"/>
        <v>-45773.559274576488</v>
      </c>
      <c r="R38" s="494"/>
      <c r="S38" s="494">
        <f t="shared" si="11"/>
        <v>-64169.388173648505</v>
      </c>
    </row>
    <row r="39" spans="1:19">
      <c r="A39" s="6">
        <f t="shared" si="12"/>
        <v>2018</v>
      </c>
      <c r="C39" s="494">
        <f>'Exhibit A, 1a'!R49</f>
        <v>39782.550730764648</v>
      </c>
      <c r="D39" s="494"/>
      <c r="E39" s="494">
        <f>'Exhibit A, 1a'!X49</f>
        <v>945169.36872534757</v>
      </c>
      <c r="F39" s="494"/>
      <c r="G39" s="494">
        <f t="shared" si="9"/>
        <v>984951.9194561122</v>
      </c>
      <c r="H39" s="494"/>
      <c r="I39" s="20">
        <f>'Exhibit A, 1a'!R109</f>
        <v>56281.991400653322</v>
      </c>
      <c r="J39" s="20"/>
      <c r="K39" s="20">
        <f>'Exhibit A, 1a'!X109</f>
        <v>812539.50339523796</v>
      </c>
      <c r="L39" s="187"/>
      <c r="M39" s="494">
        <f t="shared" si="10"/>
        <v>868821.49479589122</v>
      </c>
      <c r="N39" s="494"/>
      <c r="O39" s="494">
        <f t="shared" si="13"/>
        <v>-16499.440669888674</v>
      </c>
      <c r="P39" s="494"/>
      <c r="Q39" s="494">
        <f t="shared" si="14"/>
        <v>132629.86533010961</v>
      </c>
      <c r="R39" s="494"/>
      <c r="S39" s="494">
        <f t="shared" si="11"/>
        <v>116130.42466022098</v>
      </c>
    </row>
    <row r="40" spans="1:19">
      <c r="A40" s="6">
        <f t="shared" si="12"/>
        <v>2019</v>
      </c>
      <c r="C40" s="494">
        <f>'Exhibit A, 1a'!R50</f>
        <v>299222.44269934867</v>
      </c>
      <c r="D40" s="494"/>
      <c r="E40" s="494">
        <f>'Exhibit A, 1a'!X50</f>
        <v>791796.33748148335</v>
      </c>
      <c r="F40" s="494"/>
      <c r="G40" s="494">
        <f t="shared" si="9"/>
        <v>1091018.7801808319</v>
      </c>
      <c r="H40" s="494"/>
      <c r="I40" s="20">
        <f>'Exhibit A, 1a'!R110</f>
        <v>368015.27644853375</v>
      </c>
      <c r="J40" s="20"/>
      <c r="K40" s="20">
        <f>'Exhibit A, 1a'!X110</f>
        <v>1102105.9858961208</v>
      </c>
      <c r="L40" s="187"/>
      <c r="M40" s="494">
        <f t="shared" si="10"/>
        <v>1470121.2623446546</v>
      </c>
      <c r="N40" s="494"/>
      <c r="O40" s="494">
        <f t="shared" si="13"/>
        <v>-68792.833749185083</v>
      </c>
      <c r="P40" s="494"/>
      <c r="Q40" s="494">
        <f t="shared" si="14"/>
        <v>-310309.64841463743</v>
      </c>
      <c r="R40" s="494"/>
      <c r="S40" s="494">
        <f t="shared" si="11"/>
        <v>-379102.48216382274</v>
      </c>
    </row>
    <row r="41" spans="1:19">
      <c r="A41" s="6">
        <f t="shared" si="12"/>
        <v>2020</v>
      </c>
      <c r="C41" s="494">
        <f>'Exhibit A, 1a'!R51</f>
        <v>302316.31734355364</v>
      </c>
      <c r="D41" s="494"/>
      <c r="E41" s="494">
        <f>'Exhibit A, 1a'!X51</f>
        <v>190838.00184984354</v>
      </c>
      <c r="F41" s="494"/>
      <c r="G41" s="494">
        <f t="shared" si="9"/>
        <v>493154.31919339718</v>
      </c>
      <c r="H41" s="494"/>
      <c r="I41" s="20">
        <f>'Exhibit A, 1a'!R111</f>
        <v>327457.12938819017</v>
      </c>
      <c r="J41" s="20"/>
      <c r="K41" s="20">
        <f>'Exhibit A, 1a'!X111</f>
        <v>215917.28608502939</v>
      </c>
      <c r="L41" s="187"/>
      <c r="M41" s="494">
        <f t="shared" si="10"/>
        <v>543374.41547321959</v>
      </c>
      <c r="N41" s="494"/>
      <c r="O41" s="494">
        <f t="shared" si="13"/>
        <v>-25140.812044636521</v>
      </c>
      <c r="P41" s="494"/>
      <c r="Q41" s="494">
        <f t="shared" si="14"/>
        <v>-25079.284235185856</v>
      </c>
      <c r="R41" s="494"/>
      <c r="S41" s="494">
        <f t="shared" si="11"/>
        <v>-50220.096279822406</v>
      </c>
    </row>
    <row r="42" spans="1:19">
      <c r="A42" s="6">
        <f t="shared" si="12"/>
        <v>2021</v>
      </c>
      <c r="C42" s="494">
        <f>'Exhibit A, 1a'!R52</f>
        <v>291851.04419625795</v>
      </c>
      <c r="D42" s="20"/>
      <c r="E42" s="494">
        <f>'Exhibit A, 1a'!X52</f>
        <v>210744.86855273385</v>
      </c>
      <c r="F42" s="494"/>
      <c r="G42" s="494">
        <f t="shared" ref="G42:G43" si="15">C42+E42</f>
        <v>502595.9127489918</v>
      </c>
      <c r="H42" s="494"/>
      <c r="I42" s="20">
        <f>'Exhibit A, 1a'!R112</f>
        <v>142189.57326363726</v>
      </c>
      <c r="J42" s="20"/>
      <c r="K42" s="20">
        <f>'Exhibit A, 1a'!X112</f>
        <v>169992.07543115818</v>
      </c>
      <c r="L42" s="187"/>
      <c r="M42" s="494">
        <f t="shared" ref="M42" si="16">I42+K42</f>
        <v>312181.64869479544</v>
      </c>
      <c r="N42" s="494"/>
      <c r="O42" s="494">
        <f t="shared" ref="O42" si="17">C42-I42</f>
        <v>149661.47093262069</v>
      </c>
      <c r="P42" s="494"/>
      <c r="Q42" s="494">
        <f t="shared" ref="Q42" si="18">E42-K42</f>
        <v>40752.793121575669</v>
      </c>
      <c r="R42" s="494"/>
      <c r="S42" s="494">
        <f t="shared" ref="S42" si="19">G42-M42</f>
        <v>190414.26405419636</v>
      </c>
    </row>
    <row r="43" spans="1:19">
      <c r="A43" s="6">
        <f t="shared" si="12"/>
        <v>2022</v>
      </c>
      <c r="C43" s="494">
        <f>'Exhibit A, 1a'!R53</f>
        <v>122048.52291153457</v>
      </c>
      <c r="D43" s="20"/>
      <c r="E43" s="494">
        <f>'Exhibit A, 1a'!X53</f>
        <v>124982.07243679717</v>
      </c>
      <c r="F43" s="494"/>
      <c r="G43" s="494">
        <f t="shared" si="15"/>
        <v>247030.59534833173</v>
      </c>
      <c r="H43" s="494"/>
      <c r="I43" s="20"/>
      <c r="J43" s="20"/>
      <c r="K43" s="20"/>
      <c r="L43" s="187"/>
      <c r="M43" s="494"/>
      <c r="N43" s="494"/>
      <c r="O43" s="494"/>
      <c r="P43" s="494"/>
      <c r="Q43" s="494"/>
      <c r="R43" s="494"/>
      <c r="S43" s="494"/>
    </row>
    <row r="44" spans="1:19">
      <c r="A44" s="6"/>
      <c r="C44" s="200"/>
      <c r="E44" s="200"/>
      <c r="G44" s="200"/>
      <c r="H44" s="18"/>
      <c r="I44" s="200"/>
      <c r="K44" s="200"/>
      <c r="M44" s="200"/>
      <c r="N44" s="18"/>
      <c r="O44" s="200"/>
      <c r="Q44" s="200"/>
      <c r="S44" s="200"/>
    </row>
    <row r="45" spans="1:19">
      <c r="A45" s="2" t="s">
        <v>0</v>
      </c>
      <c r="C45" s="147">
        <f>SUM(C33:C44)</f>
        <v>1771428.5428906893</v>
      </c>
      <c r="D45" s="147"/>
      <c r="E45" s="147">
        <f>SUM(E33:E44)</f>
        <v>3667480.2545797061</v>
      </c>
      <c r="F45" s="508"/>
      <c r="G45" s="147">
        <f>SUM(G33:G44)</f>
        <v>5438908.7974703955</v>
      </c>
      <c r="H45" s="147"/>
      <c r="I45" s="147">
        <f>SUM(I33:I44)</f>
        <v>1635054.9176740067</v>
      </c>
      <c r="J45" s="508"/>
      <c r="K45" s="147">
        <f>SUM(K33:K44)</f>
        <v>3765380.3781554918</v>
      </c>
      <c r="L45" s="147"/>
      <c r="M45" s="147">
        <f>SUM(M33:M44)</f>
        <v>5400435.2958294991</v>
      </c>
      <c r="N45" s="147"/>
      <c r="O45" s="21">
        <f>SUM(O33:O44)</f>
        <v>14325.10230514803</v>
      </c>
      <c r="P45" s="508"/>
      <c r="Q45" s="21">
        <f>SUM(Q33:Q44)</f>
        <v>-222882.19601258222</v>
      </c>
      <c r="R45" s="147"/>
      <c r="S45" s="147">
        <f>SUM(S33:S44)</f>
        <v>-208557.09370743448</v>
      </c>
    </row>
    <row r="46" spans="1:19">
      <c r="A46" s="6"/>
      <c r="C46" s="20"/>
      <c r="D46" s="20"/>
      <c r="E46" s="20"/>
      <c r="F46" s="20"/>
      <c r="G46" s="20"/>
      <c r="H46" s="20"/>
      <c r="I46" s="18"/>
      <c r="K46" s="18"/>
      <c r="M46" s="18"/>
      <c r="N46" s="20"/>
      <c r="O46" s="20"/>
      <c r="P46" s="20"/>
      <c r="Q46" s="20"/>
      <c r="R46" s="20"/>
      <c r="S46" s="20"/>
    </row>
    <row r="47" spans="1:19">
      <c r="A47" s="6"/>
      <c r="C47" s="20"/>
      <c r="D47" s="20"/>
      <c r="E47" s="20"/>
      <c r="F47" s="20"/>
      <c r="G47" s="20"/>
      <c r="H47" s="20"/>
      <c r="I47" s="18"/>
      <c r="K47" s="18"/>
      <c r="M47" s="18"/>
      <c r="N47" s="20"/>
      <c r="O47" s="20"/>
      <c r="P47" s="20"/>
      <c r="Q47" s="20"/>
      <c r="R47" s="20"/>
      <c r="S47" s="20"/>
    </row>
    <row r="48" spans="1:19" ht="16">
      <c r="A48" s="15" t="s">
        <v>85</v>
      </c>
      <c r="C48" s="20"/>
      <c r="D48" s="20"/>
      <c r="E48" s="20"/>
      <c r="F48" s="20"/>
      <c r="G48" s="20"/>
      <c r="H48" s="20"/>
      <c r="I48" s="18"/>
      <c r="K48" s="18"/>
      <c r="M48" s="18"/>
      <c r="N48" s="20"/>
      <c r="O48" s="20"/>
      <c r="P48" s="20"/>
      <c r="Q48" s="20"/>
      <c r="R48" s="20"/>
      <c r="S48" s="20"/>
    </row>
    <row r="49" spans="1:19">
      <c r="A49" s="6" t="str">
        <f>A33</f>
        <v>Prior</v>
      </c>
      <c r="C49" s="147">
        <f t="shared" ref="C49:C59" si="20">C17-C33</f>
        <v>0</v>
      </c>
      <c r="D49" s="147"/>
      <c r="E49" s="147">
        <f t="shared" ref="E49:E59" si="21">E17-E33</f>
        <v>0</v>
      </c>
      <c r="F49" s="147"/>
      <c r="G49" s="147">
        <f t="shared" ref="G49:G59" si="22">G17-G33</f>
        <v>0</v>
      </c>
      <c r="H49" s="147"/>
      <c r="I49" s="147">
        <f t="shared" ref="I49:I58" si="23">I17-I33</f>
        <v>0</v>
      </c>
      <c r="J49" s="147"/>
      <c r="K49" s="147">
        <f t="shared" ref="K49:K58" si="24">K17-K33</f>
        <v>0</v>
      </c>
      <c r="L49" s="147"/>
      <c r="M49" s="147">
        <f t="shared" ref="M49:M58" si="25">M17-M33</f>
        <v>0</v>
      </c>
      <c r="N49" s="147"/>
      <c r="O49" s="147">
        <f t="shared" ref="O49:O58" si="26">O17-O33</f>
        <v>0</v>
      </c>
      <c r="P49" s="147"/>
      <c r="Q49" s="147">
        <f t="shared" ref="Q49:Q58" si="27">Q17-Q33</f>
        <v>0</v>
      </c>
      <c r="R49" s="147"/>
      <c r="S49" s="147">
        <f t="shared" ref="S49:S58" si="28">S17-S33</f>
        <v>0</v>
      </c>
    </row>
    <row r="50" spans="1:19">
      <c r="A50" s="6">
        <f>A18</f>
        <v>2013</v>
      </c>
      <c r="C50" s="494">
        <f t="shared" si="20"/>
        <v>8418.1970000000001</v>
      </c>
      <c r="D50" s="494"/>
      <c r="E50" s="494">
        <f t="shared" si="21"/>
        <v>0</v>
      </c>
      <c r="F50" s="494"/>
      <c r="G50" s="494">
        <f t="shared" si="22"/>
        <v>8418.1970000000001</v>
      </c>
      <c r="H50" s="494"/>
      <c r="I50" s="494">
        <f t="shared" si="23"/>
        <v>8422.9748207906159</v>
      </c>
      <c r="J50" s="494"/>
      <c r="K50" s="494">
        <f t="shared" si="24"/>
        <v>0</v>
      </c>
      <c r="L50" s="494"/>
      <c r="M50" s="494">
        <f t="shared" si="25"/>
        <v>8422.9748207906159</v>
      </c>
      <c r="N50" s="494"/>
      <c r="O50" s="494">
        <f t="shared" si="26"/>
        <v>-4.7778207906158059</v>
      </c>
      <c r="P50" s="494"/>
      <c r="Q50" s="494">
        <f t="shared" si="27"/>
        <v>0</v>
      </c>
      <c r="R50" s="494"/>
      <c r="S50" s="494">
        <f t="shared" si="28"/>
        <v>-4.7778207906158059</v>
      </c>
    </row>
    <row r="51" spans="1:19">
      <c r="A51" s="6">
        <f t="shared" ref="A51:A59" si="29">A50+1</f>
        <v>2014</v>
      </c>
      <c r="C51" s="494">
        <f t="shared" si="20"/>
        <v>3803033.0536734839</v>
      </c>
      <c r="D51" s="494"/>
      <c r="E51" s="494">
        <f t="shared" si="21"/>
        <v>1065256.4509738579</v>
      </c>
      <c r="F51" s="494"/>
      <c r="G51" s="494">
        <f t="shared" si="22"/>
        <v>4868289.5046473416</v>
      </c>
      <c r="H51" s="494"/>
      <c r="I51" s="494">
        <f t="shared" si="23"/>
        <v>3819859.9949843893</v>
      </c>
      <c r="J51" s="494"/>
      <c r="K51" s="494">
        <f t="shared" si="24"/>
        <v>173041.24859258032</v>
      </c>
      <c r="L51" s="494"/>
      <c r="M51" s="494">
        <f t="shared" si="25"/>
        <v>3992901.24357697</v>
      </c>
      <c r="N51" s="494"/>
      <c r="O51" s="494">
        <f t="shared" si="26"/>
        <v>-16826.941310905386</v>
      </c>
      <c r="P51" s="494"/>
      <c r="Q51" s="494">
        <f t="shared" si="27"/>
        <v>892215.20238127746</v>
      </c>
      <c r="R51" s="494"/>
      <c r="S51" s="494">
        <f t="shared" si="28"/>
        <v>875388.26107037161</v>
      </c>
    </row>
    <row r="52" spans="1:19">
      <c r="A52" s="6">
        <f t="shared" si="29"/>
        <v>2015</v>
      </c>
      <c r="C52" s="494">
        <f t="shared" si="20"/>
        <v>2571696.1415077848</v>
      </c>
      <c r="D52" s="494"/>
      <c r="E52" s="494">
        <f t="shared" si="21"/>
        <v>371474.1982110159</v>
      </c>
      <c r="F52" s="494"/>
      <c r="G52" s="494">
        <f t="shared" si="22"/>
        <v>2943170.3397188005</v>
      </c>
      <c r="H52" s="494"/>
      <c r="I52" s="494">
        <f t="shared" si="23"/>
        <v>2604976.2173551456</v>
      </c>
      <c r="J52" s="494"/>
      <c r="K52" s="494">
        <f t="shared" si="24"/>
        <v>338468.20580547786</v>
      </c>
      <c r="L52" s="494"/>
      <c r="M52" s="494">
        <f t="shared" si="25"/>
        <v>2943444.4231606238</v>
      </c>
      <c r="N52" s="494"/>
      <c r="O52" s="494">
        <f t="shared" si="26"/>
        <v>-33280.075847360829</v>
      </c>
      <c r="P52" s="494"/>
      <c r="Q52" s="494">
        <f t="shared" si="27"/>
        <v>33005.992405538062</v>
      </c>
      <c r="R52" s="494"/>
      <c r="S52" s="494">
        <f t="shared" si="28"/>
        <v>-274.08344182281871</v>
      </c>
    </row>
    <row r="53" spans="1:19">
      <c r="A53" s="6">
        <f t="shared" si="29"/>
        <v>2016</v>
      </c>
      <c r="C53" s="494">
        <f t="shared" si="20"/>
        <v>2905360.4296265608</v>
      </c>
      <c r="D53" s="494"/>
      <c r="E53" s="494">
        <f t="shared" si="21"/>
        <v>11907540.336780917</v>
      </c>
      <c r="F53" s="494"/>
      <c r="G53" s="494">
        <f t="shared" si="22"/>
        <v>14812900.766407479</v>
      </c>
      <c r="H53" s="494"/>
      <c r="I53" s="494">
        <f t="shared" si="23"/>
        <v>2978890.2466766164</v>
      </c>
      <c r="J53" s="494"/>
      <c r="K53" s="494">
        <f t="shared" si="24"/>
        <v>12312396.41982522</v>
      </c>
      <c r="L53" s="494"/>
      <c r="M53" s="494">
        <f t="shared" si="25"/>
        <v>15291286.666501837</v>
      </c>
      <c r="N53" s="494"/>
      <c r="O53" s="494">
        <f t="shared" si="26"/>
        <v>-73529.817050055455</v>
      </c>
      <c r="P53" s="494"/>
      <c r="Q53" s="494">
        <f t="shared" si="27"/>
        <v>-404856.08304430335</v>
      </c>
      <c r="R53" s="494"/>
      <c r="S53" s="494">
        <f t="shared" si="28"/>
        <v>-478385.90009435872</v>
      </c>
    </row>
    <row r="54" spans="1:19">
      <c r="A54" s="6">
        <f t="shared" si="29"/>
        <v>2017</v>
      </c>
      <c r="C54" s="494">
        <f t="shared" si="20"/>
        <v>2006213.3733675408</v>
      </c>
      <c r="D54" s="494"/>
      <c r="E54" s="494">
        <f t="shared" si="21"/>
        <v>7843705.8491707006</v>
      </c>
      <c r="F54" s="494"/>
      <c r="G54" s="494">
        <f t="shared" si="22"/>
        <v>9849919.2225382403</v>
      </c>
      <c r="H54" s="494"/>
      <c r="I54" s="494">
        <f t="shared" si="23"/>
        <v>2355734.1224499121</v>
      </c>
      <c r="J54" s="494"/>
      <c r="K54" s="494">
        <f t="shared" si="24"/>
        <v>8583944.6953876596</v>
      </c>
      <c r="L54" s="494"/>
      <c r="M54" s="494">
        <f t="shared" si="25"/>
        <v>10939678.817837574</v>
      </c>
      <c r="N54" s="494"/>
      <c r="O54" s="494">
        <f t="shared" si="26"/>
        <v>-349520.74908237113</v>
      </c>
      <c r="P54" s="494"/>
      <c r="Q54" s="494">
        <f t="shared" si="27"/>
        <v>-740238.84621696</v>
      </c>
      <c r="R54" s="494"/>
      <c r="S54" s="494">
        <f t="shared" si="28"/>
        <v>-1089759.5952993319</v>
      </c>
    </row>
    <row r="55" spans="1:19">
      <c r="A55" s="6">
        <f t="shared" si="29"/>
        <v>2018</v>
      </c>
      <c r="C55" s="494">
        <f t="shared" si="20"/>
        <v>600050.60388452851</v>
      </c>
      <c r="D55" s="494"/>
      <c r="E55" s="494">
        <f t="shared" si="21"/>
        <v>17419630.135781612</v>
      </c>
      <c r="F55" s="494"/>
      <c r="G55" s="494">
        <f t="shared" si="22"/>
        <v>18019680.739666142</v>
      </c>
      <c r="H55" s="494"/>
      <c r="I55" s="494">
        <f t="shared" si="23"/>
        <v>913539.97661241307</v>
      </c>
      <c r="J55" s="494"/>
      <c r="K55" s="494">
        <f t="shared" si="24"/>
        <v>12524386.768595148</v>
      </c>
      <c r="L55" s="494"/>
      <c r="M55" s="494">
        <f t="shared" si="25"/>
        <v>13437926.745207563</v>
      </c>
      <c r="N55" s="494"/>
      <c r="O55" s="494">
        <f t="shared" si="26"/>
        <v>-313489.3727278845</v>
      </c>
      <c r="P55" s="494"/>
      <c r="Q55" s="494">
        <f t="shared" si="27"/>
        <v>4895243.3671864644</v>
      </c>
      <c r="R55" s="494"/>
      <c r="S55" s="494">
        <f t="shared" si="28"/>
        <v>4581753.9944585804</v>
      </c>
    </row>
    <row r="56" spans="1:19">
      <c r="A56" s="6">
        <f t="shared" si="29"/>
        <v>2019</v>
      </c>
      <c r="C56" s="494">
        <f t="shared" si="20"/>
        <v>3665410.3212876297</v>
      </c>
      <c r="D56" s="494"/>
      <c r="E56" s="494">
        <f t="shared" si="21"/>
        <v>14377367.782148201</v>
      </c>
      <c r="F56" s="494"/>
      <c r="G56" s="494">
        <f t="shared" si="22"/>
        <v>18042778.103435833</v>
      </c>
      <c r="H56" s="494"/>
      <c r="I56" s="494">
        <f t="shared" si="23"/>
        <v>4674367.9625221388</v>
      </c>
      <c r="J56" s="494"/>
      <c r="K56" s="494">
        <f t="shared" si="24"/>
        <v>15856141.935148187</v>
      </c>
      <c r="L56" s="494"/>
      <c r="M56" s="494">
        <f t="shared" si="25"/>
        <v>20530509.897670325</v>
      </c>
      <c r="N56" s="494"/>
      <c r="O56" s="494">
        <f t="shared" si="26"/>
        <v>-1008957.6412345094</v>
      </c>
      <c r="P56" s="494"/>
      <c r="Q56" s="494">
        <f t="shared" si="27"/>
        <v>-1478774.1529999864</v>
      </c>
      <c r="R56" s="494"/>
      <c r="S56" s="494">
        <f t="shared" si="28"/>
        <v>-2487731.7942344933</v>
      </c>
    </row>
    <row r="57" spans="1:19">
      <c r="A57" s="6">
        <f t="shared" si="29"/>
        <v>2020</v>
      </c>
      <c r="C57" s="494">
        <f t="shared" si="20"/>
        <v>1666252.2295275228</v>
      </c>
      <c r="D57" s="494"/>
      <c r="E57" s="494">
        <f t="shared" si="21"/>
        <v>2803431.0351470327</v>
      </c>
      <c r="F57" s="494"/>
      <c r="G57" s="494">
        <f t="shared" si="22"/>
        <v>4469683.2646745555</v>
      </c>
      <c r="H57" s="494"/>
      <c r="I57" s="494">
        <f t="shared" si="23"/>
        <v>1475032.6583756101</v>
      </c>
      <c r="J57" s="494"/>
      <c r="K57" s="494">
        <f t="shared" si="24"/>
        <v>2147475.9921582039</v>
      </c>
      <c r="L57" s="494"/>
      <c r="M57" s="494">
        <f t="shared" si="25"/>
        <v>3622508.6505338144</v>
      </c>
      <c r="N57" s="494"/>
      <c r="O57" s="494">
        <f t="shared" si="26"/>
        <v>191219.57115191262</v>
      </c>
      <c r="P57" s="494"/>
      <c r="Q57" s="494">
        <f t="shared" si="27"/>
        <v>655955.04298882873</v>
      </c>
      <c r="R57" s="494"/>
      <c r="S57" s="494">
        <f t="shared" si="28"/>
        <v>847174.61414074071</v>
      </c>
    </row>
    <row r="58" spans="1:19">
      <c r="A58" s="6">
        <f t="shared" si="29"/>
        <v>2021</v>
      </c>
      <c r="C58" s="20">
        <f t="shared" si="20"/>
        <v>5483514.8397288853</v>
      </c>
      <c r="D58" s="20"/>
      <c r="E58" s="20">
        <f t="shared" si="21"/>
        <v>4004152.5025019371</v>
      </c>
      <c r="F58" s="20"/>
      <c r="G58" s="20">
        <f t="shared" si="22"/>
        <v>9487667.3422308229</v>
      </c>
      <c r="H58" s="20"/>
      <c r="I58" s="20">
        <f t="shared" si="23"/>
        <v>2380121.8920091046</v>
      </c>
      <c r="J58" s="20"/>
      <c r="K58" s="20">
        <f t="shared" si="24"/>
        <v>2185893.6206462914</v>
      </c>
      <c r="L58" s="20"/>
      <c r="M58" s="20">
        <f t="shared" si="25"/>
        <v>4566015.512655396</v>
      </c>
      <c r="N58" s="20"/>
      <c r="O58" s="20">
        <f t="shared" si="26"/>
        <v>3103392.9477197812</v>
      </c>
      <c r="P58" s="20"/>
      <c r="Q58" s="20">
        <f t="shared" si="27"/>
        <v>1818258.8818556454</v>
      </c>
      <c r="R58" s="20"/>
      <c r="S58" s="20">
        <f t="shared" si="28"/>
        <v>4921651.8295754278</v>
      </c>
    </row>
    <row r="59" spans="1:19">
      <c r="A59" s="6">
        <f t="shared" si="29"/>
        <v>2022</v>
      </c>
      <c r="C59" s="20">
        <f t="shared" si="20"/>
        <v>2318921.9353191541</v>
      </c>
      <c r="D59" s="20"/>
      <c r="E59" s="20">
        <f t="shared" si="21"/>
        <v>2374659.3762991419</v>
      </c>
      <c r="F59" s="20"/>
      <c r="G59" s="20">
        <f t="shared" si="22"/>
        <v>4693581.3116182955</v>
      </c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</row>
    <row r="60" spans="1:19">
      <c r="A60" s="6"/>
      <c r="C60" s="200"/>
      <c r="E60" s="200"/>
      <c r="G60" s="200"/>
      <c r="H60" s="18"/>
      <c r="I60" s="200"/>
      <c r="K60" s="200"/>
      <c r="M60" s="200"/>
      <c r="N60" s="18"/>
      <c r="O60" s="200"/>
      <c r="Q60" s="200"/>
      <c r="S60" s="200"/>
    </row>
    <row r="61" spans="1:19">
      <c r="A61" s="2" t="s">
        <v>0</v>
      </c>
      <c r="C61" s="147">
        <f>SUM(C49:C60)</f>
        <v>25028871.124923091</v>
      </c>
      <c r="D61" s="147"/>
      <c r="E61" s="147">
        <f>SUM(E49:E60)</f>
        <v>62167217.667014413</v>
      </c>
      <c r="F61" s="508"/>
      <c r="G61" s="147">
        <f>SUM(G49:G60)</f>
        <v>87196088.791937515</v>
      </c>
      <c r="H61" s="147"/>
      <c r="I61" s="147">
        <f>SUM(I49:I60)</f>
        <v>21210946.045806121</v>
      </c>
      <c r="J61" s="508"/>
      <c r="K61" s="147">
        <f>SUM(K49:K60)</f>
        <v>54121748.886158764</v>
      </c>
      <c r="L61" s="147"/>
      <c r="M61" s="147">
        <f>SUM(M49:M60)</f>
        <v>75332694.931964889</v>
      </c>
      <c r="N61" s="147"/>
      <c r="O61" s="147">
        <f>SUM(O49:O60)</f>
        <v>1499003.1437978165</v>
      </c>
      <c r="P61" s="508"/>
      <c r="Q61" s="147">
        <f>SUM(Q49:Q60)</f>
        <v>5670809.4045565045</v>
      </c>
      <c r="R61" s="147"/>
      <c r="S61" s="147">
        <f>SUM(S49:S60)</f>
        <v>7169812.548354323</v>
      </c>
    </row>
    <row r="62" spans="1:19">
      <c r="A62" s="6"/>
      <c r="C62" s="20"/>
      <c r="E62" s="20"/>
      <c r="G62" s="20"/>
      <c r="I62" s="20"/>
      <c r="J62" s="18"/>
      <c r="K62" s="20"/>
      <c r="M62" s="20"/>
      <c r="O62" s="20"/>
      <c r="Q62" s="20"/>
      <c r="S62" s="20"/>
    </row>
    <row r="63" spans="1:19">
      <c r="A63" s="6"/>
      <c r="C63" s="20"/>
      <c r="E63" s="20"/>
      <c r="G63" s="20"/>
      <c r="I63" s="20"/>
      <c r="J63" s="18"/>
      <c r="K63" s="20"/>
      <c r="M63" s="20"/>
      <c r="O63" s="20"/>
      <c r="Q63" s="20"/>
      <c r="S63" s="20"/>
    </row>
    <row r="64" spans="1:19">
      <c r="A64" s="6"/>
      <c r="C64" s="20"/>
      <c r="E64" s="20"/>
      <c r="G64" s="20"/>
      <c r="I64" s="20"/>
      <c r="J64" s="18"/>
      <c r="K64" s="20"/>
      <c r="M64" s="20"/>
      <c r="O64" s="20"/>
      <c r="Q64" s="20"/>
      <c r="S64" s="20"/>
    </row>
    <row r="65" spans="1:19">
      <c r="A65" s="64" t="s">
        <v>104</v>
      </c>
      <c r="C65" s="3" t="s">
        <v>1522</v>
      </c>
      <c r="G65" s="20"/>
      <c r="I65" s="20"/>
      <c r="J65" s="18"/>
      <c r="K65" s="20"/>
      <c r="M65" s="20"/>
      <c r="O65" s="20"/>
      <c r="Q65" s="20"/>
      <c r="S65" s="20"/>
    </row>
    <row r="66" spans="1:19">
      <c r="A66" s="64"/>
      <c r="C66" s="3" t="s">
        <v>980</v>
      </c>
      <c r="G66" s="20"/>
      <c r="I66" s="20"/>
      <c r="J66" s="18"/>
      <c r="K66" s="20"/>
      <c r="M66" s="20"/>
      <c r="O66" s="20"/>
      <c r="Q66" s="20"/>
      <c r="S66" s="20"/>
    </row>
    <row r="67" spans="1:19">
      <c r="A67" s="64" t="s">
        <v>36</v>
      </c>
      <c r="C67" s="3" t="s">
        <v>1523</v>
      </c>
      <c r="G67" s="20"/>
      <c r="I67" s="20"/>
      <c r="J67" s="18"/>
      <c r="K67" s="20"/>
      <c r="M67" s="20"/>
      <c r="O67" s="20"/>
      <c r="Q67" s="20"/>
      <c r="S67" s="20"/>
    </row>
    <row r="68" spans="1:19">
      <c r="A68" s="64"/>
      <c r="C68" s="3" t="s">
        <v>981</v>
      </c>
      <c r="G68" s="20"/>
      <c r="I68" s="20"/>
      <c r="J68" s="18"/>
      <c r="K68" s="20"/>
      <c r="M68" s="20"/>
      <c r="O68" s="20"/>
      <c r="Q68" s="20"/>
      <c r="S68" s="20"/>
    </row>
    <row r="69" spans="1:19">
      <c r="A69" s="64" t="s">
        <v>38</v>
      </c>
      <c r="C69" s="3" t="s">
        <v>174</v>
      </c>
      <c r="G69" s="20"/>
      <c r="I69" s="20"/>
      <c r="J69" s="18"/>
      <c r="K69" s="20"/>
      <c r="M69" s="20"/>
      <c r="O69" s="20"/>
      <c r="Q69" s="20"/>
      <c r="S69" s="20"/>
    </row>
    <row r="70" spans="1:19">
      <c r="A70" s="64" t="s">
        <v>186</v>
      </c>
      <c r="C70" s="140" t="s">
        <v>1554</v>
      </c>
      <c r="G70" s="20"/>
      <c r="I70" s="20"/>
      <c r="J70" s="18"/>
      <c r="K70" s="20"/>
      <c r="M70" s="20"/>
      <c r="O70" s="20"/>
      <c r="Q70" s="20"/>
      <c r="S70" s="20"/>
    </row>
    <row r="71" spans="1:19">
      <c r="A71" s="64" t="s">
        <v>31</v>
      </c>
      <c r="C71" s="3" t="s">
        <v>273</v>
      </c>
      <c r="G71" s="20"/>
      <c r="I71" s="20"/>
      <c r="J71" s="18"/>
      <c r="K71" s="20"/>
      <c r="M71" s="20"/>
      <c r="O71" s="20"/>
      <c r="Q71" s="20"/>
      <c r="S71" s="20"/>
    </row>
    <row r="72" spans="1:19">
      <c r="A72" s="64" t="s">
        <v>103</v>
      </c>
      <c r="C72" s="3" t="s">
        <v>274</v>
      </c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</row>
    <row r="73" spans="1:19">
      <c r="A73" s="64" t="s">
        <v>106</v>
      </c>
      <c r="C73" s="3" t="s">
        <v>277</v>
      </c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</row>
  </sheetData>
  <printOptions horizontalCentered="1"/>
  <pageMargins left="0.7" right="0.7" top="0.75" bottom="0.75" header="0.3" footer="0.3"/>
  <pageSetup scale="56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6">
    <pageSetUpPr fitToPage="1"/>
  </sheetPr>
  <dimension ref="A1:Q82"/>
  <sheetViews>
    <sheetView topLeftCell="A21" zoomScale="90" zoomScaleNormal="90" workbookViewId="0">
      <selection activeCell="C22" sqref="C22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1.7109375" style="1" customWidth="1"/>
    <col min="14" max="14" width="8.7109375" style="1"/>
    <col min="15" max="18" width="12.7109375" style="1" customWidth="1"/>
    <col min="19" max="16384" width="8.7109375" style="1"/>
  </cols>
  <sheetData>
    <row r="1" spans="1:17">
      <c r="M1" s="64" t="s">
        <v>121</v>
      </c>
    </row>
    <row r="2" spans="1:17">
      <c r="M2" s="64" t="s">
        <v>983</v>
      </c>
    </row>
    <row r="4" spans="1:17" ht="16">
      <c r="A4" s="4" t="s">
        <v>1550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17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17">
      <c r="A6" s="5" t="s">
        <v>181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17">
      <c r="A7" s="5" t="s">
        <v>1299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17">
      <c r="A8" s="5" t="s">
        <v>1300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7">
      <c r="A9" s="5"/>
      <c r="B9" s="5"/>
      <c r="C9" s="5"/>
      <c r="D9" s="5"/>
      <c r="E9" s="5"/>
      <c r="F9" s="5"/>
      <c r="G9" s="5"/>
      <c r="H9" s="5"/>
      <c r="I9" s="5"/>
      <c r="J9" s="5"/>
      <c r="K9" s="5"/>
    </row>
    <row r="11" spans="1:17">
      <c r="C11" s="2" t="s">
        <v>1</v>
      </c>
      <c r="Q11" s="61"/>
    </row>
    <row r="12" spans="1:17">
      <c r="C12" s="2" t="s">
        <v>67</v>
      </c>
      <c r="E12" s="2" t="s">
        <v>14</v>
      </c>
      <c r="G12" s="2" t="s">
        <v>12</v>
      </c>
      <c r="I12" s="2" t="s">
        <v>139</v>
      </c>
      <c r="M12" s="2" t="s">
        <v>63</v>
      </c>
    </row>
    <row r="13" spans="1:17">
      <c r="A13" s="2" t="s">
        <v>4</v>
      </c>
      <c r="C13" s="2" t="s">
        <v>55</v>
      </c>
      <c r="E13" s="2" t="s">
        <v>55</v>
      </c>
      <c r="G13" s="2" t="s">
        <v>55</v>
      </c>
      <c r="I13" s="2" t="s">
        <v>112</v>
      </c>
      <c r="K13" s="2" t="s">
        <v>381</v>
      </c>
      <c r="M13" s="2" t="s">
        <v>55</v>
      </c>
    </row>
    <row r="14" spans="1:17">
      <c r="A14" s="10">
        <v>-1</v>
      </c>
      <c r="C14" s="10">
        <v>-2</v>
      </c>
      <c r="E14" s="10">
        <v>-3</v>
      </c>
      <c r="G14" s="10">
        <v>-4</v>
      </c>
      <c r="I14" s="10">
        <v>-5</v>
      </c>
      <c r="K14" s="10">
        <v>-6</v>
      </c>
      <c r="M14" s="10">
        <v>-7</v>
      </c>
    </row>
    <row r="16" spans="1:17" ht="16">
      <c r="A16" s="175" t="s">
        <v>1302</v>
      </c>
      <c r="B16" s="15"/>
      <c r="C16" s="15"/>
      <c r="D16" s="15"/>
      <c r="E16" s="15"/>
    </row>
    <row r="17" spans="1:13">
      <c r="A17" s="6">
        <v>2013</v>
      </c>
      <c r="C17" s="147">
        <f>'Exhibit A, 1a'!X19+'Exhibit A, 1a'!R19</f>
        <v>10582.26</v>
      </c>
      <c r="D17" s="147"/>
      <c r="E17" s="147">
        <f>'Exhibit A, 1a'!Z19+'Exhibit A, 1a'!T19</f>
        <v>10582.26</v>
      </c>
      <c r="F17" s="147"/>
      <c r="G17" s="147">
        <f>'Exhibit A, 1a'!AA19+'Exhibit A, 1a'!U19</f>
        <v>10582.26</v>
      </c>
      <c r="H17" s="147"/>
      <c r="I17" s="147">
        <f>G17-E17</f>
        <v>0</v>
      </c>
      <c r="J17" s="147"/>
      <c r="K17" s="147">
        <f>C17-G17</f>
        <v>0</v>
      </c>
      <c r="L17" s="147"/>
      <c r="M17" s="147">
        <f>C17-E17</f>
        <v>0</v>
      </c>
    </row>
    <row r="18" spans="1:13">
      <c r="A18" s="6">
        <f>A17+1</f>
        <v>2014</v>
      </c>
      <c r="C18" s="17">
        <f>'Exhibit A, 1a'!X20+'Exhibit A, 1a'!R20</f>
        <v>5202093.982786675</v>
      </c>
      <c r="D18" s="17"/>
      <c r="E18" s="17">
        <f>'Exhibit A, 1a'!Z20+'Exhibit A, 1a'!T20</f>
        <v>4138972.94</v>
      </c>
      <c r="F18" s="17"/>
      <c r="G18" s="17">
        <f>'Exhibit A, 1a'!AA20+'Exhibit A, 1a'!U20</f>
        <v>5178500.8599999994</v>
      </c>
      <c r="H18" s="187"/>
      <c r="I18" s="494">
        <f t="shared" ref="I18:I26" si="0">G18-E18</f>
        <v>1039527.9199999995</v>
      </c>
      <c r="J18" s="494"/>
      <c r="K18" s="494">
        <f t="shared" ref="K18:K26" si="1">C18-G18</f>
        <v>23593.12278667558</v>
      </c>
      <c r="L18" s="494"/>
      <c r="M18" s="494">
        <f t="shared" ref="M18:M26" si="2">C18-E18</f>
        <v>1063121.042786675</v>
      </c>
    </row>
    <row r="19" spans="1:13">
      <c r="A19" s="6">
        <f t="shared" ref="A19:A26" si="3">A18+1</f>
        <v>2015</v>
      </c>
      <c r="C19" s="17">
        <f>'Exhibit A, 1a'!X21+'Exhibit A, 1a'!R21</f>
        <v>3135777.920756632</v>
      </c>
      <c r="D19" s="17"/>
      <c r="E19" s="17">
        <f>'Exhibit A, 1a'!Z21+'Exhibit A, 1a'!T21</f>
        <v>3069669.1099999994</v>
      </c>
      <c r="F19" s="17"/>
      <c r="G19" s="17">
        <f>'Exhibit A, 1a'!AA21+'Exhibit A, 1a'!U21</f>
        <v>3107083.1099999994</v>
      </c>
      <c r="H19" s="187"/>
      <c r="I19" s="494">
        <f t="shared" si="0"/>
        <v>37414</v>
      </c>
      <c r="J19" s="494"/>
      <c r="K19" s="494">
        <f t="shared" si="1"/>
        <v>28694.810756632593</v>
      </c>
      <c r="L19" s="494"/>
      <c r="M19" s="494">
        <f t="shared" si="2"/>
        <v>66108.810756632593</v>
      </c>
    </row>
    <row r="20" spans="1:13">
      <c r="A20" s="6">
        <f t="shared" si="3"/>
        <v>2016</v>
      </c>
      <c r="C20" s="17">
        <f>'Exhibit A, 1a'!X22+'Exhibit A, 1a'!R22</f>
        <v>15623894.267271031</v>
      </c>
      <c r="D20" s="17"/>
      <c r="E20" s="17">
        <f>'Exhibit A, 1a'!Z22+'Exhibit A, 1a'!T22</f>
        <v>14906749.789999999</v>
      </c>
      <c r="F20" s="17"/>
      <c r="G20" s="17">
        <f>'Exhibit A, 1a'!AA22+'Exhibit A, 1a'!U22</f>
        <v>15433364.379999999</v>
      </c>
      <c r="H20" s="187"/>
      <c r="I20" s="494">
        <f t="shared" si="0"/>
        <v>526614.58999999985</v>
      </c>
      <c r="J20" s="494"/>
      <c r="K20" s="494">
        <f t="shared" si="1"/>
        <v>190529.88727103174</v>
      </c>
      <c r="L20" s="494"/>
      <c r="M20" s="494">
        <f t="shared" si="2"/>
        <v>717144.47727103159</v>
      </c>
    </row>
    <row r="21" spans="1:13">
      <c r="A21" s="6">
        <f t="shared" si="3"/>
        <v>2017</v>
      </c>
      <c r="C21" s="17">
        <f>'Exhibit A, 1a'!X23+'Exhibit A, 1a'!R23</f>
        <v>10630506.870040255</v>
      </c>
      <c r="D21" s="17"/>
      <c r="E21" s="17">
        <f>'Exhibit A, 1a'!Z23+'Exhibit A, 1a'!T23</f>
        <v>8447343.9799999986</v>
      </c>
      <c r="F21" s="17"/>
      <c r="G21" s="17">
        <f>'Exhibit A, 1a'!AA23+'Exhibit A, 1a'!U23</f>
        <v>10556812.389999999</v>
      </c>
      <c r="H21" s="187"/>
      <c r="I21" s="494">
        <f t="shared" si="0"/>
        <v>2109468.41</v>
      </c>
      <c r="J21" s="494"/>
      <c r="K21" s="494">
        <f t="shared" si="1"/>
        <v>73694.480040255934</v>
      </c>
      <c r="L21" s="494"/>
      <c r="M21" s="494">
        <f t="shared" si="2"/>
        <v>2183162.8900402561</v>
      </c>
    </row>
    <row r="22" spans="1:13">
      <c r="A22" s="6">
        <f t="shared" si="3"/>
        <v>2018</v>
      </c>
      <c r="C22" s="17">
        <f>'Exhibit A, 1a'!X24+'Exhibit A, 1a'!R24</f>
        <v>19004632.659122255</v>
      </c>
      <c r="D22" s="17"/>
      <c r="E22" s="17">
        <f>'Exhibit A, 1a'!Z24+'Exhibit A, 1a'!T24</f>
        <v>7100800.71</v>
      </c>
      <c r="F22" s="17"/>
      <c r="G22" s="17">
        <f>'Exhibit A, 1a'!AA24+'Exhibit A, 1a'!U24</f>
        <v>11271668.75</v>
      </c>
      <c r="H22" s="187"/>
      <c r="I22" s="494">
        <f t="shared" si="0"/>
        <v>4170868.04</v>
      </c>
      <c r="J22" s="494"/>
      <c r="K22" s="494">
        <f t="shared" si="1"/>
        <v>7732963.9091222547</v>
      </c>
      <c r="L22" s="494"/>
      <c r="M22" s="494">
        <f t="shared" si="2"/>
        <v>11903831.949122254</v>
      </c>
    </row>
    <row r="23" spans="1:13">
      <c r="A23" s="6">
        <f t="shared" si="3"/>
        <v>2019</v>
      </c>
      <c r="C23" s="17">
        <f>'Exhibit A, 1a'!X25+'Exhibit A, 1a'!R25</f>
        <v>19133796.883616664</v>
      </c>
      <c r="D23" s="17"/>
      <c r="E23" s="17">
        <f>'Exhibit A, 1a'!Z25+'Exhibit A, 1a'!T25</f>
        <v>8123955.2599999998</v>
      </c>
      <c r="F23" s="17"/>
      <c r="G23" s="17">
        <f>'Exhibit A, 1a'!AA25+'Exhibit A, 1a'!U25</f>
        <v>10461134.050000001</v>
      </c>
      <c r="H23" s="187"/>
      <c r="I23" s="494">
        <f t="shared" si="0"/>
        <v>2337178.790000001</v>
      </c>
      <c r="J23" s="494"/>
      <c r="K23" s="494">
        <f t="shared" si="1"/>
        <v>8672662.8336166628</v>
      </c>
      <c r="L23" s="494"/>
      <c r="M23" s="494">
        <f t="shared" si="2"/>
        <v>11009841.623616664</v>
      </c>
    </row>
    <row r="24" spans="1:13">
      <c r="A24" s="6">
        <f t="shared" si="3"/>
        <v>2020</v>
      </c>
      <c r="C24" s="17">
        <f>'Exhibit A, 1a'!X26+'Exhibit A, 1a'!R26</f>
        <v>4962837.5838679522</v>
      </c>
      <c r="D24" s="17"/>
      <c r="E24" s="17">
        <f>'Exhibit A, 1a'!Z26+'Exhibit A, 1a'!T26</f>
        <v>1627284.0899999999</v>
      </c>
      <c r="F24" s="17"/>
      <c r="G24" s="17">
        <f>'Exhibit A, 1a'!AA26+'Exhibit A, 1a'!U26</f>
        <v>1938054.0199999998</v>
      </c>
      <c r="H24" s="187"/>
      <c r="I24" s="494">
        <f t="shared" si="0"/>
        <v>310769.92999999993</v>
      </c>
      <c r="J24" s="494"/>
      <c r="K24" s="494">
        <f t="shared" si="1"/>
        <v>3024783.5638679527</v>
      </c>
      <c r="L24" s="494"/>
      <c r="M24" s="494">
        <f t="shared" si="2"/>
        <v>3335553.4938679524</v>
      </c>
    </row>
    <row r="25" spans="1:13">
      <c r="A25" s="6">
        <f t="shared" si="3"/>
        <v>2021</v>
      </c>
      <c r="C25" s="17">
        <f>'Exhibit A, 1a'!X27+'Exhibit A, 1a'!R27</f>
        <v>9990263.2549798153</v>
      </c>
      <c r="D25" s="17"/>
      <c r="E25" s="17">
        <f>'Exhibit A, 1a'!Z27+'Exhibit A, 1a'!T27</f>
        <v>1239048.8400000001</v>
      </c>
      <c r="F25" s="17"/>
      <c r="G25" s="17">
        <f>'Exhibit A, 1a'!AA27+'Exhibit A, 1a'!U27</f>
        <v>3630915.05</v>
      </c>
      <c r="H25" s="187"/>
      <c r="I25" s="494">
        <f t="shared" si="0"/>
        <v>2391866.21</v>
      </c>
      <c r="J25" s="494"/>
      <c r="K25" s="494">
        <f t="shared" si="1"/>
        <v>6359348.2049798155</v>
      </c>
      <c r="L25" s="494"/>
      <c r="M25" s="494">
        <f t="shared" si="2"/>
        <v>8751214.4149798155</v>
      </c>
    </row>
    <row r="26" spans="1:13">
      <c r="A26" s="6">
        <f t="shared" si="3"/>
        <v>2022</v>
      </c>
      <c r="C26" s="17">
        <f>'Exhibit A, 1a'!X28+'Exhibit A, 1a'!R28</f>
        <v>4940611.9069666276</v>
      </c>
      <c r="D26" s="17"/>
      <c r="E26" s="17">
        <f>'Exhibit A, 1a'!Z28+'Exhibit A, 1a'!T28</f>
        <v>36605.5</v>
      </c>
      <c r="F26" s="17"/>
      <c r="G26" s="17">
        <f>'Exhibit A, 1a'!AA28+'Exhibit A, 1a'!U28</f>
        <v>263352.5</v>
      </c>
      <c r="H26" s="187"/>
      <c r="I26" s="494">
        <f t="shared" si="0"/>
        <v>226747</v>
      </c>
      <c r="J26" s="494"/>
      <c r="K26" s="494">
        <f t="shared" si="1"/>
        <v>4677259.4069666276</v>
      </c>
      <c r="L26" s="494"/>
      <c r="M26" s="494">
        <f t="shared" si="2"/>
        <v>4904006.4069666276</v>
      </c>
    </row>
    <row r="27" spans="1:13">
      <c r="A27" s="6"/>
      <c r="C27" s="63"/>
      <c r="E27" s="63"/>
      <c r="G27" s="63"/>
      <c r="I27" s="63"/>
      <c r="K27" s="63"/>
      <c r="M27" s="63"/>
    </row>
    <row r="28" spans="1:13">
      <c r="A28" s="2" t="s">
        <v>0</v>
      </c>
      <c r="C28" s="147">
        <f>SUM(C17:C27)</f>
        <v>92634997.589407906</v>
      </c>
      <c r="D28" s="147"/>
      <c r="E28" s="147">
        <f>SUM(E17:E27)</f>
        <v>48701012.480000004</v>
      </c>
      <c r="F28" s="147"/>
      <c r="G28" s="147">
        <f>SUM(G17:G27)</f>
        <v>61851467.369999997</v>
      </c>
      <c r="H28" s="147"/>
      <c r="I28" s="147">
        <f>SUM(I17:I27)</f>
        <v>13150454.890000001</v>
      </c>
      <c r="J28" s="147"/>
      <c r="K28" s="147">
        <f>SUM(K17:K27)</f>
        <v>30783530.219407909</v>
      </c>
      <c r="L28" s="147"/>
      <c r="M28" s="147">
        <f>SUM(M17:M27)</f>
        <v>43933985.109407902</v>
      </c>
    </row>
    <row r="29" spans="1:13">
      <c r="A29" s="6" t="s">
        <v>685</v>
      </c>
      <c r="C29" s="20">
        <f>C28-'Exhibit A, 1d'!C70-'EXhbit A, 1e'!C70</f>
        <v>0</v>
      </c>
      <c r="D29" s="20"/>
      <c r="E29" s="20">
        <f>E28-'Exhibit A, 1d'!E70-'EXhbit A, 1e'!E70</f>
        <v>0</v>
      </c>
      <c r="F29" s="20"/>
      <c r="G29" s="20">
        <f>G28-'Exhibit A, 1d'!G70-'EXhbit A, 1e'!G70</f>
        <v>0</v>
      </c>
      <c r="K29" s="20">
        <f>K28-'Exhibit A, 1d'!K70-'EXhbit A, 1e'!K70</f>
        <v>0</v>
      </c>
    </row>
    <row r="30" spans="1:13" ht="16">
      <c r="A30" s="175" t="s">
        <v>1303</v>
      </c>
    </row>
    <row r="31" spans="1:13">
      <c r="A31" s="6">
        <f>A17</f>
        <v>2013</v>
      </c>
      <c r="C31" s="147">
        <f>'Exhibit V,1'!C31+'Exhibit V,1'!S31</f>
        <v>0</v>
      </c>
      <c r="D31" s="147"/>
      <c r="E31" s="147">
        <f>'Exhibit V,1'!E31+'Exhibit V,1'!U31</f>
        <v>0</v>
      </c>
      <c r="F31" s="147"/>
      <c r="G31" s="147">
        <f>'Exhibit V,1'!G31+'Exhibit V,1'!W31</f>
        <v>0</v>
      </c>
      <c r="H31" s="147"/>
      <c r="I31" s="147">
        <f>G31-E31</f>
        <v>0</v>
      </c>
      <c r="J31" s="147"/>
      <c r="K31" s="147">
        <f>C31-G31</f>
        <v>0</v>
      </c>
      <c r="L31" s="147"/>
      <c r="M31" s="147">
        <f>C31-E31</f>
        <v>0</v>
      </c>
    </row>
    <row r="32" spans="1:13">
      <c r="A32" s="6">
        <f>A31+1</f>
        <v>2014</v>
      </c>
      <c r="C32" s="494">
        <f>'Exhibit V,1'!C32+'Exhibit V,1'!S32</f>
        <v>2899445.5432910388</v>
      </c>
      <c r="D32" s="494"/>
      <c r="E32" s="494">
        <f>'Exhibit V,1'!E32+'Exhibit V,1'!U32</f>
        <v>2897435.36</v>
      </c>
      <c r="F32" s="494"/>
      <c r="G32" s="494">
        <f>'Exhibit V,1'!G32+'Exhibit V,1'!W32</f>
        <v>2897435.3600000003</v>
      </c>
      <c r="H32" s="187"/>
      <c r="I32" s="494">
        <f t="shared" ref="I32:I39" si="4">G32-E32</f>
        <v>0</v>
      </c>
      <c r="J32" s="494"/>
      <c r="K32" s="494">
        <f t="shared" ref="K32:K39" si="5">C32-G32</f>
        <v>2010.1832910384983</v>
      </c>
      <c r="L32" s="494"/>
      <c r="M32" s="494">
        <f t="shared" ref="M32:M39" si="6">C32-E32</f>
        <v>2010.1832910389639</v>
      </c>
    </row>
    <row r="33" spans="1:13">
      <c r="A33" s="6">
        <f t="shared" ref="A33:A40" si="7">A32+1</f>
        <v>2015</v>
      </c>
      <c r="C33" s="494">
        <f>'Exhibit V,1'!C33+'Exhibit V,1'!S33</f>
        <v>258412.05924698914</v>
      </c>
      <c r="D33" s="494"/>
      <c r="E33" s="494">
        <f>'Exhibit V,1'!E33+'Exhibit V,1'!U33</f>
        <v>257086.33000000002</v>
      </c>
      <c r="F33" s="494"/>
      <c r="G33" s="494">
        <f>'Exhibit V,1'!G33+'Exhibit V,1'!W33</f>
        <v>257086.32999999996</v>
      </c>
      <c r="H33" s="187"/>
      <c r="I33" s="494">
        <f t="shared" si="4"/>
        <v>0</v>
      </c>
      <c r="J33" s="494"/>
      <c r="K33" s="494">
        <f t="shared" si="5"/>
        <v>1325.7292469891836</v>
      </c>
      <c r="L33" s="494"/>
      <c r="M33" s="494">
        <f t="shared" si="6"/>
        <v>1325.7292469891254</v>
      </c>
    </row>
    <row r="34" spans="1:13">
      <c r="A34" s="6">
        <f t="shared" si="7"/>
        <v>2016</v>
      </c>
      <c r="C34" s="494">
        <f>'Exhibit V,1'!C34+'Exhibit V,1'!S34</f>
        <v>1739474.5773728958</v>
      </c>
      <c r="D34" s="494"/>
      <c r="E34" s="494">
        <f>'Exhibit V,1'!E34+'Exhibit V,1'!U34</f>
        <v>1722065.7999999993</v>
      </c>
      <c r="F34" s="494"/>
      <c r="G34" s="494">
        <f>'Exhibit V,1'!G34+'Exhibit V,1'!W34</f>
        <v>1722065.7999999991</v>
      </c>
      <c r="H34" s="187"/>
      <c r="I34" s="494">
        <f t="shared" si="4"/>
        <v>0</v>
      </c>
      <c r="J34" s="494"/>
      <c r="K34" s="494">
        <f t="shared" si="5"/>
        <v>17408.777372896671</v>
      </c>
      <c r="L34" s="494"/>
      <c r="M34" s="494">
        <f t="shared" si="6"/>
        <v>17408.777372896438</v>
      </c>
    </row>
    <row r="35" spans="1:13">
      <c r="A35" s="6">
        <f t="shared" si="7"/>
        <v>2017</v>
      </c>
      <c r="C35" s="494">
        <f>'Exhibit V,1'!C35+'Exhibit V,1'!S35</f>
        <v>883701.62399870064</v>
      </c>
      <c r="D35" s="494"/>
      <c r="E35" s="494">
        <f>'Exhibit V,1'!E35+'Exhibit V,1'!U35</f>
        <v>828473.88999999966</v>
      </c>
      <c r="F35" s="494"/>
      <c r="G35" s="494">
        <f>'Exhibit V,1'!G35+'Exhibit V,1'!W35</f>
        <v>828473.88999999966</v>
      </c>
      <c r="H35" s="187"/>
      <c r="I35" s="494">
        <f t="shared" si="4"/>
        <v>0</v>
      </c>
      <c r="J35" s="494"/>
      <c r="K35" s="494">
        <f t="shared" si="5"/>
        <v>55227.733998700976</v>
      </c>
      <c r="L35" s="494"/>
      <c r="M35" s="494">
        <f t="shared" si="6"/>
        <v>55227.733998700976</v>
      </c>
    </row>
    <row r="36" spans="1:13">
      <c r="A36" s="6">
        <f t="shared" si="7"/>
        <v>2018</v>
      </c>
      <c r="C36" s="494">
        <f>'Exhibit V,1'!C36+'Exhibit V,1'!S36</f>
        <v>579453.87527820095</v>
      </c>
      <c r="D36" s="494"/>
      <c r="E36" s="494">
        <f>'Exhibit V,1'!E36+'Exhibit V,1'!U36</f>
        <v>74952.19000000041</v>
      </c>
      <c r="F36" s="494"/>
      <c r="G36" s="494">
        <f>'Exhibit V,1'!G36+'Exhibit V,1'!W36</f>
        <v>74952.190000001341</v>
      </c>
      <c r="H36" s="187"/>
      <c r="I36" s="494">
        <f t="shared" si="4"/>
        <v>9.3132257461547852E-10</v>
      </c>
      <c r="J36" s="494"/>
      <c r="K36" s="494">
        <f t="shared" si="5"/>
        <v>504501.68527819961</v>
      </c>
      <c r="L36" s="494"/>
      <c r="M36" s="494">
        <f t="shared" si="6"/>
        <v>504501.68527820054</v>
      </c>
    </row>
    <row r="37" spans="1:13">
      <c r="A37" s="6">
        <f t="shared" si="7"/>
        <v>2019</v>
      </c>
      <c r="C37" s="494">
        <f>'Exhibit V,1'!C37+'Exhibit V,1'!S37</f>
        <v>2011343.0218976536</v>
      </c>
      <c r="D37" s="494"/>
      <c r="E37" s="494">
        <f>'Exhibit V,1'!E37+'Exhibit V,1'!U37</f>
        <v>683764.73</v>
      </c>
      <c r="F37" s="494"/>
      <c r="G37" s="494">
        <f>'Exhibit V,1'!G37+'Exhibit V,1'!W37</f>
        <v>1318139.73</v>
      </c>
      <c r="H37" s="187"/>
      <c r="I37" s="494">
        <f t="shared" si="4"/>
        <v>634375</v>
      </c>
      <c r="J37" s="494"/>
      <c r="K37" s="494">
        <f t="shared" si="5"/>
        <v>693203.2918976536</v>
      </c>
      <c r="L37" s="494"/>
      <c r="M37" s="494">
        <f t="shared" si="6"/>
        <v>1327578.2918976536</v>
      </c>
    </row>
    <row r="38" spans="1:13">
      <c r="A38" s="6">
        <f t="shared" si="7"/>
        <v>2020</v>
      </c>
      <c r="C38" s="494">
        <f>'Exhibit V,1'!C38+'Exhibit V,1'!S38</f>
        <v>902682.67054594541</v>
      </c>
      <c r="D38" s="494"/>
      <c r="E38" s="494">
        <f>'Exhibit V,1'!E38+'Exhibit V,1'!U38</f>
        <v>0</v>
      </c>
      <c r="F38" s="494"/>
      <c r="G38" s="494">
        <f>'Exhibit V,1'!G38+'Exhibit V,1'!W38</f>
        <v>378808</v>
      </c>
      <c r="H38" s="187"/>
      <c r="I38" s="494">
        <f t="shared" si="4"/>
        <v>378808</v>
      </c>
      <c r="J38" s="494"/>
      <c r="K38" s="494">
        <f t="shared" si="5"/>
        <v>523874.67054594541</v>
      </c>
      <c r="L38" s="494"/>
      <c r="M38" s="494">
        <f t="shared" si="6"/>
        <v>902682.67054594541</v>
      </c>
    </row>
    <row r="39" spans="1:13">
      <c r="A39" s="6">
        <f t="shared" si="7"/>
        <v>2021</v>
      </c>
      <c r="C39" s="494">
        <f>'Exhibit V,1'!C39+'Exhibit V,1'!S39</f>
        <v>1521779.3752416787</v>
      </c>
      <c r="D39" s="494"/>
      <c r="E39" s="494">
        <f>'Exhibit V,1'!E39+'Exhibit V,1'!U39</f>
        <v>0</v>
      </c>
      <c r="F39" s="494"/>
      <c r="G39" s="494">
        <f>'Exhibit V,1'!G39+'Exhibit V,1'!W39</f>
        <v>770350</v>
      </c>
      <c r="H39" s="187"/>
      <c r="I39" s="494">
        <f t="shared" si="4"/>
        <v>770350</v>
      </c>
      <c r="J39" s="494"/>
      <c r="K39" s="494">
        <f t="shared" si="5"/>
        <v>751429.37524167867</v>
      </c>
      <c r="L39" s="494"/>
      <c r="M39" s="494">
        <f t="shared" si="6"/>
        <v>1521779.3752416787</v>
      </c>
    </row>
    <row r="40" spans="1:13">
      <c r="A40" s="6">
        <f t="shared" si="7"/>
        <v>2022</v>
      </c>
      <c r="C40" s="494">
        <f>'Exhibit V,1'!C41+'Exhibit V,1'!S41</f>
        <v>0</v>
      </c>
      <c r="D40" s="494"/>
      <c r="E40" s="494">
        <f>'Exhibit V,1'!E41+'Exhibit V,1'!U41</f>
        <v>0</v>
      </c>
      <c r="F40" s="494"/>
      <c r="G40" s="494">
        <f>'Exhibit V,1'!G41+'Exhibit V,1'!W41</f>
        <v>0</v>
      </c>
      <c r="H40" s="187"/>
      <c r="I40" s="494">
        <f t="shared" ref="I40" si="8">G40-E40</f>
        <v>0</v>
      </c>
      <c r="J40" s="494"/>
      <c r="K40" s="494">
        <f t="shared" ref="K40" si="9">C40-G40</f>
        <v>0</v>
      </c>
      <c r="L40" s="494"/>
      <c r="M40" s="494">
        <f t="shared" ref="M40" si="10">C40-E40</f>
        <v>0</v>
      </c>
    </row>
    <row r="41" spans="1:13">
      <c r="A41" s="6"/>
      <c r="C41" s="63"/>
      <c r="E41" s="63"/>
      <c r="G41" s="63"/>
      <c r="I41" s="63"/>
      <c r="K41" s="63"/>
      <c r="M41" s="63"/>
    </row>
    <row r="42" spans="1:13">
      <c r="A42" s="2" t="s">
        <v>0</v>
      </c>
      <c r="C42" s="147">
        <f>SUM(C31:C41)</f>
        <v>10796292.746873101</v>
      </c>
      <c r="D42" s="147"/>
      <c r="E42" s="147">
        <f>SUM(E31:E41)</f>
        <v>6463778.2999999989</v>
      </c>
      <c r="F42" s="147"/>
      <c r="G42" s="147">
        <f>SUM(G31:G41)</f>
        <v>8247311.3000000007</v>
      </c>
      <c r="H42" s="147"/>
      <c r="I42" s="147">
        <f>SUM(I31:I41)</f>
        <v>1783533.0000000009</v>
      </c>
      <c r="J42" s="147"/>
      <c r="K42" s="147">
        <f>SUM(K31:K41)</f>
        <v>2548981.4468731023</v>
      </c>
      <c r="L42" s="147"/>
      <c r="M42" s="147">
        <f>SUM(M31:M41)</f>
        <v>4332514.4468731042</v>
      </c>
    </row>
    <row r="43" spans="1:13">
      <c r="A43" s="6" t="s">
        <v>685</v>
      </c>
      <c r="C43" s="20">
        <f>C42-'Exhibit V,1'!C42-'Exhibit V,1'!S42</f>
        <v>-440958.02553148568</v>
      </c>
      <c r="D43" s="20"/>
      <c r="E43" s="20">
        <f>E42-'Exhibit V,1'!E42-'Exhibit V,1'!U42</f>
        <v>0</v>
      </c>
      <c r="F43" s="20"/>
      <c r="G43" s="20">
        <f>G42-'Exhibit V,1'!G42-'Exhibit V,1'!W42</f>
        <v>0</v>
      </c>
      <c r="I43" s="26"/>
      <c r="K43" s="26"/>
    </row>
    <row r="44" spans="1:13">
      <c r="A44" s="3"/>
    </row>
    <row r="45" spans="1:13">
      <c r="A45" s="6"/>
      <c r="C45" s="26"/>
      <c r="E45" s="26"/>
      <c r="G45" s="26"/>
      <c r="I45" s="26"/>
      <c r="K45" s="26"/>
      <c r="M45" s="26"/>
    </row>
    <row r="46" spans="1:13">
      <c r="A46" s="6"/>
      <c r="C46" s="20"/>
      <c r="D46" s="20"/>
      <c r="E46" s="20"/>
      <c r="F46" s="20"/>
      <c r="G46" s="20"/>
      <c r="H46" s="18"/>
      <c r="I46" s="20"/>
      <c r="J46" s="20"/>
      <c r="K46" s="20"/>
      <c r="L46" s="20"/>
      <c r="M46" s="20"/>
    </row>
    <row r="47" spans="1:13">
      <c r="A47" s="64" t="s">
        <v>180</v>
      </c>
      <c r="C47" s="3" t="s">
        <v>1301</v>
      </c>
      <c r="D47" s="20"/>
      <c r="E47" s="20"/>
      <c r="F47" s="20"/>
      <c r="G47" s="20"/>
      <c r="H47" s="18"/>
      <c r="I47" s="20"/>
      <c r="J47" s="20"/>
      <c r="K47" s="20"/>
      <c r="L47" s="20"/>
      <c r="M47" s="20"/>
    </row>
    <row r="48" spans="1:13">
      <c r="A48" s="64"/>
      <c r="C48" s="3" t="s">
        <v>1521</v>
      </c>
      <c r="D48" s="20"/>
      <c r="E48" s="20"/>
      <c r="F48" s="20"/>
      <c r="G48" s="20"/>
      <c r="H48" s="18"/>
      <c r="I48" s="20"/>
      <c r="J48" s="20"/>
      <c r="K48" s="20"/>
      <c r="L48" s="20"/>
      <c r="M48" s="20"/>
    </row>
    <row r="49" spans="1:13">
      <c r="A49" s="52" t="s">
        <v>40</v>
      </c>
      <c r="C49" s="3" t="s">
        <v>387</v>
      </c>
      <c r="D49" s="20"/>
      <c r="E49" s="20"/>
      <c r="F49" s="20"/>
      <c r="G49" s="20"/>
      <c r="H49" s="18"/>
      <c r="I49" s="20"/>
      <c r="J49" s="20"/>
      <c r="K49" s="20"/>
      <c r="L49" s="20"/>
      <c r="M49" s="20"/>
    </row>
    <row r="50" spans="1:13">
      <c r="A50" s="64" t="s">
        <v>42</v>
      </c>
      <c r="C50" s="3" t="s">
        <v>388</v>
      </c>
      <c r="D50" s="20"/>
      <c r="E50" s="20"/>
      <c r="F50" s="20"/>
      <c r="G50" s="20"/>
      <c r="H50" s="18"/>
      <c r="I50" s="20"/>
      <c r="J50" s="20"/>
      <c r="K50" s="20"/>
      <c r="L50" s="20"/>
      <c r="M50" s="20"/>
    </row>
    <row r="51" spans="1:13">
      <c r="A51" s="64" t="s">
        <v>30</v>
      </c>
      <c r="C51" s="3" t="s">
        <v>389</v>
      </c>
      <c r="D51" s="20"/>
      <c r="E51" s="20"/>
      <c r="F51" s="20"/>
      <c r="G51" s="20"/>
      <c r="H51" s="18"/>
      <c r="I51" s="20"/>
      <c r="J51" s="20"/>
      <c r="K51" s="20"/>
      <c r="L51" s="20"/>
      <c r="M51" s="20"/>
    </row>
    <row r="52" spans="1:13">
      <c r="A52" s="64"/>
      <c r="C52" s="3"/>
      <c r="D52" s="20"/>
      <c r="E52" s="20"/>
      <c r="F52" s="20"/>
      <c r="G52" s="20"/>
      <c r="H52" s="18"/>
      <c r="I52" s="20"/>
      <c r="J52" s="20"/>
      <c r="K52" s="20"/>
      <c r="L52" s="20"/>
      <c r="M52" s="20"/>
    </row>
    <row r="53" spans="1:13">
      <c r="A53" s="6"/>
      <c r="C53" s="20"/>
      <c r="D53" s="20"/>
      <c r="E53" s="20"/>
      <c r="F53" s="20"/>
      <c r="G53" s="20"/>
      <c r="H53" s="18"/>
      <c r="I53" s="20"/>
      <c r="J53" s="20"/>
      <c r="K53" s="20"/>
      <c r="L53" s="20"/>
      <c r="M53" s="20"/>
    </row>
    <row r="54" spans="1:13">
      <c r="A54" s="6"/>
      <c r="C54" s="26"/>
      <c r="E54" s="26"/>
      <c r="G54" s="26"/>
      <c r="I54" s="26"/>
      <c r="J54" s="26"/>
      <c r="K54" s="26"/>
      <c r="M54" s="26"/>
    </row>
    <row r="55" spans="1:13">
      <c r="A55" s="6"/>
      <c r="C55" s="26"/>
      <c r="E55" s="26"/>
      <c r="G55" s="26"/>
      <c r="I55" s="26"/>
      <c r="J55" s="26"/>
      <c r="K55" s="26"/>
      <c r="M55" s="26"/>
    </row>
    <row r="56" spans="1:13">
      <c r="A56" s="2"/>
      <c r="C56" s="26"/>
      <c r="E56" s="26"/>
      <c r="G56" s="26"/>
      <c r="I56" s="26"/>
      <c r="J56" s="26"/>
      <c r="K56" s="26"/>
      <c r="M56" s="26"/>
    </row>
    <row r="57" spans="1:13">
      <c r="A57" s="2"/>
      <c r="C57" s="26"/>
      <c r="E57" s="26"/>
      <c r="G57" s="26"/>
      <c r="I57" s="26"/>
      <c r="K57" s="26"/>
    </row>
    <row r="58" spans="1:13">
      <c r="A58" s="3"/>
    </row>
    <row r="59" spans="1:13">
      <c r="A59" s="6"/>
      <c r="C59" s="26"/>
      <c r="E59" s="26"/>
      <c r="G59" s="26"/>
      <c r="I59" s="26"/>
      <c r="K59" s="26"/>
      <c r="M59" s="26"/>
    </row>
    <row r="60" spans="1:13">
      <c r="A60" s="6"/>
      <c r="C60" s="20"/>
      <c r="D60" s="20"/>
      <c r="E60" s="20"/>
      <c r="F60" s="20"/>
      <c r="G60" s="20"/>
      <c r="H60" s="18"/>
      <c r="I60" s="20"/>
      <c r="J60" s="20"/>
      <c r="K60" s="20"/>
      <c r="L60" s="20"/>
      <c r="M60" s="20"/>
    </row>
    <row r="61" spans="1:13">
      <c r="A61" s="6"/>
      <c r="C61" s="20"/>
      <c r="D61" s="20"/>
      <c r="E61" s="20"/>
      <c r="F61" s="20"/>
      <c r="G61" s="20"/>
      <c r="H61" s="18"/>
      <c r="I61" s="20"/>
      <c r="J61" s="20"/>
      <c r="K61" s="20"/>
      <c r="L61" s="20"/>
      <c r="M61" s="20"/>
    </row>
    <row r="62" spans="1:13">
      <c r="A62" s="6"/>
      <c r="C62" s="20"/>
      <c r="D62" s="20"/>
      <c r="E62" s="20"/>
      <c r="F62" s="20"/>
      <c r="G62" s="20"/>
      <c r="H62" s="18"/>
      <c r="I62" s="20"/>
      <c r="J62" s="20"/>
      <c r="K62" s="20"/>
      <c r="L62" s="20"/>
      <c r="M62" s="20"/>
    </row>
    <row r="63" spans="1:13">
      <c r="A63" s="6"/>
      <c r="C63" s="20"/>
      <c r="D63" s="20"/>
      <c r="E63" s="20"/>
      <c r="F63" s="20"/>
      <c r="G63" s="20"/>
      <c r="H63" s="18"/>
      <c r="I63" s="20"/>
      <c r="J63" s="20"/>
      <c r="K63" s="20"/>
      <c r="L63" s="20"/>
      <c r="M63" s="20"/>
    </row>
    <row r="64" spans="1:13">
      <c r="A64" s="6"/>
      <c r="C64" s="20"/>
      <c r="D64" s="20"/>
      <c r="E64" s="20"/>
      <c r="F64" s="20"/>
      <c r="G64" s="20"/>
      <c r="H64" s="18"/>
      <c r="I64" s="20"/>
      <c r="J64" s="20"/>
      <c r="K64" s="20"/>
      <c r="L64" s="20"/>
      <c r="M64" s="20"/>
    </row>
    <row r="65" spans="1:13">
      <c r="A65" s="6"/>
      <c r="C65" s="20"/>
      <c r="D65" s="20"/>
      <c r="E65" s="20"/>
      <c r="F65" s="20"/>
      <c r="G65" s="20"/>
      <c r="H65" s="18"/>
      <c r="I65" s="20"/>
      <c r="J65" s="20"/>
      <c r="K65" s="20"/>
      <c r="L65" s="20"/>
      <c r="M65" s="20"/>
    </row>
    <row r="66" spans="1:13">
      <c r="A66" s="6"/>
      <c r="C66" s="20"/>
      <c r="D66" s="20"/>
      <c r="E66" s="20"/>
      <c r="F66" s="20"/>
      <c r="G66" s="20"/>
      <c r="H66" s="18"/>
      <c r="I66" s="20"/>
      <c r="J66" s="20"/>
      <c r="K66" s="20"/>
      <c r="L66" s="20"/>
      <c r="M66" s="20"/>
    </row>
    <row r="67" spans="1:13">
      <c r="A67" s="6"/>
      <c r="C67" s="26"/>
      <c r="E67" s="26"/>
      <c r="G67" s="26"/>
      <c r="I67" s="26"/>
      <c r="J67" s="26"/>
      <c r="K67" s="26"/>
      <c r="M67" s="26"/>
    </row>
    <row r="68" spans="1:13">
      <c r="A68" s="6"/>
      <c r="C68" s="26"/>
      <c r="E68" s="26"/>
      <c r="G68" s="26"/>
      <c r="I68" s="26"/>
      <c r="J68" s="26"/>
      <c r="K68" s="26"/>
      <c r="M68" s="26"/>
    </row>
    <row r="69" spans="1:13">
      <c r="A69" s="2"/>
      <c r="C69" s="26"/>
      <c r="E69" s="26"/>
      <c r="G69" s="26"/>
      <c r="I69" s="26"/>
      <c r="J69" s="26"/>
      <c r="K69" s="26"/>
      <c r="M69" s="26"/>
    </row>
    <row r="71" spans="1:13">
      <c r="A71" s="3"/>
      <c r="M71" s="20"/>
    </row>
    <row r="73" spans="1:13">
      <c r="A73" s="3"/>
      <c r="M73" s="19"/>
    </row>
    <row r="82" spans="1:3">
      <c r="A82" s="64"/>
      <c r="C82" s="3"/>
    </row>
  </sheetData>
  <printOptions horizontalCentered="1"/>
  <pageMargins left="0.7" right="0.7" top="0.75" bottom="0.75" header="0.3" footer="0.3"/>
  <pageSetup scale="60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7">
    <pageSetUpPr fitToPage="1"/>
  </sheetPr>
  <dimension ref="A1:AW95"/>
  <sheetViews>
    <sheetView topLeftCell="T1" zoomScale="90" zoomScaleNormal="90" workbookViewId="0">
      <selection activeCell="G21" sqref="G21"/>
    </sheetView>
  </sheetViews>
  <sheetFormatPr baseColWidth="10" defaultColWidth="8.7109375" defaultRowHeight="15"/>
  <cols>
    <col min="1" max="1" width="10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1.7109375" style="1" customWidth="1"/>
    <col min="14" max="14" width="1.7109375" style="1" customWidth="1"/>
    <col min="15" max="15" width="11.7109375" style="1" customWidth="1"/>
    <col min="16" max="16" width="1.7109375" style="1" customWidth="1"/>
    <col min="17" max="17" width="10.7109375" style="1" customWidth="1"/>
    <col min="18" max="18" width="1.7109375" style="1" customWidth="1"/>
    <col min="19" max="19" width="11.7109375" style="1" customWidth="1"/>
    <col min="20" max="20" width="1.7109375" style="1" customWidth="1"/>
    <col min="21" max="21" width="11.7109375" style="1" customWidth="1"/>
    <col min="22" max="22" width="1.7109375" style="1" customWidth="1"/>
    <col min="23" max="23" width="11.7109375" style="1" customWidth="1"/>
    <col min="24" max="24" width="1.7109375" style="1" customWidth="1"/>
    <col min="25" max="25" width="11.7109375" style="1" customWidth="1"/>
    <col min="26" max="26" width="1.7109375" style="1" customWidth="1"/>
    <col min="27" max="27" width="11.7109375" style="1" customWidth="1"/>
    <col min="28" max="28" width="1.7109375" style="1" customWidth="1"/>
    <col min="29" max="29" width="11.7109375" style="1" customWidth="1"/>
    <col min="30" max="30" width="1.7109375" style="1" customWidth="1"/>
    <col min="31" max="31" width="11.7109375" style="1" customWidth="1"/>
    <col min="32" max="32" width="8.7109375" style="1"/>
    <col min="33" max="33" width="10.7109375" style="1" customWidth="1"/>
    <col min="34" max="34" width="1.7109375" style="1" customWidth="1"/>
    <col min="35" max="35" width="11.7109375" style="1" customWidth="1"/>
    <col min="36" max="36" width="1.7109375" style="1" customWidth="1"/>
    <col min="37" max="37" width="11.7109375" style="1" customWidth="1"/>
    <col min="38" max="38" width="1.7109375" style="1" customWidth="1"/>
    <col min="39" max="39" width="11.7109375" style="1" customWidth="1"/>
    <col min="40" max="40" width="1.7109375" style="1" customWidth="1"/>
    <col min="41" max="41" width="11.7109375" style="1" customWidth="1"/>
    <col min="42" max="42" width="1.7109375" style="1" customWidth="1"/>
    <col min="43" max="43" width="11.7109375" style="1" customWidth="1"/>
    <col min="44" max="44" width="1.7109375" style="1" customWidth="1"/>
    <col min="45" max="45" width="11.7109375" style="1" customWidth="1"/>
    <col min="46" max="46" width="1.7109375" style="1" customWidth="1"/>
    <col min="47" max="47" width="11.7109375" style="1" customWidth="1"/>
    <col min="48" max="16384" width="8.7109375" style="1"/>
  </cols>
  <sheetData>
    <row r="1" spans="1:47">
      <c r="M1" s="3"/>
      <c r="N1" s="3"/>
      <c r="O1" s="64" t="s">
        <v>121</v>
      </c>
      <c r="AE1" s="64" t="s">
        <v>121</v>
      </c>
      <c r="AU1" s="64" t="s">
        <v>121</v>
      </c>
    </row>
    <row r="2" spans="1:47">
      <c r="M2" s="3"/>
      <c r="N2" s="3"/>
      <c r="O2" s="64" t="s">
        <v>984</v>
      </c>
      <c r="AE2" s="64" t="s">
        <v>984</v>
      </c>
      <c r="AU2" s="64" t="s">
        <v>984</v>
      </c>
    </row>
    <row r="4" spans="1:47" ht="16">
      <c r="A4" s="4" t="s">
        <v>1550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Q4" s="4" t="str">
        <f>A4</f>
        <v>INTEGRIS RISK RETENTION GROUP, INC.</v>
      </c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G4" s="4" t="str">
        <f>Q4</f>
        <v>INTEGRIS RISK RETENTION GROUP, INC.</v>
      </c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</row>
    <row r="5" spans="1:47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1:47">
      <c r="A6" s="5" t="s">
        <v>181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Q6" s="5" t="s">
        <v>181</v>
      </c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G6" s="5" t="s">
        <v>181</v>
      </c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1:47">
      <c r="A7" s="5" t="s">
        <v>968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Q7" s="5" t="s">
        <v>968</v>
      </c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G7" s="5" t="s">
        <v>968</v>
      </c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1:47">
      <c r="A8" s="5" t="s">
        <v>1647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Q8" s="5" t="s">
        <v>1647</v>
      </c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G8" s="5" t="s">
        <v>1647</v>
      </c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</row>
    <row r="9" spans="1:47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</row>
    <row r="10" spans="1:47" ht="16">
      <c r="A10" s="4" t="s">
        <v>160</v>
      </c>
      <c r="B10" s="5"/>
      <c r="C10" s="5"/>
      <c r="D10" s="5"/>
      <c r="E10" s="5"/>
      <c r="F10" s="5"/>
      <c r="G10" s="4"/>
      <c r="H10" s="5"/>
      <c r="I10" s="4"/>
      <c r="J10" s="5"/>
      <c r="K10" s="5"/>
      <c r="L10" s="5"/>
      <c r="M10" s="5"/>
      <c r="N10" s="5"/>
      <c r="O10" s="5"/>
      <c r="Q10" s="4" t="s">
        <v>160</v>
      </c>
      <c r="R10" s="5"/>
      <c r="S10" s="5"/>
      <c r="T10" s="5"/>
      <c r="U10" s="5"/>
      <c r="V10" s="5"/>
      <c r="W10" s="4"/>
      <c r="X10" s="5"/>
      <c r="Y10" s="4"/>
      <c r="Z10" s="5"/>
      <c r="AA10" s="5"/>
      <c r="AB10" s="5"/>
      <c r="AC10" s="5"/>
      <c r="AD10" s="5"/>
      <c r="AE10" s="5"/>
      <c r="AG10" s="4" t="s">
        <v>160</v>
      </c>
      <c r="AH10" s="5"/>
      <c r="AI10" s="5"/>
      <c r="AJ10" s="5"/>
      <c r="AK10" s="5"/>
      <c r="AL10" s="5"/>
      <c r="AM10" s="4"/>
      <c r="AN10" s="5"/>
      <c r="AO10" s="4"/>
      <c r="AP10" s="5"/>
      <c r="AQ10" s="5"/>
      <c r="AR10" s="5"/>
      <c r="AS10" s="5"/>
      <c r="AT10" s="5"/>
      <c r="AU10" s="5"/>
    </row>
    <row r="11" spans="1:47">
      <c r="C11" s="2" t="s">
        <v>1</v>
      </c>
      <c r="S11" s="2" t="s">
        <v>1</v>
      </c>
      <c r="AI11" s="2" t="s">
        <v>1</v>
      </c>
    </row>
    <row r="12" spans="1:47">
      <c r="C12" s="2" t="s">
        <v>67</v>
      </c>
      <c r="E12" s="2" t="s">
        <v>14</v>
      </c>
      <c r="G12" s="2" t="s">
        <v>12</v>
      </c>
      <c r="I12" s="2" t="s">
        <v>139</v>
      </c>
      <c r="M12" s="2" t="s">
        <v>63</v>
      </c>
      <c r="N12" s="2"/>
      <c r="O12" s="6" t="s">
        <v>635</v>
      </c>
      <c r="S12" s="2" t="s">
        <v>67</v>
      </c>
      <c r="U12" s="2" t="s">
        <v>14</v>
      </c>
      <c r="W12" s="2" t="s">
        <v>12</v>
      </c>
      <c r="Y12" s="2" t="s">
        <v>139</v>
      </c>
      <c r="AC12" s="2" t="s">
        <v>63</v>
      </c>
      <c r="AD12" s="6"/>
      <c r="AE12" s="6" t="s">
        <v>635</v>
      </c>
      <c r="AI12" s="2" t="s">
        <v>67</v>
      </c>
      <c r="AK12" s="2" t="s">
        <v>14</v>
      </c>
      <c r="AM12" s="2" t="s">
        <v>12</v>
      </c>
      <c r="AO12" s="2" t="s">
        <v>139</v>
      </c>
      <c r="AS12" s="2" t="s">
        <v>63</v>
      </c>
      <c r="AT12" s="6"/>
      <c r="AU12" s="6" t="s">
        <v>635</v>
      </c>
    </row>
    <row r="13" spans="1:47">
      <c r="A13" s="2" t="s">
        <v>4</v>
      </c>
      <c r="C13" s="2" t="s">
        <v>55</v>
      </c>
      <c r="E13" s="2" t="s">
        <v>55</v>
      </c>
      <c r="G13" s="2" t="s">
        <v>55</v>
      </c>
      <c r="I13" s="2" t="s">
        <v>112</v>
      </c>
      <c r="K13" s="2" t="s">
        <v>381</v>
      </c>
      <c r="M13" s="2" t="s">
        <v>55</v>
      </c>
      <c r="N13" s="2"/>
      <c r="O13" s="6" t="s">
        <v>567</v>
      </c>
      <c r="Q13" s="2" t="s">
        <v>4</v>
      </c>
      <c r="S13" s="2" t="s">
        <v>55</v>
      </c>
      <c r="U13" s="2" t="s">
        <v>55</v>
      </c>
      <c r="W13" s="2" t="s">
        <v>55</v>
      </c>
      <c r="Y13" s="2" t="s">
        <v>112</v>
      </c>
      <c r="AA13" s="2" t="s">
        <v>381</v>
      </c>
      <c r="AC13" s="2" t="s">
        <v>55</v>
      </c>
      <c r="AD13" s="6"/>
      <c r="AE13" s="6" t="s">
        <v>567</v>
      </c>
      <c r="AG13" s="2" t="s">
        <v>4</v>
      </c>
      <c r="AI13" s="2" t="s">
        <v>55</v>
      </c>
      <c r="AK13" s="2" t="s">
        <v>55</v>
      </c>
      <c r="AM13" s="2" t="s">
        <v>55</v>
      </c>
      <c r="AO13" s="2" t="s">
        <v>112</v>
      </c>
      <c r="AQ13" s="2" t="s">
        <v>381</v>
      </c>
      <c r="AS13" s="2" t="s">
        <v>55</v>
      </c>
      <c r="AT13" s="6"/>
      <c r="AU13" s="6" t="s">
        <v>567</v>
      </c>
    </row>
    <row r="14" spans="1:47">
      <c r="A14" s="10">
        <v>-1</v>
      </c>
      <c r="C14" s="10">
        <v>-2</v>
      </c>
      <c r="E14" s="10">
        <v>-3</v>
      </c>
      <c r="G14" s="10">
        <v>-4</v>
      </c>
      <c r="I14" s="10">
        <v>-5</v>
      </c>
      <c r="K14" s="10">
        <v>-6</v>
      </c>
      <c r="M14" s="10">
        <v>-7</v>
      </c>
      <c r="N14" s="10"/>
      <c r="O14" s="10">
        <v>-8</v>
      </c>
      <c r="Q14" s="10">
        <v>-1</v>
      </c>
      <c r="S14" s="10">
        <v>-2</v>
      </c>
      <c r="U14" s="10">
        <v>-3</v>
      </c>
      <c r="W14" s="10">
        <v>-4</v>
      </c>
      <c r="Y14" s="10">
        <v>-5</v>
      </c>
      <c r="AA14" s="10">
        <v>-6</v>
      </c>
      <c r="AC14" s="10">
        <v>-7</v>
      </c>
      <c r="AE14" s="10">
        <v>-8</v>
      </c>
      <c r="AG14" s="10">
        <v>-1</v>
      </c>
      <c r="AI14" s="10">
        <v>-2</v>
      </c>
      <c r="AK14" s="10">
        <v>-3</v>
      </c>
      <c r="AM14" s="10">
        <v>-4</v>
      </c>
      <c r="AO14" s="10">
        <v>-5</v>
      </c>
      <c r="AQ14" s="10">
        <v>-6</v>
      </c>
      <c r="AS14" s="10">
        <v>-7</v>
      </c>
      <c r="AU14" s="10">
        <v>-8</v>
      </c>
    </row>
    <row r="16" spans="1:47">
      <c r="A16" s="3" t="s">
        <v>1648</v>
      </c>
      <c r="Q16" s="3" t="s">
        <v>636</v>
      </c>
      <c r="U16" s="20">
        <f t="shared" ref="U16:U26" si="0">U58-U44</f>
        <v>2375</v>
      </c>
      <c r="V16" s="147"/>
      <c r="W16" s="20">
        <f t="shared" ref="W16:W26" si="1">W58-W44</f>
        <v>2375</v>
      </c>
      <c r="AG16" s="3" t="s">
        <v>638</v>
      </c>
    </row>
    <row r="17" spans="1:47">
      <c r="A17" s="6">
        <v>2013</v>
      </c>
      <c r="C17" s="147">
        <f>'Exhibit B,2'!U17</f>
        <v>8861.26</v>
      </c>
      <c r="D17" s="147"/>
      <c r="E17" s="147">
        <f>'Exhibit B,2'!M17</f>
        <v>8861.26</v>
      </c>
      <c r="F17" s="147"/>
      <c r="G17" s="147">
        <f>'Exhibit B,2'!O17</f>
        <v>8861.26</v>
      </c>
      <c r="H17" s="147"/>
      <c r="I17" s="147">
        <f>G17-E17</f>
        <v>0</v>
      </c>
      <c r="J17" s="147"/>
      <c r="K17" s="147">
        <f>C17-G17</f>
        <v>0</v>
      </c>
      <c r="L17" s="147"/>
      <c r="M17" s="147">
        <f>C17-E17</f>
        <v>0</v>
      </c>
      <c r="N17" s="147"/>
      <c r="O17" s="497">
        <f>IF((I$28)=0,0,M17/M$70*O$70)</f>
        <v>0</v>
      </c>
      <c r="Q17" s="6">
        <f>A17</f>
        <v>2013</v>
      </c>
      <c r="S17" s="147">
        <f>W17+AA17</f>
        <v>8418.1970000000001</v>
      </c>
      <c r="T17" s="147"/>
      <c r="U17" s="147">
        <f>U59-U45</f>
        <v>8418.1970000000001</v>
      </c>
      <c r="V17" s="147"/>
      <c r="W17" s="147">
        <f>W59-W45</f>
        <v>8418.1970000000001</v>
      </c>
      <c r="X17" s="147"/>
      <c r="Y17" s="147">
        <f>W17-U17</f>
        <v>0</v>
      </c>
      <c r="Z17" s="147"/>
      <c r="AA17" s="147">
        <f>0.95*K17</f>
        <v>0</v>
      </c>
      <c r="AB17" s="147"/>
      <c r="AC17" s="147">
        <f>S17-U17</f>
        <v>0</v>
      </c>
      <c r="AD17" s="147"/>
      <c r="AE17" s="497">
        <f>0.95*O17</f>
        <v>0</v>
      </c>
      <c r="AG17" s="6">
        <f>Q17</f>
        <v>2013</v>
      </c>
      <c r="AI17" s="147">
        <f>C17-S17</f>
        <v>443.0630000000001</v>
      </c>
      <c r="AJ17" s="147"/>
      <c r="AK17" s="147">
        <f t="shared" ref="AK17:AU17" si="2">E17-U17</f>
        <v>443.0630000000001</v>
      </c>
      <c r="AL17" s="147"/>
      <c r="AM17" s="147">
        <f t="shared" si="2"/>
        <v>443.0630000000001</v>
      </c>
      <c r="AN17" s="147"/>
      <c r="AO17" s="147">
        <f t="shared" si="2"/>
        <v>0</v>
      </c>
      <c r="AP17" s="147"/>
      <c r="AQ17" s="147">
        <f t="shared" si="2"/>
        <v>0</v>
      </c>
      <c r="AR17" s="147"/>
      <c r="AS17" s="147">
        <f t="shared" si="2"/>
        <v>0</v>
      </c>
      <c r="AT17" s="147"/>
      <c r="AU17" s="147">
        <f t="shared" si="2"/>
        <v>0</v>
      </c>
    </row>
    <row r="18" spans="1:47">
      <c r="A18" s="6">
        <f>A17+1</f>
        <v>2014</v>
      </c>
      <c r="C18" s="17">
        <f>'Exhibit B,2'!U18</f>
        <v>4002750.5828141933</v>
      </c>
      <c r="D18" s="494"/>
      <c r="E18" s="494">
        <f>'Exhibit B,2'!M18</f>
        <v>4000480.04</v>
      </c>
      <c r="F18" s="494"/>
      <c r="G18" s="494">
        <f>'Exhibit B,2'!O18</f>
        <v>4000480.04</v>
      </c>
      <c r="H18" s="494"/>
      <c r="I18" s="494">
        <f t="shared" ref="I18:I25" si="3">G18-E18</f>
        <v>0</v>
      </c>
      <c r="J18" s="494"/>
      <c r="K18" s="494">
        <f t="shared" ref="K18:K25" si="4">C18-G18</f>
        <v>2270.5428141932935</v>
      </c>
      <c r="L18" s="494"/>
      <c r="M18" s="501">
        <f t="shared" ref="M18:M25" si="5">C18-E18</f>
        <v>2270.5428141932935</v>
      </c>
      <c r="N18" s="494"/>
      <c r="O18" s="20">
        <f t="shared" ref="O18:O26" si="6">IF((I$28)=0,0,M18/M$70*O$70)</f>
        <v>66.922381165255914</v>
      </c>
      <c r="Q18" s="6">
        <f>Q17+1</f>
        <v>2014</v>
      </c>
      <c r="S18" s="17">
        <f t="shared" ref="S18:S26" si="7">W18+AA18</f>
        <v>3802613.0536734839</v>
      </c>
      <c r="T18" s="494"/>
      <c r="U18" s="20">
        <f t="shared" si="0"/>
        <v>3800456.0380000002</v>
      </c>
      <c r="V18" s="147"/>
      <c r="W18" s="20">
        <f t="shared" si="1"/>
        <v>3800456.0380000002</v>
      </c>
      <c r="X18" s="494"/>
      <c r="Y18" s="494">
        <f t="shared" ref="Y18:Y26" si="8">W18-U18</f>
        <v>0</v>
      </c>
      <c r="Z18" s="494"/>
      <c r="AA18" s="17">
        <f t="shared" ref="AA18:AA26" si="9">0.95*K18</f>
        <v>2157.0156734836287</v>
      </c>
      <c r="AB18" s="17"/>
      <c r="AC18" s="17">
        <f t="shared" ref="AC18:AC26" si="10">S18-U18</f>
        <v>2157.0156734837219</v>
      </c>
      <c r="AD18" s="17"/>
      <c r="AE18" s="20">
        <f t="shared" ref="AE18:AE26" si="11">0.95*O18</f>
        <v>63.576262106993113</v>
      </c>
      <c r="AG18" s="6">
        <f>AG17+1</f>
        <v>2014</v>
      </c>
      <c r="AI18" s="17">
        <f t="shared" ref="AI18:AI26" si="12">C18-S18</f>
        <v>200137.52914070943</v>
      </c>
      <c r="AJ18" s="17"/>
      <c r="AK18" s="17">
        <f t="shared" ref="AK18:AK26" si="13">E18-U18</f>
        <v>200024.00199999986</v>
      </c>
      <c r="AL18" s="17"/>
      <c r="AM18" s="17">
        <f t="shared" ref="AM18:AM26" si="14">G18-W18</f>
        <v>200024.00199999986</v>
      </c>
      <c r="AN18" s="17"/>
      <c r="AO18" s="17">
        <f t="shared" ref="AO18:AO26" si="15">I18-Y18</f>
        <v>0</v>
      </c>
      <c r="AP18" s="17"/>
      <c r="AQ18" s="17">
        <f t="shared" ref="AQ18:AQ26" si="16">K18-AA18</f>
        <v>113.52714070966476</v>
      </c>
      <c r="AR18" s="17"/>
      <c r="AS18" s="17">
        <f t="shared" ref="AS18:AS26" si="17">M18-AC18</f>
        <v>113.52714070957154</v>
      </c>
      <c r="AT18" s="17"/>
      <c r="AU18" s="17">
        <f t="shared" ref="AU18:AU26" si="18">O18-AE18</f>
        <v>3.3461190582628006</v>
      </c>
    </row>
    <row r="19" spans="1:47">
      <c r="A19" s="6">
        <f t="shared" ref="A19:A26" si="19">A18+1</f>
        <v>2015</v>
      </c>
      <c r="C19" s="17">
        <f>'Exhibit B,2'!U19</f>
        <v>2597142.3725217641</v>
      </c>
      <c r="D19" s="494"/>
      <c r="E19" s="494">
        <f>'Exhibit B,2'!M19</f>
        <v>2584232.7599999998</v>
      </c>
      <c r="F19" s="494"/>
      <c r="G19" s="494">
        <f>'Exhibit B,2'!O19</f>
        <v>2584232.7599999998</v>
      </c>
      <c r="H19" s="494"/>
      <c r="I19" s="494">
        <f t="shared" si="3"/>
        <v>0</v>
      </c>
      <c r="J19" s="494"/>
      <c r="K19" s="494">
        <f t="shared" si="4"/>
        <v>12909.612521764357</v>
      </c>
      <c r="L19" s="494"/>
      <c r="M19" s="501">
        <f t="shared" si="5"/>
        <v>12909.612521764357</v>
      </c>
      <c r="N19" s="494"/>
      <c r="O19" s="20">
        <f t="shared" si="6"/>
        <v>380.50020659232842</v>
      </c>
      <c r="Q19" s="6">
        <f t="shared" ref="Q19:Q26" si="20">Q18+1</f>
        <v>2015</v>
      </c>
      <c r="S19" s="17">
        <f t="shared" si="7"/>
        <v>2467285.2538956762</v>
      </c>
      <c r="T19" s="494"/>
      <c r="U19" s="20">
        <f t="shared" si="0"/>
        <v>2455021.122</v>
      </c>
      <c r="V19" s="147"/>
      <c r="W19" s="20">
        <f t="shared" si="1"/>
        <v>2455021.122</v>
      </c>
      <c r="X19" s="494"/>
      <c r="Y19" s="494">
        <f t="shared" si="8"/>
        <v>0</v>
      </c>
      <c r="Z19" s="494"/>
      <c r="AA19" s="17">
        <f t="shared" si="9"/>
        <v>12264.131895676139</v>
      </c>
      <c r="AB19" s="17"/>
      <c r="AC19" s="17">
        <f t="shared" si="10"/>
        <v>12264.131895676255</v>
      </c>
      <c r="AD19" s="17"/>
      <c r="AE19" s="20">
        <f t="shared" si="11"/>
        <v>361.47519626271196</v>
      </c>
      <c r="AG19" s="6">
        <f t="shared" ref="AG19:AG26" si="21">AG18+1</f>
        <v>2015</v>
      </c>
      <c r="AI19" s="17">
        <f t="shared" si="12"/>
        <v>129857.1186260879</v>
      </c>
      <c r="AJ19" s="17"/>
      <c r="AK19" s="17">
        <f t="shared" si="13"/>
        <v>129211.6379999998</v>
      </c>
      <c r="AL19" s="17"/>
      <c r="AM19" s="17">
        <f t="shared" si="14"/>
        <v>129211.6379999998</v>
      </c>
      <c r="AN19" s="17"/>
      <c r="AO19" s="17">
        <f t="shared" si="15"/>
        <v>0</v>
      </c>
      <c r="AP19" s="17"/>
      <c r="AQ19" s="17">
        <f t="shared" si="16"/>
        <v>645.48062608821783</v>
      </c>
      <c r="AR19" s="17"/>
      <c r="AS19" s="17">
        <f t="shared" si="17"/>
        <v>645.48062608810142</v>
      </c>
      <c r="AT19" s="17"/>
      <c r="AU19" s="17">
        <f t="shared" si="18"/>
        <v>19.025010329616464</v>
      </c>
    </row>
    <row r="20" spans="1:47">
      <c r="A20" s="6">
        <f t="shared" si="19"/>
        <v>2016</v>
      </c>
      <c r="C20" s="17">
        <f>'Exhibit B,2'!U20</f>
        <v>2937656.9738219422</v>
      </c>
      <c r="D20" s="494"/>
      <c r="E20" s="494">
        <f>'Exhibit B,2'!M20</f>
        <v>2883872.69</v>
      </c>
      <c r="F20" s="494"/>
      <c r="G20" s="494">
        <f>'Exhibit B,2'!O20</f>
        <v>2883872.69</v>
      </c>
      <c r="H20" s="494"/>
      <c r="I20" s="494">
        <f t="shared" si="3"/>
        <v>0</v>
      </c>
      <c r="J20" s="494"/>
      <c r="K20" s="494">
        <f t="shared" si="4"/>
        <v>53784.283821942285</v>
      </c>
      <c r="L20" s="494"/>
      <c r="M20" s="501">
        <f t="shared" si="5"/>
        <v>53784.283821942285</v>
      </c>
      <c r="N20" s="494"/>
      <c r="O20" s="20">
        <f t="shared" si="6"/>
        <v>1585.2475100370034</v>
      </c>
      <c r="Q20" s="6">
        <f t="shared" si="20"/>
        <v>2016</v>
      </c>
      <c r="S20" s="17">
        <f t="shared" si="7"/>
        <v>2790774.1251308448</v>
      </c>
      <c r="T20" s="494"/>
      <c r="U20" s="20">
        <f t="shared" si="0"/>
        <v>2739679.0554999998</v>
      </c>
      <c r="V20" s="147"/>
      <c r="W20" s="20">
        <f t="shared" si="1"/>
        <v>2739679.0554999998</v>
      </c>
      <c r="X20" s="494"/>
      <c r="Y20" s="494">
        <f t="shared" si="8"/>
        <v>0</v>
      </c>
      <c r="Z20" s="494"/>
      <c r="AA20" s="17">
        <f t="shared" si="9"/>
        <v>51095.069630845166</v>
      </c>
      <c r="AB20" s="17"/>
      <c r="AC20" s="17">
        <f t="shared" si="10"/>
        <v>51095.069630844984</v>
      </c>
      <c r="AD20" s="17"/>
      <c r="AE20" s="20">
        <f t="shared" si="11"/>
        <v>1505.9851345351531</v>
      </c>
      <c r="AG20" s="6">
        <f t="shared" si="21"/>
        <v>2016</v>
      </c>
      <c r="AI20" s="17">
        <f t="shared" si="12"/>
        <v>146882.84869109746</v>
      </c>
      <c r="AJ20" s="17"/>
      <c r="AK20" s="17">
        <f t="shared" si="13"/>
        <v>144193.63450000016</v>
      </c>
      <c r="AL20" s="17"/>
      <c r="AM20" s="17">
        <f t="shared" si="14"/>
        <v>144193.63450000016</v>
      </c>
      <c r="AN20" s="17"/>
      <c r="AO20" s="17">
        <f t="shared" si="15"/>
        <v>0</v>
      </c>
      <c r="AP20" s="17"/>
      <c r="AQ20" s="17">
        <f t="shared" si="16"/>
        <v>2689.2141910971186</v>
      </c>
      <c r="AR20" s="17"/>
      <c r="AS20" s="17">
        <f t="shared" si="17"/>
        <v>2689.2141910973005</v>
      </c>
      <c r="AT20" s="17"/>
      <c r="AU20" s="17">
        <f t="shared" si="18"/>
        <v>79.262375501850329</v>
      </c>
    </row>
    <row r="21" spans="1:47">
      <c r="A21" s="6">
        <f t="shared" si="19"/>
        <v>2017</v>
      </c>
      <c r="C21" s="17">
        <f>'Exhibit B,2'!U21</f>
        <v>2034573.3255892221</v>
      </c>
      <c r="D21" s="494"/>
      <c r="E21" s="494">
        <f>'Exhibit B,2'!M21</f>
        <v>1691606.47</v>
      </c>
      <c r="F21" s="494"/>
      <c r="G21" s="494">
        <f>'Exhibit B,2'!O21</f>
        <v>1943606.47</v>
      </c>
      <c r="H21" s="494"/>
      <c r="I21" s="494">
        <f t="shared" si="3"/>
        <v>252000</v>
      </c>
      <c r="J21" s="494"/>
      <c r="K21" s="494">
        <f t="shared" si="4"/>
        <v>90966.855589222163</v>
      </c>
      <c r="L21" s="494"/>
      <c r="M21" s="501">
        <f t="shared" si="5"/>
        <v>342966.85558922216</v>
      </c>
      <c r="N21" s="494"/>
      <c r="O21" s="20">
        <f t="shared" si="6"/>
        <v>10108.665863209424</v>
      </c>
      <c r="Q21" s="6">
        <f t="shared" si="20"/>
        <v>2017</v>
      </c>
      <c r="S21" s="17">
        <f t="shared" si="7"/>
        <v>1932844.6593097609</v>
      </c>
      <c r="T21" s="494"/>
      <c r="U21" s="20">
        <f t="shared" si="0"/>
        <v>1607026.1464999998</v>
      </c>
      <c r="V21" s="147"/>
      <c r="W21" s="20">
        <f t="shared" si="1"/>
        <v>1846426.1464999998</v>
      </c>
      <c r="X21" s="494"/>
      <c r="Y21" s="494">
        <f t="shared" si="8"/>
        <v>239400</v>
      </c>
      <c r="Z21" s="494"/>
      <c r="AA21" s="17">
        <f t="shared" si="9"/>
        <v>86418.512809761058</v>
      </c>
      <c r="AB21" s="17"/>
      <c r="AC21" s="17">
        <f t="shared" si="10"/>
        <v>325818.5128097611</v>
      </c>
      <c r="AD21" s="17"/>
      <c r="AE21" s="20">
        <f t="shared" si="11"/>
        <v>9603.2325700489528</v>
      </c>
      <c r="AG21" s="6">
        <f t="shared" si="21"/>
        <v>2017</v>
      </c>
      <c r="AI21" s="17">
        <f t="shared" si="12"/>
        <v>101728.66627946123</v>
      </c>
      <c r="AJ21" s="17"/>
      <c r="AK21" s="17">
        <f t="shared" si="13"/>
        <v>84580.323500000173</v>
      </c>
      <c r="AL21" s="17"/>
      <c r="AM21" s="17">
        <f t="shared" si="14"/>
        <v>97180.323500000173</v>
      </c>
      <c r="AN21" s="17"/>
      <c r="AO21" s="17">
        <f t="shared" si="15"/>
        <v>12600</v>
      </c>
      <c r="AP21" s="17"/>
      <c r="AQ21" s="17">
        <f t="shared" si="16"/>
        <v>4548.3427794611052</v>
      </c>
      <c r="AR21" s="17"/>
      <c r="AS21" s="17">
        <f t="shared" si="17"/>
        <v>17148.342779461062</v>
      </c>
      <c r="AT21" s="17"/>
      <c r="AU21" s="17">
        <f t="shared" si="18"/>
        <v>505.43329316047129</v>
      </c>
    </row>
    <row r="22" spans="1:47">
      <c r="A22" s="6">
        <f t="shared" si="19"/>
        <v>2018</v>
      </c>
      <c r="C22" s="17">
        <f>'Exhibit B,2'!U22</f>
        <v>631061.54168837261</v>
      </c>
      <c r="D22" s="494"/>
      <c r="E22" s="494">
        <f>'Exhibit B,2'!M22</f>
        <v>83249.700000000012</v>
      </c>
      <c r="F22" s="494"/>
      <c r="G22" s="494">
        <f>'Exhibit B,2'!O22</f>
        <v>83249.700000000012</v>
      </c>
      <c r="H22" s="494"/>
      <c r="I22" s="494">
        <f t="shared" si="3"/>
        <v>0</v>
      </c>
      <c r="J22" s="494"/>
      <c r="K22" s="494">
        <f t="shared" si="4"/>
        <v>547811.84168837266</v>
      </c>
      <c r="L22" s="494"/>
      <c r="M22" s="501">
        <f t="shared" si="5"/>
        <v>547811.84168837266</v>
      </c>
      <c r="N22" s="494"/>
      <c r="O22" s="20">
        <f t="shared" si="6"/>
        <v>16146.303274767994</v>
      </c>
      <c r="Q22" s="6">
        <f t="shared" si="20"/>
        <v>2018</v>
      </c>
      <c r="S22" s="17">
        <f t="shared" si="7"/>
        <v>599508.46460395399</v>
      </c>
      <c r="T22" s="494"/>
      <c r="U22" s="20">
        <f t="shared" si="0"/>
        <v>79087.215000000011</v>
      </c>
      <c r="V22" s="147"/>
      <c r="W22" s="20">
        <f t="shared" si="1"/>
        <v>79087.215000000011</v>
      </c>
      <c r="X22" s="494"/>
      <c r="Y22" s="494">
        <f t="shared" si="8"/>
        <v>0</v>
      </c>
      <c r="Z22" s="494"/>
      <c r="AA22" s="17">
        <f t="shared" si="9"/>
        <v>520421.24960395403</v>
      </c>
      <c r="AB22" s="17"/>
      <c r="AC22" s="17">
        <f t="shared" si="10"/>
        <v>520421.24960395397</v>
      </c>
      <c r="AD22" s="17"/>
      <c r="AE22" s="20">
        <f t="shared" si="11"/>
        <v>15338.988111029594</v>
      </c>
      <c r="AG22" s="6">
        <f t="shared" si="21"/>
        <v>2018</v>
      </c>
      <c r="AI22" s="17">
        <f t="shared" si="12"/>
        <v>31553.077084418619</v>
      </c>
      <c r="AJ22" s="17"/>
      <c r="AK22" s="17">
        <f t="shared" si="13"/>
        <v>4162.4850000000006</v>
      </c>
      <c r="AL22" s="17"/>
      <c r="AM22" s="17">
        <f t="shared" si="14"/>
        <v>4162.4850000000006</v>
      </c>
      <c r="AN22" s="17"/>
      <c r="AO22" s="17">
        <f t="shared" si="15"/>
        <v>0</v>
      </c>
      <c r="AP22" s="17"/>
      <c r="AQ22" s="17">
        <f t="shared" si="16"/>
        <v>27390.592084418633</v>
      </c>
      <c r="AR22" s="17"/>
      <c r="AS22" s="17">
        <f t="shared" si="17"/>
        <v>27390.592084418691</v>
      </c>
      <c r="AT22" s="17"/>
      <c r="AU22" s="17">
        <f t="shared" si="18"/>
        <v>807.31516373839986</v>
      </c>
    </row>
    <row r="23" spans="1:47">
      <c r="A23" s="6">
        <f t="shared" si="19"/>
        <v>2019</v>
      </c>
      <c r="C23" s="17">
        <f>'Exhibit B,2'!U23</f>
        <v>3841492.4821127155</v>
      </c>
      <c r="D23" s="494"/>
      <c r="E23" s="494">
        <f>'Exhibit B,2'!M23</f>
        <v>1812054.13</v>
      </c>
      <c r="F23" s="494"/>
      <c r="G23" s="494">
        <f>'Exhibit B,2'!O23</f>
        <v>3306953.63</v>
      </c>
      <c r="H23" s="494"/>
      <c r="I23" s="494">
        <f t="shared" si="3"/>
        <v>1494899.5</v>
      </c>
      <c r="J23" s="494"/>
      <c r="K23" s="494">
        <f t="shared" si="4"/>
        <v>534538.8521127156</v>
      </c>
      <c r="L23" s="494"/>
      <c r="M23" s="501">
        <f t="shared" si="5"/>
        <v>2029438.3521127156</v>
      </c>
      <c r="N23" s="494"/>
      <c r="O23" s="20">
        <f t="shared" si="6"/>
        <v>59816.025534726585</v>
      </c>
      <c r="Q23" s="6">
        <f t="shared" si="20"/>
        <v>2019</v>
      </c>
      <c r="S23" s="17">
        <f t="shared" si="7"/>
        <v>3649417.8580070799</v>
      </c>
      <c r="T23" s="494"/>
      <c r="U23" s="20">
        <f t="shared" si="0"/>
        <v>1721451.4235</v>
      </c>
      <c r="V23" s="147"/>
      <c r="W23" s="20">
        <f t="shared" si="1"/>
        <v>3141605.9484999999</v>
      </c>
      <c r="X23" s="494"/>
      <c r="Y23" s="494">
        <f t="shared" si="8"/>
        <v>1420154.5249999999</v>
      </c>
      <c r="Z23" s="494"/>
      <c r="AA23" s="17">
        <f t="shared" si="9"/>
        <v>507811.90950707981</v>
      </c>
      <c r="AB23" s="17"/>
      <c r="AC23" s="17">
        <f t="shared" si="10"/>
        <v>1927966.4345070799</v>
      </c>
      <c r="AD23" s="17"/>
      <c r="AE23" s="20">
        <f t="shared" si="11"/>
        <v>56825.224257990252</v>
      </c>
      <c r="AG23" s="6">
        <f t="shared" si="21"/>
        <v>2019</v>
      </c>
      <c r="AI23" s="17">
        <f t="shared" si="12"/>
        <v>192074.62410563556</v>
      </c>
      <c r="AJ23" s="17"/>
      <c r="AK23" s="17">
        <f t="shared" si="13"/>
        <v>90602.706499999855</v>
      </c>
      <c r="AL23" s="17"/>
      <c r="AM23" s="17">
        <f t="shared" si="14"/>
        <v>165347.68149999995</v>
      </c>
      <c r="AN23" s="17"/>
      <c r="AO23" s="17">
        <f t="shared" si="15"/>
        <v>74744.975000000093</v>
      </c>
      <c r="AP23" s="17"/>
      <c r="AQ23" s="17">
        <f t="shared" si="16"/>
        <v>26726.942605635792</v>
      </c>
      <c r="AR23" s="17"/>
      <c r="AS23" s="17">
        <f t="shared" si="17"/>
        <v>101471.91760563571</v>
      </c>
      <c r="AT23" s="17"/>
      <c r="AU23" s="17">
        <f t="shared" si="18"/>
        <v>2990.8012767363325</v>
      </c>
    </row>
    <row r="24" spans="1:47">
      <c r="A24" s="6">
        <f t="shared" si="19"/>
        <v>2020</v>
      </c>
      <c r="C24" s="17">
        <f>'Exhibit B,2'!U24</f>
        <v>1710614.4417516314</v>
      </c>
      <c r="D24" s="494"/>
      <c r="E24" s="494">
        <f>'Exhibit B,2'!M24</f>
        <v>1214226.6299999999</v>
      </c>
      <c r="F24" s="494"/>
      <c r="G24" s="494">
        <f>'Exhibit B,2'!O24</f>
        <v>1216226.6299999999</v>
      </c>
      <c r="H24" s="494"/>
      <c r="I24" s="494">
        <f t="shared" si="3"/>
        <v>2000</v>
      </c>
      <c r="J24" s="494"/>
      <c r="K24" s="494">
        <f t="shared" si="4"/>
        <v>494387.81175163155</v>
      </c>
      <c r="L24" s="494"/>
      <c r="M24" s="501">
        <f t="shared" si="5"/>
        <v>496387.81175163155</v>
      </c>
      <c r="N24" s="494"/>
      <c r="O24" s="20">
        <f t="shared" si="6"/>
        <v>14630.622305896753</v>
      </c>
      <c r="Q24" s="6">
        <f t="shared" si="20"/>
        <v>2020</v>
      </c>
      <c r="S24" s="17">
        <f t="shared" si="7"/>
        <v>1625083.71966405</v>
      </c>
      <c r="T24" s="494"/>
      <c r="U24" s="20">
        <f t="shared" si="0"/>
        <v>1153515.2985</v>
      </c>
      <c r="V24" s="147"/>
      <c r="W24" s="20">
        <f t="shared" si="1"/>
        <v>1155415.2985</v>
      </c>
      <c r="X24" s="494"/>
      <c r="Y24" s="494">
        <f t="shared" si="8"/>
        <v>1900</v>
      </c>
      <c r="Z24" s="494"/>
      <c r="AA24" s="17">
        <f t="shared" si="9"/>
        <v>469668.42116404994</v>
      </c>
      <c r="AB24" s="17"/>
      <c r="AC24" s="17">
        <f t="shared" si="10"/>
        <v>471568.42116405</v>
      </c>
      <c r="AD24" s="17"/>
      <c r="AE24" s="20">
        <f t="shared" si="11"/>
        <v>13899.091190601916</v>
      </c>
      <c r="AG24" s="6">
        <f t="shared" si="21"/>
        <v>2020</v>
      </c>
      <c r="AI24" s="17">
        <f t="shared" si="12"/>
        <v>85530.722087581409</v>
      </c>
      <c r="AJ24" s="17"/>
      <c r="AK24" s="17">
        <f t="shared" si="13"/>
        <v>60711.331499999855</v>
      </c>
      <c r="AL24" s="17"/>
      <c r="AM24" s="17">
        <f t="shared" si="14"/>
        <v>60811.331499999855</v>
      </c>
      <c r="AN24" s="17"/>
      <c r="AO24" s="17">
        <f t="shared" si="15"/>
        <v>100</v>
      </c>
      <c r="AP24" s="17"/>
      <c r="AQ24" s="17">
        <f t="shared" si="16"/>
        <v>24719.390587581613</v>
      </c>
      <c r="AR24" s="17"/>
      <c r="AS24" s="17">
        <f t="shared" si="17"/>
        <v>24819.390587581554</v>
      </c>
      <c r="AT24" s="17"/>
      <c r="AU24" s="17">
        <f t="shared" si="18"/>
        <v>731.53111529483795</v>
      </c>
    </row>
    <row r="25" spans="1:47">
      <c r="A25" s="6">
        <f t="shared" si="19"/>
        <v>2021</v>
      </c>
      <c r="C25" s="17">
        <f>'Exhibit B,2'!U25</f>
        <v>5712832.575143653</v>
      </c>
      <c r="D25" s="494"/>
      <c r="E25" s="494">
        <f>'Exhibit B,2'!M25</f>
        <v>1227856.73</v>
      </c>
      <c r="F25" s="494"/>
      <c r="G25" s="494">
        <f>'Exhibit B,2'!O25</f>
        <v>3479072.05</v>
      </c>
      <c r="H25" s="494"/>
      <c r="I25" s="494">
        <f t="shared" si="3"/>
        <v>2251215.3199999998</v>
      </c>
      <c r="J25" s="494"/>
      <c r="K25" s="494">
        <f t="shared" si="4"/>
        <v>2233760.5251436532</v>
      </c>
      <c r="L25" s="494"/>
      <c r="M25" s="501">
        <f t="shared" si="5"/>
        <v>4484975.8451436535</v>
      </c>
      <c r="N25" s="494"/>
      <c r="O25" s="20">
        <f t="shared" si="6"/>
        <v>132190.97263854445</v>
      </c>
      <c r="Q25" s="6">
        <f t="shared" si="20"/>
        <v>2021</v>
      </c>
      <c r="S25" s="17">
        <f t="shared" si="7"/>
        <v>5427190.9463864695</v>
      </c>
      <c r="T25" s="494"/>
      <c r="U25" s="20">
        <f t="shared" si="0"/>
        <v>1166463.8934999998</v>
      </c>
      <c r="V25" s="147"/>
      <c r="W25" s="20">
        <f t="shared" si="1"/>
        <v>3305118.4474999998</v>
      </c>
      <c r="X25" s="494"/>
      <c r="Y25" s="494">
        <f t="shared" si="8"/>
        <v>2138654.554</v>
      </c>
      <c r="Z25" s="494"/>
      <c r="AA25" s="17">
        <f t="shared" si="9"/>
        <v>2122072.4988864702</v>
      </c>
      <c r="AB25" s="17"/>
      <c r="AC25" s="17">
        <f t="shared" si="10"/>
        <v>4260727.0528864693</v>
      </c>
      <c r="AD25" s="17"/>
      <c r="AE25" s="20">
        <f t="shared" si="11"/>
        <v>125581.42400661722</v>
      </c>
      <c r="AG25" s="6">
        <f t="shared" si="21"/>
        <v>2021</v>
      </c>
      <c r="AI25" s="17">
        <f t="shared" si="12"/>
        <v>285641.62875718344</v>
      </c>
      <c r="AJ25" s="17"/>
      <c r="AK25" s="17">
        <f t="shared" si="13"/>
        <v>61392.836500000209</v>
      </c>
      <c r="AL25" s="17"/>
      <c r="AM25" s="17">
        <f t="shared" si="14"/>
        <v>173953.60250000004</v>
      </c>
      <c r="AN25" s="17"/>
      <c r="AO25" s="17">
        <f t="shared" si="15"/>
        <v>112560.76599999983</v>
      </c>
      <c r="AP25" s="17"/>
      <c r="AQ25" s="17">
        <f t="shared" si="16"/>
        <v>111688.02625718294</v>
      </c>
      <c r="AR25" s="17"/>
      <c r="AS25" s="17">
        <f t="shared" si="17"/>
        <v>224248.79225718416</v>
      </c>
      <c r="AT25" s="17"/>
      <c r="AU25" s="17">
        <f t="shared" si="18"/>
        <v>6609.5486319272313</v>
      </c>
    </row>
    <row r="26" spans="1:47">
      <c r="A26" s="6">
        <f t="shared" si="19"/>
        <v>2022</v>
      </c>
      <c r="C26" s="17">
        <f>'Exhibit B,2'!U26</f>
        <v>2375708.2699326677</v>
      </c>
      <c r="D26" s="494"/>
      <c r="E26" s="494">
        <f>'Exhibit B,2'!M26</f>
        <v>36605.5</v>
      </c>
      <c r="F26" s="494"/>
      <c r="G26" s="494">
        <f>'Exhibit B,2'!O26</f>
        <v>263352.5</v>
      </c>
      <c r="H26" s="494"/>
      <c r="I26" s="494">
        <f t="shared" ref="I26" si="22">G26-E26</f>
        <v>226747</v>
      </c>
      <c r="J26" s="494"/>
      <c r="K26" s="494">
        <f t="shared" ref="K26" si="23">C26-G26</f>
        <v>2112355.7699326677</v>
      </c>
      <c r="L26" s="494"/>
      <c r="M26" s="501">
        <f t="shared" ref="M26" si="24">C26-E26</f>
        <v>2339102.7699326677</v>
      </c>
      <c r="N26" s="494"/>
      <c r="O26" s="20">
        <f t="shared" si="6"/>
        <v>68943.129447112748</v>
      </c>
      <c r="Q26" s="6">
        <f t="shared" si="20"/>
        <v>2022</v>
      </c>
      <c r="S26" s="17">
        <f t="shared" si="7"/>
        <v>2256922.8564360342</v>
      </c>
      <c r="T26" s="494"/>
      <c r="U26" s="20">
        <f t="shared" si="0"/>
        <v>34775.224999999999</v>
      </c>
      <c r="V26" s="147"/>
      <c r="W26" s="20">
        <f t="shared" si="1"/>
        <v>250184.875</v>
      </c>
      <c r="X26" s="494"/>
      <c r="Y26" s="494">
        <f t="shared" si="8"/>
        <v>215409.65</v>
      </c>
      <c r="Z26" s="494"/>
      <c r="AA26" s="17">
        <f t="shared" si="9"/>
        <v>2006737.9814360342</v>
      </c>
      <c r="AB26" s="17"/>
      <c r="AC26" s="17">
        <f t="shared" si="10"/>
        <v>2222147.6314360341</v>
      </c>
      <c r="AD26" s="17"/>
      <c r="AE26" s="20">
        <f t="shared" si="11"/>
        <v>65495.972974757104</v>
      </c>
      <c r="AG26" s="6">
        <f t="shared" si="21"/>
        <v>2022</v>
      </c>
      <c r="AI26" s="17">
        <f t="shared" si="12"/>
        <v>118785.41349663353</v>
      </c>
      <c r="AJ26" s="17"/>
      <c r="AK26" s="17">
        <f t="shared" si="13"/>
        <v>1830.2750000000015</v>
      </c>
      <c r="AL26" s="17"/>
      <c r="AM26" s="17">
        <f t="shared" si="14"/>
        <v>13167.625</v>
      </c>
      <c r="AN26" s="17"/>
      <c r="AO26" s="17">
        <f t="shared" si="15"/>
        <v>11337.350000000006</v>
      </c>
      <c r="AP26" s="17"/>
      <c r="AQ26" s="17">
        <f t="shared" si="16"/>
        <v>105617.78849663353</v>
      </c>
      <c r="AR26" s="17"/>
      <c r="AS26" s="17">
        <f t="shared" si="17"/>
        <v>116955.13849663362</v>
      </c>
      <c r="AT26" s="17"/>
      <c r="AU26" s="17">
        <f t="shared" si="18"/>
        <v>3447.1564723556439</v>
      </c>
    </row>
    <row r="27" spans="1:47">
      <c r="A27" s="6"/>
      <c r="C27" s="63"/>
      <c r="E27" s="63"/>
      <c r="G27" s="63"/>
      <c r="I27" s="63"/>
      <c r="K27" s="63"/>
      <c r="M27" s="63"/>
      <c r="N27" s="63"/>
      <c r="O27" s="63"/>
      <c r="Q27" s="6"/>
      <c r="S27" s="63"/>
      <c r="U27" s="63"/>
      <c r="W27" s="63"/>
      <c r="Y27" s="63"/>
      <c r="AA27" s="63"/>
      <c r="AC27" s="63"/>
      <c r="AE27" s="63"/>
      <c r="AG27" s="6"/>
      <c r="AI27" s="63"/>
      <c r="AK27" s="63"/>
      <c r="AM27" s="63"/>
      <c r="AO27" s="63"/>
      <c r="AQ27" s="63"/>
      <c r="AS27" s="63"/>
      <c r="AU27" s="63"/>
    </row>
    <row r="28" spans="1:47">
      <c r="A28" s="2" t="s">
        <v>0</v>
      </c>
      <c r="C28" s="147">
        <f>SUM(C17:C27)</f>
        <v>25852693.825376164</v>
      </c>
      <c r="D28" s="147"/>
      <c r="E28" s="147">
        <f>SUM(E17:E27)</f>
        <v>15543045.91</v>
      </c>
      <c r="F28" s="147"/>
      <c r="G28" s="147">
        <f>SUM(G17:G27)</f>
        <v>19769907.73</v>
      </c>
      <c r="H28" s="147"/>
      <c r="I28" s="147">
        <f>SUM(I17:I27)</f>
        <v>4226861.82</v>
      </c>
      <c r="J28" s="147"/>
      <c r="K28" s="147">
        <f>SUM(K17:K27)</f>
        <v>6082786.0953761628</v>
      </c>
      <c r="L28" s="147"/>
      <c r="M28" s="147">
        <f>SUM(M17:M27)</f>
        <v>10309647.915376164</v>
      </c>
      <c r="N28" s="147"/>
      <c r="O28" s="147">
        <f>SUM(O17:O27)</f>
        <v>303868.38916205254</v>
      </c>
      <c r="Q28" s="2" t="s">
        <v>0</v>
      </c>
      <c r="S28" s="147">
        <f>SUM(S17:S27)</f>
        <v>24560059.134107355</v>
      </c>
      <c r="T28" s="147"/>
      <c r="U28" s="147">
        <f>SUM(U17:U27)</f>
        <v>14765893.614499999</v>
      </c>
      <c r="V28" s="147"/>
      <c r="W28" s="147">
        <f>SUM(W17:W27)</f>
        <v>18781412.343499999</v>
      </c>
      <c r="X28" s="147"/>
      <c r="Y28" s="147">
        <f>SUM(Y17:Y27)</f>
        <v>4015518.7289999998</v>
      </c>
      <c r="Z28" s="147"/>
      <c r="AA28" s="147">
        <f>SUM(AA17:AA27)</f>
        <v>5778646.7906073537</v>
      </c>
      <c r="AB28" s="147"/>
      <c r="AC28" s="147">
        <f>SUM(AC17:AC27)</f>
        <v>9794165.519607354</v>
      </c>
      <c r="AD28" s="147"/>
      <c r="AE28" s="147">
        <f>SUM(AE17:AE27)</f>
        <v>288674.96970394987</v>
      </c>
      <c r="AG28" s="2" t="s">
        <v>0</v>
      </c>
      <c r="AI28" s="147">
        <f>SUM(AI17:AI27)</f>
        <v>1292634.6912688087</v>
      </c>
      <c r="AJ28" s="147"/>
      <c r="AK28" s="147">
        <f t="shared" ref="AK28:AU28" si="25">SUM(AK17:AK27)</f>
        <v>777152.29549999989</v>
      </c>
      <c r="AL28" s="147"/>
      <c r="AM28" s="147">
        <f t="shared" si="25"/>
        <v>988495.38649999979</v>
      </c>
      <c r="AN28" s="147"/>
      <c r="AO28" s="147">
        <f t="shared" si="25"/>
        <v>211343.09099999993</v>
      </c>
      <c r="AP28" s="147"/>
      <c r="AQ28" s="147">
        <f t="shared" si="25"/>
        <v>304139.30476880859</v>
      </c>
      <c r="AR28" s="147"/>
      <c r="AS28" s="147">
        <f t="shared" si="25"/>
        <v>515482.39576880977</v>
      </c>
      <c r="AT28" s="147"/>
      <c r="AU28" s="147">
        <f t="shared" si="25"/>
        <v>15193.419458102646</v>
      </c>
    </row>
    <row r="29" spans="1:47">
      <c r="A29" s="6"/>
      <c r="Q29" s="6"/>
      <c r="U29" s="228"/>
      <c r="V29" s="228"/>
      <c r="W29" s="228"/>
      <c r="AG29" s="6"/>
      <c r="AK29" s="228"/>
      <c r="AL29" s="228"/>
      <c r="AM29" s="228"/>
    </row>
    <row r="30" spans="1:47">
      <c r="A30" s="3" t="s">
        <v>1649</v>
      </c>
      <c r="Q30" s="3" t="s">
        <v>969</v>
      </c>
      <c r="AG30" s="3" t="s">
        <v>1655</v>
      </c>
    </row>
    <row r="31" spans="1:47">
      <c r="A31" s="6">
        <f>A17</f>
        <v>2013</v>
      </c>
      <c r="C31" s="147">
        <f>'Exhibit B,2'!U31</f>
        <v>0</v>
      </c>
      <c r="D31" s="147"/>
      <c r="E31" s="147">
        <f>'Exhibit B,2'!M31</f>
        <v>0</v>
      </c>
      <c r="F31" s="147"/>
      <c r="G31" s="147">
        <f>'Exhibit B,2'!O31</f>
        <v>0</v>
      </c>
      <c r="H31" s="147"/>
      <c r="I31" s="147">
        <f>G45-E45</f>
        <v>0</v>
      </c>
      <c r="J31" s="147"/>
      <c r="K31" s="592">
        <f t="shared" ref="K31:K40" si="26">C31-G31</f>
        <v>0</v>
      </c>
      <c r="L31" s="147"/>
      <c r="M31" s="147">
        <f>C31-E31</f>
        <v>0</v>
      </c>
      <c r="N31" s="147"/>
      <c r="O31" s="497">
        <f>IF((I$28)=0,0,M31/M$70*O$70)</f>
        <v>0</v>
      </c>
      <c r="Q31" s="6">
        <f>Q17</f>
        <v>2013</v>
      </c>
      <c r="S31" s="147"/>
      <c r="T31" s="147"/>
      <c r="U31" s="497"/>
      <c r="V31" s="497"/>
      <c r="W31" s="147"/>
      <c r="X31" s="147"/>
      <c r="Y31" s="147"/>
      <c r="Z31" s="147"/>
      <c r="AA31" s="147"/>
      <c r="AB31" s="147"/>
      <c r="AC31" s="147">
        <f>S31-U31</f>
        <v>0</v>
      </c>
      <c r="AD31" s="147"/>
      <c r="AE31" s="147">
        <f>0.95*O31</f>
        <v>0</v>
      </c>
      <c r="AG31" s="6">
        <f>AG17</f>
        <v>2013</v>
      </c>
      <c r="AI31" s="147">
        <f>C31-S31</f>
        <v>0</v>
      </c>
      <c r="AJ31" s="147"/>
      <c r="AK31" s="147">
        <f t="shared" ref="AK31:AK40" si="27">E31-U31</f>
        <v>0</v>
      </c>
      <c r="AL31" s="147"/>
      <c r="AM31" s="147">
        <f t="shared" ref="AM31:AM40" si="28">G31-W31</f>
        <v>0</v>
      </c>
      <c r="AN31" s="147"/>
      <c r="AO31" s="147">
        <f t="shared" ref="AO31:AO40" si="29">I31-Y31</f>
        <v>0</v>
      </c>
      <c r="AP31" s="147"/>
      <c r="AQ31" s="147">
        <f t="shared" ref="AQ31:AQ40" si="30">K31-AA31</f>
        <v>0</v>
      </c>
      <c r="AR31" s="147"/>
      <c r="AS31" s="147">
        <f t="shared" ref="AS31:AS40" si="31">M31-AC31</f>
        <v>0</v>
      </c>
      <c r="AT31" s="147"/>
      <c r="AU31" s="147">
        <f t="shared" ref="AU31:AU40" si="32">O31-AE31</f>
        <v>0</v>
      </c>
    </row>
    <row r="32" spans="1:47">
      <c r="A32" s="6">
        <f>A31+1</f>
        <v>2014</v>
      </c>
      <c r="C32" s="17">
        <f>'Exhibit B,2'!U32</f>
        <v>420</v>
      </c>
      <c r="D32" s="494"/>
      <c r="E32" s="494">
        <f>'Exhibit B,2'!M32</f>
        <v>420</v>
      </c>
      <c r="F32" s="494"/>
      <c r="G32" s="494">
        <f>'Exhibit B,2'!O32</f>
        <v>420</v>
      </c>
      <c r="H32" s="187"/>
      <c r="I32" s="494">
        <f t="shared" ref="I32:I40" si="33">G32-E32</f>
        <v>0</v>
      </c>
      <c r="J32" s="494"/>
      <c r="K32" s="494">
        <f t="shared" si="26"/>
        <v>0</v>
      </c>
      <c r="L32" s="494"/>
      <c r="M32" s="501">
        <f t="shared" ref="M32:M40" si="34">C32-E32</f>
        <v>0</v>
      </c>
      <c r="N32" s="187"/>
      <c r="O32" s="501">
        <f t="shared" ref="O32:O40" si="35">IF((I$28)=0,0,M32/M$70*O$70)</f>
        <v>0</v>
      </c>
      <c r="Q32" s="6">
        <f>Q31+1</f>
        <v>2014</v>
      </c>
      <c r="S32" s="17"/>
      <c r="T32" s="494"/>
      <c r="U32" s="20"/>
      <c r="V32" s="494"/>
      <c r="W32" s="17"/>
      <c r="X32" s="187"/>
      <c r="Y32" s="494"/>
      <c r="Z32" s="494"/>
      <c r="AA32" s="494"/>
      <c r="AB32" s="494"/>
      <c r="AC32" s="17">
        <f t="shared" ref="AC32:AC40" si="36">S32-U32</f>
        <v>0</v>
      </c>
      <c r="AD32" s="187"/>
      <c r="AE32" s="17">
        <f t="shared" ref="AE32:AE40" si="37">0.95*O32</f>
        <v>0</v>
      </c>
      <c r="AG32" s="6">
        <f>AG31+1</f>
        <v>2014</v>
      </c>
      <c r="AI32" s="17">
        <f t="shared" ref="AI32:AI40" si="38">C32-S32</f>
        <v>420</v>
      </c>
      <c r="AJ32" s="17"/>
      <c r="AK32" s="17">
        <f t="shared" si="27"/>
        <v>420</v>
      </c>
      <c r="AL32" s="17"/>
      <c r="AM32" s="17">
        <f t="shared" si="28"/>
        <v>420</v>
      </c>
      <c r="AN32" s="17"/>
      <c r="AO32" s="17">
        <f t="shared" si="29"/>
        <v>0</v>
      </c>
      <c r="AP32" s="17"/>
      <c r="AQ32" s="17">
        <f t="shared" si="30"/>
        <v>0</v>
      </c>
      <c r="AR32" s="17"/>
      <c r="AS32" s="17">
        <f t="shared" si="31"/>
        <v>0</v>
      </c>
      <c r="AT32" s="17"/>
      <c r="AU32" s="17">
        <f t="shared" si="32"/>
        <v>0</v>
      </c>
    </row>
    <row r="33" spans="1:49">
      <c r="A33" s="6">
        <f t="shared" ref="A33:A40" si="39">A32+1</f>
        <v>2015</v>
      </c>
      <c r="C33" s="17">
        <f>'Exhibit B,2'!U33</f>
        <v>104375</v>
      </c>
      <c r="D33" s="494"/>
      <c r="E33" s="494">
        <f>'Exhibit B,2'!M33</f>
        <v>104375</v>
      </c>
      <c r="F33" s="494"/>
      <c r="G33" s="494">
        <f>'Exhibit B,2'!O33</f>
        <v>104375</v>
      </c>
      <c r="H33" s="187"/>
      <c r="I33" s="494">
        <f t="shared" si="33"/>
        <v>0</v>
      </c>
      <c r="J33" s="494"/>
      <c r="K33" s="494">
        <f t="shared" si="26"/>
        <v>0</v>
      </c>
      <c r="L33" s="494"/>
      <c r="M33" s="501">
        <f t="shared" si="34"/>
        <v>0</v>
      </c>
      <c r="N33" s="187"/>
      <c r="O33" s="501">
        <f t="shared" si="35"/>
        <v>0</v>
      </c>
      <c r="Q33" s="6">
        <f t="shared" ref="Q33:Q40" si="40">Q32+1</f>
        <v>2015</v>
      </c>
      <c r="S33" s="17"/>
      <c r="T33" s="494"/>
      <c r="U33" s="20"/>
      <c r="V33" s="494"/>
      <c r="W33" s="17"/>
      <c r="X33" s="187"/>
      <c r="Y33" s="494"/>
      <c r="Z33" s="494"/>
      <c r="AA33" s="494"/>
      <c r="AB33" s="494"/>
      <c r="AC33" s="17">
        <f t="shared" si="36"/>
        <v>0</v>
      </c>
      <c r="AD33" s="187"/>
      <c r="AE33" s="17">
        <f t="shared" si="37"/>
        <v>0</v>
      </c>
      <c r="AG33" s="6">
        <f t="shared" ref="AG33:AG40" si="41">AG32+1</f>
        <v>2015</v>
      </c>
      <c r="AI33" s="17">
        <f t="shared" si="38"/>
        <v>104375</v>
      </c>
      <c r="AJ33" s="17"/>
      <c r="AK33" s="17">
        <f t="shared" si="27"/>
        <v>104375</v>
      </c>
      <c r="AL33" s="17"/>
      <c r="AM33" s="17">
        <f t="shared" si="28"/>
        <v>104375</v>
      </c>
      <c r="AN33" s="17"/>
      <c r="AO33" s="17">
        <f t="shared" si="29"/>
        <v>0</v>
      </c>
      <c r="AP33" s="17"/>
      <c r="AQ33" s="17">
        <f t="shared" si="30"/>
        <v>0</v>
      </c>
      <c r="AR33" s="17"/>
      <c r="AS33" s="17">
        <f t="shared" si="31"/>
        <v>0</v>
      </c>
      <c r="AT33" s="17"/>
      <c r="AU33" s="17">
        <f t="shared" si="32"/>
        <v>0</v>
      </c>
    </row>
    <row r="34" spans="1:49">
      <c r="A34" s="6">
        <f t="shared" si="39"/>
        <v>2016</v>
      </c>
      <c r="C34" s="17">
        <f>'Exhibit B,2'!U34</f>
        <v>114230.56999999999</v>
      </c>
      <c r="D34" s="494"/>
      <c r="E34" s="494">
        <f>'Exhibit B,2'!M34</f>
        <v>114230.56999999999</v>
      </c>
      <c r="F34" s="494"/>
      <c r="G34" s="494">
        <f>'Exhibit B,2'!O34</f>
        <v>114230.56999999999</v>
      </c>
      <c r="H34" s="187"/>
      <c r="I34" s="494">
        <f t="shared" si="33"/>
        <v>0</v>
      </c>
      <c r="J34" s="494"/>
      <c r="K34" s="494">
        <f t="shared" si="26"/>
        <v>0</v>
      </c>
      <c r="L34" s="494"/>
      <c r="M34" s="501">
        <f t="shared" si="34"/>
        <v>0</v>
      </c>
      <c r="N34" s="187"/>
      <c r="O34" s="501">
        <f t="shared" si="35"/>
        <v>0</v>
      </c>
      <c r="Q34" s="6">
        <f t="shared" si="40"/>
        <v>2016</v>
      </c>
      <c r="S34" s="17"/>
      <c r="T34" s="494"/>
      <c r="U34" s="20"/>
      <c r="V34" s="494"/>
      <c r="W34" s="17"/>
      <c r="X34" s="187"/>
      <c r="Y34" s="494"/>
      <c r="Z34" s="494"/>
      <c r="AA34" s="494"/>
      <c r="AB34" s="494"/>
      <c r="AC34" s="17">
        <f t="shared" si="36"/>
        <v>0</v>
      </c>
      <c r="AD34" s="187"/>
      <c r="AE34" s="17">
        <f t="shared" si="37"/>
        <v>0</v>
      </c>
      <c r="AG34" s="6">
        <f t="shared" si="41"/>
        <v>2016</v>
      </c>
      <c r="AI34" s="17">
        <f t="shared" si="38"/>
        <v>114230.56999999999</v>
      </c>
      <c r="AJ34" s="17"/>
      <c r="AK34" s="17">
        <f t="shared" si="27"/>
        <v>114230.56999999999</v>
      </c>
      <c r="AL34" s="17"/>
      <c r="AM34" s="17">
        <f t="shared" si="28"/>
        <v>114230.56999999999</v>
      </c>
      <c r="AN34" s="17"/>
      <c r="AO34" s="17">
        <f t="shared" si="29"/>
        <v>0</v>
      </c>
      <c r="AP34" s="17"/>
      <c r="AQ34" s="17">
        <f t="shared" si="30"/>
        <v>0</v>
      </c>
      <c r="AR34" s="17"/>
      <c r="AS34" s="17">
        <f t="shared" si="31"/>
        <v>0</v>
      </c>
      <c r="AT34" s="17"/>
      <c r="AU34" s="17">
        <f t="shared" si="32"/>
        <v>0</v>
      </c>
    </row>
    <row r="35" spans="1:49">
      <c r="A35" s="6">
        <f t="shared" si="39"/>
        <v>2017</v>
      </c>
      <c r="C35" s="17">
        <f>'Exhibit B,2'!U35</f>
        <v>72455.05</v>
      </c>
      <c r="D35" s="494"/>
      <c r="E35" s="494">
        <f>'Exhibit B,2'!M35</f>
        <v>72455.05</v>
      </c>
      <c r="F35" s="494"/>
      <c r="G35" s="494">
        <f>'Exhibit B,2'!O35</f>
        <v>72455.05</v>
      </c>
      <c r="H35" s="187"/>
      <c r="I35" s="494">
        <f t="shared" si="33"/>
        <v>0</v>
      </c>
      <c r="J35" s="494"/>
      <c r="K35" s="494">
        <f t="shared" si="26"/>
        <v>0</v>
      </c>
      <c r="L35" s="494"/>
      <c r="M35" s="501">
        <f t="shared" si="34"/>
        <v>0</v>
      </c>
      <c r="N35" s="187"/>
      <c r="O35" s="501">
        <f t="shared" si="35"/>
        <v>0</v>
      </c>
      <c r="Q35" s="6">
        <f t="shared" si="40"/>
        <v>2017</v>
      </c>
      <c r="S35" s="17"/>
      <c r="T35" s="494"/>
      <c r="U35" s="20"/>
      <c r="V35" s="494"/>
      <c r="W35" s="17"/>
      <c r="X35" s="187"/>
      <c r="Y35" s="494"/>
      <c r="Z35" s="494"/>
      <c r="AA35" s="494"/>
      <c r="AB35" s="494"/>
      <c r="AC35" s="17">
        <f t="shared" si="36"/>
        <v>0</v>
      </c>
      <c r="AD35" s="187"/>
      <c r="AE35" s="17">
        <f t="shared" si="37"/>
        <v>0</v>
      </c>
      <c r="AG35" s="6">
        <f t="shared" si="41"/>
        <v>2017</v>
      </c>
      <c r="AI35" s="17">
        <f t="shared" si="38"/>
        <v>72455.05</v>
      </c>
      <c r="AJ35" s="17"/>
      <c r="AK35" s="17">
        <f t="shared" si="27"/>
        <v>72455.05</v>
      </c>
      <c r="AL35" s="17"/>
      <c r="AM35" s="17">
        <f t="shared" si="28"/>
        <v>72455.05</v>
      </c>
      <c r="AN35" s="17"/>
      <c r="AO35" s="17">
        <f t="shared" si="29"/>
        <v>0</v>
      </c>
      <c r="AP35" s="17"/>
      <c r="AQ35" s="17">
        <f t="shared" si="30"/>
        <v>0</v>
      </c>
      <c r="AR35" s="17"/>
      <c r="AS35" s="17">
        <f t="shared" si="31"/>
        <v>0</v>
      </c>
      <c r="AT35" s="17"/>
      <c r="AU35" s="17">
        <f t="shared" si="32"/>
        <v>0</v>
      </c>
    </row>
    <row r="36" spans="1:49">
      <c r="A36" s="6">
        <f t="shared" si="39"/>
        <v>2018</v>
      </c>
      <c r="C36" s="17">
        <f>'Exhibit B,2'!U36</f>
        <v>0</v>
      </c>
      <c r="D36" s="494"/>
      <c r="E36" s="494">
        <f>'Exhibit B,2'!M36</f>
        <v>0</v>
      </c>
      <c r="F36" s="494"/>
      <c r="G36" s="494">
        <f>'Exhibit B,2'!O36</f>
        <v>0</v>
      </c>
      <c r="H36" s="187"/>
      <c r="I36" s="494">
        <f t="shared" si="33"/>
        <v>0</v>
      </c>
      <c r="J36" s="494"/>
      <c r="K36" s="494">
        <f t="shared" si="26"/>
        <v>0</v>
      </c>
      <c r="L36" s="494"/>
      <c r="M36" s="501">
        <f t="shared" si="34"/>
        <v>0</v>
      </c>
      <c r="N36" s="187"/>
      <c r="O36" s="501">
        <f t="shared" si="35"/>
        <v>0</v>
      </c>
      <c r="Q36" s="6">
        <f t="shared" si="40"/>
        <v>2018</v>
      </c>
      <c r="S36" s="494"/>
      <c r="T36" s="494"/>
      <c r="U36" s="494"/>
      <c r="V36" s="494"/>
      <c r="W36" s="494"/>
      <c r="X36" s="187"/>
      <c r="Y36" s="494"/>
      <c r="Z36" s="494"/>
      <c r="AA36" s="494"/>
      <c r="AB36" s="494"/>
      <c r="AC36" s="17">
        <f t="shared" si="36"/>
        <v>0</v>
      </c>
      <c r="AD36" s="187"/>
      <c r="AE36" s="17">
        <f t="shared" si="37"/>
        <v>0</v>
      </c>
      <c r="AG36" s="6">
        <f t="shared" si="41"/>
        <v>2018</v>
      </c>
      <c r="AI36" s="17">
        <f t="shared" si="38"/>
        <v>0</v>
      </c>
      <c r="AJ36" s="17"/>
      <c r="AK36" s="17">
        <f t="shared" si="27"/>
        <v>0</v>
      </c>
      <c r="AL36" s="17"/>
      <c r="AM36" s="17">
        <f t="shared" si="28"/>
        <v>0</v>
      </c>
      <c r="AN36" s="17"/>
      <c r="AO36" s="17">
        <f t="shared" si="29"/>
        <v>0</v>
      </c>
      <c r="AP36" s="17"/>
      <c r="AQ36" s="17">
        <f t="shared" si="30"/>
        <v>0</v>
      </c>
      <c r="AR36" s="17"/>
      <c r="AS36" s="17">
        <f t="shared" si="31"/>
        <v>0</v>
      </c>
      <c r="AT36" s="17"/>
      <c r="AU36" s="17">
        <f t="shared" si="32"/>
        <v>0</v>
      </c>
    </row>
    <row r="37" spans="1:49">
      <c r="A37" s="6">
        <f t="shared" si="39"/>
        <v>2019</v>
      </c>
      <c r="C37" s="17">
        <f>'Exhibit B,2'!U37</f>
        <v>0</v>
      </c>
      <c r="D37" s="494"/>
      <c r="E37" s="494">
        <f>'Exhibit B,2'!M37</f>
        <v>0</v>
      </c>
      <c r="F37" s="494"/>
      <c r="G37" s="494">
        <f>'Exhibit B,2'!O37</f>
        <v>0</v>
      </c>
      <c r="H37" s="187"/>
      <c r="I37" s="494">
        <f t="shared" si="33"/>
        <v>0</v>
      </c>
      <c r="J37" s="494"/>
      <c r="K37" s="494">
        <f t="shared" si="26"/>
        <v>0</v>
      </c>
      <c r="L37" s="494"/>
      <c r="M37" s="501">
        <f t="shared" si="34"/>
        <v>0</v>
      </c>
      <c r="N37" s="187"/>
      <c r="O37" s="501">
        <f t="shared" si="35"/>
        <v>0</v>
      </c>
      <c r="Q37" s="6">
        <f t="shared" si="40"/>
        <v>2019</v>
      </c>
      <c r="S37" s="494"/>
      <c r="T37" s="494"/>
      <c r="U37" s="494"/>
      <c r="V37" s="494"/>
      <c r="W37" s="494"/>
      <c r="X37" s="187"/>
      <c r="Y37" s="494"/>
      <c r="Z37" s="494"/>
      <c r="AA37" s="494"/>
      <c r="AB37" s="494"/>
      <c r="AC37" s="17">
        <f t="shared" si="36"/>
        <v>0</v>
      </c>
      <c r="AD37" s="187"/>
      <c r="AE37" s="17">
        <f t="shared" si="37"/>
        <v>0</v>
      </c>
      <c r="AG37" s="6">
        <f t="shared" si="41"/>
        <v>2019</v>
      </c>
      <c r="AI37" s="17">
        <f t="shared" si="38"/>
        <v>0</v>
      </c>
      <c r="AJ37" s="17"/>
      <c r="AK37" s="17">
        <f t="shared" si="27"/>
        <v>0</v>
      </c>
      <c r="AL37" s="17"/>
      <c r="AM37" s="17">
        <f t="shared" si="28"/>
        <v>0</v>
      </c>
      <c r="AN37" s="17"/>
      <c r="AO37" s="17">
        <f t="shared" si="29"/>
        <v>0</v>
      </c>
      <c r="AP37" s="17"/>
      <c r="AQ37" s="17">
        <f t="shared" si="30"/>
        <v>0</v>
      </c>
      <c r="AR37" s="17"/>
      <c r="AS37" s="17">
        <f t="shared" si="31"/>
        <v>0</v>
      </c>
      <c r="AT37" s="17"/>
      <c r="AU37" s="17">
        <f t="shared" si="32"/>
        <v>0</v>
      </c>
    </row>
    <row r="38" spans="1:49">
      <c r="A38" s="6">
        <f t="shared" si="39"/>
        <v>2020</v>
      </c>
      <c r="C38" s="17">
        <f>'Exhibit B,2'!U38</f>
        <v>2002</v>
      </c>
      <c r="D38" s="494"/>
      <c r="E38" s="494">
        <f>'Exhibit B,2'!M38</f>
        <v>2002</v>
      </c>
      <c r="F38" s="494"/>
      <c r="G38" s="494">
        <f>'Exhibit B,2'!O38</f>
        <v>2002</v>
      </c>
      <c r="H38" s="187"/>
      <c r="I38" s="494">
        <f t="shared" si="33"/>
        <v>0</v>
      </c>
      <c r="J38" s="494"/>
      <c r="K38" s="494">
        <f t="shared" si="26"/>
        <v>0</v>
      </c>
      <c r="L38" s="494"/>
      <c r="M38" s="501">
        <f t="shared" si="34"/>
        <v>0</v>
      </c>
      <c r="N38" s="187"/>
      <c r="O38" s="501">
        <f t="shared" si="35"/>
        <v>0</v>
      </c>
      <c r="Q38" s="6">
        <f t="shared" si="40"/>
        <v>2020</v>
      </c>
      <c r="S38" s="494"/>
      <c r="T38" s="494"/>
      <c r="U38" s="494"/>
      <c r="V38" s="494"/>
      <c r="W38" s="494"/>
      <c r="X38" s="187"/>
      <c r="Y38" s="494"/>
      <c r="Z38" s="494"/>
      <c r="AA38" s="494"/>
      <c r="AB38" s="494"/>
      <c r="AC38" s="17">
        <f t="shared" si="36"/>
        <v>0</v>
      </c>
      <c r="AD38" s="187"/>
      <c r="AE38" s="17">
        <f t="shared" si="37"/>
        <v>0</v>
      </c>
      <c r="AG38" s="6">
        <f t="shared" si="41"/>
        <v>2020</v>
      </c>
      <c r="AI38" s="17">
        <f t="shared" si="38"/>
        <v>2002</v>
      </c>
      <c r="AJ38" s="17"/>
      <c r="AK38" s="17">
        <f t="shared" si="27"/>
        <v>2002</v>
      </c>
      <c r="AL38" s="17"/>
      <c r="AM38" s="17">
        <f t="shared" si="28"/>
        <v>2002</v>
      </c>
      <c r="AN38" s="17"/>
      <c r="AO38" s="17">
        <f t="shared" si="29"/>
        <v>0</v>
      </c>
      <c r="AP38" s="17"/>
      <c r="AQ38" s="17">
        <f t="shared" si="30"/>
        <v>0</v>
      </c>
      <c r="AR38" s="17"/>
      <c r="AS38" s="17">
        <f t="shared" si="31"/>
        <v>0</v>
      </c>
      <c r="AT38" s="17"/>
      <c r="AU38" s="17">
        <f t="shared" si="32"/>
        <v>0</v>
      </c>
    </row>
    <row r="39" spans="1:49">
      <c r="A39" s="6">
        <f t="shared" si="39"/>
        <v>2021</v>
      </c>
      <c r="C39" s="17">
        <f>'Exhibit B,2'!U39</f>
        <v>0</v>
      </c>
      <c r="D39" s="494"/>
      <c r="E39" s="494">
        <f>'Exhibit B,2'!M39</f>
        <v>0</v>
      </c>
      <c r="F39" s="494"/>
      <c r="G39" s="494">
        <f>'Exhibit B,2'!O39</f>
        <v>0</v>
      </c>
      <c r="H39" s="187"/>
      <c r="I39" s="494">
        <f t="shared" si="33"/>
        <v>0</v>
      </c>
      <c r="J39" s="494"/>
      <c r="K39" s="494">
        <f t="shared" si="26"/>
        <v>0</v>
      </c>
      <c r="L39" s="494"/>
      <c r="M39" s="501">
        <f t="shared" si="34"/>
        <v>0</v>
      </c>
      <c r="N39" s="187"/>
      <c r="O39" s="501">
        <f t="shared" si="35"/>
        <v>0</v>
      </c>
      <c r="Q39" s="6">
        <f t="shared" si="40"/>
        <v>2021</v>
      </c>
      <c r="S39" s="494"/>
      <c r="T39" s="494"/>
      <c r="U39" s="494"/>
      <c r="V39" s="494"/>
      <c r="W39" s="494"/>
      <c r="X39" s="187"/>
      <c r="Y39" s="494"/>
      <c r="Z39" s="494"/>
      <c r="AA39" s="494"/>
      <c r="AB39" s="494"/>
      <c r="AC39" s="17">
        <f t="shared" si="36"/>
        <v>0</v>
      </c>
      <c r="AD39" s="187"/>
      <c r="AE39" s="17">
        <f t="shared" si="37"/>
        <v>0</v>
      </c>
      <c r="AG39" s="6">
        <f t="shared" si="41"/>
        <v>2021</v>
      </c>
      <c r="AI39" s="17">
        <f t="shared" si="38"/>
        <v>0</v>
      </c>
      <c r="AJ39" s="17"/>
      <c r="AK39" s="17">
        <f t="shared" si="27"/>
        <v>0</v>
      </c>
      <c r="AL39" s="17"/>
      <c r="AM39" s="17">
        <f t="shared" si="28"/>
        <v>0</v>
      </c>
      <c r="AN39" s="17"/>
      <c r="AO39" s="17">
        <f t="shared" si="29"/>
        <v>0</v>
      </c>
      <c r="AP39" s="17"/>
      <c r="AQ39" s="17">
        <f t="shared" si="30"/>
        <v>0</v>
      </c>
      <c r="AR39" s="17"/>
      <c r="AS39" s="17">
        <f t="shared" si="31"/>
        <v>0</v>
      </c>
      <c r="AT39" s="17"/>
      <c r="AU39" s="17">
        <f t="shared" si="32"/>
        <v>0</v>
      </c>
    </row>
    <row r="40" spans="1:49">
      <c r="A40" s="6">
        <f t="shared" si="39"/>
        <v>2022</v>
      </c>
      <c r="C40" s="17">
        <f>'Exhibit B,2'!U40</f>
        <v>0</v>
      </c>
      <c r="D40" s="494"/>
      <c r="E40" s="494">
        <f>'Exhibit B,2'!M40</f>
        <v>0</v>
      </c>
      <c r="F40" s="494"/>
      <c r="G40" s="494">
        <f>'Exhibit B,2'!O40</f>
        <v>0</v>
      </c>
      <c r="H40" s="187"/>
      <c r="I40" s="494">
        <f t="shared" si="33"/>
        <v>0</v>
      </c>
      <c r="J40" s="494"/>
      <c r="K40" s="494">
        <f t="shared" si="26"/>
        <v>0</v>
      </c>
      <c r="L40" s="494"/>
      <c r="M40" s="501">
        <f t="shared" si="34"/>
        <v>0</v>
      </c>
      <c r="N40" s="187"/>
      <c r="O40" s="501">
        <f t="shared" si="35"/>
        <v>0</v>
      </c>
      <c r="Q40" s="6">
        <f t="shared" si="40"/>
        <v>2022</v>
      </c>
      <c r="S40" s="494"/>
      <c r="T40" s="494"/>
      <c r="U40" s="494"/>
      <c r="V40" s="494"/>
      <c r="W40" s="494"/>
      <c r="X40" s="187"/>
      <c r="Y40" s="494"/>
      <c r="Z40" s="494"/>
      <c r="AA40" s="494"/>
      <c r="AB40" s="494"/>
      <c r="AC40" s="17">
        <f t="shared" si="36"/>
        <v>0</v>
      </c>
      <c r="AD40" s="187"/>
      <c r="AE40" s="17">
        <f t="shared" si="37"/>
        <v>0</v>
      </c>
      <c r="AG40" s="6">
        <f t="shared" si="41"/>
        <v>2022</v>
      </c>
      <c r="AI40" s="17">
        <f t="shared" si="38"/>
        <v>0</v>
      </c>
      <c r="AJ40" s="17"/>
      <c r="AK40" s="17">
        <f t="shared" si="27"/>
        <v>0</v>
      </c>
      <c r="AL40" s="17"/>
      <c r="AM40" s="17">
        <f t="shared" si="28"/>
        <v>0</v>
      </c>
      <c r="AN40" s="17"/>
      <c r="AO40" s="17">
        <f t="shared" si="29"/>
        <v>0</v>
      </c>
      <c r="AP40" s="17"/>
      <c r="AQ40" s="17">
        <f t="shared" si="30"/>
        <v>0</v>
      </c>
      <c r="AR40" s="17"/>
      <c r="AS40" s="17">
        <f t="shared" si="31"/>
        <v>0</v>
      </c>
      <c r="AT40" s="17"/>
      <c r="AU40" s="17">
        <f t="shared" si="32"/>
        <v>0</v>
      </c>
    </row>
    <row r="41" spans="1:49">
      <c r="A41" s="6"/>
      <c r="C41" s="63"/>
      <c r="E41" s="63"/>
      <c r="G41" s="63"/>
      <c r="I41" s="63"/>
      <c r="K41" s="63"/>
      <c r="M41" s="63"/>
      <c r="N41" s="63"/>
      <c r="O41" s="63"/>
      <c r="Q41" s="6"/>
      <c r="S41" s="63"/>
      <c r="U41" s="63"/>
      <c r="W41" s="63"/>
      <c r="Y41" s="63"/>
      <c r="AA41" s="63"/>
      <c r="AC41" s="63"/>
      <c r="AD41" s="63"/>
      <c r="AE41" s="63"/>
      <c r="AG41" s="6"/>
      <c r="AI41" s="63"/>
      <c r="AK41" s="63"/>
      <c r="AM41" s="63"/>
      <c r="AO41" s="63"/>
      <c r="AQ41" s="63"/>
      <c r="AS41" s="63"/>
      <c r="AT41" s="63"/>
      <c r="AU41" s="63"/>
    </row>
    <row r="42" spans="1:49">
      <c r="A42" s="2" t="s">
        <v>0</v>
      </c>
      <c r="C42" s="147">
        <f>SUM(C31:C41)</f>
        <v>293482.62</v>
      </c>
      <c r="D42" s="147"/>
      <c r="E42" s="147">
        <f>SUM(E31:E41)</f>
        <v>293482.62</v>
      </c>
      <c r="F42" s="147"/>
      <c r="G42" s="147">
        <f>SUM(G31:G41)</f>
        <v>293482.62</v>
      </c>
      <c r="H42" s="147"/>
      <c r="I42" s="147">
        <f>SUM(I31:I41)</f>
        <v>0</v>
      </c>
      <c r="J42" s="147"/>
      <c r="K42" s="147">
        <f>SUM(K31:K41)</f>
        <v>0</v>
      </c>
      <c r="L42" s="147"/>
      <c r="M42" s="147">
        <f>SUM(M31:M41)</f>
        <v>0</v>
      </c>
      <c r="N42" s="147"/>
      <c r="O42" s="147">
        <f>SUM(O31:O41)</f>
        <v>0</v>
      </c>
      <c r="Q42" s="2" t="s">
        <v>0</v>
      </c>
      <c r="S42" s="147">
        <f>SUM(S31:S41)</f>
        <v>0</v>
      </c>
      <c r="T42" s="147"/>
      <c r="U42" s="147">
        <f>SUM(U31:U41)</f>
        <v>0</v>
      </c>
      <c r="V42" s="147"/>
      <c r="W42" s="147">
        <f>SUM(W31:W41)</f>
        <v>0</v>
      </c>
      <c r="X42" s="147"/>
      <c r="Y42" s="147">
        <f>SUM(Y31:Y41)</f>
        <v>0</v>
      </c>
      <c r="Z42" s="147"/>
      <c r="AA42" s="147">
        <f>SUM(AA31:AA41)</f>
        <v>0</v>
      </c>
      <c r="AB42" s="147"/>
      <c r="AC42" s="147">
        <f>SUM(AC31:AC41)</f>
        <v>0</v>
      </c>
      <c r="AD42" s="147"/>
      <c r="AE42" s="147">
        <f>SUM(AE31:AE41)</f>
        <v>0</v>
      </c>
      <c r="AG42" s="2" t="s">
        <v>0</v>
      </c>
      <c r="AI42" s="147">
        <f>SUM(AI31:AI41)</f>
        <v>293482.62</v>
      </c>
      <c r="AJ42" s="147"/>
      <c r="AK42" s="147">
        <f>SUM(AK31:AK41)</f>
        <v>293482.62</v>
      </c>
      <c r="AL42" s="147"/>
      <c r="AM42" s="147">
        <f>SUM(AM31:AM41)</f>
        <v>293482.62</v>
      </c>
      <c r="AN42" s="147"/>
      <c r="AO42" s="147">
        <f>SUM(AO31:AO41)</f>
        <v>0</v>
      </c>
      <c r="AP42" s="147"/>
      <c r="AQ42" s="147">
        <f>SUM(AQ31:AQ41)</f>
        <v>0</v>
      </c>
      <c r="AR42" s="147"/>
      <c r="AS42" s="147">
        <f>SUM(AS31:AS41)</f>
        <v>0</v>
      </c>
      <c r="AT42" s="147"/>
      <c r="AU42" s="147">
        <f>SUM(AU31:AU41)</f>
        <v>0</v>
      </c>
    </row>
    <row r="43" spans="1:49">
      <c r="A43" s="2"/>
      <c r="C43" s="26"/>
      <c r="E43" s="26"/>
      <c r="G43" s="26"/>
      <c r="I43" s="26"/>
      <c r="K43" s="26"/>
      <c r="Q43" s="2"/>
      <c r="S43" s="26"/>
      <c r="U43" s="26"/>
      <c r="W43" s="26"/>
      <c r="Y43" s="26"/>
      <c r="AA43" s="26"/>
      <c r="AG43" s="2"/>
      <c r="AI43" s="26"/>
      <c r="AK43" s="26"/>
      <c r="AM43" s="26"/>
      <c r="AO43" s="26"/>
      <c r="AQ43" s="26"/>
    </row>
    <row r="44" spans="1:49">
      <c r="A44" s="3" t="s">
        <v>1650</v>
      </c>
      <c r="Q44" s="3" t="s">
        <v>1652</v>
      </c>
      <c r="AG44" s="3" t="s">
        <v>638</v>
      </c>
    </row>
    <row r="45" spans="1:49">
      <c r="A45" s="6">
        <f>A31</f>
        <v>2013</v>
      </c>
      <c r="C45" s="147">
        <f>'Exhibit B,2'!U45</f>
        <v>0</v>
      </c>
      <c r="D45" s="147"/>
      <c r="E45" s="147">
        <f>'Exhibit B,2'!M45</f>
        <v>0</v>
      </c>
      <c r="F45" s="147"/>
      <c r="G45" s="147">
        <f>'Exhibit B,2'!O45</f>
        <v>0</v>
      </c>
      <c r="H45" s="147"/>
      <c r="I45" s="147">
        <f>G59-E59</f>
        <v>0</v>
      </c>
      <c r="J45" s="147"/>
      <c r="K45" s="592">
        <f t="shared" ref="K45:K54" si="42">C45-G45</f>
        <v>0</v>
      </c>
      <c r="L45" s="147"/>
      <c r="M45" s="147">
        <f>C45-E45</f>
        <v>0</v>
      </c>
      <c r="N45" s="147"/>
      <c r="O45" s="497">
        <f>IF((I$28)=0,0,M45/M$70*O$70)</f>
        <v>0</v>
      </c>
      <c r="Q45" s="6">
        <v>2013</v>
      </c>
      <c r="S45" s="147">
        <f>W45+AA45</f>
        <v>0</v>
      </c>
      <c r="T45" s="147"/>
      <c r="U45" s="497">
        <v>0</v>
      </c>
      <c r="V45" s="497"/>
      <c r="W45" s="497">
        <v>0</v>
      </c>
      <c r="X45" s="147"/>
      <c r="Y45" s="147">
        <f>W59-U59</f>
        <v>0</v>
      </c>
      <c r="Z45" s="147"/>
      <c r="AA45" s="147">
        <f>0.95*K45</f>
        <v>0</v>
      </c>
      <c r="AB45" s="147"/>
      <c r="AC45" s="147">
        <f>S45-U45</f>
        <v>0</v>
      </c>
      <c r="AD45" s="147"/>
      <c r="AE45" s="147">
        <f>0.95*O45</f>
        <v>0</v>
      </c>
      <c r="AF45" s="95"/>
      <c r="AG45" s="6">
        <v>2013</v>
      </c>
      <c r="AI45" s="147">
        <f>C45-S45</f>
        <v>0</v>
      </c>
      <c r="AJ45" s="147"/>
      <c r="AK45" s="147">
        <f t="shared" ref="AK45:AK54" si="43">E45-U45</f>
        <v>0</v>
      </c>
      <c r="AL45" s="147"/>
      <c r="AM45" s="147">
        <f t="shared" ref="AM45:AM54" si="44">G45-W45</f>
        <v>0</v>
      </c>
      <c r="AN45" s="147"/>
      <c r="AO45" s="147">
        <f t="shared" ref="AO45:AO54" si="45">I45-Y45</f>
        <v>0</v>
      </c>
      <c r="AP45" s="147"/>
      <c r="AQ45" s="147">
        <f t="shared" ref="AQ45:AQ54" si="46">K45-AA45</f>
        <v>0</v>
      </c>
      <c r="AR45" s="147"/>
      <c r="AS45" s="147">
        <f t="shared" ref="AS45:AS54" si="47">M45-AC45</f>
        <v>0</v>
      </c>
      <c r="AT45" s="147"/>
      <c r="AU45" s="147">
        <f t="shared" ref="AU45:AU54" si="48">O45-AE45</f>
        <v>0</v>
      </c>
      <c r="AW45" s="1" t="e">
        <f>AI45/C45</f>
        <v>#DIV/0!</v>
      </c>
    </row>
    <row r="46" spans="1:49">
      <c r="A46" s="6">
        <f>A45+1</f>
        <v>2014</v>
      </c>
      <c r="C46" s="17">
        <f>'Exhibit B,2'!U46</f>
        <v>77600.820000000007</v>
      </c>
      <c r="D46" s="494"/>
      <c r="E46" s="494">
        <f>'Exhibit B,2'!M46</f>
        <v>77600.820000000007</v>
      </c>
      <c r="F46" s="494"/>
      <c r="G46" s="494">
        <f>'Exhibit B,2'!O46</f>
        <v>77600.820000000007</v>
      </c>
      <c r="H46" s="187"/>
      <c r="I46" s="494">
        <f t="shared" ref="I46:I54" si="49">G46-E46</f>
        <v>0</v>
      </c>
      <c r="J46" s="494"/>
      <c r="K46" s="494">
        <f t="shared" si="42"/>
        <v>0</v>
      </c>
      <c r="L46" s="494"/>
      <c r="M46" s="501">
        <f t="shared" ref="M46:M54" si="50">C46-E46</f>
        <v>0</v>
      </c>
      <c r="N46" s="187"/>
      <c r="O46" s="501">
        <f t="shared" ref="O46:O54" si="51">IF((I$28)=0,0,M46/M$70*O$70)</f>
        <v>0</v>
      </c>
      <c r="Q46" s="6">
        <f>Q45+1</f>
        <v>2014</v>
      </c>
      <c r="S46" s="17">
        <f t="shared" ref="S46:S54" si="52">W46+AA46</f>
        <v>0</v>
      </c>
      <c r="T46" s="494"/>
      <c r="U46" s="20">
        <v>0</v>
      </c>
      <c r="V46" s="20"/>
      <c r="W46" s="20">
        <v>0</v>
      </c>
      <c r="X46" s="187"/>
      <c r="Y46" s="494">
        <f t="shared" ref="Y46:Y54" si="53">W46-U46</f>
        <v>0</v>
      </c>
      <c r="Z46" s="494"/>
      <c r="AA46" s="494">
        <f t="shared" ref="AA46:AA54" si="54">0.95*K46</f>
        <v>0</v>
      </c>
      <c r="AB46" s="494"/>
      <c r="AC46" s="17">
        <f t="shared" ref="AC46:AC54" si="55">S46-U46</f>
        <v>0</v>
      </c>
      <c r="AD46" s="187"/>
      <c r="AE46" s="17">
        <f t="shared" ref="AE46:AE54" si="56">0.95*O46</f>
        <v>0</v>
      </c>
      <c r="AF46" s="95"/>
      <c r="AG46" s="6">
        <f>AG45+1</f>
        <v>2014</v>
      </c>
      <c r="AI46" s="17">
        <f t="shared" ref="AI46:AI54" si="57">C46-S46</f>
        <v>77600.820000000007</v>
      </c>
      <c r="AJ46" s="17"/>
      <c r="AK46" s="17">
        <f t="shared" si="43"/>
        <v>77600.820000000007</v>
      </c>
      <c r="AL46" s="17"/>
      <c r="AM46" s="17">
        <f t="shared" si="44"/>
        <v>77600.820000000007</v>
      </c>
      <c r="AN46" s="17"/>
      <c r="AO46" s="17">
        <f t="shared" si="45"/>
        <v>0</v>
      </c>
      <c r="AP46" s="17"/>
      <c r="AQ46" s="17">
        <f t="shared" si="46"/>
        <v>0</v>
      </c>
      <c r="AR46" s="17"/>
      <c r="AS46" s="17">
        <f t="shared" si="47"/>
        <v>0</v>
      </c>
      <c r="AT46" s="17"/>
      <c r="AU46" s="17">
        <f t="shared" si="48"/>
        <v>0</v>
      </c>
      <c r="AW46" s="1">
        <f t="shared" ref="AW46:AW54" si="58">AI46/C46</f>
        <v>1</v>
      </c>
    </row>
    <row r="47" spans="1:49">
      <c r="A47" s="6">
        <f t="shared" ref="A47:A54" si="59">A46+1</f>
        <v>2015</v>
      </c>
      <c r="C47" s="17">
        <f>'Exhibit B,2'!U47</f>
        <v>21957.386433798303</v>
      </c>
      <c r="D47" s="494"/>
      <c r="E47" s="494">
        <f>'Exhibit B,2'!M47</f>
        <v>21919.61</v>
      </c>
      <c r="F47" s="494"/>
      <c r="G47" s="494">
        <f>'Exhibit B,2'!O47</f>
        <v>21919.61</v>
      </c>
      <c r="H47" s="187"/>
      <c r="I47" s="494">
        <f t="shared" si="49"/>
        <v>0</v>
      </c>
      <c r="J47" s="494"/>
      <c r="K47" s="494">
        <f t="shared" si="42"/>
        <v>37.776433798302605</v>
      </c>
      <c r="L47" s="494"/>
      <c r="M47" s="501">
        <f t="shared" si="50"/>
        <v>37.776433798302605</v>
      </c>
      <c r="N47" s="187"/>
      <c r="O47" s="501">
        <f t="shared" si="51"/>
        <v>1.1134293024165123</v>
      </c>
      <c r="Q47" s="6">
        <f t="shared" ref="Q47:Q52" si="60">Q46+1</f>
        <v>2015</v>
      </c>
      <c r="S47" s="17">
        <f t="shared" si="52"/>
        <v>35.887612108387472</v>
      </c>
      <c r="T47" s="494"/>
      <c r="U47" s="20">
        <v>0</v>
      </c>
      <c r="V47" s="20"/>
      <c r="W47" s="20">
        <v>0</v>
      </c>
      <c r="X47" s="187"/>
      <c r="Y47" s="494">
        <f t="shared" si="53"/>
        <v>0</v>
      </c>
      <c r="Z47" s="494"/>
      <c r="AA47" s="494">
        <f t="shared" si="54"/>
        <v>35.887612108387472</v>
      </c>
      <c r="AB47" s="494"/>
      <c r="AC47" s="17">
        <f t="shared" si="55"/>
        <v>35.887612108387472</v>
      </c>
      <c r="AD47" s="187"/>
      <c r="AE47" s="17">
        <f t="shared" si="56"/>
        <v>1.0577578372956866</v>
      </c>
      <c r="AF47" s="95"/>
      <c r="AG47" s="6">
        <f t="shared" ref="AG47:AG52" si="61">AG46+1</f>
        <v>2015</v>
      </c>
      <c r="AI47" s="17">
        <f t="shared" si="57"/>
        <v>21921.498821689915</v>
      </c>
      <c r="AJ47" s="17"/>
      <c r="AK47" s="17">
        <f t="shared" si="43"/>
        <v>21919.61</v>
      </c>
      <c r="AL47" s="17"/>
      <c r="AM47" s="17">
        <f t="shared" si="44"/>
        <v>21919.61</v>
      </c>
      <c r="AN47" s="17"/>
      <c r="AO47" s="17">
        <f t="shared" si="45"/>
        <v>0</v>
      </c>
      <c r="AP47" s="17"/>
      <c r="AQ47" s="17">
        <f t="shared" si="46"/>
        <v>1.8888216899151331</v>
      </c>
      <c r="AR47" s="17"/>
      <c r="AS47" s="17">
        <f t="shared" si="47"/>
        <v>1.8888216899151331</v>
      </c>
      <c r="AT47" s="17"/>
      <c r="AU47" s="17">
        <f t="shared" si="48"/>
        <v>5.5671465120825658E-2</v>
      </c>
      <c r="AW47" s="1">
        <f t="shared" si="58"/>
        <v>0.99836557906303691</v>
      </c>
    </row>
    <row r="48" spans="1:49">
      <c r="A48" s="6">
        <f t="shared" si="59"/>
        <v>2016</v>
      </c>
      <c r="C48" s="17">
        <f>'Exhibit B,2'!U48</f>
        <v>16523.007363911602</v>
      </c>
      <c r="D48" s="494"/>
      <c r="E48" s="494">
        <f>'Exhibit B,2'!M48</f>
        <v>16148.550000000001</v>
      </c>
      <c r="F48" s="494"/>
      <c r="G48" s="494">
        <f>'Exhibit B,2'!O48</f>
        <v>16148.550000000001</v>
      </c>
      <c r="H48" s="187"/>
      <c r="I48" s="494">
        <f t="shared" si="49"/>
        <v>0</v>
      </c>
      <c r="J48" s="494"/>
      <c r="K48" s="494">
        <f t="shared" si="42"/>
        <v>374.45736391160062</v>
      </c>
      <c r="L48" s="494"/>
      <c r="M48" s="501">
        <f t="shared" si="50"/>
        <v>374.45736391160062</v>
      </c>
      <c r="N48" s="187"/>
      <c r="O48" s="501">
        <f t="shared" si="51"/>
        <v>11.036822684505317</v>
      </c>
      <c r="Q48" s="6">
        <f t="shared" si="60"/>
        <v>2016</v>
      </c>
      <c r="S48" s="17">
        <f t="shared" si="52"/>
        <v>355.7344957160206</v>
      </c>
      <c r="T48" s="494"/>
      <c r="U48" s="20">
        <v>0</v>
      </c>
      <c r="V48" s="20"/>
      <c r="W48" s="20">
        <v>0</v>
      </c>
      <c r="X48" s="187"/>
      <c r="Y48" s="494">
        <f t="shared" si="53"/>
        <v>0</v>
      </c>
      <c r="Z48" s="494"/>
      <c r="AA48" s="494">
        <f t="shared" si="54"/>
        <v>355.7344957160206</v>
      </c>
      <c r="AB48" s="494"/>
      <c r="AC48" s="17">
        <f t="shared" si="55"/>
        <v>355.7344957160206</v>
      </c>
      <c r="AD48" s="187"/>
      <c r="AE48" s="17">
        <f t="shared" si="56"/>
        <v>10.48498155028005</v>
      </c>
      <c r="AF48" s="95"/>
      <c r="AG48" s="6">
        <f t="shared" si="61"/>
        <v>2016</v>
      </c>
      <c r="AI48" s="17">
        <f t="shared" si="57"/>
        <v>16167.272868195581</v>
      </c>
      <c r="AJ48" s="17"/>
      <c r="AK48" s="17">
        <f t="shared" si="43"/>
        <v>16148.550000000001</v>
      </c>
      <c r="AL48" s="17"/>
      <c r="AM48" s="17">
        <f t="shared" si="44"/>
        <v>16148.550000000001</v>
      </c>
      <c r="AN48" s="17"/>
      <c r="AO48" s="17">
        <f t="shared" si="45"/>
        <v>0</v>
      </c>
      <c r="AP48" s="17"/>
      <c r="AQ48" s="17">
        <f t="shared" si="46"/>
        <v>18.72286819558002</v>
      </c>
      <c r="AR48" s="17"/>
      <c r="AS48" s="17">
        <f t="shared" si="47"/>
        <v>18.72286819558002</v>
      </c>
      <c r="AT48" s="17"/>
      <c r="AU48" s="17">
        <f t="shared" si="48"/>
        <v>0.55184113422526693</v>
      </c>
      <c r="AW48" s="1">
        <f t="shared" si="58"/>
        <v>0.97847035422298545</v>
      </c>
    </row>
    <row r="49" spans="1:49">
      <c r="A49" s="6">
        <f t="shared" si="59"/>
        <v>2017</v>
      </c>
      <c r="C49" s="17">
        <f>'Exhibit B,2'!U49</f>
        <v>22382.511639768196</v>
      </c>
      <c r="D49" s="494"/>
      <c r="E49" s="494">
        <f>'Exhibit B,2'!M49</f>
        <v>21420.760000000002</v>
      </c>
      <c r="F49" s="494"/>
      <c r="G49" s="494">
        <f>'Exhibit B,2'!O49</f>
        <v>21420.760000000002</v>
      </c>
      <c r="H49" s="187"/>
      <c r="I49" s="494">
        <f t="shared" si="49"/>
        <v>0</v>
      </c>
      <c r="J49" s="494"/>
      <c r="K49" s="494">
        <f t="shared" si="42"/>
        <v>961.75163976819385</v>
      </c>
      <c r="L49" s="494"/>
      <c r="M49" s="501">
        <f t="shared" si="50"/>
        <v>961.75163976819385</v>
      </c>
      <c r="N49" s="187"/>
      <c r="O49" s="501">
        <f t="shared" si="51"/>
        <v>28.34683821883559</v>
      </c>
      <c r="Q49" s="6">
        <f t="shared" si="60"/>
        <v>2017</v>
      </c>
      <c r="S49" s="17">
        <f t="shared" si="52"/>
        <v>913.66405777978412</v>
      </c>
      <c r="T49" s="494"/>
      <c r="U49" s="20">
        <v>0</v>
      </c>
      <c r="V49" s="20"/>
      <c r="W49" s="20">
        <v>0</v>
      </c>
      <c r="X49" s="187"/>
      <c r="Y49" s="494">
        <f t="shared" si="53"/>
        <v>0</v>
      </c>
      <c r="Z49" s="494"/>
      <c r="AA49" s="494">
        <f t="shared" si="54"/>
        <v>913.66405777978412</v>
      </c>
      <c r="AB49" s="494"/>
      <c r="AC49" s="17">
        <f t="shared" si="55"/>
        <v>913.66405777978412</v>
      </c>
      <c r="AD49" s="187"/>
      <c r="AE49" s="17">
        <f t="shared" si="56"/>
        <v>26.92949630789381</v>
      </c>
      <c r="AF49" s="95"/>
      <c r="AG49" s="6">
        <f t="shared" si="61"/>
        <v>2017</v>
      </c>
      <c r="AI49" s="17">
        <f t="shared" si="57"/>
        <v>21468.847581988412</v>
      </c>
      <c r="AJ49" s="17"/>
      <c r="AK49" s="17">
        <f t="shared" si="43"/>
        <v>21420.760000000002</v>
      </c>
      <c r="AL49" s="17"/>
      <c r="AM49" s="17">
        <f t="shared" si="44"/>
        <v>21420.760000000002</v>
      </c>
      <c r="AN49" s="17"/>
      <c r="AO49" s="17">
        <f t="shared" si="45"/>
        <v>0</v>
      </c>
      <c r="AP49" s="17"/>
      <c r="AQ49" s="17">
        <f t="shared" si="46"/>
        <v>48.087581988409738</v>
      </c>
      <c r="AR49" s="17"/>
      <c r="AS49" s="17">
        <f t="shared" si="47"/>
        <v>48.087581988409738</v>
      </c>
      <c r="AT49" s="17"/>
      <c r="AU49" s="17">
        <f t="shared" si="48"/>
        <v>1.4173419109417793</v>
      </c>
      <c r="AW49" s="1">
        <f t="shared" si="58"/>
        <v>0.95917955623190965</v>
      </c>
    </row>
    <row r="50" spans="1:49">
      <c r="A50" s="6">
        <f t="shared" si="59"/>
        <v>2018</v>
      </c>
      <c r="C50" s="17">
        <f>'Exhibit B,2'!U50</f>
        <v>8771.6129269205703</v>
      </c>
      <c r="D50" s="494"/>
      <c r="E50" s="494">
        <f>'Exhibit B,2'!M50</f>
        <v>8200.94</v>
      </c>
      <c r="F50" s="494"/>
      <c r="G50" s="494">
        <f>'Exhibit B,2'!O50</f>
        <v>8200.94</v>
      </c>
      <c r="H50" s="187"/>
      <c r="I50" s="494">
        <f t="shared" si="49"/>
        <v>0</v>
      </c>
      <c r="J50" s="494"/>
      <c r="K50" s="494">
        <f t="shared" si="42"/>
        <v>570.67292692056981</v>
      </c>
      <c r="L50" s="494"/>
      <c r="M50" s="501">
        <f t="shared" si="50"/>
        <v>570.67292692056981</v>
      </c>
      <c r="N50" s="187"/>
      <c r="O50" s="501">
        <f t="shared" si="51"/>
        <v>16.820114951075919</v>
      </c>
      <c r="Q50" s="6">
        <f t="shared" si="60"/>
        <v>2018</v>
      </c>
      <c r="S50" s="494">
        <f t="shared" si="52"/>
        <v>542.13928057454132</v>
      </c>
      <c r="T50" s="494"/>
      <c r="U50" s="20">
        <v>0</v>
      </c>
      <c r="V50" s="20"/>
      <c r="W50" s="20">
        <v>0</v>
      </c>
      <c r="X50" s="187"/>
      <c r="Y50" s="494">
        <f t="shared" si="53"/>
        <v>0</v>
      </c>
      <c r="Z50" s="494"/>
      <c r="AA50" s="494">
        <f t="shared" si="54"/>
        <v>542.13928057454132</v>
      </c>
      <c r="AB50" s="494"/>
      <c r="AC50" s="17">
        <f t="shared" si="55"/>
        <v>542.13928057454132</v>
      </c>
      <c r="AD50" s="187"/>
      <c r="AE50" s="17">
        <f t="shared" si="56"/>
        <v>15.979109203522121</v>
      </c>
      <c r="AF50" s="95"/>
      <c r="AG50" s="6">
        <f t="shared" si="61"/>
        <v>2018</v>
      </c>
      <c r="AI50" s="17">
        <f t="shared" si="57"/>
        <v>8229.4736463460285</v>
      </c>
      <c r="AJ50" s="17"/>
      <c r="AK50" s="17">
        <f t="shared" si="43"/>
        <v>8200.94</v>
      </c>
      <c r="AL50" s="17"/>
      <c r="AM50" s="17">
        <f t="shared" si="44"/>
        <v>8200.94</v>
      </c>
      <c r="AN50" s="17"/>
      <c r="AO50" s="17">
        <f t="shared" si="45"/>
        <v>0</v>
      </c>
      <c r="AP50" s="17"/>
      <c r="AQ50" s="17">
        <f t="shared" si="46"/>
        <v>28.53364634602849</v>
      </c>
      <c r="AR50" s="17"/>
      <c r="AS50" s="17">
        <f t="shared" si="47"/>
        <v>28.53364634602849</v>
      </c>
      <c r="AT50" s="17"/>
      <c r="AU50" s="17">
        <f t="shared" si="48"/>
        <v>0.84100574755379753</v>
      </c>
      <c r="AW50" s="1">
        <f t="shared" si="58"/>
        <v>0.93819388918648172</v>
      </c>
    </row>
    <row r="51" spans="1:49">
      <c r="A51" s="6">
        <f t="shared" si="59"/>
        <v>2019</v>
      </c>
      <c r="C51" s="17">
        <f>'Exhibit B,2'!U51</f>
        <v>123140.28187426257</v>
      </c>
      <c r="D51" s="494"/>
      <c r="E51" s="494">
        <f>'Exhibit B,2'!M51</f>
        <v>106381.11</v>
      </c>
      <c r="F51" s="494"/>
      <c r="G51" s="494">
        <f>'Exhibit B,2'!O51</f>
        <v>112963.91</v>
      </c>
      <c r="H51" s="187"/>
      <c r="I51" s="494">
        <f t="shared" si="49"/>
        <v>6582.8000000000029</v>
      </c>
      <c r="J51" s="494"/>
      <c r="K51" s="494">
        <f t="shared" si="42"/>
        <v>10176.371874262564</v>
      </c>
      <c r="L51" s="494"/>
      <c r="M51" s="501">
        <f t="shared" si="50"/>
        <v>16759.171874262567</v>
      </c>
      <c r="N51" s="187"/>
      <c r="O51" s="501">
        <f t="shared" si="51"/>
        <v>493.96280095335658</v>
      </c>
      <c r="Q51" s="6">
        <f t="shared" si="60"/>
        <v>2019</v>
      </c>
      <c r="S51" s="494">
        <f t="shared" si="52"/>
        <v>15992.463280549438</v>
      </c>
      <c r="T51" s="494"/>
      <c r="U51" s="20">
        <v>71.25</v>
      </c>
      <c r="V51" s="20"/>
      <c r="W51" s="20">
        <v>6324.9100000000035</v>
      </c>
      <c r="X51" s="187"/>
      <c r="Y51" s="494">
        <f t="shared" si="53"/>
        <v>6253.6600000000035</v>
      </c>
      <c r="Z51" s="494"/>
      <c r="AA51" s="494">
        <f t="shared" si="54"/>
        <v>9667.5532805494349</v>
      </c>
      <c r="AB51" s="494"/>
      <c r="AC51" s="17">
        <f t="shared" si="55"/>
        <v>15921.213280549438</v>
      </c>
      <c r="AD51" s="187"/>
      <c r="AE51" s="17">
        <f t="shared" si="56"/>
        <v>469.26466090568874</v>
      </c>
      <c r="AF51" s="95"/>
      <c r="AG51" s="6">
        <f t="shared" si="61"/>
        <v>2019</v>
      </c>
      <c r="AI51" s="17">
        <f t="shared" si="57"/>
        <v>107147.81859371313</v>
      </c>
      <c r="AJ51" s="17"/>
      <c r="AK51" s="17">
        <f t="shared" si="43"/>
        <v>106309.86</v>
      </c>
      <c r="AL51" s="17"/>
      <c r="AM51" s="17">
        <f t="shared" si="44"/>
        <v>106639</v>
      </c>
      <c r="AN51" s="17"/>
      <c r="AO51" s="17">
        <f t="shared" si="45"/>
        <v>329.13999999999942</v>
      </c>
      <c r="AP51" s="17"/>
      <c r="AQ51" s="17">
        <f t="shared" si="46"/>
        <v>508.8185937131293</v>
      </c>
      <c r="AR51" s="17"/>
      <c r="AS51" s="17">
        <f t="shared" si="47"/>
        <v>837.95859371312872</v>
      </c>
      <c r="AT51" s="17"/>
      <c r="AU51" s="17">
        <f t="shared" si="48"/>
        <v>24.698140047667835</v>
      </c>
      <c r="AW51" s="1">
        <f t="shared" si="58"/>
        <v>0.87012809263438917</v>
      </c>
    </row>
    <row r="52" spans="1:49">
      <c r="A52" s="6">
        <f t="shared" si="59"/>
        <v>2020</v>
      </c>
      <c r="C52" s="17">
        <f>'Exhibit B,2'!U52</f>
        <v>255952.10511944495</v>
      </c>
      <c r="D52" s="494"/>
      <c r="E52" s="494">
        <f>'Exhibit B,2'!M52</f>
        <v>210549.2</v>
      </c>
      <c r="F52" s="494"/>
      <c r="G52" s="494">
        <f>'Exhibit B,2'!O52</f>
        <v>245754.2</v>
      </c>
      <c r="H52" s="187"/>
      <c r="I52" s="494">
        <f t="shared" si="49"/>
        <v>35205</v>
      </c>
      <c r="J52" s="494"/>
      <c r="K52" s="494">
        <f t="shared" si="42"/>
        <v>10197.905119444942</v>
      </c>
      <c r="L52" s="494"/>
      <c r="M52" s="501">
        <f t="shared" si="50"/>
        <v>45402.905119444942</v>
      </c>
      <c r="N52" s="187"/>
      <c r="O52" s="501">
        <f t="shared" si="51"/>
        <v>1338.2132692763114</v>
      </c>
      <c r="Q52" s="6">
        <f t="shared" si="60"/>
        <v>2020</v>
      </c>
      <c r="S52" s="494">
        <f t="shared" si="52"/>
        <v>39166.509863472696</v>
      </c>
      <c r="T52" s="494"/>
      <c r="U52" s="20">
        <v>-3966.25</v>
      </c>
      <c r="V52" s="20"/>
      <c r="W52" s="20">
        <v>29478.5</v>
      </c>
      <c r="X52" s="187"/>
      <c r="Y52" s="494">
        <f t="shared" si="53"/>
        <v>33444.75</v>
      </c>
      <c r="Z52" s="494"/>
      <c r="AA52" s="494">
        <f t="shared" si="54"/>
        <v>9688.0098634726946</v>
      </c>
      <c r="AB52" s="494"/>
      <c r="AC52" s="17">
        <f t="shared" si="55"/>
        <v>43132.759863472696</v>
      </c>
      <c r="AD52" s="187"/>
      <c r="AE52" s="17">
        <f t="shared" si="56"/>
        <v>1271.3026058124958</v>
      </c>
      <c r="AF52" s="95"/>
      <c r="AG52" s="6">
        <f t="shared" si="61"/>
        <v>2020</v>
      </c>
      <c r="AI52" s="17">
        <f t="shared" si="57"/>
        <v>216785.59525597226</v>
      </c>
      <c r="AJ52" s="17"/>
      <c r="AK52" s="17">
        <f t="shared" si="43"/>
        <v>214515.45</v>
      </c>
      <c r="AL52" s="17"/>
      <c r="AM52" s="17">
        <f t="shared" si="44"/>
        <v>216275.7</v>
      </c>
      <c r="AN52" s="17"/>
      <c r="AO52" s="17">
        <f t="shared" si="45"/>
        <v>1760.25</v>
      </c>
      <c r="AP52" s="17"/>
      <c r="AQ52" s="17">
        <f t="shared" si="46"/>
        <v>509.89525597224747</v>
      </c>
      <c r="AR52" s="17"/>
      <c r="AS52" s="17">
        <f t="shared" si="47"/>
        <v>2270.1452559722456</v>
      </c>
      <c r="AT52" s="17"/>
      <c r="AU52" s="17">
        <f t="shared" si="48"/>
        <v>66.910663463815581</v>
      </c>
      <c r="AW52" s="1">
        <f t="shared" si="58"/>
        <v>0.8469771919039506</v>
      </c>
    </row>
    <row r="53" spans="1:49">
      <c r="A53" s="6">
        <f t="shared" si="59"/>
        <v>2021</v>
      </c>
      <c r="C53" s="17">
        <f>'Exhibit B,2'!U53</f>
        <v>62533.30878149021</v>
      </c>
      <c r="D53" s="494"/>
      <c r="E53" s="494">
        <f>'Exhibit B,2'!M53</f>
        <v>8343</v>
      </c>
      <c r="F53" s="494"/>
      <c r="G53" s="494">
        <f>'Exhibit B,2'!O53</f>
        <v>8343</v>
      </c>
      <c r="H53" s="187"/>
      <c r="I53" s="494">
        <f t="shared" si="49"/>
        <v>0</v>
      </c>
      <c r="J53" s="494"/>
      <c r="K53" s="494">
        <f t="shared" si="42"/>
        <v>54190.30878149021</v>
      </c>
      <c r="L53" s="494"/>
      <c r="M53" s="501">
        <f t="shared" si="50"/>
        <v>54190.30878149021</v>
      </c>
      <c r="N53" s="187"/>
      <c r="O53" s="501">
        <f t="shared" si="51"/>
        <v>1597.2147616279531</v>
      </c>
      <c r="Q53" s="6">
        <f>Q52+1</f>
        <v>2021</v>
      </c>
      <c r="S53" s="494">
        <f t="shared" si="52"/>
        <v>56323.893342415693</v>
      </c>
      <c r="T53" s="494"/>
      <c r="U53" s="20">
        <v>4843.1000000000004</v>
      </c>
      <c r="V53" s="20"/>
      <c r="W53" s="20">
        <v>4843.1000000000004</v>
      </c>
      <c r="X53" s="187"/>
      <c r="Y53" s="494">
        <f t="shared" si="53"/>
        <v>0</v>
      </c>
      <c r="Z53" s="494"/>
      <c r="AA53" s="494">
        <f t="shared" si="54"/>
        <v>51480.793342415694</v>
      </c>
      <c r="AB53" s="494"/>
      <c r="AC53" s="17">
        <f t="shared" si="55"/>
        <v>51480.793342415694</v>
      </c>
      <c r="AD53" s="187"/>
      <c r="AE53" s="17">
        <f t="shared" si="56"/>
        <v>1517.3540235465553</v>
      </c>
      <c r="AF53" s="95"/>
      <c r="AG53" s="6">
        <f>AG52+1</f>
        <v>2021</v>
      </c>
      <c r="AI53" s="17">
        <f t="shared" si="57"/>
        <v>6209.4154390745171</v>
      </c>
      <c r="AJ53" s="17"/>
      <c r="AK53" s="17">
        <f t="shared" si="43"/>
        <v>3499.8999999999996</v>
      </c>
      <c r="AL53" s="17"/>
      <c r="AM53" s="17">
        <f t="shared" si="44"/>
        <v>3499.8999999999996</v>
      </c>
      <c r="AN53" s="17"/>
      <c r="AO53" s="17">
        <f t="shared" si="45"/>
        <v>0</v>
      </c>
      <c r="AP53" s="17"/>
      <c r="AQ53" s="17">
        <f t="shared" si="46"/>
        <v>2709.5154390745156</v>
      </c>
      <c r="AR53" s="17"/>
      <c r="AS53" s="17">
        <f t="shared" si="47"/>
        <v>2709.5154390745156</v>
      </c>
      <c r="AT53" s="17"/>
      <c r="AU53" s="17">
        <f t="shared" si="48"/>
        <v>79.860738081397812</v>
      </c>
      <c r="AW53" s="1">
        <f t="shared" si="58"/>
        <v>9.9297727244404138E-2</v>
      </c>
    </row>
    <row r="54" spans="1:49">
      <c r="A54" s="6">
        <f t="shared" si="59"/>
        <v>2022</v>
      </c>
      <c r="C54" s="17">
        <f>'Exhibit B,2'!U54</f>
        <v>65262.188298020905</v>
      </c>
      <c r="D54" s="494"/>
      <c r="E54" s="494">
        <f>'Exhibit B,2'!M54</f>
        <v>0</v>
      </c>
      <c r="F54" s="494"/>
      <c r="G54" s="494">
        <f>'Exhibit B,2'!O54</f>
        <v>0</v>
      </c>
      <c r="H54" s="187"/>
      <c r="I54" s="494">
        <f t="shared" si="49"/>
        <v>0</v>
      </c>
      <c r="J54" s="494"/>
      <c r="K54" s="494">
        <f t="shared" si="42"/>
        <v>65262.188298020905</v>
      </c>
      <c r="L54" s="494"/>
      <c r="M54" s="501">
        <f t="shared" si="50"/>
        <v>65262.188298020905</v>
      </c>
      <c r="N54" s="187"/>
      <c r="O54" s="501">
        <f t="shared" si="51"/>
        <v>1923.5493000428617</v>
      </c>
      <c r="Q54" s="6">
        <f>Q53+1</f>
        <v>2022</v>
      </c>
      <c r="S54" s="494">
        <f t="shared" si="52"/>
        <v>61999.078883119859</v>
      </c>
      <c r="T54" s="494"/>
      <c r="U54" s="20">
        <v>0</v>
      </c>
      <c r="V54" s="20"/>
      <c r="W54" s="20">
        <v>0</v>
      </c>
      <c r="X54" s="187"/>
      <c r="Y54" s="494">
        <f t="shared" si="53"/>
        <v>0</v>
      </c>
      <c r="Z54" s="494"/>
      <c r="AA54" s="494">
        <f t="shared" si="54"/>
        <v>61999.078883119859</v>
      </c>
      <c r="AB54" s="494"/>
      <c r="AC54" s="17">
        <f t="shared" si="55"/>
        <v>61999.078883119859</v>
      </c>
      <c r="AD54" s="187"/>
      <c r="AE54" s="17">
        <f t="shared" si="56"/>
        <v>1827.3718350407185</v>
      </c>
      <c r="AF54" s="95"/>
      <c r="AG54" s="6">
        <f>AG53+1</f>
        <v>2022</v>
      </c>
      <c r="AI54" s="17">
        <f t="shared" si="57"/>
        <v>3263.109414901046</v>
      </c>
      <c r="AJ54" s="17"/>
      <c r="AK54" s="17">
        <f t="shared" si="43"/>
        <v>0</v>
      </c>
      <c r="AL54" s="17"/>
      <c r="AM54" s="17">
        <f t="shared" si="44"/>
        <v>0</v>
      </c>
      <c r="AN54" s="17"/>
      <c r="AO54" s="17">
        <f t="shared" si="45"/>
        <v>0</v>
      </c>
      <c r="AP54" s="17"/>
      <c r="AQ54" s="17">
        <f t="shared" si="46"/>
        <v>3263.109414901046</v>
      </c>
      <c r="AR54" s="17"/>
      <c r="AS54" s="17">
        <f t="shared" si="47"/>
        <v>3263.109414901046</v>
      </c>
      <c r="AT54" s="17"/>
      <c r="AU54" s="17">
        <f t="shared" si="48"/>
        <v>96.177465002143208</v>
      </c>
      <c r="AW54" s="1">
        <f t="shared" si="58"/>
        <v>5.000000000000001E-2</v>
      </c>
    </row>
    <row r="55" spans="1:49">
      <c r="A55" s="6"/>
      <c r="C55" s="63"/>
      <c r="E55" s="63"/>
      <c r="G55" s="63"/>
      <c r="I55" s="63"/>
      <c r="K55" s="63"/>
      <c r="M55" s="63"/>
      <c r="N55" s="63"/>
      <c r="O55" s="63"/>
      <c r="Q55" s="6"/>
      <c r="S55" s="63"/>
      <c r="U55" s="63"/>
      <c r="W55" s="63"/>
      <c r="Y55" s="63"/>
      <c r="AA55" s="63"/>
      <c r="AC55" s="63"/>
      <c r="AD55" s="63"/>
      <c r="AE55" s="63"/>
      <c r="AG55" s="6"/>
      <c r="AI55" s="63"/>
      <c r="AK55" s="63"/>
      <c r="AM55" s="63"/>
      <c r="AO55" s="63"/>
      <c r="AQ55" s="63"/>
      <c r="AS55" s="63"/>
      <c r="AT55" s="63"/>
      <c r="AU55" s="63"/>
    </row>
    <row r="56" spans="1:49">
      <c r="A56" s="2" t="s">
        <v>0</v>
      </c>
      <c r="C56" s="147">
        <f>SUM(C45:C55)</f>
        <v>654123.22243761725</v>
      </c>
      <c r="D56" s="147"/>
      <c r="E56" s="147">
        <f>SUM(E45:E55)</f>
        <v>470563.99000000005</v>
      </c>
      <c r="F56" s="147"/>
      <c r="G56" s="147">
        <f>SUM(G45:G55)</f>
        <v>512351.79000000004</v>
      </c>
      <c r="H56" s="147"/>
      <c r="I56" s="147">
        <f>SUM(I45:I55)</f>
        <v>41787.800000000003</v>
      </c>
      <c r="J56" s="147"/>
      <c r="K56" s="147">
        <f>SUM(K45:K55)</f>
        <v>141771.43243761727</v>
      </c>
      <c r="L56" s="147"/>
      <c r="M56" s="147">
        <f>SUM(M45:M55)</f>
        <v>183559.23243761729</v>
      </c>
      <c r="N56" s="147"/>
      <c r="O56" s="147">
        <f>SUM(O45:O55)</f>
        <v>5410.2573370573164</v>
      </c>
      <c r="Q56" s="2" t="s">
        <v>0</v>
      </c>
      <c r="S56" s="147">
        <f>SUM(S45:S55)</f>
        <v>175329.37081573642</v>
      </c>
      <c r="T56" s="147"/>
      <c r="U56" s="147">
        <f>SUM(U45:U55)</f>
        <v>948.10000000000036</v>
      </c>
      <c r="V56" s="147"/>
      <c r="W56" s="147">
        <f>SUM(W45:W55)</f>
        <v>40646.51</v>
      </c>
      <c r="X56" s="147"/>
      <c r="Y56" s="147">
        <f>SUM(Y45:Y55)</f>
        <v>39698.410000000003</v>
      </c>
      <c r="Z56" s="147"/>
      <c r="AA56" s="147">
        <f>SUM(AA45:AA55)</f>
        <v>134682.86081573641</v>
      </c>
      <c r="AB56" s="147"/>
      <c r="AC56" s="147">
        <f>SUM(AC45:AC55)</f>
        <v>174381.27081573644</v>
      </c>
      <c r="AD56" s="147"/>
      <c r="AE56" s="147">
        <f>SUM(AE45:AE55)</f>
        <v>5139.7444702044504</v>
      </c>
      <c r="AG56" s="2" t="s">
        <v>0</v>
      </c>
      <c r="AI56" s="147">
        <f>SUM(AI45:AI55)</f>
        <v>478793.85162188089</v>
      </c>
      <c r="AJ56" s="147"/>
      <c r="AK56" s="147">
        <f>SUM(AK45:AK55)</f>
        <v>469615.89000000007</v>
      </c>
      <c r="AL56" s="147"/>
      <c r="AM56" s="147">
        <f>SUM(AM45:AM55)</f>
        <v>471705.28</v>
      </c>
      <c r="AN56" s="147"/>
      <c r="AO56" s="147">
        <f>SUM(AO45:AO55)</f>
        <v>2089.3899999999994</v>
      </c>
      <c r="AP56" s="147"/>
      <c r="AQ56" s="147">
        <f>SUM(AQ45:AQ55)</f>
        <v>7088.571621880872</v>
      </c>
      <c r="AR56" s="147"/>
      <c r="AS56" s="147">
        <f>SUM(AS45:AS55)</f>
        <v>9177.9616218808696</v>
      </c>
      <c r="AT56" s="147"/>
      <c r="AU56" s="147">
        <f>SUM(AU45:AU55)</f>
        <v>270.51286685286607</v>
      </c>
    </row>
    <row r="57" spans="1:49">
      <c r="A57" s="2"/>
      <c r="C57" s="26"/>
      <c r="E57" s="26"/>
      <c r="G57" s="26"/>
      <c r="I57" s="26"/>
      <c r="K57" s="26"/>
      <c r="Q57" s="2"/>
      <c r="S57" s="26"/>
      <c r="U57" s="26"/>
      <c r="W57" s="26"/>
      <c r="Y57" s="26"/>
      <c r="AA57" s="26"/>
    </row>
    <row r="58" spans="1:49">
      <c r="A58" s="3" t="s">
        <v>1653</v>
      </c>
      <c r="Q58" s="3" t="s">
        <v>1651</v>
      </c>
      <c r="S58" s="20"/>
      <c r="U58" s="89">
        <v>2375</v>
      </c>
      <c r="W58" s="89">
        <v>2375</v>
      </c>
      <c r="Y58" s="494">
        <f t="shared" ref="Y58:Y68" si="62">W58-U58</f>
        <v>0</v>
      </c>
      <c r="AG58" s="3" t="s">
        <v>1654</v>
      </c>
    </row>
    <row r="59" spans="1:49">
      <c r="A59" s="6">
        <f>A45</f>
        <v>2013</v>
      </c>
      <c r="C59" s="147">
        <f>C17+C31+C45</f>
        <v>8861.26</v>
      </c>
      <c r="D59" s="147"/>
      <c r="E59" s="147">
        <f t="shared" ref="E59:O59" si="63">E17+E31+E45</f>
        <v>8861.26</v>
      </c>
      <c r="F59" s="147"/>
      <c r="G59" s="147">
        <f t="shared" si="63"/>
        <v>8861.26</v>
      </c>
      <c r="H59" s="147"/>
      <c r="I59" s="147">
        <f t="shared" si="63"/>
        <v>0</v>
      </c>
      <c r="J59" s="147"/>
      <c r="K59" s="147">
        <f t="shared" si="63"/>
        <v>0</v>
      </c>
      <c r="L59" s="147"/>
      <c r="M59" s="147">
        <f t="shared" si="63"/>
        <v>0</v>
      </c>
      <c r="N59" s="147">
        <f t="shared" si="63"/>
        <v>0</v>
      </c>
      <c r="O59" s="147">
        <f t="shared" si="63"/>
        <v>0</v>
      </c>
      <c r="Q59" s="6">
        <f>Q45</f>
        <v>2013</v>
      </c>
      <c r="S59" s="147">
        <f>S17+S45</f>
        <v>8418.1970000000001</v>
      </c>
      <c r="T59" s="147"/>
      <c r="U59" s="147">
        <v>8418.1970000000001</v>
      </c>
      <c r="V59" s="147"/>
      <c r="W59" s="147">
        <v>8418.1970000000001</v>
      </c>
      <c r="X59" s="147"/>
      <c r="Y59" s="147">
        <f>W73-U73</f>
        <v>0</v>
      </c>
      <c r="Z59" s="147"/>
      <c r="AA59" s="147">
        <f>AA17+AA45</f>
        <v>0</v>
      </c>
      <c r="AB59" s="147"/>
      <c r="AC59" s="147">
        <f>AC17+AC45</f>
        <v>0</v>
      </c>
      <c r="AD59" s="147"/>
      <c r="AE59" s="147">
        <f>AE17+AE45</f>
        <v>0</v>
      </c>
      <c r="AG59" s="6">
        <f>AG45</f>
        <v>2013</v>
      </c>
      <c r="AI59" s="147">
        <f>AI17+AI31+AI45</f>
        <v>443.0630000000001</v>
      </c>
      <c r="AJ59" s="147"/>
      <c r="AK59" s="147">
        <f t="shared" ref="AK59" si="64">AK17+AK31+AK45</f>
        <v>443.0630000000001</v>
      </c>
      <c r="AL59" s="147"/>
      <c r="AM59" s="147">
        <f t="shared" ref="AM59" si="65">AM17+AM31+AM45</f>
        <v>443.0630000000001</v>
      </c>
      <c r="AN59" s="147"/>
      <c r="AO59" s="147">
        <f t="shared" ref="AO59" si="66">AO17+AO31+AO45</f>
        <v>0</v>
      </c>
      <c r="AP59" s="147"/>
      <c r="AQ59" s="147">
        <f t="shared" ref="AQ59" si="67">AQ17+AQ31+AQ45</f>
        <v>0</v>
      </c>
      <c r="AR59" s="147"/>
      <c r="AS59" s="147">
        <f t="shared" ref="AS59" si="68">AS17+AS31+AS45</f>
        <v>0</v>
      </c>
      <c r="AT59" s="147"/>
      <c r="AU59" s="147">
        <f t="shared" ref="AU59" si="69">AU17+AU31+AU45</f>
        <v>0</v>
      </c>
      <c r="AW59" s="1">
        <f>AI59/C59</f>
        <v>5.000000000000001E-2</v>
      </c>
    </row>
    <row r="60" spans="1:49">
      <c r="A60" s="6">
        <f>A59+1</f>
        <v>2014</v>
      </c>
      <c r="C60" s="17">
        <f t="shared" ref="C60:O68" si="70">C18+C32+C46</f>
        <v>4080771.4028141932</v>
      </c>
      <c r="D60" s="494"/>
      <c r="E60" s="17">
        <f t="shared" si="70"/>
        <v>4078500.86</v>
      </c>
      <c r="F60" s="17">
        <f t="shared" si="70"/>
        <v>0</v>
      </c>
      <c r="G60" s="17">
        <f t="shared" si="70"/>
        <v>4078500.86</v>
      </c>
      <c r="H60" s="17">
        <f t="shared" si="70"/>
        <v>0</v>
      </c>
      <c r="I60" s="17">
        <f t="shared" si="70"/>
        <v>0</v>
      </c>
      <c r="J60" s="17">
        <f t="shared" si="70"/>
        <v>0</v>
      </c>
      <c r="K60" s="17">
        <f t="shared" si="70"/>
        <v>2270.5428141932935</v>
      </c>
      <c r="L60" s="17">
        <f t="shared" si="70"/>
        <v>0</v>
      </c>
      <c r="M60" s="17">
        <f t="shared" si="70"/>
        <v>2270.5428141932935</v>
      </c>
      <c r="N60" s="17">
        <f t="shared" si="70"/>
        <v>0</v>
      </c>
      <c r="O60" s="17">
        <f t="shared" si="70"/>
        <v>66.922381165255914</v>
      </c>
      <c r="Q60" s="6">
        <f>Q59+1</f>
        <v>2014</v>
      </c>
      <c r="S60" s="17">
        <f t="shared" ref="S60:S68" si="71">S18+S46</f>
        <v>3802613.0536734839</v>
      </c>
      <c r="T60" s="494"/>
      <c r="U60" s="89">
        <v>3800456.0380000002</v>
      </c>
      <c r="V60" s="89">
        <f t="shared" ref="V60:V68" si="72">V18+V32+V46</f>
        <v>0</v>
      </c>
      <c r="W60" s="89">
        <v>3800456.0380000002</v>
      </c>
      <c r="X60" s="17">
        <f t="shared" ref="X60:AD60" si="73">X18+X32+X46</f>
        <v>0</v>
      </c>
      <c r="Y60" s="494">
        <f t="shared" si="62"/>
        <v>0</v>
      </c>
      <c r="Z60" s="17">
        <f t="shared" si="73"/>
        <v>0</v>
      </c>
      <c r="AA60" s="17">
        <f t="shared" ref="AA60:AC60" si="74">AA18+AA46</f>
        <v>2157.0156734836287</v>
      </c>
      <c r="AB60" s="17">
        <f t="shared" si="73"/>
        <v>0</v>
      </c>
      <c r="AC60" s="17">
        <f t="shared" si="74"/>
        <v>2157.0156734837219</v>
      </c>
      <c r="AD60" s="17">
        <f t="shared" si="73"/>
        <v>0</v>
      </c>
      <c r="AE60" s="17">
        <f t="shared" ref="AE60" si="75">AE18+AE46</f>
        <v>63.576262106993113</v>
      </c>
      <c r="AG60" s="6">
        <f>AG59+1</f>
        <v>2014</v>
      </c>
      <c r="AI60" s="17">
        <f t="shared" ref="AI60" si="76">AI18+AI32+AI46</f>
        <v>278158.34914070944</v>
      </c>
      <c r="AJ60" s="494"/>
      <c r="AK60" s="17">
        <f t="shared" ref="AK60:AU60" si="77">AK18+AK32+AK46</f>
        <v>278044.82199999987</v>
      </c>
      <c r="AL60" s="17">
        <f t="shared" si="77"/>
        <v>0</v>
      </c>
      <c r="AM60" s="17">
        <f t="shared" si="77"/>
        <v>278044.82199999987</v>
      </c>
      <c r="AN60" s="17">
        <f t="shared" si="77"/>
        <v>0</v>
      </c>
      <c r="AO60" s="17">
        <f t="shared" si="77"/>
        <v>0</v>
      </c>
      <c r="AP60" s="17">
        <f t="shared" si="77"/>
        <v>0</v>
      </c>
      <c r="AQ60" s="17">
        <f t="shared" si="77"/>
        <v>113.52714070966476</v>
      </c>
      <c r="AR60" s="17">
        <f t="shared" si="77"/>
        <v>0</v>
      </c>
      <c r="AS60" s="17">
        <f t="shared" si="77"/>
        <v>113.52714070957154</v>
      </c>
      <c r="AT60" s="17">
        <f t="shared" si="77"/>
        <v>0</v>
      </c>
      <c r="AU60" s="17">
        <f t="shared" si="77"/>
        <v>3.3461190582628006</v>
      </c>
      <c r="AW60" s="1">
        <f t="shared" ref="AW60:AW68" si="78">AI60/C60</f>
        <v>6.8163178400261551E-2</v>
      </c>
    </row>
    <row r="61" spans="1:49">
      <c r="A61" s="6">
        <f t="shared" ref="A61:A68" si="79">A60+1</f>
        <v>2015</v>
      </c>
      <c r="C61" s="17">
        <f t="shared" si="70"/>
        <v>2723474.7589555625</v>
      </c>
      <c r="D61" s="494"/>
      <c r="E61" s="17">
        <f t="shared" si="70"/>
        <v>2710527.3699999996</v>
      </c>
      <c r="F61" s="17">
        <f t="shared" si="70"/>
        <v>0</v>
      </c>
      <c r="G61" s="17">
        <f t="shared" si="70"/>
        <v>2710527.3699999996</v>
      </c>
      <c r="H61" s="17">
        <f t="shared" si="70"/>
        <v>0</v>
      </c>
      <c r="I61" s="17">
        <f t="shared" si="70"/>
        <v>0</v>
      </c>
      <c r="J61" s="17">
        <f t="shared" si="70"/>
        <v>0</v>
      </c>
      <c r="K61" s="17">
        <f t="shared" si="70"/>
        <v>12947.388955562659</v>
      </c>
      <c r="L61" s="17">
        <f t="shared" si="70"/>
        <v>0</v>
      </c>
      <c r="M61" s="17">
        <f t="shared" si="70"/>
        <v>12947.388955562659</v>
      </c>
      <c r="N61" s="17">
        <f t="shared" si="70"/>
        <v>0</v>
      </c>
      <c r="O61" s="17">
        <f t="shared" si="70"/>
        <v>381.61363589474496</v>
      </c>
      <c r="Q61" s="6">
        <f t="shared" ref="Q61:Q68" si="80">Q60+1</f>
        <v>2015</v>
      </c>
      <c r="S61" s="17">
        <f t="shared" si="71"/>
        <v>2467321.1415077848</v>
      </c>
      <c r="T61" s="494"/>
      <c r="U61" s="89">
        <v>2455021.122</v>
      </c>
      <c r="V61" s="89">
        <f t="shared" si="72"/>
        <v>0</v>
      </c>
      <c r="W61" s="89">
        <v>2455021.122</v>
      </c>
      <c r="X61" s="17">
        <f t="shared" ref="X61:AD61" si="81">X19+X33+X47</f>
        <v>0</v>
      </c>
      <c r="Y61" s="494">
        <f t="shared" si="62"/>
        <v>0</v>
      </c>
      <c r="Z61" s="17">
        <f t="shared" si="81"/>
        <v>0</v>
      </c>
      <c r="AA61" s="17">
        <f t="shared" ref="AA61:AC61" si="82">AA19+AA47</f>
        <v>12300.019507784526</v>
      </c>
      <c r="AB61" s="17">
        <f t="shared" si="81"/>
        <v>0</v>
      </c>
      <c r="AC61" s="17">
        <f t="shared" si="82"/>
        <v>12300.019507784642</v>
      </c>
      <c r="AD61" s="17">
        <f t="shared" si="81"/>
        <v>0</v>
      </c>
      <c r="AE61" s="17">
        <f t="shared" ref="AE61" si="83">AE19+AE47</f>
        <v>362.53295410000766</v>
      </c>
      <c r="AG61" s="6">
        <f t="shared" ref="AG61:AG68" si="84">AG60+1</f>
        <v>2015</v>
      </c>
      <c r="AI61" s="17">
        <f t="shared" ref="AI61" si="85">AI19+AI33+AI47</f>
        <v>256153.61744777783</v>
      </c>
      <c r="AJ61" s="494"/>
      <c r="AK61" s="17">
        <f t="shared" ref="AK61:AU61" si="86">AK19+AK33+AK47</f>
        <v>255506.24799999979</v>
      </c>
      <c r="AL61" s="17">
        <f t="shared" si="86"/>
        <v>0</v>
      </c>
      <c r="AM61" s="17">
        <f t="shared" si="86"/>
        <v>255506.24799999979</v>
      </c>
      <c r="AN61" s="17">
        <f t="shared" si="86"/>
        <v>0</v>
      </c>
      <c r="AO61" s="17">
        <f t="shared" si="86"/>
        <v>0</v>
      </c>
      <c r="AP61" s="17">
        <f t="shared" si="86"/>
        <v>0</v>
      </c>
      <c r="AQ61" s="17">
        <f t="shared" si="86"/>
        <v>647.36944777813301</v>
      </c>
      <c r="AR61" s="17">
        <f t="shared" si="86"/>
        <v>0</v>
      </c>
      <c r="AS61" s="17">
        <f t="shared" si="86"/>
        <v>647.36944777801659</v>
      </c>
      <c r="AT61" s="17">
        <f t="shared" si="86"/>
        <v>0</v>
      </c>
      <c r="AU61" s="17">
        <f t="shared" si="86"/>
        <v>19.080681794737288</v>
      </c>
      <c r="AW61" s="1">
        <f t="shared" si="78"/>
        <v>9.4053971532312389E-2</v>
      </c>
    </row>
    <row r="62" spans="1:49">
      <c r="A62" s="6">
        <f t="shared" si="79"/>
        <v>2016</v>
      </c>
      <c r="C62" s="17">
        <f t="shared" si="70"/>
        <v>3068410.5511858538</v>
      </c>
      <c r="D62" s="494"/>
      <c r="E62" s="17">
        <f t="shared" si="70"/>
        <v>3014251.8099999996</v>
      </c>
      <c r="F62" s="17">
        <f t="shared" si="70"/>
        <v>0</v>
      </c>
      <c r="G62" s="17">
        <f t="shared" si="70"/>
        <v>3014251.8099999996</v>
      </c>
      <c r="H62" s="17">
        <f t="shared" si="70"/>
        <v>0</v>
      </c>
      <c r="I62" s="17">
        <f t="shared" si="70"/>
        <v>0</v>
      </c>
      <c r="J62" s="17">
        <f t="shared" si="70"/>
        <v>0</v>
      </c>
      <c r="K62" s="17">
        <f t="shared" si="70"/>
        <v>54158.741185853884</v>
      </c>
      <c r="L62" s="17">
        <f t="shared" si="70"/>
        <v>0</v>
      </c>
      <c r="M62" s="17">
        <f t="shared" si="70"/>
        <v>54158.741185853884</v>
      </c>
      <c r="N62" s="17">
        <f t="shared" si="70"/>
        <v>0</v>
      </c>
      <c r="O62" s="17">
        <f t="shared" si="70"/>
        <v>1596.2843327215087</v>
      </c>
      <c r="Q62" s="6">
        <f t="shared" si="80"/>
        <v>2016</v>
      </c>
      <c r="S62" s="17">
        <f t="shared" si="71"/>
        <v>2791129.8596265609</v>
      </c>
      <c r="T62" s="494"/>
      <c r="U62" s="89">
        <v>2739679.0554999998</v>
      </c>
      <c r="V62" s="89">
        <f t="shared" si="72"/>
        <v>0</v>
      </c>
      <c r="W62" s="89">
        <v>2739679.0554999998</v>
      </c>
      <c r="X62" s="17">
        <f t="shared" ref="X62:AD62" si="87">X20+X34+X48</f>
        <v>0</v>
      </c>
      <c r="Y62" s="494">
        <f t="shared" si="62"/>
        <v>0</v>
      </c>
      <c r="Z62" s="17">
        <f t="shared" si="87"/>
        <v>0</v>
      </c>
      <c r="AA62" s="17">
        <f t="shared" ref="AA62:AC62" si="88">AA20+AA48</f>
        <v>51450.80412656119</v>
      </c>
      <c r="AB62" s="17">
        <f t="shared" si="87"/>
        <v>0</v>
      </c>
      <c r="AC62" s="17">
        <f t="shared" si="88"/>
        <v>51450.804126561008</v>
      </c>
      <c r="AD62" s="17">
        <f t="shared" si="87"/>
        <v>0</v>
      </c>
      <c r="AE62" s="17">
        <f t="shared" ref="AE62" si="89">AE20+AE48</f>
        <v>1516.4701160854331</v>
      </c>
      <c r="AG62" s="6">
        <f t="shared" si="84"/>
        <v>2016</v>
      </c>
      <c r="AI62" s="17">
        <f t="shared" ref="AI62" si="90">AI20+AI34+AI48</f>
        <v>277280.69155929307</v>
      </c>
      <c r="AJ62" s="494"/>
      <c r="AK62" s="17">
        <f t="shared" ref="AK62:AU62" si="91">AK20+AK34+AK48</f>
        <v>274572.75450000016</v>
      </c>
      <c r="AL62" s="17">
        <f t="shared" si="91"/>
        <v>0</v>
      </c>
      <c r="AM62" s="17">
        <f t="shared" si="91"/>
        <v>274572.75450000016</v>
      </c>
      <c r="AN62" s="17">
        <f t="shared" si="91"/>
        <v>0</v>
      </c>
      <c r="AO62" s="17">
        <f t="shared" si="91"/>
        <v>0</v>
      </c>
      <c r="AP62" s="17">
        <f t="shared" si="91"/>
        <v>0</v>
      </c>
      <c r="AQ62" s="17">
        <f t="shared" si="91"/>
        <v>2707.9370592926985</v>
      </c>
      <c r="AR62" s="17">
        <f t="shared" si="91"/>
        <v>0</v>
      </c>
      <c r="AS62" s="17">
        <f t="shared" si="91"/>
        <v>2707.9370592928803</v>
      </c>
      <c r="AT62" s="17">
        <f t="shared" si="91"/>
        <v>0</v>
      </c>
      <c r="AU62" s="17">
        <f t="shared" si="91"/>
        <v>79.814216636075599</v>
      </c>
      <c r="AW62" s="1">
        <f t="shared" si="78"/>
        <v>9.0366229333989204E-2</v>
      </c>
    </row>
    <row r="63" spans="1:49">
      <c r="A63" s="6">
        <f t="shared" si="79"/>
        <v>2017</v>
      </c>
      <c r="C63" s="17">
        <f t="shared" si="70"/>
        <v>2129410.8872289904</v>
      </c>
      <c r="D63" s="494"/>
      <c r="E63" s="17">
        <f t="shared" si="70"/>
        <v>1785482.28</v>
      </c>
      <c r="F63" s="17">
        <f t="shared" si="70"/>
        <v>0</v>
      </c>
      <c r="G63" s="17">
        <f t="shared" si="70"/>
        <v>2037482.28</v>
      </c>
      <c r="H63" s="17">
        <f t="shared" si="70"/>
        <v>0</v>
      </c>
      <c r="I63" s="17">
        <f t="shared" si="70"/>
        <v>252000</v>
      </c>
      <c r="J63" s="17">
        <f t="shared" si="70"/>
        <v>0</v>
      </c>
      <c r="K63" s="17">
        <f t="shared" si="70"/>
        <v>91928.607228990353</v>
      </c>
      <c r="L63" s="17">
        <f t="shared" si="70"/>
        <v>0</v>
      </c>
      <c r="M63" s="17">
        <f t="shared" si="70"/>
        <v>343928.60722899035</v>
      </c>
      <c r="N63" s="17">
        <f t="shared" si="70"/>
        <v>0</v>
      </c>
      <c r="O63" s="17">
        <f t="shared" si="70"/>
        <v>10137.012701428259</v>
      </c>
      <c r="Q63" s="6">
        <f t="shared" si="80"/>
        <v>2017</v>
      </c>
      <c r="S63" s="17">
        <f t="shared" si="71"/>
        <v>1933758.3233675407</v>
      </c>
      <c r="T63" s="494"/>
      <c r="U63" s="89">
        <v>1607026.1464999998</v>
      </c>
      <c r="V63" s="89">
        <f t="shared" si="72"/>
        <v>0</v>
      </c>
      <c r="W63" s="89">
        <v>1846426.1464999998</v>
      </c>
      <c r="X63" s="17">
        <f t="shared" ref="X63:AD63" si="92">X21+X35+X49</f>
        <v>0</v>
      </c>
      <c r="Y63" s="494">
        <f t="shared" si="62"/>
        <v>239400</v>
      </c>
      <c r="Z63" s="17">
        <f t="shared" si="92"/>
        <v>0</v>
      </c>
      <c r="AA63" s="17">
        <f t="shared" ref="AA63:AC63" si="93">AA21+AA49</f>
        <v>87332.176867540838</v>
      </c>
      <c r="AB63" s="17">
        <f t="shared" si="92"/>
        <v>0</v>
      </c>
      <c r="AC63" s="17">
        <f t="shared" si="93"/>
        <v>326732.17686754087</v>
      </c>
      <c r="AD63" s="17">
        <f t="shared" si="92"/>
        <v>0</v>
      </c>
      <c r="AE63" s="17">
        <f t="shared" ref="AE63" si="94">AE21+AE49</f>
        <v>9630.1620663568465</v>
      </c>
      <c r="AG63" s="6">
        <f t="shared" si="84"/>
        <v>2017</v>
      </c>
      <c r="AI63" s="17">
        <f t="shared" ref="AI63" si="95">AI21+AI35+AI49</f>
        <v>195652.56386144963</v>
      </c>
      <c r="AJ63" s="494"/>
      <c r="AK63" s="17">
        <f t="shared" ref="AK63:AU63" si="96">AK21+AK35+AK49</f>
        <v>178456.13350000017</v>
      </c>
      <c r="AL63" s="17">
        <f t="shared" si="96"/>
        <v>0</v>
      </c>
      <c r="AM63" s="17">
        <f t="shared" si="96"/>
        <v>191056.13350000017</v>
      </c>
      <c r="AN63" s="17">
        <f t="shared" si="96"/>
        <v>0</v>
      </c>
      <c r="AO63" s="17">
        <f t="shared" si="96"/>
        <v>12600</v>
      </c>
      <c r="AP63" s="17">
        <f t="shared" si="96"/>
        <v>0</v>
      </c>
      <c r="AQ63" s="17">
        <f t="shared" si="96"/>
        <v>4596.4303614495147</v>
      </c>
      <c r="AR63" s="17">
        <f t="shared" si="96"/>
        <v>0</v>
      </c>
      <c r="AS63" s="17">
        <f t="shared" si="96"/>
        <v>17196.430361449471</v>
      </c>
      <c r="AT63" s="17">
        <f t="shared" si="96"/>
        <v>0</v>
      </c>
      <c r="AU63" s="17">
        <f t="shared" si="96"/>
        <v>506.85063507141308</v>
      </c>
      <c r="AW63" s="1">
        <f t="shared" si="78"/>
        <v>9.1881076139350898E-2</v>
      </c>
    </row>
    <row r="64" spans="1:49">
      <c r="A64" s="6">
        <f t="shared" si="79"/>
        <v>2018</v>
      </c>
      <c r="C64" s="17">
        <f t="shared" si="70"/>
        <v>639833.15461529314</v>
      </c>
      <c r="D64" s="494"/>
      <c r="E64" s="17">
        <f t="shared" si="70"/>
        <v>91450.640000000014</v>
      </c>
      <c r="F64" s="17">
        <f t="shared" si="70"/>
        <v>0</v>
      </c>
      <c r="G64" s="17">
        <f t="shared" si="70"/>
        <v>91450.640000000014</v>
      </c>
      <c r="H64" s="17">
        <f t="shared" si="70"/>
        <v>0</v>
      </c>
      <c r="I64" s="17">
        <f t="shared" si="70"/>
        <v>0</v>
      </c>
      <c r="J64" s="17">
        <f t="shared" si="70"/>
        <v>0</v>
      </c>
      <c r="K64" s="17">
        <f t="shared" si="70"/>
        <v>548382.51461529324</v>
      </c>
      <c r="L64" s="17">
        <f t="shared" si="70"/>
        <v>0</v>
      </c>
      <c r="M64" s="17">
        <f t="shared" si="70"/>
        <v>548382.51461529324</v>
      </c>
      <c r="N64" s="17">
        <f t="shared" si="70"/>
        <v>0</v>
      </c>
      <c r="O64" s="17">
        <f t="shared" si="70"/>
        <v>16163.123389719069</v>
      </c>
      <c r="Q64" s="6">
        <f t="shared" si="80"/>
        <v>2018</v>
      </c>
      <c r="S64" s="17">
        <f t="shared" si="71"/>
        <v>600050.60388452851</v>
      </c>
      <c r="T64" s="494"/>
      <c r="U64" s="89">
        <v>79087.215000000011</v>
      </c>
      <c r="V64" s="89">
        <f t="shared" si="72"/>
        <v>0</v>
      </c>
      <c r="W64" s="89">
        <v>79087.215000000011</v>
      </c>
      <c r="X64" s="17">
        <f t="shared" ref="X64:AD64" si="97">X22+X36+X50</f>
        <v>0</v>
      </c>
      <c r="Y64" s="494">
        <f t="shared" si="62"/>
        <v>0</v>
      </c>
      <c r="Z64" s="17">
        <f t="shared" si="97"/>
        <v>0</v>
      </c>
      <c r="AA64" s="17">
        <f t="shared" ref="AA64:AC64" si="98">AA22+AA50</f>
        <v>520963.38888452854</v>
      </c>
      <c r="AB64" s="17">
        <f t="shared" si="97"/>
        <v>0</v>
      </c>
      <c r="AC64" s="17">
        <f t="shared" si="98"/>
        <v>520963.38888452848</v>
      </c>
      <c r="AD64" s="17">
        <f t="shared" si="97"/>
        <v>0</v>
      </c>
      <c r="AE64" s="17">
        <f t="shared" ref="AE64" si="99">AE22+AE50</f>
        <v>15354.967220233117</v>
      </c>
      <c r="AG64" s="6">
        <f t="shared" si="84"/>
        <v>2018</v>
      </c>
      <c r="AI64" s="17">
        <f t="shared" ref="AI64" si="100">AI22+AI36+AI50</f>
        <v>39782.550730764648</v>
      </c>
      <c r="AJ64" s="494"/>
      <c r="AK64" s="17">
        <f t="shared" ref="AK64:AU64" si="101">AK22+AK36+AK50</f>
        <v>12363.425000000001</v>
      </c>
      <c r="AL64" s="17">
        <f t="shared" si="101"/>
        <v>0</v>
      </c>
      <c r="AM64" s="17">
        <f t="shared" si="101"/>
        <v>12363.425000000001</v>
      </c>
      <c r="AN64" s="17">
        <f t="shared" si="101"/>
        <v>0</v>
      </c>
      <c r="AO64" s="17">
        <f t="shared" si="101"/>
        <v>0</v>
      </c>
      <c r="AP64" s="17">
        <f t="shared" si="101"/>
        <v>0</v>
      </c>
      <c r="AQ64" s="17">
        <f t="shared" si="101"/>
        <v>27419.125730764663</v>
      </c>
      <c r="AR64" s="17">
        <f t="shared" si="101"/>
        <v>0</v>
      </c>
      <c r="AS64" s="17">
        <f t="shared" si="101"/>
        <v>27419.125730764721</v>
      </c>
      <c r="AT64" s="17">
        <f t="shared" si="101"/>
        <v>0</v>
      </c>
      <c r="AU64" s="17">
        <f t="shared" si="101"/>
        <v>808.15616948595368</v>
      </c>
      <c r="AW64" s="1">
        <f t="shared" si="78"/>
        <v>6.2176444661865567E-2</v>
      </c>
    </row>
    <row r="65" spans="1:49">
      <c r="A65" s="6">
        <f t="shared" si="79"/>
        <v>2019</v>
      </c>
      <c r="C65" s="17">
        <f t="shared" si="70"/>
        <v>3964632.7639869782</v>
      </c>
      <c r="D65" s="494"/>
      <c r="E65" s="17">
        <f t="shared" si="70"/>
        <v>1918435.24</v>
      </c>
      <c r="F65" s="17">
        <f t="shared" si="70"/>
        <v>0</v>
      </c>
      <c r="G65" s="17">
        <f t="shared" si="70"/>
        <v>3419917.54</v>
      </c>
      <c r="H65" s="17">
        <f t="shared" si="70"/>
        <v>0</v>
      </c>
      <c r="I65" s="17">
        <f t="shared" si="70"/>
        <v>1501482.3</v>
      </c>
      <c r="J65" s="17">
        <f t="shared" si="70"/>
        <v>0</v>
      </c>
      <c r="K65" s="17">
        <f t="shared" si="70"/>
        <v>544715.22398697818</v>
      </c>
      <c r="L65" s="17">
        <f t="shared" si="70"/>
        <v>0</v>
      </c>
      <c r="M65" s="17">
        <f t="shared" si="70"/>
        <v>2046197.5239869782</v>
      </c>
      <c r="N65" s="17">
        <f t="shared" si="70"/>
        <v>0</v>
      </c>
      <c r="O65" s="17">
        <f t="shared" si="70"/>
        <v>60309.98833567994</v>
      </c>
      <c r="Q65" s="6">
        <f t="shared" si="80"/>
        <v>2019</v>
      </c>
      <c r="S65" s="17">
        <f t="shared" si="71"/>
        <v>3665410.3212876292</v>
      </c>
      <c r="T65" s="494"/>
      <c r="U65" s="89">
        <v>1721522.6735</v>
      </c>
      <c r="V65" s="89">
        <f t="shared" si="72"/>
        <v>0</v>
      </c>
      <c r="W65" s="89">
        <v>3147930.8585000001</v>
      </c>
      <c r="X65" s="17">
        <f t="shared" ref="X65:AD65" si="102">X23+X37+X51</f>
        <v>0</v>
      </c>
      <c r="Y65" s="494">
        <f t="shared" si="62"/>
        <v>1426408.1850000001</v>
      </c>
      <c r="Z65" s="17">
        <f t="shared" si="102"/>
        <v>0</v>
      </c>
      <c r="AA65" s="17">
        <f t="shared" ref="AA65:AC65" si="103">AA23+AA51</f>
        <v>517479.46278762922</v>
      </c>
      <c r="AB65" s="17">
        <f t="shared" si="102"/>
        <v>0</v>
      </c>
      <c r="AC65" s="17">
        <f t="shared" si="103"/>
        <v>1943887.6477876294</v>
      </c>
      <c r="AD65" s="17">
        <f t="shared" si="102"/>
        <v>0</v>
      </c>
      <c r="AE65" s="17">
        <f t="shared" ref="AE65" si="104">AE23+AE51</f>
        <v>57294.488918895942</v>
      </c>
      <c r="AG65" s="6">
        <f t="shared" si="84"/>
        <v>2019</v>
      </c>
      <c r="AI65" s="17">
        <f t="shared" ref="AI65" si="105">AI23+AI37+AI51</f>
        <v>299222.44269934867</v>
      </c>
      <c r="AJ65" s="494"/>
      <c r="AK65" s="17">
        <f t="shared" ref="AK65:AU65" si="106">AK23+AK37+AK51</f>
        <v>196912.56649999984</v>
      </c>
      <c r="AL65" s="17">
        <f t="shared" si="106"/>
        <v>0</v>
      </c>
      <c r="AM65" s="17">
        <f t="shared" si="106"/>
        <v>271986.68149999995</v>
      </c>
      <c r="AN65" s="17">
        <f t="shared" si="106"/>
        <v>0</v>
      </c>
      <c r="AO65" s="17">
        <f t="shared" si="106"/>
        <v>75074.115000000093</v>
      </c>
      <c r="AP65" s="17">
        <f t="shared" si="106"/>
        <v>0</v>
      </c>
      <c r="AQ65" s="17">
        <f t="shared" si="106"/>
        <v>27235.761199348919</v>
      </c>
      <c r="AR65" s="17">
        <f t="shared" si="106"/>
        <v>0</v>
      </c>
      <c r="AS65" s="17">
        <f t="shared" si="106"/>
        <v>102309.87619934884</v>
      </c>
      <c r="AT65" s="17">
        <f t="shared" si="106"/>
        <v>0</v>
      </c>
      <c r="AU65" s="17">
        <f t="shared" si="106"/>
        <v>3015.4994167840005</v>
      </c>
      <c r="AW65" s="1">
        <f t="shared" si="78"/>
        <v>7.5472927888140584E-2</v>
      </c>
    </row>
    <row r="66" spans="1:49">
      <c r="A66" s="6">
        <f t="shared" si="79"/>
        <v>2020</v>
      </c>
      <c r="C66" s="17">
        <f t="shared" si="70"/>
        <v>1968568.5468710763</v>
      </c>
      <c r="D66" s="494"/>
      <c r="E66" s="17">
        <f t="shared" si="70"/>
        <v>1426777.8299999998</v>
      </c>
      <c r="F66" s="17">
        <f t="shared" si="70"/>
        <v>0</v>
      </c>
      <c r="G66" s="17">
        <f t="shared" si="70"/>
        <v>1463982.8299999998</v>
      </c>
      <c r="H66" s="17">
        <f t="shared" si="70"/>
        <v>0</v>
      </c>
      <c r="I66" s="17">
        <f t="shared" si="70"/>
        <v>37205</v>
      </c>
      <c r="J66" s="17">
        <f t="shared" si="70"/>
        <v>0</v>
      </c>
      <c r="K66" s="17">
        <f t="shared" si="70"/>
        <v>504585.7168710765</v>
      </c>
      <c r="L66" s="17">
        <f t="shared" si="70"/>
        <v>0</v>
      </c>
      <c r="M66" s="17">
        <f t="shared" si="70"/>
        <v>541790.7168710765</v>
      </c>
      <c r="N66" s="17">
        <f t="shared" si="70"/>
        <v>0</v>
      </c>
      <c r="O66" s="17">
        <f t="shared" si="70"/>
        <v>15968.835575173065</v>
      </c>
      <c r="Q66" s="6">
        <f t="shared" si="80"/>
        <v>2020</v>
      </c>
      <c r="S66" s="17">
        <f t="shared" si="71"/>
        <v>1664250.2295275228</v>
      </c>
      <c r="T66" s="494"/>
      <c r="U66" s="89">
        <v>1149549.0485</v>
      </c>
      <c r="V66" s="89">
        <f t="shared" si="72"/>
        <v>0</v>
      </c>
      <c r="W66" s="89">
        <v>1184893.7985</v>
      </c>
      <c r="X66" s="17">
        <f t="shared" ref="X66:AD66" si="107">X24+X38+X52</f>
        <v>0</v>
      </c>
      <c r="Y66" s="494">
        <f t="shared" si="62"/>
        <v>35344.75</v>
      </c>
      <c r="Z66" s="17">
        <f t="shared" si="107"/>
        <v>0</v>
      </c>
      <c r="AA66" s="17">
        <f t="shared" ref="AA66:AC66" si="108">AA24+AA52</f>
        <v>479356.43102752266</v>
      </c>
      <c r="AB66" s="17">
        <f t="shared" si="107"/>
        <v>0</v>
      </c>
      <c r="AC66" s="17">
        <f t="shared" si="108"/>
        <v>514701.18102752272</v>
      </c>
      <c r="AD66" s="17">
        <f t="shared" si="107"/>
        <v>0</v>
      </c>
      <c r="AE66" s="17">
        <f t="shared" ref="AE66" si="109">AE24+AE52</f>
        <v>15170.393796414412</v>
      </c>
      <c r="AG66" s="6">
        <f t="shared" si="84"/>
        <v>2020</v>
      </c>
      <c r="AI66" s="17">
        <f t="shared" ref="AI66" si="110">AI24+AI38+AI52</f>
        <v>304318.31734355364</v>
      </c>
      <c r="AJ66" s="494"/>
      <c r="AK66" s="17">
        <f t="shared" ref="AK66:AU66" si="111">AK24+AK38+AK52</f>
        <v>277228.78149999987</v>
      </c>
      <c r="AL66" s="17">
        <f t="shared" si="111"/>
        <v>0</v>
      </c>
      <c r="AM66" s="17">
        <f t="shared" si="111"/>
        <v>279089.03149999987</v>
      </c>
      <c r="AN66" s="17">
        <f t="shared" si="111"/>
        <v>0</v>
      </c>
      <c r="AO66" s="17">
        <f t="shared" si="111"/>
        <v>1860.25</v>
      </c>
      <c r="AP66" s="17">
        <f t="shared" si="111"/>
        <v>0</v>
      </c>
      <c r="AQ66" s="17">
        <f t="shared" si="111"/>
        <v>25229.285843553858</v>
      </c>
      <c r="AR66" s="17">
        <f t="shared" si="111"/>
        <v>0</v>
      </c>
      <c r="AS66" s="17">
        <f t="shared" si="111"/>
        <v>27089.5358435538</v>
      </c>
      <c r="AT66" s="17">
        <f t="shared" si="111"/>
        <v>0</v>
      </c>
      <c r="AU66" s="17">
        <f t="shared" si="111"/>
        <v>798.44177875865353</v>
      </c>
      <c r="AW66" s="1">
        <f t="shared" si="78"/>
        <v>0.15458863133176118</v>
      </c>
    </row>
    <row r="67" spans="1:49">
      <c r="A67" s="6">
        <f t="shared" si="79"/>
        <v>2021</v>
      </c>
      <c r="C67" s="17">
        <f t="shared" si="70"/>
        <v>5775365.8839251436</v>
      </c>
      <c r="D67" s="494"/>
      <c r="E67" s="17">
        <f t="shared" si="70"/>
        <v>1236199.73</v>
      </c>
      <c r="F67" s="17">
        <f t="shared" si="70"/>
        <v>0</v>
      </c>
      <c r="G67" s="17">
        <f t="shared" si="70"/>
        <v>3487415.05</v>
      </c>
      <c r="H67" s="17">
        <f t="shared" si="70"/>
        <v>0</v>
      </c>
      <c r="I67" s="17">
        <f t="shared" si="70"/>
        <v>2251215.3199999998</v>
      </c>
      <c r="J67" s="17">
        <f t="shared" si="70"/>
        <v>0</v>
      </c>
      <c r="K67" s="17">
        <f t="shared" si="70"/>
        <v>2287950.8339251433</v>
      </c>
      <c r="L67" s="17">
        <f t="shared" si="70"/>
        <v>0</v>
      </c>
      <c r="M67" s="17">
        <f t="shared" si="70"/>
        <v>4539166.1539251441</v>
      </c>
      <c r="N67" s="17">
        <f t="shared" si="70"/>
        <v>0</v>
      </c>
      <c r="O67" s="17">
        <f t="shared" si="70"/>
        <v>133788.18740017241</v>
      </c>
      <c r="Q67" s="6">
        <f t="shared" si="80"/>
        <v>2021</v>
      </c>
      <c r="S67" s="17">
        <f t="shared" si="71"/>
        <v>5483514.8397288853</v>
      </c>
      <c r="T67" s="494"/>
      <c r="U67" s="89">
        <v>1171306.9934999999</v>
      </c>
      <c r="V67" s="89">
        <f t="shared" si="72"/>
        <v>0</v>
      </c>
      <c r="W67" s="89">
        <v>3309961.5474999999</v>
      </c>
      <c r="X67" s="17">
        <f t="shared" ref="X67:AD67" si="112">X25+X39+X53</f>
        <v>0</v>
      </c>
      <c r="Y67" s="494">
        <f t="shared" si="62"/>
        <v>2138654.554</v>
      </c>
      <c r="Z67" s="17">
        <f t="shared" si="112"/>
        <v>0</v>
      </c>
      <c r="AA67" s="17">
        <f t="shared" ref="AA67:AC67" si="113">AA25+AA53</f>
        <v>2173553.2922288859</v>
      </c>
      <c r="AB67" s="17">
        <f t="shared" si="112"/>
        <v>0</v>
      </c>
      <c r="AC67" s="17">
        <f t="shared" si="113"/>
        <v>4312207.8462288845</v>
      </c>
      <c r="AD67" s="17">
        <f t="shared" si="112"/>
        <v>0</v>
      </c>
      <c r="AE67" s="17">
        <f t="shared" ref="AE67" si="114">AE25+AE53</f>
        <v>127098.77803016378</v>
      </c>
      <c r="AF67" s="26"/>
      <c r="AG67" s="6">
        <f t="shared" si="84"/>
        <v>2021</v>
      </c>
      <c r="AI67" s="17">
        <f t="shared" ref="AI67" si="115">AI25+AI39+AI53</f>
        <v>291851.04419625795</v>
      </c>
      <c r="AJ67" s="494"/>
      <c r="AK67" s="17">
        <f t="shared" ref="AK67:AU67" si="116">AK25+AK39+AK53</f>
        <v>64892.73650000021</v>
      </c>
      <c r="AL67" s="17">
        <f t="shared" si="116"/>
        <v>0</v>
      </c>
      <c r="AM67" s="17">
        <f t="shared" si="116"/>
        <v>177453.50250000003</v>
      </c>
      <c r="AN67" s="17">
        <f t="shared" si="116"/>
        <v>0</v>
      </c>
      <c r="AO67" s="17">
        <f t="shared" si="116"/>
        <v>112560.76599999983</v>
      </c>
      <c r="AP67" s="17">
        <f t="shared" si="116"/>
        <v>0</v>
      </c>
      <c r="AQ67" s="17">
        <f t="shared" si="116"/>
        <v>114397.54169625745</v>
      </c>
      <c r="AR67" s="17">
        <f t="shared" si="116"/>
        <v>0</v>
      </c>
      <c r="AS67" s="17">
        <f t="shared" si="116"/>
        <v>226958.30769625868</v>
      </c>
      <c r="AT67" s="17">
        <f t="shared" si="116"/>
        <v>0</v>
      </c>
      <c r="AU67" s="17">
        <f t="shared" si="116"/>
        <v>6689.4093700086287</v>
      </c>
      <c r="AW67" s="1">
        <f t="shared" si="78"/>
        <v>5.0533775705636441E-2</v>
      </c>
    </row>
    <row r="68" spans="1:49">
      <c r="A68" s="6">
        <f t="shared" si="79"/>
        <v>2022</v>
      </c>
      <c r="C68" s="17">
        <f t="shared" si="70"/>
        <v>2440970.4582306887</v>
      </c>
      <c r="D68" s="494"/>
      <c r="E68" s="17">
        <f t="shared" si="70"/>
        <v>36605.5</v>
      </c>
      <c r="F68" s="17">
        <f t="shared" si="70"/>
        <v>0</v>
      </c>
      <c r="G68" s="17">
        <f t="shared" si="70"/>
        <v>263352.5</v>
      </c>
      <c r="H68" s="17">
        <f t="shared" si="70"/>
        <v>0</v>
      </c>
      <c r="I68" s="17">
        <f t="shared" si="70"/>
        <v>226747</v>
      </c>
      <c r="J68" s="17">
        <f t="shared" si="70"/>
        <v>0</v>
      </c>
      <c r="K68" s="17">
        <f t="shared" si="70"/>
        <v>2177617.9582306887</v>
      </c>
      <c r="L68" s="17">
        <f t="shared" si="70"/>
        <v>0</v>
      </c>
      <c r="M68" s="17">
        <f t="shared" si="70"/>
        <v>2404364.9582306887</v>
      </c>
      <c r="N68" s="17">
        <f t="shared" si="70"/>
        <v>0</v>
      </c>
      <c r="O68" s="17">
        <f t="shared" si="70"/>
        <v>70866.678747155616</v>
      </c>
      <c r="Q68" s="6">
        <f t="shared" si="80"/>
        <v>2022</v>
      </c>
      <c r="S68" s="17">
        <f t="shared" si="71"/>
        <v>2318921.9353191541</v>
      </c>
      <c r="T68" s="494"/>
      <c r="U68" s="89">
        <v>34775.224999999999</v>
      </c>
      <c r="V68" s="89">
        <f t="shared" si="72"/>
        <v>0</v>
      </c>
      <c r="W68" s="89">
        <v>250184.875</v>
      </c>
      <c r="X68" s="17">
        <f t="shared" ref="X68:AD68" si="117">X26+X40+X54</f>
        <v>0</v>
      </c>
      <c r="Y68" s="494">
        <f t="shared" si="62"/>
        <v>215409.65</v>
      </c>
      <c r="Z68" s="17">
        <f t="shared" si="117"/>
        <v>0</v>
      </c>
      <c r="AA68" s="17">
        <f t="shared" ref="AA68:AC68" si="118">AA26+AA54</f>
        <v>2068737.0603191541</v>
      </c>
      <c r="AB68" s="17">
        <f t="shared" si="117"/>
        <v>0</v>
      </c>
      <c r="AC68" s="17">
        <f t="shared" si="118"/>
        <v>2284146.710319154</v>
      </c>
      <c r="AD68" s="17">
        <f t="shared" si="117"/>
        <v>0</v>
      </c>
      <c r="AE68" s="17">
        <f t="shared" ref="AE68" si="119">AE26+AE54</f>
        <v>67323.344809797825</v>
      </c>
      <c r="AG68" s="6">
        <f t="shared" si="84"/>
        <v>2022</v>
      </c>
      <c r="AI68" s="17">
        <f t="shared" ref="AI68" si="120">AI26+AI40+AI54</f>
        <v>122048.52291153457</v>
      </c>
      <c r="AJ68" s="494"/>
      <c r="AK68" s="17">
        <f t="shared" ref="AK68:AU68" si="121">AK26+AK40+AK54</f>
        <v>1830.2750000000015</v>
      </c>
      <c r="AL68" s="17">
        <f t="shared" si="121"/>
        <v>0</v>
      </c>
      <c r="AM68" s="17">
        <f t="shared" si="121"/>
        <v>13167.625</v>
      </c>
      <c r="AN68" s="17">
        <f t="shared" si="121"/>
        <v>0</v>
      </c>
      <c r="AO68" s="17">
        <f t="shared" si="121"/>
        <v>11337.350000000006</v>
      </c>
      <c r="AP68" s="17">
        <f t="shared" si="121"/>
        <v>0</v>
      </c>
      <c r="AQ68" s="17">
        <f t="shared" si="121"/>
        <v>108880.89791153457</v>
      </c>
      <c r="AR68" s="17">
        <f t="shared" si="121"/>
        <v>0</v>
      </c>
      <c r="AS68" s="17">
        <f t="shared" si="121"/>
        <v>120218.24791153467</v>
      </c>
      <c r="AT68" s="17">
        <f t="shared" si="121"/>
        <v>0</v>
      </c>
      <c r="AU68" s="17">
        <f t="shared" si="121"/>
        <v>3543.3339373577874</v>
      </c>
      <c r="AW68" s="1">
        <f t="shared" si="78"/>
        <v>5.0000000000000058E-2</v>
      </c>
    </row>
    <row r="69" spans="1:49">
      <c r="A69" s="6"/>
      <c r="C69" s="63"/>
      <c r="E69" s="63"/>
      <c r="G69" s="63"/>
      <c r="I69" s="63"/>
      <c r="K69" s="63"/>
      <c r="M69" s="63"/>
      <c r="N69" s="63"/>
      <c r="O69" s="63"/>
      <c r="Q69" s="6"/>
      <c r="S69" s="63"/>
      <c r="U69" s="63"/>
      <c r="W69" s="63"/>
      <c r="Y69" s="63"/>
      <c r="AA69" s="63"/>
      <c r="AC69" s="63"/>
      <c r="AD69" s="63"/>
      <c r="AE69" s="63"/>
      <c r="AG69" s="6"/>
      <c r="AI69" s="63"/>
      <c r="AK69" s="63"/>
      <c r="AM69" s="63"/>
      <c r="AO69" s="63"/>
      <c r="AQ69" s="63"/>
      <c r="AS69" s="63"/>
      <c r="AT69" s="63"/>
      <c r="AU69" s="63"/>
    </row>
    <row r="70" spans="1:49">
      <c r="A70" s="2" t="s">
        <v>0</v>
      </c>
      <c r="C70" s="147">
        <f>SUM(C59:C69)</f>
        <v>26800299.667813778</v>
      </c>
      <c r="D70" s="147"/>
      <c r="E70" s="147">
        <f>SUM(E59:E69)</f>
        <v>16307092.52</v>
      </c>
      <c r="F70" s="147"/>
      <c r="G70" s="147">
        <f>SUM(G59:G69)</f>
        <v>20575742.139999997</v>
      </c>
      <c r="H70" s="147"/>
      <c r="I70" s="147">
        <f>SUM(I59:I69)</f>
        <v>4268649.62</v>
      </c>
      <c r="J70" s="147"/>
      <c r="K70" s="147">
        <f>SUM(K59:K69)</f>
        <v>6224557.5278137801</v>
      </c>
      <c r="L70" s="147"/>
      <c r="M70" s="147">
        <f>SUM(M59:M69)</f>
        <v>10493207.14781378</v>
      </c>
      <c r="N70" s="147"/>
      <c r="O70" s="147">
        <f>'Exhibit B,2'!W72</f>
        <v>309278.64649910986</v>
      </c>
      <c r="Q70" s="2" t="s">
        <v>0</v>
      </c>
      <c r="S70" s="147">
        <f>SUM(S59:S69)</f>
        <v>24735388.50492309</v>
      </c>
      <c r="T70" s="147"/>
      <c r="U70" s="147">
        <f>SUM(U59:U69)</f>
        <v>14766841.714499999</v>
      </c>
      <c r="V70" s="147"/>
      <c r="W70" s="147">
        <f>SUM(W59:W69)</f>
        <v>18822058.853500001</v>
      </c>
      <c r="X70" s="147"/>
      <c r="Y70" s="147">
        <f>SUM(Y59:Y69)</f>
        <v>4055217.139</v>
      </c>
      <c r="Z70" s="147"/>
      <c r="AA70" s="147">
        <f>SUM(AA59:AA69)</f>
        <v>5913329.6514230911</v>
      </c>
      <c r="AB70" s="147"/>
      <c r="AC70" s="147">
        <f>SUM(AC59:AC69)</f>
        <v>9968546.7904230896</v>
      </c>
      <c r="AD70" s="147"/>
      <c r="AE70" s="147">
        <f>SUM(AE59:AE69)</f>
        <v>293814.71417415433</v>
      </c>
      <c r="AG70" s="2" t="s">
        <v>0</v>
      </c>
      <c r="AI70" s="147">
        <f>SUM(AI59:AI69)</f>
        <v>2064911.1628906894</v>
      </c>
      <c r="AJ70" s="147"/>
      <c r="AK70" s="147">
        <f>SUM(AK59:AK69)</f>
        <v>1540250.8054999996</v>
      </c>
      <c r="AL70" s="147"/>
      <c r="AM70" s="147">
        <f>SUM(AM59:AM69)</f>
        <v>1753683.2864999997</v>
      </c>
      <c r="AN70" s="147"/>
      <c r="AO70" s="147">
        <f>SUM(AO59:AO69)</f>
        <v>213432.48099999994</v>
      </c>
      <c r="AP70" s="147"/>
      <c r="AQ70" s="147">
        <f>SUM(AQ59:AQ69)</f>
        <v>311227.87639068946</v>
      </c>
      <c r="AR70" s="147"/>
      <c r="AS70" s="147">
        <f>SUM(AS59:AS69)</f>
        <v>524660.35739069059</v>
      </c>
      <c r="AT70" s="147"/>
      <c r="AU70" s="147">
        <f>SUM(AU59:AU69)</f>
        <v>15463.932324955513</v>
      </c>
    </row>
    <row r="71" spans="1:49">
      <c r="A71" s="2"/>
      <c r="C71" s="26"/>
      <c r="E71" s="26"/>
      <c r="G71" s="26"/>
      <c r="I71" s="26"/>
      <c r="J71" s="26"/>
      <c r="K71" s="26"/>
      <c r="M71" s="26"/>
      <c r="N71" s="26"/>
      <c r="O71" s="26"/>
      <c r="Q71" s="2"/>
      <c r="S71" s="26"/>
      <c r="U71" s="26"/>
      <c r="W71" s="26"/>
      <c r="Y71" s="26"/>
      <c r="Z71" s="26"/>
      <c r="AA71" s="26"/>
      <c r="AC71" s="26"/>
      <c r="AD71" s="26"/>
    </row>
    <row r="72" spans="1:49">
      <c r="A72" s="1" t="s">
        <v>685</v>
      </c>
      <c r="C72" s="147">
        <f>C70-'Exhibit B,2'!U70</f>
        <v>0</v>
      </c>
      <c r="E72" s="147">
        <f>E70-'Exhibit B,2'!M70</f>
        <v>0</v>
      </c>
      <c r="G72" s="147">
        <f>G70-'Exhibit B,2'!O70</f>
        <v>0</v>
      </c>
      <c r="O72" s="147">
        <f>O70-O56-O42-O28</f>
        <v>0</v>
      </c>
      <c r="U72" s="19">
        <v>-1540250.8055000026</v>
      </c>
      <c r="V72" s="19"/>
      <c r="W72" s="19">
        <v>-1753683.2865000032</v>
      </c>
    </row>
    <row r="74" spans="1:49">
      <c r="I74" s="1">
        <f>27759893-1753413</f>
        <v>26006480</v>
      </c>
      <c r="K74" s="1">
        <f>27724789-1753413</f>
        <v>25971376</v>
      </c>
      <c r="M74" s="1">
        <f>I74-K74</f>
        <v>35104</v>
      </c>
    </row>
    <row r="75" spans="1:49" ht="16"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49" ht="16">
      <c r="Q76" s="4" t="s">
        <v>160</v>
      </c>
      <c r="R76" s="5"/>
      <c r="S76" s="5"/>
      <c r="T76" s="5"/>
      <c r="U76" s="5"/>
      <c r="V76" s="5"/>
      <c r="W76" s="4"/>
      <c r="X76" s="5"/>
      <c r="Y76" s="4"/>
      <c r="Z76" s="5"/>
      <c r="AA76" s="5"/>
      <c r="AB76" s="5"/>
      <c r="AC76" s="5"/>
      <c r="AD76" s="5"/>
      <c r="AE76" s="5"/>
      <c r="AF76" s="147"/>
      <c r="AG76" s="59"/>
    </row>
    <row r="77" spans="1:49">
      <c r="S77" s="2" t="s">
        <v>1</v>
      </c>
      <c r="AF77" s="494"/>
      <c r="AG77" s="59"/>
    </row>
    <row r="78" spans="1:49">
      <c r="S78" s="2" t="s">
        <v>67</v>
      </c>
      <c r="U78" s="2" t="s">
        <v>14</v>
      </c>
      <c r="W78" s="2" t="s">
        <v>12</v>
      </c>
      <c r="Y78" s="2" t="s">
        <v>139</v>
      </c>
      <c r="AC78" s="2" t="s">
        <v>63</v>
      </c>
      <c r="AD78" s="6"/>
      <c r="AE78" s="6" t="s">
        <v>635</v>
      </c>
      <c r="AF78" s="494"/>
      <c r="AG78" s="59"/>
    </row>
    <row r="79" spans="1:49">
      <c r="Q79" s="2" t="s">
        <v>4</v>
      </c>
      <c r="S79" s="2" t="s">
        <v>55</v>
      </c>
      <c r="U79" s="2" t="s">
        <v>55</v>
      </c>
      <c r="W79" s="2" t="s">
        <v>55</v>
      </c>
      <c r="Y79" s="2" t="s">
        <v>112</v>
      </c>
      <c r="AA79" s="2" t="s">
        <v>381</v>
      </c>
      <c r="AC79" s="2" t="s">
        <v>55</v>
      </c>
      <c r="AD79" s="6"/>
      <c r="AE79" s="6" t="s">
        <v>567</v>
      </c>
      <c r="AF79" s="494"/>
      <c r="AG79" s="59"/>
    </row>
    <row r="80" spans="1:49">
      <c r="Q80" s="10">
        <v>-1</v>
      </c>
      <c r="S80" s="10">
        <v>-2</v>
      </c>
      <c r="U80" s="10">
        <v>-3</v>
      </c>
      <c r="W80" s="10">
        <v>-4</v>
      </c>
      <c r="Y80" s="10">
        <v>-5</v>
      </c>
      <c r="AA80" s="10">
        <v>-6</v>
      </c>
      <c r="AC80" s="10">
        <v>-7</v>
      </c>
      <c r="AE80" s="10">
        <v>-8</v>
      </c>
      <c r="AF80" s="494"/>
      <c r="AG80" s="59"/>
    </row>
    <row r="81" spans="1:33" ht="16"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 s="494"/>
      <c r="AG81" s="59"/>
    </row>
    <row r="82" spans="1:33" ht="16"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 s="494"/>
      <c r="AG82" s="59"/>
    </row>
    <row r="83" spans="1:33">
      <c r="Q83" s="3" t="s">
        <v>1690</v>
      </c>
      <c r="S83" s="20"/>
      <c r="AF83" s="494"/>
      <c r="AG83" s="59"/>
    </row>
    <row r="84" spans="1:33">
      <c r="Q84" s="6">
        <v>2013</v>
      </c>
      <c r="S84" s="59">
        <f t="shared" ref="S84:S93" si="122">IF(C59=0,0,S59/C59)</f>
        <v>0.95</v>
      </c>
      <c r="T84" s="147"/>
      <c r="U84" s="59">
        <f t="shared" ref="U84:U93" si="123">IF(E59=0,0,U59/E59)</f>
        <v>0.95</v>
      </c>
      <c r="V84" s="147"/>
      <c r="W84" s="59">
        <f t="shared" ref="W84:W93" si="124">IF(G59=0,0,W59/G59)</f>
        <v>0.95</v>
      </c>
      <c r="X84" s="147"/>
      <c r="Y84" s="59">
        <f t="shared" ref="Y84:Y93" si="125">IF(I59=0,0,Y59/I59)</f>
        <v>0</v>
      </c>
      <c r="Z84" s="147"/>
      <c r="AA84" s="59">
        <f t="shared" ref="AA84:AA93" si="126">IF(K59=0,0,AA59/K59)</f>
        <v>0</v>
      </c>
      <c r="AB84" s="147"/>
      <c r="AC84" s="59">
        <f t="shared" ref="AC84:AC93" si="127">IF(M59=0,0,AC59/M59)</f>
        <v>0</v>
      </c>
      <c r="AD84" s="147"/>
      <c r="AE84" s="59">
        <f t="shared" ref="AE84:AE93" si="128">IF(O59=0,0,AE59/O59)</f>
        <v>0</v>
      </c>
      <c r="AF84" s="494"/>
      <c r="AG84" s="59"/>
    </row>
    <row r="85" spans="1:33">
      <c r="Q85" s="6">
        <f t="shared" ref="Q85:Q93" si="129">Q84+1</f>
        <v>2014</v>
      </c>
      <c r="S85" s="59">
        <f t="shared" si="122"/>
        <v>0.93183682159973846</v>
      </c>
      <c r="T85" s="494"/>
      <c r="U85" s="59">
        <f t="shared" si="123"/>
        <v>0.93182670997401729</v>
      </c>
      <c r="V85" s="17">
        <f t="shared" ref="V85:V93" si="130">V35+V49+V63</f>
        <v>0</v>
      </c>
      <c r="W85" s="59">
        <f t="shared" si="124"/>
        <v>0.93182670997401729</v>
      </c>
      <c r="X85" s="494"/>
      <c r="Y85" s="59">
        <f t="shared" si="125"/>
        <v>0</v>
      </c>
      <c r="Z85" s="17">
        <f t="shared" ref="Z85:Z93" si="131">Z35+Z49+Z63</f>
        <v>0</v>
      </c>
      <c r="AA85" s="59">
        <f t="shared" si="126"/>
        <v>0.95</v>
      </c>
      <c r="AB85" s="494"/>
      <c r="AC85" s="59">
        <f t="shared" si="127"/>
        <v>0.95000000000004103</v>
      </c>
      <c r="AD85" s="17">
        <f t="shared" ref="AD85:AD93" si="132">AD35+AD49+AD63</f>
        <v>0</v>
      </c>
      <c r="AE85" s="59">
        <f t="shared" si="128"/>
        <v>0.95</v>
      </c>
      <c r="AF85" s="494"/>
      <c r="AG85" s="59"/>
    </row>
    <row r="86" spans="1:33">
      <c r="A86" s="6" t="s">
        <v>50</v>
      </c>
      <c r="B86" s="23"/>
      <c r="C86" s="20"/>
      <c r="D86" s="20"/>
      <c r="E86" s="20"/>
      <c r="F86" s="20"/>
      <c r="G86" s="20"/>
      <c r="H86" s="18"/>
      <c r="I86" s="20"/>
      <c r="Q86" s="6">
        <f t="shared" si="129"/>
        <v>2015</v>
      </c>
      <c r="S86" s="59">
        <f t="shared" si="122"/>
        <v>0.90594602846768768</v>
      </c>
      <c r="T86" s="494"/>
      <c r="U86" s="59">
        <f t="shared" si="123"/>
        <v>0.90573559565273831</v>
      </c>
      <c r="V86" s="17">
        <f t="shared" si="130"/>
        <v>0</v>
      </c>
      <c r="W86" s="59">
        <f t="shared" si="124"/>
        <v>0.90573559565273831</v>
      </c>
      <c r="X86" s="494"/>
      <c r="Y86" s="59">
        <f t="shared" si="125"/>
        <v>0</v>
      </c>
      <c r="Z86" s="17">
        <f t="shared" si="131"/>
        <v>0</v>
      </c>
      <c r="AA86" s="59">
        <f t="shared" si="126"/>
        <v>0.95</v>
      </c>
      <c r="AB86" s="494"/>
      <c r="AC86" s="59">
        <f t="shared" si="127"/>
        <v>0.95000000000000895</v>
      </c>
      <c r="AD86" s="17">
        <f t="shared" si="132"/>
        <v>0</v>
      </c>
      <c r="AE86" s="59">
        <f t="shared" si="128"/>
        <v>0.94999999999999984</v>
      </c>
    </row>
    <row r="87" spans="1:33">
      <c r="A87" s="3" t="s">
        <v>1482</v>
      </c>
      <c r="C87" s="1" t="s">
        <v>1520</v>
      </c>
      <c r="D87" s="20"/>
      <c r="E87" s="20"/>
      <c r="F87" s="20"/>
      <c r="G87" s="20"/>
      <c r="H87" s="18"/>
      <c r="I87" s="20"/>
      <c r="Q87" s="6">
        <f t="shared" si="129"/>
        <v>2016</v>
      </c>
      <c r="S87" s="59">
        <f t="shared" si="122"/>
        <v>0.90963377066601092</v>
      </c>
      <c r="T87" s="494"/>
      <c r="U87" s="59">
        <f t="shared" si="123"/>
        <v>0.90890848813988112</v>
      </c>
      <c r="V87" s="17">
        <f t="shared" si="130"/>
        <v>0</v>
      </c>
      <c r="W87" s="59">
        <f t="shared" si="124"/>
        <v>0.90890848813988112</v>
      </c>
      <c r="X87" s="494"/>
      <c r="Y87" s="59">
        <f t="shared" si="125"/>
        <v>0</v>
      </c>
      <c r="Z87" s="17">
        <f t="shared" si="131"/>
        <v>0</v>
      </c>
      <c r="AA87" s="59">
        <f t="shared" si="126"/>
        <v>0.95000000000000007</v>
      </c>
      <c r="AB87" s="494"/>
      <c r="AC87" s="59">
        <f t="shared" si="127"/>
        <v>0.94999999999999662</v>
      </c>
      <c r="AD87" s="17">
        <f t="shared" si="132"/>
        <v>0</v>
      </c>
      <c r="AE87" s="59">
        <f t="shared" si="128"/>
        <v>0.95</v>
      </c>
    </row>
    <row r="88" spans="1:33">
      <c r="A88" s="64"/>
      <c r="C88" s="1" t="s">
        <v>642</v>
      </c>
      <c r="D88" s="20"/>
      <c r="E88" s="20"/>
      <c r="F88" s="20"/>
      <c r="G88" s="20"/>
      <c r="H88" s="18"/>
      <c r="I88" s="20"/>
      <c r="Q88" s="6">
        <f t="shared" si="129"/>
        <v>2017</v>
      </c>
      <c r="S88" s="59">
        <f t="shared" si="122"/>
        <v>0.90811892386064907</v>
      </c>
      <c r="T88" s="494"/>
      <c r="U88" s="59">
        <f t="shared" si="123"/>
        <v>0.90005157962138937</v>
      </c>
      <c r="V88" s="17">
        <f t="shared" si="130"/>
        <v>0</v>
      </c>
      <c r="W88" s="59">
        <f t="shared" si="124"/>
        <v>0.90622930301018356</v>
      </c>
      <c r="X88" s="494"/>
      <c r="Y88" s="59">
        <f t="shared" si="125"/>
        <v>0.95</v>
      </c>
      <c r="Z88" s="17">
        <f t="shared" si="131"/>
        <v>0</v>
      </c>
      <c r="AA88" s="59">
        <f t="shared" si="126"/>
        <v>0.95000000000000007</v>
      </c>
      <c r="AB88" s="494"/>
      <c r="AC88" s="59">
        <f t="shared" si="127"/>
        <v>0.95000000000000007</v>
      </c>
      <c r="AD88" s="17">
        <f t="shared" si="132"/>
        <v>0</v>
      </c>
      <c r="AE88" s="59">
        <f t="shared" si="128"/>
        <v>0.95000000000000007</v>
      </c>
    </row>
    <row r="89" spans="1:33">
      <c r="A89" s="2"/>
      <c r="C89" s="1" t="s">
        <v>641</v>
      </c>
      <c r="D89" s="20"/>
      <c r="E89" s="20"/>
      <c r="F89" s="20"/>
      <c r="G89" s="20"/>
      <c r="H89" s="18"/>
      <c r="I89" s="20"/>
      <c r="Q89" s="6">
        <f t="shared" si="129"/>
        <v>2018</v>
      </c>
      <c r="S89" s="59">
        <f t="shared" si="122"/>
        <v>0.93782355533813444</v>
      </c>
      <c r="T89" s="494"/>
      <c r="U89" s="59">
        <f t="shared" si="123"/>
        <v>0.86480767111088563</v>
      </c>
      <c r="V89" s="17">
        <f t="shared" si="130"/>
        <v>0</v>
      </c>
      <c r="W89" s="59">
        <f t="shared" si="124"/>
        <v>0.86480767111088563</v>
      </c>
      <c r="X89" s="494"/>
      <c r="Y89" s="59">
        <f t="shared" si="125"/>
        <v>0</v>
      </c>
      <c r="Z89" s="17">
        <f t="shared" si="131"/>
        <v>0</v>
      </c>
      <c r="AA89" s="59">
        <f t="shared" si="126"/>
        <v>0.95</v>
      </c>
      <c r="AB89" s="494"/>
      <c r="AC89" s="59">
        <f t="shared" si="127"/>
        <v>0.94999999999999984</v>
      </c>
      <c r="AD89" s="17">
        <f t="shared" si="132"/>
        <v>0</v>
      </c>
      <c r="AE89" s="59">
        <f t="shared" si="128"/>
        <v>0.95000000000000007</v>
      </c>
    </row>
    <row r="90" spans="1:33">
      <c r="A90" s="64" t="s">
        <v>40</v>
      </c>
      <c r="C90" s="130" t="s">
        <v>387</v>
      </c>
      <c r="D90" s="20"/>
      <c r="E90" s="20"/>
      <c r="F90" s="20"/>
      <c r="G90" s="20"/>
      <c r="H90" s="18"/>
      <c r="I90" s="20"/>
      <c r="Q90" s="6">
        <f t="shared" si="129"/>
        <v>2019</v>
      </c>
      <c r="S90" s="59">
        <f t="shared" si="122"/>
        <v>0.92452707211185936</v>
      </c>
      <c r="T90" s="494"/>
      <c r="U90" s="59">
        <f t="shared" si="123"/>
        <v>0.8973577202950046</v>
      </c>
      <c r="V90" s="17">
        <f t="shared" si="130"/>
        <v>0</v>
      </c>
      <c r="W90" s="59">
        <f t="shared" si="124"/>
        <v>0.92046981299438002</v>
      </c>
      <c r="X90" s="494"/>
      <c r="Y90" s="59">
        <f t="shared" si="125"/>
        <v>0.95</v>
      </c>
      <c r="Z90" s="17">
        <f t="shared" si="131"/>
        <v>0</v>
      </c>
      <c r="AA90" s="59">
        <f t="shared" si="126"/>
        <v>0.95</v>
      </c>
      <c r="AB90" s="494"/>
      <c r="AC90" s="59">
        <f t="shared" si="127"/>
        <v>0.95000000000000007</v>
      </c>
      <c r="AD90" s="17">
        <f t="shared" si="132"/>
        <v>0</v>
      </c>
      <c r="AE90" s="59">
        <f t="shared" si="128"/>
        <v>0.95</v>
      </c>
    </row>
    <row r="91" spans="1:33">
      <c r="A91" s="64" t="s">
        <v>42</v>
      </c>
      <c r="C91" s="130" t="s">
        <v>388</v>
      </c>
      <c r="D91" s="20"/>
      <c r="E91" s="20"/>
      <c r="F91" s="20"/>
      <c r="G91" s="20"/>
      <c r="H91" s="18"/>
      <c r="I91" s="20"/>
      <c r="Q91" s="6">
        <f t="shared" si="129"/>
        <v>2020</v>
      </c>
      <c r="S91" s="59">
        <f t="shared" si="122"/>
        <v>0.84541136866823885</v>
      </c>
      <c r="T91" s="494"/>
      <c r="U91" s="59">
        <f t="shared" si="123"/>
        <v>0.80569590046125128</v>
      </c>
      <c r="V91" s="17">
        <f t="shared" si="130"/>
        <v>0</v>
      </c>
      <c r="W91" s="59">
        <f t="shared" si="124"/>
        <v>0.80936317982636463</v>
      </c>
      <c r="X91" s="494"/>
      <c r="Y91" s="59">
        <f t="shared" si="125"/>
        <v>0.95</v>
      </c>
      <c r="Z91" s="17">
        <f t="shared" si="131"/>
        <v>0</v>
      </c>
      <c r="AA91" s="59">
        <f t="shared" si="126"/>
        <v>0.95</v>
      </c>
      <c r="AB91" s="494"/>
      <c r="AC91" s="59">
        <f t="shared" si="127"/>
        <v>0.95000000000000007</v>
      </c>
      <c r="AD91" s="17">
        <f t="shared" si="132"/>
        <v>0</v>
      </c>
      <c r="AE91" s="59">
        <f t="shared" si="128"/>
        <v>0.95</v>
      </c>
    </row>
    <row r="92" spans="1:33" ht="16">
      <c r="A92" s="199">
        <v>-7</v>
      </c>
      <c r="C92" s="130" t="s">
        <v>389</v>
      </c>
      <c r="D92" s="20"/>
      <c r="E92" s="20"/>
      <c r="F92" s="20"/>
      <c r="G92" s="20"/>
      <c r="H92" s="18"/>
      <c r="I92" s="20"/>
      <c r="Q92" s="6">
        <f t="shared" si="129"/>
        <v>2021</v>
      </c>
      <c r="S92" s="59">
        <f t="shared" si="122"/>
        <v>0.94946622429436345</v>
      </c>
      <c r="T92" s="494"/>
      <c r="U92" s="59">
        <f t="shared" si="123"/>
        <v>0.94750626866744248</v>
      </c>
      <c r="V92" s="17">
        <f t="shared" si="130"/>
        <v>0</v>
      </c>
      <c r="W92" s="59">
        <f t="shared" si="124"/>
        <v>0.94911603581569681</v>
      </c>
      <c r="X92" s="494"/>
      <c r="Y92" s="59">
        <f t="shared" si="125"/>
        <v>0.95000000000000007</v>
      </c>
      <c r="Z92" s="17">
        <f t="shared" si="131"/>
        <v>0</v>
      </c>
      <c r="AA92" s="59">
        <f t="shared" si="126"/>
        <v>0.94999999999999984</v>
      </c>
      <c r="AB92" s="494"/>
      <c r="AC92" s="59">
        <f t="shared" si="127"/>
        <v>0.94999999999999951</v>
      </c>
      <c r="AD92" s="17">
        <f t="shared" si="132"/>
        <v>0</v>
      </c>
      <c r="AE92" s="59">
        <f t="shared" si="128"/>
        <v>0.95</v>
      </c>
      <c r="AF92"/>
      <c r="AG92"/>
    </row>
    <row r="93" spans="1:33" ht="16">
      <c r="Q93" s="6">
        <f t="shared" si="129"/>
        <v>2022</v>
      </c>
      <c r="S93" s="59">
        <f t="shared" si="122"/>
        <v>0.95</v>
      </c>
      <c r="T93" s="494"/>
      <c r="U93" s="59">
        <f t="shared" si="123"/>
        <v>0.95</v>
      </c>
      <c r="V93" s="17">
        <f t="shared" si="130"/>
        <v>0</v>
      </c>
      <c r="W93" s="59">
        <f t="shared" si="124"/>
        <v>0.95</v>
      </c>
      <c r="X93" s="494"/>
      <c r="Y93" s="59">
        <f t="shared" si="125"/>
        <v>0.95</v>
      </c>
      <c r="Z93" s="17">
        <f t="shared" si="131"/>
        <v>0</v>
      </c>
      <c r="AA93" s="59">
        <f t="shared" si="126"/>
        <v>0.95</v>
      </c>
      <c r="AB93" s="494"/>
      <c r="AC93" s="59">
        <f t="shared" si="127"/>
        <v>0.94999999999999984</v>
      </c>
      <c r="AD93" s="17">
        <f t="shared" si="132"/>
        <v>0</v>
      </c>
      <c r="AE93" s="59">
        <f t="shared" si="128"/>
        <v>0.94999999999999984</v>
      </c>
      <c r="AF93"/>
      <c r="AG93"/>
    </row>
    <row r="94" spans="1:33" ht="16">
      <c r="Q94" s="6"/>
      <c r="S94" s="63"/>
      <c r="U94" s="63"/>
      <c r="W94" s="63"/>
      <c r="Y94" s="63"/>
      <c r="AA94" s="63"/>
      <c r="AC94" s="63"/>
      <c r="AD94" s="63"/>
      <c r="AE94" s="63"/>
      <c r="AF94"/>
      <c r="AG94"/>
    </row>
    <row r="95" spans="1:33" ht="16">
      <c r="Q95" s="2" t="s">
        <v>0</v>
      </c>
      <c r="S95" s="147"/>
      <c r="T95" s="147"/>
      <c r="U95" s="147"/>
      <c r="V95" s="147"/>
      <c r="W95" s="147"/>
      <c r="X95" s="147"/>
      <c r="Y95" s="147"/>
      <c r="Z95" s="147"/>
      <c r="AA95" s="147"/>
      <c r="AB95" s="147"/>
      <c r="AC95" s="147"/>
      <c r="AD95" s="147"/>
      <c r="AE95" s="147"/>
      <c r="AF95"/>
      <c r="AG95"/>
    </row>
  </sheetData>
  <printOptions horizontalCentered="1"/>
  <pageMargins left="0.7" right="0.7" top="0.75" bottom="0.75" header="0.3" footer="0.3"/>
  <pageSetup scale="68" fitToWidth="2" orientation="portrait" r:id="rId1"/>
  <colBreaks count="1" manualBreakCount="1">
    <brk id="15" max="62" man="1"/>
  </colBreak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dimension ref="A1:AW95"/>
  <sheetViews>
    <sheetView zoomScale="70" zoomScaleNormal="70" workbookViewId="0">
      <selection activeCell="I19" sqref="I19"/>
    </sheetView>
  </sheetViews>
  <sheetFormatPr baseColWidth="10" defaultColWidth="8.7109375" defaultRowHeight="16"/>
  <cols>
    <col min="1" max="1" width="10.7109375" customWidth="1"/>
    <col min="2" max="2" width="1.7109375" customWidth="1"/>
    <col min="3" max="3" width="11.7109375" customWidth="1"/>
    <col min="4" max="4" width="1.7109375" customWidth="1"/>
    <col min="5" max="5" width="11.7109375" customWidth="1"/>
    <col min="6" max="6" width="1.7109375" customWidth="1"/>
    <col min="7" max="7" width="11.7109375" customWidth="1"/>
    <col min="8" max="8" width="1.7109375" customWidth="1"/>
    <col min="9" max="9" width="11.7109375" customWidth="1"/>
    <col min="10" max="10" width="1.7109375" customWidth="1"/>
    <col min="11" max="11" width="11.7109375" customWidth="1"/>
    <col min="12" max="12" width="1.7109375" customWidth="1"/>
    <col min="13" max="13" width="11.7109375" customWidth="1"/>
    <col min="14" max="14" width="1.7109375" customWidth="1"/>
    <col min="15" max="15" width="10.7109375" customWidth="1"/>
    <col min="16" max="16" width="12.7109375" customWidth="1"/>
    <col min="17" max="17" width="11.7109375" customWidth="1"/>
    <col min="18" max="18" width="1.7109375" customWidth="1"/>
    <col min="19" max="19" width="11.7109375" customWidth="1"/>
    <col min="20" max="20" width="1.7109375" customWidth="1"/>
    <col min="21" max="21" width="11.7109375" customWidth="1"/>
    <col min="22" max="22" width="1.7109375" customWidth="1"/>
    <col min="23" max="23" width="11.7109375" customWidth="1"/>
    <col min="24" max="24" width="1.7109375" customWidth="1"/>
    <col min="25" max="25" width="11.7109375" customWidth="1"/>
    <col min="26" max="26" width="1.7109375" customWidth="1"/>
    <col min="27" max="27" width="11.7109375" customWidth="1"/>
    <col min="28" max="28" width="1.7109375" customWidth="1"/>
    <col min="29" max="29" width="11.7109375" customWidth="1"/>
    <col min="30" max="30" width="1.7109375" customWidth="1"/>
    <col min="31" max="31" width="10.7109375" customWidth="1"/>
    <col min="32" max="32" width="1.7109375" customWidth="1"/>
    <col min="33" max="33" width="11.7109375" customWidth="1"/>
    <col min="34" max="34" width="1.7109375" customWidth="1"/>
    <col min="35" max="35" width="11.7109375" customWidth="1"/>
    <col min="36" max="36" width="1.7109375" customWidth="1"/>
    <col min="37" max="37" width="11.7109375" customWidth="1"/>
    <col min="38" max="38" width="1.7109375" customWidth="1"/>
    <col min="39" max="39" width="11.7109375" customWidth="1"/>
    <col min="40" max="40" width="1.7109375" customWidth="1"/>
    <col min="41" max="41" width="11.7109375" customWidth="1"/>
    <col min="42" max="42" width="1.7109375" customWidth="1"/>
    <col min="43" max="43" width="11.7109375" customWidth="1"/>
    <col min="44" max="44" width="1.7109375" customWidth="1"/>
    <col min="45" max="45" width="11.7109375" customWidth="1"/>
    <col min="47" max="47" width="10.7109375" customWidth="1"/>
    <col min="48" max="48" width="1.7109375" customWidth="1"/>
    <col min="49" max="49" width="11.7109375" customWidth="1"/>
    <col min="50" max="50" width="1.7109375" customWidth="1"/>
    <col min="51" max="51" width="11.7109375" customWidth="1"/>
    <col min="52" max="52" width="1.7109375" customWidth="1"/>
    <col min="53" max="53" width="11.7109375" customWidth="1"/>
    <col min="54" max="54" width="1.7109375" customWidth="1"/>
    <col min="55" max="55" width="11.7109375" customWidth="1"/>
    <col min="56" max="56" width="1.7109375" customWidth="1"/>
    <col min="57" max="57" width="11.7109375" customWidth="1"/>
    <col min="58" max="58" width="1.7109375" customWidth="1"/>
    <col min="59" max="59" width="11.7109375" customWidth="1"/>
    <col min="60" max="60" width="1.7109375" customWidth="1"/>
    <col min="61" max="61" width="11.7109375" customWidth="1"/>
  </cols>
  <sheetData>
    <row r="1" spans="1:47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3"/>
      <c r="N1" s="3"/>
      <c r="O1" s="64" t="s">
        <v>121</v>
      </c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64" t="s">
        <v>121</v>
      </c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64" t="s">
        <v>121</v>
      </c>
    </row>
    <row r="2" spans="1:47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3"/>
      <c r="N2" s="3"/>
      <c r="O2" s="64" t="s">
        <v>1483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64" t="s">
        <v>1483</v>
      </c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64" t="s">
        <v>1483</v>
      </c>
    </row>
    <row r="3" spans="1:47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>
      <c r="A4" s="4" t="s">
        <v>1550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1"/>
      <c r="Q4" s="4" t="str">
        <f>A4</f>
        <v>INTEGRIS RISK RETENTION GROUP, INC.</v>
      </c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1"/>
      <c r="AG4" s="4" t="str">
        <f>Q4</f>
        <v>INTEGRIS RISK RETENTION GROUP, INC.</v>
      </c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</row>
    <row r="5" spans="1:47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1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1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1:47">
      <c r="A6" s="5" t="s">
        <v>181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1"/>
      <c r="Q6" s="5" t="s">
        <v>181</v>
      </c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1"/>
      <c r="AG6" s="5" t="s">
        <v>181</v>
      </c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1:47">
      <c r="A7" s="5" t="s">
        <v>968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1"/>
      <c r="Q7" s="5" t="s">
        <v>968</v>
      </c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1"/>
      <c r="AG7" s="5" t="s">
        <v>968</v>
      </c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1:47">
      <c r="A8" s="5" t="s">
        <v>1647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1"/>
      <c r="Q8" s="5" t="s">
        <v>639</v>
      </c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1"/>
      <c r="AG8" s="5" t="s">
        <v>639</v>
      </c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</row>
    <row r="9" spans="1:47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1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1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</row>
    <row r="10" spans="1:47">
      <c r="A10" s="4" t="s">
        <v>637</v>
      </c>
      <c r="B10" s="5"/>
      <c r="C10" s="5"/>
      <c r="D10" s="5"/>
      <c r="E10" s="5"/>
      <c r="F10" s="5"/>
      <c r="G10" s="4"/>
      <c r="H10" s="5"/>
      <c r="I10" s="4"/>
      <c r="J10" s="5"/>
      <c r="K10" s="5"/>
      <c r="L10" s="5"/>
      <c r="M10" s="5"/>
      <c r="N10" s="5"/>
      <c r="O10" s="5"/>
      <c r="P10" s="1"/>
      <c r="Q10" s="4" t="s">
        <v>637</v>
      </c>
      <c r="R10" s="5"/>
      <c r="S10" s="5"/>
      <c r="T10" s="5"/>
      <c r="U10" s="5"/>
      <c r="V10" s="5"/>
      <c r="W10" s="4"/>
      <c r="X10" s="5"/>
      <c r="Y10" s="4"/>
      <c r="Z10" s="5"/>
      <c r="AA10" s="5"/>
      <c r="AB10" s="5"/>
      <c r="AC10" s="5"/>
      <c r="AD10" s="5"/>
      <c r="AE10" s="5"/>
      <c r="AF10" s="1"/>
      <c r="AG10" s="4" t="s">
        <v>637</v>
      </c>
      <c r="AH10" s="5"/>
      <c r="AI10" s="5"/>
      <c r="AJ10" s="5"/>
      <c r="AK10" s="5"/>
      <c r="AL10" s="5"/>
      <c r="AM10" s="4"/>
      <c r="AN10" s="5"/>
      <c r="AO10" s="4"/>
      <c r="AP10" s="5"/>
      <c r="AQ10" s="5"/>
      <c r="AR10" s="5"/>
      <c r="AS10" s="5"/>
      <c r="AT10" s="5"/>
      <c r="AU10" s="5"/>
    </row>
    <row r="11" spans="1:47">
      <c r="A11" s="1"/>
      <c r="B11" s="1"/>
      <c r="C11" s="2" t="s">
        <v>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2" t="s">
        <v>1</v>
      </c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2" t="s">
        <v>1</v>
      </c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>
      <c r="A12" s="1"/>
      <c r="B12" s="1"/>
      <c r="C12" s="2" t="s">
        <v>67</v>
      </c>
      <c r="D12" s="1"/>
      <c r="E12" s="2" t="s">
        <v>14</v>
      </c>
      <c r="F12" s="1"/>
      <c r="G12" s="2" t="s">
        <v>12</v>
      </c>
      <c r="H12" s="1"/>
      <c r="I12" s="2" t="s">
        <v>139</v>
      </c>
      <c r="J12" s="1"/>
      <c r="K12" s="1"/>
      <c r="L12" s="1"/>
      <c r="M12" s="2" t="s">
        <v>63</v>
      </c>
      <c r="N12" s="2"/>
      <c r="O12" s="6" t="s">
        <v>635</v>
      </c>
      <c r="P12" s="1"/>
      <c r="Q12" s="1"/>
      <c r="R12" s="1"/>
      <c r="S12" s="2" t="s">
        <v>67</v>
      </c>
      <c r="T12" s="1"/>
      <c r="U12" s="2" t="s">
        <v>14</v>
      </c>
      <c r="V12" s="1"/>
      <c r="W12" s="2" t="s">
        <v>12</v>
      </c>
      <c r="X12" s="1"/>
      <c r="Y12" s="2" t="s">
        <v>139</v>
      </c>
      <c r="Z12" s="1"/>
      <c r="AA12" s="1"/>
      <c r="AB12" s="1"/>
      <c r="AC12" s="2" t="s">
        <v>63</v>
      </c>
      <c r="AD12" s="6"/>
      <c r="AE12" s="6" t="s">
        <v>635</v>
      </c>
      <c r="AF12" s="1"/>
      <c r="AG12" s="1"/>
      <c r="AH12" s="1"/>
      <c r="AI12" s="2" t="s">
        <v>67</v>
      </c>
      <c r="AJ12" s="1"/>
      <c r="AK12" s="2" t="s">
        <v>14</v>
      </c>
      <c r="AL12" s="1"/>
      <c r="AM12" s="2" t="s">
        <v>12</v>
      </c>
      <c r="AN12" s="1"/>
      <c r="AO12" s="2" t="s">
        <v>139</v>
      </c>
      <c r="AP12" s="1"/>
      <c r="AQ12" s="1"/>
      <c r="AR12" s="1"/>
      <c r="AS12" s="2" t="s">
        <v>63</v>
      </c>
      <c r="AT12" s="6"/>
      <c r="AU12" s="6" t="s">
        <v>635</v>
      </c>
    </row>
    <row r="13" spans="1:47">
      <c r="A13" s="2" t="s">
        <v>4</v>
      </c>
      <c r="B13" s="1"/>
      <c r="C13" s="2" t="s">
        <v>55</v>
      </c>
      <c r="D13" s="1"/>
      <c r="E13" s="2" t="s">
        <v>55</v>
      </c>
      <c r="F13" s="1"/>
      <c r="G13" s="2" t="s">
        <v>55</v>
      </c>
      <c r="H13" s="1"/>
      <c r="I13" s="2" t="s">
        <v>112</v>
      </c>
      <c r="J13" s="1"/>
      <c r="K13" s="2" t="s">
        <v>381</v>
      </c>
      <c r="L13" s="1"/>
      <c r="M13" s="2" t="s">
        <v>55</v>
      </c>
      <c r="N13" s="2"/>
      <c r="O13" s="6" t="s">
        <v>567</v>
      </c>
      <c r="P13" s="1"/>
      <c r="Q13" s="2" t="s">
        <v>4</v>
      </c>
      <c r="R13" s="1"/>
      <c r="S13" s="2" t="s">
        <v>55</v>
      </c>
      <c r="T13" s="1"/>
      <c r="U13" s="2" t="s">
        <v>55</v>
      </c>
      <c r="V13" s="1"/>
      <c r="W13" s="2" t="s">
        <v>55</v>
      </c>
      <c r="X13" s="1"/>
      <c r="Y13" s="2" t="s">
        <v>112</v>
      </c>
      <c r="Z13" s="1"/>
      <c r="AA13" s="2" t="s">
        <v>381</v>
      </c>
      <c r="AB13" s="1"/>
      <c r="AC13" s="2" t="s">
        <v>55</v>
      </c>
      <c r="AD13" s="6"/>
      <c r="AE13" s="6" t="s">
        <v>567</v>
      </c>
      <c r="AF13" s="1"/>
      <c r="AG13" s="2" t="s">
        <v>4</v>
      </c>
      <c r="AH13" s="1"/>
      <c r="AI13" s="2" t="s">
        <v>55</v>
      </c>
      <c r="AJ13" s="1"/>
      <c r="AK13" s="2" t="s">
        <v>55</v>
      </c>
      <c r="AL13" s="1"/>
      <c r="AM13" s="2" t="s">
        <v>55</v>
      </c>
      <c r="AN13" s="1"/>
      <c r="AO13" s="2" t="s">
        <v>112</v>
      </c>
      <c r="AP13" s="1"/>
      <c r="AQ13" s="2" t="s">
        <v>381</v>
      </c>
      <c r="AR13" s="1"/>
      <c r="AS13" s="2" t="s">
        <v>55</v>
      </c>
      <c r="AT13" s="6"/>
      <c r="AU13" s="6" t="s">
        <v>567</v>
      </c>
    </row>
    <row r="14" spans="1:47">
      <c r="A14" s="10">
        <v>-1</v>
      </c>
      <c r="B14" s="1"/>
      <c r="C14" s="10">
        <v>-2</v>
      </c>
      <c r="D14" s="1"/>
      <c r="E14" s="10">
        <v>-3</v>
      </c>
      <c r="F14" s="1"/>
      <c r="G14" s="10">
        <v>-4</v>
      </c>
      <c r="H14" s="1"/>
      <c r="I14" s="10">
        <v>-5</v>
      </c>
      <c r="J14" s="1"/>
      <c r="K14" s="10">
        <v>-6</v>
      </c>
      <c r="L14" s="1"/>
      <c r="M14" s="10">
        <v>-7</v>
      </c>
      <c r="N14" s="10"/>
      <c r="O14" s="10">
        <v>-8</v>
      </c>
      <c r="P14" s="1"/>
      <c r="Q14" s="10">
        <v>-1</v>
      </c>
      <c r="R14" s="1"/>
      <c r="S14" s="10">
        <v>-2</v>
      </c>
      <c r="T14" s="1"/>
      <c r="U14" s="10">
        <v>-3</v>
      </c>
      <c r="V14" s="1"/>
      <c r="W14" s="10">
        <v>-4</v>
      </c>
      <c r="X14" s="1"/>
      <c r="Y14" s="10">
        <v>-5</v>
      </c>
      <c r="Z14" s="1"/>
      <c r="AA14" s="10">
        <v>-6</v>
      </c>
      <c r="AB14" s="1"/>
      <c r="AC14" s="10">
        <v>-7</v>
      </c>
      <c r="AD14" s="1"/>
      <c r="AE14" s="10">
        <v>-8</v>
      </c>
      <c r="AF14" s="1"/>
      <c r="AG14" s="10">
        <v>-1</v>
      </c>
      <c r="AH14" s="1"/>
      <c r="AI14" s="10">
        <v>-2</v>
      </c>
      <c r="AJ14" s="1"/>
      <c r="AK14" s="10">
        <v>-3</v>
      </c>
      <c r="AL14" s="1"/>
      <c r="AM14" s="10">
        <v>-4</v>
      </c>
      <c r="AN14" s="1"/>
      <c r="AO14" s="10">
        <v>-5</v>
      </c>
      <c r="AP14" s="1"/>
      <c r="AQ14" s="10">
        <v>-6</v>
      </c>
      <c r="AR14" s="1"/>
      <c r="AS14" s="10">
        <v>-7</v>
      </c>
      <c r="AT14" s="1"/>
      <c r="AU14" s="10">
        <v>-8</v>
      </c>
    </row>
    <row r="15" spans="1:47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61" t="s">
        <v>1729</v>
      </c>
      <c r="AP15" s="1"/>
      <c r="AQ15" s="1"/>
      <c r="AR15" s="1"/>
      <c r="AS15" s="1"/>
      <c r="AT15" s="1"/>
      <c r="AU15" s="1"/>
    </row>
    <row r="16" spans="1:47">
      <c r="A16" s="3" t="s">
        <v>1648</v>
      </c>
      <c r="B16" s="1"/>
      <c r="C16" s="1"/>
      <c r="D16" s="1"/>
      <c r="E16" s="1"/>
      <c r="F16" s="1"/>
      <c r="G16" s="1"/>
      <c r="H16" s="1"/>
      <c r="I16" s="1"/>
      <c r="J16" s="1"/>
      <c r="K16" s="61" t="s">
        <v>1728</v>
      </c>
      <c r="L16" s="1"/>
      <c r="M16" s="1"/>
      <c r="N16" s="1"/>
      <c r="O16" s="1"/>
      <c r="P16" s="1"/>
      <c r="Q16" s="3" t="s">
        <v>636</v>
      </c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3" t="s">
        <v>638</v>
      </c>
      <c r="AH16" s="1"/>
      <c r="AI16" s="1"/>
      <c r="AJ16" s="1"/>
      <c r="AK16" s="147">
        <f t="shared" ref="AK16" si="0">E16-U16</f>
        <v>0</v>
      </c>
      <c r="AL16" s="147"/>
      <c r="AM16" s="147">
        <f t="shared" ref="AM16" si="1">G16-W16</f>
        <v>0</v>
      </c>
      <c r="AN16" s="1"/>
      <c r="AO16" s="1"/>
      <c r="AP16" s="1"/>
      <c r="AQ16" s="1"/>
      <c r="AR16" s="1"/>
      <c r="AS16" s="1"/>
      <c r="AT16" s="1"/>
      <c r="AU16" s="1"/>
    </row>
    <row r="17" spans="1:49">
      <c r="A17" s="6">
        <v>2013</v>
      </c>
      <c r="B17" s="1"/>
      <c r="C17" s="147">
        <f>'Exhibit B,3'!AI17</f>
        <v>0</v>
      </c>
      <c r="D17" s="147"/>
      <c r="E17" s="147">
        <f>'Exhibit B,3'!O17+'Exhibit B,3'!Q17</f>
        <v>0</v>
      </c>
      <c r="F17" s="147"/>
      <c r="G17" s="147">
        <f>'Exhibit B,3'!S17+'Exhibit B,3'!U17</f>
        <v>0</v>
      </c>
      <c r="H17" s="147"/>
      <c r="I17" s="147">
        <f>G17-E17</f>
        <v>0</v>
      </c>
      <c r="J17" s="147"/>
      <c r="K17" s="147">
        <f>C17-G17</f>
        <v>0</v>
      </c>
      <c r="L17" s="147"/>
      <c r="M17" s="147">
        <f>C17-E17</f>
        <v>0</v>
      </c>
      <c r="N17" s="147"/>
      <c r="O17" s="497">
        <f>IF((I$28)=0,0,M17/M$70*O$70)</f>
        <v>0</v>
      </c>
      <c r="P17" s="231"/>
      <c r="Q17" s="6">
        <f>A17</f>
        <v>2013</v>
      </c>
      <c r="R17" s="1"/>
      <c r="S17" s="147">
        <f>W17+AA17</f>
        <v>0</v>
      </c>
      <c r="T17" s="147"/>
      <c r="U17" s="147">
        <f>U59-U45</f>
        <v>0</v>
      </c>
      <c r="V17" s="147"/>
      <c r="W17" s="147">
        <f>W59-W45</f>
        <v>0</v>
      </c>
      <c r="X17" s="147"/>
      <c r="Y17" s="147">
        <f>W17-U17</f>
        <v>0</v>
      </c>
      <c r="Z17" s="147"/>
      <c r="AA17" s="147">
        <f>0.95*K17</f>
        <v>0</v>
      </c>
      <c r="AB17" s="147"/>
      <c r="AC17" s="147">
        <f>S17-U17</f>
        <v>0</v>
      </c>
      <c r="AD17" s="147"/>
      <c r="AE17" s="497">
        <f>0.95*O17</f>
        <v>0</v>
      </c>
      <c r="AF17" s="1"/>
      <c r="AG17" s="6">
        <f>Q17</f>
        <v>2013</v>
      </c>
      <c r="AH17" s="1"/>
      <c r="AI17" s="147">
        <f>C17-S17</f>
        <v>0</v>
      </c>
      <c r="AJ17" s="147"/>
      <c r="AK17" s="147">
        <f t="shared" ref="AK17:AU26" si="2">E17-U17</f>
        <v>0</v>
      </c>
      <c r="AL17" s="147"/>
      <c r="AM17" s="147">
        <f t="shared" si="2"/>
        <v>0</v>
      </c>
      <c r="AN17" s="147"/>
      <c r="AO17" s="147">
        <f t="shared" si="2"/>
        <v>0</v>
      </c>
      <c r="AP17" s="147"/>
      <c r="AQ17" s="147">
        <f t="shared" si="2"/>
        <v>0</v>
      </c>
      <c r="AR17" s="147"/>
      <c r="AS17" s="147">
        <f t="shared" si="2"/>
        <v>0</v>
      </c>
      <c r="AT17" s="147"/>
      <c r="AU17" s="147">
        <f t="shared" si="2"/>
        <v>0</v>
      </c>
      <c r="AW17" s="1"/>
    </row>
    <row r="18" spans="1:49">
      <c r="A18" s="6">
        <f>A17+1</f>
        <v>2014</v>
      </c>
      <c r="B18" s="1"/>
      <c r="C18" s="17">
        <f>'Exhibit B,3'!AI18</f>
        <v>1121132.3176245776</v>
      </c>
      <c r="D18" s="494"/>
      <c r="E18" s="17">
        <f>'Exhibit B,3'!O18+'Exhibit B,3'!Q18</f>
        <v>60472.08</v>
      </c>
      <c r="F18" s="17"/>
      <c r="G18" s="17">
        <f>'Exhibit B,3'!S18+'Exhibit B,3'!U18</f>
        <v>1100000</v>
      </c>
      <c r="H18" s="494"/>
      <c r="I18" s="494">
        <f t="shared" ref="I18:I26" si="3">G18-E18</f>
        <v>1039527.92</v>
      </c>
      <c r="J18" s="494"/>
      <c r="K18" s="494">
        <f t="shared" ref="K18:K26" si="4">C18-G18</f>
        <v>21132.317624577554</v>
      </c>
      <c r="L18" s="494"/>
      <c r="M18" s="501">
        <f t="shared" ref="M18:M26" si="5">C18-E18</f>
        <v>1060660.2376245775</v>
      </c>
      <c r="N18" s="494"/>
      <c r="O18" s="20">
        <f t="shared" ref="O18:O26" si="6">IF((I$28)=0,0,M18/M$70*O$70)</f>
        <v>34032.806998139589</v>
      </c>
      <c r="P18" s="231"/>
      <c r="Q18" s="6">
        <f>Q17+1</f>
        <v>2014</v>
      </c>
      <c r="R18" s="1"/>
      <c r="S18" s="17">
        <f t="shared" ref="S18:S26" si="7">W18+AA18</f>
        <v>1065075.7017433487</v>
      </c>
      <c r="T18" s="494"/>
      <c r="U18" s="20">
        <f t="shared" ref="U18:U26" si="8">U60-U46</f>
        <v>57448.476000000002</v>
      </c>
      <c r="V18" s="147"/>
      <c r="W18" s="20">
        <f t="shared" ref="W18:W26" si="9">W60-W46</f>
        <v>1045000</v>
      </c>
      <c r="X18" s="494"/>
      <c r="Y18" s="494">
        <f t="shared" ref="Y18:Y26" si="10">W18-U18</f>
        <v>987551.52399999998</v>
      </c>
      <c r="Z18" s="494"/>
      <c r="AA18" s="17">
        <f t="shared" ref="AA18:AA26" si="11">0.95*K18</f>
        <v>20075.701743348676</v>
      </c>
      <c r="AB18" s="17"/>
      <c r="AC18" s="17">
        <f t="shared" ref="AC18:AC26" si="12">S18-U18</f>
        <v>1007627.2257433487</v>
      </c>
      <c r="AD18" s="17"/>
      <c r="AE18" s="20">
        <f t="shared" ref="AE18:AE26" si="13">0.95*O18</f>
        <v>32331.166648232607</v>
      </c>
      <c r="AF18" s="1"/>
      <c r="AG18" s="6">
        <f>AG17+1</f>
        <v>2014</v>
      </c>
      <c r="AH18" s="1"/>
      <c r="AI18" s="17">
        <f t="shared" ref="AI18:AI26" si="14">C18-S18</f>
        <v>56056.615881228819</v>
      </c>
      <c r="AJ18" s="17"/>
      <c r="AK18" s="17">
        <f>E18-U18</f>
        <v>3023.6039999999994</v>
      </c>
      <c r="AL18" s="17"/>
      <c r="AM18" s="17">
        <f t="shared" si="2"/>
        <v>55000</v>
      </c>
      <c r="AN18" s="17"/>
      <c r="AO18" s="17">
        <f t="shared" si="2"/>
        <v>51976.396000000066</v>
      </c>
      <c r="AP18" s="17"/>
      <c r="AQ18" s="17">
        <f t="shared" si="2"/>
        <v>1056.6158812288777</v>
      </c>
      <c r="AR18" s="17"/>
      <c r="AS18" s="17">
        <f t="shared" si="2"/>
        <v>53033.011881228769</v>
      </c>
      <c r="AT18" s="17"/>
      <c r="AU18" s="17">
        <f t="shared" si="2"/>
        <v>1701.640349906982</v>
      </c>
      <c r="AW18" s="1"/>
    </row>
    <row r="19" spans="1:49">
      <c r="A19" s="6">
        <f t="shared" ref="A19:A26" si="15">A18+1</f>
        <v>2015</v>
      </c>
      <c r="B19" s="1"/>
      <c r="C19" s="17">
        <f>'Exhibit B,3'!AI19</f>
        <v>348242.16293173609</v>
      </c>
      <c r="D19" s="494"/>
      <c r="E19" s="17">
        <f>'Exhibit B,3'!O19+'Exhibit B,3'!Q19</f>
        <v>322663.05</v>
      </c>
      <c r="F19" s="17"/>
      <c r="G19" s="17">
        <f>'Exhibit B,3'!S19+'Exhibit B,3'!U19</f>
        <v>332663.05</v>
      </c>
      <c r="H19" s="494"/>
      <c r="I19" s="494">
        <f t="shared" si="3"/>
        <v>10000</v>
      </c>
      <c r="J19" s="494"/>
      <c r="K19" s="494">
        <f t="shared" si="4"/>
        <v>15579.112931736105</v>
      </c>
      <c r="L19" s="494"/>
      <c r="M19" s="501">
        <f t="shared" si="5"/>
        <v>25579.112931736105</v>
      </c>
      <c r="N19" s="494"/>
      <c r="O19" s="20">
        <f t="shared" si="6"/>
        <v>820.74257402068895</v>
      </c>
      <c r="P19" s="231"/>
      <c r="Q19" s="6">
        <f t="shared" ref="Q19:Q26" si="16">Q18+1</f>
        <v>2015</v>
      </c>
      <c r="R19" s="1"/>
      <c r="S19" s="17">
        <f t="shared" si="7"/>
        <v>330830.05478514929</v>
      </c>
      <c r="T19" s="494"/>
      <c r="U19" s="20">
        <f t="shared" si="8"/>
        <v>306529.89749999996</v>
      </c>
      <c r="V19" s="147"/>
      <c r="W19" s="20">
        <f t="shared" si="9"/>
        <v>316029.89749999996</v>
      </c>
      <c r="X19" s="494"/>
      <c r="Y19" s="494">
        <f t="shared" si="10"/>
        <v>9500</v>
      </c>
      <c r="Z19" s="494"/>
      <c r="AA19" s="17">
        <f t="shared" si="11"/>
        <v>14800.157285149298</v>
      </c>
      <c r="AB19" s="17"/>
      <c r="AC19" s="17">
        <f t="shared" si="12"/>
        <v>24300.157285149326</v>
      </c>
      <c r="AD19" s="17"/>
      <c r="AE19" s="20">
        <f t="shared" si="13"/>
        <v>779.70544531965447</v>
      </c>
      <c r="AF19" s="1"/>
      <c r="AG19" s="6">
        <f t="shared" ref="AG19:AG26" si="17">AG18+1</f>
        <v>2015</v>
      </c>
      <c r="AH19" s="1"/>
      <c r="AI19" s="17">
        <f t="shared" si="14"/>
        <v>17412.108146586805</v>
      </c>
      <c r="AJ19" s="17"/>
      <c r="AK19" s="17">
        <f t="shared" si="2"/>
        <v>16133.152500000026</v>
      </c>
      <c r="AL19" s="17"/>
      <c r="AM19" s="17">
        <f t="shared" si="2"/>
        <v>16633.152500000026</v>
      </c>
      <c r="AN19" s="17"/>
      <c r="AO19" s="17">
        <f t="shared" si="2"/>
        <v>500</v>
      </c>
      <c r="AP19" s="17"/>
      <c r="AQ19" s="17">
        <f t="shared" si="2"/>
        <v>778.95564658680632</v>
      </c>
      <c r="AR19" s="17"/>
      <c r="AS19" s="17">
        <f t="shared" si="2"/>
        <v>1278.955646586779</v>
      </c>
      <c r="AT19" s="17"/>
      <c r="AU19" s="17">
        <f t="shared" si="2"/>
        <v>41.037128701034476</v>
      </c>
      <c r="AW19" s="1"/>
    </row>
    <row r="20" spans="1:49">
      <c r="A20" s="6">
        <f t="shared" si="15"/>
        <v>2016</v>
      </c>
      <c r="B20" s="1"/>
      <c r="C20" s="17">
        <f>'Exhibit B,3'!AI20</f>
        <v>12532615.122870458</v>
      </c>
      <c r="D20" s="494"/>
      <c r="E20" s="17">
        <f>'Exhibit B,3'!O20+'Exhibit B,3'!Q20</f>
        <v>11871267.25</v>
      </c>
      <c r="F20" s="17"/>
      <c r="G20" s="17">
        <f>'Exhibit B,3'!S20+'Exhibit B,3'!U20</f>
        <v>12397881.84</v>
      </c>
      <c r="H20" s="494"/>
      <c r="I20" s="494">
        <f t="shared" si="3"/>
        <v>526614.58999999985</v>
      </c>
      <c r="J20" s="494"/>
      <c r="K20" s="494">
        <f t="shared" si="4"/>
        <v>134733.28287045844</v>
      </c>
      <c r="L20" s="494"/>
      <c r="M20" s="501">
        <f t="shared" si="5"/>
        <v>661347.87287045829</v>
      </c>
      <c r="N20" s="494"/>
      <c r="O20" s="20">
        <f t="shared" si="6"/>
        <v>21220.296300008034</v>
      </c>
      <c r="P20" s="231"/>
      <c r="Q20" s="6">
        <f t="shared" si="16"/>
        <v>2016</v>
      </c>
      <c r="R20" s="1"/>
      <c r="S20" s="17">
        <f t="shared" si="7"/>
        <v>11905984.366726935</v>
      </c>
      <c r="T20" s="494"/>
      <c r="U20" s="20">
        <f t="shared" si="8"/>
        <v>11277703.887499999</v>
      </c>
      <c r="V20" s="147"/>
      <c r="W20" s="20">
        <f t="shared" si="9"/>
        <v>11777987.748</v>
      </c>
      <c r="X20" s="494"/>
      <c r="Y20" s="494">
        <f t="shared" si="10"/>
        <v>500283.86050000042</v>
      </c>
      <c r="Z20" s="494"/>
      <c r="AA20" s="17">
        <f t="shared" si="11"/>
        <v>127996.61872693551</v>
      </c>
      <c r="AB20" s="17"/>
      <c r="AC20" s="17">
        <f t="shared" si="12"/>
        <v>628280.47922693565</v>
      </c>
      <c r="AD20" s="17"/>
      <c r="AE20" s="20">
        <f t="shared" si="13"/>
        <v>20159.281485007632</v>
      </c>
      <c r="AF20" s="1"/>
      <c r="AG20" s="6">
        <f t="shared" si="17"/>
        <v>2016</v>
      </c>
      <c r="AH20" s="1"/>
      <c r="AI20" s="17">
        <f t="shared" si="14"/>
        <v>626630.75614352338</v>
      </c>
      <c r="AJ20" s="17"/>
      <c r="AK20" s="17">
        <f t="shared" si="2"/>
        <v>593563.36250000075</v>
      </c>
      <c r="AL20" s="17"/>
      <c r="AM20" s="17">
        <f t="shared" si="2"/>
        <v>619894.09200000018</v>
      </c>
      <c r="AN20" s="17"/>
      <c r="AO20" s="17">
        <f t="shared" si="2"/>
        <v>26330.729499999434</v>
      </c>
      <c r="AP20" s="17"/>
      <c r="AQ20" s="17">
        <f t="shared" si="2"/>
        <v>6736.6641435229249</v>
      </c>
      <c r="AR20" s="17"/>
      <c r="AS20" s="17">
        <f t="shared" si="2"/>
        <v>33067.393643522635</v>
      </c>
      <c r="AT20" s="17"/>
      <c r="AU20" s="17">
        <f t="shared" si="2"/>
        <v>1061.0148150004025</v>
      </c>
      <c r="AW20" s="1"/>
    </row>
    <row r="21" spans="1:49">
      <c r="A21" s="6">
        <f t="shared" si="15"/>
        <v>2017</v>
      </c>
      <c r="B21" s="1"/>
      <c r="C21" s="17">
        <f>'Exhibit B,3'!AI21</f>
        <v>8245826.0150139695</v>
      </c>
      <c r="D21" s="494"/>
      <c r="E21" s="17">
        <f>'Exhibit B,3'!O21+'Exhibit B,3'!Q21</f>
        <v>6417015.4500000002</v>
      </c>
      <c r="F21" s="17"/>
      <c r="G21" s="17">
        <f>'Exhibit B,3'!S21+'Exhibit B,3'!U21</f>
        <v>8267720.2400000002</v>
      </c>
      <c r="H21" s="494"/>
      <c r="I21" s="494">
        <f t="shared" si="3"/>
        <v>1850704.79</v>
      </c>
      <c r="J21" s="494"/>
      <c r="K21" s="494">
        <f t="shared" si="4"/>
        <v>-21894.22498603072</v>
      </c>
      <c r="L21" s="494"/>
      <c r="M21" s="501">
        <f t="shared" si="5"/>
        <v>1828810.5650139693</v>
      </c>
      <c r="N21" s="494"/>
      <c r="O21" s="20">
        <f t="shared" si="6"/>
        <v>58680.013436412824</v>
      </c>
      <c r="P21" s="231"/>
      <c r="Q21" s="6">
        <f t="shared" si="16"/>
        <v>2017</v>
      </c>
      <c r="R21" s="1"/>
      <c r="S21" s="17">
        <f t="shared" si="7"/>
        <v>7833534.71626327</v>
      </c>
      <c r="T21" s="494"/>
      <c r="U21" s="20">
        <f t="shared" si="8"/>
        <v>6096164.6805000007</v>
      </c>
      <c r="V21" s="147"/>
      <c r="W21" s="20">
        <f t="shared" si="9"/>
        <v>7854334.2299999995</v>
      </c>
      <c r="X21" s="494"/>
      <c r="Y21" s="494">
        <f t="shared" si="10"/>
        <v>1758169.5494999988</v>
      </c>
      <c r="Z21" s="494"/>
      <c r="AA21" s="17">
        <f t="shared" si="11"/>
        <v>-20799.513736729183</v>
      </c>
      <c r="AB21" s="17"/>
      <c r="AC21" s="17">
        <f t="shared" si="12"/>
        <v>1737370.0357632693</v>
      </c>
      <c r="AD21" s="17"/>
      <c r="AE21" s="20">
        <f t="shared" si="13"/>
        <v>55746.012764592182</v>
      </c>
      <c r="AF21" s="1"/>
      <c r="AG21" s="6">
        <f t="shared" si="17"/>
        <v>2017</v>
      </c>
      <c r="AH21" s="1"/>
      <c r="AI21" s="17">
        <f t="shared" si="14"/>
        <v>412291.2987506995</v>
      </c>
      <c r="AJ21" s="17"/>
      <c r="AK21" s="17">
        <f t="shared" si="2"/>
        <v>320850.76949999947</v>
      </c>
      <c r="AL21" s="17"/>
      <c r="AM21" s="17">
        <f t="shared" si="2"/>
        <v>413386.01000000071</v>
      </c>
      <c r="AN21" s="17"/>
      <c r="AO21" s="17">
        <f t="shared" si="2"/>
        <v>92535.240500001237</v>
      </c>
      <c r="AP21" s="17"/>
      <c r="AQ21" s="17">
        <f t="shared" si="2"/>
        <v>-1094.7112493015375</v>
      </c>
      <c r="AR21" s="17"/>
      <c r="AS21" s="17">
        <f t="shared" si="2"/>
        <v>91440.529250700027</v>
      </c>
      <c r="AT21" s="17"/>
      <c r="AU21" s="17">
        <f t="shared" si="2"/>
        <v>2934.0006718206423</v>
      </c>
      <c r="AW21" s="1"/>
    </row>
    <row r="22" spans="1:49">
      <c r="A22" s="6">
        <f t="shared" si="15"/>
        <v>2018</v>
      </c>
      <c r="B22" s="1"/>
      <c r="C22" s="17">
        <f>'Exhibit B,3'!AI22</f>
        <v>18303754.839817591</v>
      </c>
      <c r="D22" s="494"/>
      <c r="E22" s="17">
        <f>'Exhibit B,3'!O22+'Exhibit B,3'!Q22</f>
        <v>6981003.3399999999</v>
      </c>
      <c r="F22" s="17"/>
      <c r="G22" s="17">
        <f>'Exhibit B,3'!S22+'Exhibit B,3'!U22</f>
        <v>11151871.379999999</v>
      </c>
      <c r="H22" s="494"/>
      <c r="I22" s="494">
        <f t="shared" si="3"/>
        <v>4170868.0399999991</v>
      </c>
      <c r="J22" s="494"/>
      <c r="K22" s="494">
        <f t="shared" si="4"/>
        <v>7151883.4598175921</v>
      </c>
      <c r="L22" s="494"/>
      <c r="M22" s="501">
        <f t="shared" si="5"/>
        <v>11322751.499817591</v>
      </c>
      <c r="N22" s="494"/>
      <c r="O22" s="20">
        <f t="shared" si="6"/>
        <v>363306.74311332218</v>
      </c>
      <c r="P22" s="231"/>
      <c r="Q22" s="6">
        <f t="shared" si="16"/>
        <v>2018</v>
      </c>
      <c r="R22" s="1"/>
      <c r="S22" s="17">
        <f t="shared" si="7"/>
        <v>17388567.097826712</v>
      </c>
      <c r="T22" s="494"/>
      <c r="U22" s="20">
        <f t="shared" si="8"/>
        <v>6631953.1729999995</v>
      </c>
      <c r="V22" s="147"/>
      <c r="W22" s="20">
        <f t="shared" si="9"/>
        <v>10594277.811000001</v>
      </c>
      <c r="X22" s="494"/>
      <c r="Y22" s="494">
        <f t="shared" si="10"/>
        <v>3962324.6380000012</v>
      </c>
      <c r="Z22" s="494"/>
      <c r="AA22" s="17">
        <f t="shared" si="11"/>
        <v>6794289.2868267121</v>
      </c>
      <c r="AB22" s="17"/>
      <c r="AC22" s="17">
        <f t="shared" si="12"/>
        <v>10756613.924826711</v>
      </c>
      <c r="AD22" s="17"/>
      <c r="AE22" s="20">
        <f t="shared" si="13"/>
        <v>345141.40595765604</v>
      </c>
      <c r="AF22" s="1"/>
      <c r="AG22" s="6">
        <f t="shared" si="17"/>
        <v>2018</v>
      </c>
      <c r="AH22" s="1"/>
      <c r="AI22" s="17">
        <f t="shared" si="14"/>
        <v>915187.74199087918</v>
      </c>
      <c r="AJ22" s="17"/>
      <c r="AK22" s="17">
        <f t="shared" si="2"/>
        <v>349050.16700000037</v>
      </c>
      <c r="AL22" s="17"/>
      <c r="AM22" s="17">
        <f t="shared" si="2"/>
        <v>557593.56899999827</v>
      </c>
      <c r="AN22" s="17"/>
      <c r="AO22" s="17">
        <f t="shared" si="2"/>
        <v>208543.40199999791</v>
      </c>
      <c r="AP22" s="17"/>
      <c r="AQ22" s="17">
        <f t="shared" si="2"/>
        <v>357594.17299087998</v>
      </c>
      <c r="AR22" s="17"/>
      <c r="AS22" s="17">
        <f t="shared" si="2"/>
        <v>566137.57499087974</v>
      </c>
      <c r="AT22" s="17"/>
      <c r="AU22" s="17">
        <f t="shared" si="2"/>
        <v>18165.337155666144</v>
      </c>
      <c r="AW22" s="1"/>
    </row>
    <row r="23" spans="1:49">
      <c r="A23" s="6">
        <f t="shared" si="15"/>
        <v>2019</v>
      </c>
      <c r="B23" s="1"/>
      <c r="C23" s="17">
        <f>'Exhibit B,3'!AI23</f>
        <v>15097953.004217315</v>
      </c>
      <c r="D23" s="494"/>
      <c r="E23" s="17">
        <f>'Exhibit B,3'!O23+'Exhibit B,3'!Q23</f>
        <v>6170302.25</v>
      </c>
      <c r="F23" s="17"/>
      <c r="G23" s="17">
        <f>'Exhibit B,3'!S23+'Exhibit B,3'!U23</f>
        <v>7005998.7400000002</v>
      </c>
      <c r="H23" s="494"/>
      <c r="I23" s="494">
        <f t="shared" si="3"/>
        <v>835696.49000000022</v>
      </c>
      <c r="J23" s="494"/>
      <c r="K23" s="494">
        <f t="shared" si="4"/>
        <v>8091954.2642173152</v>
      </c>
      <c r="L23" s="494"/>
      <c r="M23" s="501">
        <f t="shared" si="5"/>
        <v>8927650.7542173155</v>
      </c>
      <c r="N23" s="494"/>
      <c r="O23" s="20">
        <f t="shared" si="6"/>
        <v>286456.49595154845</v>
      </c>
      <c r="P23" s="231"/>
      <c r="Q23" s="6">
        <f t="shared" si="16"/>
        <v>2019</v>
      </c>
      <c r="R23" s="1"/>
      <c r="S23" s="17">
        <f t="shared" si="7"/>
        <v>14343055.354006451</v>
      </c>
      <c r="T23" s="494"/>
      <c r="U23" s="20">
        <f t="shared" si="8"/>
        <v>5861787.1375000002</v>
      </c>
      <c r="V23" s="147"/>
      <c r="W23" s="20">
        <f t="shared" si="9"/>
        <v>6655698.8030000003</v>
      </c>
      <c r="X23" s="494"/>
      <c r="Y23" s="494">
        <f t="shared" si="10"/>
        <v>793911.66550000012</v>
      </c>
      <c r="Z23" s="494"/>
      <c r="AA23" s="17">
        <f t="shared" si="11"/>
        <v>7687356.5510064494</v>
      </c>
      <c r="AB23" s="17"/>
      <c r="AC23" s="17">
        <f t="shared" si="12"/>
        <v>8481268.2165064514</v>
      </c>
      <c r="AD23" s="17"/>
      <c r="AE23" s="20">
        <f t="shared" si="13"/>
        <v>272133.67115397099</v>
      </c>
      <c r="AF23" s="1"/>
      <c r="AG23" s="6">
        <f t="shared" si="17"/>
        <v>2019</v>
      </c>
      <c r="AH23" s="1"/>
      <c r="AI23" s="17">
        <f t="shared" si="14"/>
        <v>754897.65021086484</v>
      </c>
      <c r="AJ23" s="17"/>
      <c r="AK23" s="17">
        <f t="shared" si="2"/>
        <v>308515.11249999981</v>
      </c>
      <c r="AL23" s="17"/>
      <c r="AM23" s="17">
        <f t="shared" si="2"/>
        <v>350299.93699999992</v>
      </c>
      <c r="AN23" s="17"/>
      <c r="AO23" s="17">
        <f t="shared" si="2"/>
        <v>41784.824500000104</v>
      </c>
      <c r="AP23" s="17"/>
      <c r="AQ23" s="17">
        <f t="shared" si="2"/>
        <v>404597.71321086586</v>
      </c>
      <c r="AR23" s="17"/>
      <c r="AS23" s="17">
        <f t="shared" si="2"/>
        <v>446382.5377108641</v>
      </c>
      <c r="AT23" s="17"/>
      <c r="AU23" s="17">
        <f t="shared" si="2"/>
        <v>14322.824797577458</v>
      </c>
      <c r="AW23" s="1"/>
    </row>
    <row r="24" spans="1:49">
      <c r="A24" s="6">
        <f t="shared" si="15"/>
        <v>2020</v>
      </c>
      <c r="B24" s="1"/>
      <c r="C24" s="17">
        <f>'Exhibit B,3'!AI24</f>
        <v>2877265.7145885993</v>
      </c>
      <c r="D24" s="494"/>
      <c r="E24" s="17">
        <f>'Exhibit B,3'!O24+'Exhibit B,3'!Q24</f>
        <v>155459.76</v>
      </c>
      <c r="F24" s="17"/>
      <c r="G24" s="17">
        <f>'Exhibit B,3'!S24+'Exhibit B,3'!U24</f>
        <v>403242.19</v>
      </c>
      <c r="H24" s="494"/>
      <c r="I24" s="494">
        <f t="shared" si="3"/>
        <v>247782.43</v>
      </c>
      <c r="J24" s="494"/>
      <c r="K24" s="494">
        <f t="shared" si="4"/>
        <v>2474023.5245885993</v>
      </c>
      <c r="L24" s="494"/>
      <c r="M24" s="501">
        <f t="shared" si="5"/>
        <v>2721805.9545885995</v>
      </c>
      <c r="N24" s="494"/>
      <c r="O24" s="20">
        <f t="shared" si="6"/>
        <v>87333.05299193057</v>
      </c>
      <c r="P24" s="231"/>
      <c r="Q24" s="6">
        <f t="shared" si="16"/>
        <v>2020</v>
      </c>
      <c r="R24" s="1"/>
      <c r="S24" s="17">
        <f t="shared" si="7"/>
        <v>2733402.4288591696</v>
      </c>
      <c r="T24" s="494"/>
      <c r="U24" s="20">
        <f t="shared" si="8"/>
        <v>147686.777</v>
      </c>
      <c r="V24" s="147"/>
      <c r="W24" s="20">
        <f t="shared" si="9"/>
        <v>383080.08049999998</v>
      </c>
      <c r="X24" s="494"/>
      <c r="Y24" s="494">
        <f t="shared" si="10"/>
        <v>235393.30349999998</v>
      </c>
      <c r="Z24" s="494"/>
      <c r="AA24" s="17">
        <f t="shared" si="11"/>
        <v>2350322.3483591694</v>
      </c>
      <c r="AB24" s="17"/>
      <c r="AC24" s="17">
        <f t="shared" si="12"/>
        <v>2585715.6518591698</v>
      </c>
      <c r="AD24" s="17"/>
      <c r="AE24" s="20">
        <f t="shared" si="13"/>
        <v>82966.400342334033</v>
      </c>
      <c r="AF24" s="1"/>
      <c r="AG24" s="6">
        <f t="shared" si="17"/>
        <v>2020</v>
      </c>
      <c r="AH24" s="1"/>
      <c r="AI24" s="17">
        <f t="shared" si="14"/>
        <v>143863.28572942968</v>
      </c>
      <c r="AJ24" s="17"/>
      <c r="AK24" s="17">
        <f t="shared" si="2"/>
        <v>7772.9830000000075</v>
      </c>
      <c r="AL24" s="17"/>
      <c r="AM24" s="17">
        <f t="shared" si="2"/>
        <v>20162.10950000002</v>
      </c>
      <c r="AN24" s="17"/>
      <c r="AO24" s="17">
        <f t="shared" si="2"/>
        <v>12389.126500000013</v>
      </c>
      <c r="AP24" s="17"/>
      <c r="AQ24" s="17">
        <f t="shared" si="2"/>
        <v>123701.1762294299</v>
      </c>
      <c r="AR24" s="17"/>
      <c r="AS24" s="17">
        <f t="shared" si="2"/>
        <v>136090.30272942968</v>
      </c>
      <c r="AT24" s="17"/>
      <c r="AU24" s="17">
        <f t="shared" si="2"/>
        <v>4366.6526495965372</v>
      </c>
      <c r="AW24" s="1"/>
    </row>
    <row r="25" spans="1:49">
      <c r="A25" s="6">
        <f t="shared" si="15"/>
        <v>2021</v>
      </c>
      <c r="B25" s="1"/>
      <c r="C25" s="17">
        <f>'Exhibit B,3'!AI25</f>
        <v>4127059.5809957045</v>
      </c>
      <c r="D25" s="494"/>
      <c r="E25" s="17">
        <f>'Exhibit B,3'!O25+'Exhibit B,3'!Q25</f>
        <v>2849.11</v>
      </c>
      <c r="F25" s="17"/>
      <c r="G25" s="17">
        <f>'Exhibit B,3'!S25+'Exhibit B,3'!U25</f>
        <v>141000</v>
      </c>
      <c r="H25" s="494"/>
      <c r="I25" s="494">
        <f t="shared" si="3"/>
        <v>138150.89000000001</v>
      </c>
      <c r="J25" s="494"/>
      <c r="K25" s="494">
        <f t="shared" si="4"/>
        <v>3986059.5809957045</v>
      </c>
      <c r="L25" s="494"/>
      <c r="M25" s="501">
        <f t="shared" si="5"/>
        <v>4124210.4709957046</v>
      </c>
      <c r="N25" s="494"/>
      <c r="O25" s="20">
        <f t="shared" si="6"/>
        <v>132331.2159730299</v>
      </c>
      <c r="P25" s="231"/>
      <c r="Q25" s="6">
        <f t="shared" si="16"/>
        <v>2021</v>
      </c>
      <c r="R25" s="1"/>
      <c r="S25" s="17">
        <f t="shared" si="7"/>
        <v>3920706.601945919</v>
      </c>
      <c r="T25" s="494"/>
      <c r="U25" s="20">
        <f t="shared" si="8"/>
        <v>2706.6545000000001</v>
      </c>
      <c r="V25" s="147"/>
      <c r="W25" s="20">
        <f t="shared" si="9"/>
        <v>133950</v>
      </c>
      <c r="X25" s="494"/>
      <c r="Y25" s="494">
        <f t="shared" si="10"/>
        <v>131243.3455</v>
      </c>
      <c r="Z25" s="494"/>
      <c r="AA25" s="17">
        <f t="shared" si="11"/>
        <v>3786756.601945919</v>
      </c>
      <c r="AB25" s="17"/>
      <c r="AC25" s="17">
        <f t="shared" si="12"/>
        <v>3917999.9474459188</v>
      </c>
      <c r="AD25" s="17"/>
      <c r="AE25" s="20">
        <f t="shared" si="13"/>
        <v>125714.65517437841</v>
      </c>
      <c r="AF25" s="1"/>
      <c r="AG25" s="6">
        <f t="shared" si="17"/>
        <v>2021</v>
      </c>
      <c r="AH25" s="1"/>
      <c r="AI25" s="17">
        <f t="shared" si="14"/>
        <v>206352.97904978553</v>
      </c>
      <c r="AJ25" s="17"/>
      <c r="AK25" s="17">
        <f t="shared" si="2"/>
        <v>142.45550000000003</v>
      </c>
      <c r="AL25" s="17"/>
      <c r="AM25" s="17">
        <f t="shared" si="2"/>
        <v>7050</v>
      </c>
      <c r="AN25" s="17"/>
      <c r="AO25" s="17">
        <f t="shared" si="2"/>
        <v>6907.5445000000182</v>
      </c>
      <c r="AP25" s="17"/>
      <c r="AQ25" s="17">
        <f t="shared" si="2"/>
        <v>199302.97904978553</v>
      </c>
      <c r="AR25" s="17"/>
      <c r="AS25" s="17">
        <f t="shared" si="2"/>
        <v>206210.52354978584</v>
      </c>
      <c r="AT25" s="17"/>
      <c r="AU25" s="17">
        <f t="shared" si="2"/>
        <v>6616.5607986514951</v>
      </c>
      <c r="AW25" s="1"/>
    </row>
    <row r="26" spans="1:49">
      <c r="A26" s="6">
        <f t="shared" si="15"/>
        <v>2022</v>
      </c>
      <c r="B26" s="1"/>
      <c r="C26" s="17">
        <f>'Exhibit B,3'!AI26</f>
        <v>2421864.3881220976</v>
      </c>
      <c r="D26" s="494"/>
      <c r="E26" s="17">
        <f>'Exhibit B,3'!O26+'Exhibit B,3'!Q26</f>
        <v>0</v>
      </c>
      <c r="F26" s="17"/>
      <c r="G26" s="17">
        <f>'Exhibit B,3'!S26+'Exhibit B,3'!U26</f>
        <v>0</v>
      </c>
      <c r="H26" s="494"/>
      <c r="I26" s="494">
        <f t="shared" si="3"/>
        <v>0</v>
      </c>
      <c r="J26" s="494"/>
      <c r="K26" s="494">
        <f t="shared" si="4"/>
        <v>2421864.3881220976</v>
      </c>
      <c r="L26" s="494"/>
      <c r="M26" s="501">
        <f t="shared" si="5"/>
        <v>2421864.3881220976</v>
      </c>
      <c r="N26" s="494"/>
      <c r="O26" s="20">
        <f t="shared" si="6"/>
        <v>77708.997068862009</v>
      </c>
      <c r="P26" s="231"/>
      <c r="Q26" s="6">
        <f t="shared" si="16"/>
        <v>2022</v>
      </c>
      <c r="R26" s="1"/>
      <c r="S26" s="17">
        <f t="shared" si="7"/>
        <v>2300771.1687159925</v>
      </c>
      <c r="T26" s="494"/>
      <c r="U26" s="20">
        <f t="shared" si="8"/>
        <v>0</v>
      </c>
      <c r="V26" s="147"/>
      <c r="W26" s="20">
        <f t="shared" si="9"/>
        <v>0</v>
      </c>
      <c r="X26" s="494"/>
      <c r="Y26" s="494">
        <f t="shared" si="10"/>
        <v>0</v>
      </c>
      <c r="Z26" s="494"/>
      <c r="AA26" s="17">
        <f t="shared" si="11"/>
        <v>2300771.1687159925</v>
      </c>
      <c r="AB26" s="17"/>
      <c r="AC26" s="17">
        <f t="shared" si="12"/>
        <v>2300771.1687159925</v>
      </c>
      <c r="AD26" s="17"/>
      <c r="AE26" s="20">
        <f t="shared" si="13"/>
        <v>73823.547215418905</v>
      </c>
      <c r="AF26" s="1"/>
      <c r="AG26" s="6">
        <f t="shared" si="17"/>
        <v>2022</v>
      </c>
      <c r="AH26" s="1"/>
      <c r="AI26" s="17">
        <f t="shared" si="14"/>
        <v>121093.21940610511</v>
      </c>
      <c r="AJ26" s="17"/>
      <c r="AK26" s="17">
        <f t="shared" si="2"/>
        <v>0</v>
      </c>
      <c r="AL26" s="17"/>
      <c r="AM26" s="17">
        <f t="shared" si="2"/>
        <v>0</v>
      </c>
      <c r="AN26" s="17"/>
      <c r="AO26" s="17">
        <f t="shared" si="2"/>
        <v>0</v>
      </c>
      <c r="AP26" s="17"/>
      <c r="AQ26" s="17">
        <f t="shared" si="2"/>
        <v>121093.21940610511</v>
      </c>
      <c r="AR26" s="17"/>
      <c r="AS26" s="17">
        <f t="shared" si="2"/>
        <v>121093.21940610511</v>
      </c>
      <c r="AT26" s="17"/>
      <c r="AU26" s="17">
        <f t="shared" si="2"/>
        <v>3885.4498534431041</v>
      </c>
      <c r="AW26" s="1"/>
    </row>
    <row r="27" spans="1:49">
      <c r="A27" s="6"/>
      <c r="B27" s="1"/>
      <c r="C27" s="63"/>
      <c r="D27" s="1"/>
      <c r="E27" s="63"/>
      <c r="F27" s="1"/>
      <c r="G27" s="63"/>
      <c r="H27" s="1"/>
      <c r="I27" s="63"/>
      <c r="J27" s="1"/>
      <c r="K27" s="63"/>
      <c r="L27" s="1"/>
      <c r="M27" s="63"/>
      <c r="N27" s="63"/>
      <c r="O27" s="63"/>
      <c r="P27" s="1"/>
      <c r="Q27" s="6"/>
      <c r="R27" s="1"/>
      <c r="S27" s="63"/>
      <c r="T27" s="1"/>
      <c r="U27" s="63"/>
      <c r="V27" s="1"/>
      <c r="W27" s="63"/>
      <c r="X27" s="1"/>
      <c r="Y27" s="63"/>
      <c r="Z27" s="1"/>
      <c r="AA27" s="63"/>
      <c r="AB27" s="1"/>
      <c r="AC27" s="63"/>
      <c r="AD27" s="1"/>
      <c r="AE27" s="63"/>
      <c r="AF27" s="1"/>
      <c r="AG27" s="6"/>
      <c r="AH27" s="1"/>
      <c r="AI27" s="63"/>
      <c r="AJ27" s="1"/>
      <c r="AK27" s="63"/>
      <c r="AL27" s="1"/>
      <c r="AM27" s="63"/>
      <c r="AN27" s="1"/>
      <c r="AO27" s="63"/>
      <c r="AP27" s="1"/>
      <c r="AQ27" s="63"/>
      <c r="AR27" s="1"/>
      <c r="AS27" s="63"/>
      <c r="AT27" s="1"/>
      <c r="AU27" s="63"/>
      <c r="AW27" s="1"/>
    </row>
    <row r="28" spans="1:49">
      <c r="A28" s="2" t="s">
        <v>0</v>
      </c>
      <c r="B28" s="1"/>
      <c r="C28" s="147">
        <f>SUM(C17:C27)</f>
        <v>65075713.146182038</v>
      </c>
      <c r="D28" s="147"/>
      <c r="E28" s="147">
        <f>SUM(E17:E27)</f>
        <v>31981032.290000003</v>
      </c>
      <c r="F28" s="147"/>
      <c r="G28" s="147">
        <f>SUM(G17:G27)</f>
        <v>40800377.439999998</v>
      </c>
      <c r="H28" s="147"/>
      <c r="I28" s="147">
        <f>SUM(I17:I27)</f>
        <v>8819345.1499999985</v>
      </c>
      <c r="J28" s="147"/>
      <c r="K28" s="147">
        <f>SUM(K17:K27)</f>
        <v>24275335.706182051</v>
      </c>
      <c r="L28" s="147"/>
      <c r="M28" s="147">
        <f>SUM(M17:M27)</f>
        <v>33094680.85618205</v>
      </c>
      <c r="N28" s="147"/>
      <c r="O28" s="147">
        <f>SUM(O17:O27)</f>
        <v>1061890.3644072742</v>
      </c>
      <c r="P28" s="1"/>
      <c r="Q28" s="2" t="s">
        <v>0</v>
      </c>
      <c r="R28" s="1"/>
      <c r="S28" s="147">
        <f>SUM(S17:S27)</f>
        <v>61821927.490872949</v>
      </c>
      <c r="T28" s="147"/>
      <c r="U28" s="147">
        <f>SUM(U17:U27)</f>
        <v>30381980.683499999</v>
      </c>
      <c r="V28" s="147"/>
      <c r="W28" s="147">
        <f>SUM(W17:W27)</f>
        <v>38760358.57</v>
      </c>
      <c r="X28" s="147"/>
      <c r="Y28" s="147">
        <f>SUM(Y17:Y27)</f>
        <v>8378377.886500001</v>
      </c>
      <c r="Z28" s="147"/>
      <c r="AA28" s="147">
        <f>SUM(AA17:AA27)</f>
        <v>23061568.920872945</v>
      </c>
      <c r="AB28" s="147"/>
      <c r="AC28" s="147">
        <f>SUM(AC17:AC27)</f>
        <v>31439946.807372946</v>
      </c>
      <c r="AD28" s="147"/>
      <c r="AE28" s="147">
        <f>SUM(AE17:AE27)</f>
        <v>1008795.8461869105</v>
      </c>
      <c r="AF28" s="1"/>
      <c r="AG28" s="2" t="s">
        <v>0</v>
      </c>
      <c r="AH28" s="1"/>
      <c r="AI28" s="147">
        <f>SUM(AI17:AI27)</f>
        <v>3253785.655309103</v>
      </c>
      <c r="AJ28" s="147"/>
      <c r="AK28" s="147">
        <f t="shared" ref="AK28:AU28" si="18">SUM(AK17:AK27)</f>
        <v>1599051.6065000005</v>
      </c>
      <c r="AL28" s="147"/>
      <c r="AM28" s="147">
        <f t="shared" si="18"/>
        <v>2040018.8699999992</v>
      </c>
      <c r="AN28" s="147"/>
      <c r="AO28" s="147">
        <f t="shared" si="18"/>
        <v>440967.26349999878</v>
      </c>
      <c r="AP28" s="147"/>
      <c r="AQ28" s="147">
        <f t="shared" si="18"/>
        <v>1213766.7853091033</v>
      </c>
      <c r="AR28" s="147"/>
      <c r="AS28" s="147">
        <f t="shared" si="18"/>
        <v>1654734.0488091027</v>
      </c>
      <c r="AT28" s="147">
        <f t="shared" si="18"/>
        <v>0</v>
      </c>
      <c r="AU28" s="147">
        <f t="shared" si="18"/>
        <v>53094.518220363796</v>
      </c>
      <c r="AW28" s="1"/>
    </row>
    <row r="29" spans="1:49">
      <c r="A29" s="6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6"/>
      <c r="R29" s="1"/>
      <c r="S29" s="1"/>
      <c r="T29" s="1"/>
      <c r="U29" s="228"/>
      <c r="V29" s="228"/>
      <c r="W29" s="228"/>
      <c r="X29" s="1"/>
      <c r="Y29" s="1"/>
      <c r="Z29" s="1"/>
      <c r="AA29" s="1"/>
      <c r="AB29" s="1"/>
      <c r="AC29" s="1"/>
      <c r="AD29" s="1"/>
      <c r="AE29" s="1"/>
      <c r="AF29" s="1"/>
      <c r="AG29" s="6"/>
      <c r="AH29" s="1"/>
      <c r="AI29" s="1"/>
      <c r="AJ29" s="1"/>
      <c r="AK29" s="228"/>
      <c r="AL29" s="228"/>
      <c r="AM29" s="228"/>
      <c r="AN29" s="1"/>
      <c r="AO29" s="1"/>
      <c r="AP29" s="1"/>
      <c r="AQ29" s="1"/>
      <c r="AR29" s="1"/>
      <c r="AS29" s="1"/>
      <c r="AT29" s="1"/>
      <c r="AU29" s="1"/>
      <c r="AW29" s="1"/>
    </row>
    <row r="30" spans="1:49">
      <c r="A30" s="3" t="s">
        <v>1649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3" t="s">
        <v>636</v>
      </c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3" t="s">
        <v>1655</v>
      </c>
      <c r="AH30" s="1"/>
      <c r="AI30" s="1"/>
      <c r="AJ30" s="1"/>
      <c r="AK30" s="147">
        <f t="shared" ref="AK30" si="19">E30-U30</f>
        <v>0</v>
      </c>
      <c r="AL30" s="147"/>
      <c r="AM30" s="147">
        <f t="shared" ref="AM30" si="20">G30-W30</f>
        <v>0</v>
      </c>
      <c r="AN30" s="1"/>
      <c r="AO30" s="1"/>
      <c r="AP30" s="1"/>
      <c r="AQ30" s="1"/>
      <c r="AR30" s="1"/>
      <c r="AS30" s="1"/>
      <c r="AT30" s="1"/>
      <c r="AU30" s="1"/>
      <c r="AW30" s="1"/>
    </row>
    <row r="31" spans="1:49">
      <c r="A31" s="6">
        <f>A17</f>
        <v>2013</v>
      </c>
      <c r="B31" s="1"/>
      <c r="C31" s="147">
        <f>'Exhibit B,3'!AI31</f>
        <v>0</v>
      </c>
      <c r="D31" s="147"/>
      <c r="E31" s="147">
        <f>'Exhibit B,3'!O31+'Exhibit B,3'!Q31</f>
        <v>0</v>
      </c>
      <c r="F31" s="147"/>
      <c r="G31" s="147">
        <f>'Exhibit B,3'!S31+'Exhibit B,3'!U31</f>
        <v>0</v>
      </c>
      <c r="H31" s="147"/>
      <c r="I31" s="147">
        <f>G31-E31</f>
        <v>0</v>
      </c>
      <c r="J31" s="147"/>
      <c r="K31" s="147">
        <f>C31-G31</f>
        <v>0</v>
      </c>
      <c r="L31" s="147"/>
      <c r="M31" s="147">
        <f>C31-E31</f>
        <v>0</v>
      </c>
      <c r="N31" s="147"/>
      <c r="O31" s="497">
        <f>IF((I$28)=0,0,M31/M$70*O$70)</f>
        <v>0</v>
      </c>
      <c r="P31" s="1"/>
      <c r="Q31" s="6">
        <f>Q17</f>
        <v>2013</v>
      </c>
      <c r="R31" s="1"/>
      <c r="S31" s="147">
        <f>W31+AA31</f>
        <v>0</v>
      </c>
      <c r="T31" s="147"/>
      <c r="U31" s="497">
        <v>0</v>
      </c>
      <c r="V31" s="497"/>
      <c r="W31" s="147">
        <v>0</v>
      </c>
      <c r="X31" s="147"/>
      <c r="Y31" s="147">
        <f>W45-U45</f>
        <v>0</v>
      </c>
      <c r="Z31" s="147"/>
      <c r="AA31" s="147">
        <f>0.95*K31</f>
        <v>0</v>
      </c>
      <c r="AB31" s="147"/>
      <c r="AC31" s="147">
        <f>S31-U31</f>
        <v>0</v>
      </c>
      <c r="AD31" s="147"/>
      <c r="AE31" s="147">
        <f>0.95*O31</f>
        <v>0</v>
      </c>
      <c r="AF31" s="1"/>
      <c r="AG31" s="6">
        <f>AG17</f>
        <v>2013</v>
      </c>
      <c r="AH31" s="1"/>
      <c r="AI31" s="147">
        <f>C31-S31</f>
        <v>0</v>
      </c>
      <c r="AJ31" s="147"/>
      <c r="AK31" s="147">
        <f t="shared" ref="AK31:AK40" si="21">E31-U31</f>
        <v>0</v>
      </c>
      <c r="AL31" s="147"/>
      <c r="AM31" s="147">
        <f t="shared" ref="AM31:AM40" si="22">G31-W31</f>
        <v>0</v>
      </c>
      <c r="AN31" s="147"/>
      <c r="AO31" s="147">
        <f t="shared" ref="AO31:AO40" si="23">I31-Y31</f>
        <v>0</v>
      </c>
      <c r="AP31" s="147"/>
      <c r="AQ31" s="147">
        <f t="shared" ref="AQ31:AQ40" si="24">K31-AA31</f>
        <v>0</v>
      </c>
      <c r="AR31" s="147"/>
      <c r="AS31" s="147">
        <f t="shared" ref="AS31:AS40" si="25">M31-AC31</f>
        <v>0</v>
      </c>
      <c r="AT31" s="147"/>
      <c r="AU31" s="147">
        <f t="shared" ref="AU31:AU40" si="26">O31-AE31</f>
        <v>0</v>
      </c>
      <c r="AW31" s="1"/>
    </row>
    <row r="32" spans="1:49">
      <c r="A32" s="6">
        <f>A31+1</f>
        <v>2014</v>
      </c>
      <c r="B32" s="1"/>
      <c r="C32" s="494">
        <f>'Exhibit B,3'!AI32</f>
        <v>0</v>
      </c>
      <c r="D32" s="494"/>
      <c r="E32" s="494">
        <f>'Exhibit B,3'!O32+'Exhibit B,3'!Q32</f>
        <v>0</v>
      </c>
      <c r="F32" s="494"/>
      <c r="G32" s="494">
        <f>'Exhibit B,3'!S32+'Exhibit B,3'!U32</f>
        <v>0</v>
      </c>
      <c r="H32" s="494"/>
      <c r="I32" s="494">
        <f t="shared" ref="I32:I40" si="27">G32-E32</f>
        <v>0</v>
      </c>
      <c r="J32" s="494"/>
      <c r="K32" s="494">
        <f t="shared" ref="K32:K40" si="28">C32-G32</f>
        <v>0</v>
      </c>
      <c r="L32" s="494"/>
      <c r="M32" s="501">
        <f t="shared" ref="M32:M40" si="29">C32-E32</f>
        <v>0</v>
      </c>
      <c r="N32" s="494"/>
      <c r="O32" s="501">
        <f t="shared" ref="O32:O40" si="30">IF((I$28)=0,0,M32/M$70*O$70)</f>
        <v>0</v>
      </c>
      <c r="P32" s="1"/>
      <c r="Q32" s="6">
        <f>Q31+1</f>
        <v>2014</v>
      </c>
      <c r="R32" s="1"/>
      <c r="S32" s="17">
        <f t="shared" ref="S32:S40" si="31">W32+AA32</f>
        <v>0</v>
      </c>
      <c r="T32" s="494"/>
      <c r="U32" s="20">
        <v>0</v>
      </c>
      <c r="V32" s="20"/>
      <c r="W32" s="17">
        <v>0</v>
      </c>
      <c r="X32" s="187"/>
      <c r="Y32" s="494">
        <f t="shared" ref="Y32:Y40" si="32">W32-U32</f>
        <v>0</v>
      </c>
      <c r="Z32" s="494"/>
      <c r="AA32" s="494">
        <f t="shared" ref="AA32:AA40" si="33">0.95*K32</f>
        <v>0</v>
      </c>
      <c r="AB32" s="494"/>
      <c r="AC32" s="17">
        <f t="shared" ref="AC32:AC40" si="34">S32-U32</f>
        <v>0</v>
      </c>
      <c r="AD32" s="187"/>
      <c r="AE32" s="17">
        <f t="shared" ref="AE32:AE40" si="35">0.95*O32</f>
        <v>0</v>
      </c>
      <c r="AF32" s="1"/>
      <c r="AG32" s="6">
        <f>AG31+1</f>
        <v>2014</v>
      </c>
      <c r="AH32" s="1"/>
      <c r="AI32" s="17">
        <f t="shared" ref="AI32:AI40" si="36">C32-S32</f>
        <v>0</v>
      </c>
      <c r="AJ32" s="17"/>
      <c r="AK32" s="17">
        <f t="shared" si="21"/>
        <v>0</v>
      </c>
      <c r="AL32" s="17"/>
      <c r="AM32" s="17">
        <f t="shared" si="22"/>
        <v>0</v>
      </c>
      <c r="AN32" s="17"/>
      <c r="AO32" s="17">
        <f t="shared" si="23"/>
        <v>0</v>
      </c>
      <c r="AP32" s="17"/>
      <c r="AQ32" s="17">
        <f t="shared" si="24"/>
        <v>0</v>
      </c>
      <c r="AR32" s="17"/>
      <c r="AS32" s="17">
        <f t="shared" si="25"/>
        <v>0</v>
      </c>
      <c r="AT32" s="17"/>
      <c r="AU32" s="17">
        <f t="shared" si="26"/>
        <v>0</v>
      </c>
      <c r="AW32" s="1"/>
    </row>
    <row r="33" spans="1:49">
      <c r="A33" s="6">
        <f t="shared" ref="A33:A40" si="37">A32+1</f>
        <v>2015</v>
      </c>
      <c r="B33" s="1"/>
      <c r="C33" s="494">
        <f>'Exhibit B,3'!AI33</f>
        <v>0</v>
      </c>
      <c r="D33" s="494"/>
      <c r="E33" s="494">
        <f>'Exhibit B,3'!O33+'Exhibit B,3'!Q33</f>
        <v>0</v>
      </c>
      <c r="F33" s="494"/>
      <c r="G33" s="494">
        <f>'Exhibit B,3'!S33+'Exhibit B,3'!U33</f>
        <v>0</v>
      </c>
      <c r="H33" s="494"/>
      <c r="I33" s="494">
        <f t="shared" si="27"/>
        <v>0</v>
      </c>
      <c r="J33" s="494"/>
      <c r="K33" s="494">
        <f t="shared" si="28"/>
        <v>0</v>
      </c>
      <c r="L33" s="494"/>
      <c r="M33" s="501">
        <f t="shared" si="29"/>
        <v>0</v>
      </c>
      <c r="N33" s="494"/>
      <c r="O33" s="501">
        <f t="shared" si="30"/>
        <v>0</v>
      </c>
      <c r="P33" s="1"/>
      <c r="Q33" s="6">
        <f t="shared" ref="Q33:Q40" si="38">Q32+1</f>
        <v>2015</v>
      </c>
      <c r="R33" s="1"/>
      <c r="S33" s="17">
        <f t="shared" si="31"/>
        <v>0</v>
      </c>
      <c r="T33" s="494"/>
      <c r="U33" s="20">
        <v>0</v>
      </c>
      <c r="V33" s="20"/>
      <c r="W33" s="17">
        <v>0</v>
      </c>
      <c r="X33" s="187"/>
      <c r="Y33" s="494">
        <f t="shared" si="32"/>
        <v>0</v>
      </c>
      <c r="Z33" s="494"/>
      <c r="AA33" s="494">
        <f t="shared" si="33"/>
        <v>0</v>
      </c>
      <c r="AB33" s="494"/>
      <c r="AC33" s="17">
        <f t="shared" si="34"/>
        <v>0</v>
      </c>
      <c r="AD33" s="187"/>
      <c r="AE33" s="17">
        <f t="shared" si="35"/>
        <v>0</v>
      </c>
      <c r="AF33" s="1"/>
      <c r="AG33" s="6">
        <f t="shared" ref="AG33:AG40" si="39">AG32+1</f>
        <v>2015</v>
      </c>
      <c r="AH33" s="1"/>
      <c r="AI33" s="17">
        <f t="shared" si="36"/>
        <v>0</v>
      </c>
      <c r="AJ33" s="17"/>
      <c r="AK33" s="17">
        <f t="shared" si="21"/>
        <v>0</v>
      </c>
      <c r="AL33" s="17"/>
      <c r="AM33" s="17">
        <f t="shared" si="22"/>
        <v>0</v>
      </c>
      <c r="AN33" s="17"/>
      <c r="AO33" s="17">
        <f t="shared" si="23"/>
        <v>0</v>
      </c>
      <c r="AP33" s="17"/>
      <c r="AQ33" s="17">
        <f t="shared" si="24"/>
        <v>0</v>
      </c>
      <c r="AR33" s="17"/>
      <c r="AS33" s="17">
        <f t="shared" si="25"/>
        <v>0</v>
      </c>
      <c r="AT33" s="17"/>
      <c r="AU33" s="17">
        <f t="shared" si="26"/>
        <v>0</v>
      </c>
      <c r="AW33" s="1"/>
    </row>
    <row r="34" spans="1:49">
      <c r="A34" s="6">
        <f t="shared" si="37"/>
        <v>2016</v>
      </c>
      <c r="B34" s="1"/>
      <c r="C34" s="494">
        <f>'Exhibit B,3'!AI34</f>
        <v>0</v>
      </c>
      <c r="D34" s="494"/>
      <c r="E34" s="494">
        <f>'Exhibit B,3'!O34+'Exhibit B,3'!Q34</f>
        <v>0</v>
      </c>
      <c r="F34" s="494"/>
      <c r="G34" s="494">
        <f>'Exhibit B,3'!S34+'Exhibit B,3'!U34</f>
        <v>0</v>
      </c>
      <c r="H34" s="494"/>
      <c r="I34" s="494">
        <f t="shared" si="27"/>
        <v>0</v>
      </c>
      <c r="J34" s="494"/>
      <c r="K34" s="494">
        <f t="shared" si="28"/>
        <v>0</v>
      </c>
      <c r="L34" s="494"/>
      <c r="M34" s="501">
        <f t="shared" si="29"/>
        <v>0</v>
      </c>
      <c r="N34" s="494"/>
      <c r="O34" s="501">
        <f t="shared" si="30"/>
        <v>0</v>
      </c>
      <c r="P34" s="1"/>
      <c r="Q34" s="6">
        <f t="shared" si="38"/>
        <v>2016</v>
      </c>
      <c r="R34" s="1"/>
      <c r="S34" s="17">
        <f t="shared" si="31"/>
        <v>0</v>
      </c>
      <c r="T34" s="494"/>
      <c r="U34" s="20">
        <v>0</v>
      </c>
      <c r="V34" s="20"/>
      <c r="W34" s="17">
        <v>0</v>
      </c>
      <c r="X34" s="187"/>
      <c r="Y34" s="494">
        <f t="shared" si="32"/>
        <v>0</v>
      </c>
      <c r="Z34" s="494"/>
      <c r="AA34" s="494">
        <f t="shared" si="33"/>
        <v>0</v>
      </c>
      <c r="AB34" s="494"/>
      <c r="AC34" s="17">
        <f t="shared" si="34"/>
        <v>0</v>
      </c>
      <c r="AD34" s="187"/>
      <c r="AE34" s="17">
        <f t="shared" si="35"/>
        <v>0</v>
      </c>
      <c r="AF34" s="1"/>
      <c r="AG34" s="6">
        <f t="shared" si="39"/>
        <v>2016</v>
      </c>
      <c r="AH34" s="1"/>
      <c r="AI34" s="17">
        <f t="shared" si="36"/>
        <v>0</v>
      </c>
      <c r="AJ34" s="17"/>
      <c r="AK34" s="17">
        <f t="shared" si="21"/>
        <v>0</v>
      </c>
      <c r="AL34" s="17"/>
      <c r="AM34" s="17">
        <f t="shared" si="22"/>
        <v>0</v>
      </c>
      <c r="AN34" s="17"/>
      <c r="AO34" s="17">
        <f t="shared" si="23"/>
        <v>0</v>
      </c>
      <c r="AP34" s="17"/>
      <c r="AQ34" s="17">
        <f t="shared" si="24"/>
        <v>0</v>
      </c>
      <c r="AR34" s="17"/>
      <c r="AS34" s="17">
        <f t="shared" si="25"/>
        <v>0</v>
      </c>
      <c r="AT34" s="17"/>
      <c r="AU34" s="17">
        <f t="shared" si="26"/>
        <v>0</v>
      </c>
      <c r="AW34" s="1"/>
    </row>
    <row r="35" spans="1:49">
      <c r="A35" s="6">
        <f t="shared" si="37"/>
        <v>2017</v>
      </c>
      <c r="B35" s="1"/>
      <c r="C35" s="494">
        <f>'Exhibit B,3'!AI35</f>
        <v>0</v>
      </c>
      <c r="D35" s="494"/>
      <c r="E35" s="494">
        <f>'Exhibit B,3'!O35+'Exhibit B,3'!Q35</f>
        <v>0</v>
      </c>
      <c r="F35" s="494"/>
      <c r="G35" s="494">
        <f>'Exhibit B,3'!S35+'Exhibit B,3'!U35</f>
        <v>0</v>
      </c>
      <c r="H35" s="494"/>
      <c r="I35" s="494">
        <f t="shared" si="27"/>
        <v>0</v>
      </c>
      <c r="J35" s="494"/>
      <c r="K35" s="494">
        <f t="shared" si="28"/>
        <v>0</v>
      </c>
      <c r="L35" s="494"/>
      <c r="M35" s="501">
        <f t="shared" si="29"/>
        <v>0</v>
      </c>
      <c r="N35" s="494"/>
      <c r="O35" s="501">
        <f t="shared" si="30"/>
        <v>0</v>
      </c>
      <c r="P35" s="1"/>
      <c r="Q35" s="6">
        <f t="shared" si="38"/>
        <v>2017</v>
      </c>
      <c r="R35" s="1"/>
      <c r="S35" s="17">
        <f t="shared" si="31"/>
        <v>0</v>
      </c>
      <c r="T35" s="494"/>
      <c r="U35" s="20">
        <v>0</v>
      </c>
      <c r="V35" s="20"/>
      <c r="W35" s="17">
        <v>0</v>
      </c>
      <c r="X35" s="187"/>
      <c r="Y35" s="494">
        <f t="shared" si="32"/>
        <v>0</v>
      </c>
      <c r="Z35" s="494"/>
      <c r="AA35" s="494">
        <f t="shared" si="33"/>
        <v>0</v>
      </c>
      <c r="AB35" s="494"/>
      <c r="AC35" s="17">
        <f t="shared" si="34"/>
        <v>0</v>
      </c>
      <c r="AD35" s="187"/>
      <c r="AE35" s="17">
        <f t="shared" si="35"/>
        <v>0</v>
      </c>
      <c r="AF35" s="1"/>
      <c r="AG35" s="6">
        <f t="shared" si="39"/>
        <v>2017</v>
      </c>
      <c r="AH35" s="1"/>
      <c r="AI35" s="17">
        <f t="shared" si="36"/>
        <v>0</v>
      </c>
      <c r="AJ35" s="17"/>
      <c r="AK35" s="17">
        <f t="shared" si="21"/>
        <v>0</v>
      </c>
      <c r="AL35" s="17"/>
      <c r="AM35" s="17">
        <f t="shared" si="22"/>
        <v>0</v>
      </c>
      <c r="AN35" s="17"/>
      <c r="AO35" s="17">
        <f t="shared" si="23"/>
        <v>0</v>
      </c>
      <c r="AP35" s="17"/>
      <c r="AQ35" s="17">
        <f t="shared" si="24"/>
        <v>0</v>
      </c>
      <c r="AR35" s="17"/>
      <c r="AS35" s="17">
        <f t="shared" si="25"/>
        <v>0</v>
      </c>
      <c r="AT35" s="17"/>
      <c r="AU35" s="17">
        <f t="shared" si="26"/>
        <v>0</v>
      </c>
      <c r="AW35" s="1"/>
    </row>
    <row r="36" spans="1:49">
      <c r="A36" s="6">
        <f t="shared" si="37"/>
        <v>2018</v>
      </c>
      <c r="B36" s="1"/>
      <c r="C36" s="494">
        <f>'Exhibit B,3'!AI36</f>
        <v>0</v>
      </c>
      <c r="D36" s="494"/>
      <c r="E36" s="494">
        <f>'Exhibit B,3'!O36+'Exhibit B,3'!Q36</f>
        <v>0</v>
      </c>
      <c r="F36" s="494"/>
      <c r="G36" s="494">
        <f>'Exhibit B,3'!S36+'Exhibit B,3'!U36</f>
        <v>0</v>
      </c>
      <c r="H36" s="494"/>
      <c r="I36" s="494">
        <f t="shared" si="27"/>
        <v>0</v>
      </c>
      <c r="J36" s="494"/>
      <c r="K36" s="494">
        <f t="shared" si="28"/>
        <v>0</v>
      </c>
      <c r="L36" s="494"/>
      <c r="M36" s="501">
        <f t="shared" si="29"/>
        <v>0</v>
      </c>
      <c r="N36" s="494"/>
      <c r="O36" s="501">
        <f t="shared" si="30"/>
        <v>0</v>
      </c>
      <c r="P36" s="1"/>
      <c r="Q36" s="6">
        <f t="shared" si="38"/>
        <v>2018</v>
      </c>
      <c r="R36" s="1"/>
      <c r="S36" s="494">
        <f t="shared" si="31"/>
        <v>0</v>
      </c>
      <c r="T36" s="494"/>
      <c r="U36" s="20">
        <v>0</v>
      </c>
      <c r="V36" s="20"/>
      <c r="W36" s="17">
        <v>0</v>
      </c>
      <c r="X36" s="187"/>
      <c r="Y36" s="494">
        <f t="shared" si="32"/>
        <v>0</v>
      </c>
      <c r="Z36" s="494"/>
      <c r="AA36" s="494">
        <f t="shared" si="33"/>
        <v>0</v>
      </c>
      <c r="AB36" s="494"/>
      <c r="AC36" s="17">
        <f t="shared" si="34"/>
        <v>0</v>
      </c>
      <c r="AD36" s="187"/>
      <c r="AE36" s="17">
        <f t="shared" si="35"/>
        <v>0</v>
      </c>
      <c r="AF36" s="1"/>
      <c r="AG36" s="6">
        <f t="shared" si="39"/>
        <v>2018</v>
      </c>
      <c r="AH36" s="1"/>
      <c r="AI36" s="17">
        <f t="shared" si="36"/>
        <v>0</v>
      </c>
      <c r="AJ36" s="17"/>
      <c r="AK36" s="17">
        <f t="shared" si="21"/>
        <v>0</v>
      </c>
      <c r="AL36" s="17"/>
      <c r="AM36" s="17">
        <f t="shared" si="22"/>
        <v>0</v>
      </c>
      <c r="AN36" s="17"/>
      <c r="AO36" s="17">
        <f t="shared" si="23"/>
        <v>0</v>
      </c>
      <c r="AP36" s="17"/>
      <c r="AQ36" s="17">
        <f t="shared" si="24"/>
        <v>0</v>
      </c>
      <c r="AR36" s="17"/>
      <c r="AS36" s="17">
        <f t="shared" si="25"/>
        <v>0</v>
      </c>
      <c r="AT36" s="17"/>
      <c r="AU36" s="17">
        <f t="shared" si="26"/>
        <v>0</v>
      </c>
      <c r="AW36" s="1"/>
    </row>
    <row r="37" spans="1:49">
      <c r="A37" s="6">
        <f t="shared" si="37"/>
        <v>2019</v>
      </c>
      <c r="B37" s="1"/>
      <c r="C37" s="494">
        <f>'Exhibit B,3'!AI37</f>
        <v>0</v>
      </c>
      <c r="D37" s="494"/>
      <c r="E37" s="494">
        <f>'Exhibit B,3'!O37+'Exhibit B,3'!Q37</f>
        <v>0</v>
      </c>
      <c r="F37" s="494"/>
      <c r="G37" s="494">
        <f>'Exhibit B,3'!S37+'Exhibit B,3'!U37</f>
        <v>0</v>
      </c>
      <c r="H37" s="494"/>
      <c r="I37" s="494">
        <f t="shared" si="27"/>
        <v>0</v>
      </c>
      <c r="J37" s="494"/>
      <c r="K37" s="494">
        <f t="shared" si="28"/>
        <v>0</v>
      </c>
      <c r="L37" s="494"/>
      <c r="M37" s="501">
        <f t="shared" si="29"/>
        <v>0</v>
      </c>
      <c r="N37" s="494"/>
      <c r="O37" s="501">
        <f t="shared" si="30"/>
        <v>0</v>
      </c>
      <c r="P37" s="1"/>
      <c r="Q37" s="6">
        <f t="shared" si="38"/>
        <v>2019</v>
      </c>
      <c r="R37" s="1"/>
      <c r="S37" s="494">
        <f t="shared" si="31"/>
        <v>0</v>
      </c>
      <c r="T37" s="494"/>
      <c r="U37" s="20">
        <v>0</v>
      </c>
      <c r="V37" s="20"/>
      <c r="W37" s="17">
        <v>0</v>
      </c>
      <c r="X37" s="187"/>
      <c r="Y37" s="494">
        <f t="shared" si="32"/>
        <v>0</v>
      </c>
      <c r="Z37" s="494"/>
      <c r="AA37" s="494">
        <f t="shared" si="33"/>
        <v>0</v>
      </c>
      <c r="AB37" s="494"/>
      <c r="AC37" s="17">
        <f t="shared" si="34"/>
        <v>0</v>
      </c>
      <c r="AD37" s="187"/>
      <c r="AE37" s="17">
        <f t="shared" si="35"/>
        <v>0</v>
      </c>
      <c r="AF37" s="1"/>
      <c r="AG37" s="6">
        <f t="shared" si="39"/>
        <v>2019</v>
      </c>
      <c r="AH37" s="1"/>
      <c r="AI37" s="17">
        <f t="shared" si="36"/>
        <v>0</v>
      </c>
      <c r="AJ37" s="17"/>
      <c r="AK37" s="17">
        <f t="shared" si="21"/>
        <v>0</v>
      </c>
      <c r="AL37" s="17"/>
      <c r="AM37" s="17">
        <f t="shared" si="22"/>
        <v>0</v>
      </c>
      <c r="AN37" s="17"/>
      <c r="AO37" s="17">
        <f t="shared" si="23"/>
        <v>0</v>
      </c>
      <c r="AP37" s="17"/>
      <c r="AQ37" s="17">
        <f t="shared" si="24"/>
        <v>0</v>
      </c>
      <c r="AR37" s="17"/>
      <c r="AS37" s="17">
        <f t="shared" si="25"/>
        <v>0</v>
      </c>
      <c r="AT37" s="17"/>
      <c r="AU37" s="17">
        <f t="shared" si="26"/>
        <v>0</v>
      </c>
      <c r="AW37" s="1"/>
    </row>
    <row r="38" spans="1:49">
      <c r="A38" s="6">
        <f t="shared" si="37"/>
        <v>2020</v>
      </c>
      <c r="B38" s="1"/>
      <c r="C38" s="494">
        <f>'Exhibit B,3'!AI38</f>
        <v>0</v>
      </c>
      <c r="D38" s="494"/>
      <c r="E38" s="494">
        <f>'Exhibit B,3'!O38+'Exhibit B,3'!Q38</f>
        <v>0</v>
      </c>
      <c r="F38" s="494"/>
      <c r="G38" s="494">
        <f>'Exhibit B,3'!S38+'Exhibit B,3'!U38</f>
        <v>0</v>
      </c>
      <c r="H38" s="494"/>
      <c r="I38" s="494">
        <f t="shared" si="27"/>
        <v>0</v>
      </c>
      <c r="J38" s="494"/>
      <c r="K38" s="494">
        <f t="shared" si="28"/>
        <v>0</v>
      </c>
      <c r="L38" s="494"/>
      <c r="M38" s="501">
        <f t="shared" si="29"/>
        <v>0</v>
      </c>
      <c r="N38" s="494"/>
      <c r="O38" s="501">
        <f t="shared" si="30"/>
        <v>0</v>
      </c>
      <c r="P38" s="1"/>
      <c r="Q38" s="6">
        <f t="shared" si="38"/>
        <v>2020</v>
      </c>
      <c r="R38" s="1"/>
      <c r="S38" s="494">
        <f t="shared" si="31"/>
        <v>0</v>
      </c>
      <c r="T38" s="494"/>
      <c r="U38" s="20">
        <v>0</v>
      </c>
      <c r="V38" s="20"/>
      <c r="W38" s="17">
        <v>0</v>
      </c>
      <c r="X38" s="187"/>
      <c r="Y38" s="494">
        <f t="shared" si="32"/>
        <v>0</v>
      </c>
      <c r="Z38" s="494"/>
      <c r="AA38" s="494">
        <f t="shared" si="33"/>
        <v>0</v>
      </c>
      <c r="AB38" s="494"/>
      <c r="AC38" s="17">
        <f t="shared" si="34"/>
        <v>0</v>
      </c>
      <c r="AD38" s="187"/>
      <c r="AE38" s="17">
        <f t="shared" si="35"/>
        <v>0</v>
      </c>
      <c r="AF38" s="1"/>
      <c r="AG38" s="6">
        <f t="shared" si="39"/>
        <v>2020</v>
      </c>
      <c r="AH38" s="1"/>
      <c r="AI38" s="17">
        <f t="shared" si="36"/>
        <v>0</v>
      </c>
      <c r="AJ38" s="17"/>
      <c r="AK38" s="17">
        <f t="shared" si="21"/>
        <v>0</v>
      </c>
      <c r="AL38" s="17"/>
      <c r="AM38" s="17">
        <f t="shared" si="22"/>
        <v>0</v>
      </c>
      <c r="AN38" s="17"/>
      <c r="AO38" s="17">
        <f t="shared" si="23"/>
        <v>0</v>
      </c>
      <c r="AP38" s="17"/>
      <c r="AQ38" s="17">
        <f t="shared" si="24"/>
        <v>0</v>
      </c>
      <c r="AR38" s="17"/>
      <c r="AS38" s="17">
        <f t="shared" si="25"/>
        <v>0</v>
      </c>
      <c r="AT38" s="17"/>
      <c r="AU38" s="17">
        <f t="shared" si="26"/>
        <v>0</v>
      </c>
      <c r="AW38" s="1"/>
    </row>
    <row r="39" spans="1:49">
      <c r="A39" s="6">
        <f t="shared" si="37"/>
        <v>2021</v>
      </c>
      <c r="B39" s="1"/>
      <c r="C39" s="494">
        <f>'Exhibit B,3'!AI39</f>
        <v>0</v>
      </c>
      <c r="D39" s="494"/>
      <c r="E39" s="494">
        <f>'Exhibit B,3'!O39+'Exhibit B,3'!Q39</f>
        <v>0</v>
      </c>
      <c r="F39" s="494"/>
      <c r="G39" s="494">
        <f>'Exhibit B,3'!S39+'Exhibit B,3'!U39</f>
        <v>0</v>
      </c>
      <c r="H39" s="494"/>
      <c r="I39" s="494">
        <f t="shared" si="27"/>
        <v>0</v>
      </c>
      <c r="J39" s="494"/>
      <c r="K39" s="494">
        <f t="shared" si="28"/>
        <v>0</v>
      </c>
      <c r="L39" s="494"/>
      <c r="M39" s="501">
        <f t="shared" si="29"/>
        <v>0</v>
      </c>
      <c r="N39" s="494"/>
      <c r="O39" s="501">
        <f t="shared" si="30"/>
        <v>0</v>
      </c>
      <c r="P39" s="1"/>
      <c r="Q39" s="6">
        <f t="shared" si="38"/>
        <v>2021</v>
      </c>
      <c r="R39" s="1"/>
      <c r="S39" s="494">
        <f t="shared" si="31"/>
        <v>0</v>
      </c>
      <c r="T39" s="494"/>
      <c r="U39" s="20">
        <v>0</v>
      </c>
      <c r="V39" s="20"/>
      <c r="W39" s="17">
        <v>0</v>
      </c>
      <c r="X39" s="187"/>
      <c r="Y39" s="494">
        <f t="shared" si="32"/>
        <v>0</v>
      </c>
      <c r="Z39" s="494"/>
      <c r="AA39" s="494">
        <f t="shared" si="33"/>
        <v>0</v>
      </c>
      <c r="AB39" s="494"/>
      <c r="AC39" s="17">
        <f t="shared" si="34"/>
        <v>0</v>
      </c>
      <c r="AD39" s="187"/>
      <c r="AE39" s="17">
        <f t="shared" si="35"/>
        <v>0</v>
      </c>
      <c r="AF39" s="1"/>
      <c r="AG39" s="6">
        <f t="shared" si="39"/>
        <v>2021</v>
      </c>
      <c r="AH39" s="1"/>
      <c r="AI39" s="17">
        <f t="shared" si="36"/>
        <v>0</v>
      </c>
      <c r="AJ39" s="17"/>
      <c r="AK39" s="17">
        <f t="shared" si="21"/>
        <v>0</v>
      </c>
      <c r="AL39" s="17"/>
      <c r="AM39" s="17">
        <f t="shared" si="22"/>
        <v>0</v>
      </c>
      <c r="AN39" s="17"/>
      <c r="AO39" s="17">
        <f t="shared" si="23"/>
        <v>0</v>
      </c>
      <c r="AP39" s="17"/>
      <c r="AQ39" s="17">
        <f t="shared" si="24"/>
        <v>0</v>
      </c>
      <c r="AR39" s="17"/>
      <c r="AS39" s="17">
        <f t="shared" si="25"/>
        <v>0</v>
      </c>
      <c r="AT39" s="17"/>
      <c r="AU39" s="17">
        <f t="shared" si="26"/>
        <v>0</v>
      </c>
      <c r="AW39" s="1"/>
    </row>
    <row r="40" spans="1:49">
      <c r="A40" s="6">
        <f t="shared" si="37"/>
        <v>2022</v>
      </c>
      <c r="B40" s="1"/>
      <c r="C40" s="494">
        <f>'Exhibit B,3'!AI40</f>
        <v>0</v>
      </c>
      <c r="D40" s="494"/>
      <c r="E40" s="494">
        <f>'Exhibit B,3'!O40+'Exhibit B,3'!Q40</f>
        <v>0</v>
      </c>
      <c r="F40" s="494"/>
      <c r="G40" s="494">
        <f>'Exhibit B,3'!S40+'Exhibit B,3'!U40</f>
        <v>0</v>
      </c>
      <c r="H40" s="494"/>
      <c r="I40" s="494">
        <f t="shared" si="27"/>
        <v>0</v>
      </c>
      <c r="J40" s="494"/>
      <c r="K40" s="494">
        <f t="shared" si="28"/>
        <v>0</v>
      </c>
      <c r="L40" s="494"/>
      <c r="M40" s="501">
        <f t="shared" si="29"/>
        <v>0</v>
      </c>
      <c r="N40" s="494"/>
      <c r="O40" s="501">
        <f t="shared" si="30"/>
        <v>0</v>
      </c>
      <c r="P40" s="1"/>
      <c r="Q40" s="6">
        <f t="shared" si="38"/>
        <v>2022</v>
      </c>
      <c r="R40" s="1"/>
      <c r="S40" s="494">
        <f t="shared" si="31"/>
        <v>0</v>
      </c>
      <c r="T40" s="494"/>
      <c r="U40" s="20">
        <v>0</v>
      </c>
      <c r="V40" s="20"/>
      <c r="W40" s="17">
        <v>0</v>
      </c>
      <c r="X40" s="187"/>
      <c r="Y40" s="494">
        <f t="shared" si="32"/>
        <v>0</v>
      </c>
      <c r="Z40" s="494"/>
      <c r="AA40" s="494">
        <f t="shared" si="33"/>
        <v>0</v>
      </c>
      <c r="AB40" s="494"/>
      <c r="AC40" s="17">
        <f t="shared" si="34"/>
        <v>0</v>
      </c>
      <c r="AD40" s="187"/>
      <c r="AE40" s="17">
        <f t="shared" si="35"/>
        <v>0</v>
      </c>
      <c r="AF40" s="1"/>
      <c r="AG40" s="6">
        <f t="shared" si="39"/>
        <v>2022</v>
      </c>
      <c r="AH40" s="1"/>
      <c r="AI40" s="17">
        <f t="shared" si="36"/>
        <v>0</v>
      </c>
      <c r="AJ40" s="17"/>
      <c r="AK40" s="17">
        <f t="shared" si="21"/>
        <v>0</v>
      </c>
      <c r="AL40" s="17"/>
      <c r="AM40" s="17">
        <f t="shared" si="22"/>
        <v>0</v>
      </c>
      <c r="AN40" s="17"/>
      <c r="AO40" s="17">
        <f t="shared" si="23"/>
        <v>0</v>
      </c>
      <c r="AP40" s="17"/>
      <c r="AQ40" s="17">
        <f t="shared" si="24"/>
        <v>0</v>
      </c>
      <c r="AR40" s="17"/>
      <c r="AS40" s="17">
        <f t="shared" si="25"/>
        <v>0</v>
      </c>
      <c r="AT40" s="17"/>
      <c r="AU40" s="17">
        <f t="shared" si="26"/>
        <v>0</v>
      </c>
      <c r="AW40" s="1"/>
    </row>
    <row r="41" spans="1:49">
      <c r="A41" s="6"/>
      <c r="B41" s="1"/>
      <c r="C41" s="63"/>
      <c r="D41" s="1"/>
      <c r="E41" s="63"/>
      <c r="F41" s="1"/>
      <c r="G41" s="63"/>
      <c r="H41" s="1"/>
      <c r="I41" s="63"/>
      <c r="J41" s="1"/>
      <c r="K41" s="63"/>
      <c r="L41" s="1"/>
      <c r="M41" s="63"/>
      <c r="N41" s="63"/>
      <c r="O41" s="63"/>
      <c r="P41" s="1"/>
      <c r="Q41" s="6"/>
      <c r="R41" s="1"/>
      <c r="S41" s="63"/>
      <c r="T41" s="1"/>
      <c r="U41" s="63"/>
      <c r="V41" s="1"/>
      <c r="W41" s="63"/>
      <c r="X41" s="1"/>
      <c r="Y41" s="63"/>
      <c r="Z41" s="1"/>
      <c r="AA41" s="63"/>
      <c r="AB41" s="1"/>
      <c r="AC41" s="63"/>
      <c r="AD41" s="63"/>
      <c r="AE41" s="63"/>
      <c r="AF41" s="1"/>
      <c r="AG41" s="6"/>
      <c r="AH41" s="1"/>
      <c r="AI41" s="63"/>
      <c r="AJ41" s="1"/>
      <c r="AK41" s="63"/>
      <c r="AL41" s="1"/>
      <c r="AM41" s="63"/>
      <c r="AN41" s="1"/>
      <c r="AO41" s="63"/>
      <c r="AP41" s="1"/>
      <c r="AQ41" s="63"/>
      <c r="AR41" s="1"/>
      <c r="AS41" s="63"/>
      <c r="AT41" s="63"/>
      <c r="AU41" s="63"/>
      <c r="AW41" s="1"/>
    </row>
    <row r="42" spans="1:49">
      <c r="A42" s="2" t="s">
        <v>0</v>
      </c>
      <c r="B42" s="1"/>
      <c r="C42" s="147">
        <f>SUM(C31:C41)</f>
        <v>0</v>
      </c>
      <c r="D42" s="147"/>
      <c r="E42" s="147">
        <f>SUM(E31:E41)</f>
        <v>0</v>
      </c>
      <c r="F42" s="147"/>
      <c r="G42" s="147">
        <f>SUM(G31:G41)</f>
        <v>0</v>
      </c>
      <c r="H42" s="147"/>
      <c r="I42" s="147">
        <f>SUM(I31:I41)</f>
        <v>0</v>
      </c>
      <c r="J42" s="147"/>
      <c r="K42" s="147">
        <f>SUM(K31:K41)</f>
        <v>0</v>
      </c>
      <c r="L42" s="147"/>
      <c r="M42" s="147">
        <f>SUM(M31:M41)</f>
        <v>0</v>
      </c>
      <c r="N42" s="147"/>
      <c r="O42" s="147">
        <f>SUM(O31:O41)</f>
        <v>0</v>
      </c>
      <c r="P42" s="1"/>
      <c r="Q42" s="2" t="s">
        <v>0</v>
      </c>
      <c r="R42" s="1"/>
      <c r="S42" s="147">
        <f>SUM(S31:S41)</f>
        <v>0</v>
      </c>
      <c r="T42" s="147"/>
      <c r="U42" s="147">
        <f>SUM(U31:U41)</f>
        <v>0</v>
      </c>
      <c r="V42" s="147"/>
      <c r="W42" s="147">
        <f>SUM(W31:W41)</f>
        <v>0</v>
      </c>
      <c r="X42" s="147"/>
      <c r="Y42" s="147">
        <f>SUM(Y31:Y41)</f>
        <v>0</v>
      </c>
      <c r="Z42" s="147"/>
      <c r="AA42" s="147">
        <f>SUM(AA31:AA41)</f>
        <v>0</v>
      </c>
      <c r="AB42" s="147"/>
      <c r="AC42" s="147">
        <f>SUM(AC31:AC41)</f>
        <v>0</v>
      </c>
      <c r="AD42" s="147"/>
      <c r="AE42" s="147">
        <f>SUM(AE31:AE41)</f>
        <v>0</v>
      </c>
      <c r="AF42" s="1"/>
      <c r="AG42" s="2" t="s">
        <v>0</v>
      </c>
      <c r="AH42" s="1"/>
      <c r="AI42" s="147">
        <f>SUM(AI31:AI41)</f>
        <v>0</v>
      </c>
      <c r="AJ42" s="147"/>
      <c r="AK42" s="147">
        <f>SUM(AK31:AK41)</f>
        <v>0</v>
      </c>
      <c r="AL42" s="147"/>
      <c r="AM42" s="147">
        <f>SUM(AM31:AM41)</f>
        <v>0</v>
      </c>
      <c r="AN42" s="147"/>
      <c r="AO42" s="147">
        <f>SUM(AO31:AO41)</f>
        <v>0</v>
      </c>
      <c r="AP42" s="147"/>
      <c r="AQ42" s="147">
        <f>SUM(AQ31:AQ41)</f>
        <v>0</v>
      </c>
      <c r="AR42" s="147"/>
      <c r="AS42" s="147">
        <f>SUM(AS31:AS41)</f>
        <v>0</v>
      </c>
      <c r="AT42" s="147"/>
      <c r="AU42" s="147">
        <f>SUM(AU31:AU41)</f>
        <v>0</v>
      </c>
      <c r="AW42" s="1"/>
    </row>
    <row r="43" spans="1:49">
      <c r="A43" s="2"/>
      <c r="B43" s="1"/>
      <c r="C43" s="26"/>
      <c r="D43" s="1"/>
      <c r="E43" s="26"/>
      <c r="F43" s="1"/>
      <c r="G43" s="26"/>
      <c r="H43" s="1"/>
      <c r="I43" s="26"/>
      <c r="J43" s="1"/>
      <c r="K43" s="26"/>
      <c r="L43" s="1"/>
      <c r="M43" s="1"/>
      <c r="N43" s="1"/>
      <c r="O43" s="1"/>
      <c r="P43" s="1"/>
      <c r="Q43" s="2"/>
      <c r="R43" s="1"/>
      <c r="S43" s="26"/>
      <c r="T43" s="1"/>
      <c r="U43" s="26"/>
      <c r="V43" s="1"/>
      <c r="W43" s="26"/>
      <c r="X43" s="1"/>
      <c r="Y43" s="26"/>
      <c r="Z43" s="1"/>
      <c r="AA43" s="26"/>
      <c r="AB43" s="1"/>
      <c r="AC43" s="1"/>
      <c r="AD43" s="1"/>
      <c r="AE43" s="1"/>
      <c r="AF43" s="1"/>
      <c r="AG43" s="2"/>
      <c r="AH43" s="1"/>
      <c r="AI43" s="26"/>
      <c r="AJ43" s="1"/>
      <c r="AK43" s="26"/>
      <c r="AL43" s="1"/>
      <c r="AM43" s="26"/>
      <c r="AN43" s="1"/>
      <c r="AO43" s="26"/>
      <c r="AP43" s="1"/>
      <c r="AQ43" s="26"/>
      <c r="AR43" s="1"/>
      <c r="AS43" s="1"/>
      <c r="AT43" s="1"/>
      <c r="AU43" s="1"/>
      <c r="AW43" s="1"/>
    </row>
    <row r="44" spans="1:49">
      <c r="A44" s="3" t="s">
        <v>1650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3" t="s">
        <v>1652</v>
      </c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3" t="s">
        <v>638</v>
      </c>
      <c r="AH44" s="1"/>
      <c r="AI44" s="1"/>
      <c r="AJ44" s="1"/>
      <c r="AK44" s="147">
        <f t="shared" ref="AK44" si="40">E44-U44</f>
        <v>0</v>
      </c>
      <c r="AL44" s="147"/>
      <c r="AM44" s="147">
        <f t="shared" ref="AM44" si="41">G44-W44</f>
        <v>0</v>
      </c>
      <c r="AN44" s="1"/>
      <c r="AO44" s="1"/>
      <c r="AP44" s="1"/>
      <c r="AQ44" s="1"/>
      <c r="AR44" s="1"/>
      <c r="AS44" s="1"/>
      <c r="AT44" s="1"/>
      <c r="AU44" s="1"/>
      <c r="AW44" s="1"/>
    </row>
    <row r="45" spans="1:49">
      <c r="A45" s="6">
        <f>A31</f>
        <v>2013</v>
      </c>
      <c r="B45" s="1"/>
      <c r="C45" s="147">
        <f>'Exhibit B,3'!AI45</f>
        <v>1721</v>
      </c>
      <c r="D45" s="147"/>
      <c r="E45" s="147">
        <f>'Exhibit B,3'!O45+'Exhibit B,3'!Q45</f>
        <v>1721</v>
      </c>
      <c r="F45" s="147"/>
      <c r="G45" s="147">
        <f>'Exhibit B,3'!S45+'Exhibit B,3'!U45</f>
        <v>1721</v>
      </c>
      <c r="H45" s="147"/>
      <c r="I45" s="147">
        <f>G45-E45</f>
        <v>0</v>
      </c>
      <c r="J45" s="147"/>
      <c r="K45" s="147">
        <f>C45-G45</f>
        <v>0</v>
      </c>
      <c r="L45" s="147"/>
      <c r="M45" s="147">
        <f>C45-E45</f>
        <v>0</v>
      </c>
      <c r="N45" s="147"/>
      <c r="O45" s="497">
        <f>IF((I$28)=0,0,M45/M$70*O$70)</f>
        <v>0</v>
      </c>
      <c r="P45" s="1"/>
      <c r="Q45" s="6">
        <v>2013</v>
      </c>
      <c r="R45" s="1"/>
      <c r="S45" s="147">
        <f>W45+AA45</f>
        <v>0</v>
      </c>
      <c r="T45" s="147"/>
      <c r="U45" s="497">
        <v>0</v>
      </c>
      <c r="V45" s="497"/>
      <c r="W45" s="497">
        <v>0</v>
      </c>
      <c r="X45" s="147"/>
      <c r="Y45" s="147">
        <f>W59-U59</f>
        <v>0</v>
      </c>
      <c r="Z45" s="147"/>
      <c r="AA45" s="147">
        <f>0.95*K45</f>
        <v>0</v>
      </c>
      <c r="AB45" s="147"/>
      <c r="AC45" s="147">
        <f>S45-U45</f>
        <v>0</v>
      </c>
      <c r="AD45" s="147"/>
      <c r="AE45" s="147">
        <f>0.95*O45</f>
        <v>0</v>
      </c>
      <c r="AF45" s="1"/>
      <c r="AG45" s="6">
        <v>2013</v>
      </c>
      <c r="AH45" s="1"/>
      <c r="AI45" s="147">
        <f>C45-S45</f>
        <v>1721</v>
      </c>
      <c r="AJ45" s="147"/>
      <c r="AK45" s="147">
        <f t="shared" ref="AK45:AK54" si="42">E45-U45</f>
        <v>1721</v>
      </c>
      <c r="AL45" s="147"/>
      <c r="AM45" s="147">
        <f t="shared" ref="AM45:AM54" si="43">G45-W45</f>
        <v>1721</v>
      </c>
      <c r="AN45" s="147"/>
      <c r="AO45" s="147">
        <f t="shared" ref="AO45:AO54" si="44">I45-Y45</f>
        <v>0</v>
      </c>
      <c r="AP45" s="147"/>
      <c r="AQ45" s="147">
        <f t="shared" ref="AQ45:AQ54" si="45">K45-AA45</f>
        <v>0</v>
      </c>
      <c r="AR45" s="147"/>
      <c r="AS45" s="147">
        <f t="shared" ref="AS45:AS54" si="46">M45-AC45</f>
        <v>0</v>
      </c>
      <c r="AT45" s="147"/>
      <c r="AU45" s="147">
        <f t="shared" ref="AU45:AU54" si="47">O45-AE45</f>
        <v>0</v>
      </c>
      <c r="AW45" s="1"/>
    </row>
    <row r="46" spans="1:49">
      <c r="A46" s="6">
        <f>A45+1</f>
        <v>2014</v>
      </c>
      <c r="B46" s="1"/>
      <c r="C46" s="494">
        <f>'Exhibit B,3'!AI46</f>
        <v>190.26234790433719</v>
      </c>
      <c r="D46" s="494"/>
      <c r="E46" s="494">
        <f>'Exhibit B,3'!O46+'Exhibit B,3'!Q46</f>
        <v>0</v>
      </c>
      <c r="F46" s="494"/>
      <c r="G46" s="494">
        <f>'Exhibit B,3'!S46+'Exhibit B,3'!U46</f>
        <v>0</v>
      </c>
      <c r="H46" s="494"/>
      <c r="I46" s="494">
        <f t="shared" ref="I46:I54" si="48">G46-E46</f>
        <v>0</v>
      </c>
      <c r="J46" s="494"/>
      <c r="K46" s="494">
        <f t="shared" ref="K46:K54" si="49">C46-G46</f>
        <v>190.26234790433719</v>
      </c>
      <c r="L46" s="494"/>
      <c r="M46" s="501">
        <f t="shared" ref="M46:M54" si="50">C46-E46</f>
        <v>190.26234790433719</v>
      </c>
      <c r="N46" s="494"/>
      <c r="O46" s="501">
        <f t="shared" ref="O46:O54" si="51">IF((I$28)=0,0,M46/M$70*O$70)</f>
        <v>6.104840678993277</v>
      </c>
      <c r="P46" s="1"/>
      <c r="Q46" s="6">
        <f>Q45+1</f>
        <v>2014</v>
      </c>
      <c r="R46" s="1"/>
      <c r="S46" s="17">
        <f t="shared" ref="S46:S54" si="52">W46+AA46</f>
        <v>180.74923050912031</v>
      </c>
      <c r="T46" s="494"/>
      <c r="U46" s="20">
        <v>0</v>
      </c>
      <c r="V46" s="20"/>
      <c r="W46" s="20">
        <v>0</v>
      </c>
      <c r="X46" s="187"/>
      <c r="Y46" s="494">
        <f t="shared" ref="Y46:Y54" si="53">W46-U46</f>
        <v>0</v>
      </c>
      <c r="Z46" s="494"/>
      <c r="AA46" s="494">
        <f t="shared" ref="AA46:AA54" si="54">0.95*K46</f>
        <v>180.74923050912031</v>
      </c>
      <c r="AB46" s="494"/>
      <c r="AC46" s="17">
        <f t="shared" ref="AC46:AC54" si="55">S46-U46</f>
        <v>180.74923050912031</v>
      </c>
      <c r="AD46" s="187"/>
      <c r="AE46" s="17">
        <f t="shared" ref="AE46:AE54" si="56">0.95*O46</f>
        <v>5.7995986450436128</v>
      </c>
      <c r="AF46" s="1"/>
      <c r="AG46" s="6">
        <f>AG45+1</f>
        <v>2014</v>
      </c>
      <c r="AH46" s="1"/>
      <c r="AI46" s="17">
        <f t="shared" ref="AI46:AI54" si="57">C46-S46</f>
        <v>9.5131173952168808</v>
      </c>
      <c r="AJ46" s="17"/>
      <c r="AK46" s="17">
        <f t="shared" si="42"/>
        <v>0</v>
      </c>
      <c r="AL46" s="17"/>
      <c r="AM46" s="17">
        <f t="shared" si="43"/>
        <v>0</v>
      </c>
      <c r="AN46" s="17"/>
      <c r="AO46" s="17">
        <f t="shared" si="44"/>
        <v>0</v>
      </c>
      <c r="AP46" s="17"/>
      <c r="AQ46" s="17">
        <f t="shared" si="45"/>
        <v>9.5131173952168808</v>
      </c>
      <c r="AR46" s="17"/>
      <c r="AS46" s="17">
        <f t="shared" si="46"/>
        <v>9.5131173952168808</v>
      </c>
      <c r="AT46" s="17"/>
      <c r="AU46" s="17">
        <f t="shared" si="47"/>
        <v>0.3052420339496642</v>
      </c>
      <c r="AW46" s="1"/>
    </row>
    <row r="47" spans="1:49">
      <c r="A47" s="6">
        <f t="shared" ref="A47:A54" si="58">A46+1</f>
        <v>2015</v>
      </c>
      <c r="B47" s="1"/>
      <c r="C47" s="494">
        <f>'Exhibit B,3'!AI47</f>
        <v>64060.998869333285</v>
      </c>
      <c r="D47" s="494"/>
      <c r="E47" s="494">
        <f>'Exhibit B,3'!O47+'Exhibit B,3'!Q47</f>
        <v>36478.69</v>
      </c>
      <c r="F47" s="494"/>
      <c r="G47" s="494">
        <f>'Exhibit B,3'!S47+'Exhibit B,3'!U47</f>
        <v>63892.69</v>
      </c>
      <c r="H47" s="494"/>
      <c r="I47" s="494">
        <f t="shared" si="48"/>
        <v>27414</v>
      </c>
      <c r="J47" s="494"/>
      <c r="K47" s="494">
        <f t="shared" si="49"/>
        <v>168.30886933328293</v>
      </c>
      <c r="L47" s="494"/>
      <c r="M47" s="501">
        <f t="shared" si="50"/>
        <v>27582.308869333283</v>
      </c>
      <c r="N47" s="494"/>
      <c r="O47" s="501">
        <f t="shared" si="51"/>
        <v>885.01799258109747</v>
      </c>
      <c r="P47" s="1"/>
      <c r="Q47" s="6">
        <f t="shared" ref="Q47:Q52" si="59">Q46+1</f>
        <v>2015</v>
      </c>
      <c r="R47" s="1"/>
      <c r="S47" s="17">
        <f t="shared" si="52"/>
        <v>40644.14342586662</v>
      </c>
      <c r="T47" s="494"/>
      <c r="U47" s="20">
        <v>14440.95</v>
      </c>
      <c r="V47" s="20"/>
      <c r="W47" s="20">
        <v>40484.25</v>
      </c>
      <c r="X47" s="187"/>
      <c r="Y47" s="494">
        <f t="shared" si="53"/>
        <v>26043.3</v>
      </c>
      <c r="Z47" s="494"/>
      <c r="AA47" s="494">
        <f t="shared" si="54"/>
        <v>159.89342586661877</v>
      </c>
      <c r="AB47" s="494"/>
      <c r="AC47" s="17">
        <f t="shared" si="55"/>
        <v>26203.193425866619</v>
      </c>
      <c r="AD47" s="187"/>
      <c r="AE47" s="17">
        <f t="shared" si="56"/>
        <v>840.76709295204262</v>
      </c>
      <c r="AF47" s="1"/>
      <c r="AG47" s="6">
        <f t="shared" ref="AG47:AG52" si="60">AG46+1</f>
        <v>2015</v>
      </c>
      <c r="AH47" s="1"/>
      <c r="AI47" s="17">
        <f t="shared" si="57"/>
        <v>23416.855443466666</v>
      </c>
      <c r="AJ47" s="17"/>
      <c r="AK47" s="17">
        <f t="shared" si="42"/>
        <v>22037.74</v>
      </c>
      <c r="AL47" s="17"/>
      <c r="AM47" s="17">
        <f t="shared" si="43"/>
        <v>23408.440000000002</v>
      </c>
      <c r="AN47" s="17"/>
      <c r="AO47" s="17">
        <f t="shared" si="44"/>
        <v>1370.7000000000007</v>
      </c>
      <c r="AP47" s="17"/>
      <c r="AQ47" s="17">
        <f t="shared" si="45"/>
        <v>8.4154434666641578</v>
      </c>
      <c r="AR47" s="17"/>
      <c r="AS47" s="17">
        <f t="shared" si="46"/>
        <v>1379.1154434666641</v>
      </c>
      <c r="AT47" s="17"/>
      <c r="AU47" s="17">
        <f t="shared" si="47"/>
        <v>44.250899629054857</v>
      </c>
      <c r="AW47" s="1"/>
    </row>
    <row r="48" spans="1:49">
      <c r="A48" s="6">
        <f t="shared" si="58"/>
        <v>2016</v>
      </c>
      <c r="B48" s="1"/>
      <c r="C48" s="494">
        <f>'Exhibit B,3'!AI48</f>
        <v>22868.593214719411</v>
      </c>
      <c r="D48" s="494"/>
      <c r="E48" s="494">
        <f>'Exhibit B,3'!O48+'Exhibit B,3'!Q48</f>
        <v>21230.730000000003</v>
      </c>
      <c r="F48" s="494"/>
      <c r="G48" s="494">
        <f>'Exhibit B,3'!S48+'Exhibit B,3'!U48</f>
        <v>21230.730000000003</v>
      </c>
      <c r="H48" s="494"/>
      <c r="I48" s="494">
        <f t="shared" si="48"/>
        <v>0</v>
      </c>
      <c r="J48" s="494"/>
      <c r="K48" s="494">
        <f t="shared" si="49"/>
        <v>1637.8632147194076</v>
      </c>
      <c r="L48" s="494"/>
      <c r="M48" s="501">
        <f t="shared" si="50"/>
        <v>1637.8632147194076</v>
      </c>
      <c r="N48" s="494"/>
      <c r="O48" s="501">
        <f t="shared" si="51"/>
        <v>52.55319347195865</v>
      </c>
      <c r="P48" s="1"/>
      <c r="Q48" s="6">
        <f t="shared" si="59"/>
        <v>2016</v>
      </c>
      <c r="R48" s="1"/>
      <c r="S48" s="17">
        <f t="shared" si="52"/>
        <v>1555.9700539834371</v>
      </c>
      <c r="T48" s="494"/>
      <c r="U48" s="20">
        <v>0</v>
      </c>
      <c r="V48" s="20"/>
      <c r="W48" s="20">
        <v>0</v>
      </c>
      <c r="X48" s="187"/>
      <c r="Y48" s="494">
        <f t="shared" si="53"/>
        <v>0</v>
      </c>
      <c r="Z48" s="494"/>
      <c r="AA48" s="494">
        <f t="shared" si="54"/>
        <v>1555.9700539834371</v>
      </c>
      <c r="AB48" s="494"/>
      <c r="AC48" s="17">
        <f t="shared" si="55"/>
        <v>1555.9700539834371</v>
      </c>
      <c r="AD48" s="187"/>
      <c r="AE48" s="17">
        <f t="shared" si="56"/>
        <v>49.925533798360718</v>
      </c>
      <c r="AF48" s="1"/>
      <c r="AG48" s="6">
        <f t="shared" si="60"/>
        <v>2016</v>
      </c>
      <c r="AH48" s="1"/>
      <c r="AI48" s="17">
        <f t="shared" si="57"/>
        <v>21312.623160735973</v>
      </c>
      <c r="AJ48" s="17"/>
      <c r="AK48" s="17">
        <f t="shared" si="42"/>
        <v>21230.730000000003</v>
      </c>
      <c r="AL48" s="17"/>
      <c r="AM48" s="17">
        <f t="shared" si="43"/>
        <v>21230.730000000003</v>
      </c>
      <c r="AN48" s="17"/>
      <c r="AO48" s="17">
        <f t="shared" si="44"/>
        <v>0</v>
      </c>
      <c r="AP48" s="17"/>
      <c r="AQ48" s="17">
        <f t="shared" si="45"/>
        <v>81.893160735970469</v>
      </c>
      <c r="AR48" s="17"/>
      <c r="AS48" s="17">
        <f t="shared" si="46"/>
        <v>81.893160735970469</v>
      </c>
      <c r="AT48" s="17"/>
      <c r="AU48" s="17">
        <f t="shared" si="47"/>
        <v>2.6276596735979325</v>
      </c>
      <c r="AW48" s="1"/>
    </row>
    <row r="49" spans="1:49">
      <c r="A49" s="6">
        <f t="shared" si="58"/>
        <v>2017</v>
      </c>
      <c r="B49" s="1"/>
      <c r="C49" s="494">
        <f>'Exhibit B,3'!AI49</f>
        <v>255269.9677972956</v>
      </c>
      <c r="D49" s="494"/>
      <c r="E49" s="494">
        <f>'Exhibit B,3'!O49+'Exhibit B,3'!Q49</f>
        <v>244846.25</v>
      </c>
      <c r="F49" s="494"/>
      <c r="G49" s="494">
        <f>'Exhibit B,3'!S49+'Exhibit B,3'!U49</f>
        <v>251609.87</v>
      </c>
      <c r="H49" s="494"/>
      <c r="I49" s="494">
        <f t="shared" si="48"/>
        <v>6763.6199999999953</v>
      </c>
      <c r="J49" s="494"/>
      <c r="K49" s="494">
        <f t="shared" si="49"/>
        <v>3660.0977972956025</v>
      </c>
      <c r="L49" s="494"/>
      <c r="M49" s="501">
        <f t="shared" si="50"/>
        <v>10423.717797295598</v>
      </c>
      <c r="N49" s="494"/>
      <c r="O49" s="501">
        <f t="shared" si="51"/>
        <v>334.45995561492668</v>
      </c>
      <c r="P49" s="1"/>
      <c r="Q49" s="6">
        <f t="shared" si="59"/>
        <v>2017</v>
      </c>
      <c r="R49" s="1"/>
      <c r="S49" s="17">
        <f t="shared" si="52"/>
        <v>10171.132907430831</v>
      </c>
      <c r="T49" s="494"/>
      <c r="U49" s="20">
        <v>268.60000000000002</v>
      </c>
      <c r="V49" s="20"/>
      <c r="W49" s="20">
        <v>6694.0400000000081</v>
      </c>
      <c r="X49" s="187"/>
      <c r="Y49" s="494">
        <f t="shared" si="53"/>
        <v>6425.4400000000078</v>
      </c>
      <c r="Z49" s="494"/>
      <c r="AA49" s="494">
        <f t="shared" si="54"/>
        <v>3477.0929074308224</v>
      </c>
      <c r="AB49" s="494"/>
      <c r="AC49" s="17">
        <f t="shared" si="55"/>
        <v>9902.5329074308302</v>
      </c>
      <c r="AD49" s="187"/>
      <c r="AE49" s="17">
        <f t="shared" si="56"/>
        <v>317.73695783418032</v>
      </c>
      <c r="AF49" s="1"/>
      <c r="AG49" s="6">
        <f t="shared" si="60"/>
        <v>2017</v>
      </c>
      <c r="AH49" s="1"/>
      <c r="AI49" s="17">
        <f t="shared" si="57"/>
        <v>245098.83488986478</v>
      </c>
      <c r="AJ49" s="17"/>
      <c r="AK49" s="17">
        <f t="shared" si="42"/>
        <v>244577.65</v>
      </c>
      <c r="AL49" s="17"/>
      <c r="AM49" s="17">
        <f t="shared" si="43"/>
        <v>244915.83</v>
      </c>
      <c r="AN49" s="17"/>
      <c r="AO49" s="17">
        <f t="shared" si="44"/>
        <v>338.17999999998756</v>
      </c>
      <c r="AP49" s="17"/>
      <c r="AQ49" s="17">
        <f t="shared" si="45"/>
        <v>183.00488986478013</v>
      </c>
      <c r="AR49" s="17"/>
      <c r="AS49" s="17">
        <f t="shared" si="46"/>
        <v>521.18488986476768</v>
      </c>
      <c r="AT49" s="17"/>
      <c r="AU49" s="17">
        <f t="shared" si="47"/>
        <v>16.722997780746368</v>
      </c>
      <c r="AW49" s="1"/>
    </row>
    <row r="50" spans="1:49">
      <c r="A50" s="6">
        <f t="shared" si="58"/>
        <v>2018</v>
      </c>
      <c r="B50" s="1"/>
      <c r="C50" s="494">
        <f>'Exhibit B,3'!AI50</f>
        <v>61044.664689367826</v>
      </c>
      <c r="D50" s="494"/>
      <c r="E50" s="494">
        <f>'Exhibit B,3'!O50+'Exhibit B,3'!Q50</f>
        <v>28346.73</v>
      </c>
      <c r="F50" s="494"/>
      <c r="G50" s="494">
        <f>'Exhibit B,3'!S50+'Exhibit B,3'!U50</f>
        <v>28346.73</v>
      </c>
      <c r="H50" s="494"/>
      <c r="I50" s="494">
        <f t="shared" si="48"/>
        <v>0</v>
      </c>
      <c r="J50" s="494"/>
      <c r="K50" s="494">
        <f t="shared" si="49"/>
        <v>32697.934689367827</v>
      </c>
      <c r="L50" s="494"/>
      <c r="M50" s="501">
        <f t="shared" si="50"/>
        <v>32697.934689367827</v>
      </c>
      <c r="N50" s="494"/>
      <c r="O50" s="501">
        <f t="shared" si="51"/>
        <v>1049.1601938555059</v>
      </c>
      <c r="P50" s="1"/>
      <c r="Q50" s="6">
        <f t="shared" si="59"/>
        <v>2018</v>
      </c>
      <c r="R50" s="1"/>
      <c r="S50" s="494">
        <f t="shared" si="52"/>
        <v>31063.037954899435</v>
      </c>
      <c r="T50" s="494"/>
      <c r="U50" s="20">
        <v>0</v>
      </c>
      <c r="V50" s="20"/>
      <c r="W50" s="20">
        <v>0</v>
      </c>
      <c r="X50" s="187"/>
      <c r="Y50" s="494">
        <f t="shared" si="53"/>
        <v>0</v>
      </c>
      <c r="Z50" s="494"/>
      <c r="AA50" s="494">
        <f t="shared" si="54"/>
        <v>31063.037954899435</v>
      </c>
      <c r="AB50" s="494"/>
      <c r="AC50" s="17">
        <f t="shared" si="55"/>
        <v>31063.037954899435</v>
      </c>
      <c r="AD50" s="187"/>
      <c r="AE50" s="17">
        <f t="shared" si="56"/>
        <v>996.70218416273053</v>
      </c>
      <c r="AF50" s="1"/>
      <c r="AG50" s="6">
        <f t="shared" si="60"/>
        <v>2018</v>
      </c>
      <c r="AH50" s="1"/>
      <c r="AI50" s="17">
        <f t="shared" si="57"/>
        <v>29981.626734468391</v>
      </c>
      <c r="AJ50" s="17"/>
      <c r="AK50" s="17">
        <f t="shared" si="42"/>
        <v>28346.73</v>
      </c>
      <c r="AL50" s="17"/>
      <c r="AM50" s="17">
        <f t="shared" si="43"/>
        <v>28346.73</v>
      </c>
      <c r="AN50" s="17"/>
      <c r="AO50" s="17">
        <f t="shared" si="44"/>
        <v>0</v>
      </c>
      <c r="AP50" s="17"/>
      <c r="AQ50" s="17">
        <f t="shared" si="45"/>
        <v>1634.8967344683915</v>
      </c>
      <c r="AR50" s="17"/>
      <c r="AS50" s="17">
        <f t="shared" si="46"/>
        <v>1634.8967344683915</v>
      </c>
      <c r="AT50" s="17"/>
      <c r="AU50" s="17">
        <f t="shared" si="47"/>
        <v>52.458009692775363</v>
      </c>
      <c r="AW50" s="1"/>
    </row>
    <row r="51" spans="1:49">
      <c r="A51" s="6">
        <f t="shared" si="58"/>
        <v>2019</v>
      </c>
      <c r="B51" s="1"/>
      <c r="C51" s="494">
        <f>'Exhibit B,3'!AI51</f>
        <v>71211.115412369982</v>
      </c>
      <c r="D51" s="494"/>
      <c r="E51" s="494">
        <f>'Exhibit B,3'!O51+'Exhibit B,3'!Q51</f>
        <v>35217.770000000004</v>
      </c>
      <c r="F51" s="494"/>
      <c r="G51" s="494">
        <f>'Exhibit B,3'!S51+'Exhibit B,3'!U51</f>
        <v>35217.770000000004</v>
      </c>
      <c r="H51" s="494"/>
      <c r="I51" s="494">
        <f t="shared" si="48"/>
        <v>0</v>
      </c>
      <c r="J51" s="494"/>
      <c r="K51" s="494">
        <f t="shared" si="49"/>
        <v>35993.345412369978</v>
      </c>
      <c r="L51" s="494"/>
      <c r="M51" s="501">
        <f t="shared" si="50"/>
        <v>35993.345412369978</v>
      </c>
      <c r="N51" s="494"/>
      <c r="O51" s="501">
        <f t="shared" si="51"/>
        <v>1154.8981796281264</v>
      </c>
      <c r="P51" s="1"/>
      <c r="Q51" s="6">
        <f t="shared" si="59"/>
        <v>2019</v>
      </c>
      <c r="R51" s="1"/>
      <c r="S51" s="494">
        <f t="shared" si="52"/>
        <v>34312.428141751479</v>
      </c>
      <c r="T51" s="494"/>
      <c r="U51" s="20">
        <v>118.75</v>
      </c>
      <c r="V51" s="20"/>
      <c r="W51" s="20">
        <v>118.75</v>
      </c>
      <c r="X51" s="187"/>
      <c r="Y51" s="494">
        <f t="shared" si="53"/>
        <v>0</v>
      </c>
      <c r="Z51" s="494"/>
      <c r="AA51" s="494">
        <f t="shared" si="54"/>
        <v>34193.678141751479</v>
      </c>
      <c r="AB51" s="494"/>
      <c r="AC51" s="17">
        <f t="shared" si="55"/>
        <v>34193.678141751479</v>
      </c>
      <c r="AD51" s="187"/>
      <c r="AE51" s="17">
        <f t="shared" si="56"/>
        <v>1097.1532706467201</v>
      </c>
      <c r="AF51" s="1"/>
      <c r="AG51" s="6">
        <f t="shared" si="60"/>
        <v>2019</v>
      </c>
      <c r="AH51" s="1"/>
      <c r="AI51" s="17">
        <f t="shared" si="57"/>
        <v>36898.687270618502</v>
      </c>
      <c r="AJ51" s="17"/>
      <c r="AK51" s="17">
        <f t="shared" si="42"/>
        <v>35099.020000000004</v>
      </c>
      <c r="AL51" s="17"/>
      <c r="AM51" s="17">
        <f t="shared" si="43"/>
        <v>35099.020000000004</v>
      </c>
      <c r="AN51" s="17"/>
      <c r="AO51" s="17">
        <f t="shared" si="44"/>
        <v>0</v>
      </c>
      <c r="AP51" s="17"/>
      <c r="AQ51" s="17">
        <f t="shared" si="45"/>
        <v>1799.6672706184982</v>
      </c>
      <c r="AR51" s="17"/>
      <c r="AS51" s="17">
        <f t="shared" si="46"/>
        <v>1799.6672706184982</v>
      </c>
      <c r="AT51" s="17"/>
      <c r="AU51" s="17">
        <f t="shared" si="47"/>
        <v>57.744908981406297</v>
      </c>
      <c r="AW51" s="1"/>
    </row>
    <row r="52" spans="1:49">
      <c r="A52" s="6">
        <f t="shared" si="58"/>
        <v>2020</v>
      </c>
      <c r="B52" s="1"/>
      <c r="C52" s="494">
        <f>'Exhibit B,3'!AI52</f>
        <v>117003.32240827722</v>
      </c>
      <c r="D52" s="494"/>
      <c r="E52" s="494">
        <f>'Exhibit B,3'!O52+'Exhibit B,3'!Q52</f>
        <v>45046.5</v>
      </c>
      <c r="F52" s="494"/>
      <c r="G52" s="494">
        <f>'Exhibit B,3'!S52+'Exhibit B,3'!U52</f>
        <v>70829</v>
      </c>
      <c r="H52" s="494"/>
      <c r="I52" s="494">
        <f t="shared" si="48"/>
        <v>25782.5</v>
      </c>
      <c r="J52" s="494"/>
      <c r="K52" s="494">
        <f t="shared" si="49"/>
        <v>46174.322408277221</v>
      </c>
      <c r="L52" s="494"/>
      <c r="M52" s="501">
        <f t="shared" si="50"/>
        <v>71956.822408277221</v>
      </c>
      <c r="N52" s="494"/>
      <c r="O52" s="501">
        <f t="shared" si="51"/>
        <v>2308.837988218329</v>
      </c>
      <c r="P52" s="1"/>
      <c r="Q52" s="6">
        <f t="shared" si="59"/>
        <v>2020</v>
      </c>
      <c r="R52" s="1"/>
      <c r="S52" s="494">
        <f t="shared" si="52"/>
        <v>70028.606287863367</v>
      </c>
      <c r="T52" s="494"/>
      <c r="U52" s="20">
        <v>1669.6200000000001</v>
      </c>
      <c r="V52" s="20"/>
      <c r="W52" s="20">
        <v>26163</v>
      </c>
      <c r="X52" s="187"/>
      <c r="Y52" s="494">
        <f t="shared" si="53"/>
        <v>24493.38</v>
      </c>
      <c r="Z52" s="494"/>
      <c r="AA52" s="494">
        <f t="shared" si="54"/>
        <v>43865.60628786336</v>
      </c>
      <c r="AB52" s="494"/>
      <c r="AC52" s="17">
        <f t="shared" si="55"/>
        <v>68358.986287863372</v>
      </c>
      <c r="AD52" s="187"/>
      <c r="AE52" s="17">
        <f t="shared" si="56"/>
        <v>2193.3960888074125</v>
      </c>
      <c r="AF52" s="1"/>
      <c r="AG52" s="6">
        <f t="shared" si="60"/>
        <v>2020</v>
      </c>
      <c r="AH52" s="1"/>
      <c r="AI52" s="17">
        <f t="shared" si="57"/>
        <v>46974.716120413854</v>
      </c>
      <c r="AJ52" s="17"/>
      <c r="AK52" s="17">
        <f t="shared" si="42"/>
        <v>43376.88</v>
      </c>
      <c r="AL52" s="17"/>
      <c r="AM52" s="17">
        <f t="shared" si="43"/>
        <v>44666</v>
      </c>
      <c r="AN52" s="17"/>
      <c r="AO52" s="17">
        <f t="shared" si="44"/>
        <v>1289.119999999999</v>
      </c>
      <c r="AP52" s="17"/>
      <c r="AQ52" s="17">
        <f t="shared" si="45"/>
        <v>2308.7161204138611</v>
      </c>
      <c r="AR52" s="17"/>
      <c r="AS52" s="17">
        <f t="shared" si="46"/>
        <v>3597.8361204138491</v>
      </c>
      <c r="AT52" s="17"/>
      <c r="AU52" s="17">
        <f t="shared" si="47"/>
        <v>115.44189941091645</v>
      </c>
      <c r="AW52" s="1"/>
    </row>
    <row r="53" spans="1:49">
      <c r="A53" s="6">
        <f t="shared" si="58"/>
        <v>2021</v>
      </c>
      <c r="B53" s="1"/>
      <c r="C53" s="494">
        <f>'Exhibit B,3'!AI53</f>
        <v>87837.79005896626</v>
      </c>
      <c r="D53" s="494"/>
      <c r="E53" s="494">
        <f>'Exhibit B,3'!O53+'Exhibit B,3'!Q53</f>
        <v>0</v>
      </c>
      <c r="F53" s="494"/>
      <c r="G53" s="494">
        <f>'Exhibit B,3'!S53+'Exhibit B,3'!U53</f>
        <v>2500</v>
      </c>
      <c r="H53" s="494"/>
      <c r="I53" s="494">
        <f t="shared" si="48"/>
        <v>2500</v>
      </c>
      <c r="J53" s="494"/>
      <c r="K53" s="494">
        <f t="shared" si="49"/>
        <v>85337.79005896626</v>
      </c>
      <c r="L53" s="494"/>
      <c r="M53" s="501">
        <f t="shared" si="50"/>
        <v>87837.79005896626</v>
      </c>
      <c r="N53" s="494"/>
      <c r="O53" s="501">
        <f t="shared" si="51"/>
        <v>2818.4016428435157</v>
      </c>
      <c r="P53" s="1"/>
      <c r="Q53" s="6">
        <f>Q52+1</f>
        <v>2021</v>
      </c>
      <c r="R53" s="1"/>
      <c r="S53" s="494">
        <f t="shared" si="52"/>
        <v>83445.90055601795</v>
      </c>
      <c r="T53" s="494"/>
      <c r="U53" s="20">
        <v>0</v>
      </c>
      <c r="V53" s="20"/>
      <c r="W53" s="20">
        <v>2375</v>
      </c>
      <c r="X53" s="187"/>
      <c r="Y53" s="494">
        <f t="shared" si="53"/>
        <v>2375</v>
      </c>
      <c r="Z53" s="494"/>
      <c r="AA53" s="494">
        <f t="shared" si="54"/>
        <v>81070.90055601795</v>
      </c>
      <c r="AB53" s="494"/>
      <c r="AC53" s="17">
        <f t="shared" si="55"/>
        <v>83445.90055601795</v>
      </c>
      <c r="AD53" s="187"/>
      <c r="AE53" s="17">
        <f t="shared" si="56"/>
        <v>2677.4815607013397</v>
      </c>
      <c r="AF53" s="1"/>
      <c r="AG53" s="6">
        <f>AG52+1</f>
        <v>2021</v>
      </c>
      <c r="AH53" s="1"/>
      <c r="AI53" s="17">
        <f t="shared" si="57"/>
        <v>4391.8895029483101</v>
      </c>
      <c r="AJ53" s="17"/>
      <c r="AK53" s="17">
        <f t="shared" si="42"/>
        <v>0</v>
      </c>
      <c r="AL53" s="17"/>
      <c r="AM53" s="17">
        <f t="shared" si="43"/>
        <v>125</v>
      </c>
      <c r="AN53" s="17"/>
      <c r="AO53" s="17">
        <f t="shared" si="44"/>
        <v>125</v>
      </c>
      <c r="AP53" s="17"/>
      <c r="AQ53" s="17">
        <f t="shared" si="45"/>
        <v>4266.8895029483101</v>
      </c>
      <c r="AR53" s="17"/>
      <c r="AS53" s="17">
        <f t="shared" si="46"/>
        <v>4391.8895029483101</v>
      </c>
      <c r="AT53" s="17"/>
      <c r="AU53" s="17">
        <f t="shared" si="47"/>
        <v>140.92008214217594</v>
      </c>
      <c r="AW53" s="1"/>
    </row>
    <row r="54" spans="1:49">
      <c r="A54" s="6">
        <f t="shared" si="58"/>
        <v>2022</v>
      </c>
      <c r="B54" s="1"/>
      <c r="C54" s="494">
        <f>'Exhibit B,3'!AI54</f>
        <v>77777.060613841124</v>
      </c>
      <c r="D54" s="494"/>
      <c r="E54" s="494">
        <f>'Exhibit B,3'!O54+'Exhibit B,3'!Q54</f>
        <v>0</v>
      </c>
      <c r="F54" s="494"/>
      <c r="G54" s="494">
        <f>'Exhibit B,3'!S54+'Exhibit B,3'!U54</f>
        <v>0</v>
      </c>
      <c r="H54" s="494"/>
      <c r="I54" s="494">
        <f t="shared" si="48"/>
        <v>0</v>
      </c>
      <c r="J54" s="494"/>
      <c r="K54" s="494">
        <f t="shared" si="49"/>
        <v>77777.060613841124</v>
      </c>
      <c r="L54" s="494"/>
      <c r="M54" s="501">
        <f t="shared" si="50"/>
        <v>77777.060613841124</v>
      </c>
      <c r="N54" s="494"/>
      <c r="O54" s="501">
        <f t="shared" si="51"/>
        <v>2495.5886898160115</v>
      </c>
      <c r="P54" s="1"/>
      <c r="Q54" s="6">
        <f>Q53+1</f>
        <v>2022</v>
      </c>
      <c r="R54" s="1"/>
      <c r="S54" s="494">
        <f t="shared" si="52"/>
        <v>73888.207583149066</v>
      </c>
      <c r="T54" s="494"/>
      <c r="U54" s="20">
        <v>0</v>
      </c>
      <c r="V54" s="20"/>
      <c r="W54" s="20">
        <v>0</v>
      </c>
      <c r="X54" s="187"/>
      <c r="Y54" s="494">
        <f t="shared" si="53"/>
        <v>0</v>
      </c>
      <c r="Z54" s="494"/>
      <c r="AA54" s="494">
        <f t="shared" si="54"/>
        <v>73888.207583149066</v>
      </c>
      <c r="AB54" s="494"/>
      <c r="AC54" s="17">
        <f t="shared" si="55"/>
        <v>73888.207583149066</v>
      </c>
      <c r="AD54" s="187"/>
      <c r="AE54" s="17">
        <f t="shared" si="56"/>
        <v>2370.8092553252109</v>
      </c>
      <c r="AF54" s="1"/>
      <c r="AG54" s="6">
        <f>AG53+1</f>
        <v>2022</v>
      </c>
      <c r="AH54" s="1"/>
      <c r="AI54" s="17">
        <f t="shared" si="57"/>
        <v>3888.8530306920584</v>
      </c>
      <c r="AJ54" s="17"/>
      <c r="AK54" s="17">
        <f t="shared" si="42"/>
        <v>0</v>
      </c>
      <c r="AL54" s="17"/>
      <c r="AM54" s="17">
        <f t="shared" si="43"/>
        <v>0</v>
      </c>
      <c r="AN54" s="17"/>
      <c r="AO54" s="17">
        <f t="shared" si="44"/>
        <v>0</v>
      </c>
      <c r="AP54" s="17"/>
      <c r="AQ54" s="17">
        <f t="shared" si="45"/>
        <v>3888.8530306920584</v>
      </c>
      <c r="AR54" s="17"/>
      <c r="AS54" s="17">
        <f t="shared" si="46"/>
        <v>3888.8530306920584</v>
      </c>
      <c r="AT54" s="17"/>
      <c r="AU54" s="17">
        <f t="shared" si="47"/>
        <v>124.77943449080067</v>
      </c>
      <c r="AW54" s="1"/>
    </row>
    <row r="55" spans="1:49">
      <c r="A55" s="6"/>
      <c r="B55" s="1"/>
      <c r="C55" s="63"/>
      <c r="D55" s="1"/>
      <c r="E55" s="63"/>
      <c r="F55" s="1"/>
      <c r="G55" s="63"/>
      <c r="H55" s="1"/>
      <c r="I55" s="63"/>
      <c r="J55" s="1"/>
      <c r="K55" s="63"/>
      <c r="L55" s="1"/>
      <c r="M55" s="63"/>
      <c r="N55" s="63"/>
      <c r="O55" s="63"/>
      <c r="P55" s="1"/>
      <c r="Q55" s="6"/>
      <c r="R55" s="1"/>
      <c r="S55" s="63"/>
      <c r="T55" s="1"/>
      <c r="U55" s="63"/>
      <c r="V55" s="1"/>
      <c r="W55" s="63"/>
      <c r="X55" s="1"/>
      <c r="Y55" s="63"/>
      <c r="Z55" s="1"/>
      <c r="AA55" s="63"/>
      <c r="AB55" s="1"/>
      <c r="AC55" s="63"/>
      <c r="AD55" s="63"/>
      <c r="AE55" s="63"/>
      <c r="AF55" s="1"/>
      <c r="AG55" s="6"/>
      <c r="AH55" s="1"/>
      <c r="AI55" s="63"/>
      <c r="AJ55" s="1"/>
      <c r="AK55" s="63"/>
      <c r="AL55" s="1"/>
      <c r="AM55" s="63"/>
      <c r="AN55" s="1"/>
      <c r="AO55" s="63"/>
      <c r="AP55" s="1"/>
      <c r="AQ55" s="63"/>
      <c r="AR55" s="1"/>
      <c r="AS55" s="63"/>
      <c r="AT55" s="63"/>
      <c r="AU55" s="63"/>
      <c r="AW55" s="1"/>
    </row>
    <row r="56" spans="1:49">
      <c r="A56" s="2" t="s">
        <v>0</v>
      </c>
      <c r="B56" s="1"/>
      <c r="C56" s="147">
        <f>SUM(C45:C55)</f>
        <v>758984.77541207511</v>
      </c>
      <c r="D56" s="147"/>
      <c r="E56" s="147">
        <f>SUM(E45:E55)</f>
        <v>412887.67</v>
      </c>
      <c r="F56" s="147"/>
      <c r="G56" s="147">
        <f>SUM(G45:G55)</f>
        <v>475347.79000000004</v>
      </c>
      <c r="H56" s="147"/>
      <c r="I56" s="147">
        <f>SUM(I45:I55)</f>
        <v>62460.119999999995</v>
      </c>
      <c r="J56" s="147"/>
      <c r="K56" s="147">
        <f>SUM(K45:K55)</f>
        <v>283636.98541207501</v>
      </c>
      <c r="L56" s="147"/>
      <c r="M56" s="147">
        <f>SUM(M45:M55)</f>
        <v>346097.10541207501</v>
      </c>
      <c r="N56" s="147"/>
      <c r="O56" s="147">
        <f>SUM(O45:O55)</f>
        <v>11105.022676708464</v>
      </c>
      <c r="P56" s="1"/>
      <c r="Q56" s="2" t="s">
        <v>0</v>
      </c>
      <c r="R56" s="1"/>
      <c r="S56" s="147">
        <f>SUM(S45:S55)</f>
        <v>345290.17614147131</v>
      </c>
      <c r="T56" s="147"/>
      <c r="U56" s="147">
        <f>SUM(U45:U55)</f>
        <v>16497.920000000002</v>
      </c>
      <c r="V56" s="147"/>
      <c r="W56" s="147">
        <f>SUM(W45:W55)</f>
        <v>75835.040000000008</v>
      </c>
      <c r="X56" s="147"/>
      <c r="Y56" s="147">
        <f>SUM(Y45:Y55)</f>
        <v>59337.12000000001</v>
      </c>
      <c r="Z56" s="147"/>
      <c r="AA56" s="147">
        <f>SUM(AA45:AA55)</f>
        <v>269455.13614147133</v>
      </c>
      <c r="AB56" s="147"/>
      <c r="AC56" s="147">
        <f>SUM(AC45:AC55)</f>
        <v>328792.25614147133</v>
      </c>
      <c r="AD56" s="147"/>
      <c r="AE56" s="147">
        <f>SUM(AE45:AE55)</f>
        <v>10549.771542873041</v>
      </c>
      <c r="AF56" s="1"/>
      <c r="AG56" s="2" t="s">
        <v>0</v>
      </c>
      <c r="AH56" s="1"/>
      <c r="AI56" s="147">
        <f>SUM(AI45:AI55)</f>
        <v>413694.59927060374</v>
      </c>
      <c r="AJ56" s="147"/>
      <c r="AK56" s="147">
        <f>SUM(AK45:AK55)</f>
        <v>396389.75</v>
      </c>
      <c r="AL56" s="147"/>
      <c r="AM56" s="147">
        <f>SUM(AM45:AM55)</f>
        <v>399512.75</v>
      </c>
      <c r="AN56" s="147"/>
      <c r="AO56" s="147">
        <f>SUM(AO45:AO55)</f>
        <v>3122.9999999999873</v>
      </c>
      <c r="AP56" s="147"/>
      <c r="AQ56" s="147">
        <f>SUM(AQ45:AQ55)</f>
        <v>14181.84927060375</v>
      </c>
      <c r="AR56" s="147"/>
      <c r="AS56" s="147">
        <f>SUM(AS45:AS55)</f>
        <v>17304.849270603729</v>
      </c>
      <c r="AT56" s="147"/>
      <c r="AU56" s="147">
        <f>SUM(AU45:AU55)</f>
        <v>555.25113383542362</v>
      </c>
      <c r="AW56" s="1"/>
    </row>
    <row r="57" spans="1:49">
      <c r="A57" s="2"/>
      <c r="B57" s="1"/>
      <c r="C57" s="26"/>
      <c r="D57" s="1"/>
      <c r="E57" s="26"/>
      <c r="F57" s="1"/>
      <c r="G57" s="26"/>
      <c r="H57" s="1"/>
      <c r="I57" s="26"/>
      <c r="J57" s="1"/>
      <c r="K57" s="26"/>
      <c r="L57" s="1"/>
      <c r="M57" s="1"/>
      <c r="N57" s="1"/>
      <c r="O57" s="1"/>
      <c r="P57" s="1"/>
      <c r="Q57" s="2"/>
      <c r="R57" s="1"/>
      <c r="S57" s="26"/>
      <c r="T57" s="1"/>
      <c r="U57" s="26"/>
      <c r="V57" s="1"/>
      <c r="W57" s="26"/>
      <c r="X57" s="1"/>
      <c r="Y57" s="26"/>
      <c r="Z57" s="1"/>
      <c r="AA57" s="26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W57" s="1"/>
    </row>
    <row r="58" spans="1:49">
      <c r="A58" s="3" t="s">
        <v>1653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3" t="s">
        <v>1651</v>
      </c>
      <c r="R58" s="1"/>
      <c r="S58" s="20"/>
      <c r="T58" s="1"/>
      <c r="U58" s="89"/>
      <c r="V58" s="147"/>
      <c r="W58" s="89"/>
      <c r="X58" s="1"/>
      <c r="Y58" s="1"/>
      <c r="Z58" s="1"/>
      <c r="AA58" s="1"/>
      <c r="AB58" s="1"/>
      <c r="AC58" s="1"/>
      <c r="AD58" s="1"/>
      <c r="AE58" s="1"/>
      <c r="AF58" s="1"/>
      <c r="AG58" s="3" t="s">
        <v>1654</v>
      </c>
      <c r="AH58" s="1"/>
      <c r="AI58" s="1"/>
      <c r="AJ58" s="1"/>
      <c r="AK58" s="147">
        <f t="shared" ref="AK58:AU68" si="61">AK16+AK30+AK44</f>
        <v>0</v>
      </c>
      <c r="AL58" s="147"/>
      <c r="AM58" s="147">
        <f t="shared" ref="AM58:AM59" si="62">AM16+AM30+AM44</f>
        <v>0</v>
      </c>
      <c r="AN58" s="1"/>
      <c r="AO58" s="1"/>
      <c r="AP58" s="1"/>
      <c r="AQ58" s="1"/>
      <c r="AR58" s="1"/>
      <c r="AS58" s="1"/>
      <c r="AT58" s="1"/>
      <c r="AU58" s="1"/>
      <c r="AW58" s="1"/>
    </row>
    <row r="59" spans="1:49">
      <c r="A59" s="6">
        <f>A45</f>
        <v>2013</v>
      </c>
      <c r="B59" s="1"/>
      <c r="C59" s="147">
        <f>C17+C31+C45</f>
        <v>1721</v>
      </c>
      <c r="D59" s="147"/>
      <c r="E59" s="147">
        <f t="shared" ref="E59:O59" si="63">E17+E31+E45</f>
        <v>1721</v>
      </c>
      <c r="F59" s="147"/>
      <c r="G59" s="147">
        <f t="shared" si="63"/>
        <v>1721</v>
      </c>
      <c r="H59" s="147"/>
      <c r="I59" s="147">
        <f t="shared" si="63"/>
        <v>0</v>
      </c>
      <c r="J59" s="147"/>
      <c r="K59" s="147">
        <f t="shared" si="63"/>
        <v>0</v>
      </c>
      <c r="L59" s="147"/>
      <c r="M59" s="147">
        <f t="shared" si="63"/>
        <v>0</v>
      </c>
      <c r="N59" s="147">
        <f t="shared" si="63"/>
        <v>0</v>
      </c>
      <c r="O59" s="147">
        <f t="shared" si="63"/>
        <v>0</v>
      </c>
      <c r="P59" s="1"/>
      <c r="Q59" s="6">
        <f>Q45</f>
        <v>2013</v>
      </c>
      <c r="R59" s="1"/>
      <c r="S59" s="147">
        <f>S17+S45</f>
        <v>0</v>
      </c>
      <c r="T59" s="147"/>
      <c r="U59" s="89">
        <v>0</v>
      </c>
      <c r="V59" s="147"/>
      <c r="W59" s="89">
        <v>0</v>
      </c>
      <c r="X59" s="147"/>
      <c r="Y59" s="147">
        <f>Y17+Y45</f>
        <v>0</v>
      </c>
      <c r="Z59" s="147"/>
      <c r="AA59" s="147">
        <f>AA17+AA45</f>
        <v>0</v>
      </c>
      <c r="AB59" s="147"/>
      <c r="AC59" s="147">
        <f>AC17+AC45</f>
        <v>0</v>
      </c>
      <c r="AD59" s="147"/>
      <c r="AE59" s="147">
        <f>AE17+AE45</f>
        <v>0</v>
      </c>
      <c r="AF59" s="1"/>
      <c r="AG59" s="6">
        <f>AG45</f>
        <v>2013</v>
      </c>
      <c r="AH59" s="1"/>
      <c r="AI59" s="147">
        <f>AI17+AI31+AI45</f>
        <v>1721</v>
      </c>
      <c r="AJ59" s="147"/>
      <c r="AK59" s="147">
        <f>AK17+AK31+AK45</f>
        <v>1721</v>
      </c>
      <c r="AL59" s="147"/>
      <c r="AM59" s="147">
        <f t="shared" si="62"/>
        <v>1721</v>
      </c>
      <c r="AN59" s="147"/>
      <c r="AO59" s="147">
        <f t="shared" ref="AO59" si="64">AO17+AO31+AO45</f>
        <v>0</v>
      </c>
      <c r="AP59" s="147"/>
      <c r="AQ59" s="147">
        <f t="shared" ref="AQ59" si="65">AQ17+AQ31+AQ45</f>
        <v>0</v>
      </c>
      <c r="AR59" s="147"/>
      <c r="AS59" s="147">
        <f t="shared" ref="AS59" si="66">AS17+AS31+AS45</f>
        <v>0</v>
      </c>
      <c r="AT59" s="147"/>
      <c r="AU59" s="147">
        <f t="shared" ref="AU59" si="67">AU17+AU31+AU45</f>
        <v>0</v>
      </c>
      <c r="AW59" s="1"/>
    </row>
    <row r="60" spans="1:49">
      <c r="A60" s="6">
        <f>A59+1</f>
        <v>2014</v>
      </c>
      <c r="B60" s="1"/>
      <c r="C60" s="17">
        <f t="shared" ref="C60:O68" si="68">C18+C32+C46</f>
        <v>1121322.5799724818</v>
      </c>
      <c r="D60" s="494"/>
      <c r="E60" s="17">
        <f t="shared" si="68"/>
        <v>60472.08</v>
      </c>
      <c r="F60" s="17">
        <f t="shared" si="68"/>
        <v>0</v>
      </c>
      <c r="G60" s="17">
        <f t="shared" si="68"/>
        <v>1100000</v>
      </c>
      <c r="H60" s="17">
        <f t="shared" si="68"/>
        <v>0</v>
      </c>
      <c r="I60" s="17">
        <f t="shared" si="68"/>
        <v>1039527.92</v>
      </c>
      <c r="J60" s="17">
        <f t="shared" si="68"/>
        <v>0</v>
      </c>
      <c r="K60" s="17">
        <f t="shared" si="68"/>
        <v>21322.57997248189</v>
      </c>
      <c r="L60" s="17">
        <f t="shared" si="68"/>
        <v>0</v>
      </c>
      <c r="M60" s="17">
        <f t="shared" si="68"/>
        <v>1060850.4999724817</v>
      </c>
      <c r="N60" s="17">
        <f t="shared" si="68"/>
        <v>0</v>
      </c>
      <c r="O60" s="17">
        <f t="shared" si="68"/>
        <v>34038.911838818582</v>
      </c>
      <c r="P60" s="1"/>
      <c r="Q60" s="6">
        <f>Q59+1</f>
        <v>2014</v>
      </c>
      <c r="R60" s="1"/>
      <c r="S60" s="17">
        <f t="shared" ref="S60:S68" si="69">S18+S46</f>
        <v>1065256.4509738579</v>
      </c>
      <c r="T60" s="494"/>
      <c r="U60" s="89">
        <v>57448.476000000002</v>
      </c>
      <c r="V60" s="147"/>
      <c r="W60" s="89">
        <v>1045000</v>
      </c>
      <c r="X60" s="17">
        <f t="shared" ref="X60:AD68" si="70">X18+X32+X46</f>
        <v>0</v>
      </c>
      <c r="Y60" s="17">
        <f t="shared" ref="Y60" si="71">Y18+Y46</f>
        <v>987551.52399999998</v>
      </c>
      <c r="Z60" s="494"/>
      <c r="AA60" s="17">
        <f t="shared" ref="AA60" si="72">AA18+AA46</f>
        <v>20256.450973857798</v>
      </c>
      <c r="AB60" s="17">
        <f t="shared" ref="AB60" si="73">AB18+AB32+AB46</f>
        <v>0</v>
      </c>
      <c r="AC60" s="17">
        <f t="shared" ref="AC60:AE68" si="74">AC18+AC46</f>
        <v>1007807.9749738579</v>
      </c>
      <c r="AD60" s="17">
        <f t="shared" si="70"/>
        <v>0</v>
      </c>
      <c r="AE60" s="17">
        <f t="shared" si="74"/>
        <v>32336.966246877651</v>
      </c>
      <c r="AF60" s="1"/>
      <c r="AG60" s="6">
        <f>AG59+1</f>
        <v>2014</v>
      </c>
      <c r="AH60" s="1"/>
      <c r="AI60" s="17">
        <f t="shared" ref="AI60:AI68" si="75">AI18+AI32+AI46</f>
        <v>56066.128998624037</v>
      </c>
      <c r="AJ60" s="494"/>
      <c r="AK60" s="17">
        <f t="shared" si="61"/>
        <v>3023.6039999999994</v>
      </c>
      <c r="AL60" s="17">
        <f t="shared" si="61"/>
        <v>0</v>
      </c>
      <c r="AM60" s="17">
        <f t="shared" si="61"/>
        <v>55000</v>
      </c>
      <c r="AN60" s="17">
        <f t="shared" si="61"/>
        <v>0</v>
      </c>
      <c r="AO60" s="17">
        <f t="shared" si="61"/>
        <v>51976.396000000066</v>
      </c>
      <c r="AP60" s="17">
        <f t="shared" si="61"/>
        <v>0</v>
      </c>
      <c r="AQ60" s="17">
        <f t="shared" si="61"/>
        <v>1066.1289986240945</v>
      </c>
      <c r="AR60" s="17">
        <f t="shared" si="61"/>
        <v>0</v>
      </c>
      <c r="AS60" s="17">
        <f t="shared" si="61"/>
        <v>53042.524998623987</v>
      </c>
      <c r="AT60" s="17">
        <f t="shared" si="61"/>
        <v>0</v>
      </c>
      <c r="AU60" s="17">
        <f t="shared" si="61"/>
        <v>1701.9455919409318</v>
      </c>
      <c r="AW60" s="1"/>
    </row>
    <row r="61" spans="1:49">
      <c r="A61" s="6">
        <f t="shared" ref="A61:A68" si="76">A60+1</f>
        <v>2015</v>
      </c>
      <c r="B61" s="1"/>
      <c r="C61" s="17">
        <f t="shared" si="68"/>
        <v>412303.16180106939</v>
      </c>
      <c r="D61" s="494"/>
      <c r="E61" s="17">
        <f t="shared" si="68"/>
        <v>359141.74</v>
      </c>
      <c r="F61" s="17">
        <f t="shared" si="68"/>
        <v>0</v>
      </c>
      <c r="G61" s="17">
        <f t="shared" si="68"/>
        <v>396555.74</v>
      </c>
      <c r="H61" s="17">
        <f t="shared" si="68"/>
        <v>0</v>
      </c>
      <c r="I61" s="17">
        <f t="shared" si="68"/>
        <v>37414</v>
      </c>
      <c r="J61" s="17">
        <f t="shared" si="68"/>
        <v>0</v>
      </c>
      <c r="K61" s="17">
        <f t="shared" si="68"/>
        <v>15747.421801069388</v>
      </c>
      <c r="L61" s="17">
        <f t="shared" si="68"/>
        <v>0</v>
      </c>
      <c r="M61" s="17">
        <f t="shared" si="68"/>
        <v>53161.421801069388</v>
      </c>
      <c r="N61" s="17">
        <f t="shared" si="68"/>
        <v>0</v>
      </c>
      <c r="O61" s="17">
        <f t="shared" si="68"/>
        <v>1705.7605666017864</v>
      </c>
      <c r="P61" s="1"/>
      <c r="Q61" s="6">
        <f t="shared" ref="Q61:Q68" si="77">Q60+1</f>
        <v>2015</v>
      </c>
      <c r="R61" s="1"/>
      <c r="S61" s="17">
        <f t="shared" si="69"/>
        <v>371474.1982110159</v>
      </c>
      <c r="T61" s="494"/>
      <c r="U61" s="89">
        <v>320970.84749999997</v>
      </c>
      <c r="V61" s="147"/>
      <c r="W61" s="89">
        <v>356514.14749999996</v>
      </c>
      <c r="X61" s="17">
        <f t="shared" si="70"/>
        <v>0</v>
      </c>
      <c r="Y61" s="17">
        <f t="shared" ref="Y61" si="78">Y19+Y47</f>
        <v>35543.300000000003</v>
      </c>
      <c r="Z61" s="494"/>
      <c r="AA61" s="17">
        <f t="shared" ref="AA61" si="79">AA19+AA47</f>
        <v>14960.050711015918</v>
      </c>
      <c r="AB61" s="17">
        <f t="shared" ref="AB61" si="80">AB19+AB33+AB47</f>
        <v>0</v>
      </c>
      <c r="AC61" s="17">
        <f t="shared" si="74"/>
        <v>50503.350711015941</v>
      </c>
      <c r="AD61" s="17">
        <f t="shared" si="70"/>
        <v>0</v>
      </c>
      <c r="AE61" s="17">
        <f t="shared" si="74"/>
        <v>1620.472538271697</v>
      </c>
      <c r="AF61" s="1"/>
      <c r="AG61" s="6">
        <f t="shared" ref="AG61:AG68" si="81">AG60+1</f>
        <v>2015</v>
      </c>
      <c r="AH61" s="1"/>
      <c r="AI61" s="17">
        <f t="shared" si="75"/>
        <v>40828.96359005347</v>
      </c>
      <c r="AJ61" s="494"/>
      <c r="AK61" s="17">
        <f t="shared" si="61"/>
        <v>38170.892500000031</v>
      </c>
      <c r="AL61" s="17">
        <f t="shared" si="61"/>
        <v>0</v>
      </c>
      <c r="AM61" s="17">
        <f t="shared" si="61"/>
        <v>40041.592500000028</v>
      </c>
      <c r="AN61" s="17">
        <f t="shared" si="61"/>
        <v>0</v>
      </c>
      <c r="AO61" s="17">
        <f t="shared" si="61"/>
        <v>1870.7000000000007</v>
      </c>
      <c r="AP61" s="17">
        <f t="shared" si="61"/>
        <v>0</v>
      </c>
      <c r="AQ61" s="17">
        <f t="shared" si="61"/>
        <v>787.37109005347043</v>
      </c>
      <c r="AR61" s="17">
        <f t="shared" si="61"/>
        <v>0</v>
      </c>
      <c r="AS61" s="17">
        <f t="shared" si="61"/>
        <v>2658.0710900534432</v>
      </c>
      <c r="AT61" s="17">
        <f t="shared" si="61"/>
        <v>0</v>
      </c>
      <c r="AU61" s="17">
        <f t="shared" si="61"/>
        <v>85.288028330089332</v>
      </c>
      <c r="AW61" s="1"/>
    </row>
    <row r="62" spans="1:49">
      <c r="A62" s="6">
        <f t="shared" si="76"/>
        <v>2016</v>
      </c>
      <c r="B62" s="1"/>
      <c r="C62" s="17">
        <f t="shared" si="68"/>
        <v>12555483.716085177</v>
      </c>
      <c r="D62" s="494"/>
      <c r="E62" s="17">
        <f t="shared" si="68"/>
        <v>11892497.98</v>
      </c>
      <c r="F62" s="17">
        <f t="shared" si="68"/>
        <v>0</v>
      </c>
      <c r="G62" s="17">
        <f t="shared" si="68"/>
        <v>12419112.57</v>
      </c>
      <c r="H62" s="17">
        <f t="shared" si="68"/>
        <v>0</v>
      </c>
      <c r="I62" s="17">
        <f t="shared" si="68"/>
        <v>526614.58999999985</v>
      </c>
      <c r="J62" s="17">
        <f t="shared" si="68"/>
        <v>0</v>
      </c>
      <c r="K62" s="17">
        <f t="shared" si="68"/>
        <v>136371.14608517784</v>
      </c>
      <c r="L62" s="17">
        <f t="shared" si="68"/>
        <v>0</v>
      </c>
      <c r="M62" s="17">
        <f t="shared" si="68"/>
        <v>662985.73608517775</v>
      </c>
      <c r="N62" s="17">
        <f t="shared" si="68"/>
        <v>0</v>
      </c>
      <c r="O62" s="17">
        <f t="shared" si="68"/>
        <v>21272.849493479993</v>
      </c>
      <c r="P62" s="1"/>
      <c r="Q62" s="6">
        <f t="shared" si="77"/>
        <v>2016</v>
      </c>
      <c r="R62" s="1"/>
      <c r="S62" s="17">
        <f t="shared" si="69"/>
        <v>11907540.336780919</v>
      </c>
      <c r="T62" s="494"/>
      <c r="U62" s="89">
        <v>11277703.887499999</v>
      </c>
      <c r="V62" s="147"/>
      <c r="W62" s="89">
        <v>11777987.748</v>
      </c>
      <c r="X62" s="17">
        <f t="shared" si="70"/>
        <v>0</v>
      </c>
      <c r="Y62" s="17">
        <f t="shared" ref="Y62" si="82">Y20+Y48</f>
        <v>500283.86050000042</v>
      </c>
      <c r="Z62" s="494"/>
      <c r="AA62" s="17">
        <f t="shared" ref="AA62" si="83">AA20+AA48</f>
        <v>129552.58878091894</v>
      </c>
      <c r="AB62" s="17">
        <f t="shared" ref="AB62" si="84">AB20+AB34+AB48</f>
        <v>0</v>
      </c>
      <c r="AC62" s="17">
        <f t="shared" si="74"/>
        <v>629836.44928091904</v>
      </c>
      <c r="AD62" s="17">
        <f t="shared" si="70"/>
        <v>0</v>
      </c>
      <c r="AE62" s="17">
        <f t="shared" si="74"/>
        <v>20209.207018805992</v>
      </c>
      <c r="AF62" s="1"/>
      <c r="AG62" s="6">
        <f t="shared" si="81"/>
        <v>2016</v>
      </c>
      <c r="AH62" s="1"/>
      <c r="AI62" s="17">
        <f t="shared" si="75"/>
        <v>647943.37930425932</v>
      </c>
      <c r="AJ62" s="494"/>
      <c r="AK62" s="17">
        <f t="shared" si="61"/>
        <v>614794.09250000073</v>
      </c>
      <c r="AL62" s="17">
        <f t="shared" si="61"/>
        <v>0</v>
      </c>
      <c r="AM62" s="17">
        <f t="shared" si="61"/>
        <v>641124.82200000016</v>
      </c>
      <c r="AN62" s="17">
        <f t="shared" si="61"/>
        <v>0</v>
      </c>
      <c r="AO62" s="17">
        <f t="shared" si="61"/>
        <v>26330.729499999434</v>
      </c>
      <c r="AP62" s="17">
        <f t="shared" si="61"/>
        <v>0</v>
      </c>
      <c r="AQ62" s="17">
        <f t="shared" si="61"/>
        <v>6818.5573042588949</v>
      </c>
      <c r="AR62" s="17">
        <f t="shared" si="61"/>
        <v>0</v>
      </c>
      <c r="AS62" s="17">
        <f t="shared" si="61"/>
        <v>33149.286804258605</v>
      </c>
      <c r="AT62" s="17">
        <f t="shared" si="61"/>
        <v>0</v>
      </c>
      <c r="AU62" s="17">
        <f t="shared" si="61"/>
        <v>1063.6424746740004</v>
      </c>
      <c r="AW62" s="1"/>
    </row>
    <row r="63" spans="1:49">
      <c r="A63" s="6">
        <f t="shared" si="76"/>
        <v>2017</v>
      </c>
      <c r="B63" s="1"/>
      <c r="C63" s="17">
        <f t="shared" si="68"/>
        <v>8501095.9828112647</v>
      </c>
      <c r="D63" s="494"/>
      <c r="E63" s="17">
        <f t="shared" si="68"/>
        <v>6661861.7000000002</v>
      </c>
      <c r="F63" s="17">
        <f t="shared" si="68"/>
        <v>0</v>
      </c>
      <c r="G63" s="17">
        <f t="shared" si="68"/>
        <v>8519330.1099999994</v>
      </c>
      <c r="H63" s="17">
        <f t="shared" si="68"/>
        <v>0</v>
      </c>
      <c r="I63" s="17">
        <f t="shared" si="68"/>
        <v>1857468.4100000001</v>
      </c>
      <c r="J63" s="17">
        <f t="shared" si="68"/>
        <v>0</v>
      </c>
      <c r="K63" s="17">
        <f t="shared" si="68"/>
        <v>-18234.127188735118</v>
      </c>
      <c r="L63" s="17">
        <f t="shared" si="68"/>
        <v>0</v>
      </c>
      <c r="M63" s="17">
        <f t="shared" si="68"/>
        <v>1839234.282811265</v>
      </c>
      <c r="N63" s="17">
        <f t="shared" si="68"/>
        <v>0</v>
      </c>
      <c r="O63" s="17">
        <f t="shared" si="68"/>
        <v>59014.47339202775</v>
      </c>
      <c r="P63" s="1"/>
      <c r="Q63" s="6">
        <f t="shared" si="77"/>
        <v>2017</v>
      </c>
      <c r="R63" s="1"/>
      <c r="S63" s="17">
        <f t="shared" si="69"/>
        <v>7843705.8491707006</v>
      </c>
      <c r="T63" s="494"/>
      <c r="U63" s="89">
        <v>6096433.2805000003</v>
      </c>
      <c r="V63" s="147"/>
      <c r="W63" s="89">
        <v>7861028.2699999996</v>
      </c>
      <c r="X63" s="17">
        <f t="shared" si="70"/>
        <v>0</v>
      </c>
      <c r="Y63" s="17">
        <f t="shared" ref="Y63" si="85">Y21+Y49</f>
        <v>1764594.9894999987</v>
      </c>
      <c r="Z63" s="494"/>
      <c r="AA63" s="17">
        <f t="shared" ref="AA63" si="86">AA21+AA49</f>
        <v>-17322.42082929836</v>
      </c>
      <c r="AB63" s="17">
        <f t="shared" ref="AB63" si="87">AB21+AB35+AB49</f>
        <v>0</v>
      </c>
      <c r="AC63" s="17">
        <f t="shared" si="74"/>
        <v>1747272.5686707001</v>
      </c>
      <c r="AD63" s="17">
        <f t="shared" si="70"/>
        <v>0</v>
      </c>
      <c r="AE63" s="17">
        <f t="shared" si="74"/>
        <v>56063.749722426364</v>
      </c>
      <c r="AF63" s="1"/>
      <c r="AG63" s="6">
        <f t="shared" si="81"/>
        <v>2017</v>
      </c>
      <c r="AH63" s="1"/>
      <c r="AI63" s="17">
        <f t="shared" si="75"/>
        <v>657390.13364056428</v>
      </c>
      <c r="AJ63" s="494"/>
      <c r="AK63" s="17">
        <f t="shared" si="61"/>
        <v>565428.41949999949</v>
      </c>
      <c r="AL63" s="17">
        <f t="shared" si="61"/>
        <v>0</v>
      </c>
      <c r="AM63" s="17">
        <f t="shared" si="61"/>
        <v>658301.84000000067</v>
      </c>
      <c r="AN63" s="17">
        <f t="shared" si="61"/>
        <v>0</v>
      </c>
      <c r="AO63" s="17">
        <f t="shared" si="61"/>
        <v>92873.42050000123</v>
      </c>
      <c r="AP63" s="17">
        <f t="shared" si="61"/>
        <v>0</v>
      </c>
      <c r="AQ63" s="17">
        <f t="shared" si="61"/>
        <v>-911.70635943675734</v>
      </c>
      <c r="AR63" s="17">
        <f t="shared" si="61"/>
        <v>0</v>
      </c>
      <c r="AS63" s="17">
        <f t="shared" si="61"/>
        <v>91961.7141405648</v>
      </c>
      <c r="AT63" s="17">
        <f t="shared" si="61"/>
        <v>0</v>
      </c>
      <c r="AU63" s="17">
        <f t="shared" si="61"/>
        <v>2950.7236696013888</v>
      </c>
      <c r="AW63" s="1"/>
    </row>
    <row r="64" spans="1:49">
      <c r="A64" s="6">
        <f t="shared" si="76"/>
        <v>2018</v>
      </c>
      <c r="B64" s="1"/>
      <c r="C64" s="17">
        <f t="shared" si="68"/>
        <v>18364799.504506961</v>
      </c>
      <c r="D64" s="494"/>
      <c r="E64" s="17">
        <f t="shared" si="68"/>
        <v>7009350.0700000003</v>
      </c>
      <c r="F64" s="17">
        <f t="shared" si="68"/>
        <v>0</v>
      </c>
      <c r="G64" s="17">
        <f t="shared" si="68"/>
        <v>11180218.109999999</v>
      </c>
      <c r="H64" s="17">
        <f t="shared" si="68"/>
        <v>0</v>
      </c>
      <c r="I64" s="17">
        <f t="shared" si="68"/>
        <v>4170868.0399999991</v>
      </c>
      <c r="J64" s="17">
        <f t="shared" si="68"/>
        <v>0</v>
      </c>
      <c r="K64" s="17">
        <f t="shared" si="68"/>
        <v>7184581.3945069602</v>
      </c>
      <c r="L64" s="17">
        <f t="shared" si="68"/>
        <v>0</v>
      </c>
      <c r="M64" s="17">
        <f t="shared" si="68"/>
        <v>11355449.434506958</v>
      </c>
      <c r="N64" s="17">
        <f t="shared" si="68"/>
        <v>0</v>
      </c>
      <c r="O64" s="17">
        <f t="shared" si="68"/>
        <v>364355.90330717771</v>
      </c>
      <c r="P64" s="1"/>
      <c r="Q64" s="6">
        <f t="shared" si="77"/>
        <v>2018</v>
      </c>
      <c r="R64" s="1"/>
      <c r="S64" s="17">
        <f t="shared" si="69"/>
        <v>17419630.135781612</v>
      </c>
      <c r="T64" s="494"/>
      <c r="U64" s="89">
        <v>6631953.1729999995</v>
      </c>
      <c r="V64" s="147"/>
      <c r="W64" s="89">
        <v>10594277.811000001</v>
      </c>
      <c r="X64" s="17">
        <f t="shared" si="70"/>
        <v>0</v>
      </c>
      <c r="Y64" s="17">
        <f t="shared" ref="Y64" si="88">Y22+Y50</f>
        <v>3962324.6380000012</v>
      </c>
      <c r="Z64" s="494"/>
      <c r="AA64" s="17">
        <f t="shared" ref="AA64" si="89">AA22+AA50</f>
        <v>6825352.3247816116</v>
      </c>
      <c r="AB64" s="17">
        <f t="shared" ref="AB64" si="90">AB22+AB36+AB50</f>
        <v>0</v>
      </c>
      <c r="AC64" s="17">
        <f t="shared" si="74"/>
        <v>10787676.96278161</v>
      </c>
      <c r="AD64" s="17">
        <f t="shared" si="70"/>
        <v>0</v>
      </c>
      <c r="AE64" s="17">
        <f t="shared" si="74"/>
        <v>346138.10814181878</v>
      </c>
      <c r="AF64" s="1"/>
      <c r="AG64" s="6">
        <f t="shared" si="81"/>
        <v>2018</v>
      </c>
      <c r="AH64" s="1"/>
      <c r="AI64" s="17">
        <f t="shared" si="75"/>
        <v>945169.36872534757</v>
      </c>
      <c r="AJ64" s="494"/>
      <c r="AK64" s="17">
        <f t="shared" si="61"/>
        <v>377396.89700000035</v>
      </c>
      <c r="AL64" s="17">
        <f t="shared" si="61"/>
        <v>0</v>
      </c>
      <c r="AM64" s="17">
        <f t="shared" si="61"/>
        <v>585940.29899999825</v>
      </c>
      <c r="AN64" s="17">
        <f t="shared" si="61"/>
        <v>0</v>
      </c>
      <c r="AO64" s="17">
        <f t="shared" si="61"/>
        <v>208543.40199999791</v>
      </c>
      <c r="AP64" s="17">
        <f t="shared" si="61"/>
        <v>0</v>
      </c>
      <c r="AQ64" s="17">
        <f t="shared" si="61"/>
        <v>359229.06972534838</v>
      </c>
      <c r="AR64" s="17">
        <f t="shared" si="61"/>
        <v>0</v>
      </c>
      <c r="AS64" s="17">
        <f t="shared" si="61"/>
        <v>567772.47172534815</v>
      </c>
      <c r="AT64" s="17">
        <f t="shared" si="61"/>
        <v>0</v>
      </c>
      <c r="AU64" s="17">
        <f t="shared" si="61"/>
        <v>18217.795165358919</v>
      </c>
      <c r="AW64" s="1"/>
    </row>
    <row r="65" spans="1:49">
      <c r="A65" s="6">
        <f t="shared" si="76"/>
        <v>2019</v>
      </c>
      <c r="B65" s="1"/>
      <c r="C65" s="17">
        <f t="shared" si="68"/>
        <v>15169164.119629685</v>
      </c>
      <c r="D65" s="494"/>
      <c r="E65" s="17">
        <f t="shared" si="68"/>
        <v>6205520.0199999996</v>
      </c>
      <c r="F65" s="17">
        <f t="shared" si="68"/>
        <v>0</v>
      </c>
      <c r="G65" s="17">
        <f t="shared" si="68"/>
        <v>7041216.5099999998</v>
      </c>
      <c r="H65" s="17">
        <f t="shared" si="68"/>
        <v>0</v>
      </c>
      <c r="I65" s="17">
        <f t="shared" si="68"/>
        <v>835696.49000000022</v>
      </c>
      <c r="J65" s="17">
        <f t="shared" si="68"/>
        <v>0</v>
      </c>
      <c r="K65" s="17">
        <f t="shared" si="68"/>
        <v>8127947.6096296851</v>
      </c>
      <c r="L65" s="17">
        <f t="shared" si="68"/>
        <v>0</v>
      </c>
      <c r="M65" s="17">
        <f t="shared" si="68"/>
        <v>8963644.0996296853</v>
      </c>
      <c r="N65" s="17">
        <f t="shared" si="68"/>
        <v>0</v>
      </c>
      <c r="O65" s="17">
        <f t="shared" si="68"/>
        <v>287611.39413117658</v>
      </c>
      <c r="P65" s="1"/>
      <c r="Q65" s="6">
        <f t="shared" si="77"/>
        <v>2019</v>
      </c>
      <c r="R65" s="1"/>
      <c r="S65" s="17">
        <f t="shared" si="69"/>
        <v>14377367.782148203</v>
      </c>
      <c r="T65" s="494"/>
      <c r="U65" s="89">
        <v>5861905.8875000002</v>
      </c>
      <c r="V65" s="147"/>
      <c r="W65" s="89">
        <v>6655817.5530000003</v>
      </c>
      <c r="X65" s="17">
        <f t="shared" si="70"/>
        <v>0</v>
      </c>
      <c r="Y65" s="17">
        <f t="shared" ref="Y65" si="91">Y23+Y51</f>
        <v>793911.66550000012</v>
      </c>
      <c r="Z65" s="494"/>
      <c r="AA65" s="17">
        <f t="shared" ref="AA65" si="92">AA23+AA51</f>
        <v>7721550.2291482007</v>
      </c>
      <c r="AB65" s="17">
        <f t="shared" ref="AB65" si="93">AB23+AB37+AB51</f>
        <v>0</v>
      </c>
      <c r="AC65" s="17">
        <f t="shared" si="74"/>
        <v>8515461.8946482036</v>
      </c>
      <c r="AD65" s="17">
        <f t="shared" si="70"/>
        <v>0</v>
      </c>
      <c r="AE65" s="17">
        <f t="shared" si="74"/>
        <v>273230.82442461769</v>
      </c>
      <c r="AF65" s="1"/>
      <c r="AG65" s="6">
        <f t="shared" si="81"/>
        <v>2019</v>
      </c>
      <c r="AH65" s="1"/>
      <c r="AI65" s="17">
        <f t="shared" si="75"/>
        <v>791796.33748148335</v>
      </c>
      <c r="AJ65" s="494"/>
      <c r="AK65" s="17">
        <f t="shared" si="61"/>
        <v>343614.13249999983</v>
      </c>
      <c r="AL65" s="17">
        <f t="shared" si="61"/>
        <v>0</v>
      </c>
      <c r="AM65" s="17">
        <f t="shared" si="61"/>
        <v>385398.95699999994</v>
      </c>
      <c r="AN65" s="17">
        <f t="shared" si="61"/>
        <v>0</v>
      </c>
      <c r="AO65" s="17">
        <f t="shared" si="61"/>
        <v>41784.824500000104</v>
      </c>
      <c r="AP65" s="17">
        <f t="shared" si="61"/>
        <v>0</v>
      </c>
      <c r="AQ65" s="17">
        <f t="shared" si="61"/>
        <v>406397.38048148435</v>
      </c>
      <c r="AR65" s="17">
        <f t="shared" si="61"/>
        <v>0</v>
      </c>
      <c r="AS65" s="17">
        <f t="shared" si="61"/>
        <v>448182.20498148259</v>
      </c>
      <c r="AT65" s="17">
        <f t="shared" si="61"/>
        <v>0</v>
      </c>
      <c r="AU65" s="17">
        <f t="shared" si="61"/>
        <v>14380.569706558865</v>
      </c>
      <c r="AW65" s="1"/>
    </row>
    <row r="66" spans="1:49">
      <c r="A66" s="6">
        <f t="shared" si="76"/>
        <v>2020</v>
      </c>
      <c r="B66" s="1"/>
      <c r="C66" s="17">
        <f t="shared" si="68"/>
        <v>2994269.0369968764</v>
      </c>
      <c r="D66" s="494"/>
      <c r="E66" s="17">
        <f t="shared" si="68"/>
        <v>200506.26</v>
      </c>
      <c r="F66" s="17">
        <f t="shared" si="68"/>
        <v>0</v>
      </c>
      <c r="G66" s="17">
        <f t="shared" si="68"/>
        <v>474071.19</v>
      </c>
      <c r="H66" s="17">
        <f t="shared" si="68"/>
        <v>0</v>
      </c>
      <c r="I66" s="17">
        <f t="shared" si="68"/>
        <v>273564.93</v>
      </c>
      <c r="J66" s="17">
        <f t="shared" si="68"/>
        <v>0</v>
      </c>
      <c r="K66" s="17">
        <f t="shared" si="68"/>
        <v>2520197.8469968764</v>
      </c>
      <c r="L66" s="17">
        <f t="shared" si="68"/>
        <v>0</v>
      </c>
      <c r="M66" s="17">
        <f t="shared" si="68"/>
        <v>2793762.7769968766</v>
      </c>
      <c r="N66" s="17">
        <f t="shared" si="68"/>
        <v>0</v>
      </c>
      <c r="O66" s="17">
        <f t="shared" si="68"/>
        <v>89641.890980148892</v>
      </c>
      <c r="P66" s="1"/>
      <c r="Q66" s="6">
        <f t="shared" si="77"/>
        <v>2020</v>
      </c>
      <c r="R66" s="1"/>
      <c r="S66" s="17">
        <f t="shared" si="69"/>
        <v>2803431.0351470332</v>
      </c>
      <c r="T66" s="494"/>
      <c r="U66" s="89">
        <v>149356.397</v>
      </c>
      <c r="V66" s="147"/>
      <c r="W66" s="89">
        <v>409243.08049999998</v>
      </c>
      <c r="X66" s="17">
        <f t="shared" si="70"/>
        <v>0</v>
      </c>
      <c r="Y66" s="17">
        <f t="shared" ref="Y66" si="94">Y24+Y52</f>
        <v>259886.68349999998</v>
      </c>
      <c r="Z66" s="494"/>
      <c r="AA66" s="17">
        <f t="shared" ref="AA66" si="95">AA24+AA52</f>
        <v>2394187.954647033</v>
      </c>
      <c r="AB66" s="17">
        <f t="shared" ref="AB66" si="96">AB24+AB38+AB52</f>
        <v>0</v>
      </c>
      <c r="AC66" s="17">
        <f t="shared" si="74"/>
        <v>2654074.6381470333</v>
      </c>
      <c r="AD66" s="17">
        <f t="shared" si="70"/>
        <v>0</v>
      </c>
      <c r="AE66" s="17">
        <f t="shared" si="74"/>
        <v>85159.79643114144</v>
      </c>
      <c r="AF66" s="1"/>
      <c r="AG66" s="6">
        <f t="shared" si="81"/>
        <v>2020</v>
      </c>
      <c r="AH66" s="1"/>
      <c r="AI66" s="17">
        <f t="shared" si="75"/>
        <v>190838.00184984354</v>
      </c>
      <c r="AJ66" s="494"/>
      <c r="AK66" s="17">
        <f t="shared" si="61"/>
        <v>51149.863000000005</v>
      </c>
      <c r="AL66" s="17">
        <f t="shared" si="61"/>
        <v>0</v>
      </c>
      <c r="AM66" s="17">
        <f t="shared" si="61"/>
        <v>64828.10950000002</v>
      </c>
      <c r="AN66" s="17">
        <f t="shared" si="61"/>
        <v>0</v>
      </c>
      <c r="AO66" s="17">
        <f t="shared" si="61"/>
        <v>13678.246500000012</v>
      </c>
      <c r="AP66" s="17">
        <f t="shared" si="61"/>
        <v>0</v>
      </c>
      <c r="AQ66" s="17">
        <f t="shared" si="61"/>
        <v>126009.89234984375</v>
      </c>
      <c r="AR66" s="17">
        <f t="shared" si="61"/>
        <v>0</v>
      </c>
      <c r="AS66" s="17">
        <f t="shared" si="61"/>
        <v>139688.13884984353</v>
      </c>
      <c r="AT66" s="17">
        <f t="shared" si="61"/>
        <v>0</v>
      </c>
      <c r="AU66" s="17">
        <f t="shared" si="61"/>
        <v>4482.0945490074537</v>
      </c>
      <c r="AW66" s="1"/>
    </row>
    <row r="67" spans="1:49">
      <c r="A67" s="6">
        <f t="shared" si="76"/>
        <v>2021</v>
      </c>
      <c r="B67" s="1"/>
      <c r="C67" s="17">
        <f t="shared" si="68"/>
        <v>4214897.3710546708</v>
      </c>
      <c r="D67" s="494"/>
      <c r="E67" s="17">
        <f t="shared" si="68"/>
        <v>2849.11</v>
      </c>
      <c r="F67" s="17">
        <f t="shared" si="68"/>
        <v>0</v>
      </c>
      <c r="G67" s="17">
        <f t="shared" si="68"/>
        <v>143500</v>
      </c>
      <c r="H67" s="17">
        <f t="shared" si="68"/>
        <v>0</v>
      </c>
      <c r="I67" s="17">
        <f t="shared" si="68"/>
        <v>140650.89000000001</v>
      </c>
      <c r="J67" s="17">
        <f t="shared" si="68"/>
        <v>0</v>
      </c>
      <c r="K67" s="17">
        <f t="shared" si="68"/>
        <v>4071397.3710546708</v>
      </c>
      <c r="L67" s="17">
        <f t="shared" si="68"/>
        <v>0</v>
      </c>
      <c r="M67" s="17">
        <f t="shared" si="68"/>
        <v>4212048.2610546704</v>
      </c>
      <c r="N67" s="17">
        <f t="shared" si="68"/>
        <v>0</v>
      </c>
      <c r="O67" s="17">
        <f t="shared" si="68"/>
        <v>135149.61761587343</v>
      </c>
      <c r="P67" s="1"/>
      <c r="Q67" s="6">
        <f t="shared" si="77"/>
        <v>2021</v>
      </c>
      <c r="R67" s="1"/>
      <c r="S67" s="17">
        <f t="shared" si="69"/>
        <v>4004152.5025019371</v>
      </c>
      <c r="T67" s="494"/>
      <c r="U67" s="89">
        <v>2706.6545000000001</v>
      </c>
      <c r="V67" s="147"/>
      <c r="W67" s="89">
        <v>136325</v>
      </c>
      <c r="X67" s="17">
        <f t="shared" si="70"/>
        <v>0</v>
      </c>
      <c r="Y67" s="17">
        <f t="shared" ref="Y67" si="97">Y25+Y53</f>
        <v>133618.3455</v>
      </c>
      <c r="Z67" s="494"/>
      <c r="AA67" s="17">
        <f t="shared" ref="AA67" si="98">AA25+AA53</f>
        <v>3867827.5025019371</v>
      </c>
      <c r="AB67" s="17">
        <f t="shared" ref="AB67" si="99">AB25+AB39+AB53</f>
        <v>0</v>
      </c>
      <c r="AC67" s="17">
        <f t="shared" si="74"/>
        <v>4001445.8480019369</v>
      </c>
      <c r="AD67" s="17">
        <f t="shared" si="70"/>
        <v>0</v>
      </c>
      <c r="AE67" s="17">
        <f t="shared" si="74"/>
        <v>128392.13673507975</v>
      </c>
      <c r="AF67" s="26"/>
      <c r="AG67" s="6">
        <f t="shared" si="81"/>
        <v>2021</v>
      </c>
      <c r="AH67" s="1"/>
      <c r="AI67" s="17">
        <f t="shared" si="75"/>
        <v>210744.86855273385</v>
      </c>
      <c r="AJ67" s="494"/>
      <c r="AK67" s="17">
        <f t="shared" si="61"/>
        <v>142.45550000000003</v>
      </c>
      <c r="AL67" s="17">
        <f t="shared" si="61"/>
        <v>0</v>
      </c>
      <c r="AM67" s="17">
        <f t="shared" si="61"/>
        <v>7175</v>
      </c>
      <c r="AN67" s="17">
        <f t="shared" si="61"/>
        <v>0</v>
      </c>
      <c r="AO67" s="17">
        <f t="shared" si="61"/>
        <v>7032.5445000000182</v>
      </c>
      <c r="AP67" s="17">
        <f t="shared" si="61"/>
        <v>0</v>
      </c>
      <c r="AQ67" s="17">
        <f t="shared" si="61"/>
        <v>203569.86855273385</v>
      </c>
      <c r="AR67" s="17">
        <f t="shared" si="61"/>
        <v>0</v>
      </c>
      <c r="AS67" s="17">
        <f t="shared" si="61"/>
        <v>210602.41305273416</v>
      </c>
      <c r="AT67" s="17">
        <f t="shared" si="61"/>
        <v>0</v>
      </c>
      <c r="AU67" s="17">
        <f t="shared" si="61"/>
        <v>6757.4808807936715</v>
      </c>
      <c r="AW67" s="1"/>
    </row>
    <row r="68" spans="1:49">
      <c r="A68" s="6">
        <f t="shared" si="76"/>
        <v>2022</v>
      </c>
      <c r="B68" s="1"/>
      <c r="C68" s="17">
        <f t="shared" si="68"/>
        <v>2499641.4487359389</v>
      </c>
      <c r="D68" s="494"/>
      <c r="E68" s="17">
        <f t="shared" si="68"/>
        <v>0</v>
      </c>
      <c r="F68" s="17">
        <f t="shared" si="68"/>
        <v>0</v>
      </c>
      <c r="G68" s="17">
        <f t="shared" si="68"/>
        <v>0</v>
      </c>
      <c r="H68" s="17">
        <f t="shared" si="68"/>
        <v>0</v>
      </c>
      <c r="I68" s="17">
        <f t="shared" si="68"/>
        <v>0</v>
      </c>
      <c r="J68" s="17">
        <f t="shared" si="68"/>
        <v>0</v>
      </c>
      <c r="K68" s="17">
        <f t="shared" si="68"/>
        <v>2499641.4487359389</v>
      </c>
      <c r="L68" s="17">
        <f t="shared" si="68"/>
        <v>0</v>
      </c>
      <c r="M68" s="17">
        <f t="shared" si="68"/>
        <v>2499641.4487359389</v>
      </c>
      <c r="N68" s="17">
        <f t="shared" si="68"/>
        <v>0</v>
      </c>
      <c r="O68" s="17">
        <f t="shared" si="68"/>
        <v>80204.585758678018</v>
      </c>
      <c r="P68" s="1"/>
      <c r="Q68" s="6">
        <f t="shared" si="77"/>
        <v>2022</v>
      </c>
      <c r="R68" s="1"/>
      <c r="S68" s="17">
        <f t="shared" si="69"/>
        <v>2374659.3762991414</v>
      </c>
      <c r="T68" s="494"/>
      <c r="U68" s="89">
        <v>0</v>
      </c>
      <c r="V68" s="147"/>
      <c r="W68" s="89">
        <v>0</v>
      </c>
      <c r="X68" s="17">
        <f t="shared" si="70"/>
        <v>0</v>
      </c>
      <c r="Y68" s="17">
        <f t="shared" ref="Y68" si="100">Y26+Y54</f>
        <v>0</v>
      </c>
      <c r="Z68" s="494"/>
      <c r="AA68" s="17">
        <f t="shared" ref="AA68" si="101">AA26+AA54</f>
        <v>2374659.3762991414</v>
      </c>
      <c r="AB68" s="17">
        <f t="shared" ref="AB68" si="102">AB26+AB40+AB54</f>
        <v>0</v>
      </c>
      <c r="AC68" s="17">
        <f t="shared" si="74"/>
        <v>2374659.3762991414</v>
      </c>
      <c r="AD68" s="17">
        <f t="shared" si="70"/>
        <v>0</v>
      </c>
      <c r="AE68" s="17">
        <f t="shared" si="74"/>
        <v>76194.356470744111</v>
      </c>
      <c r="AF68" s="1"/>
      <c r="AG68" s="6">
        <f t="shared" si="81"/>
        <v>2022</v>
      </c>
      <c r="AH68" s="1"/>
      <c r="AI68" s="17">
        <f t="shared" si="75"/>
        <v>124982.07243679717</v>
      </c>
      <c r="AJ68" s="494"/>
      <c r="AK68" s="17">
        <f t="shared" si="61"/>
        <v>0</v>
      </c>
      <c r="AL68" s="17">
        <f t="shared" si="61"/>
        <v>0</v>
      </c>
      <c r="AM68" s="17">
        <f t="shared" si="61"/>
        <v>0</v>
      </c>
      <c r="AN68" s="17">
        <f t="shared" si="61"/>
        <v>0</v>
      </c>
      <c r="AO68" s="17">
        <f t="shared" si="61"/>
        <v>0</v>
      </c>
      <c r="AP68" s="17">
        <f t="shared" si="61"/>
        <v>0</v>
      </c>
      <c r="AQ68" s="17">
        <f t="shared" si="61"/>
        <v>124982.07243679717</v>
      </c>
      <c r="AR68" s="17">
        <f t="shared" si="61"/>
        <v>0</v>
      </c>
      <c r="AS68" s="17">
        <f t="shared" si="61"/>
        <v>124982.07243679717</v>
      </c>
      <c r="AT68" s="17">
        <f t="shared" si="61"/>
        <v>0</v>
      </c>
      <c r="AU68" s="17">
        <f t="shared" si="61"/>
        <v>4010.2292879339047</v>
      </c>
      <c r="AW68" s="1"/>
    </row>
    <row r="69" spans="1:49">
      <c r="A69" s="6"/>
      <c r="B69" s="1"/>
      <c r="C69" s="63"/>
      <c r="D69" s="1"/>
      <c r="E69" s="63"/>
      <c r="F69" s="1"/>
      <c r="G69" s="63"/>
      <c r="H69" s="1"/>
      <c r="I69" s="63"/>
      <c r="J69" s="1"/>
      <c r="K69" s="63"/>
      <c r="L69" s="1"/>
      <c r="M69" s="63"/>
      <c r="N69" s="63"/>
      <c r="O69" s="63"/>
      <c r="P69" s="1"/>
      <c r="Q69" s="6"/>
      <c r="R69" s="1"/>
      <c r="S69" s="63"/>
      <c r="T69" s="1"/>
      <c r="U69" s="63"/>
      <c r="V69" s="1"/>
      <c r="W69" s="63"/>
      <c r="X69" s="1"/>
      <c r="Y69" s="63"/>
      <c r="Z69" s="1"/>
      <c r="AA69" s="63"/>
      <c r="AB69" s="1"/>
      <c r="AC69" s="63"/>
      <c r="AD69" s="63"/>
      <c r="AE69" s="63"/>
      <c r="AF69" s="1"/>
      <c r="AG69" s="6"/>
      <c r="AH69" s="1"/>
      <c r="AI69" s="63"/>
      <c r="AJ69" s="1"/>
      <c r="AK69" s="63"/>
      <c r="AL69" s="1"/>
      <c r="AM69" s="63"/>
      <c r="AN69" s="1"/>
      <c r="AO69" s="63"/>
      <c r="AP69" s="1"/>
      <c r="AQ69" s="63"/>
      <c r="AR69" s="1"/>
      <c r="AS69" s="63"/>
      <c r="AT69" s="63"/>
      <c r="AU69" s="63"/>
      <c r="AW69" s="1"/>
    </row>
    <row r="70" spans="1:49">
      <c r="A70" s="2" t="s">
        <v>0</v>
      </c>
      <c r="B70" s="1"/>
      <c r="C70" s="147">
        <f>SUM(C59:C69)</f>
        <v>65834697.921594128</v>
      </c>
      <c r="D70" s="147"/>
      <c r="E70" s="147">
        <f>SUM(E59:E69)</f>
        <v>32393919.960000001</v>
      </c>
      <c r="F70" s="147"/>
      <c r="G70" s="147">
        <f>SUM(G59:G69)</f>
        <v>41275725.229999997</v>
      </c>
      <c r="H70" s="147"/>
      <c r="I70" s="147">
        <f>SUM(I59:I69)</f>
        <v>8881805.2699999996</v>
      </c>
      <c r="J70" s="147"/>
      <c r="K70" s="147">
        <f>SUM(K59:K69)</f>
        <v>24558972.691594124</v>
      </c>
      <c r="L70" s="147"/>
      <c r="M70" s="147">
        <f>SUM(M59:M69)</f>
        <v>33440777.96159412</v>
      </c>
      <c r="N70" s="147"/>
      <c r="O70" s="147">
        <f>'Exhibit B,3'!AK72</f>
        <v>1072995.3870839826</v>
      </c>
      <c r="P70" s="1"/>
      <c r="Q70" s="2" t="s">
        <v>0</v>
      </c>
      <c r="R70" s="1"/>
      <c r="S70" s="147">
        <f>SUM(S59:S69)</f>
        <v>62167217.66701442</v>
      </c>
      <c r="T70" s="147"/>
      <c r="U70" s="147">
        <f>SUM(U59:U69)</f>
        <v>30398478.603499997</v>
      </c>
      <c r="V70" s="147"/>
      <c r="W70" s="147">
        <f>SUM(W59:W69)</f>
        <v>38836193.609999999</v>
      </c>
      <c r="X70" s="147"/>
      <c r="Y70" s="147">
        <f>SUM(Y59:Y69)</f>
        <v>8437715.006500002</v>
      </c>
      <c r="Z70" s="147"/>
      <c r="AA70" s="147">
        <f>SUM(AA59:AA69)</f>
        <v>23331024.057014421</v>
      </c>
      <c r="AB70" s="147"/>
      <c r="AC70" s="147">
        <f>SUM(AC59:AC69)</f>
        <v>31768739.063514423</v>
      </c>
      <c r="AD70" s="147"/>
      <c r="AE70" s="147">
        <f>SUM(AE59:AE69)</f>
        <v>1019345.6177297835</v>
      </c>
      <c r="AF70" s="1"/>
      <c r="AG70" s="2" t="s">
        <v>0</v>
      </c>
      <c r="AH70" s="1"/>
      <c r="AI70" s="147">
        <f>SUM(AI59:AI69)</f>
        <v>3667480.2545797061</v>
      </c>
      <c r="AJ70" s="147"/>
      <c r="AK70" s="147">
        <f>SUM(AK59:AK69)</f>
        <v>1995441.3565000002</v>
      </c>
      <c r="AL70" s="147"/>
      <c r="AM70" s="147">
        <f>SUM(AM59:AM69)</f>
        <v>2439531.6199999992</v>
      </c>
      <c r="AN70" s="147"/>
      <c r="AO70" s="147">
        <f>SUM(AO59:AO69)</f>
        <v>444090.26349999878</v>
      </c>
      <c r="AP70" s="147"/>
      <c r="AQ70" s="147">
        <f>SUM(AQ59:AQ69)</f>
        <v>1227948.6345797072</v>
      </c>
      <c r="AR70" s="147"/>
      <c r="AS70" s="147">
        <f>SUM(AS59:AS69)</f>
        <v>1672038.8980797066</v>
      </c>
      <c r="AT70" s="147"/>
      <c r="AU70" s="147">
        <f>SUM(AU59:AU69)</f>
        <v>53649.769354199227</v>
      </c>
    </row>
    <row r="71" spans="1:49">
      <c r="A71" s="2"/>
      <c r="B71" s="1"/>
      <c r="C71" s="26"/>
      <c r="D71" s="1"/>
      <c r="E71" s="26"/>
      <c r="F71" s="1"/>
      <c r="G71" s="26"/>
      <c r="H71" s="1"/>
      <c r="I71" s="26"/>
      <c r="J71" s="26"/>
      <c r="K71" s="26"/>
      <c r="L71" s="1"/>
      <c r="M71" s="26"/>
      <c r="N71" s="26"/>
      <c r="O71" s="26"/>
      <c r="P71" s="1"/>
      <c r="Q71" s="2"/>
      <c r="R71" s="1"/>
      <c r="S71" s="26"/>
      <c r="T71" s="1"/>
      <c r="U71" s="26"/>
      <c r="V71" s="1"/>
      <c r="W71" s="26"/>
      <c r="X71" s="1"/>
      <c r="Y71" s="26"/>
      <c r="Z71" s="26"/>
      <c r="AA71" s="26"/>
      <c r="AB71" s="1"/>
      <c r="AC71" s="26"/>
      <c r="AD71" s="26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9">
      <c r="A72" s="1" t="s">
        <v>685</v>
      </c>
      <c r="B72" s="1"/>
      <c r="C72" s="147">
        <f>C70-'Exhibit B,3'!AI70</f>
        <v>0</v>
      </c>
      <c r="D72" s="1"/>
      <c r="E72" s="147">
        <f>E70-'Exhibit B,3'!Q70-'Exhibit B,3'!O70</f>
        <v>0</v>
      </c>
      <c r="F72" s="1"/>
      <c r="G72" s="147">
        <f>G70-'Exhibit B,3'!S70-'Exhibit B,3'!U70</f>
        <v>0</v>
      </c>
      <c r="H72" s="1"/>
      <c r="I72" s="1"/>
      <c r="J72" s="1"/>
      <c r="K72" s="1"/>
      <c r="L72" s="1"/>
      <c r="M72" s="1"/>
      <c r="N72" s="1"/>
      <c r="O72" s="147">
        <f>O70-O56-O42-O28</f>
        <v>0</v>
      </c>
      <c r="P72" s="1"/>
      <c r="Q72" s="1"/>
      <c r="R72" s="1"/>
      <c r="S72" s="1"/>
      <c r="T72" s="1"/>
      <c r="U72" s="19"/>
      <c r="V72" s="19"/>
      <c r="W72" s="19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9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9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9">
      <c r="A75" s="1"/>
      <c r="B75" s="1"/>
      <c r="C75" s="1"/>
      <c r="D75" s="1"/>
      <c r="E75" s="1">
        <f>58.6+25.7</f>
        <v>84.3</v>
      </c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9">
      <c r="A76" s="1"/>
      <c r="B76" s="1"/>
      <c r="C76" s="1"/>
      <c r="D76" s="1"/>
      <c r="E76" s="1">
        <f>E75/89.7</f>
        <v>0.93979933110367886</v>
      </c>
      <c r="F76" s="1"/>
      <c r="G76" s="1"/>
      <c r="H76" s="1"/>
      <c r="I76" s="1"/>
      <c r="J76" s="1"/>
      <c r="K76" s="1"/>
      <c r="L76" s="1"/>
      <c r="M76" s="1"/>
      <c r="N76" s="1"/>
      <c r="O76" s="1"/>
      <c r="P76" s="147"/>
      <c r="Q76" s="4" t="s">
        <v>637</v>
      </c>
      <c r="R76" s="5"/>
      <c r="S76" s="5"/>
      <c r="T76" s="5"/>
      <c r="U76" s="5"/>
      <c r="V76" s="5"/>
      <c r="W76" s="4"/>
      <c r="X76" s="5"/>
      <c r="Y76" s="4"/>
      <c r="Z76" s="5"/>
      <c r="AA76" s="5"/>
      <c r="AB76" s="5"/>
      <c r="AC76" s="5"/>
      <c r="AD76" s="5"/>
      <c r="AE76" s="5"/>
      <c r="AF76" s="147"/>
      <c r="AG76" s="59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9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2" t="s">
        <v>1</v>
      </c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494"/>
      <c r="AG77" s="59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9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2" t="s">
        <v>67</v>
      </c>
      <c r="T78" s="1"/>
      <c r="U78" s="2" t="s">
        <v>14</v>
      </c>
      <c r="V78" s="1"/>
      <c r="W78" s="2" t="s">
        <v>12</v>
      </c>
      <c r="X78" s="1"/>
      <c r="Y78" s="2" t="s">
        <v>139</v>
      </c>
      <c r="Z78" s="1"/>
      <c r="AA78" s="1"/>
      <c r="AB78" s="1"/>
      <c r="AC78" s="2" t="s">
        <v>63</v>
      </c>
      <c r="AD78" s="6"/>
      <c r="AE78" s="6" t="s">
        <v>635</v>
      </c>
      <c r="AF78" s="494"/>
      <c r="AG78" s="59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9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2" t="s">
        <v>4</v>
      </c>
      <c r="R79" s="1"/>
      <c r="S79" s="2" t="s">
        <v>55</v>
      </c>
      <c r="T79" s="1"/>
      <c r="U79" s="2" t="s">
        <v>55</v>
      </c>
      <c r="V79" s="1"/>
      <c r="W79" s="2" t="s">
        <v>55</v>
      </c>
      <c r="X79" s="1"/>
      <c r="Y79" s="2" t="s">
        <v>112</v>
      </c>
      <c r="Z79" s="1"/>
      <c r="AA79" s="2" t="s">
        <v>381</v>
      </c>
      <c r="AB79" s="1"/>
      <c r="AC79" s="2" t="s">
        <v>55</v>
      </c>
      <c r="AD79" s="6"/>
      <c r="AE79" s="6" t="s">
        <v>567</v>
      </c>
      <c r="AF79" s="494"/>
      <c r="AG79" s="59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9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0">
        <v>-1</v>
      </c>
      <c r="R80" s="1"/>
      <c r="S80" s="10">
        <v>-2</v>
      </c>
      <c r="T80" s="1"/>
      <c r="U80" s="10">
        <v>-3</v>
      </c>
      <c r="V80" s="1"/>
      <c r="W80" s="10">
        <v>-4</v>
      </c>
      <c r="X80" s="1"/>
      <c r="Y80" s="10">
        <v>-5</v>
      </c>
      <c r="Z80" s="1"/>
      <c r="AA80" s="10">
        <v>-6</v>
      </c>
      <c r="AB80" s="1"/>
      <c r="AC80" s="10">
        <v>-7</v>
      </c>
      <c r="AD80" s="1"/>
      <c r="AE80" s="10">
        <v>-8</v>
      </c>
      <c r="AF80" s="494"/>
      <c r="AG80" s="59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AF81" s="494"/>
      <c r="AG81" s="59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AF82" s="494"/>
      <c r="AG82" s="59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3" t="s">
        <v>1690</v>
      </c>
      <c r="R83" s="1"/>
      <c r="S83" s="20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494"/>
      <c r="AG83" s="59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6">
        <v>2013</v>
      </c>
      <c r="R84" s="1"/>
      <c r="S84" s="59">
        <f t="shared" ref="S84:S93" si="103">IF(C59=0,0,S59/C59)</f>
        <v>0</v>
      </c>
      <c r="T84" s="147"/>
      <c r="U84" s="59">
        <f t="shared" ref="U84:U93" si="104">IF(E59=0,0,U59/E59)</f>
        <v>0</v>
      </c>
      <c r="V84" s="147"/>
      <c r="W84" s="59">
        <f t="shared" ref="W84:W93" si="105">IF(G59=0,0,W59/G59)</f>
        <v>0</v>
      </c>
      <c r="X84" s="147"/>
      <c r="Y84" s="59">
        <f t="shared" ref="Y84:Y93" si="106">IF(I59=0,0,Y59/I59)</f>
        <v>0</v>
      </c>
      <c r="Z84" s="147"/>
      <c r="AA84" s="59">
        <f t="shared" ref="AA84:AA93" si="107">IF(K59=0,0,AA59/K59)</f>
        <v>0</v>
      </c>
      <c r="AB84" s="147"/>
      <c r="AC84" s="59">
        <f t="shared" ref="AC84:AC93" si="108">IF(M59=0,0,AC59/M59)</f>
        <v>0</v>
      </c>
      <c r="AD84" s="147"/>
      <c r="AE84" s="59">
        <f t="shared" ref="AE84:AE93" si="109">IF(O59=0,0,AE59/O59)</f>
        <v>0</v>
      </c>
      <c r="AF84" s="494"/>
      <c r="AG84" s="59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6">
        <f t="shared" ref="Q85:Q93" si="110">Q84+1</f>
        <v>2014</v>
      </c>
      <c r="R85" s="1"/>
      <c r="S85" s="59">
        <f t="shared" si="103"/>
        <v>0.95000000000000018</v>
      </c>
      <c r="T85" s="494"/>
      <c r="U85" s="59">
        <f t="shared" si="104"/>
        <v>0.95000000000000007</v>
      </c>
      <c r="V85" s="17">
        <f t="shared" ref="V85:V93" si="111">V35+V49+V63</f>
        <v>0</v>
      </c>
      <c r="W85" s="59">
        <f t="shared" si="105"/>
        <v>0.95</v>
      </c>
      <c r="X85" s="494"/>
      <c r="Y85" s="59">
        <f t="shared" si="106"/>
        <v>0.95</v>
      </c>
      <c r="Z85" s="17">
        <f t="shared" ref="Z85:Z93" si="112">Z35+Z49+Z63</f>
        <v>0</v>
      </c>
      <c r="AA85" s="59">
        <f t="shared" si="107"/>
        <v>0.95000000000000018</v>
      </c>
      <c r="AB85" s="494"/>
      <c r="AC85" s="59">
        <f t="shared" si="108"/>
        <v>0.95000000000000018</v>
      </c>
      <c r="AD85" s="17">
        <f t="shared" ref="AD85:AD93" si="113">AD35+AD49+AD63</f>
        <v>0</v>
      </c>
      <c r="AE85" s="59">
        <f t="shared" si="109"/>
        <v>0.95</v>
      </c>
      <c r="AF85" s="494"/>
      <c r="AG85" s="59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>
      <c r="A86" s="6" t="s">
        <v>50</v>
      </c>
      <c r="B86" s="23"/>
      <c r="C86" s="20"/>
      <c r="D86" s="20"/>
      <c r="E86" s="20"/>
      <c r="F86" s="20"/>
      <c r="G86" s="20"/>
      <c r="H86" s="18"/>
      <c r="I86" s="20"/>
      <c r="J86" s="1"/>
      <c r="K86" s="1"/>
      <c r="L86" s="1"/>
      <c r="M86" s="1"/>
      <c r="N86" s="1"/>
      <c r="O86" s="1"/>
      <c r="P86" s="1"/>
      <c r="Q86" s="6">
        <f t="shared" si="110"/>
        <v>2015</v>
      </c>
      <c r="R86" s="1"/>
      <c r="S86" s="59">
        <f t="shared" si="103"/>
        <v>0.90097344048563732</v>
      </c>
      <c r="T86" s="494"/>
      <c r="U86" s="59">
        <f t="shared" si="104"/>
        <v>0.8937163569458676</v>
      </c>
      <c r="V86" s="17">
        <f t="shared" si="111"/>
        <v>0</v>
      </c>
      <c r="W86" s="59">
        <f t="shared" si="105"/>
        <v>0.89902657190134228</v>
      </c>
      <c r="X86" s="494"/>
      <c r="Y86" s="59">
        <f t="shared" si="106"/>
        <v>0.95000000000000007</v>
      </c>
      <c r="Z86" s="17">
        <f t="shared" si="112"/>
        <v>0</v>
      </c>
      <c r="AA86" s="59">
        <f t="shared" si="107"/>
        <v>0.95</v>
      </c>
      <c r="AB86" s="494"/>
      <c r="AC86" s="59">
        <f t="shared" si="108"/>
        <v>0.9500000000000004</v>
      </c>
      <c r="AD86" s="17">
        <f t="shared" si="113"/>
        <v>0</v>
      </c>
      <c r="AE86" s="59">
        <f t="shared" si="109"/>
        <v>0.95</v>
      </c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>
      <c r="A87" s="3" t="s">
        <v>1482</v>
      </c>
      <c r="B87" s="1"/>
      <c r="C87" s="1" t="s">
        <v>1520</v>
      </c>
      <c r="D87" s="20"/>
      <c r="E87" s="20"/>
      <c r="F87" s="20"/>
      <c r="G87" s="20"/>
      <c r="H87" s="18"/>
      <c r="I87" s="20"/>
      <c r="J87" s="1"/>
      <c r="K87" s="1"/>
      <c r="L87" s="1"/>
      <c r="M87" s="1"/>
      <c r="N87" s="1"/>
      <c r="O87" s="1"/>
      <c r="P87" s="1"/>
      <c r="Q87" s="6">
        <f t="shared" si="110"/>
        <v>2016</v>
      </c>
      <c r="R87" s="1"/>
      <c r="S87" s="59">
        <f t="shared" si="103"/>
        <v>0.94839359486610941</v>
      </c>
      <c r="T87" s="494"/>
      <c r="U87" s="59">
        <f t="shared" si="104"/>
        <v>0.94830404062006823</v>
      </c>
      <c r="V87" s="17">
        <f t="shared" si="111"/>
        <v>0</v>
      </c>
      <c r="W87" s="59">
        <f t="shared" si="105"/>
        <v>0.94837595533607433</v>
      </c>
      <c r="X87" s="494"/>
      <c r="Y87" s="59">
        <f t="shared" si="106"/>
        <v>0.95000000000000107</v>
      </c>
      <c r="Z87" s="17">
        <f t="shared" si="112"/>
        <v>0</v>
      </c>
      <c r="AA87" s="59">
        <f t="shared" si="107"/>
        <v>0.95</v>
      </c>
      <c r="AB87" s="494"/>
      <c r="AC87" s="59">
        <f t="shared" si="108"/>
        <v>0.95000000000000029</v>
      </c>
      <c r="AD87" s="17">
        <f t="shared" si="113"/>
        <v>0</v>
      </c>
      <c r="AE87" s="59">
        <f t="shared" si="109"/>
        <v>0.95</v>
      </c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>
      <c r="A88" s="64"/>
      <c r="B88" s="1"/>
      <c r="C88" s="1" t="s">
        <v>642</v>
      </c>
      <c r="D88" s="20"/>
      <c r="E88" s="20"/>
      <c r="F88" s="20"/>
      <c r="G88" s="20"/>
      <c r="H88" s="18"/>
      <c r="I88" s="20"/>
      <c r="J88" s="1"/>
      <c r="K88" s="1"/>
      <c r="L88" s="1"/>
      <c r="M88" s="1"/>
      <c r="N88" s="1"/>
      <c r="O88" s="1"/>
      <c r="P88" s="1"/>
      <c r="Q88" s="6">
        <f t="shared" si="110"/>
        <v>2017</v>
      </c>
      <c r="R88" s="1"/>
      <c r="S88" s="59">
        <f t="shared" si="103"/>
        <v>0.9226699551481633</v>
      </c>
      <c r="T88" s="494"/>
      <c r="U88" s="59">
        <f t="shared" si="104"/>
        <v>0.91512456352854044</v>
      </c>
      <c r="V88" s="17">
        <f t="shared" si="111"/>
        <v>0</v>
      </c>
      <c r="W88" s="59">
        <f t="shared" si="105"/>
        <v>0.92272845030065398</v>
      </c>
      <c r="X88" s="494"/>
      <c r="Y88" s="59">
        <f t="shared" si="106"/>
        <v>0.94999999999999929</v>
      </c>
      <c r="Z88" s="17">
        <f t="shared" si="112"/>
        <v>0</v>
      </c>
      <c r="AA88" s="59">
        <f t="shared" si="107"/>
        <v>0.95</v>
      </c>
      <c r="AB88" s="494"/>
      <c r="AC88" s="59">
        <f t="shared" si="108"/>
        <v>0.94999999999999907</v>
      </c>
      <c r="AD88" s="17">
        <f t="shared" si="113"/>
        <v>0</v>
      </c>
      <c r="AE88" s="59">
        <f t="shared" si="109"/>
        <v>0.95000000000000007</v>
      </c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>
      <c r="A89" s="2"/>
      <c r="B89" s="1"/>
      <c r="C89" s="1" t="s">
        <v>641</v>
      </c>
      <c r="D89" s="20"/>
      <c r="E89" s="20"/>
      <c r="F89" s="20"/>
      <c r="G89" s="20"/>
      <c r="H89" s="18"/>
      <c r="I89" s="20"/>
      <c r="J89" s="1"/>
      <c r="K89" s="1"/>
      <c r="L89" s="1"/>
      <c r="M89" s="1"/>
      <c r="N89" s="1"/>
      <c r="O89" s="1"/>
      <c r="P89" s="1"/>
      <c r="Q89" s="6">
        <f t="shared" si="110"/>
        <v>2018</v>
      </c>
      <c r="R89" s="1"/>
      <c r="S89" s="59">
        <f t="shared" si="103"/>
        <v>0.94853364075696056</v>
      </c>
      <c r="T89" s="494"/>
      <c r="U89" s="59">
        <f t="shared" si="104"/>
        <v>0.94615807553752262</v>
      </c>
      <c r="V89" s="17">
        <f t="shared" si="111"/>
        <v>0</v>
      </c>
      <c r="W89" s="59">
        <f t="shared" si="105"/>
        <v>0.94759133558620723</v>
      </c>
      <c r="X89" s="494"/>
      <c r="Y89" s="59">
        <f t="shared" si="106"/>
        <v>0.95000000000000051</v>
      </c>
      <c r="Z89" s="17">
        <f t="shared" si="112"/>
        <v>0</v>
      </c>
      <c r="AA89" s="59">
        <f t="shared" si="107"/>
        <v>0.95</v>
      </c>
      <c r="AB89" s="494"/>
      <c r="AC89" s="59">
        <f t="shared" si="108"/>
        <v>0.95</v>
      </c>
      <c r="AD89" s="17">
        <f t="shared" si="113"/>
        <v>0</v>
      </c>
      <c r="AE89" s="59">
        <f t="shared" si="109"/>
        <v>0.94999999999999984</v>
      </c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>
      <c r="A90" s="64" t="s">
        <v>40</v>
      </c>
      <c r="B90" s="1"/>
      <c r="C90" s="130" t="s">
        <v>387</v>
      </c>
      <c r="D90" s="20"/>
      <c r="E90" s="20"/>
      <c r="F90" s="20"/>
      <c r="G90" s="20"/>
      <c r="H90" s="18"/>
      <c r="I90" s="20"/>
      <c r="J90" s="1"/>
      <c r="K90" s="1"/>
      <c r="L90" s="1"/>
      <c r="M90" s="1"/>
      <c r="N90" s="1"/>
      <c r="O90" s="1"/>
      <c r="P90" s="1"/>
      <c r="Q90" s="6">
        <f t="shared" si="110"/>
        <v>2019</v>
      </c>
      <c r="R90" s="1"/>
      <c r="S90" s="59">
        <f t="shared" si="103"/>
        <v>0.94780224333805863</v>
      </c>
      <c r="T90" s="494"/>
      <c r="U90" s="59">
        <f t="shared" si="104"/>
        <v>0.94462766514449192</v>
      </c>
      <c r="V90" s="17">
        <f t="shared" si="111"/>
        <v>0</v>
      </c>
      <c r="W90" s="59">
        <f t="shared" si="105"/>
        <v>0.94526528811425525</v>
      </c>
      <c r="X90" s="494"/>
      <c r="Y90" s="59">
        <f t="shared" si="106"/>
        <v>0.94999999999999984</v>
      </c>
      <c r="Z90" s="17">
        <f t="shared" si="112"/>
        <v>0</v>
      </c>
      <c r="AA90" s="59">
        <f t="shared" si="107"/>
        <v>0.95</v>
      </c>
      <c r="AB90" s="494"/>
      <c r="AC90" s="59">
        <f t="shared" si="108"/>
        <v>0.95000000000000029</v>
      </c>
      <c r="AD90" s="17">
        <f t="shared" si="113"/>
        <v>0</v>
      </c>
      <c r="AE90" s="59">
        <f t="shared" si="109"/>
        <v>0.94999999999999973</v>
      </c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>
      <c r="A91" s="64" t="s">
        <v>42</v>
      </c>
      <c r="B91" s="1"/>
      <c r="C91" s="130" t="s">
        <v>388</v>
      </c>
      <c r="D91" s="20"/>
      <c r="E91" s="20"/>
      <c r="F91" s="20"/>
      <c r="G91" s="20"/>
      <c r="H91" s="18"/>
      <c r="I91" s="20"/>
      <c r="J91" s="1"/>
      <c r="K91" s="1"/>
      <c r="L91" s="1"/>
      <c r="M91" s="1"/>
      <c r="N91" s="1"/>
      <c r="O91" s="1"/>
      <c r="P91" s="1"/>
      <c r="Q91" s="6">
        <f t="shared" si="110"/>
        <v>2020</v>
      </c>
      <c r="R91" s="1"/>
      <c r="S91" s="59">
        <f t="shared" si="103"/>
        <v>0.93626557951477685</v>
      </c>
      <c r="T91" s="494"/>
      <c r="U91" s="59">
        <f t="shared" si="104"/>
        <v>0.7448964286701073</v>
      </c>
      <c r="V91" s="17">
        <f t="shared" si="111"/>
        <v>0</v>
      </c>
      <c r="W91" s="59">
        <f t="shared" si="105"/>
        <v>0.86325237460643833</v>
      </c>
      <c r="X91" s="494"/>
      <c r="Y91" s="59">
        <f t="shared" si="106"/>
        <v>0.95</v>
      </c>
      <c r="Z91" s="17">
        <f t="shared" si="112"/>
        <v>0</v>
      </c>
      <c r="AA91" s="59">
        <f t="shared" si="107"/>
        <v>0.95000000000000018</v>
      </c>
      <c r="AB91" s="494"/>
      <c r="AC91" s="59">
        <f t="shared" si="108"/>
        <v>0.95000000000000018</v>
      </c>
      <c r="AD91" s="17">
        <f t="shared" si="113"/>
        <v>0</v>
      </c>
      <c r="AE91" s="59">
        <f t="shared" si="109"/>
        <v>0.95</v>
      </c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>
      <c r="Q92" s="6">
        <f t="shared" si="110"/>
        <v>2021</v>
      </c>
      <c r="R92" s="1"/>
      <c r="S92" s="59">
        <f t="shared" si="103"/>
        <v>0.95</v>
      </c>
      <c r="T92" s="494"/>
      <c r="U92" s="59">
        <f t="shared" si="104"/>
        <v>0.95</v>
      </c>
      <c r="V92" s="17">
        <f t="shared" si="111"/>
        <v>0</v>
      </c>
      <c r="W92" s="59">
        <f t="shared" si="105"/>
        <v>0.95</v>
      </c>
      <c r="X92" s="494"/>
      <c r="Y92" s="59">
        <f t="shared" si="106"/>
        <v>0.94999999999999984</v>
      </c>
      <c r="Z92" s="17">
        <f t="shared" si="112"/>
        <v>0</v>
      </c>
      <c r="AA92" s="59">
        <f t="shared" si="107"/>
        <v>0.95</v>
      </c>
      <c r="AB92" s="494"/>
      <c r="AC92" s="59">
        <f t="shared" si="108"/>
        <v>0.95</v>
      </c>
      <c r="AD92" s="17">
        <f t="shared" si="113"/>
        <v>0</v>
      </c>
      <c r="AE92" s="59">
        <f t="shared" si="109"/>
        <v>0.95</v>
      </c>
    </row>
    <row r="93" spans="1:47">
      <c r="Q93" s="6">
        <f t="shared" si="110"/>
        <v>2022</v>
      </c>
      <c r="R93" s="1"/>
      <c r="S93" s="59">
        <f t="shared" si="103"/>
        <v>0.94999999999999984</v>
      </c>
      <c r="T93" s="494"/>
      <c r="U93" s="59">
        <f t="shared" si="104"/>
        <v>0</v>
      </c>
      <c r="V93" s="17">
        <f t="shared" si="111"/>
        <v>0</v>
      </c>
      <c r="W93" s="59">
        <f t="shared" si="105"/>
        <v>0</v>
      </c>
      <c r="X93" s="494"/>
      <c r="Y93" s="59">
        <f t="shared" si="106"/>
        <v>0</v>
      </c>
      <c r="Z93" s="17">
        <f t="shared" si="112"/>
        <v>0</v>
      </c>
      <c r="AA93" s="59">
        <f t="shared" si="107"/>
        <v>0.94999999999999984</v>
      </c>
      <c r="AB93" s="494"/>
      <c r="AC93" s="59">
        <f t="shared" si="108"/>
        <v>0.94999999999999984</v>
      </c>
      <c r="AD93" s="17">
        <f t="shared" si="113"/>
        <v>0</v>
      </c>
      <c r="AE93" s="59">
        <f t="shared" si="109"/>
        <v>0.95</v>
      </c>
    </row>
    <row r="94" spans="1:47">
      <c r="Q94" s="6"/>
      <c r="R94" s="1"/>
      <c r="S94" s="63"/>
      <c r="T94" s="1"/>
      <c r="U94" s="63"/>
      <c r="V94" s="1"/>
      <c r="W94" s="63"/>
      <c r="X94" s="1"/>
      <c r="Y94" s="63"/>
      <c r="Z94" s="1"/>
      <c r="AA94" s="63"/>
      <c r="AB94" s="1"/>
      <c r="AC94" s="63"/>
      <c r="AD94" s="63"/>
      <c r="AE94" s="63"/>
    </row>
    <row r="95" spans="1:47">
      <c r="Q95" s="2" t="s">
        <v>0</v>
      </c>
      <c r="R95" s="1"/>
      <c r="S95" s="147"/>
      <c r="T95" s="147"/>
      <c r="U95" s="147"/>
      <c r="V95" s="147"/>
      <c r="W95" s="147"/>
      <c r="X95" s="147"/>
      <c r="Y95" s="147"/>
      <c r="Z95" s="147"/>
      <c r="AA95" s="147"/>
      <c r="AB95" s="147"/>
      <c r="AC95" s="147"/>
      <c r="AD95" s="147"/>
      <c r="AE95" s="147"/>
    </row>
  </sheetData>
  <pageMargins left="0.7" right="0.7" top="0.75" bottom="0.75" header="0.3" footer="0.3"/>
  <pageSetup paperSize="0" orientation="portrait" horizontalDpi="0" verticalDpi="0" copies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78">
    <pageSetUpPr fitToPage="1"/>
  </sheetPr>
  <dimension ref="A1:BJ111"/>
  <sheetViews>
    <sheetView zoomScale="70" zoomScaleNormal="70" workbookViewId="0"/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1.7109375" style="1" customWidth="1"/>
    <col min="14" max="14" width="1.7109375" style="1" customWidth="1"/>
    <col min="15" max="15" width="11.7109375" style="1" customWidth="1"/>
    <col min="16" max="16" width="1.7109375" style="1" customWidth="1"/>
    <col min="17" max="17" width="11.7109375" style="1" customWidth="1"/>
    <col min="18" max="18" width="1.7109375" style="1" customWidth="1"/>
    <col min="19" max="19" width="11.7109375" style="1" customWidth="1"/>
    <col min="20" max="20" width="1.7109375" style="1" customWidth="1"/>
    <col min="21" max="21" width="11.7109375" style="1" customWidth="1"/>
    <col min="22" max="22" width="1.7109375" style="1" customWidth="1"/>
    <col min="23" max="23" width="11.7109375" style="1" customWidth="1"/>
    <col min="24" max="24" width="1.7109375" style="1" customWidth="1"/>
    <col min="25" max="25" width="9.7109375" style="1" customWidth="1"/>
    <col min="26" max="26" width="1.7109375" style="1" customWidth="1"/>
    <col min="27" max="48" width="12.7109375" style="1" customWidth="1"/>
    <col min="49" max="49" width="10.85546875" style="1" bestFit="1" customWidth="1"/>
    <col min="50" max="50" width="8.7109375" style="1"/>
    <col min="51" max="57" width="10.7109375" style="1" customWidth="1"/>
    <col min="58" max="62" width="12.7109375" style="1" customWidth="1"/>
    <col min="63" max="16384" width="8.7109375" style="1"/>
  </cols>
  <sheetData>
    <row r="1" spans="1:62">
      <c r="W1" s="64" t="s">
        <v>121</v>
      </c>
      <c r="X1" s="3"/>
      <c r="Y1" s="3"/>
    </row>
    <row r="2" spans="1:62">
      <c r="W2" s="64" t="s">
        <v>45</v>
      </c>
      <c r="X2" s="3"/>
      <c r="Y2" s="3"/>
    </row>
    <row r="4" spans="1:62" ht="16">
      <c r="A4" s="4" t="s">
        <v>1550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</row>
    <row r="5" spans="1: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</row>
    <row r="6" spans="1:62">
      <c r="A6" s="5" t="s">
        <v>293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</row>
    <row r="7" spans="1:62">
      <c r="A7" s="5" t="s">
        <v>634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153" t="s">
        <v>1763</v>
      </c>
      <c r="X7" s="5"/>
      <c r="Y7" s="5"/>
    </row>
    <row r="8" spans="1:62">
      <c r="A8" s="5" t="s">
        <v>327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153" t="s">
        <v>1746</v>
      </c>
      <c r="X8" s="5"/>
      <c r="Y8" s="5"/>
      <c r="AA8" s="61" t="s">
        <v>329</v>
      </c>
      <c r="AB8" s="61"/>
      <c r="AC8" s="61"/>
      <c r="AD8" s="61"/>
      <c r="AE8" s="61"/>
      <c r="AF8" s="61"/>
      <c r="AG8" s="61"/>
      <c r="AH8" s="61"/>
      <c r="AI8" s="61"/>
      <c r="AJ8" s="61"/>
      <c r="AP8" s="25"/>
      <c r="AQ8" s="25"/>
      <c r="AT8" s="61"/>
      <c r="AY8" s="61" t="s">
        <v>1692</v>
      </c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</row>
    <row r="9" spans="1:62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AB9" s="61"/>
      <c r="AD9" s="61"/>
      <c r="AE9" s="61"/>
      <c r="AF9" s="61"/>
      <c r="AG9" s="61"/>
      <c r="AI9" s="61"/>
      <c r="AJ9" s="61"/>
      <c r="AP9" s="24"/>
      <c r="AQ9" s="24"/>
      <c r="AR9" s="61"/>
      <c r="AT9" s="61"/>
      <c r="AZ9" s="61"/>
      <c r="BE9" s="61"/>
      <c r="BF9" s="61"/>
      <c r="BG9" s="61"/>
      <c r="BH9" s="61"/>
      <c r="BI9" s="61"/>
      <c r="BJ9" s="61"/>
    </row>
    <row r="10" spans="1:62">
      <c r="Y10" s="412"/>
      <c r="AA10" s="61" t="s">
        <v>1596</v>
      </c>
      <c r="AC10" s="25">
        <v>2022</v>
      </c>
      <c r="AD10" s="25">
        <v>2022</v>
      </c>
      <c r="AE10" s="25" t="s">
        <v>2</v>
      </c>
      <c r="AF10" s="25" t="s">
        <v>2</v>
      </c>
      <c r="AG10" s="61"/>
      <c r="AH10" s="25" t="s">
        <v>2</v>
      </c>
      <c r="AI10" s="61"/>
      <c r="AJ10" s="61"/>
      <c r="AK10" s="61"/>
      <c r="AL10" s="61"/>
      <c r="AM10" s="61"/>
      <c r="AN10" s="61"/>
      <c r="AP10" s="97"/>
      <c r="AQ10" s="97"/>
      <c r="AR10" s="61"/>
      <c r="AT10" s="61"/>
      <c r="AV10" s="25" t="s">
        <v>2</v>
      </c>
      <c r="AY10" s="61" t="s">
        <v>1596</v>
      </c>
      <c r="BA10" s="25">
        <v>2022</v>
      </c>
      <c r="BB10" s="25">
        <v>2022</v>
      </c>
      <c r="BC10" s="25" t="s">
        <v>2</v>
      </c>
      <c r="BD10" s="25" t="s">
        <v>2</v>
      </c>
      <c r="BE10" s="61"/>
      <c r="BF10" s="61"/>
      <c r="BG10" s="61"/>
      <c r="BH10" s="61"/>
      <c r="BI10" s="61"/>
      <c r="BJ10" s="61"/>
    </row>
    <row r="11" spans="1:62">
      <c r="E11" s="2" t="s">
        <v>7</v>
      </c>
      <c r="F11" s="2"/>
      <c r="G11" s="2" t="s">
        <v>7</v>
      </c>
      <c r="I11" s="2" t="s">
        <v>7</v>
      </c>
      <c r="J11" s="2"/>
      <c r="K11" s="2" t="s">
        <v>7</v>
      </c>
      <c r="Q11" s="2" t="s">
        <v>14</v>
      </c>
      <c r="R11" s="2"/>
      <c r="S11" s="2" t="s">
        <v>12</v>
      </c>
      <c r="U11" s="2" t="s">
        <v>1</v>
      </c>
      <c r="Y11" s="412"/>
      <c r="AB11" s="61"/>
      <c r="AC11" s="44" t="s">
        <v>17</v>
      </c>
      <c r="AD11" s="44" t="s">
        <v>17</v>
      </c>
      <c r="AE11" s="44" t="s">
        <v>17</v>
      </c>
      <c r="AF11" s="44" t="s">
        <v>17</v>
      </c>
      <c r="AG11" s="44" t="s">
        <v>1606</v>
      </c>
      <c r="AH11" s="97" t="s">
        <v>1</v>
      </c>
      <c r="AI11" s="44" t="s">
        <v>1606</v>
      </c>
      <c r="AJ11" s="25"/>
      <c r="AK11" s="61" t="s">
        <v>539</v>
      </c>
      <c r="AL11" s="61"/>
      <c r="AM11" s="61" t="s">
        <v>540</v>
      </c>
      <c r="AN11" s="61"/>
      <c r="AP11" s="97"/>
      <c r="AQ11" s="97"/>
      <c r="AR11" s="25"/>
      <c r="AV11" s="97" t="s">
        <v>1</v>
      </c>
      <c r="AZ11" s="61"/>
      <c r="BA11" s="25" t="s">
        <v>1691</v>
      </c>
      <c r="BB11" s="25" t="s">
        <v>1691</v>
      </c>
      <c r="BC11" s="25" t="s">
        <v>1691</v>
      </c>
      <c r="BD11" s="25" t="s">
        <v>1691</v>
      </c>
      <c r="BE11" s="44" t="s">
        <v>1606</v>
      </c>
      <c r="BF11" s="44"/>
      <c r="BG11" s="44"/>
      <c r="BH11" s="44"/>
      <c r="BI11" s="44"/>
      <c r="BJ11" s="44"/>
    </row>
    <row r="12" spans="1:62">
      <c r="A12" s="2" t="s">
        <v>6</v>
      </c>
      <c r="C12" s="6" t="s">
        <v>7</v>
      </c>
      <c r="E12" s="2" t="s">
        <v>62</v>
      </c>
      <c r="F12" s="2"/>
      <c r="G12" s="2" t="s">
        <v>62</v>
      </c>
      <c r="H12" s="2"/>
      <c r="I12" s="2" t="s">
        <v>63</v>
      </c>
      <c r="J12" s="2"/>
      <c r="K12" s="2" t="s">
        <v>69</v>
      </c>
      <c r="M12" s="2" t="s">
        <v>14</v>
      </c>
      <c r="N12" s="2"/>
      <c r="O12" s="2" t="s">
        <v>12</v>
      </c>
      <c r="Q12" s="2" t="s">
        <v>314</v>
      </c>
      <c r="R12" s="2"/>
      <c r="S12" s="2" t="s">
        <v>314</v>
      </c>
      <c r="U12" s="2" t="s">
        <v>67</v>
      </c>
      <c r="W12" s="2" t="s">
        <v>63</v>
      </c>
      <c r="X12" s="2"/>
      <c r="Y12" s="412"/>
      <c r="AA12" s="97" t="s">
        <v>6</v>
      </c>
      <c r="AB12" s="61" t="s">
        <v>177</v>
      </c>
      <c r="AC12" s="44" t="s">
        <v>14</v>
      </c>
      <c r="AD12" s="44" t="s">
        <v>12</v>
      </c>
      <c r="AE12" s="44" t="s">
        <v>14</v>
      </c>
      <c r="AF12" s="44" t="s">
        <v>12</v>
      </c>
      <c r="AG12" s="44" t="s">
        <v>12</v>
      </c>
      <c r="AH12" s="97" t="s">
        <v>67</v>
      </c>
      <c r="AI12" s="44" t="s">
        <v>67</v>
      </c>
      <c r="AJ12" s="97"/>
      <c r="AK12" s="61" t="s">
        <v>537</v>
      </c>
      <c r="AL12" s="61" t="s">
        <v>514</v>
      </c>
      <c r="AM12" s="61" t="s">
        <v>537</v>
      </c>
      <c r="AN12" s="61" t="s">
        <v>514</v>
      </c>
      <c r="AP12" s="97"/>
      <c r="AQ12" s="97"/>
      <c r="AR12" s="25"/>
      <c r="AV12" s="97" t="s">
        <v>67</v>
      </c>
      <c r="AY12" s="97" t="s">
        <v>6</v>
      </c>
      <c r="AZ12" s="61" t="s">
        <v>177</v>
      </c>
      <c r="BA12" s="44" t="s">
        <v>13</v>
      </c>
      <c r="BB12" s="44" t="s">
        <v>12</v>
      </c>
      <c r="BC12" s="44" t="s">
        <v>14</v>
      </c>
      <c r="BD12" s="44" t="s">
        <v>12</v>
      </c>
      <c r="BE12" s="44" t="s">
        <v>12</v>
      </c>
      <c r="BF12" s="44"/>
      <c r="BG12" s="44"/>
      <c r="BH12" s="44"/>
      <c r="BI12" s="44"/>
      <c r="BJ12" s="44"/>
    </row>
    <row r="13" spans="1:62">
      <c r="A13" s="2" t="s">
        <v>4</v>
      </c>
      <c r="C13" s="6" t="s">
        <v>55</v>
      </c>
      <c r="E13" s="2" t="s">
        <v>14</v>
      </c>
      <c r="F13" s="2"/>
      <c r="G13" s="2" t="s">
        <v>12</v>
      </c>
      <c r="H13" s="2"/>
      <c r="I13" s="2" t="s">
        <v>55</v>
      </c>
      <c r="J13" s="2"/>
      <c r="K13" s="2" t="s">
        <v>55</v>
      </c>
      <c r="M13" s="2" t="s">
        <v>55</v>
      </c>
      <c r="N13" s="2"/>
      <c r="O13" s="2" t="s">
        <v>55</v>
      </c>
      <c r="Q13" s="2" t="s">
        <v>55</v>
      </c>
      <c r="R13" s="2"/>
      <c r="S13" s="2" t="s">
        <v>55</v>
      </c>
      <c r="U13" s="2" t="s">
        <v>55</v>
      </c>
      <c r="W13" s="2" t="s">
        <v>55</v>
      </c>
      <c r="X13" s="2"/>
      <c r="Y13" s="412"/>
      <c r="AA13" s="97" t="s">
        <v>4</v>
      </c>
      <c r="AB13" s="61" t="s">
        <v>16</v>
      </c>
      <c r="AC13" s="45" t="s">
        <v>662</v>
      </c>
      <c r="AD13" s="45" t="s">
        <v>662</v>
      </c>
      <c r="AE13" s="45" t="s">
        <v>662</v>
      </c>
      <c r="AF13" s="45" t="s">
        <v>662</v>
      </c>
      <c r="AG13" s="568" t="s">
        <v>1607</v>
      </c>
      <c r="AH13" s="97" t="s">
        <v>55</v>
      </c>
      <c r="AI13" s="568" t="s">
        <v>1608</v>
      </c>
      <c r="AJ13" s="97"/>
      <c r="AK13" s="61" t="s">
        <v>541</v>
      </c>
      <c r="AL13" s="61" t="s">
        <v>541</v>
      </c>
      <c r="AM13" s="61" t="s">
        <v>542</v>
      </c>
      <c r="AN13" s="61" t="s">
        <v>542</v>
      </c>
      <c r="AP13" s="97"/>
      <c r="AQ13" s="97"/>
      <c r="AR13" s="25"/>
      <c r="AT13" s="2" t="s">
        <v>4</v>
      </c>
      <c r="AV13" s="97" t="s">
        <v>55</v>
      </c>
      <c r="AY13" s="97" t="s">
        <v>4</v>
      </c>
      <c r="AZ13" s="61" t="s">
        <v>16</v>
      </c>
      <c r="BA13" s="45" t="s">
        <v>662</v>
      </c>
      <c r="BB13" s="45" t="s">
        <v>662</v>
      </c>
      <c r="BC13" s="45" t="s">
        <v>662</v>
      </c>
      <c r="BD13" s="45" t="s">
        <v>662</v>
      </c>
      <c r="BE13" s="568" t="s">
        <v>1607</v>
      </c>
      <c r="BF13" s="44"/>
      <c r="BG13" s="44"/>
      <c r="BH13" s="44"/>
      <c r="BI13" s="44"/>
      <c r="BJ13" s="44"/>
    </row>
    <row r="14" spans="1:62">
      <c r="A14" s="10">
        <v>-1</v>
      </c>
      <c r="C14" s="10">
        <v>-2</v>
      </c>
      <c r="E14" s="10">
        <v>-3</v>
      </c>
      <c r="F14" s="11"/>
      <c r="G14" s="10">
        <v>-4</v>
      </c>
      <c r="H14" s="11"/>
      <c r="I14" s="9">
        <v>-5</v>
      </c>
      <c r="J14" s="9"/>
      <c r="K14" s="9">
        <v>-6</v>
      </c>
      <c r="M14" s="10">
        <v>-7</v>
      </c>
      <c r="N14" s="11"/>
      <c r="O14" s="10">
        <v>-8</v>
      </c>
      <c r="Q14" s="10">
        <v>-9</v>
      </c>
      <c r="R14" s="11"/>
      <c r="S14" s="10">
        <v>-10</v>
      </c>
      <c r="T14" s="11"/>
      <c r="U14" s="10">
        <v>-11</v>
      </c>
      <c r="V14" s="11"/>
      <c r="W14" s="10">
        <v>-12</v>
      </c>
      <c r="X14" s="11"/>
      <c r="Y14" s="413"/>
      <c r="AA14" s="10"/>
      <c r="AB14" s="143">
        <v>-13</v>
      </c>
      <c r="AC14" s="143">
        <v>-14</v>
      </c>
      <c r="AD14" s="143">
        <v>-15</v>
      </c>
      <c r="AE14" s="143">
        <v>-16</v>
      </c>
      <c r="AF14" s="143">
        <v>-17</v>
      </c>
      <c r="AG14" s="143">
        <v>-18</v>
      </c>
      <c r="AH14" s="143">
        <v>-19</v>
      </c>
      <c r="AI14" s="143">
        <v>-20</v>
      </c>
      <c r="AJ14" s="164"/>
      <c r="AK14" s="61"/>
      <c r="AL14" s="61"/>
      <c r="AM14" s="61"/>
      <c r="AN14" s="61"/>
      <c r="AT14" s="10">
        <v>-1</v>
      </c>
      <c r="AV14" s="143">
        <v>-2</v>
      </c>
      <c r="AY14" s="10"/>
      <c r="AZ14" s="143">
        <v>-13</v>
      </c>
      <c r="BA14" s="143">
        <v>-14</v>
      </c>
      <c r="BB14" s="143">
        <v>-15</v>
      </c>
      <c r="BC14" s="143">
        <v>-16</v>
      </c>
      <c r="BD14" s="143">
        <v>-17</v>
      </c>
      <c r="BE14" s="143">
        <v>-18</v>
      </c>
      <c r="BF14" s="95"/>
      <c r="BG14" s="95"/>
      <c r="BH14" s="95"/>
      <c r="BI14" s="95"/>
      <c r="BJ14" s="95"/>
    </row>
    <row r="15" spans="1:62">
      <c r="Y15" s="153"/>
      <c r="AA15" s="25"/>
      <c r="AD15" s="61"/>
      <c r="AE15" s="61"/>
      <c r="AH15" s="61"/>
      <c r="AK15" s="61"/>
      <c r="AL15" s="61"/>
      <c r="AM15" s="61"/>
      <c r="AN15" s="61"/>
      <c r="AP15" s="61"/>
      <c r="AQ15" s="61"/>
      <c r="AV15" s="61"/>
      <c r="AY15" s="25"/>
      <c r="BB15" s="61"/>
      <c r="BC15" s="61"/>
      <c r="BF15" s="95"/>
      <c r="BG15" s="95"/>
      <c r="BH15" s="95"/>
      <c r="BI15" s="95"/>
      <c r="BJ15" s="95"/>
    </row>
    <row r="16" spans="1:62">
      <c r="A16" s="3" t="s">
        <v>294</v>
      </c>
      <c r="Y16" s="137"/>
      <c r="AA16" s="115" t="s">
        <v>294</v>
      </c>
      <c r="AB16" s="17"/>
      <c r="AC16" s="179">
        <f>'Exhibit B,2'!AA16-'Exhibit A,2'!BA16</f>
        <v>2500</v>
      </c>
      <c r="AD16" s="179">
        <f>'Exhibit B,2'!AB16-'Exhibit A,2'!BB16</f>
        <v>2500</v>
      </c>
      <c r="AE16" s="179">
        <f>AC16</f>
        <v>2500</v>
      </c>
      <c r="AF16" s="179">
        <f>AD16</f>
        <v>2500</v>
      </c>
      <c r="AG16" s="179"/>
      <c r="AH16" s="179"/>
      <c r="AI16" s="179"/>
      <c r="AK16" s="72">
        <f>'Exhibit Q,3'!I25</f>
        <v>0.99149076495346744</v>
      </c>
      <c r="AL16" s="72">
        <f t="shared" ref="AL16:AL25" si="0">AK17*(2/12)+AK16*(10/12)</f>
        <v>0.99093185134110817</v>
      </c>
      <c r="AM16" s="72">
        <f>'Exhibit Q,1'!I25</f>
        <v>1</v>
      </c>
      <c r="AN16" s="72">
        <f t="shared" ref="AN16:AN25" si="1">AM17*(2/12)+AM16*(10/12)</f>
        <v>1</v>
      </c>
      <c r="AP16" s="172"/>
      <c r="AQ16" s="26"/>
      <c r="AR16" s="61"/>
      <c r="AT16" s="3" t="s">
        <v>294</v>
      </c>
      <c r="AV16" s="61"/>
      <c r="AY16" s="115" t="s">
        <v>294</v>
      </c>
      <c r="AZ16" s="17"/>
      <c r="BA16" s="179"/>
      <c r="BB16" s="179"/>
      <c r="BC16" s="179"/>
      <c r="BD16" s="179"/>
      <c r="BE16" s="179"/>
      <c r="BF16" s="95"/>
      <c r="BG16" s="95"/>
      <c r="BH16" s="95"/>
      <c r="BI16" s="95"/>
      <c r="BJ16" s="95"/>
    </row>
    <row r="17" spans="1:62">
      <c r="A17" s="6">
        <v>2013</v>
      </c>
      <c r="C17" s="497">
        <f>'Exhibit D,4'!I17</f>
        <v>8859.5845667899084</v>
      </c>
      <c r="E17" s="74">
        <f>AL17</f>
        <v>0.98715327528992525</v>
      </c>
      <c r="F17" s="74"/>
      <c r="G17" s="74">
        <f>AN17</f>
        <v>1</v>
      </c>
      <c r="H17" s="26"/>
      <c r="I17" s="497">
        <f>C17*(1-E17)</f>
        <v>113.81664397517685</v>
      </c>
      <c r="J17" s="497"/>
      <c r="K17" s="497">
        <f>C17*(1-G17)</f>
        <v>0</v>
      </c>
      <c r="L17" s="147"/>
      <c r="M17" s="147">
        <f>AC17</f>
        <v>8861.26</v>
      </c>
      <c r="N17" s="147"/>
      <c r="O17" s="147">
        <f>AD17</f>
        <v>8861.26</v>
      </c>
      <c r="P17" s="147"/>
      <c r="Q17" s="147">
        <f>I17+M17</f>
        <v>8975.0766439751769</v>
      </c>
      <c r="R17" s="147"/>
      <c r="S17" s="147">
        <f>K17+O17</f>
        <v>8861.26</v>
      </c>
      <c r="T17" s="147"/>
      <c r="U17" s="129">
        <f>-BB17+'Exhibit B,2'!U17</f>
        <v>8861.26</v>
      </c>
      <c r="V17" s="147"/>
      <c r="W17" s="147">
        <f>U17-M17</f>
        <v>0</v>
      </c>
      <c r="X17" s="26"/>
      <c r="Y17" s="136"/>
      <c r="AA17" s="25">
        <f>A17</f>
        <v>2013</v>
      </c>
      <c r="AB17" s="179">
        <v>175713.24319035988</v>
      </c>
      <c r="AC17" s="179">
        <f>'Exhibit B,2'!AA17-'Exhibit A,2'!BA17</f>
        <v>8861.26</v>
      </c>
      <c r="AD17" s="179">
        <f>'Exhibit B,2'!AB17-'Exhibit A,2'!BB17</f>
        <v>8861.26</v>
      </c>
      <c r="AE17" s="179">
        <v>8861.26</v>
      </c>
      <c r="AF17" s="179">
        <v>8861.26</v>
      </c>
      <c r="AG17" s="179">
        <f>AD17-AF17</f>
        <v>0</v>
      </c>
      <c r="AH17" s="179">
        <v>8864.6129009259985</v>
      </c>
      <c r="AI17" s="179">
        <f>U17-AH17</f>
        <v>-3.3529009259982558</v>
      </c>
      <c r="AK17" s="72">
        <f>'Exhibit Q,3'!I26</f>
        <v>0.98813728327931161</v>
      </c>
      <c r="AL17" s="72">
        <f t="shared" si="0"/>
        <v>0.98715327528992525</v>
      </c>
      <c r="AM17" s="72">
        <f>'Exhibit Q,1'!I26</f>
        <v>1</v>
      </c>
      <c r="AN17" s="72">
        <f t="shared" si="1"/>
        <v>1</v>
      </c>
      <c r="AO17" s="25">
        <v>2012</v>
      </c>
      <c r="AP17" s="172"/>
      <c r="AQ17" s="18"/>
      <c r="AR17" s="172"/>
      <c r="AT17" s="6">
        <v>2013</v>
      </c>
      <c r="AV17" s="68">
        <v>8864.6129009259985</v>
      </c>
      <c r="AW17" s="26">
        <f>U17-AV17</f>
        <v>-3.3529009259982558</v>
      </c>
      <c r="AY17" s="25">
        <v>2013</v>
      </c>
      <c r="AZ17" s="179">
        <v>175713.24319035988</v>
      </c>
      <c r="BA17" s="179">
        <f t="shared" ref="BA17:BB26" si="2">BA59-BA31-BA45</f>
        <v>0</v>
      </c>
      <c r="BB17" s="179">
        <f t="shared" si="2"/>
        <v>0</v>
      </c>
      <c r="BC17" s="179">
        <v>0</v>
      </c>
      <c r="BD17" s="179">
        <v>0</v>
      </c>
      <c r="BE17" s="179">
        <f t="shared" ref="BE17:BE26" si="3">BB17-BD17</f>
        <v>0</v>
      </c>
      <c r="BF17" s="95"/>
      <c r="BG17" s="95"/>
      <c r="BH17" s="95"/>
      <c r="BI17" s="95"/>
      <c r="BJ17" s="95"/>
    </row>
    <row r="18" spans="1:62">
      <c r="A18" s="6">
        <f>A17+1</f>
        <v>2014</v>
      </c>
      <c r="C18" s="494">
        <f>'Exhibit D,4'!I18</f>
        <v>1175554.7642270634</v>
      </c>
      <c r="E18" s="74">
        <f t="shared" ref="E18:E25" si="4">AL18</f>
        <v>0.97892499125776566</v>
      </c>
      <c r="F18" s="74"/>
      <c r="G18" s="74">
        <f t="shared" ref="G18:G25" si="5">AN18</f>
        <v>0.99962183718371844</v>
      </c>
      <c r="H18" s="18"/>
      <c r="I18" s="494">
        <f t="shared" ref="I18:I25" si="6">C18*(1-E18)</f>
        <v>24774.826933060584</v>
      </c>
      <c r="J18" s="494"/>
      <c r="K18" s="494">
        <f t="shared" ref="K18:K25" si="7">C18*(1-G18)</f>
        <v>444.55110033330868</v>
      </c>
      <c r="L18" s="187"/>
      <c r="M18" s="17">
        <f t="shared" ref="M18:M26" si="8">AC18</f>
        <v>1103044.6800000002</v>
      </c>
      <c r="N18" s="17"/>
      <c r="O18" s="17">
        <f t="shared" ref="O18:O26" si="9">AD18</f>
        <v>1103044.6799999997</v>
      </c>
      <c r="P18" s="187"/>
      <c r="Q18" s="494">
        <f t="shared" ref="Q18:Q25" si="10">I18+M18</f>
        <v>1127819.5069330607</v>
      </c>
      <c r="R18" s="494"/>
      <c r="S18" s="494">
        <f t="shared" ref="S18:S25" si="11">K18+O18</f>
        <v>1103489.2311003329</v>
      </c>
      <c r="T18" s="494"/>
      <c r="U18" s="130">
        <f>-BB18+'Exhibit B,2'!U18</f>
        <v>1105315.222814193</v>
      </c>
      <c r="V18" s="494"/>
      <c r="W18" s="494">
        <f t="shared" ref="W18:W25" si="12">U18-M18</f>
        <v>2270.5428141928278</v>
      </c>
      <c r="X18" s="20"/>
      <c r="Y18" s="137"/>
      <c r="AA18" s="25">
        <f t="shared" ref="AA18:AA24" si="13">AA17+1</f>
        <v>2014</v>
      </c>
      <c r="AB18" s="179">
        <v>209735.84031187487</v>
      </c>
      <c r="AC18" s="179">
        <f>'Exhibit B,2'!AA18-'Exhibit A,2'!BA18</f>
        <v>1103044.6800000002</v>
      </c>
      <c r="AD18" s="179">
        <f>'Exhibit B,2'!AB18-'Exhibit A,2'!BB18</f>
        <v>1103044.6799999997</v>
      </c>
      <c r="AE18" s="179">
        <v>1103044.6800000002</v>
      </c>
      <c r="AF18" s="179">
        <v>1103044.6800000002</v>
      </c>
      <c r="AG18" s="179">
        <f t="shared" ref="AG18:AG26" si="14">AD18-AF18</f>
        <v>0</v>
      </c>
      <c r="AH18" s="179">
        <v>1116831.8184015246</v>
      </c>
      <c r="AI18" s="179">
        <f t="shared" ref="AI18:AI25" si="15">U18-AH18</f>
        <v>-11516.595587331569</v>
      </c>
      <c r="AK18" s="72">
        <f>'Exhibit Q,3'!I27</f>
        <v>0.98223323534299367</v>
      </c>
      <c r="AL18" s="72">
        <f t="shared" si="0"/>
        <v>0.97892499125776566</v>
      </c>
      <c r="AM18" s="72">
        <f>'Exhibit Q,1'!I27</f>
        <v>1</v>
      </c>
      <c r="AN18" s="72">
        <f t="shared" si="1"/>
        <v>0.99962183718371844</v>
      </c>
      <c r="AO18" s="25">
        <f t="shared" ref="AO18:AO24" si="16">AO17+1</f>
        <v>2013</v>
      </c>
      <c r="AP18" s="172"/>
      <c r="AQ18" s="18"/>
      <c r="AR18" s="172"/>
      <c r="AT18" s="6">
        <f>AT17+1</f>
        <v>2014</v>
      </c>
      <c r="AV18" s="69">
        <v>1116831.8184015246</v>
      </c>
      <c r="AW18" s="20">
        <f t="shared" ref="AW18:AW24" si="17">U18-AV18</f>
        <v>-11516.595587331569</v>
      </c>
      <c r="AY18" s="25">
        <f t="shared" ref="AY18:AY24" si="18">AY17+1</f>
        <v>2014</v>
      </c>
      <c r="AZ18" s="179">
        <v>209735.84031187487</v>
      </c>
      <c r="BA18" s="179">
        <f t="shared" si="2"/>
        <v>2897435.36</v>
      </c>
      <c r="BB18" s="179">
        <f t="shared" si="2"/>
        <v>2897435.3600000003</v>
      </c>
      <c r="BC18" s="179">
        <v>2897435.36</v>
      </c>
      <c r="BD18" s="179">
        <v>2897435.36</v>
      </c>
      <c r="BE18" s="179">
        <f t="shared" si="3"/>
        <v>0</v>
      </c>
      <c r="BF18" s="95"/>
      <c r="BG18" s="95"/>
      <c r="BH18" s="95"/>
      <c r="BI18" s="95"/>
      <c r="BJ18" s="95"/>
    </row>
    <row r="19" spans="1:62">
      <c r="A19" s="6">
        <f t="shared" ref="A19:A26" si="19">A18+1</f>
        <v>2015</v>
      </c>
      <c r="C19" s="494">
        <f>'Exhibit D,4'!I19</f>
        <v>2494745.385052002</v>
      </c>
      <c r="E19" s="74">
        <f t="shared" si="4"/>
        <v>0.95159470193907592</v>
      </c>
      <c r="F19" s="74"/>
      <c r="G19" s="74">
        <f t="shared" si="5"/>
        <v>0.99593002564759925</v>
      </c>
      <c r="H19" s="18"/>
      <c r="I19" s="494">
        <f t="shared" si="6"/>
        <v>120758.89394955698</v>
      </c>
      <c r="J19" s="494"/>
      <c r="K19" s="494">
        <f t="shared" si="7"/>
        <v>10153.549732931786</v>
      </c>
      <c r="L19" s="187"/>
      <c r="M19" s="17">
        <f t="shared" si="8"/>
        <v>2584232.7599999998</v>
      </c>
      <c r="N19" s="17"/>
      <c r="O19" s="17">
        <f t="shared" si="9"/>
        <v>2584232.7599999998</v>
      </c>
      <c r="P19" s="187"/>
      <c r="Q19" s="494">
        <f t="shared" si="10"/>
        <v>2704991.6539495569</v>
      </c>
      <c r="R19" s="494"/>
      <c r="S19" s="494">
        <f t="shared" si="11"/>
        <v>2594386.3097329317</v>
      </c>
      <c r="T19" s="494"/>
      <c r="U19" s="130">
        <f>-BB19+'Exhibit B,2'!U19</f>
        <v>2597142.3725217641</v>
      </c>
      <c r="V19" s="494"/>
      <c r="W19" s="494">
        <f t="shared" si="12"/>
        <v>12909.612521764357</v>
      </c>
      <c r="X19" s="20"/>
      <c r="Y19" s="137"/>
      <c r="AA19" s="25">
        <f t="shared" si="13"/>
        <v>2015</v>
      </c>
      <c r="AB19" s="179">
        <v>257044.69624493216</v>
      </c>
      <c r="AC19" s="179">
        <f>'Exhibit B,2'!AA19-'Exhibit A,2'!BA19</f>
        <v>2584232.7599999998</v>
      </c>
      <c r="AD19" s="179">
        <f>'Exhibit B,2'!AB19-'Exhibit A,2'!BB19</f>
        <v>2584232.7599999998</v>
      </c>
      <c r="AE19" s="179">
        <v>2584232.7599999998</v>
      </c>
      <c r="AF19" s="179">
        <v>2584232.7599999998</v>
      </c>
      <c r="AG19" s="179">
        <f t="shared" si="14"/>
        <v>0</v>
      </c>
      <c r="AH19" s="179">
        <v>2627827.7539139744</v>
      </c>
      <c r="AI19" s="179">
        <f t="shared" si="15"/>
        <v>-30685.381392210256</v>
      </c>
      <c r="AK19" s="72">
        <f>'Exhibit Q,3'!I28</f>
        <v>0.96238377083162541</v>
      </c>
      <c r="AL19" s="72">
        <f t="shared" si="0"/>
        <v>0.95159470193907592</v>
      </c>
      <c r="AM19" s="72">
        <f>'Exhibit Q,1'!I28</f>
        <v>0.99773102310231021</v>
      </c>
      <c r="AN19" s="72">
        <f t="shared" si="1"/>
        <v>0.99593002564759925</v>
      </c>
      <c r="AO19" s="25">
        <f t="shared" si="16"/>
        <v>2014</v>
      </c>
      <c r="AP19" s="172"/>
      <c r="AQ19" s="18"/>
      <c r="AR19" s="172"/>
      <c r="AT19" s="6">
        <f t="shared" ref="AT19:AT24" si="20">AT18+1</f>
        <v>2015</v>
      </c>
      <c r="AV19" s="69">
        <v>2627827.7539139744</v>
      </c>
      <c r="AW19" s="20">
        <f t="shared" si="17"/>
        <v>-30685.381392210256</v>
      </c>
      <c r="AY19" s="25">
        <f t="shared" si="18"/>
        <v>2015</v>
      </c>
      <c r="AZ19" s="179">
        <v>257044.69624493216</v>
      </c>
      <c r="BA19" s="179">
        <f t="shared" si="2"/>
        <v>0</v>
      </c>
      <c r="BB19" s="179">
        <f t="shared" si="2"/>
        <v>0</v>
      </c>
      <c r="BC19" s="179">
        <v>0</v>
      </c>
      <c r="BD19" s="179">
        <v>0</v>
      </c>
      <c r="BE19" s="179">
        <f t="shared" si="3"/>
        <v>0</v>
      </c>
      <c r="BF19" s="95"/>
      <c r="BG19" s="95"/>
      <c r="BH19" s="95"/>
      <c r="BI19" s="95"/>
      <c r="BJ19" s="95"/>
    </row>
    <row r="20" spans="1:62">
      <c r="A20" s="6">
        <f t="shared" si="19"/>
        <v>2016</v>
      </c>
      <c r="C20" s="494">
        <f>'Exhibit D,4'!I20</f>
        <v>1928258.697417584</v>
      </c>
      <c r="E20" s="74">
        <f t="shared" si="4"/>
        <v>0.87838223439609786</v>
      </c>
      <c r="F20" s="74"/>
      <c r="G20" s="74">
        <f t="shared" si="5"/>
        <v>0.98343788528501141</v>
      </c>
      <c r="H20" s="18"/>
      <c r="I20" s="494">
        <f t="shared" si="6"/>
        <v>234510.5142862174</v>
      </c>
      <c r="J20" s="494"/>
      <c r="K20" s="494">
        <f t="shared" si="7"/>
        <v>31936.041746804491</v>
      </c>
      <c r="L20" s="187"/>
      <c r="M20" s="17">
        <f t="shared" si="8"/>
        <v>2022367.75</v>
      </c>
      <c r="N20" s="17"/>
      <c r="O20" s="17">
        <f t="shared" si="9"/>
        <v>2022367.7500000002</v>
      </c>
      <c r="P20" s="187"/>
      <c r="Q20" s="494">
        <f t="shared" si="10"/>
        <v>2256878.2642862173</v>
      </c>
      <c r="R20" s="494"/>
      <c r="S20" s="494">
        <f t="shared" si="11"/>
        <v>2054303.7917468047</v>
      </c>
      <c r="T20" s="494"/>
      <c r="U20" s="130">
        <f>-BB20+'Exhibit B,2'!U20</f>
        <v>2076152.0338219425</v>
      </c>
      <c r="V20" s="494"/>
      <c r="W20" s="494">
        <f t="shared" si="12"/>
        <v>53784.283821942518</v>
      </c>
      <c r="X20" s="20"/>
      <c r="Y20" s="137"/>
      <c r="AA20" s="25">
        <f t="shared" si="13"/>
        <v>2016</v>
      </c>
      <c r="AB20" s="179">
        <v>153574.47321293451</v>
      </c>
      <c r="AC20" s="179">
        <f>'Exhibit B,2'!AA20-'Exhibit A,2'!BA20</f>
        <v>2022367.75</v>
      </c>
      <c r="AD20" s="179">
        <f>'Exhibit B,2'!AB20-'Exhibit A,2'!BB20</f>
        <v>2022367.7500000002</v>
      </c>
      <c r="AE20" s="179">
        <v>2022367.75</v>
      </c>
      <c r="AF20" s="179">
        <v>2022367.75</v>
      </c>
      <c r="AG20" s="179">
        <f t="shared" si="14"/>
        <v>0</v>
      </c>
      <c r="AH20" s="179">
        <v>2048740.6588031368</v>
      </c>
      <c r="AI20" s="179">
        <f t="shared" si="15"/>
        <v>27411.375018805731</v>
      </c>
      <c r="AK20" s="72">
        <f>'Exhibit Q,3'!I29</f>
        <v>0.89764935747632868</v>
      </c>
      <c r="AL20" s="72">
        <f t="shared" si="0"/>
        <v>0.87838223439609786</v>
      </c>
      <c r="AM20" s="72">
        <f>'Exhibit Q,1'!I29</f>
        <v>0.98692503837404399</v>
      </c>
      <c r="AN20" s="72">
        <f t="shared" si="1"/>
        <v>0.98343788528501141</v>
      </c>
      <c r="AO20" s="25">
        <f t="shared" si="16"/>
        <v>2015</v>
      </c>
      <c r="AP20" s="172"/>
      <c r="AQ20" s="18"/>
      <c r="AR20" s="172"/>
      <c r="AT20" s="6">
        <f t="shared" si="20"/>
        <v>2016</v>
      </c>
      <c r="AV20" s="69">
        <v>2048740.6588031368</v>
      </c>
      <c r="AW20" s="20">
        <f t="shared" si="17"/>
        <v>27411.375018805731</v>
      </c>
      <c r="AY20" s="25">
        <f t="shared" si="18"/>
        <v>2016</v>
      </c>
      <c r="AZ20" s="179">
        <v>153574.47321293451</v>
      </c>
      <c r="BA20" s="179">
        <f t="shared" si="2"/>
        <v>861504.94</v>
      </c>
      <c r="BB20" s="179">
        <f t="shared" si="2"/>
        <v>861504.93999999971</v>
      </c>
      <c r="BC20" s="179">
        <v>861504.94</v>
      </c>
      <c r="BD20" s="179">
        <v>861504.94</v>
      </c>
      <c r="BE20" s="179">
        <f t="shared" si="3"/>
        <v>0</v>
      </c>
      <c r="BF20" s="95"/>
      <c r="BG20" s="95"/>
      <c r="BH20" s="95"/>
      <c r="BI20" s="95"/>
      <c r="BJ20" s="95"/>
    </row>
    <row r="21" spans="1:62">
      <c r="A21" s="6">
        <f t="shared" si="19"/>
        <v>2017</v>
      </c>
      <c r="C21" s="494">
        <f>'Exhibit D,4'!I21</f>
        <v>1926810.4361041824</v>
      </c>
      <c r="E21" s="74">
        <f t="shared" si="4"/>
        <v>0.75504559224831969</v>
      </c>
      <c r="F21" s="74"/>
      <c r="G21" s="74">
        <f t="shared" si="5"/>
        <v>0.95907018094473484</v>
      </c>
      <c r="H21" s="18"/>
      <c r="I21" s="494">
        <f t="shared" si="6"/>
        <v>471980.70922565687</v>
      </c>
      <c r="J21" s="494"/>
      <c r="K21" s="494">
        <f t="shared" si="7"/>
        <v>78864.002503540731</v>
      </c>
      <c r="L21" s="187"/>
      <c r="M21" s="17">
        <f t="shared" si="8"/>
        <v>1691606.47</v>
      </c>
      <c r="N21" s="17"/>
      <c r="O21" s="17">
        <f t="shared" si="9"/>
        <v>1943606.47</v>
      </c>
      <c r="P21" s="187"/>
      <c r="Q21" s="494">
        <f t="shared" si="10"/>
        <v>2163587.1792256567</v>
      </c>
      <c r="R21" s="494"/>
      <c r="S21" s="494">
        <f t="shared" si="11"/>
        <v>2022470.4725035408</v>
      </c>
      <c r="T21" s="494"/>
      <c r="U21" s="130">
        <f>-BB21+'Exhibit B,2'!U21</f>
        <v>2034573.3255892221</v>
      </c>
      <c r="V21" s="494"/>
      <c r="W21" s="494">
        <f t="shared" si="12"/>
        <v>342966.85558922216</v>
      </c>
      <c r="X21" s="20"/>
      <c r="Y21" s="137"/>
      <c r="AA21" s="25">
        <f t="shared" si="13"/>
        <v>2017</v>
      </c>
      <c r="AB21" s="179">
        <v>159096.26319893089</v>
      </c>
      <c r="AC21" s="179">
        <f>'Exhibit B,2'!AA21-'Exhibit A,2'!BA21</f>
        <v>1691606.47</v>
      </c>
      <c r="AD21" s="179">
        <f>'Exhibit B,2'!AB21-'Exhibit A,2'!BB21</f>
        <v>1943606.47</v>
      </c>
      <c r="AE21" s="179">
        <v>1552098.8900000001</v>
      </c>
      <c r="AF21" s="179">
        <v>2177046.21</v>
      </c>
      <c r="AG21" s="179">
        <f t="shared" si="14"/>
        <v>-233439.74</v>
      </c>
      <c r="AH21" s="179">
        <v>2383420.3325070096</v>
      </c>
      <c r="AI21" s="179">
        <f t="shared" si="15"/>
        <v>-348847.00691778748</v>
      </c>
      <c r="AK21" s="72">
        <f>'Exhibit Q,3'!I30</f>
        <v>0.78204661899494354</v>
      </c>
      <c r="AL21" s="72">
        <f t="shared" si="0"/>
        <v>0.75504559224831969</v>
      </c>
      <c r="AM21" s="72">
        <f>'Exhibit Q,1'!I30</f>
        <v>0.96600211983984874</v>
      </c>
      <c r="AN21" s="72">
        <f t="shared" si="1"/>
        <v>0.95907018094473484</v>
      </c>
      <c r="AO21" s="25">
        <f t="shared" si="16"/>
        <v>2016</v>
      </c>
      <c r="AP21" s="172"/>
      <c r="AQ21" s="18"/>
      <c r="AR21" s="172"/>
      <c r="AT21" s="6">
        <f t="shared" si="20"/>
        <v>2017</v>
      </c>
      <c r="AV21" s="69">
        <v>2383420.3325070096</v>
      </c>
      <c r="AW21" s="20">
        <f t="shared" si="17"/>
        <v>-348847.00691778748</v>
      </c>
      <c r="AY21" s="25">
        <f t="shared" si="18"/>
        <v>2017</v>
      </c>
      <c r="AZ21" s="179">
        <v>159096.26319893089</v>
      </c>
      <c r="BA21" s="179">
        <f t="shared" si="2"/>
        <v>0</v>
      </c>
      <c r="BB21" s="179">
        <f t="shared" si="2"/>
        <v>0</v>
      </c>
      <c r="BC21" s="179">
        <v>0</v>
      </c>
      <c r="BD21" s="179">
        <v>0</v>
      </c>
      <c r="BE21" s="179">
        <f t="shared" si="3"/>
        <v>0</v>
      </c>
      <c r="BF21" s="95"/>
      <c r="BG21" s="95"/>
      <c r="BH21" s="95"/>
      <c r="BI21" s="95"/>
      <c r="BJ21" s="95"/>
    </row>
    <row r="22" spans="1:62">
      <c r="A22" s="6">
        <f t="shared" si="19"/>
        <v>2018</v>
      </c>
      <c r="C22" s="494">
        <f>'Exhibit D,4'!I22</f>
        <v>570796.38904905377</v>
      </c>
      <c r="E22" s="74">
        <f t="shared" si="4"/>
        <v>0.58712153610792395</v>
      </c>
      <c r="F22" s="74"/>
      <c r="G22" s="74">
        <f t="shared" si="5"/>
        <v>0.9112215063265674</v>
      </c>
      <c r="H22" s="18"/>
      <c r="I22" s="494">
        <f t="shared" si="6"/>
        <v>235669.53630571713</v>
      </c>
      <c r="J22" s="494"/>
      <c r="K22" s="494">
        <f t="shared" si="7"/>
        <v>50674.443614009593</v>
      </c>
      <c r="L22" s="187"/>
      <c r="M22" s="17">
        <f t="shared" si="8"/>
        <v>83249.700000000012</v>
      </c>
      <c r="N22" s="17"/>
      <c r="O22" s="17">
        <f t="shared" si="9"/>
        <v>83249.700000000012</v>
      </c>
      <c r="P22" s="187"/>
      <c r="Q22" s="494">
        <f t="shared" si="10"/>
        <v>318919.23630571715</v>
      </c>
      <c r="R22" s="494"/>
      <c r="S22" s="494">
        <f t="shared" si="11"/>
        <v>133924.1436140096</v>
      </c>
      <c r="T22" s="494"/>
      <c r="U22" s="130">
        <f>-BB22+'Exhibit B,2'!U22</f>
        <v>631061.54168837261</v>
      </c>
      <c r="V22" s="494"/>
      <c r="W22" s="494">
        <f t="shared" si="12"/>
        <v>547811.84168837266</v>
      </c>
      <c r="X22" s="20"/>
      <c r="Y22" s="137"/>
      <c r="AA22" s="25">
        <f t="shared" si="13"/>
        <v>2018</v>
      </c>
      <c r="AB22" s="179">
        <v>201093.4842000496</v>
      </c>
      <c r="AC22" s="179">
        <f>'Exhibit B,2'!AA22-'Exhibit A,2'!BA22</f>
        <v>83249.700000000012</v>
      </c>
      <c r="AD22" s="179">
        <f>'Exhibit B,2'!AB22-'Exhibit A,2'!BB22</f>
        <v>83249.700000000012</v>
      </c>
      <c r="AE22" s="179">
        <v>83249.7</v>
      </c>
      <c r="AF22" s="179">
        <v>83249.7</v>
      </c>
      <c r="AG22" s="179">
        <f t="shared" si="14"/>
        <v>0</v>
      </c>
      <c r="AH22" s="179">
        <v>903502.55088071572</v>
      </c>
      <c r="AI22" s="179">
        <f t="shared" si="15"/>
        <v>-272441.0091923431</v>
      </c>
      <c r="AK22" s="72">
        <f>'Exhibit Q,3'!I31</f>
        <v>0.62004045851520007</v>
      </c>
      <c r="AL22" s="72">
        <f t="shared" si="0"/>
        <v>0.58712153610792395</v>
      </c>
      <c r="AM22" s="72">
        <f>'Exhibit Q,1'!I31</f>
        <v>0.92441048646916535</v>
      </c>
      <c r="AN22" s="72">
        <f t="shared" si="1"/>
        <v>0.9112215063265674</v>
      </c>
      <c r="AO22" s="25">
        <f t="shared" si="16"/>
        <v>2017</v>
      </c>
      <c r="AP22" s="172"/>
      <c r="AQ22" s="18"/>
      <c r="AR22" s="172"/>
      <c r="AT22" s="6">
        <f t="shared" si="20"/>
        <v>2018</v>
      </c>
      <c r="AV22" s="69">
        <v>903502.55088071572</v>
      </c>
      <c r="AW22" s="20">
        <f t="shared" si="17"/>
        <v>-272441.0091923431</v>
      </c>
      <c r="AY22" s="25">
        <f t="shared" si="18"/>
        <v>2018</v>
      </c>
      <c r="AZ22" s="179">
        <v>201093.4842000496</v>
      </c>
      <c r="BA22" s="179">
        <f t="shared" si="2"/>
        <v>0</v>
      </c>
      <c r="BB22" s="179">
        <f t="shared" si="2"/>
        <v>0</v>
      </c>
      <c r="BC22" s="179">
        <v>0</v>
      </c>
      <c r="BD22" s="179">
        <v>0</v>
      </c>
      <c r="BE22" s="179">
        <f t="shared" si="3"/>
        <v>0</v>
      </c>
      <c r="BF22" s="95"/>
      <c r="BG22" s="95"/>
      <c r="BH22" s="95"/>
      <c r="BI22" s="95"/>
      <c r="BJ22" s="95"/>
    </row>
    <row r="23" spans="1:62">
      <c r="A23" s="6">
        <f t="shared" si="19"/>
        <v>2019</v>
      </c>
      <c r="C23" s="494">
        <f>'Exhibit D,4'!I23</f>
        <v>3447317.6245858278</v>
      </c>
      <c r="E23" s="74">
        <f t="shared" si="4"/>
        <v>0.39352735506640613</v>
      </c>
      <c r="F23" s="74"/>
      <c r="G23" s="74">
        <f t="shared" si="5"/>
        <v>0.81483710242804541</v>
      </c>
      <c r="H23" s="18"/>
      <c r="I23" s="494">
        <f t="shared" si="6"/>
        <v>2090703.837708761</v>
      </c>
      <c r="J23" s="494"/>
      <c r="K23" s="494">
        <f t="shared" si="7"/>
        <v>638315.32021917938</v>
      </c>
      <c r="L23" s="187"/>
      <c r="M23" s="17">
        <f t="shared" si="8"/>
        <v>1811862.19</v>
      </c>
      <c r="N23" s="17"/>
      <c r="O23" s="17">
        <f t="shared" si="9"/>
        <v>2672386.69</v>
      </c>
      <c r="P23" s="187"/>
      <c r="Q23" s="494">
        <f t="shared" si="10"/>
        <v>3902566.0277087609</v>
      </c>
      <c r="R23" s="494"/>
      <c r="S23" s="494">
        <f t="shared" si="11"/>
        <v>3310702.0102191791</v>
      </c>
      <c r="T23" s="494"/>
      <c r="U23" s="130">
        <f>-BB23+'Exhibit B,2'!U23</f>
        <v>3206925.5421127155</v>
      </c>
      <c r="V23" s="494"/>
      <c r="W23" s="494">
        <f t="shared" si="12"/>
        <v>1395063.3521127156</v>
      </c>
      <c r="X23" s="20"/>
      <c r="Y23" s="137"/>
      <c r="AA23" s="25">
        <f t="shared" si="13"/>
        <v>2019</v>
      </c>
      <c r="AB23" s="179">
        <v>256177.6596242715</v>
      </c>
      <c r="AC23" s="179">
        <f>'Exhibit B,2'!AA23-'Exhibit A,2'!BA23</f>
        <v>1811862.19</v>
      </c>
      <c r="AD23" s="179">
        <f>'Exhibit B,2'!AB23-'Exhibit A,2'!BB23</f>
        <v>2672386.69</v>
      </c>
      <c r="AE23" s="179">
        <v>1051624.72</v>
      </c>
      <c r="AF23" s="179">
        <v>3033042.87</v>
      </c>
      <c r="AG23" s="179">
        <f t="shared" si="14"/>
        <v>-360656.18000000017</v>
      </c>
      <c r="AH23" s="179">
        <v>4693594.4937219536</v>
      </c>
      <c r="AI23" s="179">
        <f t="shared" si="15"/>
        <v>-1486668.9516092381</v>
      </c>
      <c r="AK23" s="72">
        <f>'Exhibit Q,3'!I32</f>
        <v>0.4225269240715428</v>
      </c>
      <c r="AL23" s="72">
        <f t="shared" si="0"/>
        <v>0.39352735506640613</v>
      </c>
      <c r="AM23" s="72">
        <f>'Exhibit Q,1'!I32</f>
        <v>0.8452766056135772</v>
      </c>
      <c r="AN23" s="72">
        <f t="shared" si="1"/>
        <v>0.81483710242804541</v>
      </c>
      <c r="AO23" s="25">
        <f t="shared" si="16"/>
        <v>2018</v>
      </c>
      <c r="AP23" s="172"/>
      <c r="AQ23" s="18"/>
      <c r="AR23" s="172"/>
      <c r="AT23" s="6">
        <f t="shared" si="20"/>
        <v>2019</v>
      </c>
      <c r="AV23" s="69">
        <v>4693594.4937219536</v>
      </c>
      <c r="AW23" s="20">
        <f t="shared" si="17"/>
        <v>-1486668.9516092381</v>
      </c>
      <c r="AY23" s="25">
        <f t="shared" si="18"/>
        <v>2019</v>
      </c>
      <c r="AZ23" s="179">
        <v>256177.6596242715</v>
      </c>
      <c r="BA23" s="179">
        <f t="shared" si="2"/>
        <v>191.94000000000028</v>
      </c>
      <c r="BB23" s="179">
        <f t="shared" si="2"/>
        <v>634566.93999999994</v>
      </c>
      <c r="BC23" s="179">
        <v>191.94000000000028</v>
      </c>
      <c r="BD23" s="179">
        <v>191.94000000000028</v>
      </c>
      <c r="BE23" s="179">
        <f t="shared" si="3"/>
        <v>634375</v>
      </c>
      <c r="BF23" s="95"/>
      <c r="BG23" s="95"/>
      <c r="BH23" s="95"/>
      <c r="BI23" s="95"/>
      <c r="BJ23" s="95"/>
    </row>
    <row r="24" spans="1:62">
      <c r="A24" s="6">
        <f t="shared" si="19"/>
        <v>2020</v>
      </c>
      <c r="C24" s="494">
        <f>'Exhibit D,4'!I24</f>
        <v>1369334.9194540384</v>
      </c>
      <c r="E24" s="74">
        <f t="shared" si="4"/>
        <v>0.22395062253663661</v>
      </c>
      <c r="F24" s="74"/>
      <c r="G24" s="74">
        <f t="shared" si="5"/>
        <v>0.61317000392132415</v>
      </c>
      <c r="H24" s="18"/>
      <c r="I24" s="494">
        <f t="shared" si="6"/>
        <v>1062671.5117811514</v>
      </c>
      <c r="J24" s="494"/>
      <c r="K24" s="494">
        <f t="shared" si="7"/>
        <v>529699.82152279955</v>
      </c>
      <c r="L24" s="187"/>
      <c r="M24" s="17">
        <f t="shared" si="8"/>
        <v>1214226.6299999999</v>
      </c>
      <c r="N24" s="17"/>
      <c r="O24" s="17">
        <f t="shared" si="9"/>
        <v>837418.62999999989</v>
      </c>
      <c r="P24" s="187"/>
      <c r="Q24" s="494">
        <f t="shared" si="10"/>
        <v>2276898.1417811513</v>
      </c>
      <c r="R24" s="494"/>
      <c r="S24" s="494">
        <f t="shared" si="11"/>
        <v>1367118.4515227994</v>
      </c>
      <c r="T24" s="494"/>
      <c r="U24" s="130">
        <f>-BB24+'Exhibit B,2'!U24</f>
        <v>1331806.4417516314</v>
      </c>
      <c r="V24" s="494"/>
      <c r="W24" s="494">
        <f t="shared" si="12"/>
        <v>117579.81175163155</v>
      </c>
      <c r="X24" s="20"/>
      <c r="Y24" s="137"/>
      <c r="AA24" s="25">
        <f t="shared" si="13"/>
        <v>2020</v>
      </c>
      <c r="AB24" s="179">
        <v>309139.67424241285</v>
      </c>
      <c r="AC24" s="179">
        <f>'Exhibit B,2'!AA24-'Exhibit A,2'!BA24</f>
        <v>1214226.6299999999</v>
      </c>
      <c r="AD24" s="179">
        <f>'Exhibit B,2'!AB24-'Exhibit A,2'!BB24</f>
        <v>837418.62999999989</v>
      </c>
      <c r="AE24" s="179">
        <v>133713.06</v>
      </c>
      <c r="AF24" s="179">
        <v>253990.5</v>
      </c>
      <c r="AG24" s="179">
        <f t="shared" si="14"/>
        <v>583428.12999999989</v>
      </c>
      <c r="AH24" s="179">
        <v>1134145.6429419809</v>
      </c>
      <c r="AI24" s="179">
        <f t="shared" si="15"/>
        <v>197660.79880965059</v>
      </c>
      <c r="AK24" s="72">
        <f>'Exhibit Q,3'!I33</f>
        <v>0.2485295100407226</v>
      </c>
      <c r="AL24" s="72">
        <f t="shared" si="0"/>
        <v>0.22395062253663661</v>
      </c>
      <c r="AM24" s="72">
        <f>'Exhibit Q,1'!I33</f>
        <v>0.66263958650038568</v>
      </c>
      <c r="AN24" s="72">
        <f t="shared" si="1"/>
        <v>0.61317000392132415</v>
      </c>
      <c r="AO24" s="25">
        <f t="shared" si="16"/>
        <v>2019</v>
      </c>
      <c r="AP24" s="172"/>
      <c r="AQ24" s="18"/>
      <c r="AR24" s="172"/>
      <c r="AT24" s="6">
        <f t="shared" si="20"/>
        <v>2020</v>
      </c>
      <c r="AV24" s="69">
        <v>1134145.6429419809</v>
      </c>
      <c r="AW24" s="20">
        <f t="shared" si="17"/>
        <v>197660.79880965059</v>
      </c>
      <c r="AY24" s="25">
        <f t="shared" si="18"/>
        <v>2020</v>
      </c>
      <c r="AZ24" s="179">
        <v>309139.67424241285</v>
      </c>
      <c r="BA24" s="179">
        <f t="shared" si="2"/>
        <v>0</v>
      </c>
      <c r="BB24" s="179">
        <f t="shared" si="2"/>
        <v>378808</v>
      </c>
      <c r="BC24" s="179">
        <v>0</v>
      </c>
      <c r="BD24" s="179">
        <v>0</v>
      </c>
      <c r="BE24" s="179">
        <f t="shared" si="3"/>
        <v>378808</v>
      </c>
      <c r="BF24" s="95"/>
      <c r="BG24" s="95"/>
      <c r="BH24" s="95"/>
      <c r="BI24" s="95"/>
      <c r="BJ24" s="95"/>
    </row>
    <row r="25" spans="1:62">
      <c r="A25" s="6">
        <f t="shared" si="19"/>
        <v>2021</v>
      </c>
      <c r="C25" s="494">
        <f>'Exhibit D,4'!I25</f>
        <v>4573082.5972265182</v>
      </c>
      <c r="E25" s="74">
        <f t="shared" si="4"/>
        <v>8.6829008289949064E-2</v>
      </c>
      <c r="F25" s="74"/>
      <c r="G25" s="74">
        <f t="shared" si="5"/>
        <v>0.32704103828274222</v>
      </c>
      <c r="H25" s="18"/>
      <c r="I25" s="494">
        <f t="shared" si="6"/>
        <v>4176006.3704813151</v>
      </c>
      <c r="J25" s="494"/>
      <c r="K25" s="494">
        <f t="shared" si="7"/>
        <v>3077496.9164768183</v>
      </c>
      <c r="L25" s="187"/>
      <c r="M25" s="17">
        <f t="shared" si="8"/>
        <v>1227856.73</v>
      </c>
      <c r="N25" s="17"/>
      <c r="O25" s="17">
        <f t="shared" si="9"/>
        <v>2708722.05</v>
      </c>
      <c r="P25" s="187"/>
      <c r="Q25" s="494">
        <f t="shared" si="10"/>
        <v>5403863.1004813146</v>
      </c>
      <c r="R25" s="494"/>
      <c r="S25" s="494">
        <f t="shared" si="11"/>
        <v>5786218.9664768185</v>
      </c>
      <c r="T25" s="494"/>
      <c r="U25" s="130">
        <f>-BB25+'Exhibit B,2'!U25</f>
        <v>4942482.575143653</v>
      </c>
      <c r="V25" s="494"/>
      <c r="W25" s="494">
        <f t="shared" si="12"/>
        <v>3714625.845143653</v>
      </c>
      <c r="X25" s="20"/>
      <c r="Y25" s="137"/>
      <c r="AA25" s="25">
        <f>AA24+1</f>
        <v>2021</v>
      </c>
      <c r="AB25" s="17">
        <v>328598.18698580097</v>
      </c>
      <c r="AC25" s="179">
        <f>'Exhibit B,2'!AA25-'Exhibit A,2'!BA25</f>
        <v>1227856.73</v>
      </c>
      <c r="AD25" s="179">
        <f>'Exhibit B,2'!AB25-'Exhibit A,2'!BB25</f>
        <v>2708722.05</v>
      </c>
      <c r="AE25" s="179">
        <v>34306.15</v>
      </c>
      <c r="AF25" s="179">
        <v>341193</v>
      </c>
      <c r="AG25" s="179">
        <f t="shared" si="14"/>
        <v>2367529.0499999998</v>
      </c>
      <c r="AH25" s="179">
        <v>2166549.5025809151</v>
      </c>
      <c r="AI25" s="179">
        <f t="shared" si="15"/>
        <v>2775933.0725627379</v>
      </c>
      <c r="AK25" s="72">
        <f>'Exhibit Q,3'!I34</f>
        <v>0.10105618501620665</v>
      </c>
      <c r="AL25" s="72">
        <f t="shared" si="0"/>
        <v>8.6829008289949064E-2</v>
      </c>
      <c r="AM25" s="72">
        <f>'Exhibit Q,1'!I34</f>
        <v>0.36582209102601632</v>
      </c>
      <c r="AN25" s="72">
        <f t="shared" si="1"/>
        <v>0.32704103828274222</v>
      </c>
      <c r="AP25" s="172"/>
      <c r="AQ25" s="18"/>
      <c r="AR25" s="172"/>
      <c r="AT25" s="6">
        <f>AT24+1</f>
        <v>2021</v>
      </c>
      <c r="AV25" s="69">
        <v>2166549.5025809151</v>
      </c>
      <c r="AY25" s="25">
        <f>AY24+1</f>
        <v>2021</v>
      </c>
      <c r="AZ25" s="17">
        <v>328598.18698580097</v>
      </c>
      <c r="BA25" s="179">
        <f t="shared" si="2"/>
        <v>0</v>
      </c>
      <c r="BB25" s="179">
        <f t="shared" si="2"/>
        <v>770350</v>
      </c>
      <c r="BC25" s="179">
        <v>0</v>
      </c>
      <c r="BD25" s="179">
        <v>0</v>
      </c>
      <c r="BE25" s="179">
        <f t="shared" si="3"/>
        <v>770350</v>
      </c>
      <c r="BF25" s="95"/>
      <c r="BG25" s="95"/>
      <c r="BH25" s="95"/>
      <c r="BI25" s="95"/>
      <c r="BJ25" s="95"/>
    </row>
    <row r="26" spans="1:62">
      <c r="A26" s="6">
        <f t="shared" si="19"/>
        <v>2022</v>
      </c>
      <c r="C26" s="494">
        <f>'Exhibit D,4'!I26</f>
        <v>1901737.8861383859</v>
      </c>
      <c r="E26" s="74">
        <f t="shared" ref="E26" si="21">AL26</f>
        <v>1.3077603882217608E-2</v>
      </c>
      <c r="F26" s="74"/>
      <c r="G26" s="74">
        <f t="shared" ref="G26" si="22">AN26</f>
        <v>0.1109464788053097</v>
      </c>
      <c r="H26" s="18"/>
      <c r="I26" s="494">
        <f t="shared" ref="I26" si="23">C26*(1-E26)</f>
        <v>1876867.7113756624</v>
      </c>
      <c r="J26" s="494"/>
      <c r="K26" s="494">
        <f t="shared" ref="K26" si="24">C26*(1-G26)</f>
        <v>1690746.7640606789</v>
      </c>
      <c r="L26" s="187"/>
      <c r="M26" s="17">
        <f t="shared" si="8"/>
        <v>36605.5</v>
      </c>
      <c r="N26" s="494"/>
      <c r="O26" s="17">
        <f t="shared" si="9"/>
        <v>263352.5</v>
      </c>
      <c r="P26" s="187"/>
      <c r="Q26" s="494">
        <f t="shared" ref="Q26" si="25">I26+M26</f>
        <v>1913473.2113756624</v>
      </c>
      <c r="R26" s="494"/>
      <c r="S26" s="494">
        <f t="shared" ref="S26" si="26">K26+O26</f>
        <v>1954099.2640606789</v>
      </c>
      <c r="T26" s="494"/>
      <c r="U26" s="130">
        <f>-BB26+'Exhibit B,2'!U26</f>
        <v>2375708.2699326677</v>
      </c>
      <c r="V26" s="494"/>
      <c r="W26" s="494">
        <f t="shared" ref="W26" si="27">U26-M26</f>
        <v>2339102.7699326677</v>
      </c>
      <c r="X26" s="20"/>
      <c r="Y26" s="137"/>
      <c r="AA26" s="25">
        <f>AA25+1</f>
        <v>2022</v>
      </c>
      <c r="AB26" s="17"/>
      <c r="AC26" s="179">
        <f>'Exhibit B,2'!AA26-'Exhibit A,2'!BA26</f>
        <v>36605.5</v>
      </c>
      <c r="AD26" s="179">
        <f>'Exhibit B,2'!AB26-'Exhibit A,2'!BB26</f>
        <v>263352.5</v>
      </c>
      <c r="AE26" s="179">
        <v>0</v>
      </c>
      <c r="AF26" s="179">
        <v>0</v>
      </c>
      <c r="AG26" s="179">
        <f t="shared" si="14"/>
        <v>263352.5</v>
      </c>
      <c r="AH26" s="179">
        <v>0</v>
      </c>
      <c r="AI26" s="179"/>
      <c r="AK26" s="72">
        <f>'Exhibit Q,3'!I35</f>
        <v>1.5693124658661128E-2</v>
      </c>
      <c r="AL26" s="72">
        <f>AK27*(2/12)+AK26*(10/12)</f>
        <v>1.3077603882217608E-2</v>
      </c>
      <c r="AM26" s="72">
        <f>'Exhibit Q,1'!I35</f>
        <v>0.13313577456637163</v>
      </c>
      <c r="AN26" s="72">
        <f>AM27*(2/12)+AM26*(10/12)</f>
        <v>0.1109464788053097</v>
      </c>
      <c r="AP26" s="172"/>
      <c r="AQ26" s="18"/>
      <c r="AR26" s="172"/>
      <c r="AT26" s="6">
        <f>AT25+1</f>
        <v>2022</v>
      </c>
      <c r="AV26" s="137"/>
      <c r="AY26" s="25">
        <f>AY25+1</f>
        <v>2022</v>
      </c>
      <c r="AZ26" s="17"/>
      <c r="BA26" s="179">
        <f t="shared" si="2"/>
        <v>0</v>
      </c>
      <c r="BB26" s="179">
        <f t="shared" si="2"/>
        <v>0</v>
      </c>
      <c r="BC26" s="179">
        <v>0</v>
      </c>
      <c r="BD26" s="179">
        <v>0</v>
      </c>
      <c r="BE26" s="179">
        <f t="shared" si="3"/>
        <v>0</v>
      </c>
      <c r="BF26" s="95"/>
      <c r="BG26" s="95"/>
      <c r="BH26" s="95"/>
      <c r="BI26" s="95"/>
      <c r="BJ26" s="95"/>
    </row>
    <row r="27" spans="1:62">
      <c r="A27" s="6"/>
      <c r="C27" s="63"/>
      <c r="I27" s="63"/>
      <c r="J27" s="63"/>
      <c r="K27" s="63"/>
      <c r="M27" s="63"/>
      <c r="O27" s="63"/>
      <c r="Q27" s="63"/>
      <c r="S27" s="63"/>
      <c r="U27" s="63"/>
      <c r="W27" s="63"/>
      <c r="Y27" s="137"/>
      <c r="AA27" s="25"/>
      <c r="AB27" s="70"/>
      <c r="AC27" s="70"/>
      <c r="AD27" s="70"/>
      <c r="AE27" s="70"/>
      <c r="AF27" s="70"/>
      <c r="AG27" s="70"/>
      <c r="AH27" s="70"/>
      <c r="AI27" s="70"/>
      <c r="AJ27" s="61"/>
      <c r="AK27" s="61"/>
      <c r="AL27" s="61"/>
      <c r="AM27" s="61"/>
      <c r="AN27" s="61"/>
      <c r="AS27" s="61"/>
      <c r="AT27" s="6"/>
      <c r="AV27" s="70"/>
      <c r="AW27" s="70"/>
      <c r="AY27" s="25"/>
      <c r="AZ27" s="70"/>
      <c r="BA27" s="70"/>
      <c r="BB27" s="70"/>
      <c r="BC27" s="70"/>
      <c r="BD27" s="70"/>
      <c r="BE27" s="70"/>
      <c r="BF27" s="95"/>
      <c r="BG27" s="95"/>
      <c r="BH27" s="95"/>
      <c r="BI27" s="95"/>
      <c r="BJ27" s="95"/>
    </row>
    <row r="28" spans="1:62">
      <c r="A28" s="2" t="s">
        <v>0</v>
      </c>
      <c r="C28" s="147">
        <f>SUM(C17:C27)</f>
        <v>19396498.283821449</v>
      </c>
      <c r="D28" s="26"/>
      <c r="E28" s="26"/>
      <c r="G28" s="26"/>
      <c r="I28" s="16">
        <f>SUM(I17:I27)</f>
        <v>10294057.728691075</v>
      </c>
      <c r="J28" s="16"/>
      <c r="K28" s="16">
        <f>SUM(K17:K27)</f>
        <v>6108331.4109770963</v>
      </c>
      <c r="L28" s="16"/>
      <c r="M28" s="16">
        <f>SUM(M17:M27)</f>
        <v>11783913.670000002</v>
      </c>
      <c r="N28" s="16"/>
      <c r="O28" s="16">
        <f>SUM(O17:O27)</f>
        <v>14227242.489999998</v>
      </c>
      <c r="P28" s="16"/>
      <c r="Q28" s="16">
        <f>SUM(Q17:Q27)</f>
        <v>22077971.398691073</v>
      </c>
      <c r="R28" s="16"/>
      <c r="S28" s="16">
        <f>SUM(S17:S27)</f>
        <v>20335573.900977097</v>
      </c>
      <c r="T28" s="16"/>
      <c r="U28" s="16">
        <f>SUM(U17:U27)</f>
        <v>20310028.585376162</v>
      </c>
      <c r="V28" s="16"/>
      <c r="W28" s="16">
        <f>SUM(W17:W27)</f>
        <v>8526114.9153761622</v>
      </c>
      <c r="X28" s="26"/>
      <c r="Y28" s="137"/>
      <c r="Z28" s="26"/>
      <c r="AA28" s="97" t="s">
        <v>0</v>
      </c>
      <c r="AB28" s="68">
        <f t="shared" ref="AB28:AI28" si="28">SUM(AB17:AB27)</f>
        <v>2050173.5212115673</v>
      </c>
      <c r="AC28" s="68">
        <f t="shared" si="28"/>
        <v>11783913.670000002</v>
      </c>
      <c r="AD28" s="68">
        <f t="shared" si="28"/>
        <v>14227242.489999998</v>
      </c>
      <c r="AE28" s="68">
        <f t="shared" si="28"/>
        <v>8573498.9700000007</v>
      </c>
      <c r="AF28" s="68">
        <f t="shared" si="28"/>
        <v>11607028.73</v>
      </c>
      <c r="AG28" s="68">
        <f t="shared" si="28"/>
        <v>2620213.7599999998</v>
      </c>
      <c r="AH28" s="68">
        <f t="shared" si="28"/>
        <v>17083477.366652139</v>
      </c>
      <c r="AI28" s="68">
        <f t="shared" si="28"/>
        <v>850842.94879135746</v>
      </c>
      <c r="AJ28" s="68"/>
      <c r="AK28" s="61"/>
      <c r="AL28" s="61"/>
      <c r="AM28" s="61"/>
      <c r="AN28" s="61"/>
      <c r="AP28" s="68"/>
      <c r="AQ28" s="68"/>
      <c r="AR28" s="68"/>
      <c r="AS28" s="61"/>
      <c r="AT28" s="2" t="s">
        <v>0</v>
      </c>
      <c r="AV28" s="68">
        <v>794328.36205409595</v>
      </c>
      <c r="AW28" s="68">
        <f>SUM(AW17:AW27)</f>
        <v>-1925090.1237713804</v>
      </c>
      <c r="AY28" s="97" t="s">
        <v>0</v>
      </c>
      <c r="AZ28" s="68">
        <f t="shared" ref="AZ28:BE28" si="29">SUM(AZ17:AZ27)</f>
        <v>2050173.5212115673</v>
      </c>
      <c r="BA28" s="68">
        <f t="shared" si="29"/>
        <v>3759132.2399999998</v>
      </c>
      <c r="BB28" s="68">
        <f>SUM(BB17:BB27)</f>
        <v>5542665.2400000002</v>
      </c>
      <c r="BC28" s="68">
        <f t="shared" si="29"/>
        <v>3759132.2399999998</v>
      </c>
      <c r="BD28" s="68">
        <f t="shared" si="29"/>
        <v>3759132.2399999998</v>
      </c>
      <c r="BE28" s="68">
        <f t="shared" si="29"/>
        <v>1783533</v>
      </c>
      <c r="BF28" s="95"/>
      <c r="BG28" s="95"/>
      <c r="BH28" s="95"/>
      <c r="BI28" s="95"/>
      <c r="BJ28" s="95"/>
    </row>
    <row r="29" spans="1:62">
      <c r="A29" s="6"/>
      <c r="K29" s="1" t="s">
        <v>685</v>
      </c>
      <c r="M29" s="542"/>
      <c r="N29" s="542"/>
      <c r="O29" s="542"/>
      <c r="AA29" s="25"/>
      <c r="AH29" s="61"/>
      <c r="AK29" s="61"/>
      <c r="AL29" s="61"/>
      <c r="AM29" s="61"/>
      <c r="AN29" s="61"/>
      <c r="AT29" s="6"/>
      <c r="AV29" s="61"/>
    </row>
    <row r="30" spans="1:62">
      <c r="A30" s="3" t="s">
        <v>295</v>
      </c>
      <c r="AA30" s="115" t="s">
        <v>295</v>
      </c>
      <c r="AC30" s="179">
        <f>'Exhibit B,2'!AA30-'Exhibit A,2'!BA30</f>
        <v>25024.959999999999</v>
      </c>
      <c r="AD30" s="179">
        <f>'Exhibit B,2'!AB30-'Exhibit A,2'!BB30</f>
        <v>25024.959999999999</v>
      </c>
      <c r="AE30" s="179">
        <f>AC30</f>
        <v>25024.959999999999</v>
      </c>
      <c r="AF30" s="179">
        <f>AD30</f>
        <v>25024.959999999999</v>
      </c>
      <c r="AG30" s="18"/>
      <c r="AH30" s="18"/>
      <c r="AI30" s="18"/>
      <c r="AT30" s="3" t="s">
        <v>295</v>
      </c>
      <c r="AV30" s="61"/>
      <c r="AY30" s="115" t="s">
        <v>295</v>
      </c>
      <c r="BA30" s="18"/>
      <c r="BB30" s="18"/>
      <c r="BC30" s="179"/>
      <c r="BD30" s="179"/>
      <c r="BE30" s="18"/>
      <c r="BF30" s="95"/>
      <c r="BG30" s="95"/>
      <c r="BH30" s="95"/>
    </row>
    <row r="31" spans="1:62">
      <c r="A31" s="6">
        <f>A17</f>
        <v>2013</v>
      </c>
      <c r="C31" s="497">
        <f>'Exhibit D,4'!I31</f>
        <v>0</v>
      </c>
      <c r="E31" s="74"/>
      <c r="G31" s="73"/>
      <c r="H31" s="26"/>
      <c r="I31" s="497">
        <f>C31*(1-E31)</f>
        <v>0</v>
      </c>
      <c r="J31" s="497"/>
      <c r="K31" s="497">
        <f>C31*(1-G31)</f>
        <v>0</v>
      </c>
      <c r="L31" s="147"/>
      <c r="M31" s="147">
        <f>AC31</f>
        <v>0</v>
      </c>
      <c r="N31" s="147"/>
      <c r="O31" s="147">
        <f>AD31</f>
        <v>0</v>
      </c>
      <c r="P31" s="147"/>
      <c r="Q31" s="147">
        <f>I31+M31</f>
        <v>0</v>
      </c>
      <c r="R31" s="147"/>
      <c r="S31" s="147">
        <f>K31+O31</f>
        <v>0</v>
      </c>
      <c r="T31" s="147"/>
      <c r="U31" s="147">
        <f>S31</f>
        <v>0</v>
      </c>
      <c r="V31" s="147"/>
      <c r="W31" s="147">
        <f>U31-M31</f>
        <v>0</v>
      </c>
      <c r="X31" s="26"/>
      <c r="Y31" s="26"/>
      <c r="AA31" s="25">
        <f>AA17</f>
        <v>2013</v>
      </c>
      <c r="AB31" s="18">
        <v>282633</v>
      </c>
      <c r="AC31" s="18">
        <f>'Exhibit B,2'!AA31-'Exhibit A,2'!BA31</f>
        <v>0</v>
      </c>
      <c r="AD31" s="18">
        <f>'Exhibit B,2'!AB31-'Exhibit A,2'!BB31</f>
        <v>0</v>
      </c>
      <c r="AE31" s="18">
        <v>0</v>
      </c>
      <c r="AF31" s="18">
        <v>0</v>
      </c>
      <c r="AG31" s="18">
        <f>AD31-AF31</f>
        <v>0</v>
      </c>
      <c r="AH31" s="18">
        <v>0</v>
      </c>
      <c r="AI31" s="18">
        <f>U31-AH31</f>
        <v>0</v>
      </c>
      <c r="AT31" s="6">
        <f t="shared" ref="AT31:AT40" si="30">AT17</f>
        <v>2013</v>
      </c>
      <c r="AV31" s="68">
        <v>0</v>
      </c>
      <c r="AW31" s="26"/>
      <c r="AY31" s="25">
        <f>AY17</f>
        <v>2013</v>
      </c>
      <c r="AZ31" s="18"/>
      <c r="BA31" s="18">
        <f>BC31</f>
        <v>0</v>
      </c>
      <c r="BB31" s="18">
        <f>BD31</f>
        <v>0</v>
      </c>
      <c r="BC31" s="179">
        <v>0</v>
      </c>
      <c r="BD31" s="179">
        <v>0</v>
      </c>
      <c r="BE31" s="179">
        <f t="shared" ref="BE31:BE40" si="31">BB31-BD31</f>
        <v>0</v>
      </c>
      <c r="BF31" s="95"/>
      <c r="BG31" s="95"/>
      <c r="BH31" s="95"/>
      <c r="BI31" s="61"/>
      <c r="BJ31" s="61"/>
    </row>
    <row r="32" spans="1:62" ht="16">
      <c r="A32" s="6">
        <f>A31+1</f>
        <v>2014</v>
      </c>
      <c r="C32" s="494">
        <f>'Exhibit D,4'!I32</f>
        <v>0</v>
      </c>
      <c r="D32" s="26"/>
      <c r="E32" s="74"/>
      <c r="G32" s="73"/>
      <c r="H32" s="18"/>
      <c r="I32" s="494">
        <f t="shared" ref="I32:I39" si="32">C32*(1-E32)</f>
        <v>0</v>
      </c>
      <c r="J32" s="494"/>
      <c r="K32" s="494">
        <f t="shared" ref="K32:K39" si="33">C32*(1-G32)</f>
        <v>0</v>
      </c>
      <c r="L32" s="187"/>
      <c r="M32" s="494">
        <f t="shared" ref="M32:M39" si="34">AC32</f>
        <v>420</v>
      </c>
      <c r="N32" s="494"/>
      <c r="O32" s="494">
        <f t="shared" ref="O32:O39" si="35">AD32</f>
        <v>420</v>
      </c>
      <c r="P32" s="187"/>
      <c r="Q32" s="494">
        <f t="shared" ref="Q32:Q39" si="36">I32+M32</f>
        <v>420</v>
      </c>
      <c r="R32" s="494"/>
      <c r="S32" s="494">
        <f t="shared" ref="S32:S39" si="37">K32+O32</f>
        <v>420</v>
      </c>
      <c r="T32" s="494"/>
      <c r="U32" s="494">
        <f t="shared" ref="U32:U39" si="38">S32</f>
        <v>420</v>
      </c>
      <c r="V32" s="494"/>
      <c r="W32" s="494">
        <f t="shared" ref="W32:W39" si="39">U32-M32</f>
        <v>0</v>
      </c>
      <c r="X32" s="20"/>
      <c r="Y32" s="20"/>
      <c r="AA32" s="25">
        <f>AA31+1</f>
        <v>2014</v>
      </c>
      <c r="AB32" s="18">
        <v>238336</v>
      </c>
      <c r="AC32" s="18">
        <f>'Exhibit B,2'!AA32-'Exhibit A,2'!BA32</f>
        <v>420</v>
      </c>
      <c r="AD32" s="18">
        <f>'Exhibit B,2'!AB32-'Exhibit A,2'!BB32</f>
        <v>420</v>
      </c>
      <c r="AE32" s="18">
        <v>0</v>
      </c>
      <c r="AF32" s="18">
        <v>0</v>
      </c>
      <c r="AG32" s="18">
        <f t="shared" ref="AG32:AG40" si="40">AD32-AF32</f>
        <v>420</v>
      </c>
      <c r="AH32" s="18">
        <v>0</v>
      </c>
      <c r="AI32" s="18">
        <f t="shared" ref="AI32:AI40" si="41">U32-AH32</f>
        <v>420</v>
      </c>
      <c r="AK32" s="372"/>
      <c r="AL32" s="372"/>
      <c r="AM32" s="373"/>
      <c r="AT32" s="6">
        <f t="shared" si="30"/>
        <v>2014</v>
      </c>
      <c r="AV32" s="69">
        <v>0</v>
      </c>
      <c r="AW32" s="26"/>
      <c r="AY32" s="25">
        <f>AY31+1</f>
        <v>2014</v>
      </c>
      <c r="AZ32" s="18"/>
      <c r="BA32" s="18">
        <f>BC32</f>
        <v>0</v>
      </c>
      <c r="BB32" s="18">
        <f>BD32</f>
        <v>0</v>
      </c>
      <c r="BC32" s="179">
        <v>0</v>
      </c>
      <c r="BD32" s="179">
        <v>0</v>
      </c>
      <c r="BE32" s="179">
        <f t="shared" si="31"/>
        <v>0</v>
      </c>
      <c r="BF32" s="18" t="s">
        <v>1693</v>
      </c>
      <c r="BG32" s="95"/>
      <c r="BH32" s="95"/>
      <c r="BI32" s="61"/>
      <c r="BJ32" s="61"/>
    </row>
    <row r="33" spans="1:62" ht="16">
      <c r="A33" s="6">
        <f t="shared" ref="A33:A40" si="42">A32+1</f>
        <v>2015</v>
      </c>
      <c r="C33" s="494">
        <f>'Exhibit D,4'!I33</f>
        <v>0</v>
      </c>
      <c r="E33" s="74"/>
      <c r="G33" s="73"/>
      <c r="H33" s="18"/>
      <c r="I33" s="494">
        <f t="shared" si="32"/>
        <v>0</v>
      </c>
      <c r="J33" s="494"/>
      <c r="K33" s="494">
        <f t="shared" si="33"/>
        <v>0</v>
      </c>
      <c r="L33" s="187"/>
      <c r="M33" s="494">
        <f t="shared" si="34"/>
        <v>104375</v>
      </c>
      <c r="N33" s="494"/>
      <c r="O33" s="494">
        <f t="shared" si="35"/>
        <v>104375</v>
      </c>
      <c r="P33" s="187"/>
      <c r="Q33" s="494">
        <f t="shared" si="36"/>
        <v>104375</v>
      </c>
      <c r="R33" s="494"/>
      <c r="S33" s="494">
        <f t="shared" si="37"/>
        <v>104375</v>
      </c>
      <c r="T33" s="494"/>
      <c r="U33" s="494">
        <f t="shared" si="38"/>
        <v>104375</v>
      </c>
      <c r="V33" s="494"/>
      <c r="W33" s="494">
        <f t="shared" si="39"/>
        <v>0</v>
      </c>
      <c r="X33" s="20"/>
      <c r="Y33" s="20"/>
      <c r="AA33" s="25">
        <f t="shared" ref="AA33:AA40" si="43">AA32+1</f>
        <v>2015</v>
      </c>
      <c r="AB33" s="18">
        <v>180548.2</v>
      </c>
      <c r="AC33" s="18">
        <f>'Exhibit B,2'!AA33-'Exhibit A,2'!BA33</f>
        <v>104375</v>
      </c>
      <c r="AD33" s="18">
        <f>'Exhibit B,2'!AB33-'Exhibit A,2'!BB33</f>
        <v>104375</v>
      </c>
      <c r="AE33" s="18">
        <v>0</v>
      </c>
      <c r="AF33" s="18">
        <v>0</v>
      </c>
      <c r="AG33" s="18">
        <f t="shared" si="40"/>
        <v>104375</v>
      </c>
      <c r="AH33" s="18">
        <v>0</v>
      </c>
      <c r="AI33" s="18">
        <f t="shared" si="41"/>
        <v>104375</v>
      </c>
      <c r="AK33" s="372"/>
      <c r="AL33" s="372"/>
      <c r="AM33" s="373"/>
      <c r="AT33" s="6">
        <f t="shared" si="30"/>
        <v>2015</v>
      </c>
      <c r="AV33" s="69">
        <v>0</v>
      </c>
      <c r="AW33" s="26"/>
      <c r="AY33" s="25">
        <f t="shared" ref="AY33:AY40" si="44">AY32+1</f>
        <v>2015</v>
      </c>
      <c r="AZ33" s="18"/>
      <c r="BA33" s="18">
        <f t="shared" ref="BA33:BA40" si="45">BC33</f>
        <v>0</v>
      </c>
      <c r="BB33" s="18">
        <f t="shared" ref="BB33:BB40" si="46">BD33</f>
        <v>0</v>
      </c>
      <c r="BC33" s="179">
        <v>0</v>
      </c>
      <c r="BD33" s="179">
        <v>0</v>
      </c>
      <c r="BE33" s="179">
        <f t="shared" si="31"/>
        <v>0</v>
      </c>
      <c r="BF33" s="95"/>
      <c r="BG33" s="95"/>
      <c r="BH33" s="95"/>
      <c r="BI33" s="44"/>
      <c r="BJ33" s="44"/>
    </row>
    <row r="34" spans="1:62" ht="16">
      <c r="A34" s="6">
        <f t="shared" si="42"/>
        <v>2016</v>
      </c>
      <c r="C34" s="494">
        <f>'Exhibit D,4'!I34</f>
        <v>0</v>
      </c>
      <c r="E34" s="74"/>
      <c r="G34" s="73"/>
      <c r="H34" s="18"/>
      <c r="I34" s="494">
        <f t="shared" si="32"/>
        <v>0</v>
      </c>
      <c r="J34" s="494"/>
      <c r="K34" s="494">
        <f t="shared" si="33"/>
        <v>0</v>
      </c>
      <c r="L34" s="187"/>
      <c r="M34" s="494">
        <f t="shared" si="34"/>
        <v>114230.56999999999</v>
      </c>
      <c r="N34" s="494"/>
      <c r="O34" s="494">
        <f t="shared" si="35"/>
        <v>114230.56999999999</v>
      </c>
      <c r="P34" s="187"/>
      <c r="Q34" s="494">
        <f t="shared" si="36"/>
        <v>114230.56999999999</v>
      </c>
      <c r="R34" s="494"/>
      <c r="S34" s="494">
        <f t="shared" si="37"/>
        <v>114230.56999999999</v>
      </c>
      <c r="T34" s="494"/>
      <c r="U34" s="494">
        <f t="shared" si="38"/>
        <v>114230.56999999999</v>
      </c>
      <c r="V34" s="494"/>
      <c r="W34" s="494">
        <f t="shared" si="39"/>
        <v>0</v>
      </c>
      <c r="X34" s="20"/>
      <c r="Y34" s="20"/>
      <c r="AA34" s="25">
        <f t="shared" si="43"/>
        <v>2016</v>
      </c>
      <c r="AB34" s="18">
        <v>184654</v>
      </c>
      <c r="AC34" s="18">
        <f>'Exhibit B,2'!AA34-'Exhibit A,2'!BA34</f>
        <v>114230.56999999999</v>
      </c>
      <c r="AD34" s="18">
        <f>'Exhibit B,2'!AB34-'Exhibit A,2'!BB34</f>
        <v>114230.56999999999</v>
      </c>
      <c r="AE34" s="18">
        <v>0</v>
      </c>
      <c r="AF34" s="18">
        <v>0</v>
      </c>
      <c r="AG34" s="18">
        <f t="shared" si="40"/>
        <v>114230.56999999999</v>
      </c>
      <c r="AH34" s="18">
        <v>0</v>
      </c>
      <c r="AI34" s="18">
        <f t="shared" si="41"/>
        <v>114230.56999999999</v>
      </c>
      <c r="AK34" s="372"/>
      <c r="AL34" s="372"/>
      <c r="AM34" s="373"/>
      <c r="AT34" s="6">
        <f t="shared" si="30"/>
        <v>2016</v>
      </c>
      <c r="AV34" s="69">
        <v>0</v>
      </c>
      <c r="AW34" s="26"/>
      <c r="AY34" s="25">
        <f t="shared" si="44"/>
        <v>2016</v>
      </c>
      <c r="AZ34" s="18"/>
      <c r="BA34" s="18">
        <f t="shared" si="45"/>
        <v>0</v>
      </c>
      <c r="BB34" s="18">
        <f t="shared" si="46"/>
        <v>0</v>
      </c>
      <c r="BC34" s="179">
        <v>0</v>
      </c>
      <c r="BD34" s="179">
        <v>0</v>
      </c>
      <c r="BE34" s="179">
        <f t="shared" si="31"/>
        <v>0</v>
      </c>
      <c r="BF34" s="95"/>
      <c r="BG34" s="95"/>
      <c r="BH34" s="95"/>
      <c r="BI34" s="44"/>
      <c r="BJ34" s="44"/>
    </row>
    <row r="35" spans="1:62" ht="16">
      <c r="A35" s="6">
        <f t="shared" si="42"/>
        <v>2017</v>
      </c>
      <c r="C35" s="494">
        <f>'Exhibit D,4'!I35</f>
        <v>0</v>
      </c>
      <c r="E35" s="74"/>
      <c r="G35" s="73"/>
      <c r="H35" s="18"/>
      <c r="I35" s="494">
        <f t="shared" si="32"/>
        <v>0</v>
      </c>
      <c r="J35" s="494"/>
      <c r="K35" s="494">
        <f t="shared" si="33"/>
        <v>0</v>
      </c>
      <c r="L35" s="187"/>
      <c r="M35" s="494">
        <f t="shared" si="34"/>
        <v>72455.05</v>
      </c>
      <c r="N35" s="494"/>
      <c r="O35" s="494">
        <f t="shared" si="35"/>
        <v>72455.05</v>
      </c>
      <c r="P35" s="187"/>
      <c r="Q35" s="494">
        <f t="shared" si="36"/>
        <v>72455.05</v>
      </c>
      <c r="R35" s="494"/>
      <c r="S35" s="494">
        <f t="shared" si="37"/>
        <v>72455.05</v>
      </c>
      <c r="T35" s="494"/>
      <c r="U35" s="494">
        <f t="shared" si="38"/>
        <v>72455.05</v>
      </c>
      <c r="V35" s="494"/>
      <c r="W35" s="494">
        <f t="shared" si="39"/>
        <v>0</v>
      </c>
      <c r="X35" s="20"/>
      <c r="Y35" s="20"/>
      <c r="AA35" s="25">
        <f t="shared" si="43"/>
        <v>2017</v>
      </c>
      <c r="AB35" s="18">
        <v>205158.42</v>
      </c>
      <c r="AC35" s="18">
        <f>'Exhibit B,2'!AA35-'Exhibit A,2'!BA35</f>
        <v>72455.05</v>
      </c>
      <c r="AD35" s="18">
        <f>'Exhibit B,2'!AB35-'Exhibit A,2'!BB35</f>
        <v>72455.05</v>
      </c>
      <c r="AE35" s="18">
        <v>0</v>
      </c>
      <c r="AF35" s="18">
        <v>0</v>
      </c>
      <c r="AG35" s="18">
        <f t="shared" si="40"/>
        <v>72455.05</v>
      </c>
      <c r="AH35" s="18">
        <v>0</v>
      </c>
      <c r="AI35" s="18">
        <f t="shared" si="41"/>
        <v>72455.05</v>
      </c>
      <c r="AK35" s="372"/>
      <c r="AL35" s="372"/>
      <c r="AM35" s="373"/>
      <c r="AT35" s="6">
        <f t="shared" si="30"/>
        <v>2017</v>
      </c>
      <c r="AV35" s="69">
        <v>0</v>
      </c>
      <c r="AW35" s="26"/>
      <c r="AY35" s="25">
        <f t="shared" si="44"/>
        <v>2017</v>
      </c>
      <c r="AZ35" s="18"/>
      <c r="BA35" s="18">
        <f t="shared" si="45"/>
        <v>0</v>
      </c>
      <c r="BB35" s="18">
        <f t="shared" si="46"/>
        <v>0</v>
      </c>
      <c r="BC35" s="179">
        <v>0</v>
      </c>
      <c r="BD35" s="179">
        <v>0</v>
      </c>
      <c r="BE35" s="179">
        <f t="shared" si="31"/>
        <v>0</v>
      </c>
      <c r="BF35" s="95"/>
      <c r="BG35" s="95"/>
      <c r="BH35" s="95"/>
      <c r="BI35" s="45"/>
      <c r="BJ35" s="45"/>
    </row>
    <row r="36" spans="1:62" ht="16">
      <c r="A36" s="6">
        <f t="shared" si="42"/>
        <v>2018</v>
      </c>
      <c r="C36" s="494">
        <f>'Exhibit D,4'!I36</f>
        <v>0</v>
      </c>
      <c r="E36" s="74"/>
      <c r="G36" s="73"/>
      <c r="H36" s="18"/>
      <c r="I36" s="494">
        <f t="shared" si="32"/>
        <v>0</v>
      </c>
      <c r="J36" s="494"/>
      <c r="K36" s="494">
        <f t="shared" si="33"/>
        <v>0</v>
      </c>
      <c r="L36" s="187"/>
      <c r="M36" s="494">
        <f t="shared" si="34"/>
        <v>0</v>
      </c>
      <c r="N36" s="494"/>
      <c r="O36" s="494">
        <f t="shared" si="35"/>
        <v>0</v>
      </c>
      <c r="P36" s="187"/>
      <c r="Q36" s="494">
        <f t="shared" si="36"/>
        <v>0</v>
      </c>
      <c r="R36" s="494"/>
      <c r="S36" s="494">
        <f t="shared" si="37"/>
        <v>0</v>
      </c>
      <c r="T36" s="494"/>
      <c r="U36" s="494">
        <f t="shared" si="38"/>
        <v>0</v>
      </c>
      <c r="V36" s="494"/>
      <c r="W36" s="494">
        <f t="shared" si="39"/>
        <v>0</v>
      </c>
      <c r="X36" s="20"/>
      <c r="Y36" s="20"/>
      <c r="AA36" s="25">
        <f t="shared" si="43"/>
        <v>2018</v>
      </c>
      <c r="AB36" s="18">
        <v>165884</v>
      </c>
      <c r="AC36" s="18">
        <f>'Exhibit B,2'!AA36-'Exhibit A,2'!BA36</f>
        <v>0</v>
      </c>
      <c r="AD36" s="18">
        <f>'Exhibit B,2'!AB36-'Exhibit A,2'!BB36</f>
        <v>0</v>
      </c>
      <c r="AE36" s="18">
        <v>0</v>
      </c>
      <c r="AF36" s="18">
        <v>0</v>
      </c>
      <c r="AG36" s="18">
        <f t="shared" si="40"/>
        <v>0</v>
      </c>
      <c r="AH36" s="18">
        <v>0</v>
      </c>
      <c r="AI36" s="18">
        <f t="shared" si="41"/>
        <v>0</v>
      </c>
      <c r="AK36" s="372"/>
      <c r="AL36" s="372"/>
      <c r="AM36" s="373"/>
      <c r="AT36" s="6">
        <f t="shared" si="30"/>
        <v>2018</v>
      </c>
      <c r="AV36" s="69">
        <v>0</v>
      </c>
      <c r="AW36" s="26"/>
      <c r="AY36" s="25">
        <f t="shared" si="44"/>
        <v>2018</v>
      </c>
      <c r="AZ36" s="18"/>
      <c r="BA36" s="18">
        <f t="shared" si="45"/>
        <v>0</v>
      </c>
      <c r="BB36" s="18">
        <f t="shared" si="46"/>
        <v>0</v>
      </c>
      <c r="BC36" s="179">
        <v>0</v>
      </c>
      <c r="BD36" s="179">
        <v>0</v>
      </c>
      <c r="BE36" s="179">
        <f t="shared" si="31"/>
        <v>0</v>
      </c>
      <c r="BF36" s="95"/>
      <c r="BG36" s="95"/>
      <c r="BH36" s="95"/>
      <c r="BI36" s="95"/>
      <c r="BJ36" s="95"/>
    </row>
    <row r="37" spans="1:62" ht="16">
      <c r="A37" s="6">
        <f t="shared" si="42"/>
        <v>2019</v>
      </c>
      <c r="C37" s="494">
        <f>'Exhibit D,4'!I37</f>
        <v>0</v>
      </c>
      <c r="E37" s="74"/>
      <c r="G37" s="73"/>
      <c r="H37" s="18"/>
      <c r="I37" s="494">
        <f t="shared" si="32"/>
        <v>0</v>
      </c>
      <c r="J37" s="494"/>
      <c r="K37" s="494">
        <f t="shared" si="33"/>
        <v>0</v>
      </c>
      <c r="L37" s="187"/>
      <c r="M37" s="494">
        <f t="shared" si="34"/>
        <v>0</v>
      </c>
      <c r="N37" s="494"/>
      <c r="O37" s="494">
        <f t="shared" si="35"/>
        <v>0</v>
      </c>
      <c r="P37" s="187"/>
      <c r="Q37" s="494">
        <f t="shared" si="36"/>
        <v>0</v>
      </c>
      <c r="R37" s="494"/>
      <c r="S37" s="494">
        <f t="shared" si="37"/>
        <v>0</v>
      </c>
      <c r="T37" s="494"/>
      <c r="U37" s="494">
        <f t="shared" si="38"/>
        <v>0</v>
      </c>
      <c r="V37" s="494"/>
      <c r="W37" s="494">
        <f t="shared" si="39"/>
        <v>0</v>
      </c>
      <c r="X37" s="20"/>
      <c r="Y37" s="20"/>
      <c r="AA37" s="25">
        <f t="shared" si="43"/>
        <v>2019</v>
      </c>
      <c r="AB37" s="18">
        <v>173878</v>
      </c>
      <c r="AC37" s="18">
        <f>'Exhibit B,2'!AA37-'Exhibit A,2'!BA37</f>
        <v>0</v>
      </c>
      <c r="AD37" s="18">
        <f>'Exhibit B,2'!AB37-'Exhibit A,2'!BB37</f>
        <v>0</v>
      </c>
      <c r="AE37" s="18">
        <v>0</v>
      </c>
      <c r="AF37" s="18">
        <v>0</v>
      </c>
      <c r="AG37" s="18">
        <f t="shared" si="40"/>
        <v>0</v>
      </c>
      <c r="AH37" s="18">
        <v>0</v>
      </c>
      <c r="AI37" s="18">
        <f t="shared" si="41"/>
        <v>0</v>
      </c>
      <c r="AK37" s="372"/>
      <c r="AL37" s="372"/>
      <c r="AM37" s="373"/>
      <c r="AT37" s="6">
        <f t="shared" si="30"/>
        <v>2019</v>
      </c>
      <c r="AV37" s="69">
        <v>0</v>
      </c>
      <c r="AW37" s="26"/>
      <c r="AY37" s="25">
        <f t="shared" si="44"/>
        <v>2019</v>
      </c>
      <c r="AZ37" s="18"/>
      <c r="BA37" s="18">
        <f t="shared" si="45"/>
        <v>0</v>
      </c>
      <c r="BB37" s="18">
        <f t="shared" si="46"/>
        <v>0</v>
      </c>
      <c r="BC37" s="179">
        <v>0</v>
      </c>
      <c r="BD37" s="179">
        <v>0</v>
      </c>
      <c r="BE37" s="179">
        <f t="shared" si="31"/>
        <v>0</v>
      </c>
      <c r="BF37" s="95"/>
      <c r="BG37" s="95"/>
      <c r="BH37" s="95"/>
      <c r="BI37" s="95"/>
      <c r="BJ37" s="95"/>
    </row>
    <row r="38" spans="1:62">
      <c r="A38" s="6">
        <f t="shared" si="42"/>
        <v>2020</v>
      </c>
      <c r="C38" s="494">
        <f>'Exhibit D,4'!I38</f>
        <v>0</v>
      </c>
      <c r="E38" s="74"/>
      <c r="G38" s="73"/>
      <c r="H38" s="18"/>
      <c r="I38" s="494">
        <f t="shared" si="32"/>
        <v>0</v>
      </c>
      <c r="J38" s="494"/>
      <c r="K38" s="494">
        <f t="shared" si="33"/>
        <v>0</v>
      </c>
      <c r="L38" s="187"/>
      <c r="M38" s="494">
        <f t="shared" si="34"/>
        <v>2002</v>
      </c>
      <c r="N38" s="494"/>
      <c r="O38" s="494">
        <f t="shared" si="35"/>
        <v>2002</v>
      </c>
      <c r="P38" s="187"/>
      <c r="Q38" s="494">
        <f t="shared" si="36"/>
        <v>2002</v>
      </c>
      <c r="R38" s="494"/>
      <c r="S38" s="494">
        <f t="shared" si="37"/>
        <v>2002</v>
      </c>
      <c r="T38" s="494"/>
      <c r="U38" s="494">
        <f t="shared" si="38"/>
        <v>2002</v>
      </c>
      <c r="V38" s="494"/>
      <c r="W38" s="494">
        <f t="shared" si="39"/>
        <v>0</v>
      </c>
      <c r="X38" s="20"/>
      <c r="Y38" s="20"/>
      <c r="AA38" s="25">
        <f t="shared" si="43"/>
        <v>2020</v>
      </c>
      <c r="AB38" s="18">
        <v>158052</v>
      </c>
      <c r="AC38" s="18">
        <f>'Exhibit B,2'!AA38-'Exhibit A,2'!BA38</f>
        <v>2002</v>
      </c>
      <c r="AD38" s="18">
        <f>'Exhibit B,2'!AB38-'Exhibit A,2'!BB38</f>
        <v>2002</v>
      </c>
      <c r="AE38" s="18">
        <v>0</v>
      </c>
      <c r="AF38" s="18">
        <v>0</v>
      </c>
      <c r="AG38" s="18">
        <f t="shared" si="40"/>
        <v>2002</v>
      </c>
      <c r="AH38" s="18">
        <v>0</v>
      </c>
      <c r="AI38" s="18">
        <f t="shared" si="41"/>
        <v>2002</v>
      </c>
      <c r="AT38" s="6">
        <f t="shared" si="30"/>
        <v>2020</v>
      </c>
      <c r="AV38" s="69">
        <v>0</v>
      </c>
      <c r="AW38" s="26"/>
      <c r="AY38" s="25">
        <f t="shared" si="44"/>
        <v>2020</v>
      </c>
      <c r="AZ38" s="18"/>
      <c r="BA38" s="18">
        <f t="shared" si="45"/>
        <v>0</v>
      </c>
      <c r="BB38" s="18">
        <f t="shared" si="46"/>
        <v>0</v>
      </c>
      <c r="BC38" s="179">
        <v>0</v>
      </c>
      <c r="BD38" s="179">
        <v>0</v>
      </c>
      <c r="BE38" s="179">
        <f t="shared" si="31"/>
        <v>0</v>
      </c>
      <c r="BF38" s="95"/>
      <c r="BG38" s="95"/>
      <c r="BH38" s="95"/>
    </row>
    <row r="39" spans="1:62">
      <c r="A39" s="6">
        <f t="shared" si="42"/>
        <v>2021</v>
      </c>
      <c r="C39" s="494">
        <f>'Exhibit D,4'!I39</f>
        <v>0</v>
      </c>
      <c r="E39" s="74"/>
      <c r="G39" s="73"/>
      <c r="H39" s="18"/>
      <c r="I39" s="494">
        <f t="shared" si="32"/>
        <v>0</v>
      </c>
      <c r="J39" s="494"/>
      <c r="K39" s="494">
        <f t="shared" si="33"/>
        <v>0</v>
      </c>
      <c r="L39" s="187"/>
      <c r="M39" s="494">
        <f t="shared" si="34"/>
        <v>0</v>
      </c>
      <c r="N39" s="494"/>
      <c r="O39" s="494">
        <f t="shared" si="35"/>
        <v>0</v>
      </c>
      <c r="P39" s="187"/>
      <c r="Q39" s="494">
        <f t="shared" si="36"/>
        <v>0</v>
      </c>
      <c r="R39" s="494"/>
      <c r="S39" s="494">
        <f t="shared" si="37"/>
        <v>0</v>
      </c>
      <c r="T39" s="494"/>
      <c r="U39" s="494">
        <f t="shared" si="38"/>
        <v>0</v>
      </c>
      <c r="V39" s="494"/>
      <c r="W39" s="494">
        <f t="shared" si="39"/>
        <v>0</v>
      </c>
      <c r="X39" s="20"/>
      <c r="Y39" s="20"/>
      <c r="AA39" s="25">
        <f t="shared" si="43"/>
        <v>2021</v>
      </c>
      <c r="AB39" s="18">
        <f>'Exhibit B,2'!Z39</f>
        <v>0</v>
      </c>
      <c r="AC39" s="18">
        <f>'Exhibit B,2'!AA39-'Exhibit A,2'!BA39</f>
        <v>0</v>
      </c>
      <c r="AD39" s="18">
        <f>'Exhibit B,2'!AB39-'Exhibit A,2'!BB39</f>
        <v>0</v>
      </c>
      <c r="AE39" s="18">
        <v>0</v>
      </c>
      <c r="AF39" s="18">
        <v>0</v>
      </c>
      <c r="AG39" s="18">
        <f t="shared" si="40"/>
        <v>0</v>
      </c>
      <c r="AH39" s="18">
        <v>0</v>
      </c>
      <c r="AI39" s="18">
        <f t="shared" si="41"/>
        <v>0</v>
      </c>
      <c r="AT39" s="6">
        <f t="shared" si="30"/>
        <v>2021</v>
      </c>
      <c r="AV39" s="69">
        <v>0</v>
      </c>
      <c r="AY39" s="25">
        <f t="shared" si="44"/>
        <v>2021</v>
      </c>
      <c r="AZ39" s="18"/>
      <c r="BA39" s="18">
        <f t="shared" si="45"/>
        <v>0</v>
      </c>
      <c r="BB39" s="18">
        <f t="shared" si="46"/>
        <v>0</v>
      </c>
      <c r="BC39" s="179">
        <v>0</v>
      </c>
      <c r="BD39" s="179">
        <v>0</v>
      </c>
      <c r="BE39" s="179">
        <f t="shared" si="31"/>
        <v>0</v>
      </c>
      <c r="BF39" s="95"/>
      <c r="BG39" s="95"/>
      <c r="BH39" s="95"/>
      <c r="BI39" s="95"/>
      <c r="BJ39" s="95"/>
    </row>
    <row r="40" spans="1:62">
      <c r="A40" s="6">
        <f t="shared" si="42"/>
        <v>2022</v>
      </c>
      <c r="C40" s="494">
        <f>'Exhibit D,4'!I40</f>
        <v>0</v>
      </c>
      <c r="E40" s="74"/>
      <c r="G40" s="73"/>
      <c r="H40" s="18"/>
      <c r="I40" s="494">
        <f t="shared" ref="I40" si="47">C40*(1-E40)</f>
        <v>0</v>
      </c>
      <c r="J40" s="494"/>
      <c r="K40" s="494">
        <f t="shared" ref="K40" si="48">C40*(1-G40)</f>
        <v>0</v>
      </c>
      <c r="L40" s="187"/>
      <c r="M40" s="494">
        <f t="shared" ref="M40" si="49">AC40</f>
        <v>0</v>
      </c>
      <c r="N40" s="494"/>
      <c r="O40" s="494">
        <f t="shared" ref="O40" si="50">AD40</f>
        <v>0</v>
      </c>
      <c r="P40" s="187"/>
      <c r="Q40" s="494">
        <f t="shared" ref="Q40" si="51">I40+M40</f>
        <v>0</v>
      </c>
      <c r="R40" s="494"/>
      <c r="S40" s="494">
        <f t="shared" ref="S40" si="52">K40+O40</f>
        <v>0</v>
      </c>
      <c r="T40" s="494"/>
      <c r="U40" s="494">
        <f t="shared" ref="U40" si="53">S40</f>
        <v>0</v>
      </c>
      <c r="V40" s="494"/>
      <c r="W40" s="494">
        <f t="shared" ref="W40" si="54">U40-M40</f>
        <v>0</v>
      </c>
      <c r="X40" s="20"/>
      <c r="Y40" s="20"/>
      <c r="AA40" s="25">
        <f t="shared" si="43"/>
        <v>2022</v>
      </c>
      <c r="AB40" s="18"/>
      <c r="AC40" s="18">
        <f>'Exhibit B,2'!AA40-'Exhibit A,2'!BA40</f>
        <v>0</v>
      </c>
      <c r="AD40" s="18">
        <f>'Exhibit B,2'!AB40-'Exhibit A,2'!BB40</f>
        <v>0</v>
      </c>
      <c r="AE40" s="18">
        <v>0</v>
      </c>
      <c r="AF40" s="18">
        <v>0</v>
      </c>
      <c r="AG40" s="18">
        <f t="shared" si="40"/>
        <v>0</v>
      </c>
      <c r="AH40" s="18">
        <v>0</v>
      </c>
      <c r="AI40" s="18">
        <f t="shared" si="41"/>
        <v>0</v>
      </c>
      <c r="AT40" s="6">
        <f t="shared" si="30"/>
        <v>2022</v>
      </c>
      <c r="AV40" s="137"/>
      <c r="AY40" s="25">
        <f t="shared" si="44"/>
        <v>2022</v>
      </c>
      <c r="AZ40" s="18"/>
      <c r="BA40" s="18">
        <f t="shared" si="45"/>
        <v>0</v>
      </c>
      <c r="BB40" s="18">
        <f t="shared" si="46"/>
        <v>0</v>
      </c>
      <c r="BC40" s="179">
        <v>0</v>
      </c>
      <c r="BD40" s="179">
        <v>0</v>
      </c>
      <c r="BE40" s="179">
        <f t="shared" si="31"/>
        <v>0</v>
      </c>
      <c r="BF40" s="95"/>
      <c r="BG40" s="95"/>
      <c r="BH40" s="95"/>
      <c r="BI40" s="95"/>
      <c r="BJ40" s="95"/>
    </row>
    <row r="41" spans="1:62" ht="12.75" customHeight="1">
      <c r="A41" s="6"/>
      <c r="C41" s="63"/>
      <c r="I41" s="63"/>
      <c r="J41" s="63"/>
      <c r="K41" s="63"/>
      <c r="M41" s="63"/>
      <c r="O41" s="63"/>
      <c r="Q41" s="63"/>
      <c r="S41" s="63"/>
      <c r="U41" s="63"/>
      <c r="W41" s="63"/>
      <c r="AA41" s="25"/>
      <c r="AB41" s="70"/>
      <c r="AC41" s="70"/>
      <c r="AD41" s="70"/>
      <c r="AE41" s="70"/>
      <c r="AF41" s="70"/>
      <c r="AG41" s="70"/>
      <c r="AH41" s="70"/>
      <c r="AI41" s="70"/>
      <c r="AJ41" s="61"/>
      <c r="AT41" s="6"/>
      <c r="AV41" s="70"/>
      <c r="AW41" s="70"/>
      <c r="AY41" s="25"/>
      <c r="AZ41" s="70"/>
      <c r="BA41" s="70"/>
      <c r="BB41" s="70"/>
      <c r="BC41" s="70"/>
      <c r="BD41" s="70"/>
      <c r="BE41" s="70"/>
      <c r="BF41" s="95"/>
      <c r="BG41" s="95"/>
      <c r="BH41" s="95"/>
      <c r="BI41" s="95"/>
      <c r="BJ41" s="95"/>
    </row>
    <row r="42" spans="1:62">
      <c r="A42" s="2" t="s">
        <v>0</v>
      </c>
      <c r="C42" s="147">
        <f>SUM(C31:C41)</f>
        <v>0</v>
      </c>
      <c r="D42" s="26"/>
      <c r="I42" s="147">
        <f>SUM(I31:I41)</f>
        <v>0</v>
      </c>
      <c r="J42" s="147"/>
      <c r="K42" s="147">
        <f>SUM(K31:K41)</f>
        <v>0</v>
      </c>
      <c r="L42" s="147"/>
      <c r="M42" s="147">
        <f>SUM(M31:M41)</f>
        <v>293482.62</v>
      </c>
      <c r="N42" s="147"/>
      <c r="O42" s="147">
        <f>SUM(O31:O41)</f>
        <v>293482.62</v>
      </c>
      <c r="P42" s="147"/>
      <c r="Q42" s="147">
        <f>SUM(Q31:Q41)</f>
        <v>293482.62</v>
      </c>
      <c r="R42" s="147"/>
      <c r="S42" s="147">
        <f>SUM(S31:S41)</f>
        <v>293482.62</v>
      </c>
      <c r="T42" s="147"/>
      <c r="U42" s="147">
        <f>SUM(U31:U41)</f>
        <v>293482.62</v>
      </c>
      <c r="V42" s="147"/>
      <c r="W42" s="147">
        <f>SUM(W31:W41)</f>
        <v>0</v>
      </c>
      <c r="X42" s="26"/>
      <c r="Y42" s="26"/>
      <c r="AA42" s="97" t="s">
        <v>0</v>
      </c>
      <c r="AB42" s="68">
        <f t="shared" ref="AB42:AG42" si="55">SUM(AB31:AB41)</f>
        <v>1589143.6199999999</v>
      </c>
      <c r="AC42" s="68">
        <f t="shared" si="55"/>
        <v>293482.62</v>
      </c>
      <c r="AD42" s="68">
        <f t="shared" si="55"/>
        <v>293482.62</v>
      </c>
      <c r="AE42" s="68">
        <f t="shared" si="55"/>
        <v>0</v>
      </c>
      <c r="AF42" s="68">
        <f t="shared" si="55"/>
        <v>0</v>
      </c>
      <c r="AG42" s="68">
        <f t="shared" si="55"/>
        <v>293482.62</v>
      </c>
      <c r="AH42" s="68">
        <f t="shared" ref="AH42:AI42" si="56">SUM(AH31:AH41)</f>
        <v>0</v>
      </c>
      <c r="AI42" s="68">
        <f t="shared" si="56"/>
        <v>293482.62</v>
      </c>
      <c r="AJ42" s="68"/>
      <c r="AT42" s="2" t="s">
        <v>0</v>
      </c>
      <c r="AV42" s="68">
        <v>794328.36205409595</v>
      </c>
      <c r="AW42" s="68"/>
      <c r="AY42" s="97" t="s">
        <v>0</v>
      </c>
      <c r="AZ42" s="68">
        <f t="shared" ref="AZ42:BE42" si="57">SUM(AZ31:AZ41)</f>
        <v>0</v>
      </c>
      <c r="BA42" s="68">
        <f t="shared" si="57"/>
        <v>0</v>
      </c>
      <c r="BB42" s="68">
        <f t="shared" si="57"/>
        <v>0</v>
      </c>
      <c r="BC42" s="68">
        <f t="shared" si="57"/>
        <v>0</v>
      </c>
      <c r="BD42" s="68">
        <f t="shared" si="57"/>
        <v>0</v>
      </c>
      <c r="BE42" s="68">
        <f t="shared" si="57"/>
        <v>0</v>
      </c>
      <c r="BF42" s="95"/>
      <c r="BG42" s="95"/>
      <c r="BH42" s="95"/>
      <c r="BI42" s="95"/>
      <c r="BJ42" s="95"/>
    </row>
    <row r="43" spans="1:62">
      <c r="A43" s="6"/>
      <c r="H43" s="26"/>
      <c r="M43" s="26"/>
      <c r="AA43" s="25"/>
      <c r="AH43" s="61"/>
      <c r="AT43" s="2"/>
      <c r="AV43" s="68"/>
      <c r="BD43" s="25"/>
      <c r="BF43" s="95"/>
      <c r="BG43" s="95"/>
      <c r="BH43" s="95"/>
      <c r="BI43" s="95"/>
      <c r="BJ43" s="95"/>
    </row>
    <row r="44" spans="1:62">
      <c r="A44" s="3" t="s">
        <v>296</v>
      </c>
      <c r="AA44" s="115" t="s">
        <v>296</v>
      </c>
      <c r="AC44" s="18">
        <v>0</v>
      </c>
      <c r="AD44" s="18"/>
      <c r="AE44" s="18"/>
      <c r="AF44" s="18"/>
      <c r="AG44" s="18"/>
      <c r="AH44" s="18"/>
      <c r="AI44" s="18"/>
      <c r="AT44" s="3" t="s">
        <v>296</v>
      </c>
      <c r="AV44" s="61"/>
      <c r="AY44" s="115" t="s">
        <v>296</v>
      </c>
      <c r="BA44" s="18"/>
      <c r="BB44" s="18"/>
      <c r="BC44" s="18"/>
      <c r="BD44" s="18"/>
      <c r="BE44" s="18"/>
      <c r="BF44" s="18"/>
      <c r="BG44" s="18"/>
      <c r="BH44" s="95"/>
      <c r="BI44" s="95"/>
      <c r="BJ44" s="95"/>
    </row>
    <row r="45" spans="1:62">
      <c r="A45" s="6">
        <f>A31</f>
        <v>2013</v>
      </c>
      <c r="C45" s="497">
        <f>'Exhibit B,2'!C45</f>
        <v>0</v>
      </c>
      <c r="E45" s="74"/>
      <c r="G45" s="74"/>
      <c r="H45" s="26"/>
      <c r="I45" s="147">
        <f>'Exhibit B,2'!I45</f>
        <v>0</v>
      </c>
      <c r="J45" s="497"/>
      <c r="K45" s="147">
        <f>'Exhibit B,2'!K45</f>
        <v>0</v>
      </c>
      <c r="L45" s="147"/>
      <c r="M45" s="147">
        <f>AC45</f>
        <v>0</v>
      </c>
      <c r="N45" s="147"/>
      <c r="O45" s="147">
        <f>AD45</f>
        <v>0</v>
      </c>
      <c r="P45" s="497"/>
      <c r="Q45" s="147">
        <f>'Exhibit B,2'!Q45</f>
        <v>0</v>
      </c>
      <c r="R45" s="147"/>
      <c r="S45" s="147">
        <f>'Exhibit B,2'!S45</f>
        <v>0</v>
      </c>
      <c r="T45" s="147"/>
      <c r="U45" s="495">
        <f>'Exhibit B,2'!U45</f>
        <v>0</v>
      </c>
      <c r="V45" s="147"/>
      <c r="W45" s="147">
        <f>'Exhibit B,2'!W45</f>
        <v>0</v>
      </c>
      <c r="X45" s="26"/>
      <c r="Y45" s="26"/>
      <c r="AA45" s="25">
        <f>AA31</f>
        <v>2013</v>
      </c>
      <c r="AC45" s="18">
        <v>0</v>
      </c>
      <c r="AD45" s="18">
        <v>0</v>
      </c>
      <c r="AE45" s="18">
        <v>0</v>
      </c>
      <c r="AF45" s="18">
        <v>0</v>
      </c>
      <c r="AG45" s="18">
        <f t="shared" ref="AG45:AG54" si="58">AD45-AF45</f>
        <v>0</v>
      </c>
      <c r="AH45" s="18">
        <v>0</v>
      </c>
      <c r="AI45" s="18">
        <f t="shared" ref="AI45:AI54" si="59">U45-AH45</f>
        <v>0</v>
      </c>
      <c r="AT45" s="6">
        <f t="shared" ref="AT45:AT54" si="60">AT31</f>
        <v>2013</v>
      </c>
      <c r="AV45" s="68">
        <v>0</v>
      </c>
      <c r="AW45" s="26">
        <f>U45-AV45</f>
        <v>0</v>
      </c>
      <c r="AY45" s="25">
        <f>AY31</f>
        <v>2013</v>
      </c>
      <c r="BA45" s="18"/>
      <c r="BB45" s="18"/>
      <c r="BC45" s="18"/>
      <c r="BD45" s="18"/>
      <c r="BE45" s="18"/>
      <c r="BF45" s="18"/>
      <c r="BG45" s="18"/>
      <c r="BH45" s="95"/>
      <c r="BI45" s="95"/>
      <c r="BJ45" s="95"/>
    </row>
    <row r="46" spans="1:62">
      <c r="A46" s="6">
        <f>A45+1</f>
        <v>2014</v>
      </c>
      <c r="C46" s="20">
        <f>'Exhibit B,2'!C46</f>
        <v>102634.88637024759</v>
      </c>
      <c r="E46" s="74"/>
      <c r="G46" s="74"/>
      <c r="H46" s="18"/>
      <c r="I46" s="494">
        <f>'Exhibit B,2'!I46</f>
        <v>1369.0189049374167</v>
      </c>
      <c r="J46" s="494"/>
      <c r="K46" s="494">
        <f>'Exhibit B,2'!K46</f>
        <v>0</v>
      </c>
      <c r="L46" s="187"/>
      <c r="M46" s="17">
        <f t="shared" ref="M46:M53" si="61">AC46</f>
        <v>0</v>
      </c>
      <c r="N46" s="17"/>
      <c r="O46" s="17">
        <f t="shared" ref="O46:O53" si="62">AD46</f>
        <v>0</v>
      </c>
      <c r="P46" s="494"/>
      <c r="Q46" s="494">
        <f>'Exhibit B,2'!Q46</f>
        <v>78969.838904937424</v>
      </c>
      <c r="R46" s="187"/>
      <c r="S46" s="494">
        <f>'Exhibit B,2'!S46</f>
        <v>77600.820000000007</v>
      </c>
      <c r="T46" s="494"/>
      <c r="U46" s="494">
        <f>'Exhibit B,2'!U46</f>
        <v>77600.820000000007</v>
      </c>
      <c r="V46" s="187"/>
      <c r="W46" s="494">
        <f>'Exhibit B,2'!W46</f>
        <v>0</v>
      </c>
      <c r="X46" s="20"/>
      <c r="Y46" s="20"/>
      <c r="AA46" s="25">
        <f>AA45+1</f>
        <v>2014</v>
      </c>
      <c r="AC46" s="18">
        <v>0</v>
      </c>
      <c r="AD46" s="18">
        <v>0</v>
      </c>
      <c r="AE46" s="18">
        <v>77600.820000000007</v>
      </c>
      <c r="AF46" s="18">
        <v>77600.820000000007</v>
      </c>
      <c r="AG46" s="18">
        <f t="shared" si="58"/>
        <v>-77600.820000000007</v>
      </c>
      <c r="AH46" s="18">
        <v>77600.820000000007</v>
      </c>
      <c r="AI46" s="18">
        <f t="shared" si="59"/>
        <v>0</v>
      </c>
      <c r="AT46" s="6">
        <f t="shared" si="60"/>
        <v>2014</v>
      </c>
      <c r="AV46" s="69">
        <v>77600.820000000007</v>
      </c>
      <c r="AW46" s="20">
        <f t="shared" ref="AW46:AW52" si="63">U46-AV46</f>
        <v>0</v>
      </c>
      <c r="AY46" s="25">
        <f>AY45+1</f>
        <v>2014</v>
      </c>
      <c r="BA46" s="18"/>
      <c r="BB46" s="18"/>
      <c r="BC46" s="18"/>
      <c r="BD46" s="18"/>
      <c r="BE46" s="18"/>
      <c r="BF46" s="18"/>
      <c r="BG46" s="18"/>
      <c r="BH46" s="95"/>
      <c r="BI46" s="95"/>
      <c r="BJ46" s="95"/>
    </row>
    <row r="47" spans="1:62">
      <c r="A47" s="6">
        <f t="shared" ref="A47:A54" si="64">A46+1</f>
        <v>2015</v>
      </c>
      <c r="C47" s="20">
        <f>'Exhibit B,2'!C47</f>
        <v>66596.418565150016</v>
      </c>
      <c r="E47" s="74"/>
      <c r="G47" s="74"/>
      <c r="H47" s="18"/>
      <c r="I47" s="494">
        <f>'Exhibit B,2'!I47</f>
        <v>1513.6787073698079</v>
      </c>
      <c r="J47" s="494"/>
      <c r="K47" s="494">
        <f>'Exhibit B,2'!K47</f>
        <v>37.776433798301198</v>
      </c>
      <c r="L47" s="187"/>
      <c r="M47" s="17">
        <f t="shared" si="61"/>
        <v>0</v>
      </c>
      <c r="N47" s="17"/>
      <c r="O47" s="17">
        <f t="shared" si="62"/>
        <v>0</v>
      </c>
      <c r="P47" s="494"/>
      <c r="Q47" s="494">
        <f>'Exhibit B,2'!Q47</f>
        <v>23433.288707369808</v>
      </c>
      <c r="R47" s="187"/>
      <c r="S47" s="494">
        <f>'Exhibit B,2'!S47</f>
        <v>21957.386433798303</v>
      </c>
      <c r="T47" s="494"/>
      <c r="U47" s="494">
        <f>'Exhibit B,2'!U47</f>
        <v>21957.386433798303</v>
      </c>
      <c r="V47" s="187"/>
      <c r="W47" s="494">
        <f>'Exhibit B,2'!W47</f>
        <v>37.776433798302605</v>
      </c>
      <c r="X47" s="20"/>
      <c r="Y47" s="20"/>
      <c r="AA47" s="25">
        <f t="shared" ref="AA47:AA54" si="65">AA46+1</f>
        <v>2015</v>
      </c>
      <c r="AC47" s="18">
        <v>0</v>
      </c>
      <c r="AD47" s="18">
        <v>0</v>
      </c>
      <c r="AE47" s="18">
        <v>21919.61</v>
      </c>
      <c r="AF47" s="18">
        <v>21919.61</v>
      </c>
      <c r="AG47" s="18">
        <f t="shared" si="58"/>
        <v>-21919.61</v>
      </c>
      <c r="AH47" s="18">
        <v>21919.61</v>
      </c>
      <c r="AI47" s="18">
        <f t="shared" si="59"/>
        <v>37.776433798302605</v>
      </c>
      <c r="AT47" s="6">
        <f t="shared" si="60"/>
        <v>2015</v>
      </c>
      <c r="AV47" s="69">
        <v>21919.61</v>
      </c>
      <c r="AW47" s="20">
        <f t="shared" si="63"/>
        <v>37.776433798302605</v>
      </c>
      <c r="AY47" s="25">
        <f t="shared" ref="AY47:AY54" si="66">AY46+1</f>
        <v>2015</v>
      </c>
      <c r="BA47" s="18"/>
      <c r="BB47" s="18"/>
      <c r="BC47" s="18"/>
      <c r="BD47" s="18"/>
      <c r="BE47" s="18"/>
      <c r="BF47" s="18"/>
      <c r="BG47" s="18"/>
      <c r="BH47" s="95"/>
      <c r="BI47" s="95"/>
      <c r="BJ47" s="95"/>
    </row>
    <row r="48" spans="1:62">
      <c r="A48" s="6">
        <f t="shared" si="64"/>
        <v>2016</v>
      </c>
      <c r="C48" s="20">
        <f>'Exhibit B,2'!C48</f>
        <v>75336.362938304868</v>
      </c>
      <c r="E48" s="74"/>
      <c r="G48" s="74"/>
      <c r="H48" s="18"/>
      <c r="I48" s="494">
        <f>'Exhibit B,2'!I48</f>
        <v>4053.0837077823307</v>
      </c>
      <c r="J48" s="494"/>
      <c r="K48" s="494">
        <f>'Exhibit B,2'!K48</f>
        <v>374.45736391160204</v>
      </c>
      <c r="L48" s="187"/>
      <c r="M48" s="17">
        <f t="shared" si="61"/>
        <v>0</v>
      </c>
      <c r="N48" s="17"/>
      <c r="O48" s="17">
        <f t="shared" si="62"/>
        <v>0</v>
      </c>
      <c r="P48" s="494"/>
      <c r="Q48" s="494">
        <f>'Exhibit B,2'!Q48</f>
        <v>20201.633707782334</v>
      </c>
      <c r="R48" s="187"/>
      <c r="S48" s="494">
        <f>'Exhibit B,2'!S48</f>
        <v>16523.007363911602</v>
      </c>
      <c r="T48" s="494"/>
      <c r="U48" s="494">
        <f>'Exhibit B,2'!U48</f>
        <v>16523.007363911602</v>
      </c>
      <c r="V48" s="187"/>
      <c r="W48" s="494">
        <f>'Exhibit B,2'!W48</f>
        <v>374.45736391160062</v>
      </c>
      <c r="X48" s="20"/>
      <c r="Y48" s="20"/>
      <c r="AA48" s="25">
        <f t="shared" si="65"/>
        <v>2016</v>
      </c>
      <c r="AC48" s="18">
        <v>0</v>
      </c>
      <c r="AD48" s="18">
        <v>0</v>
      </c>
      <c r="AE48" s="18">
        <v>16148.550000000001</v>
      </c>
      <c r="AF48" s="18">
        <v>16148.550000000001</v>
      </c>
      <c r="AG48" s="18">
        <f t="shared" si="58"/>
        <v>-16148.550000000001</v>
      </c>
      <c r="AH48" s="18">
        <v>16148.550000000001</v>
      </c>
      <c r="AI48" s="18">
        <f t="shared" si="59"/>
        <v>374.45736391160062</v>
      </c>
      <c r="AT48" s="6">
        <f t="shared" si="60"/>
        <v>2016</v>
      </c>
      <c r="AV48" s="69">
        <v>16148.550000000001</v>
      </c>
      <c r="AW48" s="20">
        <f t="shared" si="63"/>
        <v>374.45736391160062</v>
      </c>
      <c r="AY48" s="25">
        <f t="shared" si="66"/>
        <v>2016</v>
      </c>
      <c r="BA48" s="18"/>
      <c r="BB48" s="18"/>
      <c r="BC48" s="18"/>
      <c r="BD48" s="18"/>
      <c r="BE48" s="18"/>
      <c r="BF48" s="18"/>
      <c r="BG48" s="18"/>
      <c r="BH48" s="95"/>
      <c r="BI48" s="95"/>
      <c r="BJ48" s="95"/>
    </row>
    <row r="49" spans="1:62">
      <c r="A49" s="6">
        <f t="shared" si="64"/>
        <v>2017</v>
      </c>
      <c r="C49" s="20">
        <f>'Exhibit B,2'!C49</f>
        <v>52538.39508894975</v>
      </c>
      <c r="E49" s="74"/>
      <c r="G49" s="74"/>
      <c r="H49" s="18"/>
      <c r="I49" s="494">
        <f>'Exhibit B,2'!I49</f>
        <v>6895.7340814413947</v>
      </c>
      <c r="J49" s="494"/>
      <c r="K49" s="494">
        <f>'Exhibit B,2'!K49</f>
        <v>961.75163976819545</v>
      </c>
      <c r="L49" s="187"/>
      <c r="M49" s="17">
        <f t="shared" si="61"/>
        <v>0</v>
      </c>
      <c r="N49" s="17"/>
      <c r="O49" s="17">
        <f t="shared" si="62"/>
        <v>0</v>
      </c>
      <c r="P49" s="494"/>
      <c r="Q49" s="494">
        <f>'Exhibit B,2'!Q49</f>
        <v>28316.494081441397</v>
      </c>
      <c r="R49" s="187"/>
      <c r="S49" s="494">
        <f>'Exhibit B,2'!S49</f>
        <v>22382.511639768196</v>
      </c>
      <c r="T49" s="494"/>
      <c r="U49" s="494">
        <f>'Exhibit B,2'!U49</f>
        <v>22382.511639768196</v>
      </c>
      <c r="V49" s="187"/>
      <c r="W49" s="494">
        <f>'Exhibit B,2'!W49</f>
        <v>961.75163976819385</v>
      </c>
      <c r="X49" s="20"/>
      <c r="Y49" s="20"/>
      <c r="AA49" s="25">
        <f t="shared" si="65"/>
        <v>2017</v>
      </c>
      <c r="AC49" s="18">
        <v>0</v>
      </c>
      <c r="AD49" s="18">
        <v>0</v>
      </c>
      <c r="AE49" s="18">
        <v>21420.760000000002</v>
      </c>
      <c r="AF49" s="18">
        <v>21420.760000000002</v>
      </c>
      <c r="AG49" s="18">
        <f t="shared" si="58"/>
        <v>-21420.760000000002</v>
      </c>
      <c r="AH49" s="18">
        <v>21420.760000000002</v>
      </c>
      <c r="AI49" s="18">
        <f t="shared" si="59"/>
        <v>961.75163976819385</v>
      </c>
      <c r="AT49" s="6">
        <f t="shared" si="60"/>
        <v>2017</v>
      </c>
      <c r="AV49" s="69">
        <v>21420.760000000002</v>
      </c>
      <c r="AW49" s="20">
        <f t="shared" si="63"/>
        <v>961.75163976819385</v>
      </c>
      <c r="AY49" s="25">
        <f t="shared" si="66"/>
        <v>2017</v>
      </c>
      <c r="BA49" s="18"/>
      <c r="BB49" s="18"/>
      <c r="BC49" s="18"/>
      <c r="BD49" s="18"/>
      <c r="BE49" s="18"/>
      <c r="BF49" s="18"/>
      <c r="BG49" s="18"/>
      <c r="BH49" s="95"/>
      <c r="BI49" s="95"/>
      <c r="BJ49" s="95"/>
    </row>
    <row r="50" spans="1:62">
      <c r="A50" s="6">
        <f t="shared" si="64"/>
        <v>2018</v>
      </c>
      <c r="C50" s="20">
        <f>'Exhibit B,2'!C50</f>
        <v>12854.213117181027</v>
      </c>
      <c r="E50" s="74"/>
      <c r="G50" s="74"/>
      <c r="H50" s="18"/>
      <c r="I50" s="494">
        <f>'Exhibit B,2'!I50</f>
        <v>3322.2346373248643</v>
      </c>
      <c r="J50" s="494"/>
      <c r="K50" s="494">
        <f>'Exhibit B,2'!K50</f>
        <v>570.6729269205706</v>
      </c>
      <c r="L50" s="187"/>
      <c r="M50" s="17">
        <f t="shared" si="61"/>
        <v>0</v>
      </c>
      <c r="N50" s="17"/>
      <c r="O50" s="17">
        <f t="shared" si="62"/>
        <v>0</v>
      </c>
      <c r="P50" s="494"/>
      <c r="Q50" s="494">
        <f>'Exhibit B,2'!Q50</f>
        <v>11523.174637324864</v>
      </c>
      <c r="R50" s="187"/>
      <c r="S50" s="494">
        <f>'Exhibit B,2'!S50</f>
        <v>8771.6129269205703</v>
      </c>
      <c r="T50" s="494"/>
      <c r="U50" s="494">
        <f>'Exhibit B,2'!U50</f>
        <v>8771.6129269205703</v>
      </c>
      <c r="V50" s="187"/>
      <c r="W50" s="494">
        <f>'Exhibit B,2'!W50</f>
        <v>570.67292692056981</v>
      </c>
      <c r="X50" s="20"/>
      <c r="Y50" s="20"/>
      <c r="AA50" s="25">
        <f t="shared" si="65"/>
        <v>2018</v>
      </c>
      <c r="AC50" s="18">
        <v>0</v>
      </c>
      <c r="AD50" s="18">
        <v>0</v>
      </c>
      <c r="AE50" s="18">
        <v>8200.94</v>
      </c>
      <c r="AF50" s="18">
        <v>8200.94</v>
      </c>
      <c r="AG50" s="18">
        <f t="shared" si="58"/>
        <v>-8200.94</v>
      </c>
      <c r="AH50" s="18">
        <v>8200.94</v>
      </c>
      <c r="AI50" s="18">
        <f t="shared" si="59"/>
        <v>570.67292692056981</v>
      </c>
      <c r="AT50" s="6">
        <f t="shared" si="60"/>
        <v>2018</v>
      </c>
      <c r="AV50" s="69">
        <v>8200.94</v>
      </c>
      <c r="AW50" s="20">
        <f t="shared" si="63"/>
        <v>570.67292692056981</v>
      </c>
      <c r="AY50" s="25">
        <f t="shared" si="66"/>
        <v>2018</v>
      </c>
      <c r="BA50" s="18"/>
      <c r="BB50" s="18"/>
      <c r="BC50" s="18"/>
      <c r="BD50" s="18"/>
      <c r="BE50" s="18"/>
      <c r="BF50" s="18"/>
      <c r="BG50" s="18"/>
      <c r="BH50" s="95"/>
      <c r="BI50" s="95"/>
      <c r="BJ50" s="95"/>
    </row>
    <row r="51" spans="1:62">
      <c r="A51" s="6">
        <f t="shared" si="64"/>
        <v>2019</v>
      </c>
      <c r="C51" s="20">
        <f>'Exhibit B,2'!C51</f>
        <v>106700.7812348609</v>
      </c>
      <c r="E51" s="74"/>
      <c r="G51" s="74"/>
      <c r="H51" s="18"/>
      <c r="I51" s="494">
        <f>'Exhibit B,2'!I51</f>
        <v>45810.692021466901</v>
      </c>
      <c r="J51" s="494"/>
      <c r="K51" s="494">
        <f>'Exhibit B,2'!K51</f>
        <v>10176.371874262561</v>
      </c>
      <c r="L51" s="187"/>
      <c r="M51" s="17">
        <f t="shared" si="61"/>
        <v>71.25</v>
      </c>
      <c r="N51" s="17"/>
      <c r="O51" s="17">
        <f t="shared" si="62"/>
        <v>6324.9100000000035</v>
      </c>
      <c r="P51" s="494"/>
      <c r="Q51" s="494">
        <f>'Exhibit B,2'!Q51</f>
        <v>152191.80202146689</v>
      </c>
      <c r="R51" s="187"/>
      <c r="S51" s="494">
        <f>'Exhibit B,2'!S51</f>
        <v>123140.28187426257</v>
      </c>
      <c r="T51" s="494"/>
      <c r="U51" s="494">
        <f>'Exhibit B,2'!U51</f>
        <v>123140.28187426257</v>
      </c>
      <c r="V51" s="187"/>
      <c r="W51" s="494">
        <f>'Exhibit B,2'!W51</f>
        <v>16759.171874262567</v>
      </c>
      <c r="X51" s="20"/>
      <c r="Y51" s="20"/>
      <c r="AA51" s="25">
        <f t="shared" si="65"/>
        <v>2019</v>
      </c>
      <c r="AC51" s="18">
        <v>71.25</v>
      </c>
      <c r="AD51" s="18">
        <v>6324.9100000000035</v>
      </c>
      <c r="AE51" s="18">
        <v>106306.11</v>
      </c>
      <c r="AF51" s="18">
        <v>121995.91</v>
      </c>
      <c r="AG51" s="18">
        <f t="shared" si="58"/>
        <v>-115671</v>
      </c>
      <c r="AH51" s="18">
        <v>121995.91</v>
      </c>
      <c r="AI51" s="18">
        <f t="shared" si="59"/>
        <v>1144.3718742625642</v>
      </c>
      <c r="AT51" s="6">
        <f t="shared" si="60"/>
        <v>2019</v>
      </c>
      <c r="AV51" s="69">
        <v>121995.91</v>
      </c>
      <c r="AW51" s="20">
        <f t="shared" si="63"/>
        <v>1144.3718742625642</v>
      </c>
      <c r="AY51" s="25">
        <f t="shared" si="66"/>
        <v>2019</v>
      </c>
      <c r="BA51" s="18"/>
      <c r="BB51" s="18"/>
      <c r="BC51" s="18"/>
      <c r="BD51" s="18"/>
      <c r="BE51" s="18"/>
      <c r="BF51" s="18"/>
      <c r="BG51" s="18"/>
      <c r="BH51" s="95"/>
      <c r="BI51" s="95"/>
      <c r="BJ51" s="95"/>
    </row>
    <row r="52" spans="1:62">
      <c r="A52" s="6">
        <f t="shared" si="64"/>
        <v>2020</v>
      </c>
      <c r="C52" s="20">
        <f>'Exhibit B,2'!C52</f>
        <v>50892.156391554454</v>
      </c>
      <c r="E52" s="74"/>
      <c r="G52" s="74"/>
      <c r="H52" s="18"/>
      <c r="I52" s="494">
        <f>'Exhibit B,2'!I52</f>
        <v>31602.625993708683</v>
      </c>
      <c r="J52" s="494"/>
      <c r="K52" s="494">
        <f>'Exhibit B,2'!K52</f>
        <v>10197.905119444955</v>
      </c>
      <c r="L52" s="187"/>
      <c r="M52" s="17">
        <f t="shared" si="61"/>
        <v>-3966.25</v>
      </c>
      <c r="N52" s="17"/>
      <c r="O52" s="17">
        <f t="shared" si="62"/>
        <v>29478.5</v>
      </c>
      <c r="P52" s="494"/>
      <c r="Q52" s="494">
        <f>'Exhibit B,2'!Q52</f>
        <v>242151.82599370868</v>
      </c>
      <c r="R52" s="187"/>
      <c r="S52" s="494">
        <f>'Exhibit B,2'!S52</f>
        <v>255952.10511944495</v>
      </c>
      <c r="T52" s="494"/>
      <c r="U52" s="494">
        <f>'Exhibit B,2'!U52</f>
        <v>255952.10511944495</v>
      </c>
      <c r="V52" s="187"/>
      <c r="W52" s="494">
        <f>'Exhibit B,2'!W52</f>
        <v>45402.905119444942</v>
      </c>
      <c r="X52" s="20"/>
      <c r="Y52" s="20"/>
      <c r="AA52" s="25">
        <f t="shared" si="65"/>
        <v>2020</v>
      </c>
      <c r="AC52" s="18">
        <v>-3966.25</v>
      </c>
      <c r="AD52" s="18">
        <v>29478.5</v>
      </c>
      <c r="AE52" s="18">
        <v>214724.2</v>
      </c>
      <c r="AF52" s="18">
        <v>249929.2</v>
      </c>
      <c r="AG52" s="18">
        <f t="shared" si="58"/>
        <v>-220450.7</v>
      </c>
      <c r="AH52" s="18">
        <v>249929.2</v>
      </c>
      <c r="AI52" s="18">
        <f t="shared" si="59"/>
        <v>6022.9051194449421</v>
      </c>
      <c r="AT52" s="6">
        <f t="shared" si="60"/>
        <v>2020</v>
      </c>
      <c r="AV52" s="69">
        <v>249929.2</v>
      </c>
      <c r="AW52" s="20">
        <f t="shared" si="63"/>
        <v>6022.9051194449421</v>
      </c>
      <c r="AY52" s="25">
        <f t="shared" si="66"/>
        <v>2020</v>
      </c>
      <c r="BA52" s="18"/>
      <c r="BB52" s="18"/>
      <c r="BC52" s="18"/>
      <c r="BD52" s="18"/>
      <c r="BE52" s="18"/>
      <c r="BF52" s="18"/>
      <c r="BG52" s="18"/>
    </row>
    <row r="53" spans="1:62">
      <c r="A53" s="6">
        <f t="shared" si="64"/>
        <v>2021</v>
      </c>
      <c r="C53" s="20">
        <f>'Exhibit B,2'!C53</f>
        <v>131668.96305200382</v>
      </c>
      <c r="E53" s="74"/>
      <c r="G53" s="74"/>
      <c r="H53" s="18"/>
      <c r="I53" s="494">
        <f>'Exhibit B,2'!I53</f>
        <v>103799.75512307158</v>
      </c>
      <c r="J53" s="494"/>
      <c r="K53" s="494">
        <f>'Exhibit B,2'!K53</f>
        <v>54190.30878149021</v>
      </c>
      <c r="L53" s="187"/>
      <c r="M53" s="17">
        <f t="shared" si="61"/>
        <v>4843.1000000000004</v>
      </c>
      <c r="N53" s="17"/>
      <c r="O53" s="17">
        <f t="shared" si="62"/>
        <v>4843.1000000000004</v>
      </c>
      <c r="P53" s="494"/>
      <c r="Q53" s="494">
        <f>'Exhibit B,2'!Q53</f>
        <v>112142.75512307158</v>
      </c>
      <c r="R53" s="187"/>
      <c r="S53" s="494">
        <f>'Exhibit B,2'!S53</f>
        <v>62533.30878149021</v>
      </c>
      <c r="T53" s="494"/>
      <c r="U53" s="494">
        <f>'Exhibit B,2'!U53</f>
        <v>62533.30878149021</v>
      </c>
      <c r="V53" s="187"/>
      <c r="W53" s="494">
        <f>'Exhibit B,2'!W53</f>
        <v>54190.30878149021</v>
      </c>
      <c r="X53" s="20"/>
      <c r="Y53" s="20"/>
      <c r="AA53" s="25">
        <f t="shared" si="65"/>
        <v>2021</v>
      </c>
      <c r="AC53" s="18">
        <v>4843.1000000000004</v>
      </c>
      <c r="AD53" s="18">
        <v>4843.1000000000004</v>
      </c>
      <c r="AE53" s="18">
        <v>3245</v>
      </c>
      <c r="AF53" s="18">
        <v>16920</v>
      </c>
      <c r="AG53" s="18">
        <f t="shared" si="58"/>
        <v>-12076.9</v>
      </c>
      <c r="AH53" s="18">
        <v>16920</v>
      </c>
      <c r="AI53" s="18">
        <f t="shared" si="59"/>
        <v>45613.30878149021</v>
      </c>
      <c r="AT53" s="6">
        <f t="shared" si="60"/>
        <v>2021</v>
      </c>
      <c r="AV53" s="69">
        <v>16920</v>
      </c>
      <c r="AY53" s="25">
        <f t="shared" si="66"/>
        <v>2021</v>
      </c>
      <c r="BA53" s="18"/>
      <c r="BB53" s="18"/>
      <c r="BC53" s="18"/>
      <c r="BD53" s="18"/>
      <c r="BE53" s="18"/>
      <c r="BF53" s="18"/>
      <c r="BG53" s="18"/>
      <c r="BH53" s="68"/>
      <c r="BI53" s="68"/>
      <c r="BJ53" s="68"/>
    </row>
    <row r="54" spans="1:62">
      <c r="A54" s="6">
        <f t="shared" si="64"/>
        <v>2022</v>
      </c>
      <c r="C54" s="20">
        <f>'Exhibit B,2'!C54</f>
        <v>94261.914568847787</v>
      </c>
      <c r="E54" s="74"/>
      <c r="G54" s="74"/>
      <c r="H54" s="18"/>
      <c r="I54" s="494">
        <f>'Exhibit B,2'!I54</f>
        <v>86747.78646588602</v>
      </c>
      <c r="J54" s="494"/>
      <c r="K54" s="494">
        <f>'Exhibit B,2'!K54</f>
        <v>65262.188298020905</v>
      </c>
      <c r="L54" s="187"/>
      <c r="M54" s="17">
        <f t="shared" ref="M54" si="67">AC54</f>
        <v>0</v>
      </c>
      <c r="N54" s="17"/>
      <c r="O54" s="17">
        <f t="shared" ref="O54" si="68">AD54</f>
        <v>0</v>
      </c>
      <c r="P54" s="494"/>
      <c r="Q54" s="494">
        <f>'Exhibit B,2'!Q54</f>
        <v>86747.78646588602</v>
      </c>
      <c r="R54" s="187"/>
      <c r="S54" s="494">
        <f>'Exhibit B,2'!S54</f>
        <v>65262.188298020905</v>
      </c>
      <c r="T54" s="494"/>
      <c r="U54" s="494">
        <f>'Exhibit B,2'!U54</f>
        <v>65262.188298020905</v>
      </c>
      <c r="V54" s="187"/>
      <c r="W54" s="494">
        <f>'Exhibit B,2'!W54</f>
        <v>65262.188298020905</v>
      </c>
      <c r="X54" s="20"/>
      <c r="Y54" s="20"/>
      <c r="AA54" s="25">
        <f t="shared" si="65"/>
        <v>2022</v>
      </c>
      <c r="AC54" s="18">
        <v>0</v>
      </c>
      <c r="AD54" s="18">
        <v>0</v>
      </c>
      <c r="AE54" s="18">
        <v>0</v>
      </c>
      <c r="AF54" s="18">
        <v>0</v>
      </c>
      <c r="AG54" s="18">
        <f t="shared" si="58"/>
        <v>0</v>
      </c>
      <c r="AH54" s="18">
        <v>0</v>
      </c>
      <c r="AI54" s="18">
        <f t="shared" si="59"/>
        <v>65262.188298020905</v>
      </c>
      <c r="AT54" s="6">
        <f t="shared" si="60"/>
        <v>2022</v>
      </c>
      <c r="AV54" s="172"/>
      <c r="AY54" s="25">
        <f t="shared" si="66"/>
        <v>2022</v>
      </c>
      <c r="BA54" s="18"/>
      <c r="BB54" s="18"/>
      <c r="BC54" s="18"/>
      <c r="BD54" s="18"/>
      <c r="BE54" s="18"/>
      <c r="BF54" s="18"/>
      <c r="BG54" s="18"/>
      <c r="BH54" s="68"/>
      <c r="BI54" s="68"/>
      <c r="BJ54" s="68"/>
    </row>
    <row r="55" spans="1:62">
      <c r="A55" s="6"/>
      <c r="C55" s="63"/>
      <c r="E55" s="74"/>
      <c r="G55" s="74"/>
      <c r="I55" s="63"/>
      <c r="J55" s="63"/>
      <c r="K55" s="63"/>
      <c r="M55" s="63"/>
      <c r="O55" s="63"/>
      <c r="Q55" s="63"/>
      <c r="S55" s="63"/>
      <c r="U55" s="63"/>
      <c r="W55" s="63"/>
      <c r="AA55" s="25"/>
      <c r="AB55" s="70"/>
      <c r="AC55" s="70"/>
      <c r="AD55" s="70"/>
      <c r="AE55" s="70"/>
      <c r="AF55" s="70"/>
      <c r="AG55" s="70"/>
      <c r="AH55" s="70"/>
      <c r="AI55" s="70"/>
      <c r="AJ55" s="61"/>
      <c r="AT55" s="6"/>
      <c r="AV55" s="70"/>
      <c r="AW55" s="70"/>
      <c r="AY55" s="25"/>
      <c r="AZ55" s="70"/>
      <c r="BA55" s="70"/>
      <c r="BB55" s="70"/>
      <c r="BC55" s="70"/>
      <c r="BD55" s="70"/>
      <c r="BE55" s="70"/>
      <c r="BF55" s="18"/>
      <c r="BG55" s="18"/>
      <c r="BI55" s="95"/>
      <c r="BJ55" s="95"/>
    </row>
    <row r="56" spans="1:62">
      <c r="A56" s="2" t="s">
        <v>0</v>
      </c>
      <c r="C56" s="147">
        <f>SUM(C45:C55)</f>
        <v>693484.09132710018</v>
      </c>
      <c r="E56" s="74"/>
      <c r="G56" s="74"/>
      <c r="H56" s="26"/>
      <c r="I56" s="147">
        <f>SUM(I45:I55)</f>
        <v>285114.609642989</v>
      </c>
      <c r="J56" s="147"/>
      <c r="K56" s="147">
        <f>SUM(K45:K55)</f>
        <v>141771.4324376173</v>
      </c>
      <c r="L56" s="147"/>
      <c r="M56" s="147">
        <f>SUM(M45:M55)</f>
        <v>948.10000000000036</v>
      </c>
      <c r="N56" s="147"/>
      <c r="O56" s="147">
        <f>SUM(O45:O55)</f>
        <v>40646.51</v>
      </c>
      <c r="P56" s="147"/>
      <c r="Q56" s="147">
        <f>SUM(Q45:Q55)</f>
        <v>755678.59964298911</v>
      </c>
      <c r="R56" s="147"/>
      <c r="S56" s="147">
        <f>SUM(S45:S55)</f>
        <v>654123.22243761725</v>
      </c>
      <c r="T56" s="147"/>
      <c r="U56" s="147">
        <f>SUM(U45:U55)</f>
        <v>654123.22243761725</v>
      </c>
      <c r="V56" s="147"/>
      <c r="W56" s="147">
        <f>SUM(W45:W55)</f>
        <v>183559.23243761729</v>
      </c>
      <c r="X56" s="26"/>
      <c r="Y56" s="26"/>
      <c r="AA56" s="97" t="s">
        <v>0</v>
      </c>
      <c r="AB56" s="68">
        <f t="shared" ref="AB56:AF56" si="69">SUM(AB45:AB55)</f>
        <v>0</v>
      </c>
      <c r="AC56" s="68">
        <f t="shared" si="69"/>
        <v>948.10000000000036</v>
      </c>
      <c r="AD56" s="68">
        <f t="shared" si="69"/>
        <v>40646.51</v>
      </c>
      <c r="AE56" s="68">
        <f t="shared" si="69"/>
        <v>469565.99000000005</v>
      </c>
      <c r="AF56" s="68">
        <f t="shared" si="69"/>
        <v>534135.79</v>
      </c>
      <c r="AG56" s="68">
        <f>SUM(AG45:AG55)</f>
        <v>-493489.28</v>
      </c>
      <c r="AH56" s="68">
        <f t="shared" ref="AH56:AI56" si="70">SUM(AH45:AH55)</f>
        <v>534135.79</v>
      </c>
      <c r="AI56" s="68">
        <f t="shared" si="70"/>
        <v>119987.43243761729</v>
      </c>
      <c r="AJ56" s="68"/>
      <c r="AT56" s="2" t="s">
        <v>0</v>
      </c>
      <c r="AV56" s="68">
        <v>387094.62957192468</v>
      </c>
      <c r="AW56" s="68">
        <f>SUM(AW45:AW55)</f>
        <v>9111.9353581061732</v>
      </c>
      <c r="AY56" s="97" t="s">
        <v>0</v>
      </c>
      <c r="AZ56" s="68">
        <f t="shared" ref="AZ56:BD56" si="71">SUM(AZ45:AZ55)</f>
        <v>0</v>
      </c>
      <c r="BA56" s="68">
        <f t="shared" si="71"/>
        <v>0</v>
      </c>
      <c r="BB56" s="68">
        <f t="shared" si="71"/>
        <v>0</v>
      </c>
      <c r="BC56" s="68">
        <f t="shared" si="71"/>
        <v>0</v>
      </c>
      <c r="BD56" s="68">
        <f t="shared" si="71"/>
        <v>0</v>
      </c>
      <c r="BE56" s="68">
        <f>SUM(BE45:BE55)</f>
        <v>0</v>
      </c>
      <c r="BF56" s="18"/>
      <c r="BG56" s="18"/>
      <c r="BI56" s="95"/>
      <c r="BJ56" s="95"/>
    </row>
    <row r="57" spans="1:62">
      <c r="A57" s="6"/>
      <c r="F57" s="26"/>
      <c r="M57" s="26"/>
      <c r="O57" s="26"/>
      <c r="U57" s="26"/>
      <c r="AA57" s="25"/>
      <c r="AH57" s="61"/>
      <c r="AT57" s="2"/>
      <c r="AV57" s="68"/>
      <c r="AY57" s="25"/>
      <c r="BF57" s="18"/>
      <c r="BG57" s="18"/>
      <c r="BI57" s="95"/>
      <c r="BJ57" s="95"/>
    </row>
    <row r="58" spans="1:62">
      <c r="A58" s="3" t="s">
        <v>297</v>
      </c>
      <c r="AA58" s="115" t="s">
        <v>297</v>
      </c>
      <c r="AC58" s="26">
        <f t="shared" ref="AC58:AF67" si="72">AC16+AC30+AC44</f>
        <v>27524.959999999999</v>
      </c>
      <c r="AD58" s="18">
        <v>27399.96</v>
      </c>
      <c r="AH58" s="61"/>
      <c r="AT58" s="3" t="s">
        <v>0</v>
      </c>
      <c r="AV58" s="61"/>
      <c r="AY58" s="115" t="s">
        <v>297</v>
      </c>
      <c r="BA58" s="26">
        <f t="shared" ref="BA58" si="73">BA16+BA30+BA44</f>
        <v>0</v>
      </c>
      <c r="BB58" s="18"/>
      <c r="BF58" s="18"/>
      <c r="BG58" s="18"/>
      <c r="BI58" s="95"/>
      <c r="BJ58" s="95"/>
    </row>
    <row r="59" spans="1:62">
      <c r="A59" s="6">
        <f>A45</f>
        <v>2013</v>
      </c>
      <c r="C59" s="147">
        <f t="shared" ref="C59:C68" si="74">C17+C31+C45</f>
        <v>8859.5845667899084</v>
      </c>
      <c r="G59" s="26"/>
      <c r="H59" s="26"/>
      <c r="I59" s="147">
        <f t="shared" ref="I59:I68" si="75">I17+I31+I45</f>
        <v>113.81664397517685</v>
      </c>
      <c r="J59" s="147"/>
      <c r="K59" s="147">
        <f t="shared" ref="K59:K68" si="76">K17+K31+K45</f>
        <v>0</v>
      </c>
      <c r="L59" s="147"/>
      <c r="M59" s="147">
        <f t="shared" ref="M59:M68" si="77">M17+M31+M45</f>
        <v>8861.26</v>
      </c>
      <c r="N59" s="147"/>
      <c r="O59" s="147">
        <f t="shared" ref="O59:O68" si="78">O17+O31+O45</f>
        <v>8861.26</v>
      </c>
      <c r="P59" s="147"/>
      <c r="Q59" s="147">
        <f t="shared" ref="Q59:Q68" si="79">Q17+Q31+Q45</f>
        <v>8975.0766439751769</v>
      </c>
      <c r="R59" s="147"/>
      <c r="S59" s="147">
        <f t="shared" ref="S59:S68" si="80">S17+S31+S45</f>
        <v>8861.26</v>
      </c>
      <c r="T59" s="147"/>
      <c r="U59" s="147">
        <f t="shared" ref="U59:U68" si="81">U17+U31+U45</f>
        <v>8861.26</v>
      </c>
      <c r="V59" s="147"/>
      <c r="W59" s="147">
        <f t="shared" ref="W59:W68" si="82">W17+W31+W45</f>
        <v>0</v>
      </c>
      <c r="X59" s="26"/>
      <c r="Y59" s="26"/>
      <c r="AA59" s="25">
        <f>AA45</f>
        <v>2013</v>
      </c>
      <c r="AB59" s="20"/>
      <c r="AC59" s="26">
        <f t="shared" si="72"/>
        <v>8861.26</v>
      </c>
      <c r="AD59" s="26">
        <f t="shared" si="72"/>
        <v>8861.26</v>
      </c>
      <c r="AE59" s="26">
        <f t="shared" si="72"/>
        <v>8861.26</v>
      </c>
      <c r="AF59" s="26">
        <f t="shared" si="72"/>
        <v>8861.26</v>
      </c>
      <c r="AG59" s="26">
        <f t="shared" ref="AG59:AG67" si="83">AG17+AG31+AG45</f>
        <v>0</v>
      </c>
      <c r="AH59" s="26">
        <f t="shared" ref="AH59:AI59" si="84">AH17+AH31+AH45</f>
        <v>8864.6129009259985</v>
      </c>
      <c r="AI59" s="26">
        <f t="shared" si="84"/>
        <v>-3.3529009259982558</v>
      </c>
      <c r="AT59" s="6">
        <f t="shared" ref="AT59:AT68" si="85">AT45</f>
        <v>2013</v>
      </c>
      <c r="AV59" s="68">
        <v>8897.4539855083167</v>
      </c>
      <c r="AW59" s="26">
        <f>U59-AV59</f>
        <v>-36.193985508316473</v>
      </c>
      <c r="AY59" s="25">
        <f>AY45</f>
        <v>2013</v>
      </c>
      <c r="AZ59" s="26">
        <f t="shared" ref="AZ59:BE59" si="86">AZ17+AZ31+AZ45</f>
        <v>175713.24319035988</v>
      </c>
      <c r="BA59" s="179">
        <v>0</v>
      </c>
      <c r="BB59" s="179">
        <v>0</v>
      </c>
      <c r="BC59" s="26">
        <f t="shared" si="86"/>
        <v>0</v>
      </c>
      <c r="BD59" s="26">
        <f t="shared" si="86"/>
        <v>0</v>
      </c>
      <c r="BE59" s="26">
        <f t="shared" si="86"/>
        <v>0</v>
      </c>
      <c r="BF59" s="18"/>
      <c r="BG59" s="18"/>
      <c r="BI59" s="95"/>
      <c r="BJ59" s="95"/>
    </row>
    <row r="60" spans="1:62">
      <c r="A60" s="6">
        <f>A59+1</f>
        <v>2014</v>
      </c>
      <c r="C60" s="494">
        <f t="shared" si="74"/>
        <v>1278189.6505973111</v>
      </c>
      <c r="D60" s="26"/>
      <c r="G60" s="18"/>
      <c r="H60" s="18"/>
      <c r="I60" s="494">
        <f t="shared" si="75"/>
        <v>26143.845837998</v>
      </c>
      <c r="J60" s="187"/>
      <c r="K60" s="494">
        <f t="shared" si="76"/>
        <v>444.55110033330868</v>
      </c>
      <c r="L60" s="187"/>
      <c r="M60" s="494">
        <f t="shared" si="77"/>
        <v>1103464.6800000002</v>
      </c>
      <c r="N60" s="187"/>
      <c r="O60" s="494">
        <f t="shared" si="78"/>
        <v>1103464.6799999997</v>
      </c>
      <c r="P60" s="187"/>
      <c r="Q60" s="494">
        <f t="shared" si="79"/>
        <v>1207209.3458379982</v>
      </c>
      <c r="R60" s="187"/>
      <c r="S60" s="494">
        <f t="shared" si="80"/>
        <v>1181510.051100333</v>
      </c>
      <c r="T60" s="187"/>
      <c r="U60" s="494">
        <f t="shared" si="81"/>
        <v>1183336.0428141931</v>
      </c>
      <c r="V60" s="187"/>
      <c r="W60" s="494">
        <f t="shared" si="82"/>
        <v>2270.5428141928278</v>
      </c>
      <c r="X60" s="20"/>
      <c r="Y60" s="20"/>
      <c r="AA60" s="25">
        <f>AA59+1</f>
        <v>2014</v>
      </c>
      <c r="AB60" s="20"/>
      <c r="AC60" s="20">
        <f t="shared" si="72"/>
        <v>1103464.6800000002</v>
      </c>
      <c r="AD60" s="20">
        <f t="shared" si="72"/>
        <v>1103464.6799999997</v>
      </c>
      <c r="AE60" s="20">
        <f t="shared" si="72"/>
        <v>1180645.5000000002</v>
      </c>
      <c r="AF60" s="20">
        <f t="shared" si="72"/>
        <v>1180645.5000000002</v>
      </c>
      <c r="AG60" s="20">
        <f t="shared" si="83"/>
        <v>-77180.820000000007</v>
      </c>
      <c r="AH60" s="20">
        <f t="shared" ref="AH60:AI60" si="87">AH18+AH32+AH46</f>
        <v>1194432.6384015246</v>
      </c>
      <c r="AI60" s="20">
        <f t="shared" si="87"/>
        <v>-11096.595587331569</v>
      </c>
      <c r="AT60" s="6">
        <f t="shared" si="85"/>
        <v>2014</v>
      </c>
      <c r="AV60" s="137">
        <v>1198914.2525259182</v>
      </c>
      <c r="AW60" s="20">
        <f t="shared" ref="AW60:AW66" si="88">U60-AV60</f>
        <v>-15578.209711725125</v>
      </c>
      <c r="AY60" s="25">
        <f>AY59+1</f>
        <v>2014</v>
      </c>
      <c r="AZ60" s="17">
        <f t="shared" ref="AZ60:BD60" si="89">AZ18+AZ32+AZ46</f>
        <v>209735.84031187487</v>
      </c>
      <c r="BA60" s="179">
        <v>2897435.36</v>
      </c>
      <c r="BB60" s="179">
        <v>2897435.3600000003</v>
      </c>
      <c r="BC60" s="17">
        <f t="shared" si="89"/>
        <v>2897435.36</v>
      </c>
      <c r="BD60" s="17">
        <f t="shared" si="89"/>
        <v>2897435.36</v>
      </c>
      <c r="BE60" s="17">
        <f t="shared" ref="AZ60:BE62" si="90">BE18+BE32+BE46</f>
        <v>0</v>
      </c>
      <c r="BF60" s="18"/>
      <c r="BG60" s="18"/>
      <c r="BI60" s="95"/>
      <c r="BJ60" s="95"/>
    </row>
    <row r="61" spans="1:62">
      <c r="A61" s="6">
        <f t="shared" ref="A61:A68" si="91">A60+1</f>
        <v>2015</v>
      </c>
      <c r="C61" s="494">
        <f t="shared" si="74"/>
        <v>2561341.8036171519</v>
      </c>
      <c r="G61" s="18"/>
      <c r="H61" s="18"/>
      <c r="I61" s="494">
        <f t="shared" si="75"/>
        <v>122272.57265692679</v>
      </c>
      <c r="J61" s="187"/>
      <c r="K61" s="494">
        <f t="shared" si="76"/>
        <v>10191.326166730087</v>
      </c>
      <c r="L61" s="187"/>
      <c r="M61" s="494">
        <f t="shared" si="77"/>
        <v>2688607.76</v>
      </c>
      <c r="N61" s="187"/>
      <c r="O61" s="494">
        <f t="shared" si="78"/>
        <v>2688607.76</v>
      </c>
      <c r="P61" s="187"/>
      <c r="Q61" s="494">
        <f t="shared" si="79"/>
        <v>2832799.9426569268</v>
      </c>
      <c r="R61" s="187"/>
      <c r="S61" s="494">
        <f t="shared" si="80"/>
        <v>2720718.69616673</v>
      </c>
      <c r="T61" s="187"/>
      <c r="U61" s="494">
        <f t="shared" si="81"/>
        <v>2723474.7589555625</v>
      </c>
      <c r="V61" s="187"/>
      <c r="W61" s="494">
        <f t="shared" si="82"/>
        <v>12947.388955562659</v>
      </c>
      <c r="X61" s="20"/>
      <c r="Y61" s="20"/>
      <c r="AA61" s="25">
        <f t="shared" ref="AA61:AA68" si="92">AA60+1</f>
        <v>2015</v>
      </c>
      <c r="AB61" s="20"/>
      <c r="AC61" s="20">
        <f t="shared" si="72"/>
        <v>2688607.76</v>
      </c>
      <c r="AD61" s="20">
        <f t="shared" si="72"/>
        <v>2688607.76</v>
      </c>
      <c r="AE61" s="20">
        <f t="shared" si="72"/>
        <v>2606152.3699999996</v>
      </c>
      <c r="AF61" s="20">
        <f t="shared" si="72"/>
        <v>2606152.3699999996</v>
      </c>
      <c r="AG61" s="20">
        <f t="shared" si="83"/>
        <v>82455.39</v>
      </c>
      <c r="AH61" s="20">
        <f t="shared" ref="AH61:AI61" si="93">AH19+AH33+AH47</f>
        <v>2649747.3639139743</v>
      </c>
      <c r="AI61" s="20">
        <f t="shared" si="93"/>
        <v>73727.395041588054</v>
      </c>
      <c r="AT61" s="6">
        <f t="shared" si="85"/>
        <v>2015</v>
      </c>
      <c r="AV61" s="137">
        <v>2722972.8579057255</v>
      </c>
      <c r="AW61" s="20">
        <f t="shared" si="88"/>
        <v>501.90104983700439</v>
      </c>
      <c r="AY61" s="25">
        <f t="shared" ref="AY61:AY68" si="94">AY60+1</f>
        <v>2015</v>
      </c>
      <c r="AZ61" s="17">
        <f t="shared" ref="AZ61:BE61" si="95">AZ19+AZ33+AZ47</f>
        <v>257044.69624493216</v>
      </c>
      <c r="BA61" s="179">
        <v>0</v>
      </c>
      <c r="BB61" s="179">
        <v>0</v>
      </c>
      <c r="BC61" s="17">
        <f t="shared" si="95"/>
        <v>0</v>
      </c>
      <c r="BD61" s="17">
        <f t="shared" si="95"/>
        <v>0</v>
      </c>
      <c r="BE61" s="17">
        <f t="shared" si="95"/>
        <v>0</v>
      </c>
      <c r="BF61" s="18"/>
      <c r="BG61" s="18"/>
      <c r="BI61" s="95"/>
      <c r="BJ61" s="95"/>
    </row>
    <row r="62" spans="1:62">
      <c r="A62" s="6">
        <f t="shared" si="91"/>
        <v>2016</v>
      </c>
      <c r="C62" s="494">
        <f t="shared" si="74"/>
        <v>2003595.0603558889</v>
      </c>
      <c r="G62" s="18"/>
      <c r="H62" s="18"/>
      <c r="I62" s="494">
        <f t="shared" si="75"/>
        <v>238563.59799399972</v>
      </c>
      <c r="J62" s="187"/>
      <c r="K62" s="494">
        <f t="shared" si="76"/>
        <v>32310.499110716093</v>
      </c>
      <c r="L62" s="187"/>
      <c r="M62" s="494">
        <f t="shared" si="77"/>
        <v>2136598.3199999998</v>
      </c>
      <c r="N62" s="187"/>
      <c r="O62" s="494">
        <f t="shared" si="78"/>
        <v>2136598.3200000003</v>
      </c>
      <c r="P62" s="187"/>
      <c r="Q62" s="494">
        <f t="shared" si="79"/>
        <v>2391310.4679939994</v>
      </c>
      <c r="R62" s="187"/>
      <c r="S62" s="494">
        <f t="shared" si="80"/>
        <v>2185057.3691107165</v>
      </c>
      <c r="T62" s="187"/>
      <c r="U62" s="494">
        <f t="shared" si="81"/>
        <v>2206905.6111858543</v>
      </c>
      <c r="V62" s="187"/>
      <c r="W62" s="494">
        <f t="shared" si="82"/>
        <v>54158.741185854116</v>
      </c>
      <c r="X62" s="20"/>
      <c r="Y62" s="20"/>
      <c r="AA62" s="25">
        <f t="shared" si="92"/>
        <v>2016</v>
      </c>
      <c r="AB62" s="20"/>
      <c r="AC62" s="20">
        <f t="shared" si="72"/>
        <v>2136598.3199999998</v>
      </c>
      <c r="AD62" s="20">
        <f t="shared" si="72"/>
        <v>2136598.3200000003</v>
      </c>
      <c r="AE62" s="20">
        <f t="shared" si="72"/>
        <v>2038516.3</v>
      </c>
      <c r="AF62" s="20">
        <f t="shared" si="72"/>
        <v>2038516.3</v>
      </c>
      <c r="AG62" s="20">
        <f t="shared" si="83"/>
        <v>98082.01999999999</v>
      </c>
      <c r="AH62" s="20">
        <f t="shared" ref="AH62:AI62" si="96">AH20+AH34+AH48</f>
        <v>2064889.2088031368</v>
      </c>
      <c r="AI62" s="20">
        <f t="shared" si="96"/>
        <v>142016.40238271735</v>
      </c>
      <c r="AT62" s="6">
        <f t="shared" si="85"/>
        <v>2016</v>
      </c>
      <c r="AV62" s="137">
        <v>2183582.8485867647</v>
      </c>
      <c r="AW62" s="20">
        <f t="shared" si="88"/>
        <v>23322.762599089649</v>
      </c>
      <c r="AY62" s="25">
        <f t="shared" si="94"/>
        <v>2016</v>
      </c>
      <c r="AZ62" s="17">
        <f t="shared" si="90"/>
        <v>153574.47321293451</v>
      </c>
      <c r="BA62" s="179">
        <v>861504.94</v>
      </c>
      <c r="BB62" s="179">
        <v>861504.93999999971</v>
      </c>
      <c r="BC62" s="17">
        <f t="shared" si="90"/>
        <v>861504.94</v>
      </c>
      <c r="BD62" s="17">
        <f t="shared" si="90"/>
        <v>861504.94</v>
      </c>
      <c r="BE62" s="17">
        <f t="shared" si="90"/>
        <v>0</v>
      </c>
      <c r="BF62" s="18"/>
      <c r="BG62" s="18"/>
      <c r="BI62" s="95"/>
      <c r="BJ62" s="95"/>
    </row>
    <row r="63" spans="1:62">
      <c r="A63" s="6">
        <f t="shared" si="91"/>
        <v>2017</v>
      </c>
      <c r="C63" s="494">
        <f t="shared" si="74"/>
        <v>1979348.8311931321</v>
      </c>
      <c r="G63" s="18"/>
      <c r="H63" s="18"/>
      <c r="I63" s="494">
        <f t="shared" si="75"/>
        <v>478876.44330709829</v>
      </c>
      <c r="J63" s="187"/>
      <c r="K63" s="494">
        <f t="shared" si="76"/>
        <v>79825.754143308921</v>
      </c>
      <c r="L63" s="187"/>
      <c r="M63" s="494">
        <f t="shared" si="77"/>
        <v>1764061.52</v>
      </c>
      <c r="N63" s="187"/>
      <c r="O63" s="494">
        <f t="shared" si="78"/>
        <v>2016061.52</v>
      </c>
      <c r="P63" s="187"/>
      <c r="Q63" s="494">
        <f t="shared" si="79"/>
        <v>2264358.7233070978</v>
      </c>
      <c r="R63" s="187"/>
      <c r="S63" s="494">
        <f t="shared" si="80"/>
        <v>2117308.0341433091</v>
      </c>
      <c r="T63" s="187"/>
      <c r="U63" s="494">
        <f t="shared" si="81"/>
        <v>2129410.8872289904</v>
      </c>
      <c r="V63" s="187"/>
      <c r="W63" s="494">
        <f t="shared" si="82"/>
        <v>343928.60722899035</v>
      </c>
      <c r="X63" s="20"/>
      <c r="Y63" s="20"/>
      <c r="AA63" s="25">
        <f t="shared" si="92"/>
        <v>2017</v>
      </c>
      <c r="AB63" s="20"/>
      <c r="AC63" s="20">
        <f t="shared" si="72"/>
        <v>1764061.52</v>
      </c>
      <c r="AD63" s="20">
        <f t="shared" si="72"/>
        <v>2016061.52</v>
      </c>
      <c r="AE63" s="20">
        <f t="shared" si="72"/>
        <v>1573519.6500000001</v>
      </c>
      <c r="AF63" s="20">
        <f t="shared" si="72"/>
        <v>2198466.9699999997</v>
      </c>
      <c r="AG63" s="20">
        <f t="shared" si="83"/>
        <v>-182405.45</v>
      </c>
      <c r="AH63" s="20">
        <f t="shared" ref="AH63:AI63" si="97">AH21+AH35+AH49</f>
        <v>2404841.0925070094</v>
      </c>
      <c r="AI63" s="20">
        <f t="shared" si="97"/>
        <v>-275430.2052780193</v>
      </c>
      <c r="AT63" s="6">
        <f t="shared" si="85"/>
        <v>2017</v>
      </c>
      <c r="AV63" s="137">
        <v>2513582.8011083989</v>
      </c>
      <c r="AW63" s="20">
        <f t="shared" si="88"/>
        <v>-384171.9138794085</v>
      </c>
      <c r="AY63" s="25">
        <f t="shared" si="94"/>
        <v>2017</v>
      </c>
      <c r="AZ63" s="17">
        <f t="shared" ref="AZ63:BE63" si="98">AZ21+AZ35+AZ49</f>
        <v>159096.26319893089</v>
      </c>
      <c r="BA63" s="179">
        <v>0</v>
      </c>
      <c r="BB63" s="179">
        <v>0</v>
      </c>
      <c r="BC63" s="17">
        <f t="shared" si="98"/>
        <v>0</v>
      </c>
      <c r="BD63" s="17">
        <f t="shared" si="98"/>
        <v>0</v>
      </c>
      <c r="BE63" s="17">
        <f t="shared" si="98"/>
        <v>0</v>
      </c>
      <c r="BF63" s="18"/>
      <c r="BG63" s="18"/>
      <c r="BI63" s="95"/>
      <c r="BJ63" s="95"/>
    </row>
    <row r="64" spans="1:62">
      <c r="A64" s="6">
        <f t="shared" si="91"/>
        <v>2018</v>
      </c>
      <c r="C64" s="494">
        <f t="shared" si="74"/>
        <v>583650.60216623475</v>
      </c>
      <c r="G64" s="18"/>
      <c r="H64" s="18"/>
      <c r="I64" s="494">
        <f t="shared" si="75"/>
        <v>238991.77094304201</v>
      </c>
      <c r="J64" s="187"/>
      <c r="K64" s="494">
        <f t="shared" si="76"/>
        <v>51245.116540930161</v>
      </c>
      <c r="L64" s="187"/>
      <c r="M64" s="494">
        <f t="shared" si="77"/>
        <v>83249.700000000012</v>
      </c>
      <c r="N64" s="187"/>
      <c r="O64" s="494">
        <f t="shared" si="78"/>
        <v>83249.700000000012</v>
      </c>
      <c r="P64" s="187"/>
      <c r="Q64" s="494">
        <f t="shared" si="79"/>
        <v>330442.41094304202</v>
      </c>
      <c r="R64" s="187"/>
      <c r="S64" s="494">
        <f t="shared" si="80"/>
        <v>142695.75654093019</v>
      </c>
      <c r="T64" s="187"/>
      <c r="U64" s="494">
        <f t="shared" si="81"/>
        <v>639833.15461529314</v>
      </c>
      <c r="V64" s="187"/>
      <c r="W64" s="494">
        <f t="shared" si="82"/>
        <v>548382.51461529324</v>
      </c>
      <c r="X64" s="20"/>
      <c r="Y64" s="20"/>
      <c r="AA64" s="25">
        <f t="shared" si="92"/>
        <v>2018</v>
      </c>
      <c r="AB64" s="20"/>
      <c r="AC64" s="20">
        <f t="shared" si="72"/>
        <v>83249.700000000012</v>
      </c>
      <c r="AD64" s="20">
        <f t="shared" si="72"/>
        <v>83249.700000000012</v>
      </c>
      <c r="AE64" s="20">
        <f t="shared" si="72"/>
        <v>91450.64</v>
      </c>
      <c r="AF64" s="20">
        <f t="shared" si="72"/>
        <v>91450.64</v>
      </c>
      <c r="AG64" s="20">
        <f t="shared" si="83"/>
        <v>-8200.94</v>
      </c>
      <c r="AH64" s="20">
        <f t="shared" ref="AH64:AI64" si="99">AH22+AH36+AH50</f>
        <v>911703.49088071566</v>
      </c>
      <c r="AI64" s="20">
        <f t="shared" si="99"/>
        <v>-271870.33626542252</v>
      </c>
      <c r="AT64" s="6">
        <f t="shared" si="85"/>
        <v>2018</v>
      </c>
      <c r="AV64" s="137">
        <v>735252.93120350433</v>
      </c>
      <c r="AW64" s="20">
        <f t="shared" si="88"/>
        <v>-95419.776588211185</v>
      </c>
      <c r="AY64" s="25">
        <f t="shared" si="94"/>
        <v>2018</v>
      </c>
      <c r="AZ64" s="17">
        <f t="shared" ref="AZ64:BE64" si="100">AZ22+AZ36+AZ50</f>
        <v>201093.4842000496</v>
      </c>
      <c r="BA64" s="179">
        <v>0</v>
      </c>
      <c r="BB64" s="179">
        <v>0</v>
      </c>
      <c r="BC64" s="17">
        <f t="shared" si="100"/>
        <v>0</v>
      </c>
      <c r="BD64" s="17">
        <f t="shared" si="100"/>
        <v>0</v>
      </c>
      <c r="BE64" s="17">
        <f t="shared" si="100"/>
        <v>0</v>
      </c>
      <c r="BF64" s="18"/>
      <c r="BG64" s="18"/>
      <c r="BI64" s="95"/>
      <c r="BJ64" s="95"/>
    </row>
    <row r="65" spans="1:62">
      <c r="A65" s="6">
        <f t="shared" si="91"/>
        <v>2019</v>
      </c>
      <c r="C65" s="494">
        <f t="shared" si="74"/>
        <v>3554018.4058206887</v>
      </c>
      <c r="G65" s="18"/>
      <c r="H65" s="18"/>
      <c r="I65" s="494">
        <f t="shared" si="75"/>
        <v>2136514.5297302278</v>
      </c>
      <c r="J65" s="187"/>
      <c r="K65" s="494">
        <f t="shared" si="76"/>
        <v>648491.69209344196</v>
      </c>
      <c r="L65" s="187"/>
      <c r="M65" s="494">
        <f t="shared" si="77"/>
        <v>1811933.44</v>
      </c>
      <c r="N65" s="187"/>
      <c r="O65" s="494">
        <f t="shared" si="78"/>
        <v>2678711.6</v>
      </c>
      <c r="P65" s="187"/>
      <c r="Q65" s="494">
        <f t="shared" si="79"/>
        <v>4054757.8297302276</v>
      </c>
      <c r="R65" s="187"/>
      <c r="S65" s="494">
        <f t="shared" si="80"/>
        <v>3433842.2920934418</v>
      </c>
      <c r="T65" s="187"/>
      <c r="U65" s="494">
        <f t="shared" si="81"/>
        <v>3330065.8239869783</v>
      </c>
      <c r="V65" s="187"/>
      <c r="W65" s="494">
        <f t="shared" si="82"/>
        <v>1411822.5239869782</v>
      </c>
      <c r="X65" s="20"/>
      <c r="Y65" s="20"/>
      <c r="AA65" s="25">
        <f t="shared" si="92"/>
        <v>2019</v>
      </c>
      <c r="AB65" s="20"/>
      <c r="AC65" s="20">
        <f t="shared" si="72"/>
        <v>1811933.44</v>
      </c>
      <c r="AD65" s="20">
        <f t="shared" si="72"/>
        <v>2678711.6</v>
      </c>
      <c r="AE65" s="20">
        <f t="shared" si="72"/>
        <v>1157930.83</v>
      </c>
      <c r="AF65" s="20">
        <f t="shared" si="72"/>
        <v>3155038.7800000003</v>
      </c>
      <c r="AG65" s="20">
        <f t="shared" si="83"/>
        <v>-476327.18000000017</v>
      </c>
      <c r="AH65" s="20">
        <f t="shared" ref="AH65:AI65" si="101">AH23+AH37+AH51</f>
        <v>4815590.4037219537</v>
      </c>
      <c r="AI65" s="20">
        <f t="shared" si="101"/>
        <v>-1485524.5797349755</v>
      </c>
      <c r="AT65" s="6">
        <f t="shared" si="85"/>
        <v>2019</v>
      </c>
      <c r="AV65" s="137">
        <v>3346653.2322100354</v>
      </c>
      <c r="AW65" s="20">
        <f t="shared" si="88"/>
        <v>-16587.408223057166</v>
      </c>
      <c r="AY65" s="25">
        <f t="shared" si="94"/>
        <v>2019</v>
      </c>
      <c r="AZ65" s="17">
        <f t="shared" ref="AZ65:BE65" si="102">AZ23+AZ37+AZ51</f>
        <v>256177.6596242715</v>
      </c>
      <c r="BA65" s="179">
        <v>191.94000000000028</v>
      </c>
      <c r="BB65" s="179">
        <v>634566.93999999994</v>
      </c>
      <c r="BC65" s="17">
        <f t="shared" si="102"/>
        <v>191.94000000000028</v>
      </c>
      <c r="BD65" s="17">
        <f t="shared" si="102"/>
        <v>191.94000000000028</v>
      </c>
      <c r="BE65" s="17">
        <f t="shared" si="102"/>
        <v>634375</v>
      </c>
      <c r="BF65" s="18"/>
      <c r="BG65" s="18"/>
      <c r="BI65" s="95"/>
      <c r="BJ65" s="95"/>
    </row>
    <row r="66" spans="1:62">
      <c r="A66" s="6">
        <f t="shared" si="91"/>
        <v>2020</v>
      </c>
      <c r="C66" s="494">
        <f t="shared" si="74"/>
        <v>1420227.0758455929</v>
      </c>
      <c r="G66" s="18"/>
      <c r="H66" s="18"/>
      <c r="I66" s="494">
        <f t="shared" si="75"/>
        <v>1094274.13777486</v>
      </c>
      <c r="J66" s="187"/>
      <c r="K66" s="494">
        <f t="shared" si="76"/>
        <v>539897.7266422445</v>
      </c>
      <c r="L66" s="187"/>
      <c r="M66" s="494">
        <f t="shared" si="77"/>
        <v>1212262.3799999999</v>
      </c>
      <c r="N66" s="187"/>
      <c r="O66" s="494">
        <f t="shared" si="78"/>
        <v>868899.12999999989</v>
      </c>
      <c r="P66" s="187"/>
      <c r="Q66" s="494">
        <f t="shared" si="79"/>
        <v>2521051.9677748601</v>
      </c>
      <c r="R66" s="187"/>
      <c r="S66" s="494">
        <f t="shared" si="80"/>
        <v>1625072.5566422443</v>
      </c>
      <c r="T66" s="187"/>
      <c r="U66" s="494">
        <f t="shared" si="81"/>
        <v>1589760.5468710763</v>
      </c>
      <c r="V66" s="187"/>
      <c r="W66" s="494">
        <f t="shared" si="82"/>
        <v>162982.7168710765</v>
      </c>
      <c r="X66" s="20"/>
      <c r="Y66" s="20"/>
      <c r="AA66" s="25">
        <f t="shared" si="92"/>
        <v>2020</v>
      </c>
      <c r="AB66" s="20"/>
      <c r="AC66" s="20">
        <f t="shared" si="72"/>
        <v>1212262.3799999999</v>
      </c>
      <c r="AD66" s="20">
        <f t="shared" si="72"/>
        <v>868899.12999999989</v>
      </c>
      <c r="AE66" s="20">
        <f t="shared" si="72"/>
        <v>348437.26</v>
      </c>
      <c r="AF66" s="20">
        <f t="shared" si="72"/>
        <v>503919.7</v>
      </c>
      <c r="AG66" s="20">
        <f t="shared" si="83"/>
        <v>364979.42999999988</v>
      </c>
      <c r="AH66" s="20">
        <f t="shared" ref="AH66:AI66" si="103">AH24+AH38+AH52</f>
        <v>1384074.8429419808</v>
      </c>
      <c r="AI66" s="20">
        <f t="shared" si="103"/>
        <v>205685.70392909553</v>
      </c>
      <c r="AT66" s="6">
        <f t="shared" si="85"/>
        <v>2020</v>
      </c>
      <c r="AV66" s="137">
        <v>2161148.3435023245</v>
      </c>
      <c r="AW66" s="20">
        <f t="shared" si="88"/>
        <v>-571387.7966312482</v>
      </c>
      <c r="AY66" s="25">
        <f t="shared" si="94"/>
        <v>2020</v>
      </c>
      <c r="AZ66" s="17">
        <f t="shared" ref="AZ66:BE66" si="104">AZ24+AZ38+AZ52</f>
        <v>309139.67424241285</v>
      </c>
      <c r="BA66" s="179">
        <v>0</v>
      </c>
      <c r="BB66" s="179">
        <v>378808</v>
      </c>
      <c r="BC66" s="17">
        <f t="shared" si="104"/>
        <v>0</v>
      </c>
      <c r="BD66" s="17">
        <f t="shared" si="104"/>
        <v>0</v>
      </c>
      <c r="BE66" s="17">
        <f t="shared" si="104"/>
        <v>378808</v>
      </c>
      <c r="BF66" s="18"/>
      <c r="BG66" s="18"/>
      <c r="BI66" s="95"/>
      <c r="BJ66" s="95"/>
    </row>
    <row r="67" spans="1:62">
      <c r="A67" s="6">
        <f t="shared" si="91"/>
        <v>2021</v>
      </c>
      <c r="C67" s="494">
        <f t="shared" si="74"/>
        <v>4704751.5602785219</v>
      </c>
      <c r="G67" s="18"/>
      <c r="H67" s="18"/>
      <c r="I67" s="494">
        <f t="shared" si="75"/>
        <v>4279806.1256043864</v>
      </c>
      <c r="J67" s="187"/>
      <c r="K67" s="494">
        <f t="shared" si="76"/>
        <v>3131687.2252583085</v>
      </c>
      <c r="L67" s="187"/>
      <c r="M67" s="494">
        <f t="shared" si="77"/>
        <v>1232699.83</v>
      </c>
      <c r="N67" s="187"/>
      <c r="O67" s="494">
        <f t="shared" si="78"/>
        <v>2713565.15</v>
      </c>
      <c r="P67" s="187"/>
      <c r="Q67" s="494">
        <f t="shared" si="79"/>
        <v>5516005.855604386</v>
      </c>
      <c r="R67" s="187"/>
      <c r="S67" s="494">
        <f t="shared" si="80"/>
        <v>5848752.2752583092</v>
      </c>
      <c r="T67" s="187"/>
      <c r="U67" s="494">
        <f t="shared" si="81"/>
        <v>5005015.8839251436</v>
      </c>
      <c r="V67" s="187"/>
      <c r="W67" s="494">
        <f t="shared" si="82"/>
        <v>3768816.1539251432</v>
      </c>
      <c r="X67" s="20"/>
      <c r="Y67" s="20"/>
      <c r="AA67" s="25">
        <f t="shared" si="92"/>
        <v>2021</v>
      </c>
      <c r="AB67" s="20"/>
      <c r="AC67" s="20">
        <f t="shared" si="72"/>
        <v>1232699.83</v>
      </c>
      <c r="AD67" s="20">
        <f t="shared" si="72"/>
        <v>2713565.15</v>
      </c>
      <c r="AE67" s="20">
        <f t="shared" si="72"/>
        <v>37551.15</v>
      </c>
      <c r="AF67" s="20">
        <f t="shared" si="72"/>
        <v>358113</v>
      </c>
      <c r="AG67" s="20">
        <f t="shared" si="83"/>
        <v>2355452.15</v>
      </c>
      <c r="AH67" s="20">
        <f t="shared" ref="AH67:AI67" si="105">AH25+AH39+AH53</f>
        <v>2183469.5025809151</v>
      </c>
      <c r="AI67" s="20">
        <f t="shared" si="105"/>
        <v>2821546.3813442281</v>
      </c>
      <c r="AT67" s="6">
        <f t="shared" si="85"/>
        <v>2021</v>
      </c>
      <c r="AV67" s="172">
        <v>310383.63628732233</v>
      </c>
      <c r="AY67" s="25">
        <f t="shared" si="94"/>
        <v>2021</v>
      </c>
      <c r="AZ67" s="17">
        <f t="shared" ref="AZ67:BE67" si="106">AZ25+AZ39+AZ53</f>
        <v>328598.18698580097</v>
      </c>
      <c r="BA67" s="179">
        <v>0</v>
      </c>
      <c r="BB67" s="179">
        <v>770350</v>
      </c>
      <c r="BC67" s="17">
        <f t="shared" si="106"/>
        <v>0</v>
      </c>
      <c r="BD67" s="17">
        <f t="shared" si="106"/>
        <v>0</v>
      </c>
      <c r="BE67" s="17">
        <f t="shared" si="106"/>
        <v>770350</v>
      </c>
      <c r="BF67" s="18"/>
      <c r="BG67" s="18"/>
      <c r="BI67" s="95"/>
      <c r="BJ67" s="95"/>
    </row>
    <row r="68" spans="1:62">
      <c r="A68" s="6">
        <f t="shared" si="91"/>
        <v>2022</v>
      </c>
      <c r="C68" s="494">
        <f t="shared" si="74"/>
        <v>1995999.8007072336</v>
      </c>
      <c r="G68" s="18"/>
      <c r="H68" s="18"/>
      <c r="I68" s="494">
        <f t="shared" si="75"/>
        <v>1963615.4978415484</v>
      </c>
      <c r="J68" s="187"/>
      <c r="K68" s="494">
        <f t="shared" si="76"/>
        <v>1756008.9523586999</v>
      </c>
      <c r="L68" s="187"/>
      <c r="M68" s="494">
        <f t="shared" si="77"/>
        <v>36605.5</v>
      </c>
      <c r="N68" s="187"/>
      <c r="O68" s="494">
        <f t="shared" si="78"/>
        <v>263352.5</v>
      </c>
      <c r="P68" s="187"/>
      <c r="Q68" s="494">
        <f t="shared" si="79"/>
        <v>2000220.9978415484</v>
      </c>
      <c r="R68" s="187"/>
      <c r="S68" s="494">
        <f t="shared" si="80"/>
        <v>2019361.4523586999</v>
      </c>
      <c r="T68" s="187"/>
      <c r="U68" s="494">
        <f t="shared" si="81"/>
        <v>2440970.4582306887</v>
      </c>
      <c r="V68" s="187"/>
      <c r="W68" s="494">
        <f t="shared" si="82"/>
        <v>2404364.9582306887</v>
      </c>
      <c r="X68" s="20"/>
      <c r="Y68" s="20"/>
      <c r="AA68" s="25">
        <f t="shared" si="92"/>
        <v>2022</v>
      </c>
      <c r="AB68" s="20">
        <f>'Exhibit B,2'!Z68*(1-0.22*0.575)</f>
        <v>3129720.2244899999</v>
      </c>
      <c r="AC68" s="20"/>
      <c r="AD68" s="20"/>
      <c r="AE68" s="20"/>
      <c r="AF68" s="20"/>
      <c r="AG68" s="20"/>
      <c r="AH68" s="20"/>
      <c r="AI68" s="20"/>
      <c r="AT68" s="6">
        <f t="shared" si="85"/>
        <v>2022</v>
      </c>
      <c r="AV68" s="172"/>
      <c r="AY68" s="25">
        <f t="shared" si="94"/>
        <v>2022</v>
      </c>
      <c r="AZ68" s="17">
        <f t="shared" ref="AZ68:BE68" si="107">AZ26+AZ40+AZ54</f>
        <v>0</v>
      </c>
      <c r="BA68" s="179">
        <v>0</v>
      </c>
      <c r="BB68" s="179">
        <v>0</v>
      </c>
      <c r="BC68" s="17">
        <f t="shared" si="107"/>
        <v>0</v>
      </c>
      <c r="BD68" s="17">
        <f t="shared" si="107"/>
        <v>0</v>
      </c>
      <c r="BE68" s="17">
        <f t="shared" si="107"/>
        <v>0</v>
      </c>
      <c r="BF68" s="18"/>
      <c r="BG68" s="18"/>
      <c r="BI68" s="95"/>
      <c r="BJ68" s="95"/>
    </row>
    <row r="69" spans="1:62">
      <c r="A69" s="6"/>
      <c r="C69" s="63"/>
      <c r="G69" s="26"/>
      <c r="I69" s="63"/>
      <c r="K69" s="63"/>
      <c r="M69" s="63"/>
      <c r="O69" s="63"/>
      <c r="Q69" s="63"/>
      <c r="S69" s="63"/>
      <c r="U69" s="63"/>
      <c r="W69" s="63"/>
      <c r="AA69" s="25"/>
      <c r="AB69" s="70"/>
      <c r="AC69" s="70"/>
      <c r="AD69" s="70"/>
      <c r="AE69" s="70"/>
      <c r="AF69" s="70"/>
      <c r="AG69" s="70"/>
      <c r="AH69" s="70"/>
      <c r="AI69" s="70"/>
      <c r="AJ69" s="61"/>
      <c r="AT69" s="6"/>
      <c r="AV69" s="70"/>
      <c r="AW69" s="70"/>
      <c r="AY69" s="25"/>
      <c r="AZ69" s="70"/>
      <c r="BA69" s="70"/>
      <c r="BB69" s="70"/>
      <c r="BC69" s="70"/>
      <c r="BD69" s="70"/>
      <c r="BE69" s="70"/>
      <c r="BF69" s="18"/>
      <c r="BG69" s="18"/>
      <c r="BI69" s="95"/>
      <c r="BJ69" s="95"/>
    </row>
    <row r="70" spans="1:62">
      <c r="A70" s="2" t="s">
        <v>0</v>
      </c>
      <c r="C70" s="147">
        <f>SUM(C59:C69)</f>
        <v>20089982.375148546</v>
      </c>
      <c r="D70" s="26"/>
      <c r="E70" s="26"/>
      <c r="G70" s="26"/>
      <c r="I70" s="147">
        <f>SUM(I59:I69)</f>
        <v>10579172.338334061</v>
      </c>
      <c r="J70" s="147"/>
      <c r="K70" s="147">
        <f>SUM(K59:K69)</f>
        <v>6250102.8434147127</v>
      </c>
      <c r="L70" s="147"/>
      <c r="M70" s="147">
        <f>SUM(M59:M69)</f>
        <v>12078344.389999999</v>
      </c>
      <c r="N70" s="147"/>
      <c r="O70" s="147">
        <f>SUM(O59:O69)</f>
        <v>14561371.619999999</v>
      </c>
      <c r="P70" s="147"/>
      <c r="Q70" s="147">
        <f>SUM(Q59:Q69)</f>
        <v>23127132.618334062</v>
      </c>
      <c r="R70" s="147"/>
      <c r="S70" s="147">
        <f>SUM(S59:S69)</f>
        <v>21283179.743414715</v>
      </c>
      <c r="T70" s="147"/>
      <c r="U70" s="147">
        <f>SUM(U59:U69)</f>
        <v>21257634.42781378</v>
      </c>
      <c r="V70" s="147"/>
      <c r="W70" s="147">
        <f>SUM(W59:W69)</f>
        <v>8709674.1478137802</v>
      </c>
      <c r="X70" s="26"/>
      <c r="Y70" s="26"/>
      <c r="AA70" s="97" t="s">
        <v>0</v>
      </c>
      <c r="AB70" s="68">
        <f t="shared" ref="AB70" si="108">SUM(AB59:AB69)</f>
        <v>3129720.2244899999</v>
      </c>
      <c r="AC70" s="68">
        <f>SUM(AC59:AC69)</f>
        <v>12041738.889999999</v>
      </c>
      <c r="AD70" s="68">
        <f t="shared" ref="AD70:AG70" si="109">SUM(AD59:AD69)</f>
        <v>14298019.119999999</v>
      </c>
      <c r="AE70" s="68">
        <f t="shared" si="109"/>
        <v>9043064.9600000009</v>
      </c>
      <c r="AF70" s="68">
        <f t="shared" si="109"/>
        <v>12141164.52</v>
      </c>
      <c r="AG70" s="68">
        <f t="shared" si="109"/>
        <v>2156854.5999999996</v>
      </c>
      <c r="AH70" s="68">
        <f t="shared" ref="AH70" si="110">SUM(AH59:AH69)</f>
        <v>17617613.156652138</v>
      </c>
      <c r="AI70" s="68">
        <f t="shared" ref="AI70" si="111">SUM(AI59:AI69)</f>
        <v>1199050.8129309542</v>
      </c>
      <c r="AJ70" s="68"/>
      <c r="AT70" s="2" t="s">
        <v>0</v>
      </c>
      <c r="AV70" s="68">
        <v>1181422.9916260208</v>
      </c>
      <c r="AW70" s="68">
        <f>SUM(AW59:AW69)</f>
        <v>-1059356.6353702317</v>
      </c>
      <c r="AY70" s="97" t="s">
        <v>0</v>
      </c>
      <c r="AZ70" s="68">
        <f t="shared" ref="AZ70" si="112">SUM(AZ59:AZ69)</f>
        <v>2050173.5212115673</v>
      </c>
      <c r="BA70" s="68">
        <f>SUM(BA59:BA69)</f>
        <v>3759132.2399999998</v>
      </c>
      <c r="BB70" s="68">
        <f t="shared" ref="BB70:BE70" si="113">SUM(BB59:BB69)</f>
        <v>5542665.2400000002</v>
      </c>
      <c r="BC70" s="68">
        <f t="shared" si="113"/>
        <v>3759132.2399999998</v>
      </c>
      <c r="BD70" s="68">
        <f t="shared" si="113"/>
        <v>3759132.2399999998</v>
      </c>
      <c r="BE70" s="68">
        <f t="shared" si="113"/>
        <v>1783533</v>
      </c>
      <c r="BF70" s="18"/>
      <c r="BG70" s="18"/>
      <c r="BI70" s="95"/>
      <c r="BJ70" s="95"/>
    </row>
    <row r="71" spans="1:62">
      <c r="A71" s="6"/>
      <c r="B71" s="6"/>
      <c r="AH71" s="61"/>
      <c r="BI71" s="95"/>
      <c r="BJ71" s="95"/>
    </row>
    <row r="72" spans="1:62">
      <c r="A72" s="3"/>
      <c r="C72" s="195"/>
      <c r="D72" s="3"/>
      <c r="W72" s="19"/>
      <c r="AC72" s="68"/>
      <c r="AH72" s="61"/>
      <c r="AN72" s="19"/>
      <c r="BI72" s="95"/>
      <c r="BJ72" s="95"/>
    </row>
    <row r="73" spans="1:62">
      <c r="C73" s="141"/>
      <c r="AA73" s="6"/>
      <c r="AB73" s="196"/>
      <c r="AC73" s="66"/>
      <c r="AD73" s="66"/>
      <c r="AE73" s="16"/>
      <c r="AF73" s="16"/>
      <c r="AG73" s="22"/>
      <c r="AH73" s="61"/>
      <c r="AK73" s="6"/>
      <c r="AL73" s="196"/>
      <c r="AM73" s="66"/>
      <c r="AN73" s="66"/>
      <c r="AO73" s="16"/>
      <c r="AP73" s="16"/>
      <c r="AQ73" s="22"/>
      <c r="BI73" s="95"/>
      <c r="BJ73" s="95"/>
    </row>
    <row r="74" spans="1:62">
      <c r="A74" s="64" t="s">
        <v>104</v>
      </c>
      <c r="C74" s="3" t="s">
        <v>1491</v>
      </c>
      <c r="AA74" s="6"/>
      <c r="AB74" s="196"/>
      <c r="AC74" s="20"/>
      <c r="AD74" s="20"/>
      <c r="AE74" s="17"/>
      <c r="AF74" s="17"/>
      <c r="AG74" s="20"/>
      <c r="AH74" s="61"/>
      <c r="AK74" s="6"/>
      <c r="AL74" s="196"/>
      <c r="AM74" s="20"/>
      <c r="AN74" s="20"/>
      <c r="AO74" s="17"/>
      <c r="AP74" s="17"/>
      <c r="AQ74" s="20"/>
      <c r="BI74" s="95"/>
      <c r="BJ74" s="95"/>
    </row>
    <row r="75" spans="1:62">
      <c r="A75" s="52" t="s">
        <v>36</v>
      </c>
      <c r="C75" s="3" t="s">
        <v>985</v>
      </c>
      <c r="AA75" s="6"/>
      <c r="AB75" s="196"/>
      <c r="AC75" s="20"/>
      <c r="AD75" s="20"/>
      <c r="AE75" s="17"/>
      <c r="AF75" s="17"/>
      <c r="AG75" s="20"/>
      <c r="AH75" s="61"/>
      <c r="AK75" s="6"/>
      <c r="AL75" s="196"/>
      <c r="AM75" s="20"/>
      <c r="AN75" s="20"/>
      <c r="AO75" s="17"/>
      <c r="AP75" s="17"/>
      <c r="AQ75" s="20"/>
      <c r="BI75" s="95"/>
      <c r="BJ75" s="95"/>
    </row>
    <row r="76" spans="1:62">
      <c r="A76" s="52" t="s">
        <v>38</v>
      </c>
      <c r="C76" s="3" t="s">
        <v>986</v>
      </c>
      <c r="AA76" s="6"/>
      <c r="AB76" s="196"/>
      <c r="AC76" s="20"/>
      <c r="AD76" s="20"/>
      <c r="AE76" s="17"/>
      <c r="AF76" s="17"/>
      <c r="AG76" s="20"/>
      <c r="AH76" s="61"/>
      <c r="AK76" s="6"/>
      <c r="AL76" s="196"/>
      <c r="AM76" s="20"/>
      <c r="AN76" s="20"/>
      <c r="AO76" s="17"/>
      <c r="AP76" s="17"/>
      <c r="AQ76" s="20"/>
      <c r="BI76" s="95"/>
      <c r="BJ76" s="95"/>
    </row>
    <row r="77" spans="1:62">
      <c r="A77" s="64" t="s">
        <v>40</v>
      </c>
      <c r="C77" s="3" t="s">
        <v>609</v>
      </c>
      <c r="AA77" s="6"/>
      <c r="AB77" s="196"/>
      <c r="AC77" s="20"/>
      <c r="AD77" s="20"/>
      <c r="AE77" s="17"/>
      <c r="AF77" s="17"/>
      <c r="AG77" s="181"/>
      <c r="AH77" s="61"/>
      <c r="AK77" s="6"/>
      <c r="AL77" s="196"/>
      <c r="AM77" s="20"/>
      <c r="AN77" s="20"/>
      <c r="AO77" s="17"/>
      <c r="AP77" s="17"/>
      <c r="AQ77" s="181"/>
      <c r="BI77" s="95"/>
      <c r="BJ77" s="95"/>
    </row>
    <row r="78" spans="1:62">
      <c r="A78" s="64" t="s">
        <v>42</v>
      </c>
      <c r="C78" s="3" t="s">
        <v>596</v>
      </c>
      <c r="AA78" s="6"/>
      <c r="AB78" s="196"/>
      <c r="AC78" s="20"/>
      <c r="AD78" s="20"/>
      <c r="AE78" s="17"/>
      <c r="AF78" s="17"/>
      <c r="AG78" s="182"/>
      <c r="AH78" s="61"/>
      <c r="AK78" s="6"/>
      <c r="AL78" s="196"/>
      <c r="AM78" s="20"/>
      <c r="AN78" s="20"/>
      <c r="AO78" s="17"/>
      <c r="AP78" s="17"/>
      <c r="AQ78" s="182"/>
    </row>
    <row r="79" spans="1:62">
      <c r="A79" s="64" t="s">
        <v>30</v>
      </c>
      <c r="C79" s="3" t="s">
        <v>610</v>
      </c>
      <c r="AA79" s="6"/>
      <c r="AB79" s="196"/>
      <c r="AC79" s="20"/>
      <c r="AD79" s="20"/>
      <c r="AE79" s="17"/>
      <c r="AF79" s="17"/>
      <c r="AG79" s="182"/>
      <c r="AH79" s="61"/>
      <c r="AK79" s="6"/>
      <c r="AL79" s="196"/>
      <c r="AM79" s="20"/>
      <c r="AN79" s="20"/>
      <c r="AO79" s="17"/>
      <c r="AP79" s="17"/>
      <c r="AQ79" s="182"/>
    </row>
    <row r="80" spans="1:62">
      <c r="A80" s="64" t="s">
        <v>31</v>
      </c>
      <c r="C80" s="3" t="s">
        <v>610</v>
      </c>
      <c r="AA80" s="6"/>
      <c r="AB80" s="196"/>
      <c r="AC80" s="20"/>
      <c r="AD80" s="20"/>
      <c r="AE80" s="17"/>
      <c r="AF80" s="17"/>
      <c r="AG80" s="182"/>
      <c r="AH80" s="61"/>
      <c r="AK80" s="6"/>
      <c r="AL80" s="196"/>
      <c r="AM80" s="20"/>
      <c r="AN80" s="20"/>
      <c r="AO80" s="17"/>
      <c r="AP80" s="17"/>
      <c r="AQ80" s="182"/>
    </row>
    <row r="81" spans="1:43">
      <c r="A81" s="64" t="s">
        <v>103</v>
      </c>
      <c r="C81" s="3" t="s">
        <v>611</v>
      </c>
      <c r="AA81" s="6"/>
      <c r="AB81" s="196"/>
      <c r="AC81" s="20"/>
      <c r="AD81" s="20"/>
      <c r="AE81" s="17"/>
      <c r="AF81" s="17"/>
      <c r="AG81" s="182"/>
      <c r="AH81" s="61"/>
      <c r="AK81" s="6"/>
      <c r="AL81" s="196"/>
      <c r="AM81" s="20"/>
      <c r="AN81" s="20"/>
      <c r="AO81" s="17"/>
      <c r="AP81" s="17"/>
      <c r="AQ81" s="182"/>
    </row>
    <row r="82" spans="1:43">
      <c r="A82" s="64" t="s">
        <v>106</v>
      </c>
      <c r="C82" s="3" t="s">
        <v>612</v>
      </c>
      <c r="AA82" s="6"/>
      <c r="AB82" s="196"/>
      <c r="AC82" s="20"/>
      <c r="AD82" s="20"/>
      <c r="AE82" s="17"/>
      <c r="AF82" s="17"/>
      <c r="AG82" s="182"/>
      <c r="AH82" s="61"/>
      <c r="AK82" s="6"/>
      <c r="AL82" s="196"/>
      <c r="AM82" s="20"/>
      <c r="AN82" s="20"/>
      <c r="AO82" s="17"/>
      <c r="AP82" s="17"/>
      <c r="AQ82" s="182"/>
    </row>
    <row r="83" spans="1:43">
      <c r="A83" s="64" t="s">
        <v>134</v>
      </c>
      <c r="C83" s="3" t="s">
        <v>316</v>
      </c>
      <c r="AA83" s="6"/>
      <c r="AB83" s="196"/>
      <c r="AC83" s="20"/>
      <c r="AD83" s="20"/>
      <c r="AE83" s="17"/>
      <c r="AF83" s="17"/>
      <c r="AG83" s="182"/>
      <c r="AH83" s="61"/>
      <c r="AK83" s="6"/>
      <c r="AL83" s="196"/>
      <c r="AM83" s="20"/>
      <c r="AN83" s="20"/>
      <c r="AO83" s="17"/>
      <c r="AP83" s="17"/>
      <c r="AQ83" s="182"/>
    </row>
    <row r="84" spans="1:43">
      <c r="AA84" s="25" t="s">
        <v>685</v>
      </c>
      <c r="AB84" s="197"/>
      <c r="AC84" s="25" t="s">
        <v>685</v>
      </c>
      <c r="AD84" s="137"/>
      <c r="AE84" s="25" t="s">
        <v>685</v>
      </c>
      <c r="AF84" s="17"/>
      <c r="AG84" s="182"/>
      <c r="AH84" s="61"/>
      <c r="AK84" s="6"/>
      <c r="AL84" s="196"/>
      <c r="AM84" s="20"/>
      <c r="AN84" s="20"/>
      <c r="AO84" s="17"/>
      <c r="AP84" s="17"/>
      <c r="AQ84" s="182"/>
    </row>
    <row r="85" spans="1:43">
      <c r="AA85" s="25"/>
      <c r="AB85" s="197"/>
      <c r="AC85" s="137"/>
      <c r="AD85" s="137"/>
      <c r="AE85" s="69"/>
      <c r="AF85" s="17"/>
      <c r="AG85" s="182"/>
      <c r="AH85" s="61"/>
      <c r="AK85" s="6"/>
      <c r="AL85" s="196"/>
      <c r="AM85" s="20"/>
      <c r="AN85" s="20"/>
      <c r="AO85" s="17"/>
      <c r="AP85" s="17"/>
      <c r="AQ85" s="182"/>
    </row>
    <row r="86" spans="1:43">
      <c r="A86" s="52"/>
      <c r="C86" s="3"/>
      <c r="AA86" s="68">
        <f>M56+'Exhibit A, 1d'!E56</f>
        <v>471512.09</v>
      </c>
      <c r="AB86" s="61"/>
      <c r="AC86" s="68">
        <f>O56+'Exhibit A, 1d'!G56</f>
        <v>552998.30000000005</v>
      </c>
      <c r="AD86" s="61"/>
      <c r="AE86" s="68">
        <f>U56+'Exhibit A, 1d'!C56</f>
        <v>1308246.4448752345</v>
      </c>
      <c r="AK86" s="6"/>
      <c r="AL86" s="196"/>
      <c r="AM86" s="20"/>
      <c r="AN86" s="20"/>
      <c r="AO86" s="17"/>
      <c r="AP86" s="17"/>
      <c r="AQ86" s="182"/>
    </row>
    <row r="87" spans="1:43">
      <c r="A87" s="52"/>
      <c r="C87" s="3"/>
      <c r="AA87" s="198">
        <f>'Exhibit A,3'!O84</f>
        <v>0</v>
      </c>
      <c r="AB87" s="198"/>
      <c r="AC87" s="198">
        <f>'Exhibit A,3'!S84</f>
        <v>0</v>
      </c>
      <c r="AD87" s="61"/>
      <c r="AE87" s="61">
        <f>'Exhibit A,3'!AP87</f>
        <v>0</v>
      </c>
      <c r="AK87" s="2"/>
      <c r="AL87" s="61"/>
      <c r="AM87" s="61"/>
      <c r="AN87" s="61"/>
      <c r="AO87" s="61"/>
      <c r="AP87" s="61"/>
      <c r="AQ87" s="61"/>
    </row>
    <row r="88" spans="1:43">
      <c r="A88" s="52"/>
      <c r="C88" s="3"/>
      <c r="AA88" s="61"/>
      <c r="AB88" s="61"/>
      <c r="AC88" s="61"/>
      <c r="AD88" s="61"/>
      <c r="AE88" s="61"/>
      <c r="AK88" s="2"/>
      <c r="AL88" s="66"/>
      <c r="AM88" s="66"/>
      <c r="AN88" s="66"/>
      <c r="AO88" s="66"/>
      <c r="AP88" s="66"/>
      <c r="AQ88" s="66"/>
    </row>
    <row r="89" spans="1:43">
      <c r="A89" s="64"/>
      <c r="C89" s="3"/>
      <c r="AA89" s="68">
        <f>AA86+AA87</f>
        <v>471512.09</v>
      </c>
      <c r="AB89" s="61"/>
      <c r="AC89" s="68">
        <f>AC86+AC87</f>
        <v>552998.30000000005</v>
      </c>
      <c r="AD89" s="61"/>
      <c r="AE89" s="68">
        <f>AE86+AE87</f>
        <v>1308246.4448752345</v>
      </c>
      <c r="AK89" s="61"/>
      <c r="AL89" s="61"/>
      <c r="AM89" s="61"/>
      <c r="AN89" s="61"/>
      <c r="AO89" s="61"/>
      <c r="AP89" s="61"/>
      <c r="AQ89" s="61"/>
    </row>
    <row r="90" spans="1:43">
      <c r="A90" s="64"/>
      <c r="C90" s="3"/>
      <c r="AA90" s="61"/>
      <c r="AB90" s="61"/>
      <c r="AC90" s="61"/>
      <c r="AD90" s="61"/>
      <c r="AE90" s="61"/>
    </row>
    <row r="91" spans="1:43">
      <c r="A91" s="64"/>
      <c r="C91" s="3"/>
      <c r="AB91" s="61"/>
      <c r="AC91" s="44"/>
      <c r="AD91" s="44"/>
      <c r="AE91" s="44"/>
      <c r="AF91" s="44"/>
      <c r="AG91" s="44"/>
      <c r="AH91" s="61"/>
      <c r="AL91" s="61"/>
      <c r="AM91" s="44"/>
      <c r="AN91" s="44"/>
      <c r="AO91" s="44"/>
      <c r="AP91" s="44"/>
      <c r="AQ91" s="44"/>
    </row>
    <row r="92" spans="1:43">
      <c r="A92" s="64"/>
      <c r="C92" s="3"/>
      <c r="AB92" s="61"/>
      <c r="AC92" s="44"/>
      <c r="AD92" s="44"/>
      <c r="AE92" s="44"/>
      <c r="AF92" s="44"/>
      <c r="AG92" s="44"/>
      <c r="AH92" s="61"/>
      <c r="AL92" s="61"/>
      <c r="AM92" s="44"/>
      <c r="AN92" s="44"/>
      <c r="AO92" s="44"/>
      <c r="AP92" s="44"/>
      <c r="AQ92" s="44"/>
    </row>
    <row r="93" spans="1:43">
      <c r="A93" s="64"/>
      <c r="C93" s="3"/>
      <c r="AB93" s="61"/>
      <c r="AC93" s="45"/>
      <c r="AD93" s="45"/>
      <c r="AE93" s="45"/>
      <c r="AF93" s="45"/>
      <c r="AG93" s="45"/>
      <c r="AH93" s="61"/>
      <c r="AL93" s="61"/>
      <c r="AM93" s="45"/>
      <c r="AN93" s="45"/>
      <c r="AO93" s="45"/>
      <c r="AP93" s="45"/>
      <c r="AQ93" s="45"/>
    </row>
    <row r="94" spans="1:43">
      <c r="AB94" s="61"/>
      <c r="AD94" s="61"/>
      <c r="AE94" s="61"/>
      <c r="AH94" s="61"/>
      <c r="AN94" s="61"/>
      <c r="AO94" s="61"/>
    </row>
    <row r="95" spans="1:43">
      <c r="AA95" s="25"/>
      <c r="AD95" s="61"/>
      <c r="AE95" s="61"/>
      <c r="AK95" s="25"/>
      <c r="AN95" s="61"/>
      <c r="AO95" s="61"/>
    </row>
    <row r="96" spans="1:43">
      <c r="AA96" s="25"/>
      <c r="AD96" s="61"/>
      <c r="AE96" s="61"/>
      <c r="AK96" s="25"/>
      <c r="AN96" s="61"/>
      <c r="AO96" s="61"/>
    </row>
    <row r="97" spans="27:43">
      <c r="AA97" s="25"/>
      <c r="AD97" s="61"/>
      <c r="AE97" s="61"/>
      <c r="AK97" s="25"/>
      <c r="AN97" s="61"/>
      <c r="AO97" s="61"/>
    </row>
    <row r="98" spans="27:43">
      <c r="AA98" s="25"/>
      <c r="AK98" s="25"/>
    </row>
    <row r="99" spans="27:43">
      <c r="AA99" s="25"/>
      <c r="AK99" s="25"/>
    </row>
    <row r="100" spans="27:43">
      <c r="AA100" s="25"/>
      <c r="AK100" s="25"/>
    </row>
    <row r="101" spans="27:43">
      <c r="AA101" s="25"/>
      <c r="AK101" s="25"/>
    </row>
    <row r="102" spans="27:43">
      <c r="AA102" s="25"/>
      <c r="AK102" s="25"/>
    </row>
    <row r="103" spans="27:43">
      <c r="AA103" s="25"/>
      <c r="AK103" s="25"/>
    </row>
    <row r="104" spans="27:43">
      <c r="AA104" s="25"/>
      <c r="AK104" s="25"/>
    </row>
    <row r="105" spans="27:43">
      <c r="AA105" s="25"/>
      <c r="AK105" s="25"/>
    </row>
    <row r="106" spans="27:43">
      <c r="AA106" s="25"/>
      <c r="AK106" s="25"/>
    </row>
    <row r="107" spans="27:43">
      <c r="AA107" s="25"/>
      <c r="AK107" s="25"/>
    </row>
    <row r="108" spans="27:43">
      <c r="AA108" s="25"/>
      <c r="AK108" s="25"/>
    </row>
    <row r="109" spans="27:43">
      <c r="AA109" s="25"/>
      <c r="AK109" s="25"/>
    </row>
    <row r="110" spans="27:43">
      <c r="AA110" s="97"/>
      <c r="AB110" s="70"/>
      <c r="AC110" s="70"/>
      <c r="AD110" s="70"/>
      <c r="AE110" s="70"/>
      <c r="AF110" s="70"/>
      <c r="AG110" s="70"/>
      <c r="AH110" s="61"/>
      <c r="AK110" s="97"/>
      <c r="AL110" s="122"/>
      <c r="AM110" s="122"/>
      <c r="AN110" s="122"/>
      <c r="AO110" s="122"/>
      <c r="AP110" s="122"/>
      <c r="AQ110" s="122"/>
    </row>
    <row r="111" spans="27:43">
      <c r="AA111" s="97"/>
      <c r="AB111" s="122"/>
      <c r="AC111" s="122"/>
      <c r="AD111" s="122"/>
      <c r="AE111" s="122"/>
      <c r="AF111" s="122"/>
      <c r="AG111" s="122"/>
      <c r="AH111" s="122"/>
      <c r="AK111" s="97"/>
      <c r="AL111" s="122"/>
      <c r="AM111" s="122"/>
      <c r="AN111" s="122"/>
      <c r="AO111" s="122"/>
      <c r="AP111" s="122"/>
      <c r="AQ111" s="122"/>
    </row>
  </sheetData>
  <printOptions horizontalCentered="1"/>
  <pageMargins left="0.7" right="0.7" top="0.75" bottom="0.75" header="0.3" footer="0.3"/>
  <pageSetup scale="50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79">
    <tabColor rgb="FFFF0000"/>
    <pageSetUpPr fitToPage="1"/>
  </sheetPr>
  <dimension ref="A1:DD104"/>
  <sheetViews>
    <sheetView topLeftCell="X39" zoomScale="80" zoomScaleNormal="80" workbookViewId="0">
      <selection activeCell="AI24" sqref="AI24"/>
    </sheetView>
  </sheetViews>
  <sheetFormatPr baseColWidth="10" defaultColWidth="8.7109375" defaultRowHeight="15"/>
  <cols>
    <col min="1" max="1" width="15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9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2.7109375" style="1" customWidth="1"/>
    <col min="12" max="12" width="1.7109375" style="1" customWidth="1"/>
    <col min="13" max="13" width="12.7109375" style="1" customWidth="1"/>
    <col min="14" max="14" width="1.7109375" style="1" customWidth="1"/>
    <col min="15" max="15" width="12.7109375" style="1" customWidth="1"/>
    <col min="16" max="16" width="1.7109375" style="1" customWidth="1"/>
    <col min="17" max="17" width="11.7109375" style="1" customWidth="1"/>
    <col min="18" max="18" width="1.7109375" style="1" customWidth="1"/>
    <col min="19" max="19" width="11.7109375" style="1" customWidth="1"/>
    <col min="20" max="20" width="1.7109375" style="1" customWidth="1"/>
    <col min="21" max="21" width="11.7109375" style="1" customWidth="1"/>
    <col min="22" max="22" width="1.7109375" style="1" customWidth="1"/>
    <col min="23" max="23" width="11.7109375" style="1" customWidth="1"/>
    <col min="24" max="24" width="1.7109375" style="1" customWidth="1"/>
    <col min="25" max="25" width="12.7109375" style="1" customWidth="1"/>
    <col min="26" max="26" width="1.7109375" style="1" customWidth="1"/>
    <col min="27" max="27" width="11.7109375" style="1" customWidth="1"/>
    <col min="28" max="28" width="1.7109375" style="1" customWidth="1"/>
    <col min="29" max="29" width="11.7109375" style="1" customWidth="1"/>
    <col min="30" max="30" width="1.7109375" style="1" customWidth="1"/>
    <col min="31" max="31" width="11.7109375" style="1" customWidth="1"/>
    <col min="32" max="32" width="1.7109375" style="1" customWidth="1"/>
    <col min="33" max="33" width="12.7109375" style="1" customWidth="1"/>
    <col min="34" max="34" width="1.7109375" style="1" customWidth="1"/>
    <col min="35" max="35" width="12.7109375" style="1" customWidth="1"/>
    <col min="36" max="36" width="1.7109375" style="1" customWidth="1"/>
    <col min="37" max="78" width="12.7109375" style="1" customWidth="1"/>
    <col min="79" max="79" width="8.7109375" style="1"/>
    <col min="80" max="84" width="12.7109375" style="1" customWidth="1"/>
    <col min="85" max="85" width="13.7109375" style="1" customWidth="1"/>
    <col min="86" max="88" width="12.7109375" style="1" customWidth="1"/>
    <col min="89" max="91" width="9.7109375" style="1" bestFit="1" customWidth="1"/>
    <col min="92" max="95" width="8.7109375" style="1"/>
    <col min="96" max="97" width="11.28515625" style="1" bestFit="1" customWidth="1"/>
    <col min="98" max="99" width="11.140625" style="1" bestFit="1" customWidth="1"/>
    <col min="100" max="100" width="8.85546875" style="1" bestFit="1" customWidth="1"/>
    <col min="101" max="16384" width="8.7109375" style="1"/>
  </cols>
  <sheetData>
    <row r="1" spans="1:108">
      <c r="Y1" s="3"/>
      <c r="AG1" s="3"/>
      <c r="AH1" s="3"/>
      <c r="AI1" s="3"/>
      <c r="AJ1" s="3"/>
      <c r="AK1" s="64" t="s">
        <v>121</v>
      </c>
    </row>
    <row r="2" spans="1:108">
      <c r="Y2" s="3"/>
      <c r="AG2" s="3"/>
      <c r="AH2" s="3"/>
      <c r="AI2" s="3"/>
      <c r="AJ2" s="3"/>
      <c r="AK2" s="64" t="s">
        <v>66</v>
      </c>
    </row>
    <row r="4" spans="1:108" ht="16">
      <c r="B4" s="5"/>
      <c r="C4" s="5"/>
      <c r="D4" s="5"/>
      <c r="E4" s="5"/>
      <c r="F4" s="5"/>
      <c r="G4" s="4" t="s">
        <v>1550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140"/>
    </row>
    <row r="5" spans="1:108"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140"/>
      <c r="AM5" s="6"/>
      <c r="AR5" s="6"/>
      <c r="AT5" s="6"/>
      <c r="AV5" s="6"/>
      <c r="AX5" s="6"/>
      <c r="BF5" s="6"/>
      <c r="BG5" s="6"/>
      <c r="BH5" s="6"/>
      <c r="BI5" s="6"/>
      <c r="BJ5" s="6"/>
      <c r="BK5" s="6"/>
      <c r="BM5" s="6"/>
      <c r="BO5" s="6"/>
      <c r="BP5" s="6"/>
      <c r="BS5" s="6"/>
    </row>
    <row r="6" spans="1:108">
      <c r="G6" s="5" t="s">
        <v>293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133"/>
      <c r="AG6" s="133"/>
      <c r="AH6" s="133"/>
      <c r="AI6" s="133"/>
      <c r="AJ6" s="133"/>
      <c r="AK6" s="133"/>
      <c r="AL6" s="3"/>
      <c r="AM6" s="2"/>
      <c r="AN6" s="2"/>
      <c r="AO6" s="2"/>
      <c r="AP6" s="2"/>
      <c r="AR6" s="6"/>
      <c r="AS6" s="6"/>
      <c r="AT6" s="6"/>
      <c r="AV6" s="6"/>
      <c r="AX6" s="6"/>
      <c r="BF6" s="2"/>
      <c r="BG6" s="2"/>
      <c r="BH6" s="2"/>
      <c r="BI6" s="2"/>
      <c r="BJ6" s="2"/>
      <c r="BK6" s="2"/>
      <c r="BM6" s="2"/>
      <c r="BO6" s="2"/>
      <c r="BP6" s="2"/>
      <c r="BS6" s="2"/>
    </row>
    <row r="7" spans="1:108">
      <c r="G7" s="5" t="s">
        <v>634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133"/>
      <c r="AG7" s="133"/>
      <c r="AH7" s="133"/>
      <c r="AI7" s="133"/>
      <c r="AJ7" s="133"/>
      <c r="AK7" s="133"/>
      <c r="AL7" s="3"/>
      <c r="AM7" s="2"/>
      <c r="AN7" s="2"/>
      <c r="AO7" s="2"/>
      <c r="AP7" s="2"/>
      <c r="AR7" s="6"/>
      <c r="AS7" s="6"/>
      <c r="AT7" s="6"/>
      <c r="AV7" s="2"/>
      <c r="AX7" s="2"/>
      <c r="BF7" s="2"/>
      <c r="BG7" s="2"/>
      <c r="BH7" s="2"/>
      <c r="BI7" s="2"/>
      <c r="BJ7" s="2"/>
      <c r="BK7" s="2"/>
      <c r="BM7" s="2"/>
      <c r="BO7" s="2"/>
      <c r="BP7" s="2"/>
      <c r="BS7" s="2"/>
    </row>
    <row r="8" spans="1:108">
      <c r="G8" s="5" t="s">
        <v>391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43"/>
      <c r="AE8" s="543"/>
      <c r="AF8" s="133"/>
      <c r="AG8" s="133"/>
      <c r="AH8" s="133"/>
      <c r="AI8" s="133"/>
      <c r="AJ8" s="133"/>
      <c r="AK8" s="133"/>
      <c r="AL8" s="3"/>
      <c r="AM8" s="61" t="s">
        <v>478</v>
      </c>
      <c r="AN8" s="61"/>
      <c r="AO8" s="61"/>
      <c r="AP8" s="61"/>
      <c r="AQ8" s="61"/>
      <c r="AR8" s="61"/>
      <c r="AS8" s="61"/>
      <c r="AT8" s="61" t="s">
        <v>560</v>
      </c>
      <c r="AU8" s="61" t="s">
        <v>585</v>
      </c>
      <c r="AV8" s="61"/>
      <c r="AW8" s="61"/>
      <c r="AX8" s="61"/>
      <c r="AY8" s="61"/>
      <c r="AZ8" s="61"/>
      <c r="BA8" s="61" t="s">
        <v>560</v>
      </c>
      <c r="BB8" s="61" t="s">
        <v>1613</v>
      </c>
      <c r="BC8" s="61"/>
      <c r="BD8" s="61"/>
      <c r="BE8" s="61"/>
      <c r="BF8" s="61"/>
      <c r="BG8" s="61"/>
      <c r="BH8" s="61"/>
      <c r="BI8" s="61" t="s">
        <v>560</v>
      </c>
      <c r="BJ8" s="61" t="s">
        <v>1495</v>
      </c>
      <c r="BK8" s="61"/>
      <c r="BL8" s="61"/>
      <c r="BM8" s="61"/>
      <c r="BN8" s="61"/>
      <c r="BO8" s="61"/>
      <c r="BP8" s="61"/>
      <c r="BS8" s="2"/>
      <c r="CB8" s="61" t="s">
        <v>478</v>
      </c>
      <c r="CC8" s="61"/>
      <c r="CD8" s="61"/>
      <c r="CE8" s="61"/>
      <c r="CF8" s="61"/>
      <c r="CG8" s="61"/>
      <c r="CH8" s="61"/>
      <c r="CI8" s="61" t="s">
        <v>560</v>
      </c>
      <c r="CJ8" s="61" t="s">
        <v>585</v>
      </c>
      <c r="CK8" s="61"/>
      <c r="CL8" s="61"/>
      <c r="CM8" s="61"/>
      <c r="CN8" s="61"/>
      <c r="CO8" s="61"/>
      <c r="CP8" s="61" t="s">
        <v>560</v>
      </c>
      <c r="CQ8" s="61" t="s">
        <v>1613</v>
      </c>
      <c r="CR8" s="61"/>
      <c r="CS8" s="61"/>
      <c r="CT8" s="61"/>
      <c r="CU8" s="61"/>
      <c r="CV8" s="61"/>
      <c r="CW8" s="61"/>
      <c r="CX8" s="61" t="s">
        <v>560</v>
      </c>
      <c r="CY8" s="61" t="s">
        <v>1495</v>
      </c>
      <c r="CZ8" s="61"/>
      <c r="DA8" s="61"/>
      <c r="DB8" s="61"/>
      <c r="DC8" s="61"/>
      <c r="DD8" s="61"/>
    </row>
    <row r="9" spans="1:108" ht="16">
      <c r="A9" s="5"/>
      <c r="B9" s="5"/>
      <c r="AE9" s="6" t="s">
        <v>11</v>
      </c>
      <c r="AF9" s="6"/>
      <c r="AG9" s="6" t="s">
        <v>11</v>
      </c>
      <c r="AH9" s="6"/>
      <c r="AI9" s="6"/>
      <c r="AJ9" s="6"/>
      <c r="AN9" s="61"/>
      <c r="AO9" s="411"/>
      <c r="AP9" s="95"/>
      <c r="AQ9" s="364"/>
      <c r="AR9" s="364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CC9" s="61"/>
      <c r="CW9" s="61"/>
      <c r="CX9" s="61"/>
      <c r="CY9" s="61"/>
      <c r="CZ9" s="61"/>
      <c r="DA9" s="61"/>
      <c r="DB9" s="61"/>
      <c r="DC9" s="61"/>
      <c r="DD9" s="61"/>
    </row>
    <row r="10" spans="1:108">
      <c r="C10" s="6" t="s">
        <v>562</v>
      </c>
      <c r="D10" s="6"/>
      <c r="I10" s="6" t="s">
        <v>562</v>
      </c>
      <c r="J10" s="6"/>
      <c r="K10" s="6" t="s">
        <v>562</v>
      </c>
      <c r="L10" s="6"/>
      <c r="O10" s="6" t="s">
        <v>562</v>
      </c>
      <c r="Q10" s="6" t="s">
        <v>575</v>
      </c>
      <c r="S10" s="6" t="s">
        <v>562</v>
      </c>
      <c r="U10" s="6" t="s">
        <v>575</v>
      </c>
      <c r="W10" s="6" t="s">
        <v>14</v>
      </c>
      <c r="Y10" s="6" t="s">
        <v>12</v>
      </c>
      <c r="AA10" s="6" t="s">
        <v>14</v>
      </c>
      <c r="AC10" s="6" t="s">
        <v>12</v>
      </c>
      <c r="AE10" s="6" t="s">
        <v>14</v>
      </c>
      <c r="AG10" s="6" t="s">
        <v>12</v>
      </c>
      <c r="AH10" s="6"/>
      <c r="AI10" s="6"/>
      <c r="AJ10" s="6"/>
      <c r="AM10" s="61" t="s">
        <v>1596</v>
      </c>
      <c r="AO10" s="25">
        <v>2022</v>
      </c>
      <c r="AP10" s="25">
        <v>2022</v>
      </c>
      <c r="AQ10" s="25" t="s">
        <v>2</v>
      </c>
      <c r="AR10" s="25" t="s">
        <v>2</v>
      </c>
      <c r="AS10" s="61"/>
      <c r="AT10" s="61" t="s">
        <v>1596</v>
      </c>
      <c r="AV10" s="25">
        <v>2022</v>
      </c>
      <c r="AW10" s="25">
        <v>2022</v>
      </c>
      <c r="AX10" s="25" t="s">
        <v>2</v>
      </c>
      <c r="AY10" s="25" t="s">
        <v>2</v>
      </c>
      <c r="AZ10" s="61"/>
      <c r="BA10" s="61" t="s">
        <v>1596</v>
      </c>
      <c r="BC10" s="25">
        <v>2022</v>
      </c>
      <c r="BD10" s="25">
        <v>2022</v>
      </c>
      <c r="BE10" s="25" t="s">
        <v>2</v>
      </c>
      <c r="BF10" s="25" t="s">
        <v>2</v>
      </c>
      <c r="BG10" s="61"/>
      <c r="BH10" s="61"/>
      <c r="BI10" s="61" t="s">
        <v>1596</v>
      </c>
      <c r="BK10" s="25">
        <v>2022</v>
      </c>
      <c r="BL10" s="25">
        <v>2022</v>
      </c>
      <c r="BM10" s="25" t="s">
        <v>2</v>
      </c>
      <c r="BN10" s="25" t="s">
        <v>2</v>
      </c>
      <c r="BO10" s="61"/>
      <c r="BP10" s="61"/>
      <c r="BQ10" s="97"/>
      <c r="BR10" s="97"/>
      <c r="BS10" s="97" t="s">
        <v>2</v>
      </c>
      <c r="CA10" s="25"/>
      <c r="CB10" s="61" t="s">
        <v>1596</v>
      </c>
      <c r="CD10" s="25">
        <v>2022</v>
      </c>
      <c r="CE10" s="25">
        <v>2022</v>
      </c>
      <c r="CF10" s="44" t="s">
        <v>2</v>
      </c>
      <c r="CG10" s="44" t="s">
        <v>2</v>
      </c>
      <c r="CH10" s="44"/>
      <c r="CI10" s="61" t="s">
        <v>1596</v>
      </c>
      <c r="CK10" s="25">
        <v>2022</v>
      </c>
      <c r="CL10" s="25">
        <v>2022</v>
      </c>
      <c r="CM10" s="44" t="s">
        <v>2</v>
      </c>
      <c r="CN10" s="44" t="s">
        <v>2</v>
      </c>
      <c r="CO10" s="61"/>
      <c r="CP10" s="61" t="s">
        <v>1596</v>
      </c>
      <c r="CR10" s="25">
        <v>2022</v>
      </c>
      <c r="CS10" s="25">
        <v>2022</v>
      </c>
      <c r="CT10" s="44" t="s">
        <v>2</v>
      </c>
      <c r="CU10" s="44" t="s">
        <v>2</v>
      </c>
      <c r="CV10" s="61"/>
      <c r="CW10" s="61"/>
      <c r="CX10" s="61" t="s">
        <v>1596</v>
      </c>
      <c r="CZ10" s="25">
        <v>2022</v>
      </c>
      <c r="DA10" s="25">
        <v>2022</v>
      </c>
      <c r="DB10" s="44" t="s">
        <v>2</v>
      </c>
      <c r="DC10" s="44" t="s">
        <v>2</v>
      </c>
      <c r="DD10" s="61"/>
    </row>
    <row r="11" spans="1:108">
      <c r="C11" s="6" t="s">
        <v>565</v>
      </c>
      <c r="D11" s="6"/>
      <c r="E11" s="6" t="s">
        <v>7</v>
      </c>
      <c r="F11" s="6"/>
      <c r="G11" s="6" t="s">
        <v>7</v>
      </c>
      <c r="H11" s="6"/>
      <c r="I11" s="2" t="s">
        <v>7</v>
      </c>
      <c r="J11" s="2"/>
      <c r="K11" s="2" t="s">
        <v>7</v>
      </c>
      <c r="L11" s="2"/>
      <c r="M11" s="2" t="s">
        <v>575</v>
      </c>
      <c r="O11" s="6" t="s">
        <v>64</v>
      </c>
      <c r="P11" s="6"/>
      <c r="Q11" s="6" t="s">
        <v>64</v>
      </c>
      <c r="S11" s="6" t="s">
        <v>64</v>
      </c>
      <c r="T11" s="6"/>
      <c r="U11" s="6" t="s">
        <v>64</v>
      </c>
      <c r="W11" s="6" t="s">
        <v>153</v>
      </c>
      <c r="Y11" s="6" t="s">
        <v>153</v>
      </c>
      <c r="AA11" s="2" t="s">
        <v>154</v>
      </c>
      <c r="AC11" s="2" t="s">
        <v>154</v>
      </c>
      <c r="AE11" s="2" t="s">
        <v>154</v>
      </c>
      <c r="AG11" s="2" t="s">
        <v>154</v>
      </c>
      <c r="AH11" s="2"/>
      <c r="AI11" s="2" t="s">
        <v>1</v>
      </c>
      <c r="AO11" s="44" t="s">
        <v>17</v>
      </c>
      <c r="AP11" s="44" t="s">
        <v>17</v>
      </c>
      <c r="AQ11" s="44" t="s">
        <v>17</v>
      </c>
      <c r="AR11" s="44" t="s">
        <v>17</v>
      </c>
      <c r="AS11" s="44" t="s">
        <v>1606</v>
      </c>
      <c r="AV11" s="44" t="s">
        <v>17</v>
      </c>
      <c r="AW11" s="44" t="s">
        <v>17</v>
      </c>
      <c r="AX11" s="44" t="s">
        <v>17</v>
      </c>
      <c r="AY11" s="44" t="s">
        <v>17</v>
      </c>
      <c r="AZ11" s="44" t="s">
        <v>1606</v>
      </c>
      <c r="BC11" s="44" t="s">
        <v>17</v>
      </c>
      <c r="BD11" s="44" t="s">
        <v>17</v>
      </c>
      <c r="BE11" s="44" t="s">
        <v>17</v>
      </c>
      <c r="BF11" s="44" t="s">
        <v>17</v>
      </c>
      <c r="BG11" s="44" t="s">
        <v>1606</v>
      </c>
      <c r="BH11" s="44"/>
      <c r="BK11" s="44" t="s">
        <v>17</v>
      </c>
      <c r="BL11" s="44" t="s">
        <v>17</v>
      </c>
      <c r="BM11" s="44" t="s">
        <v>17</v>
      </c>
      <c r="BN11" s="44" t="s">
        <v>17</v>
      </c>
      <c r="BO11" s="44" t="s">
        <v>1606</v>
      </c>
      <c r="BP11" s="44"/>
      <c r="BQ11" s="97"/>
      <c r="BR11" s="97"/>
      <c r="BS11" s="97" t="s">
        <v>1</v>
      </c>
      <c r="BZ11" s="61"/>
      <c r="CA11" s="25"/>
      <c r="CD11" s="25" t="s">
        <v>1691</v>
      </c>
      <c r="CE11" s="25" t="s">
        <v>1691</v>
      </c>
      <c r="CF11" s="25" t="s">
        <v>1691</v>
      </c>
      <c r="CG11" s="25" t="s">
        <v>1691</v>
      </c>
      <c r="CH11" s="25" t="s">
        <v>1606</v>
      </c>
      <c r="CI11" s="61"/>
      <c r="CJ11" s="61"/>
      <c r="CK11" s="25" t="s">
        <v>1691</v>
      </c>
      <c r="CL11" s="25" t="s">
        <v>1691</v>
      </c>
      <c r="CM11" s="25">
        <v>2022</v>
      </c>
      <c r="CN11" s="25">
        <v>2022</v>
      </c>
      <c r="CO11" s="61" t="s">
        <v>1606</v>
      </c>
      <c r="CP11" s="61"/>
      <c r="CQ11" s="61"/>
      <c r="CR11" s="25" t="s">
        <v>1691</v>
      </c>
      <c r="CS11" s="25" t="s">
        <v>1691</v>
      </c>
      <c r="CT11" s="25">
        <v>2022</v>
      </c>
      <c r="CU11" s="25">
        <v>2022</v>
      </c>
      <c r="CV11" s="61" t="s">
        <v>1606</v>
      </c>
      <c r="CW11" s="44"/>
      <c r="CZ11" s="25" t="s">
        <v>1691</v>
      </c>
      <c r="DA11" s="25" t="s">
        <v>1691</v>
      </c>
      <c r="DB11" s="25">
        <v>2022</v>
      </c>
      <c r="DC11" s="25">
        <v>2022</v>
      </c>
      <c r="DD11" s="44" t="s">
        <v>1606</v>
      </c>
    </row>
    <row r="12" spans="1:108">
      <c r="A12" s="2" t="s">
        <v>203</v>
      </c>
      <c r="C12" s="6" t="s">
        <v>7</v>
      </c>
      <c r="D12" s="6"/>
      <c r="E12" s="6" t="s">
        <v>62</v>
      </c>
      <c r="F12" s="6"/>
      <c r="G12" s="6" t="s">
        <v>62</v>
      </c>
      <c r="H12" s="6"/>
      <c r="I12" s="2" t="s">
        <v>63</v>
      </c>
      <c r="J12" s="2"/>
      <c r="K12" s="2" t="s">
        <v>69</v>
      </c>
      <c r="L12" s="2"/>
      <c r="M12" s="2" t="s">
        <v>381</v>
      </c>
      <c r="O12" s="6" t="s">
        <v>14</v>
      </c>
      <c r="P12" s="6"/>
      <c r="Q12" s="6" t="s">
        <v>14</v>
      </c>
      <c r="S12" s="6" t="s">
        <v>12</v>
      </c>
      <c r="T12" s="6"/>
      <c r="U12" s="6" t="s">
        <v>12</v>
      </c>
      <c r="W12" s="2" t="s">
        <v>67</v>
      </c>
      <c r="Y12" s="2" t="s">
        <v>67</v>
      </c>
      <c r="AA12" s="2" t="s">
        <v>67</v>
      </c>
      <c r="AC12" s="2" t="s">
        <v>67</v>
      </c>
      <c r="AE12" s="2" t="s">
        <v>67</v>
      </c>
      <c r="AG12" s="2" t="s">
        <v>67</v>
      </c>
      <c r="AH12" s="2"/>
      <c r="AI12" s="2" t="s">
        <v>67</v>
      </c>
      <c r="AK12" s="2" t="s">
        <v>63</v>
      </c>
      <c r="AL12" s="61"/>
      <c r="AM12" s="25" t="s">
        <v>203</v>
      </c>
      <c r="AN12" s="25" t="s">
        <v>177</v>
      </c>
      <c r="AO12" s="44" t="s">
        <v>14</v>
      </c>
      <c r="AP12" s="44" t="s">
        <v>12</v>
      </c>
      <c r="AQ12" s="44" t="s">
        <v>14</v>
      </c>
      <c r="AR12" s="44" t="s">
        <v>12</v>
      </c>
      <c r="AS12" s="44" t="s">
        <v>12</v>
      </c>
      <c r="AT12" s="25" t="s">
        <v>203</v>
      </c>
      <c r="AU12" s="25" t="s">
        <v>177</v>
      </c>
      <c r="AV12" s="44" t="s">
        <v>14</v>
      </c>
      <c r="AW12" s="44" t="s">
        <v>12</v>
      </c>
      <c r="AX12" s="44" t="s">
        <v>14</v>
      </c>
      <c r="AY12" s="44" t="s">
        <v>12</v>
      </c>
      <c r="AZ12" s="44" t="s">
        <v>12</v>
      </c>
      <c r="BA12" s="25" t="s">
        <v>203</v>
      </c>
      <c r="BB12" s="25" t="s">
        <v>177</v>
      </c>
      <c r="BC12" s="44" t="s">
        <v>14</v>
      </c>
      <c r="BD12" s="44" t="s">
        <v>12</v>
      </c>
      <c r="BE12" s="44" t="s">
        <v>14</v>
      </c>
      <c r="BF12" s="44" t="s">
        <v>12</v>
      </c>
      <c r="BG12" s="44" t="s">
        <v>12</v>
      </c>
      <c r="BH12" s="44"/>
      <c r="BI12" s="25" t="s">
        <v>203</v>
      </c>
      <c r="BJ12" s="25" t="s">
        <v>177</v>
      </c>
      <c r="BK12" s="44" t="s">
        <v>14</v>
      </c>
      <c r="BL12" s="44" t="s">
        <v>12</v>
      </c>
      <c r="BM12" s="44" t="s">
        <v>14</v>
      </c>
      <c r="BN12" s="44" t="s">
        <v>12</v>
      </c>
      <c r="BO12" s="44" t="s">
        <v>12</v>
      </c>
      <c r="BP12" s="44"/>
      <c r="BS12" s="97" t="s">
        <v>67</v>
      </c>
      <c r="BU12" s="25" t="s">
        <v>1617</v>
      </c>
      <c r="BV12" s="61" t="s">
        <v>1616</v>
      </c>
      <c r="BW12" s="61"/>
      <c r="BX12" s="61" t="s">
        <v>1616</v>
      </c>
      <c r="BY12" s="61"/>
      <c r="BZ12" s="61"/>
      <c r="CB12" s="25" t="s">
        <v>203</v>
      </c>
      <c r="CC12" s="25" t="s">
        <v>177</v>
      </c>
      <c r="CD12" s="44" t="s">
        <v>14</v>
      </c>
      <c r="CE12" s="44" t="s">
        <v>12</v>
      </c>
      <c r="CF12" s="44" t="s">
        <v>14</v>
      </c>
      <c r="CG12" s="44" t="s">
        <v>12</v>
      </c>
      <c r="CH12" s="44" t="s">
        <v>12</v>
      </c>
      <c r="CI12" s="25" t="s">
        <v>203</v>
      </c>
      <c r="CJ12" s="25" t="s">
        <v>177</v>
      </c>
      <c r="CK12" s="44" t="s">
        <v>14</v>
      </c>
      <c r="CL12" s="44" t="s">
        <v>12</v>
      </c>
      <c r="CM12" s="44" t="s">
        <v>14</v>
      </c>
      <c r="CN12" s="44" t="s">
        <v>12</v>
      </c>
      <c r="CO12" s="44" t="s">
        <v>12</v>
      </c>
      <c r="CP12" s="25" t="s">
        <v>203</v>
      </c>
      <c r="CQ12" s="25" t="s">
        <v>177</v>
      </c>
      <c r="CR12" s="44" t="s">
        <v>14</v>
      </c>
      <c r="CS12" s="44" t="s">
        <v>12</v>
      </c>
      <c r="CT12" s="44" t="s">
        <v>14</v>
      </c>
      <c r="CU12" s="44" t="s">
        <v>12</v>
      </c>
      <c r="CV12" s="44" t="s">
        <v>12</v>
      </c>
      <c r="CW12" s="44"/>
      <c r="CX12" s="25" t="s">
        <v>203</v>
      </c>
      <c r="CY12" s="25" t="s">
        <v>177</v>
      </c>
      <c r="CZ12" s="44" t="s">
        <v>14</v>
      </c>
      <c r="DA12" s="44" t="s">
        <v>12</v>
      </c>
      <c r="DB12" s="44" t="s">
        <v>14</v>
      </c>
      <c r="DC12" s="44" t="s">
        <v>12</v>
      </c>
      <c r="DD12" s="44" t="s">
        <v>12</v>
      </c>
    </row>
    <row r="13" spans="1:108">
      <c r="A13" s="2" t="s">
        <v>4</v>
      </c>
      <c r="C13" s="6" t="s">
        <v>55</v>
      </c>
      <c r="D13" s="6"/>
      <c r="E13" s="6" t="s">
        <v>14</v>
      </c>
      <c r="F13" s="6"/>
      <c r="G13" s="109" t="s">
        <v>12</v>
      </c>
      <c r="H13" s="109"/>
      <c r="I13" s="2" t="s">
        <v>55</v>
      </c>
      <c r="J13" s="2"/>
      <c r="K13" s="2" t="s">
        <v>55</v>
      </c>
      <c r="L13" s="2"/>
      <c r="M13" s="2" t="s">
        <v>55</v>
      </c>
      <c r="O13" s="6" t="s">
        <v>55</v>
      </c>
      <c r="P13" s="6"/>
      <c r="Q13" s="6" t="s">
        <v>55</v>
      </c>
      <c r="R13" s="6"/>
      <c r="S13" s="6" t="s">
        <v>55</v>
      </c>
      <c r="T13" s="6"/>
      <c r="U13" s="6" t="s">
        <v>55</v>
      </c>
      <c r="V13" s="6"/>
      <c r="W13" s="2" t="s">
        <v>55</v>
      </c>
      <c r="Y13" s="2" t="s">
        <v>55</v>
      </c>
      <c r="AA13" s="2" t="s">
        <v>55</v>
      </c>
      <c r="AC13" s="2" t="s">
        <v>55</v>
      </c>
      <c r="AE13" s="2" t="s">
        <v>55</v>
      </c>
      <c r="AG13" s="2" t="s">
        <v>55</v>
      </c>
      <c r="AH13" s="2"/>
      <c r="AI13" s="2" t="s">
        <v>55</v>
      </c>
      <c r="AK13" s="2" t="s">
        <v>55</v>
      </c>
      <c r="AL13" s="97"/>
      <c r="AM13" s="25" t="s">
        <v>684</v>
      </c>
      <c r="AN13" s="25" t="s">
        <v>16</v>
      </c>
      <c r="AO13" s="45" t="s">
        <v>662</v>
      </c>
      <c r="AP13" s="45" t="s">
        <v>662</v>
      </c>
      <c r="AQ13" s="45" t="s">
        <v>662</v>
      </c>
      <c r="AR13" s="45" t="s">
        <v>662</v>
      </c>
      <c r="AS13" s="568" t="s">
        <v>1614</v>
      </c>
      <c r="AT13" s="25" t="s">
        <v>684</v>
      </c>
      <c r="AU13" s="25" t="s">
        <v>16</v>
      </c>
      <c r="AV13" s="45" t="s">
        <v>662</v>
      </c>
      <c r="AW13" s="45" t="s">
        <v>662</v>
      </c>
      <c r="AX13" s="45" t="s">
        <v>662</v>
      </c>
      <c r="AY13" s="45" t="s">
        <v>662</v>
      </c>
      <c r="AZ13" s="568" t="s">
        <v>1614</v>
      </c>
      <c r="BA13" s="25" t="s">
        <v>684</v>
      </c>
      <c r="BB13" s="25" t="s">
        <v>16</v>
      </c>
      <c r="BC13" s="45" t="s">
        <v>662</v>
      </c>
      <c r="BD13" s="45" t="s">
        <v>662</v>
      </c>
      <c r="BE13" s="45" t="s">
        <v>662</v>
      </c>
      <c r="BF13" s="45" t="s">
        <v>662</v>
      </c>
      <c r="BG13" s="568" t="s">
        <v>1614</v>
      </c>
      <c r="BH13" s="45"/>
      <c r="BI13" s="25" t="s">
        <v>684</v>
      </c>
      <c r="BJ13" s="25" t="s">
        <v>16</v>
      </c>
      <c r="BK13" s="45" t="s">
        <v>662</v>
      </c>
      <c r="BL13" s="45" t="s">
        <v>662</v>
      </c>
      <c r="BM13" s="45" t="s">
        <v>662</v>
      </c>
      <c r="BN13" s="45" t="s">
        <v>662</v>
      </c>
      <c r="BO13" s="568" t="s">
        <v>1614</v>
      </c>
      <c r="BP13" s="45"/>
      <c r="BQ13" s="97" t="s">
        <v>4</v>
      </c>
      <c r="BR13" s="97"/>
      <c r="BS13" s="97" t="s">
        <v>55</v>
      </c>
      <c r="BT13" s="25" t="s">
        <v>18</v>
      </c>
      <c r="BU13" s="25" t="s">
        <v>1618</v>
      </c>
      <c r="BV13" s="61" t="s">
        <v>1248</v>
      </c>
      <c r="BW13" s="61" t="s">
        <v>514</v>
      </c>
      <c r="BX13" s="61" t="s">
        <v>1246</v>
      </c>
      <c r="BY13" s="61" t="s">
        <v>514</v>
      </c>
      <c r="BZ13" s="61"/>
      <c r="CB13" s="25" t="s">
        <v>684</v>
      </c>
      <c r="CC13" s="25" t="s">
        <v>16</v>
      </c>
      <c r="CD13" s="45" t="s">
        <v>662</v>
      </c>
      <c r="CE13" s="45" t="s">
        <v>662</v>
      </c>
      <c r="CF13" s="45" t="s">
        <v>662</v>
      </c>
      <c r="CG13" s="45" t="s">
        <v>662</v>
      </c>
      <c r="CH13" s="568" t="s">
        <v>1614</v>
      </c>
      <c r="CI13" s="25" t="s">
        <v>684</v>
      </c>
      <c r="CJ13" s="25" t="s">
        <v>16</v>
      </c>
      <c r="CK13" s="45" t="s">
        <v>662</v>
      </c>
      <c r="CL13" s="45" t="s">
        <v>662</v>
      </c>
      <c r="CM13" s="45" t="s">
        <v>662</v>
      </c>
      <c r="CN13" s="45" t="s">
        <v>662</v>
      </c>
      <c r="CO13" s="568" t="s">
        <v>1614</v>
      </c>
      <c r="CP13" s="25" t="s">
        <v>684</v>
      </c>
      <c r="CQ13" s="25" t="s">
        <v>16</v>
      </c>
      <c r="CR13" s="45" t="s">
        <v>662</v>
      </c>
      <c r="CS13" s="45" t="s">
        <v>662</v>
      </c>
      <c r="CT13" s="45" t="s">
        <v>662</v>
      </c>
      <c r="CU13" s="45" t="s">
        <v>662</v>
      </c>
      <c r="CV13" s="568" t="s">
        <v>1614</v>
      </c>
      <c r="CW13" s="45"/>
      <c r="CX13" s="25" t="s">
        <v>684</v>
      </c>
      <c r="CY13" s="25" t="s">
        <v>16</v>
      </c>
      <c r="CZ13" s="45" t="s">
        <v>662</v>
      </c>
      <c r="DA13" s="45" t="s">
        <v>662</v>
      </c>
      <c r="DB13" s="45" t="s">
        <v>662</v>
      </c>
      <c r="DC13" s="45" t="s">
        <v>662</v>
      </c>
      <c r="DD13" s="568" t="s">
        <v>1614</v>
      </c>
    </row>
    <row r="14" spans="1:108">
      <c r="A14" s="10">
        <v>-1</v>
      </c>
      <c r="C14" s="9">
        <v>-2</v>
      </c>
      <c r="D14" s="9"/>
      <c r="E14" s="9">
        <v>-3</v>
      </c>
      <c r="F14" s="9"/>
      <c r="G14" s="9">
        <v>-4</v>
      </c>
      <c r="H14" s="9"/>
      <c r="I14" s="9">
        <v>-5</v>
      </c>
      <c r="J14" s="9"/>
      <c r="K14" s="9">
        <v>-6</v>
      </c>
      <c r="L14" s="9"/>
      <c r="M14" s="9">
        <v>-7</v>
      </c>
      <c r="N14" s="9"/>
      <c r="O14" s="9">
        <v>-8</v>
      </c>
      <c r="P14" s="11"/>
      <c r="Q14" s="9">
        <v>-9</v>
      </c>
      <c r="S14" s="9">
        <v>-10</v>
      </c>
      <c r="U14" s="9">
        <v>-11</v>
      </c>
      <c r="W14" s="9">
        <v>-12</v>
      </c>
      <c r="Y14" s="9">
        <v>-13</v>
      </c>
      <c r="AA14" s="9">
        <v>-14</v>
      </c>
      <c r="AC14" s="9">
        <v>-15</v>
      </c>
      <c r="AE14" s="9">
        <v>-16</v>
      </c>
      <c r="AG14" s="9">
        <v>-17</v>
      </c>
      <c r="AH14" s="11"/>
      <c r="AI14" s="10">
        <v>-18</v>
      </c>
      <c r="AJ14" s="11"/>
      <c r="AK14" s="10">
        <v>-19</v>
      </c>
      <c r="AL14" s="25"/>
      <c r="AM14" s="61"/>
      <c r="AN14" s="143">
        <v>-20</v>
      </c>
      <c r="AO14" s="143">
        <f>AN14-1</f>
        <v>-21</v>
      </c>
      <c r="AP14" s="143">
        <f t="shared" ref="AP14:AS14" si="0">AO14-1</f>
        <v>-22</v>
      </c>
      <c r="AQ14" s="143">
        <f t="shared" si="0"/>
        <v>-23</v>
      </c>
      <c r="AR14" s="143">
        <f t="shared" si="0"/>
        <v>-24</v>
      </c>
      <c r="AS14" s="143">
        <f t="shared" si="0"/>
        <v>-25</v>
      </c>
      <c r="AT14" s="61"/>
      <c r="AU14" s="143">
        <v>-20</v>
      </c>
      <c r="AV14" s="143">
        <f>AU14-1</f>
        <v>-21</v>
      </c>
      <c r="AW14" s="143">
        <f t="shared" ref="AW14:AZ14" si="1">AV14-1</f>
        <v>-22</v>
      </c>
      <c r="AX14" s="143">
        <f t="shared" si="1"/>
        <v>-23</v>
      </c>
      <c r="AY14" s="143">
        <f t="shared" si="1"/>
        <v>-24</v>
      </c>
      <c r="AZ14" s="143">
        <f t="shared" si="1"/>
        <v>-25</v>
      </c>
      <c r="BA14" s="61"/>
      <c r="BB14" s="143">
        <v>-20</v>
      </c>
      <c r="BC14" s="143">
        <f>BB14-1</f>
        <v>-21</v>
      </c>
      <c r="BD14" s="143">
        <f t="shared" ref="BD14:BG14" si="2">BC14-1</f>
        <v>-22</v>
      </c>
      <c r="BE14" s="143">
        <f t="shared" si="2"/>
        <v>-23</v>
      </c>
      <c r="BF14" s="143">
        <f t="shared" si="2"/>
        <v>-24</v>
      </c>
      <c r="BG14" s="143">
        <f t="shared" si="2"/>
        <v>-25</v>
      </c>
      <c r="BI14" s="61"/>
      <c r="BJ14" s="143">
        <v>-20</v>
      </c>
      <c r="BK14" s="143">
        <f>BJ14-1</f>
        <v>-21</v>
      </c>
      <c r="BL14" s="143">
        <f t="shared" ref="BL14:BO14" si="3">BK14-1</f>
        <v>-22</v>
      </c>
      <c r="BM14" s="143">
        <f t="shared" si="3"/>
        <v>-23</v>
      </c>
      <c r="BN14" s="143">
        <f t="shared" si="3"/>
        <v>-24</v>
      </c>
      <c r="BO14" s="143">
        <f t="shared" si="3"/>
        <v>-25</v>
      </c>
      <c r="BP14" s="440"/>
      <c r="BQ14" s="143">
        <f>BO14-1</f>
        <v>-26</v>
      </c>
      <c r="BR14" s="440"/>
      <c r="BS14" s="143">
        <f>BQ14-1</f>
        <v>-27</v>
      </c>
      <c r="BT14" s="143">
        <f>BS14-1</f>
        <v>-28</v>
      </c>
      <c r="BV14" s="61"/>
      <c r="BW14" s="61"/>
      <c r="BX14" s="61"/>
      <c r="BY14" s="61"/>
      <c r="BZ14" s="61"/>
      <c r="CB14" s="61"/>
      <c r="CC14" s="143">
        <v>-20</v>
      </c>
      <c r="CD14" s="143">
        <f>CC14-1</f>
        <v>-21</v>
      </c>
      <c r="CE14" s="143">
        <f t="shared" ref="CE14" si="4">CD14-1</f>
        <v>-22</v>
      </c>
      <c r="CF14" s="143">
        <f t="shared" ref="CF14" si="5">CE14-1</f>
        <v>-23</v>
      </c>
      <c r="CG14" s="143">
        <f t="shared" ref="CG14" si="6">CF14-1</f>
        <v>-24</v>
      </c>
      <c r="CH14" s="143">
        <f t="shared" ref="CH14" si="7">CG14-1</f>
        <v>-25</v>
      </c>
      <c r="CI14" s="61"/>
      <c r="CJ14" s="143">
        <v>-20</v>
      </c>
      <c r="CK14" s="143">
        <f>CJ14-1</f>
        <v>-21</v>
      </c>
      <c r="CL14" s="143">
        <f t="shared" ref="CL14" si="8">CK14-1</f>
        <v>-22</v>
      </c>
      <c r="CM14" s="143">
        <f t="shared" ref="CM14" si="9">CL14-1</f>
        <v>-23</v>
      </c>
      <c r="CN14" s="143">
        <f t="shared" ref="CN14" si="10">CM14-1</f>
        <v>-24</v>
      </c>
      <c r="CO14" s="143">
        <f t="shared" ref="CO14" si="11">CN14-1</f>
        <v>-25</v>
      </c>
      <c r="CP14" s="61"/>
      <c r="CQ14" s="143">
        <v>-20</v>
      </c>
      <c r="CR14" s="143">
        <f>CQ14-1</f>
        <v>-21</v>
      </c>
      <c r="CS14" s="143">
        <f t="shared" ref="CS14" si="12">CR14-1</f>
        <v>-22</v>
      </c>
      <c r="CT14" s="143">
        <f t="shared" ref="CT14" si="13">CS14-1</f>
        <v>-23</v>
      </c>
      <c r="CU14" s="143">
        <f t="shared" ref="CU14" si="14">CT14-1</f>
        <v>-24</v>
      </c>
      <c r="CV14" s="143">
        <f t="shared" ref="CV14" si="15">CU14-1</f>
        <v>-25</v>
      </c>
      <c r="CX14" s="61"/>
      <c r="CY14" s="143">
        <v>-20</v>
      </c>
      <c r="CZ14" s="143">
        <f>CY14-1</f>
        <v>-21</v>
      </c>
      <c r="DA14" s="143">
        <f t="shared" ref="DA14" si="16">CZ14-1</f>
        <v>-22</v>
      </c>
      <c r="DB14" s="143">
        <f t="shared" ref="DB14" si="17">DA14-1</f>
        <v>-23</v>
      </c>
      <c r="DC14" s="143">
        <f t="shared" ref="DC14" si="18">DB14-1</f>
        <v>-24</v>
      </c>
      <c r="DD14" s="143">
        <f t="shared" ref="DD14" si="19">DC14-1</f>
        <v>-25</v>
      </c>
    </row>
    <row r="15" spans="1:108">
      <c r="AK15" s="61"/>
      <c r="AL15" s="61"/>
      <c r="AM15" s="25"/>
      <c r="AP15" s="61"/>
      <c r="AQ15" s="61"/>
      <c r="AT15" s="25"/>
      <c r="AW15" s="61"/>
      <c r="AX15" s="61"/>
      <c r="BA15" s="25"/>
      <c r="BD15" s="61"/>
      <c r="BE15" s="61"/>
      <c r="BI15" s="25"/>
      <c r="BL15" s="61"/>
      <c r="BM15" s="61"/>
      <c r="BQ15" s="61"/>
      <c r="BR15" s="61"/>
      <c r="BS15" s="61"/>
      <c r="BT15" s="61"/>
      <c r="BV15" s="61"/>
      <c r="BW15" s="61"/>
      <c r="BX15" s="61"/>
      <c r="BY15" s="61"/>
      <c r="BZ15" s="61"/>
      <c r="CB15" s="25"/>
      <c r="CE15" s="61"/>
      <c r="CF15" s="61"/>
      <c r="CI15" s="25"/>
      <c r="CL15" s="61"/>
      <c r="CM15" s="61"/>
      <c r="CP15" s="25"/>
      <c r="CS15" s="61"/>
      <c r="CT15" s="61"/>
      <c r="CX15" s="25"/>
      <c r="DA15" s="61"/>
      <c r="DB15" s="61"/>
    </row>
    <row r="16" spans="1:108" ht="16">
      <c r="A16" s="3" t="s">
        <v>392</v>
      </c>
      <c r="U16" s="61"/>
      <c r="AK16" s="3"/>
      <c r="AL16" s="115"/>
      <c r="AM16" s="115" t="s">
        <v>392</v>
      </c>
      <c r="AN16" s="61"/>
      <c r="AO16" s="172">
        <f>'Exhibit B,3'!AQ16-'Exhibit A,3'!CD16</f>
        <v>0</v>
      </c>
      <c r="AP16" s="172">
        <f>'Exhibit B,3'!AR16-'Exhibit A,3'!CE16</f>
        <v>0</v>
      </c>
      <c r="AQ16" s="172">
        <v>0</v>
      </c>
      <c r="AR16" s="172">
        <v>0</v>
      </c>
      <c r="AS16" s="61"/>
      <c r="AT16" s="115" t="s">
        <v>294</v>
      </c>
      <c r="AW16" s="61"/>
      <c r="AX16" s="61"/>
      <c r="BA16" s="115" t="s">
        <v>294</v>
      </c>
      <c r="BD16" s="61"/>
      <c r="BE16" s="61"/>
      <c r="BI16" s="115" t="s">
        <v>294</v>
      </c>
      <c r="BL16" s="61"/>
      <c r="BM16" s="61"/>
      <c r="BQ16" s="68" t="s">
        <v>392</v>
      </c>
      <c r="BR16" s="68"/>
      <c r="BS16" s="61"/>
      <c r="BT16" s="61"/>
      <c r="BU16" s="61">
        <f t="shared" ref="BU16:BU24" si="20">BU17+12</f>
        <v>132</v>
      </c>
      <c r="BV16" s="72">
        <f>'Exhibit Q,3'!K25</f>
        <v>0.97825960190798977</v>
      </c>
      <c r="BW16" s="72">
        <f t="shared" ref="BW16:BY25" si="21">BV17*(2/12)+BV16*(10/12)</f>
        <v>0.97463465077008415</v>
      </c>
      <c r="BX16" s="72">
        <f>'Exhibit Q,1'!K25</f>
        <v>0.99888376911298637</v>
      </c>
      <c r="BY16" s="72">
        <f t="shared" si="21"/>
        <v>0.99835822716200862</v>
      </c>
      <c r="BZ16" s="123">
        <f>'Exhibit B,3'!CH16</f>
        <v>0.99809545618651974</v>
      </c>
      <c r="CB16" s="115" t="s">
        <v>392</v>
      </c>
      <c r="CD16" s="18"/>
      <c r="CE16" s="61"/>
      <c r="CF16" s="364"/>
      <c r="CI16" s="115" t="s">
        <v>294</v>
      </c>
      <c r="CL16" s="61"/>
      <c r="CM16" s="61"/>
      <c r="CP16" s="115" t="s">
        <v>294</v>
      </c>
      <c r="CS16" s="61"/>
      <c r="CT16" s="61"/>
      <c r="CX16" s="115" t="s">
        <v>294</v>
      </c>
      <c r="CZ16" s="61"/>
      <c r="DA16" s="61"/>
      <c r="DB16" s="61"/>
      <c r="DC16" s="61"/>
      <c r="DD16" s="61"/>
    </row>
    <row r="17" spans="1:108">
      <c r="A17" s="6">
        <v>2013</v>
      </c>
      <c r="C17" s="147">
        <f>'Exhibit D,4'!U17</f>
        <v>0</v>
      </c>
      <c r="D17" s="26"/>
      <c r="E17" s="73">
        <f>BW17</f>
        <v>0.94801051286724958</v>
      </c>
      <c r="G17" s="74">
        <f>BY17</f>
        <v>0.99416449550084118</v>
      </c>
      <c r="I17" s="497">
        <f>C17*(1-E17)</f>
        <v>0</v>
      </c>
      <c r="J17" s="497"/>
      <c r="K17" s="497">
        <f t="shared" ref="K17:K26" si="22">C17*(1-G17)</f>
        <v>0</v>
      </c>
      <c r="L17" s="147"/>
      <c r="M17" s="497">
        <f>'Exhibit D,4'!AM17</f>
        <v>0</v>
      </c>
      <c r="N17" s="147"/>
      <c r="O17" s="496">
        <f>AO17-AV17-BC17-BK17</f>
        <v>0</v>
      </c>
      <c r="P17" s="496"/>
      <c r="Q17" s="496">
        <f>AO17-O17</f>
        <v>0</v>
      </c>
      <c r="R17" s="147"/>
      <c r="S17" s="496">
        <f>AP17-AW17-BD17-BL17</f>
        <v>0</v>
      </c>
      <c r="T17" s="147"/>
      <c r="U17" s="509">
        <f>AP17-S17</f>
        <v>0</v>
      </c>
      <c r="V17" s="147"/>
      <c r="W17" s="147">
        <f>(I17+O17)+(M17+U17)</f>
        <v>0</v>
      </c>
      <c r="X17" s="147"/>
      <c r="Y17" s="147">
        <f>(K17+S17)+(M17+U17)</f>
        <v>0</v>
      </c>
      <c r="Z17" s="147"/>
      <c r="AA17" s="147">
        <f>O17/E17+(M17+U17)</f>
        <v>0</v>
      </c>
      <c r="AB17" s="147"/>
      <c r="AC17" s="147">
        <f>S17/G17+(M17+U17)</f>
        <v>0</v>
      </c>
      <c r="AD17" s="147"/>
      <c r="AE17" s="497">
        <f>(O17+Q17)/E17</f>
        <v>0</v>
      </c>
      <c r="AF17" s="147"/>
      <c r="AG17" s="497">
        <f>(S17+U17)/G17</f>
        <v>0</v>
      </c>
      <c r="AH17" s="497"/>
      <c r="AI17" s="497">
        <f t="shared" ref="AI17:AI23" si="23">Y17+E89</f>
        <v>0</v>
      </c>
      <c r="AJ17" s="497"/>
      <c r="AK17" s="508">
        <f>AI17-O17-Q17</f>
        <v>0</v>
      </c>
      <c r="AL17" s="25"/>
      <c r="AM17" s="25">
        <f>AT17</f>
        <v>2013</v>
      </c>
      <c r="AN17" s="137">
        <v>6281.0610705301142</v>
      </c>
      <c r="AO17" s="172">
        <f>'Exhibit B,3'!AQ17-'Exhibit A,3'!CD17</f>
        <v>0</v>
      </c>
      <c r="AP17" s="172">
        <f>'Exhibit B,3'!AR17-'Exhibit A,3'!CE17</f>
        <v>0</v>
      </c>
      <c r="AQ17" s="172">
        <v>0</v>
      </c>
      <c r="AR17" s="172">
        <v>0</v>
      </c>
      <c r="AS17" s="69">
        <f>AP17-AR17</f>
        <v>0</v>
      </c>
      <c r="AT17" s="25">
        <f>A17</f>
        <v>2013</v>
      </c>
      <c r="AV17" s="172">
        <f>'Exhibit B,3'!AY17-'Exhibit A,3'!CD17</f>
        <v>0</v>
      </c>
      <c r="AW17" s="172">
        <f>'Exhibit B,3'!AZ17-'Exhibit A,3'!CE17</f>
        <v>0</v>
      </c>
      <c r="AX17" s="172"/>
      <c r="AY17" s="172"/>
      <c r="AZ17" s="69"/>
      <c r="BA17" s="25">
        <f>AT17</f>
        <v>2013</v>
      </c>
      <c r="BC17" s="172">
        <f>'Exhibit B,3'!BG17-'Exhibit A,3'!CR17</f>
        <v>0</v>
      </c>
      <c r="BD17" s="172">
        <f>'Exhibit B,3'!BH17-'Exhibit A,3'!CS17</f>
        <v>0</v>
      </c>
      <c r="BE17" s="172"/>
      <c r="BF17" s="172"/>
      <c r="BI17" s="25">
        <f>BA17</f>
        <v>2013</v>
      </c>
      <c r="BK17" s="172">
        <f>'Exhibit B,3'!BO17-CZ17</f>
        <v>0</v>
      </c>
      <c r="BL17" s="172">
        <f>'Exhibit B,3'!BP17-DA17</f>
        <v>0</v>
      </c>
      <c r="BM17" s="61"/>
      <c r="BQ17" s="25">
        <v>2013</v>
      </c>
      <c r="BR17" s="25"/>
      <c r="BS17" s="18">
        <v>0</v>
      </c>
      <c r="BT17" s="18">
        <f t="shared" ref="BT17:BT25" si="24">AI17-BS17</f>
        <v>0</v>
      </c>
      <c r="BU17" s="61">
        <f t="shared" si="20"/>
        <v>120</v>
      </c>
      <c r="BV17" s="72">
        <f>'Exhibit Q,3'!K26</f>
        <v>0.95650989508055606</v>
      </c>
      <c r="BW17" s="72">
        <f t="shared" si="21"/>
        <v>0.94801051286724958</v>
      </c>
      <c r="BX17" s="72">
        <f>'Exhibit Q,1'!K26</f>
        <v>0.99573051740711982</v>
      </c>
      <c r="BY17" s="72">
        <f t="shared" si="21"/>
        <v>0.99416449550084118</v>
      </c>
      <c r="BZ17" s="123">
        <f>'Exhibit B,3'!CH17</f>
        <v>0.99338148454770181</v>
      </c>
      <c r="CA17" s="72"/>
      <c r="CB17" s="25">
        <v>213</v>
      </c>
      <c r="CC17" s="20">
        <v>6281.0610705301142</v>
      </c>
      <c r="CD17" s="179">
        <f t="shared" ref="CD17:CE26" si="25">CD59-CD31-CD45</f>
        <v>0</v>
      </c>
      <c r="CE17" s="179">
        <f t="shared" si="25"/>
        <v>0</v>
      </c>
      <c r="CF17" s="20">
        <v>0</v>
      </c>
      <c r="CG17" s="20">
        <v>0</v>
      </c>
      <c r="CH17" s="17">
        <f>CE17-CG17</f>
        <v>0</v>
      </c>
      <c r="CI17" s="25">
        <v>2013</v>
      </c>
      <c r="CK17" s="61">
        <v>0</v>
      </c>
      <c r="CL17" s="61">
        <v>0</v>
      </c>
      <c r="CM17" s="205">
        <v>0</v>
      </c>
      <c r="CN17" s="205">
        <v>0</v>
      </c>
      <c r="CO17" s="205">
        <f>CL17-CN17</f>
        <v>0</v>
      </c>
      <c r="CP17" s="25">
        <f>CI17</f>
        <v>2013</v>
      </c>
      <c r="CR17" s="61">
        <v>0</v>
      </c>
      <c r="CS17" s="61">
        <v>0</v>
      </c>
      <c r="CT17" s="61">
        <v>0</v>
      </c>
      <c r="CU17" s="61">
        <v>0</v>
      </c>
      <c r="CV17" s="69">
        <v>0</v>
      </c>
      <c r="CX17" s="25">
        <f>CP17</f>
        <v>2013</v>
      </c>
      <c r="CZ17" s="61">
        <v>0</v>
      </c>
      <c r="DA17" s="61">
        <v>0</v>
      </c>
      <c r="DB17" s="61">
        <v>0</v>
      </c>
      <c r="DC17" s="61">
        <v>0</v>
      </c>
      <c r="DD17" s="61">
        <v>0</v>
      </c>
    </row>
    <row r="18" spans="1:108">
      <c r="A18" s="6">
        <f>A17+1</f>
        <v>2014</v>
      </c>
      <c r="C18" s="494">
        <f>'Exhibit D,4'!U18</f>
        <v>1116864.8402951453</v>
      </c>
      <c r="D18" s="18"/>
      <c r="E18" s="73">
        <f t="shared" ref="E18:E25" si="26">BW18</f>
        <v>0.89045561791282701</v>
      </c>
      <c r="G18" s="74">
        <f t="shared" ref="G18:G25" si="27">BY18</f>
        <v>0.98287873908853096</v>
      </c>
      <c r="I18" s="494">
        <f t="shared" ref="I18:I26" si="28">C18*(1-E18)</f>
        <v>122346.26880502084</v>
      </c>
      <c r="J18" s="494"/>
      <c r="K18" s="494">
        <f t="shared" si="22"/>
        <v>19122.134333539379</v>
      </c>
      <c r="L18" s="187"/>
      <c r="M18" s="499">
        <f>'Exhibit D,4'!AM18</f>
        <v>0</v>
      </c>
      <c r="N18" s="494"/>
      <c r="O18" s="130">
        <f t="shared" ref="O18:O26" si="29">AO18-AV18-BC18-BK18</f>
        <v>60472.08</v>
      </c>
      <c r="P18" s="494"/>
      <c r="Q18" s="130">
        <f t="shared" ref="Q18:Q26" si="30">AO18-O18</f>
        <v>0</v>
      </c>
      <c r="R18" s="494"/>
      <c r="S18" s="130">
        <f t="shared" ref="S18:S26" si="31">AP18-AW18-BD18-BL18</f>
        <v>1100000</v>
      </c>
      <c r="T18" s="494"/>
      <c r="U18" s="54">
        <f t="shared" ref="U18:U26" si="32">AP18-S18</f>
        <v>0</v>
      </c>
      <c r="V18" s="187"/>
      <c r="W18" s="494">
        <f t="shared" ref="W18:W25" si="33">(I18+O18)+(M18+U18)</f>
        <v>182818.34880502085</v>
      </c>
      <c r="X18" s="494"/>
      <c r="Y18" s="494">
        <f t="shared" ref="Y18:Y25" si="34">(K18+S18)+(M18+U18)</f>
        <v>1119122.1343335393</v>
      </c>
      <c r="Z18" s="187"/>
      <c r="AA18" s="494">
        <f t="shared" ref="AA18:AA25" si="35">O18/E18+(M18+U18)</f>
        <v>67911.39140852727</v>
      </c>
      <c r="AB18" s="494"/>
      <c r="AC18" s="494">
        <f t="shared" ref="AC18:AC25" si="36">S18/G18+(M18+U18)</f>
        <v>1119161.4552778718</v>
      </c>
      <c r="AD18" s="494"/>
      <c r="AE18" s="494">
        <f t="shared" ref="AE18:AE25" si="37">(O18+Q18)/E18</f>
        <v>67911.39140852727</v>
      </c>
      <c r="AF18" s="494"/>
      <c r="AG18" s="494">
        <f t="shared" ref="AG18:AG25" si="38">(S18+U18)/G18</f>
        <v>1119161.4552778718</v>
      </c>
      <c r="AH18" s="494"/>
      <c r="AI18" s="494">
        <f t="shared" si="23"/>
        <v>1119122.1343335393</v>
      </c>
      <c r="AJ18" s="494"/>
      <c r="AK18" s="506">
        <f t="shared" ref="AK18:AK25" si="39">AI18-O18-Q18</f>
        <v>1058650.0543335392</v>
      </c>
      <c r="AL18" s="613"/>
      <c r="AM18" s="25">
        <f t="shared" ref="AM18:AM26" si="40">AM17+1</f>
        <v>2014</v>
      </c>
      <c r="AN18" s="137">
        <v>7889.526154967708</v>
      </c>
      <c r="AO18" s="172">
        <f>'Exhibit B,3'!AQ18-'Exhibit A,3'!CD18</f>
        <v>60472.08</v>
      </c>
      <c r="AP18" s="172">
        <f>'Exhibit B,3'!AR18-'Exhibit A,3'!CE18</f>
        <v>1100000</v>
      </c>
      <c r="AQ18" s="172">
        <v>57021.58</v>
      </c>
      <c r="AR18" s="172">
        <v>174000</v>
      </c>
      <c r="AS18" s="137">
        <f t="shared" ref="AS18:AS26" si="41">AP18-AR18</f>
        <v>926000</v>
      </c>
      <c r="AT18" s="25">
        <f t="shared" ref="AT18:AT26" si="42">AT17+1</f>
        <v>2014</v>
      </c>
      <c r="AV18" s="172">
        <f>'Exhibit B,3'!AY18-'Exhibit A,3'!CD18</f>
        <v>0</v>
      </c>
      <c r="AW18" s="172">
        <f>'Exhibit B,3'!AZ18-'Exhibit A,3'!CE18</f>
        <v>0</v>
      </c>
      <c r="AX18" s="172"/>
      <c r="AY18" s="172"/>
      <c r="AZ18" s="137"/>
      <c r="BA18" s="25">
        <f t="shared" ref="BA18:BA26" si="43">BA17+1</f>
        <v>2014</v>
      </c>
      <c r="BC18" s="172">
        <f>'Exhibit B,3'!BG18-'Exhibit A,3'!CR18</f>
        <v>0</v>
      </c>
      <c r="BD18" s="172">
        <f>'Exhibit B,3'!BH18-'Exhibit A,3'!CS18</f>
        <v>0</v>
      </c>
      <c r="BE18" s="172"/>
      <c r="BF18" s="172"/>
      <c r="BI18" s="25">
        <f t="shared" ref="BI18:BI26" si="44">BI17+1</f>
        <v>2014</v>
      </c>
      <c r="BK18" s="172">
        <f>'Exhibit B,3'!BO18-CZ18</f>
        <v>0</v>
      </c>
      <c r="BL18" s="172">
        <f>'Exhibit B,3'!BP18-DA18</f>
        <v>0</v>
      </c>
      <c r="BQ18" s="25">
        <f t="shared" ref="BQ18:BQ26" si="45">BQ17+1</f>
        <v>2014</v>
      </c>
      <c r="BR18" s="25"/>
      <c r="BS18" s="18">
        <v>181455.35210078006</v>
      </c>
      <c r="BT18" s="18">
        <f t="shared" si="24"/>
        <v>937666.78223275929</v>
      </c>
      <c r="BU18" s="61">
        <f t="shared" si="20"/>
        <v>108</v>
      </c>
      <c r="BV18" s="72">
        <f>'Exhibit Q,3'!K27</f>
        <v>0.9055136018007176</v>
      </c>
      <c r="BW18" s="72">
        <f t="shared" si="21"/>
        <v>0.89045561791282701</v>
      </c>
      <c r="BX18" s="72">
        <f>'Exhibit Q,1'!K27</f>
        <v>0.98633438596944767</v>
      </c>
      <c r="BY18" s="72">
        <f t="shared" si="21"/>
        <v>0.98287873908853096</v>
      </c>
      <c r="BZ18" s="123">
        <f>'Exhibit B,3'!CH18</f>
        <v>0.98115091564807255</v>
      </c>
      <c r="CA18" s="72"/>
      <c r="CB18" s="25">
        <f t="shared" ref="CB18:CB26" si="46">CB17+1</f>
        <v>214</v>
      </c>
      <c r="CC18" s="20">
        <v>7889.526154967708</v>
      </c>
      <c r="CD18" s="179">
        <f t="shared" si="25"/>
        <v>0</v>
      </c>
      <c r="CE18" s="179">
        <f t="shared" si="25"/>
        <v>0</v>
      </c>
      <c r="CF18" s="20">
        <v>0</v>
      </c>
      <c r="CG18" s="20">
        <v>0</v>
      </c>
      <c r="CH18" s="20">
        <f t="shared" ref="CH18:CH26" si="47">CE18-CG18</f>
        <v>0</v>
      </c>
      <c r="CI18" s="25">
        <f t="shared" ref="CI18:CI26" si="48">CI17+1</f>
        <v>2014</v>
      </c>
      <c r="CK18" s="69">
        <v>0</v>
      </c>
      <c r="CL18" s="69">
        <v>0</v>
      </c>
      <c r="CM18" s="205">
        <v>0</v>
      </c>
      <c r="CN18" s="205">
        <v>0</v>
      </c>
      <c r="CO18" s="205">
        <f t="shared" ref="CO18:CO26" si="49">CL18-CN18</f>
        <v>0</v>
      </c>
      <c r="CP18" s="25">
        <f t="shared" ref="CP18:CP26" si="50">CP17+1</f>
        <v>2014</v>
      </c>
      <c r="CR18" s="61">
        <v>0</v>
      </c>
      <c r="CS18" s="61">
        <v>0</v>
      </c>
      <c r="CT18" s="61">
        <v>0</v>
      </c>
      <c r="CU18" s="61">
        <v>0</v>
      </c>
      <c r="CV18" s="61">
        <v>0</v>
      </c>
      <c r="CX18" s="25">
        <f t="shared" ref="CX18:CX26" si="51">CX17+1</f>
        <v>2014</v>
      </c>
      <c r="CZ18" s="61">
        <v>0</v>
      </c>
      <c r="DA18" s="61">
        <v>0</v>
      </c>
      <c r="DB18" s="61">
        <v>0</v>
      </c>
      <c r="DC18" s="61">
        <v>0</v>
      </c>
      <c r="DD18" s="61">
        <v>0</v>
      </c>
    </row>
    <row r="19" spans="1:108">
      <c r="A19" s="6">
        <f t="shared" ref="A19:A26" si="52">A18+1</f>
        <v>2015</v>
      </c>
      <c r="C19" s="494">
        <f>'Exhibit D,4'!U19</f>
        <v>345195.24072196963</v>
      </c>
      <c r="D19" s="18"/>
      <c r="E19" s="73">
        <f t="shared" si="26"/>
        <v>0.79288755863123328</v>
      </c>
      <c r="G19" s="74">
        <f t="shared" si="27"/>
        <v>0.95870921147424792</v>
      </c>
      <c r="I19" s="494">
        <f t="shared" si="28"/>
        <v>71494.229054806245</v>
      </c>
      <c r="J19" s="494"/>
      <c r="K19" s="494">
        <f t="shared" si="22"/>
        <v>14253.38368474693</v>
      </c>
      <c r="L19" s="187"/>
      <c r="M19" s="499">
        <f>'Exhibit D,4'!AM19</f>
        <v>0</v>
      </c>
      <c r="N19" s="494"/>
      <c r="O19" s="130">
        <f t="shared" si="29"/>
        <v>322663.05</v>
      </c>
      <c r="P19" s="494"/>
      <c r="Q19" s="130">
        <f t="shared" si="30"/>
        <v>-257086.33000000002</v>
      </c>
      <c r="R19" s="494"/>
      <c r="S19" s="130">
        <f t="shared" si="31"/>
        <v>332663.05</v>
      </c>
      <c r="T19" s="494"/>
      <c r="U19" s="54">
        <f t="shared" si="32"/>
        <v>-257086.32999999996</v>
      </c>
      <c r="V19" s="187"/>
      <c r="W19" s="494">
        <f t="shared" si="33"/>
        <v>137070.94905480626</v>
      </c>
      <c r="X19" s="494"/>
      <c r="Y19" s="494">
        <f t="shared" si="34"/>
        <v>89830.103684746951</v>
      </c>
      <c r="Z19" s="187"/>
      <c r="AA19" s="494">
        <f t="shared" si="35"/>
        <v>149860.46401580627</v>
      </c>
      <c r="AB19" s="494"/>
      <c r="AC19" s="494">
        <f t="shared" si="36"/>
        <v>89904.233998493233</v>
      </c>
      <c r="AD19" s="494"/>
      <c r="AE19" s="494">
        <f t="shared" si="37"/>
        <v>82706.20378153678</v>
      </c>
      <c r="AF19" s="494"/>
      <c r="AG19" s="494">
        <f t="shared" si="38"/>
        <v>78831.744908117122</v>
      </c>
      <c r="AH19" s="494"/>
      <c r="AI19" s="494">
        <f t="shared" si="23"/>
        <v>89830.103684746951</v>
      </c>
      <c r="AJ19" s="494"/>
      <c r="AK19" s="506">
        <f t="shared" si="39"/>
        <v>24253.383684746979</v>
      </c>
      <c r="AL19" s="613"/>
      <c r="AM19" s="25">
        <f t="shared" si="40"/>
        <v>2015</v>
      </c>
      <c r="AN19" s="137">
        <v>31022.886408934948</v>
      </c>
      <c r="AO19" s="172">
        <f>'Exhibit B,3'!AQ19-'Exhibit A,3'!CD19</f>
        <v>65576.719999999972</v>
      </c>
      <c r="AP19" s="172">
        <f>'Exhibit B,3'!AR19-'Exhibit A,3'!CE19</f>
        <v>75576.72000000003</v>
      </c>
      <c r="AQ19" s="172">
        <v>322663.05</v>
      </c>
      <c r="AR19" s="172">
        <v>322663.05</v>
      </c>
      <c r="AS19" s="137">
        <f t="shared" si="41"/>
        <v>-247086.32999999996</v>
      </c>
      <c r="AT19" s="25">
        <f t="shared" si="42"/>
        <v>2015</v>
      </c>
      <c r="AV19" s="172">
        <f>'Exhibit B,3'!AY19-'Exhibit A,3'!CD19</f>
        <v>-257086.33000000002</v>
      </c>
      <c r="AW19" s="172">
        <f>'Exhibit B,3'!AZ19-'Exhibit A,3'!CE19</f>
        <v>-257086.32999999996</v>
      </c>
      <c r="AX19" s="172"/>
      <c r="AY19" s="172"/>
      <c r="AZ19" s="137"/>
      <c r="BA19" s="25">
        <f t="shared" si="43"/>
        <v>2015</v>
      </c>
      <c r="BC19" s="172">
        <f>'Exhibit B,3'!BG19-'Exhibit A,3'!CR19</f>
        <v>0</v>
      </c>
      <c r="BD19" s="172">
        <f>'Exhibit B,3'!BH19-'Exhibit A,3'!CS19</f>
        <v>0</v>
      </c>
      <c r="BE19" s="172"/>
      <c r="BF19" s="172"/>
      <c r="BI19" s="25">
        <f t="shared" si="44"/>
        <v>2015</v>
      </c>
      <c r="BK19" s="172">
        <f>'Exhibit B,3'!BO19-CZ19</f>
        <v>0</v>
      </c>
      <c r="BL19" s="172">
        <f>'Exhibit B,3'!BP19-DA19</f>
        <v>0</v>
      </c>
      <c r="BQ19" s="25">
        <f t="shared" si="45"/>
        <v>2015</v>
      </c>
      <c r="BR19" s="25"/>
      <c r="BS19" s="18">
        <v>352607.12157525349</v>
      </c>
      <c r="BT19" s="18">
        <f t="shared" si="24"/>
        <v>-262777.01789050654</v>
      </c>
      <c r="BU19" s="61">
        <f t="shared" si="20"/>
        <v>96</v>
      </c>
      <c r="BV19" s="72">
        <f>'Exhibit Q,3'!K28</f>
        <v>0.81516569847337383</v>
      </c>
      <c r="BW19" s="72">
        <f t="shared" si="21"/>
        <v>0.79288755863123328</v>
      </c>
      <c r="BX19" s="72">
        <f>'Exhibit Q,1'!K28</f>
        <v>0.96560050468394742</v>
      </c>
      <c r="BY19" s="72">
        <f t="shared" si="21"/>
        <v>0.95870921147424792</v>
      </c>
      <c r="BZ19" s="123">
        <f>'Exhibit B,3'!CH19</f>
        <v>0.95526356486939812</v>
      </c>
      <c r="CA19" s="72"/>
      <c r="CB19" s="25">
        <f t="shared" si="46"/>
        <v>215</v>
      </c>
      <c r="CC19" s="20">
        <v>31022.886408934948</v>
      </c>
      <c r="CD19" s="179">
        <f t="shared" si="25"/>
        <v>257086.33000000002</v>
      </c>
      <c r="CE19" s="179">
        <f t="shared" si="25"/>
        <v>257086.32999999996</v>
      </c>
      <c r="CF19" s="20">
        <v>0</v>
      </c>
      <c r="CG19" s="20">
        <v>0</v>
      </c>
      <c r="CH19" s="20">
        <f t="shared" si="47"/>
        <v>257086.32999999996</v>
      </c>
      <c r="CI19" s="25">
        <f t="shared" si="48"/>
        <v>2015</v>
      </c>
      <c r="CK19" s="69">
        <v>0</v>
      </c>
      <c r="CL19" s="69">
        <v>0</v>
      </c>
      <c r="CM19" s="205">
        <v>0</v>
      </c>
      <c r="CN19" s="205">
        <v>0</v>
      </c>
      <c r="CO19" s="205">
        <f t="shared" si="49"/>
        <v>0</v>
      </c>
      <c r="CP19" s="25">
        <f t="shared" si="50"/>
        <v>2015</v>
      </c>
      <c r="CR19" s="61">
        <v>0</v>
      </c>
      <c r="CS19" s="61">
        <v>0</v>
      </c>
      <c r="CT19" s="61">
        <v>0</v>
      </c>
      <c r="CU19" s="61">
        <v>0</v>
      </c>
      <c r="CV19" s="61">
        <v>0</v>
      </c>
      <c r="CX19" s="25">
        <f t="shared" si="51"/>
        <v>2015</v>
      </c>
      <c r="CZ19" s="61">
        <v>0</v>
      </c>
      <c r="DA19" s="61">
        <v>0</v>
      </c>
      <c r="DB19" s="61">
        <v>0</v>
      </c>
      <c r="DC19" s="61">
        <v>0</v>
      </c>
      <c r="DD19" s="61">
        <v>0</v>
      </c>
    </row>
    <row r="20" spans="1:108" ht="16">
      <c r="A20" s="6">
        <f t="shared" si="52"/>
        <v>2016</v>
      </c>
      <c r="C20" s="494">
        <f>'Exhibit D,4'!U20</f>
        <v>1330864.1585064568</v>
      </c>
      <c r="D20" s="18"/>
      <c r="E20" s="73">
        <f t="shared" si="26"/>
        <v>0.65372218453002273</v>
      </c>
      <c r="G20" s="74">
        <f t="shared" si="27"/>
        <v>0.91184336526935317</v>
      </c>
      <c r="I20" s="494">
        <f t="shared" si="28"/>
        <v>460848.73349490541</v>
      </c>
      <c r="J20" s="494"/>
      <c r="K20" s="494">
        <f t="shared" si="22"/>
        <v>117324.50549756338</v>
      </c>
      <c r="L20" s="187"/>
      <c r="M20" s="499">
        <f>'Exhibit D,4'!AM20</f>
        <v>0</v>
      </c>
      <c r="N20" s="494"/>
      <c r="O20" s="130">
        <f t="shared" si="29"/>
        <v>1887063.5918857157</v>
      </c>
      <c r="P20" s="494"/>
      <c r="Q20" s="130">
        <f t="shared" si="30"/>
        <v>9123642.7981142849</v>
      </c>
      <c r="R20" s="494"/>
      <c r="S20" s="130">
        <f t="shared" si="31"/>
        <v>2413678.1818857146</v>
      </c>
      <c r="T20" s="494"/>
      <c r="U20" s="54">
        <f t="shared" si="32"/>
        <v>9123642.7981142849</v>
      </c>
      <c r="V20" s="187"/>
      <c r="W20" s="494">
        <f t="shared" si="33"/>
        <v>11471555.123494906</v>
      </c>
      <c r="X20" s="494"/>
      <c r="Y20" s="494">
        <f t="shared" si="34"/>
        <v>11654645.485497562</v>
      </c>
      <c r="Z20" s="187"/>
      <c r="AA20" s="494">
        <f t="shared" si="35"/>
        <v>12010287.364479084</v>
      </c>
      <c r="AB20" s="494"/>
      <c r="AC20" s="494">
        <f t="shared" si="36"/>
        <v>11770674.375925599</v>
      </c>
      <c r="AD20" s="494"/>
      <c r="AE20" s="494">
        <f t="shared" si="37"/>
        <v>16843097.34404359</v>
      </c>
      <c r="AF20" s="494"/>
      <c r="AG20" s="494">
        <f t="shared" si="38"/>
        <v>12652744.34123008</v>
      </c>
      <c r="AH20" s="494"/>
      <c r="AI20" s="494">
        <f t="shared" si="23"/>
        <v>11654645.485497562</v>
      </c>
      <c r="AJ20" s="494"/>
      <c r="AK20" s="506">
        <f t="shared" si="39"/>
        <v>643939.09549756162</v>
      </c>
      <c r="AL20" s="613"/>
      <c r="AM20" s="25">
        <f t="shared" si="40"/>
        <v>2016</v>
      </c>
      <c r="AN20" s="137">
        <v>221639.22626255226</v>
      </c>
      <c r="AO20" s="172">
        <f>'Exhibit B,3'!AQ20-'Exhibit A,3'!CD20</f>
        <v>11010706.390000001</v>
      </c>
      <c r="AP20" s="172">
        <f>'Exhibit B,3'!AR20-'Exhibit A,3'!CE20</f>
        <v>11537320.979999999</v>
      </c>
      <c r="AQ20" s="172">
        <v>9609418.0799999982</v>
      </c>
      <c r="AR20" s="172">
        <v>9928418.0799999982</v>
      </c>
      <c r="AS20" s="137">
        <f t="shared" si="41"/>
        <v>1608902.9000000004</v>
      </c>
      <c r="AT20" s="25">
        <f t="shared" si="42"/>
        <v>2016</v>
      </c>
      <c r="AV20" s="172">
        <f>'Exhibit B,3'!AY20-'Exhibit A,3'!CD20</f>
        <v>4363688.42</v>
      </c>
      <c r="AW20" s="172">
        <f>'Exhibit B,3'!AZ20-'Exhibit A,3'!CE20</f>
        <v>4363688.419999999</v>
      </c>
      <c r="AX20" s="172"/>
      <c r="AY20" s="172"/>
      <c r="AZ20" s="137"/>
      <c r="BA20" s="25">
        <f t="shared" si="43"/>
        <v>2016</v>
      </c>
      <c r="BC20" s="172">
        <f>'Exhibit B,3'!BG20-'Exhibit A,3'!CR20</f>
        <v>4759954.3781142849</v>
      </c>
      <c r="BD20" s="172">
        <f>'Exhibit B,3'!BH20-'Exhibit A,3'!CS20</f>
        <v>4759954.3781142849</v>
      </c>
      <c r="BE20" s="172"/>
      <c r="BF20" s="172"/>
      <c r="BG20" s="364"/>
      <c r="BH20" s="95"/>
      <c r="BI20" s="25">
        <f t="shared" si="44"/>
        <v>2016</v>
      </c>
      <c r="BK20" s="172">
        <f>'Exhibit B,3'!BO20-CZ20</f>
        <v>0</v>
      </c>
      <c r="BL20" s="172">
        <f>'Exhibit B,3'!BP20-DA20</f>
        <v>0</v>
      </c>
      <c r="BM20" s="95"/>
      <c r="BN20" s="364"/>
      <c r="BO20" s="364"/>
      <c r="BP20" s="364"/>
      <c r="BQ20" s="25">
        <f t="shared" si="45"/>
        <v>2016</v>
      </c>
      <c r="BR20" s="25"/>
      <c r="BS20" s="18">
        <v>12078694.774821742</v>
      </c>
      <c r="BT20" s="18">
        <f t="shared" si="24"/>
        <v>-424049.28932417929</v>
      </c>
      <c r="BU20" s="61">
        <f t="shared" si="20"/>
        <v>84</v>
      </c>
      <c r="BV20" s="72">
        <f>'Exhibit Q,3'!K29</f>
        <v>0.6814968594205304</v>
      </c>
      <c r="BW20" s="72">
        <f t="shared" si="21"/>
        <v>0.65372218453002273</v>
      </c>
      <c r="BX20" s="72">
        <f>'Exhibit Q,1'!K29</f>
        <v>0.92425274542575031</v>
      </c>
      <c r="BY20" s="72">
        <f t="shared" si="21"/>
        <v>0.91184336526935317</v>
      </c>
      <c r="BZ20" s="123">
        <f>'Exhibit B,3'!CH20</f>
        <v>0.90563867519115449</v>
      </c>
      <c r="CA20" s="72"/>
      <c r="CB20" s="25">
        <f t="shared" si="46"/>
        <v>216</v>
      </c>
      <c r="CC20" s="20">
        <v>221639.22626255226</v>
      </c>
      <c r="CD20" s="179">
        <f t="shared" si="25"/>
        <v>860560.86</v>
      </c>
      <c r="CE20" s="179">
        <f t="shared" si="25"/>
        <v>860560.86000000127</v>
      </c>
      <c r="CF20" s="20">
        <v>860560.86</v>
      </c>
      <c r="CG20" s="20">
        <v>860560.86</v>
      </c>
      <c r="CH20" s="20">
        <f t="shared" si="47"/>
        <v>1.280568540096283E-9</v>
      </c>
      <c r="CI20" s="25">
        <f t="shared" si="48"/>
        <v>2016</v>
      </c>
      <c r="CK20" s="69">
        <v>0</v>
      </c>
      <c r="CL20" s="69">
        <v>0</v>
      </c>
      <c r="CM20" s="205">
        <v>0</v>
      </c>
      <c r="CN20" s="205">
        <v>0</v>
      </c>
      <c r="CO20" s="205">
        <f t="shared" si="49"/>
        <v>0</v>
      </c>
      <c r="CP20" s="25">
        <f t="shared" si="50"/>
        <v>2016</v>
      </c>
      <c r="CR20" s="69">
        <v>1120567.1318857144</v>
      </c>
      <c r="CS20" s="69">
        <v>1120567.1318857144</v>
      </c>
      <c r="CT20" s="69">
        <v>1120567.1318857144</v>
      </c>
      <c r="CU20" s="69">
        <v>1120567.1318857144</v>
      </c>
      <c r="CV20" s="69">
        <v>0</v>
      </c>
      <c r="CW20" s="95"/>
      <c r="CX20" s="25">
        <f t="shared" si="51"/>
        <v>2016</v>
      </c>
      <c r="CZ20" s="61">
        <v>0</v>
      </c>
      <c r="DA20" s="61">
        <v>0</v>
      </c>
      <c r="DB20" s="61">
        <v>0</v>
      </c>
      <c r="DC20" s="61">
        <v>0</v>
      </c>
      <c r="DD20" s="61">
        <v>0</v>
      </c>
    </row>
    <row r="21" spans="1:108" ht="16">
      <c r="A21" s="6">
        <f t="shared" si="52"/>
        <v>2017</v>
      </c>
      <c r="C21" s="494">
        <f>'Exhibit D,4'!U21</f>
        <v>1295425.3669418944</v>
      </c>
      <c r="D21" s="18"/>
      <c r="E21" s="73">
        <f t="shared" si="26"/>
        <v>0.48661722894116194</v>
      </c>
      <c r="G21" s="74">
        <f t="shared" si="27"/>
        <v>0.82659904866187139</v>
      </c>
      <c r="I21" s="494">
        <f t="shared" si="28"/>
        <v>665049.06458054192</v>
      </c>
      <c r="J21" s="494"/>
      <c r="K21" s="494">
        <f t="shared" si="22"/>
        <v>224627.99101526884</v>
      </c>
      <c r="L21" s="187"/>
      <c r="M21" s="499">
        <f>'Exhibit D,4'!AM21</f>
        <v>-301749.95</v>
      </c>
      <c r="N21" s="494"/>
      <c r="O21" s="130">
        <f t="shared" si="29"/>
        <v>360356.36000000034</v>
      </c>
      <c r="P21" s="494"/>
      <c r="Q21" s="130">
        <f t="shared" si="30"/>
        <v>5228185.2</v>
      </c>
      <c r="R21" s="494"/>
      <c r="S21" s="130">
        <f t="shared" si="31"/>
        <v>1232880.71</v>
      </c>
      <c r="T21" s="494"/>
      <c r="U21" s="54">
        <f t="shared" si="32"/>
        <v>6206365.6400000006</v>
      </c>
      <c r="V21" s="187"/>
      <c r="W21" s="494">
        <f t="shared" si="33"/>
        <v>6930021.1145805428</v>
      </c>
      <c r="X21" s="494"/>
      <c r="Y21" s="494">
        <f t="shared" si="34"/>
        <v>7362124.3910152689</v>
      </c>
      <c r="Z21" s="187"/>
      <c r="AA21" s="494">
        <f t="shared" si="35"/>
        <v>6645149.1905998569</v>
      </c>
      <c r="AB21" s="494"/>
      <c r="AC21" s="494">
        <f t="shared" si="36"/>
        <v>7396125.6451539919</v>
      </c>
      <c r="AD21" s="494"/>
      <c r="AE21" s="494">
        <f t="shared" si="37"/>
        <v>11484471.218086947</v>
      </c>
      <c r="AF21" s="494"/>
      <c r="AG21" s="494">
        <f t="shared" si="38"/>
        <v>8999824.4760176335</v>
      </c>
      <c r="AH21" s="494"/>
      <c r="AI21" s="494">
        <f t="shared" si="23"/>
        <v>7362124.3910152689</v>
      </c>
      <c r="AJ21" s="494"/>
      <c r="AK21" s="506">
        <f t="shared" si="39"/>
        <v>1773582.8310152683</v>
      </c>
      <c r="AL21" s="613"/>
      <c r="AM21" s="25">
        <f t="shared" si="40"/>
        <v>2017</v>
      </c>
      <c r="AN21" s="137">
        <v>463271.23318088276</v>
      </c>
      <c r="AO21" s="172">
        <f>'Exhibit B,3'!AQ21-'Exhibit A,3'!CD21</f>
        <v>5588541.5600000005</v>
      </c>
      <c r="AP21" s="172">
        <f>'Exhibit B,3'!AR21-'Exhibit A,3'!CE21</f>
        <v>7439246.3500000006</v>
      </c>
      <c r="AQ21" s="172">
        <v>5457893.2400000002</v>
      </c>
      <c r="AR21" s="172">
        <v>5807938.04</v>
      </c>
      <c r="AS21" s="137">
        <f t="shared" si="41"/>
        <v>1631308.3100000005</v>
      </c>
      <c r="AT21" s="25">
        <f t="shared" si="42"/>
        <v>2017</v>
      </c>
      <c r="AV21" s="172">
        <f>'Exhibit B,3'!AY21-'Exhibit A,3'!CD21</f>
        <v>5228185.2</v>
      </c>
      <c r="AW21" s="172">
        <f>'Exhibit B,3'!AZ21-'Exhibit A,3'!CE21</f>
        <v>6206365.6400000006</v>
      </c>
      <c r="AX21" s="172"/>
      <c r="AY21" s="172"/>
      <c r="AZ21" s="137"/>
      <c r="BA21" s="25">
        <f t="shared" si="43"/>
        <v>2017</v>
      </c>
      <c r="BC21" s="172">
        <f>'Exhibit B,3'!BG21-'Exhibit A,3'!CR21</f>
        <v>0</v>
      </c>
      <c r="BD21" s="172">
        <f>'Exhibit B,3'!BH21-'Exhibit A,3'!CS21</f>
        <v>0</v>
      </c>
      <c r="BE21" s="172"/>
      <c r="BF21" s="172"/>
      <c r="BG21" s="364"/>
      <c r="BH21" s="365"/>
      <c r="BI21" s="25">
        <f t="shared" si="44"/>
        <v>2017</v>
      </c>
      <c r="BK21" s="172">
        <f>'Exhibit B,3'!BO21-CZ21</f>
        <v>0</v>
      </c>
      <c r="BL21" s="172">
        <f>'Exhibit B,3'!BP21-DA21</f>
        <v>0</v>
      </c>
      <c r="BN21" s="364"/>
      <c r="BO21" s="364"/>
      <c r="BP21" s="364"/>
      <c r="BQ21" s="25">
        <f t="shared" si="45"/>
        <v>2017</v>
      </c>
      <c r="BR21" s="25"/>
      <c r="BS21" s="18">
        <v>7993052.3794816537</v>
      </c>
      <c r="BT21" s="18">
        <f t="shared" si="24"/>
        <v>-630927.98846638482</v>
      </c>
      <c r="BU21" s="61">
        <f t="shared" si="20"/>
        <v>72</v>
      </c>
      <c r="BV21" s="72">
        <f>'Exhibit Q,3'!K30</f>
        <v>0.51484881007748451</v>
      </c>
      <c r="BW21" s="72">
        <f t="shared" si="21"/>
        <v>0.48661722894116194</v>
      </c>
      <c r="BX21" s="72">
        <f>'Exhibit Q,1'!K30</f>
        <v>0.84979646448736712</v>
      </c>
      <c r="BY21" s="72">
        <f t="shared" si="21"/>
        <v>0.82659904866187139</v>
      </c>
      <c r="BZ21" s="123">
        <f>'Exhibit B,3'!CH21</f>
        <v>0.81500034074912342</v>
      </c>
      <c r="CA21" s="72"/>
      <c r="CB21" s="25">
        <f t="shared" si="46"/>
        <v>217</v>
      </c>
      <c r="CC21" s="20">
        <v>463271.23318088276</v>
      </c>
      <c r="CD21" s="179">
        <f t="shared" si="25"/>
        <v>828473.89</v>
      </c>
      <c r="CE21" s="179">
        <f t="shared" si="25"/>
        <v>828473.88999999966</v>
      </c>
      <c r="CF21" s="20">
        <v>828473.89</v>
      </c>
      <c r="CG21" s="20">
        <v>828473.89</v>
      </c>
      <c r="CH21" s="20">
        <f t="shared" si="47"/>
        <v>0</v>
      </c>
      <c r="CI21" s="25">
        <f t="shared" si="48"/>
        <v>2017</v>
      </c>
      <c r="CK21" s="69">
        <v>710701.78112499998</v>
      </c>
      <c r="CL21" s="69">
        <v>771951.78112499998</v>
      </c>
      <c r="CM21" s="205">
        <v>710703</v>
      </c>
      <c r="CN21" s="205">
        <v>710703</v>
      </c>
      <c r="CO21" s="205">
        <f t="shared" si="49"/>
        <v>61248.78112499998</v>
      </c>
      <c r="CP21" s="25">
        <f t="shared" si="50"/>
        <v>2017</v>
      </c>
      <c r="CR21" s="61">
        <v>0</v>
      </c>
      <c r="CS21" s="61">
        <v>0</v>
      </c>
      <c r="CT21" s="61">
        <v>0</v>
      </c>
      <c r="CU21" s="61">
        <v>0</v>
      </c>
      <c r="CV21" s="61">
        <v>0</v>
      </c>
      <c r="CW21" s="365"/>
      <c r="CX21" s="25">
        <f t="shared" si="51"/>
        <v>2017</v>
      </c>
      <c r="CZ21" s="61">
        <v>0</v>
      </c>
      <c r="DA21" s="61">
        <v>0</v>
      </c>
      <c r="DB21" s="61">
        <v>0</v>
      </c>
      <c r="DC21" s="61">
        <v>0</v>
      </c>
      <c r="DD21" s="61">
        <v>0</v>
      </c>
    </row>
    <row r="22" spans="1:108" ht="16">
      <c r="A22" s="6">
        <f t="shared" si="52"/>
        <v>2018</v>
      </c>
      <c r="C22" s="494">
        <f>'Exhibit D,4'!U22</f>
        <v>5759038.391769873</v>
      </c>
      <c r="D22" s="18"/>
      <c r="E22" s="73">
        <f t="shared" si="26"/>
        <v>0.31990156074263781</v>
      </c>
      <c r="G22" s="74">
        <f t="shared" si="27"/>
        <v>0.67565322822629947</v>
      </c>
      <c r="I22" s="494">
        <f t="shared" si="28"/>
        <v>3916713.0218659192</v>
      </c>
      <c r="J22" s="494"/>
      <c r="K22" s="494">
        <f t="shared" si="22"/>
        <v>1867925.5108913623</v>
      </c>
      <c r="L22" s="187"/>
      <c r="M22" s="499">
        <f>'Exhibit D,4'!AM22</f>
        <v>4779456.2636480285</v>
      </c>
      <c r="N22" s="494"/>
      <c r="O22" s="130">
        <f t="shared" si="29"/>
        <v>1316069.8599999994</v>
      </c>
      <c r="P22" s="494"/>
      <c r="Q22" s="130">
        <f t="shared" si="30"/>
        <v>5589981.29</v>
      </c>
      <c r="R22" s="494"/>
      <c r="S22" s="130">
        <f t="shared" si="31"/>
        <v>4893090.82</v>
      </c>
      <c r="T22" s="494"/>
      <c r="U22" s="54">
        <f t="shared" si="32"/>
        <v>6183828.3699999973</v>
      </c>
      <c r="V22" s="187"/>
      <c r="W22" s="494">
        <f t="shared" si="33"/>
        <v>16196067.515513945</v>
      </c>
      <c r="X22" s="494"/>
      <c r="Y22" s="494">
        <f t="shared" si="34"/>
        <v>17724300.96453939</v>
      </c>
      <c r="Z22" s="187"/>
      <c r="AA22" s="494">
        <f t="shared" si="35"/>
        <v>15077268.500887685</v>
      </c>
      <c r="AB22" s="494"/>
      <c r="AC22" s="494">
        <f t="shared" si="36"/>
        <v>18205299.643100679</v>
      </c>
      <c r="AD22" s="494"/>
      <c r="AE22" s="494">
        <f t="shared" si="37"/>
        <v>21588050.817782499</v>
      </c>
      <c r="AF22" s="494"/>
      <c r="AG22" s="494">
        <f t="shared" si="38"/>
        <v>16394385.059150428</v>
      </c>
      <c r="AH22" s="494"/>
      <c r="AI22" s="494">
        <f>Y22+E94</f>
        <v>17724300.96453939</v>
      </c>
      <c r="AJ22" s="494"/>
      <c r="AK22" s="506">
        <f t="shared" si="39"/>
        <v>10818249.814539392</v>
      </c>
      <c r="AL22" s="613"/>
      <c r="AM22" s="25">
        <f t="shared" si="40"/>
        <v>2018</v>
      </c>
      <c r="AN22" s="137">
        <v>517676.78712741804</v>
      </c>
      <c r="AO22" s="172">
        <f>'Exhibit B,3'!AQ22-'Exhibit A,3'!CD22</f>
        <v>6906051.1499999994</v>
      </c>
      <c r="AP22" s="172">
        <f>'Exhibit B,3'!AR22-'Exhibit A,3'!CE22</f>
        <v>11076919.189999998</v>
      </c>
      <c r="AQ22" s="172">
        <v>5600042.8300000001</v>
      </c>
      <c r="AR22" s="172">
        <v>5735277.0199999986</v>
      </c>
      <c r="AS22" s="137">
        <f t="shared" si="41"/>
        <v>5341642.169999999</v>
      </c>
      <c r="AT22" s="25">
        <f t="shared" si="42"/>
        <v>2018</v>
      </c>
      <c r="AV22" s="172">
        <f>'Exhibit B,3'!AY22-'Exhibit A,3'!CD22</f>
        <v>2719472.29</v>
      </c>
      <c r="AW22" s="172">
        <f>'Exhibit B,3'!AZ22-'Exhibit A,3'!CE22</f>
        <v>3313319.3699999973</v>
      </c>
      <c r="AX22" s="172"/>
      <c r="AY22" s="172"/>
      <c r="AZ22" s="137"/>
      <c r="BA22" s="25">
        <f t="shared" si="43"/>
        <v>2018</v>
      </c>
      <c r="BC22" s="172">
        <f>'Exhibit B,3'!BG22-'Exhibit A,3'!CR22</f>
        <v>0</v>
      </c>
      <c r="BD22" s="172">
        <f>'Exhibit B,3'!BH22-'Exhibit A,3'!CS22</f>
        <v>0</v>
      </c>
      <c r="BE22" s="172"/>
      <c r="BF22" s="172"/>
      <c r="BG22" s="364"/>
      <c r="BH22" s="365"/>
      <c r="BI22" s="25">
        <f t="shared" si="44"/>
        <v>2018</v>
      </c>
      <c r="BK22" s="172">
        <f>'Exhibit B,3'!BO22-CZ22</f>
        <v>2870509</v>
      </c>
      <c r="BL22" s="172">
        <f>'Exhibit B,3'!BP22-DA22</f>
        <v>2870509</v>
      </c>
      <c r="BN22" s="364"/>
      <c r="BO22" s="364"/>
      <c r="BP22" s="364"/>
      <c r="BQ22" s="25">
        <f t="shared" si="45"/>
        <v>2018</v>
      </c>
      <c r="BR22" s="25"/>
      <c r="BS22" s="18">
        <v>12195723.262242977</v>
      </c>
      <c r="BT22" s="18">
        <f t="shared" si="24"/>
        <v>5528577.7022964135</v>
      </c>
      <c r="BU22" s="61">
        <f t="shared" si="20"/>
        <v>60</v>
      </c>
      <c r="BV22" s="72">
        <f>'Exhibit Q,3'!K31</f>
        <v>0.34545932325954892</v>
      </c>
      <c r="BW22" s="72">
        <f t="shared" si="21"/>
        <v>0.31990156074263781</v>
      </c>
      <c r="BX22" s="72">
        <f>'Exhibit Q,1'!K31</f>
        <v>0.71061196953439254</v>
      </c>
      <c r="BY22" s="72">
        <f t="shared" si="21"/>
        <v>0.67565322822629947</v>
      </c>
      <c r="BZ22" s="123">
        <f>'Exhibit B,3'!CH22</f>
        <v>0.658173857572253</v>
      </c>
      <c r="CA22" s="149"/>
      <c r="CB22" s="25">
        <f t="shared" si="46"/>
        <v>218</v>
      </c>
      <c r="CC22" s="20">
        <v>517676.78712741804</v>
      </c>
      <c r="CD22" s="179">
        <f t="shared" si="25"/>
        <v>74952.19</v>
      </c>
      <c r="CE22" s="179">
        <f t="shared" si="25"/>
        <v>74952.190000001341</v>
      </c>
      <c r="CF22" s="20">
        <v>0</v>
      </c>
      <c r="CG22" s="20">
        <v>280000</v>
      </c>
      <c r="CH22" s="20">
        <f t="shared" si="47"/>
        <v>-205047.80999999866</v>
      </c>
      <c r="CI22" s="25">
        <f t="shared" si="48"/>
        <v>2018</v>
      </c>
      <c r="CK22" s="69">
        <v>0</v>
      </c>
      <c r="CL22" s="69">
        <v>0</v>
      </c>
      <c r="CM22" s="205">
        <v>0</v>
      </c>
      <c r="CN22" s="205">
        <v>0</v>
      </c>
      <c r="CO22" s="205">
        <f t="shared" si="49"/>
        <v>0</v>
      </c>
      <c r="CP22" s="25">
        <f t="shared" si="50"/>
        <v>2018</v>
      </c>
      <c r="CR22" s="61">
        <v>0</v>
      </c>
      <c r="CS22" s="61">
        <v>0</v>
      </c>
      <c r="CT22" s="61">
        <v>0</v>
      </c>
      <c r="CU22" s="61">
        <v>0</v>
      </c>
      <c r="CV22" s="61">
        <v>0</v>
      </c>
      <c r="CW22" s="365"/>
      <c r="CX22" s="25">
        <f t="shared" si="51"/>
        <v>2018</v>
      </c>
      <c r="CZ22" s="61">
        <v>0</v>
      </c>
      <c r="DA22" s="61">
        <v>0</v>
      </c>
      <c r="DB22" s="61">
        <v>0</v>
      </c>
      <c r="DC22" s="61">
        <v>0</v>
      </c>
      <c r="DD22" s="61">
        <v>0</v>
      </c>
    </row>
    <row r="23" spans="1:108" ht="16">
      <c r="A23" s="6">
        <f t="shared" si="52"/>
        <v>2019</v>
      </c>
      <c r="C23" s="494">
        <f>'Exhibit D,4'!U23</f>
        <v>3403480.2431476847</v>
      </c>
      <c r="D23" s="18"/>
      <c r="E23" s="73">
        <f t="shared" si="26"/>
        <v>0.17396434844461656</v>
      </c>
      <c r="G23" s="74">
        <f t="shared" si="27"/>
        <v>0.46452146343123663</v>
      </c>
      <c r="I23" s="494">
        <f t="shared" si="28"/>
        <v>2811396.0202043727</v>
      </c>
      <c r="J23" s="494"/>
      <c r="K23" s="494">
        <f t="shared" si="22"/>
        <v>1822490.619841421</v>
      </c>
      <c r="L23" s="187"/>
      <c r="M23" s="499">
        <f>'Exhibit D,4'!AM23</f>
        <v>5576260.3524782406</v>
      </c>
      <c r="N23" s="494"/>
      <c r="O23" s="130">
        <f t="shared" si="29"/>
        <v>1518804.7000000002</v>
      </c>
      <c r="P23" s="494"/>
      <c r="Q23" s="130">
        <f t="shared" si="30"/>
        <v>3967924.76</v>
      </c>
      <c r="R23" s="494"/>
      <c r="S23" s="130">
        <f t="shared" si="31"/>
        <v>1770811.3399999999</v>
      </c>
      <c r="T23" s="494"/>
      <c r="U23" s="54">
        <f t="shared" si="32"/>
        <v>4551614.6100000003</v>
      </c>
      <c r="V23" s="187"/>
      <c r="W23" s="494">
        <f t="shared" si="33"/>
        <v>14458075.682682615</v>
      </c>
      <c r="X23" s="494"/>
      <c r="Y23" s="494">
        <f t="shared" si="34"/>
        <v>13721176.922319662</v>
      </c>
      <c r="Z23" s="187"/>
      <c r="AA23" s="494">
        <f t="shared" si="35"/>
        <v>18858426.443740666</v>
      </c>
      <c r="AB23" s="494"/>
      <c r="AC23" s="494">
        <f t="shared" si="36"/>
        <v>13939994.486342037</v>
      </c>
      <c r="AD23" s="494"/>
      <c r="AE23" s="494">
        <f t="shared" si="37"/>
        <v>31539390.162730727</v>
      </c>
      <c r="AF23" s="494"/>
      <c r="AG23" s="494">
        <f t="shared" si="38"/>
        <v>13610621.785479482</v>
      </c>
      <c r="AH23" s="494"/>
      <c r="AI23" s="494">
        <f t="shared" si="23"/>
        <v>13721176.922319662</v>
      </c>
      <c r="AJ23" s="494"/>
      <c r="AK23" s="506">
        <f t="shared" si="39"/>
        <v>8234447.4623196628</v>
      </c>
      <c r="AL23" s="613"/>
      <c r="AM23" s="25">
        <f t="shared" si="40"/>
        <v>2019</v>
      </c>
      <c r="AN23" s="137">
        <v>625460.73503305437</v>
      </c>
      <c r="AO23" s="172">
        <f>'Exhibit B,3'!AQ23-'Exhibit A,3'!CD23</f>
        <v>5486729.46</v>
      </c>
      <c r="AP23" s="172">
        <f>'Exhibit B,3'!AR23-'Exhibit A,3'!CE23</f>
        <v>6322425.9500000002</v>
      </c>
      <c r="AQ23" s="172">
        <v>2864980.4399999995</v>
      </c>
      <c r="AR23" s="172">
        <v>3156835.16</v>
      </c>
      <c r="AS23" s="137">
        <f t="shared" si="41"/>
        <v>3165590.79</v>
      </c>
      <c r="AT23" s="25">
        <f t="shared" si="42"/>
        <v>2019</v>
      </c>
      <c r="AV23" s="172">
        <f>'Exhibit B,3'!AY23-'Exhibit A,3'!CD23</f>
        <v>3967924.76</v>
      </c>
      <c r="AW23" s="172">
        <f>'Exhibit B,3'!AZ23-'Exhibit A,3'!CE23</f>
        <v>4551614.6100000003</v>
      </c>
      <c r="AX23" s="172"/>
      <c r="AY23" s="172"/>
      <c r="AZ23" s="137"/>
      <c r="BA23" s="25">
        <f t="shared" si="43"/>
        <v>2019</v>
      </c>
      <c r="BC23" s="172">
        <f>'Exhibit B,3'!BG23-'Exhibit A,3'!CR23</f>
        <v>0</v>
      </c>
      <c r="BD23" s="172">
        <f>'Exhibit B,3'!BH23-'Exhibit A,3'!CS23</f>
        <v>0</v>
      </c>
      <c r="BE23" s="172"/>
      <c r="BF23" s="172"/>
      <c r="BG23" s="364"/>
      <c r="BH23" s="365"/>
      <c r="BI23" s="25">
        <f t="shared" si="44"/>
        <v>2019</v>
      </c>
      <c r="BK23" s="172">
        <f>'Exhibit B,3'!BO23-CZ23</f>
        <v>0</v>
      </c>
      <c r="BL23" s="172">
        <f>'Exhibit B,3'!BP23-DA23</f>
        <v>0</v>
      </c>
      <c r="BN23" s="364"/>
      <c r="BO23" s="364"/>
      <c r="BP23" s="364"/>
      <c r="BQ23" s="25">
        <f t="shared" si="45"/>
        <v>2019</v>
      </c>
      <c r="BR23" s="25"/>
      <c r="BS23" s="18">
        <v>14530503.737386484</v>
      </c>
      <c r="BT23" s="18">
        <f t="shared" si="24"/>
        <v>-809326.81506682187</v>
      </c>
      <c r="BU23" s="61">
        <f t="shared" si="20"/>
        <v>48</v>
      </c>
      <c r="BV23" s="72">
        <f>'Exhibit Q,3'!K32</f>
        <v>0.19211274815808235</v>
      </c>
      <c r="BW23" s="72">
        <f t="shared" si="21"/>
        <v>0.17396434844461656</v>
      </c>
      <c r="BX23" s="72">
        <f>'Exhibit Q,1'!K32</f>
        <v>0.50085952168583414</v>
      </c>
      <c r="BY23" s="72">
        <f t="shared" si="21"/>
        <v>0.46452146343123663</v>
      </c>
      <c r="BZ23" s="123">
        <f>'Exhibit B,3'!CH23</f>
        <v>0.44635243430393778</v>
      </c>
      <c r="CA23" s="149"/>
      <c r="CB23" s="25">
        <f t="shared" si="46"/>
        <v>219</v>
      </c>
      <c r="CC23" s="20">
        <v>625460.73503305437</v>
      </c>
      <c r="CD23" s="179">
        <f t="shared" si="25"/>
        <v>683572.79</v>
      </c>
      <c r="CE23" s="179">
        <f t="shared" si="25"/>
        <v>683572.79</v>
      </c>
      <c r="CF23" s="20">
        <v>27688.82</v>
      </c>
      <c r="CG23" s="20">
        <v>592326.81999999995</v>
      </c>
      <c r="CH23" s="20">
        <f t="shared" si="47"/>
        <v>91245.970000000088</v>
      </c>
      <c r="CI23" s="25">
        <f t="shared" si="48"/>
        <v>2019</v>
      </c>
      <c r="CK23" s="69">
        <v>692047.1230681818</v>
      </c>
      <c r="CL23" s="69">
        <v>692047.1230681818</v>
      </c>
      <c r="CM23" s="205">
        <v>27781</v>
      </c>
      <c r="CN23" s="205">
        <v>592419</v>
      </c>
      <c r="CO23" s="205">
        <f t="shared" si="49"/>
        <v>99628.123068181798</v>
      </c>
      <c r="CP23" s="25">
        <f t="shared" si="50"/>
        <v>2019</v>
      </c>
      <c r="CR23" s="61">
        <v>0</v>
      </c>
      <c r="CS23" s="61">
        <v>0</v>
      </c>
      <c r="CT23" s="61">
        <v>0</v>
      </c>
      <c r="CU23" s="61">
        <v>0</v>
      </c>
      <c r="CV23" s="61">
        <v>0</v>
      </c>
      <c r="CW23" s="365"/>
      <c r="CX23" s="25">
        <f t="shared" si="51"/>
        <v>2019</v>
      </c>
      <c r="CZ23" s="61">
        <v>0</v>
      </c>
      <c r="DA23" s="61">
        <v>0</v>
      </c>
      <c r="DB23" s="61">
        <v>0</v>
      </c>
      <c r="DC23" s="61">
        <v>0</v>
      </c>
      <c r="DD23" s="61">
        <v>0</v>
      </c>
    </row>
    <row r="24" spans="1:108">
      <c r="A24" s="6">
        <f t="shared" si="52"/>
        <v>2020</v>
      </c>
      <c r="C24" s="494">
        <f>'Exhibit D,4'!U24</f>
        <v>2660393.4445810672</v>
      </c>
      <c r="D24" s="18"/>
      <c r="E24" s="73">
        <f t="shared" si="26"/>
        <v>7.3602556401170194E-2</v>
      </c>
      <c r="G24" s="74">
        <f t="shared" si="27"/>
        <v>0.25385865572128846</v>
      </c>
      <c r="I24" s="494">
        <f t="shared" si="28"/>
        <v>2464581.6860269858</v>
      </c>
      <c r="J24" s="494"/>
      <c r="K24" s="494">
        <f t="shared" si="22"/>
        <v>1985029.5410499892</v>
      </c>
      <c r="L24" s="187"/>
      <c r="M24" s="499">
        <f>'Exhibit D,4'!AM24</f>
        <v>0</v>
      </c>
      <c r="N24" s="494"/>
      <c r="O24" s="130">
        <f t="shared" si="29"/>
        <v>155459.76</v>
      </c>
      <c r="P24" s="494"/>
      <c r="Q24" s="130">
        <f t="shared" si="30"/>
        <v>0</v>
      </c>
      <c r="R24" s="494"/>
      <c r="S24" s="130">
        <f t="shared" si="31"/>
        <v>403242.19</v>
      </c>
      <c r="T24" s="494"/>
      <c r="U24" s="54">
        <f t="shared" si="32"/>
        <v>0</v>
      </c>
      <c r="V24" s="187"/>
      <c r="W24" s="494">
        <f t="shared" si="33"/>
        <v>2620041.4460269855</v>
      </c>
      <c r="X24" s="494"/>
      <c r="Y24" s="494">
        <f t="shared" si="34"/>
        <v>2388271.7310499894</v>
      </c>
      <c r="Z24" s="187"/>
      <c r="AA24" s="494">
        <f t="shared" si="35"/>
        <v>2112151.6371342828</v>
      </c>
      <c r="AB24" s="494"/>
      <c r="AC24" s="494">
        <f t="shared" si="36"/>
        <v>1588451.6084522239</v>
      </c>
      <c r="AD24" s="494"/>
      <c r="AE24" s="494">
        <f t="shared" si="37"/>
        <v>2112151.6371342828</v>
      </c>
      <c r="AF24" s="494"/>
      <c r="AG24" s="494">
        <f t="shared" si="38"/>
        <v>1588451.6084522239</v>
      </c>
      <c r="AH24" s="494"/>
      <c r="AI24" s="607">
        <f>'Exhibit B,3'!AI24*'Exhibit D,4'!Q24</f>
        <v>2353391.0440426539</v>
      </c>
      <c r="AJ24" s="494"/>
      <c r="AK24" s="506">
        <f t="shared" si="39"/>
        <v>2197931.2840426536</v>
      </c>
      <c r="AL24" s="613"/>
      <c r="AM24" s="25">
        <f t="shared" si="40"/>
        <v>2020</v>
      </c>
      <c r="AN24" s="137">
        <v>296720.04556384945</v>
      </c>
      <c r="AO24" s="172">
        <f>'Exhibit B,3'!AQ24-'Exhibit A,3'!CD24</f>
        <v>155459.76</v>
      </c>
      <c r="AP24" s="172">
        <f>'Exhibit B,3'!AR24-'Exhibit A,3'!CE24</f>
        <v>403242.19</v>
      </c>
      <c r="AQ24" s="172">
        <v>86384.560000000012</v>
      </c>
      <c r="AR24" s="172">
        <v>295761.2</v>
      </c>
      <c r="AS24" s="137">
        <f t="shared" si="41"/>
        <v>107480.98999999999</v>
      </c>
      <c r="AT24" s="25">
        <f t="shared" si="42"/>
        <v>2020</v>
      </c>
      <c r="AV24" s="172">
        <f>'Exhibit B,3'!AY24-'Exhibit A,3'!CD24</f>
        <v>0</v>
      </c>
      <c r="AW24" s="172">
        <f>'Exhibit B,3'!AZ24-'Exhibit A,3'!CE24</f>
        <v>0</v>
      </c>
      <c r="AX24" s="172"/>
      <c r="AY24" s="172"/>
      <c r="AZ24" s="137"/>
      <c r="BA24" s="25">
        <f t="shared" si="43"/>
        <v>2020</v>
      </c>
      <c r="BC24" s="172">
        <f>'Exhibit B,3'!BG24-'Exhibit A,3'!CR24</f>
        <v>0</v>
      </c>
      <c r="BD24" s="172">
        <f>'Exhibit B,3'!BH24-'Exhibit A,3'!CS24</f>
        <v>0</v>
      </c>
      <c r="BE24" s="172"/>
      <c r="BF24" s="172"/>
      <c r="BI24" s="25">
        <f t="shared" si="44"/>
        <v>2020</v>
      </c>
      <c r="BK24" s="172">
        <f>'Exhibit B,3'!BO24-CZ24</f>
        <v>0</v>
      </c>
      <c r="BL24" s="172">
        <f>'Exhibit B,3'!BP24-DA24</f>
        <v>0</v>
      </c>
      <c r="BQ24" s="25">
        <f t="shared" si="45"/>
        <v>2020</v>
      </c>
      <c r="BR24" s="25"/>
      <c r="BS24" s="18">
        <v>1901204.2832043967</v>
      </c>
      <c r="BT24" s="18">
        <f t="shared" si="24"/>
        <v>452186.76083825715</v>
      </c>
      <c r="BU24" s="61">
        <f t="shared" si="20"/>
        <v>36</v>
      </c>
      <c r="BV24" s="72">
        <f>'Exhibit Q,3'!K33</f>
        <v>8.3222349877287466E-2</v>
      </c>
      <c r="BW24" s="72">
        <f t="shared" si="21"/>
        <v>7.3602556401170194E-2</v>
      </c>
      <c r="BX24" s="72">
        <f>'Exhibit Q,1'!K33</f>
        <v>0.28283117215824882</v>
      </c>
      <c r="BY24" s="72">
        <f t="shared" si="21"/>
        <v>0.25385865572128846</v>
      </c>
      <c r="BZ24" s="123">
        <f>'Exhibit B,3'!CH24</f>
        <v>0.23937239750280831</v>
      </c>
      <c r="CA24" s="149"/>
      <c r="CB24" s="25">
        <f t="shared" si="46"/>
        <v>220</v>
      </c>
      <c r="CC24" s="20">
        <v>296720.04556384945</v>
      </c>
      <c r="CD24" s="179">
        <f t="shared" si="25"/>
        <v>0</v>
      </c>
      <c r="CE24" s="179">
        <f t="shared" si="25"/>
        <v>0</v>
      </c>
      <c r="CF24" s="20">
        <v>0</v>
      </c>
      <c r="CG24" s="20">
        <v>0</v>
      </c>
      <c r="CH24" s="20">
        <f t="shared" si="47"/>
        <v>0</v>
      </c>
      <c r="CI24" s="25">
        <f t="shared" si="48"/>
        <v>2020</v>
      </c>
      <c r="CK24" s="69">
        <v>0</v>
      </c>
      <c r="CL24" s="69">
        <v>0</v>
      </c>
      <c r="CM24" s="205">
        <v>0</v>
      </c>
      <c r="CN24" s="205">
        <v>0</v>
      </c>
      <c r="CO24" s="205">
        <f t="shared" si="49"/>
        <v>0</v>
      </c>
      <c r="CP24" s="25">
        <f t="shared" si="50"/>
        <v>2020</v>
      </c>
      <c r="CR24" s="61">
        <v>0</v>
      </c>
      <c r="CS24" s="61">
        <v>0</v>
      </c>
      <c r="CT24" s="61">
        <v>0</v>
      </c>
      <c r="CU24" s="61">
        <v>0</v>
      </c>
      <c r="CV24" s="61">
        <v>0</v>
      </c>
      <c r="CX24" s="25">
        <f t="shared" si="51"/>
        <v>2020</v>
      </c>
      <c r="CZ24" s="61">
        <v>0</v>
      </c>
      <c r="DA24" s="61">
        <v>0</v>
      </c>
      <c r="DB24" s="61">
        <v>0</v>
      </c>
      <c r="DC24" s="61">
        <v>0</v>
      </c>
      <c r="DD24" s="61">
        <v>0</v>
      </c>
    </row>
    <row r="25" spans="1:108">
      <c r="A25" s="6">
        <f t="shared" si="52"/>
        <v>2021</v>
      </c>
      <c r="C25" s="494">
        <f>'Exhibit D,4'!U25</f>
        <v>3578887.4700133721</v>
      </c>
      <c r="D25" s="18"/>
      <c r="E25" s="73">
        <f t="shared" si="26"/>
        <v>2.1824344695258523E-2</v>
      </c>
      <c r="G25" s="74">
        <f t="shared" si="27"/>
        <v>9.5677256362948646E-2</v>
      </c>
      <c r="I25" s="494">
        <f t="shared" si="28"/>
        <v>3500780.5962422588</v>
      </c>
      <c r="J25" s="494"/>
      <c r="K25" s="494">
        <f t="shared" si="22"/>
        <v>3236469.3360507581</v>
      </c>
      <c r="L25" s="187"/>
      <c r="M25" s="499">
        <f>'Exhibit D,4'!AM25</f>
        <v>0</v>
      </c>
      <c r="N25" s="494"/>
      <c r="O25" s="130">
        <f t="shared" si="29"/>
        <v>2849.11</v>
      </c>
      <c r="P25" s="494"/>
      <c r="Q25" s="130">
        <f t="shared" si="30"/>
        <v>0</v>
      </c>
      <c r="R25" s="494"/>
      <c r="S25" s="130">
        <f t="shared" si="31"/>
        <v>141000</v>
      </c>
      <c r="T25" s="494"/>
      <c r="U25" s="54">
        <f t="shared" si="32"/>
        <v>0</v>
      </c>
      <c r="V25" s="187"/>
      <c r="W25" s="494">
        <f t="shared" si="33"/>
        <v>3503629.7062422587</v>
      </c>
      <c r="X25" s="494"/>
      <c r="Y25" s="494">
        <f t="shared" si="34"/>
        <v>3377469.3360507581</v>
      </c>
      <c r="Z25" s="187"/>
      <c r="AA25" s="494">
        <f t="shared" si="35"/>
        <v>130547.33325482103</v>
      </c>
      <c r="AB25" s="494"/>
      <c r="AC25" s="494">
        <f t="shared" si="36"/>
        <v>1473704.4660344457</v>
      </c>
      <c r="AD25" s="494"/>
      <c r="AE25" s="494">
        <f t="shared" si="37"/>
        <v>130547.33325482103</v>
      </c>
      <c r="AF25" s="494"/>
      <c r="AG25" s="494">
        <f t="shared" si="38"/>
        <v>1473704.4660344457</v>
      </c>
      <c r="AH25" s="494"/>
      <c r="AI25" s="607">
        <f>'Exhibit B,3'!AI25*'Exhibit D,4'!Q25</f>
        <v>3375630.2057540258</v>
      </c>
      <c r="AJ25" s="494"/>
      <c r="AK25" s="506">
        <f t="shared" si="39"/>
        <v>3372781.095754026</v>
      </c>
      <c r="AL25" s="613"/>
      <c r="AM25" s="25">
        <f t="shared" si="40"/>
        <v>2021</v>
      </c>
      <c r="AN25" s="137">
        <v>306776.73266452912</v>
      </c>
      <c r="AO25" s="172">
        <f>'Exhibit B,3'!AQ25-'Exhibit A,3'!CD25</f>
        <v>2849.11</v>
      </c>
      <c r="AP25" s="172">
        <f>'Exhibit B,3'!AR25-'Exhibit A,3'!CE25</f>
        <v>141000</v>
      </c>
      <c r="AQ25" s="172">
        <v>0</v>
      </c>
      <c r="AR25" s="172">
        <v>0</v>
      </c>
      <c r="AS25" s="137">
        <f t="shared" si="41"/>
        <v>141000</v>
      </c>
      <c r="AT25" s="25">
        <f t="shared" si="42"/>
        <v>2021</v>
      </c>
      <c r="AV25" s="172">
        <f>'Exhibit B,3'!AY25-'Exhibit A,3'!CD25</f>
        <v>0</v>
      </c>
      <c r="AW25" s="172">
        <f>'Exhibit B,3'!AZ25-'Exhibit A,3'!CE25</f>
        <v>0</v>
      </c>
      <c r="AX25" s="172"/>
      <c r="AY25" s="172"/>
      <c r="AZ25" s="137"/>
      <c r="BA25" s="25">
        <f t="shared" si="43"/>
        <v>2021</v>
      </c>
      <c r="BC25" s="172">
        <f>'Exhibit B,3'!BG25-'Exhibit A,3'!CR25</f>
        <v>0</v>
      </c>
      <c r="BD25" s="172">
        <f>'Exhibit B,3'!BH25-'Exhibit A,3'!CS25</f>
        <v>0</v>
      </c>
      <c r="BE25" s="172"/>
      <c r="BF25" s="172"/>
      <c r="BI25" s="25">
        <f t="shared" si="44"/>
        <v>2021</v>
      </c>
      <c r="BK25" s="172">
        <f>'Exhibit B,3'!BO25-CZ25</f>
        <v>0</v>
      </c>
      <c r="BL25" s="172">
        <f>'Exhibit B,3'!BP25-DA25</f>
        <v>0</v>
      </c>
      <c r="BQ25" s="25">
        <f t="shared" si="45"/>
        <v>2021</v>
      </c>
      <c r="BR25" s="25"/>
      <c r="BS25" s="18">
        <v>1889314.8241668332</v>
      </c>
      <c r="BT25" s="18">
        <f t="shared" si="24"/>
        <v>1486315.3815871926</v>
      </c>
      <c r="BU25" s="61">
        <f>BU26+12</f>
        <v>24</v>
      </c>
      <c r="BV25" s="72">
        <f>'Exhibit Q,3'!K34</f>
        <v>2.5503589020583816E-2</v>
      </c>
      <c r="BW25" s="72">
        <f t="shared" si="21"/>
        <v>2.1824344695258523E-2</v>
      </c>
      <c r="BX25" s="72">
        <f>'Exhibit Q,1'!K34</f>
        <v>0.10899607353648681</v>
      </c>
      <c r="BY25" s="72">
        <f t="shared" si="21"/>
        <v>9.5677256362948646E-2</v>
      </c>
      <c r="BZ25" s="123">
        <f>'Exhibit B,3'!CH25</f>
        <v>8.9017847776179576E-2</v>
      </c>
      <c r="CA25" s="149"/>
      <c r="CB25" s="25">
        <f t="shared" si="46"/>
        <v>221</v>
      </c>
      <c r="CC25" s="20">
        <v>306776.73266452912</v>
      </c>
      <c r="CD25" s="179">
        <f t="shared" si="25"/>
        <v>0</v>
      </c>
      <c r="CE25" s="179">
        <f t="shared" si="25"/>
        <v>0</v>
      </c>
      <c r="CF25" s="20">
        <v>0</v>
      </c>
      <c r="CG25" s="20">
        <v>0</v>
      </c>
      <c r="CH25" s="20">
        <f t="shared" si="47"/>
        <v>0</v>
      </c>
      <c r="CI25" s="25">
        <f t="shared" si="48"/>
        <v>2021</v>
      </c>
      <c r="CK25" s="69">
        <v>0</v>
      </c>
      <c r="CL25" s="69">
        <v>0</v>
      </c>
      <c r="CM25" s="205">
        <v>0</v>
      </c>
      <c r="CN25" s="205">
        <v>0</v>
      </c>
      <c r="CO25" s="205">
        <f t="shared" si="49"/>
        <v>0</v>
      </c>
      <c r="CP25" s="25">
        <f t="shared" si="50"/>
        <v>2021</v>
      </c>
      <c r="CR25" s="61">
        <v>0</v>
      </c>
      <c r="CS25" s="61">
        <v>0</v>
      </c>
      <c r="CT25" s="61">
        <v>0</v>
      </c>
      <c r="CU25" s="61">
        <v>0</v>
      </c>
      <c r="CV25" s="61">
        <v>0</v>
      </c>
      <c r="CX25" s="25">
        <f t="shared" si="51"/>
        <v>2021</v>
      </c>
      <c r="CZ25" s="61">
        <v>0</v>
      </c>
      <c r="DA25" s="61">
        <v>0</v>
      </c>
      <c r="DB25" s="61">
        <v>0</v>
      </c>
      <c r="DC25" s="61">
        <v>0</v>
      </c>
      <c r="DD25" s="61">
        <v>0</v>
      </c>
    </row>
    <row r="26" spans="1:108">
      <c r="A26" s="6">
        <f t="shared" si="52"/>
        <v>2022</v>
      </c>
      <c r="C26" s="494">
        <f>'Exhibit D,4'!U26</f>
        <v>2723456.1699694302</v>
      </c>
      <c r="D26" s="18"/>
      <c r="E26" s="73">
        <f t="shared" ref="E26" si="53">BW26</f>
        <v>2.8567692238600554E-3</v>
      </c>
      <c r="G26" s="74">
        <f t="shared" ref="G26" si="54">BY26</f>
        <v>2.4235975412714883E-2</v>
      </c>
      <c r="I26" s="494">
        <f t="shared" si="28"/>
        <v>2715675.8842005297</v>
      </c>
      <c r="J26" s="494"/>
      <c r="K26" s="494">
        <f t="shared" si="22"/>
        <v>2657450.5531964446</v>
      </c>
      <c r="L26" s="187"/>
      <c r="M26" s="499">
        <f>'Exhibit D,4'!AM26</f>
        <v>0</v>
      </c>
      <c r="N26" s="494"/>
      <c r="O26" s="499">
        <f t="shared" si="29"/>
        <v>0</v>
      </c>
      <c r="P26" s="499"/>
      <c r="Q26" s="130">
        <f t="shared" si="30"/>
        <v>0</v>
      </c>
      <c r="R26" s="499"/>
      <c r="S26" s="499">
        <f t="shared" si="31"/>
        <v>0</v>
      </c>
      <c r="T26" s="499"/>
      <c r="U26" s="54">
        <f t="shared" si="32"/>
        <v>0</v>
      </c>
      <c r="V26" s="499"/>
      <c r="W26" s="494">
        <f t="shared" ref="W26" si="55">(I26+O26)+(M26+U26)</f>
        <v>2715675.8842005297</v>
      </c>
      <c r="X26" s="494"/>
      <c r="Y26" s="494">
        <f t="shared" ref="Y26" si="56">(K26+S26)+(M26+U26)</f>
        <v>2657450.5531964446</v>
      </c>
      <c r="Z26" s="187"/>
      <c r="AA26" s="494">
        <f t="shared" ref="AA26" si="57">O26/E26+(M26+U26)</f>
        <v>0</v>
      </c>
      <c r="AB26" s="494"/>
      <c r="AC26" s="494">
        <f t="shared" ref="AC26" si="58">S26/G26+(M26+U26)</f>
        <v>0</v>
      </c>
      <c r="AD26" s="494"/>
      <c r="AE26" s="494">
        <f t="shared" ref="AE26" si="59">(O26+Q26)/E26</f>
        <v>0</v>
      </c>
      <c r="AF26" s="494"/>
      <c r="AG26" s="494">
        <f t="shared" ref="AG26" si="60">(S26+U26)/G26</f>
        <v>0</v>
      </c>
      <c r="AH26" s="494"/>
      <c r="AI26" s="607">
        <f>'Exhibit B,3'!AI26*'Exhibit D,4'!Q26</f>
        <v>1980906.362590614</v>
      </c>
      <c r="AJ26" s="494"/>
      <c r="AK26" s="506">
        <f t="shared" ref="AK26" si="61">AI26-O26-Q26</f>
        <v>1980906.362590614</v>
      </c>
      <c r="AL26" s="613"/>
      <c r="AM26" s="25">
        <f t="shared" si="40"/>
        <v>2022</v>
      </c>
      <c r="AN26" s="137"/>
      <c r="AO26" s="172">
        <f>'Exhibit B,3'!AQ26-'Exhibit A,3'!CD26</f>
        <v>0</v>
      </c>
      <c r="AP26" s="172">
        <f>'Exhibit B,3'!AR26-'Exhibit A,3'!CE26</f>
        <v>0</v>
      </c>
      <c r="AQ26" s="172">
        <v>0</v>
      </c>
      <c r="AR26" s="172">
        <v>0</v>
      </c>
      <c r="AS26" s="137">
        <f t="shared" si="41"/>
        <v>0</v>
      </c>
      <c r="AT26" s="25">
        <f t="shared" si="42"/>
        <v>2022</v>
      </c>
      <c r="AV26" s="172">
        <f>'Exhibit B,3'!AY26-'Exhibit A,3'!CD26</f>
        <v>0</v>
      </c>
      <c r="AW26" s="172">
        <f>'Exhibit B,3'!AZ26-'Exhibit A,3'!CE26</f>
        <v>0</v>
      </c>
      <c r="AX26" s="172"/>
      <c r="AY26" s="172"/>
      <c r="AZ26" s="137"/>
      <c r="BA26" s="25">
        <f t="shared" si="43"/>
        <v>2022</v>
      </c>
      <c r="BC26" s="172">
        <f>'Exhibit B,3'!BG26-'Exhibit A,3'!CR26</f>
        <v>0</v>
      </c>
      <c r="BD26" s="172">
        <f>'Exhibit B,3'!BH26-'Exhibit A,3'!CS26</f>
        <v>0</v>
      </c>
      <c r="BE26" s="172"/>
      <c r="BF26" s="172"/>
      <c r="BI26" s="25">
        <f t="shared" si="44"/>
        <v>2022</v>
      </c>
      <c r="BK26" s="172">
        <f>'Exhibit B,3'!BO26-CZ26</f>
        <v>0</v>
      </c>
      <c r="BL26" s="172">
        <f>'Exhibit B,3'!BP26-DA26</f>
        <v>0</v>
      </c>
      <c r="BQ26" s="25">
        <f t="shared" si="45"/>
        <v>2022</v>
      </c>
      <c r="BR26" s="25"/>
      <c r="BT26" s="18"/>
      <c r="BU26" s="61">
        <f>BU27+12</f>
        <v>12</v>
      </c>
      <c r="BV26" s="72">
        <f>'Exhibit Q,3'!K35</f>
        <v>3.4281230686320661E-3</v>
      </c>
      <c r="BW26" s="72">
        <f>BV27*(2/12)+BV26*(10/12)</f>
        <v>2.8567692238600554E-3</v>
      </c>
      <c r="BX26" s="72">
        <f>'Exhibit Q,1'!K35</f>
        <v>2.9083170495257857E-2</v>
      </c>
      <c r="BY26" s="72">
        <f>BX27*(2/12)+BX26*(10/12)</f>
        <v>2.4235975412714883E-2</v>
      </c>
      <c r="BZ26" s="123">
        <f>'Exhibit B,3'!CH26</f>
        <v>2.1812377871443394E-2</v>
      </c>
      <c r="CA26" s="149"/>
      <c r="CB26" s="25">
        <f t="shared" si="46"/>
        <v>222</v>
      </c>
      <c r="CC26" s="20"/>
      <c r="CD26" s="179">
        <f t="shared" si="25"/>
        <v>0</v>
      </c>
      <c r="CE26" s="179">
        <f t="shared" si="25"/>
        <v>0</v>
      </c>
      <c r="CF26" s="20">
        <v>0</v>
      </c>
      <c r="CG26" s="20">
        <v>0</v>
      </c>
      <c r="CH26" s="20">
        <f t="shared" si="47"/>
        <v>0</v>
      </c>
      <c r="CI26" s="25">
        <f t="shared" si="48"/>
        <v>2022</v>
      </c>
      <c r="CK26" s="69">
        <v>0</v>
      </c>
      <c r="CL26" s="69">
        <v>0</v>
      </c>
      <c r="CM26" s="205">
        <v>0</v>
      </c>
      <c r="CN26" s="205">
        <v>0</v>
      </c>
      <c r="CO26" s="205">
        <f t="shared" si="49"/>
        <v>0</v>
      </c>
      <c r="CP26" s="25">
        <f t="shared" si="50"/>
        <v>2022</v>
      </c>
      <c r="CR26" s="61">
        <v>0</v>
      </c>
      <c r="CS26" s="61">
        <v>0</v>
      </c>
      <c r="CT26" s="61">
        <v>0</v>
      </c>
      <c r="CU26" s="61">
        <v>0</v>
      </c>
      <c r="CV26" s="61">
        <v>0</v>
      </c>
      <c r="CX26" s="25">
        <f t="shared" si="51"/>
        <v>2022</v>
      </c>
      <c r="CZ26" s="61">
        <v>0</v>
      </c>
      <c r="DA26" s="61">
        <v>0</v>
      </c>
      <c r="DB26" s="61">
        <v>0</v>
      </c>
      <c r="DC26" s="61">
        <v>0</v>
      </c>
      <c r="DD26" s="61">
        <v>0</v>
      </c>
    </row>
    <row r="27" spans="1:108">
      <c r="A27" s="6"/>
      <c r="C27" s="63"/>
      <c r="I27" s="63"/>
      <c r="K27" s="63"/>
      <c r="M27" s="63"/>
      <c r="O27" s="63"/>
      <c r="Q27" s="63"/>
      <c r="S27" s="63"/>
      <c r="U27" s="63"/>
      <c r="W27" s="63"/>
      <c r="Y27" s="63"/>
      <c r="AA27" s="63"/>
      <c r="AC27" s="63"/>
      <c r="AE27" s="63"/>
      <c r="AG27" s="63"/>
      <c r="AI27" s="63"/>
      <c r="AK27" s="63"/>
      <c r="AL27" s="25"/>
      <c r="AM27" s="25"/>
      <c r="AN27" s="70"/>
      <c r="AO27" s="70"/>
      <c r="AP27" s="70"/>
      <c r="AQ27" s="70"/>
      <c r="AR27" s="70"/>
      <c r="AS27" s="70"/>
      <c r="AT27" s="25"/>
      <c r="AU27" s="70"/>
      <c r="AV27" s="70"/>
      <c r="AW27" s="70"/>
      <c r="AX27" s="70"/>
      <c r="AY27" s="70"/>
      <c r="AZ27" s="70"/>
      <c r="BA27" s="25"/>
      <c r="BB27" s="70"/>
      <c r="BC27" s="70"/>
      <c r="BD27" s="70"/>
      <c r="BE27" s="70"/>
      <c r="BF27" s="70"/>
      <c r="BG27" s="70"/>
      <c r="BI27" s="25"/>
      <c r="BJ27" s="70"/>
      <c r="BK27" s="70"/>
      <c r="BL27" s="70"/>
      <c r="BM27" s="70"/>
      <c r="BN27" s="70"/>
      <c r="BO27" s="70"/>
      <c r="BP27" s="441"/>
      <c r="BQ27" s="70"/>
      <c r="BR27" s="441"/>
      <c r="BS27" s="70"/>
      <c r="BT27" s="70"/>
      <c r="BV27" s="61"/>
      <c r="BW27" s="61"/>
      <c r="BX27" s="61"/>
      <c r="BY27" s="61"/>
      <c r="BZ27" s="61"/>
      <c r="CB27" s="25"/>
      <c r="CC27" s="70"/>
      <c r="CD27" s="70"/>
      <c r="CE27" s="70"/>
      <c r="CF27" s="70"/>
      <c r="CG27" s="70"/>
      <c r="CH27" s="70"/>
      <c r="CI27" s="25"/>
      <c r="CJ27" s="70"/>
      <c r="CK27" s="70"/>
      <c r="CL27" s="70"/>
      <c r="CM27" s="70"/>
      <c r="CN27" s="70"/>
      <c r="CO27" s="70"/>
      <c r="CP27" s="25"/>
      <c r="CQ27" s="70"/>
      <c r="CR27" s="70"/>
      <c r="CS27" s="70"/>
      <c r="CT27" s="70"/>
      <c r="CU27" s="70"/>
      <c r="CV27" s="70"/>
      <c r="CX27" s="25"/>
      <c r="CY27" s="70"/>
      <c r="CZ27" s="70"/>
      <c r="DA27" s="70"/>
      <c r="DB27" s="70"/>
      <c r="DC27" s="70"/>
      <c r="DD27" s="70"/>
    </row>
    <row r="28" spans="1:108">
      <c r="A28" s="2" t="s">
        <v>0</v>
      </c>
      <c r="C28" s="147">
        <f>SUM(C17:C27)</f>
        <v>22213605.32594689</v>
      </c>
      <c r="D28" s="26"/>
      <c r="I28" s="147">
        <f>SUM(I17:I27)</f>
        <v>16728885.50447534</v>
      </c>
      <c r="J28" s="147"/>
      <c r="K28" s="147">
        <f>SUM(K17:K27)</f>
        <v>11944693.575561095</v>
      </c>
      <c r="L28" s="147"/>
      <c r="M28" s="147">
        <f>SUM(M17:M27)</f>
        <v>10053966.66612627</v>
      </c>
      <c r="N28" s="147"/>
      <c r="O28" s="147">
        <f>SUM(O17:O27)</f>
        <v>5623738.5118857156</v>
      </c>
      <c r="P28" s="147"/>
      <c r="Q28" s="147">
        <f>SUM(Q17:Q27)</f>
        <v>23652647.718114287</v>
      </c>
      <c r="R28" s="147"/>
      <c r="S28" s="147">
        <f>SUM(S17:S27)</f>
        <v>12287366.291885713</v>
      </c>
      <c r="T28" s="147"/>
      <c r="U28" s="147">
        <f>SUM(U17:U27)</f>
        <v>25808365.088114284</v>
      </c>
      <c r="V28" s="147"/>
      <c r="W28" s="147">
        <f>SUM(W17:W27)</f>
        <v>58214955.770601615</v>
      </c>
      <c r="X28" s="147"/>
      <c r="Y28" s="147">
        <f>SUM(Y17:Y27)</f>
        <v>60094391.621687368</v>
      </c>
      <c r="Z28" s="147"/>
      <c r="AA28" s="147">
        <f>SUM(AA17:AA27)</f>
        <v>55051602.325520732</v>
      </c>
      <c r="AB28" s="147"/>
      <c r="AC28" s="147">
        <f>SUM(AC17:AC27)</f>
        <v>55583315.914285332</v>
      </c>
      <c r="AD28" s="147"/>
      <c r="AE28" s="147">
        <f>SUM(AE17:AE27)</f>
        <v>83848326.108222917</v>
      </c>
      <c r="AF28" s="147"/>
      <c r="AG28" s="147">
        <f>SUM(AG17:AG27)</f>
        <v>55917724.936550282</v>
      </c>
      <c r="AH28" s="147"/>
      <c r="AI28" s="147">
        <f>SUM(AI17:AI27)</f>
        <v>59381127.613777466</v>
      </c>
      <c r="AJ28" s="147"/>
      <c r="AK28" s="147">
        <f>SUM(AK17:AK27)</f>
        <v>30104741.383777466</v>
      </c>
      <c r="AL28" s="97"/>
      <c r="AM28" s="97" t="s">
        <v>0</v>
      </c>
      <c r="AN28" s="68">
        <f t="shared" ref="AN28:AS28" si="62">SUM(AN17:AN27)</f>
        <v>2476738.2334667188</v>
      </c>
      <c r="AO28" s="68">
        <f t="shared" si="62"/>
        <v>29276386.230000004</v>
      </c>
      <c r="AP28" s="68">
        <f t="shared" si="62"/>
        <v>38095731.379999995</v>
      </c>
      <c r="AQ28" s="68">
        <f t="shared" si="62"/>
        <v>23998403.779999997</v>
      </c>
      <c r="AR28" s="68">
        <f t="shared" si="62"/>
        <v>25420892.549999997</v>
      </c>
      <c r="AS28" s="68">
        <f t="shared" si="62"/>
        <v>12674838.83</v>
      </c>
      <c r="AT28" s="97" t="s">
        <v>0</v>
      </c>
      <c r="AU28" s="68">
        <f t="shared" ref="AU28:AZ28" si="63">SUM(AU17:AU27)</f>
        <v>0</v>
      </c>
      <c r="AV28" s="68">
        <f t="shared" si="63"/>
        <v>16022184.339999998</v>
      </c>
      <c r="AW28" s="68">
        <f t="shared" si="63"/>
        <v>18177901.709999997</v>
      </c>
      <c r="AX28" s="68">
        <f t="shared" si="63"/>
        <v>0</v>
      </c>
      <c r="AY28" s="68">
        <f t="shared" si="63"/>
        <v>0</v>
      </c>
      <c r="AZ28" s="68">
        <f t="shared" si="63"/>
        <v>0</v>
      </c>
      <c r="BA28" s="97" t="s">
        <v>0</v>
      </c>
      <c r="BB28" s="68">
        <f t="shared" ref="BB28:BG28" si="64">SUM(BB17:BB27)</f>
        <v>0</v>
      </c>
      <c r="BC28" s="68">
        <f t="shared" si="64"/>
        <v>4759954.3781142849</v>
      </c>
      <c r="BD28" s="68">
        <f t="shared" si="64"/>
        <v>4759954.3781142849</v>
      </c>
      <c r="BE28" s="68">
        <f t="shared" si="64"/>
        <v>0</v>
      </c>
      <c r="BF28" s="68">
        <f t="shared" si="64"/>
        <v>0</v>
      </c>
      <c r="BG28" s="68">
        <f t="shared" si="64"/>
        <v>0</v>
      </c>
      <c r="BH28" s="68"/>
      <c r="BI28" s="97" t="s">
        <v>0</v>
      </c>
      <c r="BJ28" s="68">
        <f t="shared" ref="BJ28:BO28" si="65">SUM(BJ17:BJ27)</f>
        <v>0</v>
      </c>
      <c r="BK28" s="68">
        <f t="shared" si="65"/>
        <v>2870509</v>
      </c>
      <c r="BL28" s="68">
        <f t="shared" si="65"/>
        <v>2870509</v>
      </c>
      <c r="BM28" s="68">
        <f t="shared" si="65"/>
        <v>0</v>
      </c>
      <c r="BN28" s="68">
        <f t="shared" si="65"/>
        <v>0</v>
      </c>
      <c r="BO28" s="68">
        <f t="shared" si="65"/>
        <v>0</v>
      </c>
      <c r="BP28" s="68"/>
      <c r="BQ28" s="61"/>
      <c r="BR28" s="61"/>
      <c r="BS28" s="122">
        <f>SUM(BS17:BS27)</f>
        <v>51122555.734980121</v>
      </c>
      <c r="BT28" s="122">
        <f>SUM(BT17:BT27)</f>
        <v>6277665.5162067302</v>
      </c>
      <c r="BU28" s="122"/>
      <c r="BW28" s="61"/>
      <c r="CB28" s="97" t="s">
        <v>0</v>
      </c>
      <c r="CC28" s="68">
        <f t="shared" ref="CC28:CH28" si="66">SUM(CC17:CC27)</f>
        <v>2476738.2334667188</v>
      </c>
      <c r="CD28" s="68">
        <f t="shared" si="66"/>
        <v>2704646.06</v>
      </c>
      <c r="CE28" s="68">
        <f t="shared" si="66"/>
        <v>2704646.0600000024</v>
      </c>
      <c r="CF28" s="68">
        <f t="shared" si="66"/>
        <v>1716723.57</v>
      </c>
      <c r="CG28" s="68">
        <f t="shared" si="66"/>
        <v>2561361.5699999998</v>
      </c>
      <c r="CH28" s="68">
        <f t="shared" si="66"/>
        <v>143284.49000000267</v>
      </c>
      <c r="CI28" s="97" t="s">
        <v>0</v>
      </c>
      <c r="CJ28" s="68">
        <f t="shared" ref="CJ28:CO28" si="67">SUM(CJ17:CJ27)</f>
        <v>0</v>
      </c>
      <c r="CK28" s="68">
        <f t="shared" si="67"/>
        <v>1402748.9041931818</v>
      </c>
      <c r="CL28" s="68">
        <f t="shared" si="67"/>
        <v>1463998.9041931818</v>
      </c>
      <c r="CM28" s="68">
        <f t="shared" si="67"/>
        <v>738484</v>
      </c>
      <c r="CN28" s="68">
        <f t="shared" si="67"/>
        <v>1303122</v>
      </c>
      <c r="CO28" s="68">
        <f t="shared" si="67"/>
        <v>160876.90419318178</v>
      </c>
      <c r="CP28" s="97" t="s">
        <v>0</v>
      </c>
      <c r="CQ28" s="68">
        <f t="shared" ref="CQ28:CV28" si="68">SUM(CQ17:CQ27)</f>
        <v>0</v>
      </c>
      <c r="CR28" s="68">
        <f t="shared" si="68"/>
        <v>1120567.1318857144</v>
      </c>
      <c r="CS28" s="68">
        <f t="shared" si="68"/>
        <v>1120567.1318857144</v>
      </c>
      <c r="CT28" s="68">
        <f t="shared" si="68"/>
        <v>1120567.1318857144</v>
      </c>
      <c r="CU28" s="68">
        <f t="shared" si="68"/>
        <v>1120567.1318857144</v>
      </c>
      <c r="CV28" s="68">
        <f t="shared" si="68"/>
        <v>0</v>
      </c>
      <c r="CW28" s="68"/>
      <c r="CX28" s="97" t="s">
        <v>0</v>
      </c>
      <c r="CY28" s="68">
        <f t="shared" ref="CY28:DD28" si="69">SUM(CY17:CY27)</f>
        <v>0</v>
      </c>
      <c r="CZ28" s="68">
        <f t="shared" si="69"/>
        <v>0</v>
      </c>
      <c r="DA28" s="68">
        <f t="shared" si="69"/>
        <v>0</v>
      </c>
      <c r="DB28" s="68">
        <f t="shared" si="69"/>
        <v>0</v>
      </c>
      <c r="DC28" s="68">
        <f t="shared" si="69"/>
        <v>0</v>
      </c>
      <c r="DD28" s="68">
        <f t="shared" si="69"/>
        <v>0</v>
      </c>
    </row>
    <row r="29" spans="1:108">
      <c r="A29" s="6"/>
      <c r="AI29" s="147"/>
      <c r="AK29" s="6"/>
      <c r="AL29" s="25"/>
      <c r="AM29" s="25"/>
      <c r="AN29" s="95"/>
      <c r="AT29" s="25"/>
      <c r="AU29" s="95"/>
      <c r="BA29" s="25"/>
      <c r="BB29" s="95"/>
      <c r="BI29" s="25"/>
      <c r="BJ29" s="95"/>
      <c r="BQ29" s="61"/>
      <c r="BR29" s="61"/>
      <c r="BS29" s="61"/>
      <c r="BT29" s="68"/>
      <c r="BW29" s="61"/>
      <c r="CB29" s="25"/>
      <c r="CC29" s="95"/>
      <c r="CI29" s="25"/>
      <c r="CJ29" s="95"/>
      <c r="CP29" s="25"/>
      <c r="CQ29" s="95"/>
      <c r="CX29" s="25"/>
      <c r="CY29" s="95"/>
    </row>
    <row r="30" spans="1:108">
      <c r="A30" s="3" t="s">
        <v>393</v>
      </c>
      <c r="Q30" s="26"/>
      <c r="S30" s="147"/>
      <c r="U30" s="26"/>
      <c r="Y30" s="26"/>
      <c r="AI30" s="147"/>
      <c r="AK30" s="3"/>
      <c r="AL30" s="115"/>
      <c r="AM30" s="115" t="s">
        <v>393</v>
      </c>
      <c r="AT30" s="115" t="s">
        <v>393</v>
      </c>
      <c r="BA30" s="115" t="s">
        <v>393</v>
      </c>
      <c r="BI30" s="115" t="s">
        <v>393</v>
      </c>
      <c r="BQ30" s="25"/>
      <c r="BR30" s="25"/>
      <c r="BS30" s="68"/>
      <c r="BT30" s="68"/>
      <c r="BW30" s="61"/>
      <c r="CB30" s="115" t="s">
        <v>393</v>
      </c>
      <c r="CI30" s="115" t="s">
        <v>393</v>
      </c>
      <c r="CP30" s="115" t="s">
        <v>393</v>
      </c>
      <c r="CX30" s="115" t="s">
        <v>393</v>
      </c>
    </row>
    <row r="31" spans="1:108">
      <c r="A31" s="6">
        <f>A17</f>
        <v>2013</v>
      </c>
      <c r="C31" s="147"/>
      <c r="D31" s="26"/>
      <c r="E31" s="26"/>
      <c r="G31" s="74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 t="s">
        <v>17</v>
      </c>
      <c r="Z31" s="147"/>
      <c r="AA31" s="147">
        <f>AE31+AI31</f>
        <v>7398750.9723196616</v>
      </c>
      <c r="AB31" s="147"/>
      <c r="AC31" s="147">
        <f>AG31+AK31</f>
        <v>6322425.9500000002</v>
      </c>
      <c r="AD31" s="147"/>
      <c r="AE31" s="147">
        <f>M23</f>
        <v>5576260.3524782406</v>
      </c>
      <c r="AF31" s="147"/>
      <c r="AG31" s="22">
        <f>U23</f>
        <v>4551614.6100000003</v>
      </c>
      <c r="AH31" s="147"/>
      <c r="AI31" s="147">
        <f>K23</f>
        <v>1822490.619841421</v>
      </c>
      <c r="AJ31" s="497"/>
      <c r="AK31" s="56">
        <f>S23</f>
        <v>1770811.3399999999</v>
      </c>
      <c r="AL31" s="25"/>
      <c r="AM31" s="25">
        <f>AT31</f>
        <v>2013</v>
      </c>
      <c r="AO31" s="18"/>
      <c r="AP31" s="18"/>
      <c r="AQ31" s="18"/>
      <c r="AR31" s="18"/>
      <c r="AT31" s="25">
        <f>A31</f>
        <v>2013</v>
      </c>
      <c r="BA31" s="25">
        <f>AT31</f>
        <v>2013</v>
      </c>
      <c r="BI31" s="25">
        <f>BI17</f>
        <v>2013</v>
      </c>
      <c r="BQ31" s="25">
        <f>BQ17</f>
        <v>2013</v>
      </c>
      <c r="BR31" s="25"/>
      <c r="BS31" s="18">
        <v>0</v>
      </c>
      <c r="BT31" s="18">
        <f t="shared" ref="BT31:BT39" si="70">AI31-BS31</f>
        <v>1822490.619841421</v>
      </c>
      <c r="BV31" s="25"/>
      <c r="BW31" s="24"/>
      <c r="BX31" s="25"/>
      <c r="BY31" s="24"/>
      <c r="BZ31" s="25"/>
      <c r="CA31" s="61"/>
      <c r="CB31" s="25">
        <v>2013</v>
      </c>
      <c r="CF31" s="594"/>
      <c r="CG31" s="594"/>
      <c r="CI31" s="25">
        <v>2013</v>
      </c>
      <c r="CP31" s="25">
        <f>CI31</f>
        <v>2013</v>
      </c>
      <c r="CX31" s="25">
        <f>CX17</f>
        <v>2013</v>
      </c>
    </row>
    <row r="32" spans="1:108">
      <c r="A32" s="6">
        <f>A31+1</f>
        <v>2014</v>
      </c>
      <c r="C32" s="187"/>
      <c r="D32" s="18"/>
      <c r="E32" s="18"/>
      <c r="F32" s="26"/>
      <c r="G32" s="74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494"/>
      <c r="T32" s="494"/>
      <c r="U32" s="494"/>
      <c r="V32" s="187"/>
      <c r="W32" s="494"/>
      <c r="X32" s="187"/>
      <c r="Y32" s="494" t="s">
        <v>1745</v>
      </c>
      <c r="Z32" s="187"/>
      <c r="AA32" s="147">
        <f>AE32+AI32</f>
        <v>8663714.0489759836</v>
      </c>
      <c r="AB32" s="147"/>
      <c r="AC32" s="147">
        <f>AG32+AK32</f>
        <v>7005998.7400000002</v>
      </c>
      <c r="AD32" s="187"/>
      <c r="AE32" s="187">
        <f>'Exhibit B,3'!M23</f>
        <v>5818349.6500000004</v>
      </c>
      <c r="AF32" s="187"/>
      <c r="AG32" s="187">
        <f>'Exhibit B,3'!U23</f>
        <v>5235187.4000000004</v>
      </c>
      <c r="AH32" s="187"/>
      <c r="AI32" s="187">
        <f>'Exhibit B,3'!I23</f>
        <v>2845364.3989759833</v>
      </c>
      <c r="AJ32" s="494"/>
      <c r="AK32" s="506">
        <f>'Exhibit B,3'!S23</f>
        <v>1770811.3399999999</v>
      </c>
      <c r="AL32" s="25"/>
      <c r="AM32" s="25">
        <f>AM31+1</f>
        <v>2014</v>
      </c>
      <c r="AT32" s="25">
        <f>AT31+1</f>
        <v>2014</v>
      </c>
      <c r="BA32" s="25">
        <f>BA31+1</f>
        <v>2014</v>
      </c>
      <c r="BI32" s="25">
        <f>BI31+1</f>
        <v>2014</v>
      </c>
      <c r="BQ32" s="25">
        <f t="shared" ref="BQ32:BQ40" si="71">BQ31+1</f>
        <v>2014</v>
      </c>
      <c r="BR32" s="25"/>
      <c r="BS32" s="18">
        <v>0</v>
      </c>
      <c r="BT32" s="18">
        <f t="shared" si="70"/>
        <v>2845364.3989759833</v>
      </c>
      <c r="BV32" s="25"/>
      <c r="BW32" s="25"/>
      <c r="BX32" s="25"/>
      <c r="BY32" s="25"/>
      <c r="BZ32" s="25"/>
      <c r="CA32" s="61"/>
      <c r="CB32" s="25">
        <f>CB31+1</f>
        <v>2014</v>
      </c>
      <c r="CF32" s="20"/>
      <c r="CG32" s="20"/>
      <c r="CI32" s="25">
        <f>CI31+1</f>
        <v>2014</v>
      </c>
      <c r="CP32" s="25">
        <f>CP31+1</f>
        <v>2014</v>
      </c>
      <c r="CX32" s="25">
        <f>CX31+1</f>
        <v>2014</v>
      </c>
    </row>
    <row r="33" spans="1:107">
      <c r="A33" s="6">
        <f t="shared" ref="A33:A40" si="72">A32+1</f>
        <v>2015</v>
      </c>
      <c r="C33" s="187"/>
      <c r="D33" s="18"/>
      <c r="E33" s="18"/>
      <c r="G33" s="74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494"/>
      <c r="T33" s="494"/>
      <c r="U33" s="494"/>
      <c r="V33" s="187"/>
      <c r="W33" s="494"/>
      <c r="X33" s="187"/>
      <c r="Y33" s="494"/>
      <c r="Z33" s="187"/>
      <c r="AA33" s="187"/>
      <c r="AB33" s="187"/>
      <c r="AC33" s="187"/>
      <c r="AD33" s="187"/>
      <c r="AE33" s="187"/>
      <c r="AF33" s="187"/>
      <c r="AG33" s="187"/>
      <c r="AH33" s="187"/>
      <c r="AI33" s="187"/>
      <c r="AJ33" s="494"/>
      <c r="AK33" s="506"/>
      <c r="AL33" s="470"/>
      <c r="AM33" s="25">
        <f t="shared" ref="AM33:AM40" si="73">AM32+1</f>
        <v>2015</v>
      </c>
      <c r="AT33" s="25">
        <f t="shared" ref="AT33:AT38" si="74">AT32+1</f>
        <v>2015</v>
      </c>
      <c r="BA33" s="25">
        <f t="shared" ref="BA33:BA40" si="75">BA32+1</f>
        <v>2015</v>
      </c>
      <c r="BI33" s="25">
        <f t="shared" ref="BI33:BI40" si="76">BI32+1</f>
        <v>2015</v>
      </c>
      <c r="BQ33" s="25">
        <f t="shared" si="71"/>
        <v>2015</v>
      </c>
      <c r="BR33" s="25"/>
      <c r="BS33" s="18">
        <v>0</v>
      </c>
      <c r="BT33" s="18">
        <f t="shared" si="70"/>
        <v>0</v>
      </c>
      <c r="BV33" s="25"/>
      <c r="BW33" s="25"/>
      <c r="BX33" s="25"/>
      <c r="BY33" s="25"/>
      <c r="BZ33" s="25"/>
      <c r="CA33" s="61"/>
      <c r="CB33" s="25">
        <f t="shared" ref="CB33:CB40" si="77">CB32+1</f>
        <v>2015</v>
      </c>
      <c r="CF33" s="20"/>
      <c r="CG33" s="20"/>
      <c r="CI33" s="25">
        <f t="shared" ref="CI33:CI38" si="78">CI32+1</f>
        <v>2015</v>
      </c>
      <c r="CP33" s="25">
        <f t="shared" ref="CP33:CP40" si="79">CP32+1</f>
        <v>2015</v>
      </c>
      <c r="CX33" s="25">
        <f t="shared" ref="CX33:CX40" si="80">CX32+1</f>
        <v>2015</v>
      </c>
    </row>
    <row r="34" spans="1:107">
      <c r="A34" s="6">
        <f t="shared" si="72"/>
        <v>2016</v>
      </c>
      <c r="C34" s="187"/>
      <c r="D34" s="18"/>
      <c r="E34" s="18"/>
      <c r="G34" s="74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494"/>
      <c r="T34" s="494"/>
      <c r="U34" s="494"/>
      <c r="V34" s="187"/>
      <c r="W34" s="494"/>
      <c r="X34" s="187"/>
      <c r="Y34" s="494"/>
      <c r="Z34" s="187"/>
      <c r="AA34" s="187"/>
      <c r="AB34" s="187"/>
      <c r="AC34" s="187"/>
      <c r="AD34" s="187"/>
      <c r="AE34" s="187"/>
      <c r="AF34" s="187"/>
      <c r="AG34" s="187"/>
      <c r="AH34" s="187"/>
      <c r="AI34" s="608"/>
      <c r="AJ34" s="494"/>
      <c r="AK34" s="506"/>
      <c r="AL34" s="25"/>
      <c r="AM34" s="25">
        <f t="shared" si="73"/>
        <v>2016</v>
      </c>
      <c r="AT34" s="25">
        <f t="shared" si="74"/>
        <v>2016</v>
      </c>
      <c r="BA34" s="25">
        <f t="shared" si="75"/>
        <v>2016</v>
      </c>
      <c r="BI34" s="25">
        <f t="shared" si="76"/>
        <v>2016</v>
      </c>
      <c r="BQ34" s="25">
        <f t="shared" si="71"/>
        <v>2016</v>
      </c>
      <c r="BR34" s="25"/>
      <c r="BS34" s="18">
        <v>0</v>
      </c>
      <c r="BT34" s="18">
        <f t="shared" si="70"/>
        <v>0</v>
      </c>
      <c r="BV34" s="61"/>
      <c r="BW34" s="61"/>
      <c r="BX34" s="61"/>
      <c r="BY34" s="61"/>
      <c r="BZ34" s="61"/>
      <c r="CA34" s="61"/>
      <c r="CB34" s="25">
        <f t="shared" si="77"/>
        <v>2016</v>
      </c>
      <c r="CF34" s="20"/>
      <c r="CG34" s="20"/>
      <c r="CI34" s="25">
        <f t="shared" si="78"/>
        <v>2016</v>
      </c>
      <c r="CP34" s="25">
        <f t="shared" si="79"/>
        <v>2016</v>
      </c>
      <c r="CX34" s="25">
        <f t="shared" si="80"/>
        <v>2016</v>
      </c>
    </row>
    <row r="35" spans="1:107">
      <c r="A35" s="6">
        <f t="shared" si="72"/>
        <v>2017</v>
      </c>
      <c r="C35" s="187"/>
      <c r="D35" s="18"/>
      <c r="E35" s="18"/>
      <c r="G35" s="74"/>
      <c r="I35" s="187"/>
      <c r="J35" s="187"/>
      <c r="K35" s="187"/>
      <c r="L35" s="187"/>
      <c r="M35" s="187"/>
      <c r="N35" s="187"/>
      <c r="O35" s="187"/>
      <c r="P35" s="187"/>
      <c r="Q35" s="187"/>
      <c r="R35" s="187"/>
      <c r="S35" s="494"/>
      <c r="T35" s="494"/>
      <c r="U35" s="494"/>
      <c r="V35" s="187"/>
      <c r="W35" s="494"/>
      <c r="X35" s="187"/>
      <c r="Y35" s="494"/>
      <c r="Z35" s="187"/>
      <c r="AA35" s="187"/>
      <c r="AB35" s="187"/>
      <c r="AC35" s="187"/>
      <c r="AD35" s="187"/>
      <c r="AE35" s="187"/>
      <c r="AF35" s="187"/>
      <c r="AG35" s="187"/>
      <c r="AH35" s="187"/>
      <c r="AI35" s="187"/>
      <c r="AJ35" s="494"/>
      <c r="AK35" s="506"/>
      <c r="AL35" s="25"/>
      <c r="AM35" s="25">
        <f t="shared" si="73"/>
        <v>2017</v>
      </c>
      <c r="AT35" s="25">
        <f t="shared" si="74"/>
        <v>2017</v>
      </c>
      <c r="BA35" s="25">
        <f t="shared" si="75"/>
        <v>2017</v>
      </c>
      <c r="BI35" s="25">
        <f t="shared" si="76"/>
        <v>2017</v>
      </c>
      <c r="BQ35" s="25">
        <f t="shared" si="71"/>
        <v>2017</v>
      </c>
      <c r="BR35" s="25"/>
      <c r="BS35" s="18">
        <v>0</v>
      </c>
      <c r="BT35" s="18">
        <f t="shared" si="70"/>
        <v>0</v>
      </c>
      <c r="BV35" s="61"/>
      <c r="BW35" s="61"/>
      <c r="BX35" s="61"/>
      <c r="BY35" s="61"/>
      <c r="BZ35" s="61"/>
      <c r="CA35" s="61"/>
      <c r="CB35" s="25">
        <f t="shared" si="77"/>
        <v>2017</v>
      </c>
      <c r="CF35" s="20"/>
      <c r="CG35" s="20"/>
      <c r="CI35" s="25">
        <f t="shared" si="78"/>
        <v>2017</v>
      </c>
      <c r="CP35" s="25">
        <f t="shared" si="79"/>
        <v>2017</v>
      </c>
      <c r="CX35" s="25">
        <f t="shared" si="80"/>
        <v>2017</v>
      </c>
    </row>
    <row r="36" spans="1:107">
      <c r="A36" s="6">
        <f t="shared" si="72"/>
        <v>2018</v>
      </c>
      <c r="C36" s="187"/>
      <c r="D36" s="18"/>
      <c r="E36" s="18"/>
      <c r="G36" s="74"/>
      <c r="I36" s="187"/>
      <c r="J36" s="187"/>
      <c r="K36" s="187"/>
      <c r="L36" s="187"/>
      <c r="M36" s="187"/>
      <c r="N36" s="187"/>
      <c r="O36" s="187"/>
      <c r="P36" s="187"/>
      <c r="Q36" s="187"/>
      <c r="R36" s="187"/>
      <c r="S36" s="494"/>
      <c r="T36" s="494"/>
      <c r="U36" s="494"/>
      <c r="V36" s="187"/>
      <c r="W36" s="494"/>
      <c r="X36" s="187"/>
      <c r="Y36" s="494"/>
      <c r="Z36" s="187"/>
      <c r="AA36" s="187"/>
      <c r="AB36" s="187"/>
      <c r="AC36" s="187"/>
      <c r="AD36" s="187"/>
      <c r="AE36" s="187"/>
      <c r="AF36" s="187"/>
      <c r="AG36" s="187"/>
      <c r="AH36" s="187"/>
      <c r="AI36" s="187"/>
      <c r="AJ36" s="494"/>
      <c r="AK36" s="506"/>
      <c r="AL36" s="25"/>
      <c r="AM36" s="25">
        <f t="shared" si="73"/>
        <v>2018</v>
      </c>
      <c r="AT36" s="25">
        <f t="shared" si="74"/>
        <v>2018</v>
      </c>
      <c r="BA36" s="25">
        <f t="shared" si="75"/>
        <v>2018</v>
      </c>
      <c r="BI36" s="25">
        <f t="shared" si="76"/>
        <v>2018</v>
      </c>
      <c r="BQ36" s="25">
        <f t="shared" si="71"/>
        <v>2018</v>
      </c>
      <c r="BR36" s="25"/>
      <c r="BS36" s="18">
        <v>0</v>
      </c>
      <c r="BT36" s="18">
        <f t="shared" si="70"/>
        <v>0</v>
      </c>
      <c r="BV36" s="61"/>
      <c r="BW36" s="61"/>
      <c r="BX36" s="61"/>
      <c r="BY36" s="72"/>
      <c r="BZ36" s="153"/>
      <c r="CA36" s="72"/>
      <c r="CB36" s="25">
        <f t="shared" si="77"/>
        <v>2018</v>
      </c>
      <c r="CF36" s="20"/>
      <c r="CG36" s="20"/>
      <c r="CI36" s="25">
        <f t="shared" si="78"/>
        <v>2018</v>
      </c>
      <c r="CP36" s="25">
        <f t="shared" si="79"/>
        <v>2018</v>
      </c>
      <c r="CX36" s="25">
        <f t="shared" si="80"/>
        <v>2018</v>
      </c>
    </row>
    <row r="37" spans="1:107" ht="16">
      <c r="A37" s="6">
        <f t="shared" si="72"/>
        <v>2019</v>
      </c>
      <c r="C37" s="187"/>
      <c r="D37" s="18"/>
      <c r="E37" s="18"/>
      <c r="G37" s="74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494"/>
      <c r="T37" s="494"/>
      <c r="U37" s="494"/>
      <c r="V37" s="187"/>
      <c r="W37" s="494"/>
      <c r="X37" s="187"/>
      <c r="Y37" s="494"/>
      <c r="Z37" s="187"/>
      <c r="AA37" s="187"/>
      <c r="AB37" s="187"/>
      <c r="AC37" s="187"/>
      <c r="AD37" s="187"/>
      <c r="AE37" s="187"/>
      <c r="AF37" s="187"/>
      <c r="AG37" s="187"/>
      <c r="AH37" s="187"/>
      <c r="AI37" s="494"/>
      <c r="AJ37" s="494"/>
      <c r="AK37" s="506"/>
      <c r="AL37" s="25"/>
      <c r="AM37" s="25">
        <f t="shared" si="73"/>
        <v>2019</v>
      </c>
      <c r="AS37" s="364"/>
      <c r="AT37" s="25">
        <f t="shared" si="74"/>
        <v>2019</v>
      </c>
      <c r="BA37" s="25">
        <f t="shared" si="75"/>
        <v>2019</v>
      </c>
      <c r="BI37" s="25">
        <f t="shared" si="76"/>
        <v>2019</v>
      </c>
      <c r="BQ37" s="25">
        <f t="shared" si="71"/>
        <v>2019</v>
      </c>
      <c r="BR37" s="25"/>
      <c r="BS37" s="18">
        <v>0</v>
      </c>
      <c r="BT37" s="18">
        <f t="shared" si="70"/>
        <v>0</v>
      </c>
      <c r="BV37" s="61"/>
      <c r="BW37" s="61"/>
      <c r="BX37" s="137"/>
      <c r="BY37" s="72"/>
      <c r="BZ37" s="153"/>
      <c r="CA37" s="72"/>
      <c r="CB37" s="25">
        <f t="shared" si="77"/>
        <v>2019</v>
      </c>
      <c r="CF37" s="20"/>
      <c r="CG37" s="20"/>
      <c r="CH37" s="364"/>
      <c r="CI37" s="25">
        <f t="shared" si="78"/>
        <v>2019</v>
      </c>
      <c r="CP37" s="25">
        <f t="shared" si="79"/>
        <v>2019</v>
      </c>
      <c r="CX37" s="25">
        <f t="shared" si="80"/>
        <v>2019</v>
      </c>
    </row>
    <row r="38" spans="1:107" ht="16">
      <c r="A38" s="6">
        <f t="shared" si="72"/>
        <v>2020</v>
      </c>
      <c r="C38" s="187"/>
      <c r="D38" s="18"/>
      <c r="E38" s="18"/>
      <c r="G38" s="74"/>
      <c r="I38" s="187"/>
      <c r="J38" s="187"/>
      <c r="K38" s="187"/>
      <c r="L38" s="187"/>
      <c r="M38" s="187"/>
      <c r="N38" s="187"/>
      <c r="O38" s="187"/>
      <c r="P38" s="187"/>
      <c r="Q38" s="187"/>
      <c r="R38" s="187"/>
      <c r="S38" s="494"/>
      <c r="T38" s="494"/>
      <c r="U38" s="494"/>
      <c r="V38" s="187"/>
      <c r="W38" s="494"/>
      <c r="X38" s="187"/>
      <c r="Y38" s="494"/>
      <c r="Z38" s="187"/>
      <c r="AA38" s="187"/>
      <c r="AB38" s="187"/>
      <c r="AC38" s="187"/>
      <c r="AD38" s="187"/>
      <c r="AE38" s="187"/>
      <c r="AF38" s="187"/>
      <c r="AG38" s="187"/>
      <c r="AH38" s="187"/>
      <c r="AI38" s="494"/>
      <c r="AJ38" s="494"/>
      <c r="AK38" s="506"/>
      <c r="AL38" s="25"/>
      <c r="AM38" s="25">
        <f t="shared" si="73"/>
        <v>2020</v>
      </c>
      <c r="AS38" s="364"/>
      <c r="AT38" s="25">
        <f t="shared" si="74"/>
        <v>2020</v>
      </c>
      <c r="BA38" s="25">
        <f t="shared" si="75"/>
        <v>2020</v>
      </c>
      <c r="BI38" s="25">
        <f t="shared" si="76"/>
        <v>2020</v>
      </c>
      <c r="BQ38" s="25">
        <f t="shared" si="71"/>
        <v>2020</v>
      </c>
      <c r="BR38" s="25"/>
      <c r="BS38" s="18">
        <v>0</v>
      </c>
      <c r="BT38" s="18">
        <f t="shared" si="70"/>
        <v>0</v>
      </c>
      <c r="BV38" s="61"/>
      <c r="BW38" s="137"/>
      <c r="BX38" s="137"/>
      <c r="BY38" s="137"/>
      <c r="BZ38" s="153"/>
      <c r="CA38" s="72"/>
      <c r="CB38" s="25">
        <f t="shared" si="77"/>
        <v>2020</v>
      </c>
      <c r="CF38" s="20"/>
      <c r="CG38" s="20"/>
      <c r="CH38" s="364"/>
      <c r="CI38" s="25">
        <f t="shared" si="78"/>
        <v>2020</v>
      </c>
      <c r="CP38" s="25">
        <f t="shared" si="79"/>
        <v>2020</v>
      </c>
      <c r="CX38" s="25">
        <f t="shared" si="80"/>
        <v>2020</v>
      </c>
    </row>
    <row r="39" spans="1:107" ht="16">
      <c r="A39" s="6">
        <f t="shared" si="72"/>
        <v>2021</v>
      </c>
      <c r="C39" s="187"/>
      <c r="D39" s="18"/>
      <c r="E39" s="18"/>
      <c r="G39" s="74"/>
      <c r="I39" s="187"/>
      <c r="J39" s="187"/>
      <c r="K39" s="187"/>
      <c r="L39" s="187"/>
      <c r="M39" s="187"/>
      <c r="N39" s="187"/>
      <c r="O39" s="187"/>
      <c r="P39" s="187"/>
      <c r="Q39" s="187"/>
      <c r="R39" s="187"/>
      <c r="S39" s="494"/>
      <c r="T39" s="494"/>
      <c r="U39" s="494"/>
      <c r="V39" s="187"/>
      <c r="W39" s="494"/>
      <c r="X39" s="187"/>
      <c r="Y39" s="494"/>
      <c r="Z39" s="187"/>
      <c r="AA39" s="187"/>
      <c r="AB39" s="187"/>
      <c r="AC39" s="187"/>
      <c r="AD39" s="187"/>
      <c r="AE39" s="187"/>
      <c r="AF39" s="187"/>
      <c r="AG39" s="187"/>
      <c r="AH39" s="187"/>
      <c r="AI39" s="494"/>
      <c r="AJ39" s="494"/>
      <c r="AK39" s="506"/>
      <c r="AL39" s="25"/>
      <c r="AM39" s="25">
        <f t="shared" si="73"/>
        <v>2021</v>
      </c>
      <c r="AS39" s="364"/>
      <c r="AT39" s="25">
        <f>AT38+1</f>
        <v>2021</v>
      </c>
      <c r="BA39" s="25">
        <f t="shared" si="75"/>
        <v>2021</v>
      </c>
      <c r="BI39" s="25">
        <f t="shared" si="76"/>
        <v>2021</v>
      </c>
      <c r="BQ39" s="25">
        <f t="shared" si="71"/>
        <v>2021</v>
      </c>
      <c r="BR39" s="25"/>
      <c r="BS39" s="18">
        <v>0</v>
      </c>
      <c r="BT39" s="18">
        <f t="shared" si="70"/>
        <v>0</v>
      </c>
      <c r="BV39" s="61"/>
      <c r="BW39" s="137"/>
      <c r="BX39" s="137"/>
      <c r="BY39" s="137"/>
      <c r="BZ39" s="153"/>
      <c r="CA39" s="72"/>
      <c r="CB39" s="25">
        <f t="shared" si="77"/>
        <v>2021</v>
      </c>
      <c r="CF39" s="20"/>
      <c r="CG39" s="20"/>
      <c r="CH39" s="364"/>
      <c r="CI39" s="25">
        <f>CI38+1</f>
        <v>2021</v>
      </c>
      <c r="CP39" s="25">
        <f t="shared" si="79"/>
        <v>2021</v>
      </c>
      <c r="CX39" s="25">
        <f t="shared" si="80"/>
        <v>2021</v>
      </c>
    </row>
    <row r="40" spans="1:107" ht="16">
      <c r="A40" s="6">
        <f t="shared" si="72"/>
        <v>2022</v>
      </c>
      <c r="C40" s="187"/>
      <c r="D40" s="18"/>
      <c r="E40" s="18"/>
      <c r="G40" s="74"/>
      <c r="I40" s="187"/>
      <c r="J40" s="187"/>
      <c r="K40" s="187"/>
      <c r="L40" s="187"/>
      <c r="M40" s="187"/>
      <c r="N40" s="187"/>
      <c r="O40" s="187"/>
      <c r="P40" s="187"/>
      <c r="Q40" s="187"/>
      <c r="R40" s="187"/>
      <c r="S40" s="494"/>
      <c r="T40" s="494"/>
      <c r="U40" s="494"/>
      <c r="V40" s="187"/>
      <c r="W40" s="494"/>
      <c r="X40" s="187"/>
      <c r="Y40" s="494"/>
      <c r="Z40" s="187"/>
      <c r="AA40" s="187"/>
      <c r="AB40" s="187"/>
      <c r="AC40" s="187"/>
      <c r="AD40" s="187"/>
      <c r="AE40" s="187"/>
      <c r="AF40" s="187"/>
      <c r="AG40" s="187"/>
      <c r="AH40" s="187"/>
      <c r="AI40" s="494"/>
      <c r="AJ40" s="494"/>
      <c r="AK40" s="506"/>
      <c r="AL40" s="25"/>
      <c r="AM40" s="25">
        <f t="shared" si="73"/>
        <v>2022</v>
      </c>
      <c r="AS40" s="364"/>
      <c r="AT40" s="25">
        <f>AT39+1</f>
        <v>2022</v>
      </c>
      <c r="BA40" s="25">
        <f t="shared" si="75"/>
        <v>2022</v>
      </c>
      <c r="BI40" s="25">
        <f t="shared" si="76"/>
        <v>2022</v>
      </c>
      <c r="BQ40" s="25">
        <f t="shared" si="71"/>
        <v>2022</v>
      </c>
      <c r="BR40" s="25"/>
      <c r="BS40" s="61"/>
      <c r="BT40" s="18"/>
      <c r="BV40" s="61"/>
      <c r="BW40" s="137"/>
      <c r="BX40" s="137"/>
      <c r="BY40" s="137"/>
      <c r="BZ40" s="153"/>
      <c r="CA40" s="72"/>
      <c r="CB40" s="25">
        <f t="shared" si="77"/>
        <v>2022</v>
      </c>
      <c r="CF40" s="20"/>
      <c r="CG40" s="20"/>
      <c r="CH40" s="364"/>
      <c r="CI40" s="25">
        <f>CI39+1</f>
        <v>2022</v>
      </c>
      <c r="CP40" s="25">
        <f t="shared" si="79"/>
        <v>2022</v>
      </c>
      <c r="CX40" s="25">
        <f t="shared" si="80"/>
        <v>2022</v>
      </c>
    </row>
    <row r="41" spans="1:107" ht="16">
      <c r="A41" s="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5"/>
      <c r="AM41" s="25"/>
      <c r="AN41" s="70"/>
      <c r="AO41" s="70"/>
      <c r="AP41" s="70"/>
      <c r="AQ41" s="70"/>
      <c r="AR41" s="70"/>
      <c r="AS41" s="364"/>
      <c r="AT41" s="25"/>
      <c r="AU41" s="70"/>
      <c r="AV41" s="70"/>
      <c r="AW41" s="70"/>
      <c r="AX41" s="70"/>
      <c r="AY41" s="70"/>
      <c r="BA41" s="25"/>
      <c r="BB41" s="70"/>
      <c r="BC41" s="70"/>
      <c r="BD41" s="70"/>
      <c r="BE41" s="70"/>
      <c r="BF41" s="70"/>
      <c r="BI41" s="25"/>
      <c r="BJ41" s="70"/>
      <c r="BK41" s="70"/>
      <c r="BL41" s="70"/>
      <c r="BM41" s="70"/>
      <c r="BN41" s="70"/>
      <c r="BQ41" s="70"/>
      <c r="BR41" s="441"/>
      <c r="BS41" s="70"/>
      <c r="BT41" s="70"/>
      <c r="BV41" s="61"/>
      <c r="BW41" s="137"/>
      <c r="BX41" s="137"/>
      <c r="BY41" s="137"/>
      <c r="BZ41" s="153"/>
      <c r="CA41" s="72"/>
      <c r="CB41" s="25"/>
      <c r="CC41" s="70"/>
      <c r="CD41" s="70"/>
      <c r="CE41" s="70"/>
      <c r="CF41" s="70"/>
      <c r="CG41" s="70"/>
      <c r="CH41" s="364"/>
      <c r="CI41" s="25"/>
      <c r="CJ41" s="70"/>
      <c r="CK41" s="70"/>
      <c r="CL41" s="70"/>
      <c r="CM41" s="70"/>
      <c r="CN41" s="70"/>
      <c r="CP41" s="25"/>
      <c r="CQ41" s="70"/>
      <c r="CR41" s="70"/>
      <c r="CS41" s="70"/>
      <c r="CT41" s="70"/>
      <c r="CU41" s="70"/>
      <c r="CX41" s="25"/>
      <c r="CY41" s="70"/>
      <c r="CZ41" s="70"/>
      <c r="DA41" s="70"/>
      <c r="DB41" s="70"/>
      <c r="DC41" s="70"/>
    </row>
    <row r="42" spans="1:107" ht="16">
      <c r="A42" s="2" t="s">
        <v>0</v>
      </c>
      <c r="C42" s="147"/>
      <c r="D42" s="26"/>
      <c r="E42" s="26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97"/>
      <c r="AM42" s="97" t="s">
        <v>0</v>
      </c>
      <c r="AN42" s="68">
        <f>SUM(AN31:AN41)</f>
        <v>0</v>
      </c>
      <c r="AO42" s="68">
        <f>SUM(AO31:AO41)</f>
        <v>0</v>
      </c>
      <c r="AP42" s="68">
        <f>SUM(AP31:AP41)</f>
        <v>0</v>
      </c>
      <c r="AQ42" s="68">
        <f>SUM(AQ31:AQ41)</f>
        <v>0</v>
      </c>
      <c r="AR42" s="68">
        <f>SUM(AR31:AR41)</f>
        <v>0</v>
      </c>
      <c r="AS42" s="364"/>
      <c r="AT42" s="97" t="s">
        <v>0</v>
      </c>
      <c r="AU42" s="68">
        <f>SUM(AU31:AU41)</f>
        <v>0</v>
      </c>
      <c r="AV42" s="68">
        <f>SUM(AV31:AV41)</f>
        <v>0</v>
      </c>
      <c r="AW42" s="68">
        <f>SUM(AW31:AW41)</f>
        <v>0</v>
      </c>
      <c r="AX42" s="68">
        <f>SUM(AX31:AX41)</f>
        <v>0</v>
      </c>
      <c r="AY42" s="68">
        <f>SUM(AY31:AY41)</f>
        <v>0</v>
      </c>
      <c r="BA42" s="97" t="s">
        <v>0</v>
      </c>
      <c r="BB42" s="68">
        <f>SUM(BB31:BB41)</f>
        <v>0</v>
      </c>
      <c r="BC42" s="68">
        <f>SUM(BC31:BC41)</f>
        <v>0</v>
      </c>
      <c r="BD42" s="68">
        <f>SUM(BD31:BD41)</f>
        <v>0</v>
      </c>
      <c r="BE42" s="68">
        <f>SUM(BE31:BE41)</f>
        <v>0</v>
      </c>
      <c r="BF42" s="68">
        <f>SUM(BF31:BF41)</f>
        <v>0</v>
      </c>
      <c r="BI42" s="97" t="s">
        <v>0</v>
      </c>
      <c r="BJ42" s="68">
        <f>SUM(BJ31:BJ41)</f>
        <v>0</v>
      </c>
      <c r="BK42" s="68">
        <f>SUM(BK31:BK41)</f>
        <v>0</v>
      </c>
      <c r="BL42" s="68">
        <f>SUM(BL31:BL41)</f>
        <v>0</v>
      </c>
      <c r="BM42" s="68">
        <f>SUM(BM31:BM41)</f>
        <v>0</v>
      </c>
      <c r="BN42" s="68">
        <f>SUM(BN31:BN41)</f>
        <v>0</v>
      </c>
      <c r="BQ42" s="61"/>
      <c r="BR42" s="61"/>
      <c r="BS42" s="61"/>
      <c r="BT42" s="122">
        <f>SUM(BT31:BT41)</f>
        <v>4667855.0188174043</v>
      </c>
      <c r="BV42" s="61"/>
      <c r="BW42" s="61"/>
      <c r="BX42" s="61"/>
      <c r="BY42" s="61"/>
      <c r="BZ42" s="153"/>
      <c r="CA42" s="61"/>
      <c r="CB42" s="97" t="s">
        <v>0</v>
      </c>
      <c r="CC42" s="68">
        <f>SUM(CC31:CC41)</f>
        <v>0</v>
      </c>
      <c r="CD42" s="68">
        <f>SUM(CD31:CD41)</f>
        <v>0</v>
      </c>
      <c r="CE42" s="68">
        <f>SUM(CE31:CE41)</f>
        <v>0</v>
      </c>
      <c r="CF42" s="68">
        <f>SUM(CF31:CF41)</f>
        <v>0</v>
      </c>
      <c r="CG42" s="68">
        <f>SUM(CG31:CG41)</f>
        <v>0</v>
      </c>
      <c r="CH42" s="364"/>
      <c r="CI42" s="97" t="s">
        <v>0</v>
      </c>
      <c r="CJ42" s="68">
        <f>SUM(CJ31:CJ41)</f>
        <v>0</v>
      </c>
      <c r="CK42" s="68">
        <f>SUM(CK31:CK41)</f>
        <v>0</v>
      </c>
      <c r="CL42" s="68">
        <f>SUM(CL31:CL41)</f>
        <v>0</v>
      </c>
      <c r="CM42" s="68">
        <f>SUM(CM31:CM41)</f>
        <v>0</v>
      </c>
      <c r="CN42" s="68">
        <f>SUM(CN31:CN41)</f>
        <v>0</v>
      </c>
      <c r="CP42" s="97" t="s">
        <v>0</v>
      </c>
      <c r="CQ42" s="68">
        <f>SUM(CQ31:CQ41)</f>
        <v>0</v>
      </c>
      <c r="CR42" s="68">
        <f>SUM(CR31:CR41)</f>
        <v>0</v>
      </c>
      <c r="CS42" s="68">
        <f>SUM(CS31:CS41)</f>
        <v>0</v>
      </c>
      <c r="CT42" s="68">
        <f>SUM(CT31:CT41)</f>
        <v>0</v>
      </c>
      <c r="CU42" s="68">
        <f>SUM(CU31:CU41)</f>
        <v>0</v>
      </c>
      <c r="CX42" s="97" t="s">
        <v>0</v>
      </c>
      <c r="CY42" s="68">
        <f>SUM(CY31:CY41)</f>
        <v>0</v>
      </c>
      <c r="CZ42" s="68">
        <f>SUM(CZ31:CZ41)</f>
        <v>0</v>
      </c>
      <c r="DA42" s="68">
        <f>SUM(DA31:DA41)</f>
        <v>0</v>
      </c>
      <c r="DB42" s="68">
        <f>SUM(DB31:DB41)</f>
        <v>0</v>
      </c>
      <c r="DC42" s="68">
        <f>SUM(DC31:DC41)</f>
        <v>0</v>
      </c>
    </row>
    <row r="43" spans="1:107" ht="16">
      <c r="A43" s="6"/>
      <c r="H43" s="26"/>
      <c r="AK43" s="6"/>
      <c r="AL43" s="25"/>
      <c r="AM43" s="25"/>
      <c r="AS43" s="364"/>
      <c r="AT43" s="25"/>
      <c r="BA43" s="25"/>
      <c r="BI43" s="25"/>
      <c r="BS43" s="61"/>
      <c r="BV43" s="61"/>
      <c r="BW43" s="137"/>
      <c r="BX43" s="137"/>
      <c r="BY43" s="137"/>
      <c r="BZ43" s="153"/>
      <c r="CA43" s="61"/>
      <c r="CB43" s="25"/>
      <c r="CH43" s="364"/>
      <c r="CI43" s="25"/>
      <c r="CP43" s="25"/>
      <c r="CX43" s="25"/>
    </row>
    <row r="44" spans="1:107" ht="16">
      <c r="A44" s="3" t="s">
        <v>296</v>
      </c>
      <c r="AK44" s="3"/>
      <c r="AL44" s="115"/>
      <c r="AM44" s="115" t="s">
        <v>296</v>
      </c>
      <c r="AS44" s="364"/>
      <c r="AT44" s="115" t="s">
        <v>296</v>
      </c>
      <c r="BA44" s="115" t="s">
        <v>296</v>
      </c>
      <c r="BI44" s="115" t="s">
        <v>296</v>
      </c>
      <c r="BQ44" s="25"/>
      <c r="BR44" s="25"/>
      <c r="BS44" s="68"/>
      <c r="BT44" s="68"/>
      <c r="CB44" s="115" t="s">
        <v>296</v>
      </c>
      <c r="CH44" s="364"/>
      <c r="CI44" s="115" t="s">
        <v>296</v>
      </c>
      <c r="CP44" s="115" t="s">
        <v>296</v>
      </c>
      <c r="CX44" s="115" t="s">
        <v>296</v>
      </c>
    </row>
    <row r="45" spans="1:107" ht="16">
      <c r="A45" s="6">
        <f>A31</f>
        <v>2013</v>
      </c>
      <c r="C45" s="147">
        <f>'Exhibit B,3'!C45</f>
        <v>0</v>
      </c>
      <c r="E45" s="73"/>
      <c r="F45" s="73"/>
      <c r="G45" s="73"/>
      <c r="I45" s="147">
        <f>'Exhibit B,3'!I45</f>
        <v>0</v>
      </c>
      <c r="J45" s="497"/>
      <c r="K45" s="147">
        <f>'Exhibit B,3'!K45</f>
        <v>0</v>
      </c>
      <c r="L45" s="147"/>
      <c r="M45" s="147">
        <f>'Exhibit B,3'!M45</f>
        <v>0</v>
      </c>
      <c r="N45" s="147"/>
      <c r="O45" s="496">
        <f>AO45-AV45-BC45-BK45</f>
        <v>1721</v>
      </c>
      <c r="P45" s="496"/>
      <c r="Q45" s="496">
        <f>AO45-O45</f>
        <v>0</v>
      </c>
      <c r="R45" s="147"/>
      <c r="S45" s="496">
        <f>AP45-AW45-BD45-BL45</f>
        <v>1721</v>
      </c>
      <c r="T45" s="147"/>
      <c r="U45" s="509">
        <f>AP45-S45</f>
        <v>0</v>
      </c>
      <c r="V45" s="147"/>
      <c r="W45" s="147">
        <f>(I45+O45)+(M45+U45)</f>
        <v>1721</v>
      </c>
      <c r="X45" s="147"/>
      <c r="Y45" s="147">
        <f>'Exhibit B,3'!Y45</f>
        <v>1721</v>
      </c>
      <c r="Z45" s="147"/>
      <c r="AA45" s="147">
        <f>'Exhibit B,3'!AA45</f>
        <v>1747.1555864366735</v>
      </c>
      <c r="AB45" s="147"/>
      <c r="AC45" s="147">
        <f>'Exhibit B,3'!AC45</f>
        <v>1724.2839743760812</v>
      </c>
      <c r="AD45" s="147"/>
      <c r="AE45" s="147">
        <f>'Exhibit B,3'!AE45</f>
        <v>1747.1555864366735</v>
      </c>
      <c r="AF45" s="147"/>
      <c r="AG45" s="147">
        <f>'Exhibit B,3'!AG45</f>
        <v>1724.2839743760812</v>
      </c>
      <c r="AH45" s="497"/>
      <c r="AI45" s="147">
        <f>'Exhibit B,3'!AI45</f>
        <v>1721</v>
      </c>
      <c r="AJ45" s="497"/>
      <c r="AK45" s="147">
        <f>'Exhibit B,3'!AK45</f>
        <v>0</v>
      </c>
      <c r="AL45" s="25"/>
      <c r="AM45" s="25">
        <f>AT45</f>
        <v>2013</v>
      </c>
      <c r="AO45" s="18">
        <f>'Exhibit B,3'!AQ45-'Exhibit A,3'!CD45</f>
        <v>1721</v>
      </c>
      <c r="AP45" s="18">
        <f>'Exhibit B,3'!AR45-'Exhibit A,3'!CE45</f>
        <v>1721</v>
      </c>
      <c r="AQ45" s="18">
        <v>1721</v>
      </c>
      <c r="AR45" s="18">
        <v>1721</v>
      </c>
      <c r="AS45" s="364"/>
      <c r="AT45" s="25">
        <f>A45</f>
        <v>2013</v>
      </c>
      <c r="AU45" s="23"/>
      <c r="AV45" s="598">
        <f>'Exhibit B,3'!AY45-'Exhibit A,3'!CJ45</f>
        <v>0</v>
      </c>
      <c r="AW45" s="598">
        <f>'Exhibit B,3'!AZ45-'Exhibit A,3'!CK45</f>
        <v>0</v>
      </c>
      <c r="AX45" s="598">
        <f>'Exhibit B,3'!BA45-'Exhibit A,3'!CL45</f>
        <v>0</v>
      </c>
      <c r="AY45" s="598">
        <f>'Exhibit B,3'!BB45-'Exhibit A,3'!CM45</f>
        <v>0</v>
      </c>
      <c r="BA45" s="25">
        <f>AT45</f>
        <v>2013</v>
      </c>
      <c r="BC45" s="172">
        <f>'Exhibit B,3'!BG45-'Exhibit A,3'!CR45</f>
        <v>0</v>
      </c>
      <c r="BD45" s="172">
        <f>'Exhibit B,3'!BH45-'Exhibit A,3'!CS45</f>
        <v>0</v>
      </c>
      <c r="BI45" s="25">
        <f>BI31</f>
        <v>2013</v>
      </c>
      <c r="BQ45" s="25">
        <f>BQ31</f>
        <v>2013</v>
      </c>
      <c r="BR45" s="25"/>
      <c r="BS45" s="18">
        <v>1721</v>
      </c>
      <c r="BT45" s="18">
        <f t="shared" ref="BT45:BT52" si="81">AI45-BS45</f>
        <v>0</v>
      </c>
      <c r="CB45" s="25">
        <v>2013</v>
      </c>
      <c r="CF45" s="594">
        <v>0</v>
      </c>
      <c r="CG45" s="594">
        <v>0</v>
      </c>
      <c r="CH45" s="364"/>
      <c r="CI45" s="25">
        <v>2013</v>
      </c>
      <c r="CM45" s="61">
        <v>0</v>
      </c>
      <c r="CN45" s="61">
        <v>0</v>
      </c>
      <c r="CO45" s="205">
        <f>CL45-CN45</f>
        <v>0</v>
      </c>
      <c r="CP45" s="25">
        <f>CI45</f>
        <v>2013</v>
      </c>
      <c r="CX45" s="25">
        <f>CX31</f>
        <v>2013</v>
      </c>
    </row>
    <row r="46" spans="1:107" ht="16">
      <c r="A46" s="6">
        <f>A45+1</f>
        <v>2014</v>
      </c>
      <c r="C46" s="494">
        <f>'Exhibit B,3'!C46</f>
        <v>28746.9825031943</v>
      </c>
      <c r="E46" s="73"/>
      <c r="F46" s="73"/>
      <c r="G46" s="73"/>
      <c r="I46" s="494">
        <f>'Exhibit B,3'!I46</f>
        <v>781.28045396795733</v>
      </c>
      <c r="J46" s="494"/>
      <c r="K46" s="494">
        <f>'Exhibit B,3'!K46</f>
        <v>190.26234790433719</v>
      </c>
      <c r="L46" s="187"/>
      <c r="M46" s="494">
        <f>'Exhibit B,3'!M46</f>
        <v>0</v>
      </c>
      <c r="N46" s="187"/>
      <c r="O46" s="130">
        <f t="shared" ref="O46:O54" si="82">AO46-AV46-BC46-BK46</f>
        <v>0</v>
      </c>
      <c r="P46" s="494"/>
      <c r="Q46" s="130">
        <f t="shared" ref="Q46:Q54" si="83">AO46-O46</f>
        <v>0</v>
      </c>
      <c r="R46" s="494"/>
      <c r="S46" s="130">
        <f t="shared" ref="S46:S54" si="84">AP46-AW46-BD46-BL46</f>
        <v>0</v>
      </c>
      <c r="T46" s="494"/>
      <c r="U46" s="54">
        <f t="shared" ref="U46:U54" si="85">AP46-S46</f>
        <v>0</v>
      </c>
      <c r="V46" s="187"/>
      <c r="W46" s="494">
        <f t="shared" ref="W46:W54" si="86">(I46+O46)+(M46+U46)</f>
        <v>781.28045396795733</v>
      </c>
      <c r="X46" s="494"/>
      <c r="Y46" s="494">
        <f>'Exhibit B,3'!Y46</f>
        <v>190.26234790433719</v>
      </c>
      <c r="Z46" s="187"/>
      <c r="AA46" s="494">
        <f>'Exhibit B,3'!AA46</f>
        <v>0</v>
      </c>
      <c r="AB46" s="494"/>
      <c r="AC46" s="494">
        <f>'Exhibit B,3'!AC46</f>
        <v>0</v>
      </c>
      <c r="AD46" s="494"/>
      <c r="AE46" s="494">
        <f>'Exhibit B,3'!AE46</f>
        <v>0</v>
      </c>
      <c r="AF46" s="494"/>
      <c r="AG46" s="494">
        <f>'Exhibit B,3'!AG46</f>
        <v>0</v>
      </c>
      <c r="AH46" s="494"/>
      <c r="AI46" s="494">
        <f>'Exhibit B,3'!AI46</f>
        <v>190.26234790433719</v>
      </c>
      <c r="AJ46" s="494"/>
      <c r="AK46" s="494">
        <f>'Exhibit B,3'!AK46</f>
        <v>190.26234790433719</v>
      </c>
      <c r="AL46" s="25"/>
      <c r="AM46" s="25">
        <f>AM45+1</f>
        <v>2014</v>
      </c>
      <c r="AO46" s="18">
        <f>'Exhibit B,3'!AQ46-'Exhibit A,3'!CD46</f>
        <v>0</v>
      </c>
      <c r="AP46" s="18">
        <f>'Exhibit B,3'!AR46-'Exhibit A,3'!CE46</f>
        <v>0</v>
      </c>
      <c r="AQ46" s="18">
        <v>0</v>
      </c>
      <c r="AR46" s="18">
        <v>0</v>
      </c>
      <c r="AS46" s="364"/>
      <c r="AT46" s="25">
        <f>AT45+1</f>
        <v>2014</v>
      </c>
      <c r="AV46" s="598">
        <f>'Exhibit B,3'!AY46-'Exhibit A,3'!CJ46</f>
        <v>0</v>
      </c>
      <c r="AW46" s="598">
        <f>'Exhibit B,3'!AZ46-'Exhibit A,3'!CK46</f>
        <v>0</v>
      </c>
      <c r="AX46" s="598">
        <f>'Exhibit B,3'!BA46-'Exhibit A,3'!CL46</f>
        <v>0</v>
      </c>
      <c r="AY46" s="598">
        <f>'Exhibit B,3'!BB46-'Exhibit A,3'!CM46</f>
        <v>0</v>
      </c>
      <c r="BA46" s="25">
        <f>BA45+1</f>
        <v>2014</v>
      </c>
      <c r="BC46" s="172">
        <f>'Exhibit B,3'!BG46-'Exhibit A,3'!CR46</f>
        <v>0</v>
      </c>
      <c r="BD46" s="172">
        <f>'Exhibit B,3'!BH46-'Exhibit A,3'!CS46</f>
        <v>0</v>
      </c>
      <c r="BI46" s="25">
        <f>BI45+1</f>
        <v>2014</v>
      </c>
      <c r="BQ46" s="25">
        <f t="shared" ref="BQ46:BQ54" si="87">BQ45+1</f>
        <v>2014</v>
      </c>
      <c r="BR46" s="25"/>
      <c r="BS46" s="18">
        <v>0</v>
      </c>
      <c r="BT46" s="18">
        <f t="shared" si="81"/>
        <v>190.26234790433719</v>
      </c>
      <c r="CB46" s="25">
        <f>CB45+1</f>
        <v>2014</v>
      </c>
      <c r="CF46" s="20">
        <v>0</v>
      </c>
      <c r="CG46" s="20">
        <v>0</v>
      </c>
      <c r="CH46" s="364"/>
      <c r="CI46" s="25">
        <f>CI45+1</f>
        <v>2014</v>
      </c>
      <c r="CM46" s="61">
        <v>0</v>
      </c>
      <c r="CN46" s="61">
        <v>0</v>
      </c>
      <c r="CO46" s="205">
        <f t="shared" ref="CO46:CO54" si="88">CL46-CN46</f>
        <v>0</v>
      </c>
      <c r="CP46" s="25">
        <f>CP45+1</f>
        <v>2014</v>
      </c>
      <c r="CX46" s="25">
        <f>CX45+1</f>
        <v>2014</v>
      </c>
    </row>
    <row r="47" spans="1:107">
      <c r="A47" s="6">
        <f t="shared" ref="A47:A54" si="89">A46+1</f>
        <v>2015</v>
      </c>
      <c r="C47" s="494">
        <f>'Exhibit B,3'!C47</f>
        <v>8929.286229018875</v>
      </c>
      <c r="E47" s="73"/>
      <c r="F47" s="73"/>
      <c r="G47" s="73"/>
      <c r="I47" s="494">
        <f>'Exhibit B,3'!I47</f>
        <v>502.17571978444363</v>
      </c>
      <c r="J47" s="494"/>
      <c r="K47" s="494">
        <f>'Exhibit B,3'!K47</f>
        <v>168.30886933328091</v>
      </c>
      <c r="L47" s="187"/>
      <c r="M47" s="494">
        <f>'Exhibit B,3'!M47</f>
        <v>0</v>
      </c>
      <c r="N47" s="187"/>
      <c r="O47" s="130">
        <f t="shared" si="82"/>
        <v>36478.69</v>
      </c>
      <c r="P47" s="494"/>
      <c r="Q47" s="130">
        <f t="shared" si="83"/>
        <v>0</v>
      </c>
      <c r="R47" s="494"/>
      <c r="S47" s="130">
        <f t="shared" si="84"/>
        <v>63892.69</v>
      </c>
      <c r="T47" s="494"/>
      <c r="U47" s="54">
        <f t="shared" si="85"/>
        <v>0</v>
      </c>
      <c r="V47" s="187"/>
      <c r="W47" s="494">
        <f t="shared" si="86"/>
        <v>36980.865719784444</v>
      </c>
      <c r="X47" s="494"/>
      <c r="Y47" s="494">
        <f>'Exhibit B,3'!Y47</f>
        <v>64060.998869333285</v>
      </c>
      <c r="Z47" s="187"/>
      <c r="AA47" s="494">
        <f>'Exhibit B,3'!AA47</f>
        <v>38652.473337416777</v>
      </c>
      <c r="AB47" s="494"/>
      <c r="AC47" s="494">
        <f>'Exhibit B,3'!AC47</f>
        <v>65120.145108153338</v>
      </c>
      <c r="AD47" s="494"/>
      <c r="AE47" s="494">
        <f>'Exhibit B,3'!AE47</f>
        <v>38652.473337416777</v>
      </c>
      <c r="AF47" s="494"/>
      <c r="AG47" s="494">
        <f>'Exhibit B,3'!AG47</f>
        <v>65120.145108153338</v>
      </c>
      <c r="AH47" s="494"/>
      <c r="AI47" s="494">
        <f>'Exhibit B,3'!AI47</f>
        <v>64060.998869333285</v>
      </c>
      <c r="AJ47" s="494"/>
      <c r="AK47" s="494">
        <f>'Exhibit B,3'!AK47</f>
        <v>27582.308869333283</v>
      </c>
      <c r="AL47" s="25"/>
      <c r="AM47" s="25">
        <f t="shared" ref="AM47:AM54" si="90">AM46+1</f>
        <v>2015</v>
      </c>
      <c r="AO47" s="18">
        <f>'Exhibit B,3'!AQ47-'Exhibit A,3'!CD47</f>
        <v>36478.69</v>
      </c>
      <c r="AP47" s="18">
        <f>'Exhibit B,3'!AR47-'Exhibit A,3'!CE47</f>
        <v>63892.69</v>
      </c>
      <c r="AQ47" s="18">
        <v>21277.69</v>
      </c>
      <c r="AR47" s="18">
        <v>63767.69</v>
      </c>
      <c r="AT47" s="25">
        <f t="shared" ref="AT47:AT54" si="91">AT46+1</f>
        <v>2015</v>
      </c>
      <c r="AV47" s="598">
        <f>'Exhibit B,3'!AY47-'Exhibit A,3'!CJ47</f>
        <v>0</v>
      </c>
      <c r="AW47" s="598">
        <f>'Exhibit B,3'!AZ47-'Exhibit A,3'!CK47</f>
        <v>0</v>
      </c>
      <c r="AX47" s="598">
        <f>'Exhibit B,3'!BA47-'Exhibit A,3'!CL47</f>
        <v>0</v>
      </c>
      <c r="AY47" s="598">
        <f>'Exhibit B,3'!BB47-'Exhibit A,3'!CM47</f>
        <v>0</v>
      </c>
      <c r="BA47" s="25">
        <f t="shared" ref="BA47:BA54" si="92">BA46+1</f>
        <v>2015</v>
      </c>
      <c r="BC47" s="172">
        <f>'Exhibit B,3'!BG47-'Exhibit A,3'!CR47</f>
        <v>0</v>
      </c>
      <c r="BD47" s="172">
        <f>'Exhibit B,3'!BH47-'Exhibit A,3'!CS47</f>
        <v>0</v>
      </c>
      <c r="BI47" s="25">
        <f t="shared" ref="BI47:BI54" si="93">BI46+1</f>
        <v>2015</v>
      </c>
      <c r="BQ47" s="25">
        <f t="shared" si="87"/>
        <v>2015</v>
      </c>
      <c r="BR47" s="25"/>
      <c r="BS47" s="18">
        <v>63767.69</v>
      </c>
      <c r="BT47" s="18">
        <f t="shared" si="81"/>
        <v>293.30886933328293</v>
      </c>
      <c r="CB47" s="25">
        <f t="shared" ref="CB47:CB54" si="94">CB46+1</f>
        <v>2015</v>
      </c>
      <c r="CF47" s="20">
        <v>0</v>
      </c>
      <c r="CG47" s="20">
        <v>0</v>
      </c>
      <c r="CI47" s="25">
        <f t="shared" ref="CI47:CI54" si="95">CI46+1</f>
        <v>2015</v>
      </c>
      <c r="CM47" s="61">
        <v>0</v>
      </c>
      <c r="CN47" s="61">
        <v>0</v>
      </c>
      <c r="CO47" s="205">
        <f t="shared" si="88"/>
        <v>0</v>
      </c>
      <c r="CP47" s="25">
        <f t="shared" ref="CP47:CP54" si="96">CP46+1</f>
        <v>2015</v>
      </c>
      <c r="CX47" s="25">
        <f t="shared" ref="CX47:CX54" si="97">CX46+1</f>
        <v>2015</v>
      </c>
    </row>
    <row r="48" spans="1:107">
      <c r="A48" s="6">
        <f t="shared" si="89"/>
        <v>2016</v>
      </c>
      <c r="C48" s="494">
        <f>'Exhibit B,3'!C48</f>
        <v>36611.393150524607</v>
      </c>
      <c r="E48" s="73"/>
      <c r="F48" s="73"/>
      <c r="G48" s="73"/>
      <c r="I48" s="494">
        <f>'Exhibit B,3'!I48</f>
        <v>4286.2193241116938</v>
      </c>
      <c r="J48" s="494"/>
      <c r="K48" s="494">
        <f>'Exhibit B,3'!K48</f>
        <v>1637.8632147194062</v>
      </c>
      <c r="L48" s="187"/>
      <c r="M48" s="494">
        <f>'Exhibit B,3'!M48</f>
        <v>0</v>
      </c>
      <c r="N48" s="187"/>
      <c r="O48" s="130">
        <f t="shared" si="82"/>
        <v>7728.3099999999995</v>
      </c>
      <c r="P48" s="494"/>
      <c r="Q48" s="130">
        <f t="shared" si="83"/>
        <v>13502.420000000004</v>
      </c>
      <c r="R48" s="494"/>
      <c r="S48" s="130">
        <f t="shared" si="84"/>
        <v>7728.3099999999995</v>
      </c>
      <c r="T48" s="494"/>
      <c r="U48" s="54">
        <f t="shared" si="85"/>
        <v>13502.420000000004</v>
      </c>
      <c r="V48" s="187"/>
      <c r="W48" s="494">
        <f t="shared" si="86"/>
        <v>25516.949324111694</v>
      </c>
      <c r="X48" s="494"/>
      <c r="Y48" s="494">
        <f>'Exhibit B,3'!Y48</f>
        <v>22868.593214719411</v>
      </c>
      <c r="Z48" s="187"/>
      <c r="AA48" s="494">
        <f>'Exhibit B,3'!AA48</f>
        <v>22255.480302739568</v>
      </c>
      <c r="AB48" s="494"/>
      <c r="AC48" s="494">
        <f>'Exhibit B,3'!AC48</f>
        <v>21592.658426560949</v>
      </c>
      <c r="AD48" s="494"/>
      <c r="AE48" s="494">
        <f>'Exhibit B,3'!AE48</f>
        <v>24045.859956598786</v>
      </c>
      <c r="AF48" s="494"/>
      <c r="AG48" s="494">
        <f>'Exhibit B,3'!AG48</f>
        <v>22224.997142964025</v>
      </c>
      <c r="AH48" s="494"/>
      <c r="AI48" s="494">
        <f>'Exhibit B,3'!AI48</f>
        <v>22868.593214719411</v>
      </c>
      <c r="AJ48" s="494"/>
      <c r="AK48" s="494">
        <f>'Exhibit B,3'!AK48</f>
        <v>1637.8632147194076</v>
      </c>
      <c r="AL48" s="25"/>
      <c r="AM48" s="25">
        <f t="shared" si="90"/>
        <v>2016</v>
      </c>
      <c r="AO48" s="18">
        <f>'Exhibit B,3'!AQ48-'Exhibit A,3'!CD48</f>
        <v>21230.730000000003</v>
      </c>
      <c r="AP48" s="18">
        <f>'Exhibit B,3'!AR48-'Exhibit A,3'!CE48</f>
        <v>21230.730000000003</v>
      </c>
      <c r="AQ48" s="18">
        <v>21230.730000000003</v>
      </c>
      <c r="AR48" s="18">
        <v>21230.730000000003</v>
      </c>
      <c r="AT48" s="25">
        <f t="shared" si="91"/>
        <v>2016</v>
      </c>
      <c r="AV48" s="598">
        <f>'Exhibit B,3'!AY48-'Exhibit A,3'!CJ48</f>
        <v>11004.920000000004</v>
      </c>
      <c r="AW48" s="598">
        <f>'Exhibit B,3'!AZ48-'Exhibit A,3'!CK48</f>
        <v>11004.920000000004</v>
      </c>
      <c r="AX48" s="598">
        <f>'Exhibit B,3'!BA48-'Exhibit A,3'!CL48</f>
        <v>0</v>
      </c>
      <c r="AY48" s="598">
        <f>'Exhibit B,3'!BB48-'Exhibit A,3'!CM48</f>
        <v>11004.920000000004</v>
      </c>
      <c r="BA48" s="25">
        <f t="shared" si="92"/>
        <v>2016</v>
      </c>
      <c r="BC48" s="172">
        <f>'Exhibit B,3'!BG48-'Exhibit A,3'!CR48</f>
        <v>2497.5</v>
      </c>
      <c r="BD48" s="172">
        <f>'Exhibit B,3'!BH48-'Exhibit A,3'!CS48</f>
        <v>2497.5</v>
      </c>
      <c r="BI48" s="25">
        <f t="shared" si="93"/>
        <v>2016</v>
      </c>
      <c r="BQ48" s="25">
        <f t="shared" si="87"/>
        <v>2016</v>
      </c>
      <c r="BR48" s="25"/>
      <c r="BS48" s="18">
        <v>21230.730000000003</v>
      </c>
      <c r="BT48" s="18">
        <f t="shared" si="81"/>
        <v>1637.8632147194076</v>
      </c>
      <c r="CB48" s="25">
        <f t="shared" si="94"/>
        <v>2016</v>
      </c>
      <c r="CF48" s="20">
        <v>0</v>
      </c>
      <c r="CG48" s="20">
        <v>0</v>
      </c>
      <c r="CI48" s="25">
        <f t="shared" si="95"/>
        <v>2016</v>
      </c>
      <c r="CM48" s="61">
        <v>0</v>
      </c>
      <c r="CN48" s="61">
        <v>0</v>
      </c>
      <c r="CO48" s="205">
        <f t="shared" si="88"/>
        <v>0</v>
      </c>
      <c r="CP48" s="25">
        <f t="shared" si="96"/>
        <v>2016</v>
      </c>
      <c r="CX48" s="25">
        <f t="shared" si="97"/>
        <v>2016</v>
      </c>
    </row>
    <row r="49" spans="1:107">
      <c r="A49" s="6">
        <f t="shared" si="89"/>
        <v>2017</v>
      </c>
      <c r="C49" s="494">
        <f>'Exhibit B,3'!C49</f>
        <v>38788.113718306937</v>
      </c>
      <c r="E49" s="73"/>
      <c r="F49" s="73"/>
      <c r="G49" s="73"/>
      <c r="I49" s="494">
        <f>'Exhibit B,3'!I49</f>
        <v>8465.5644391025471</v>
      </c>
      <c r="J49" s="494"/>
      <c r="K49" s="494">
        <f>'Exhibit B,3'!K49</f>
        <v>3660.0977972955975</v>
      </c>
      <c r="L49" s="187"/>
      <c r="M49" s="494">
        <f>'Exhibit B,3'!M49</f>
        <v>0</v>
      </c>
      <c r="N49" s="187"/>
      <c r="O49" s="130">
        <f t="shared" si="82"/>
        <v>232536.94</v>
      </c>
      <c r="P49" s="494"/>
      <c r="Q49" s="130">
        <f t="shared" si="83"/>
        <v>12309.309999999998</v>
      </c>
      <c r="R49" s="494"/>
      <c r="S49" s="130">
        <f t="shared" si="84"/>
        <v>239300.56</v>
      </c>
      <c r="T49" s="494"/>
      <c r="U49" s="54">
        <f t="shared" si="85"/>
        <v>12309.309999999998</v>
      </c>
      <c r="V49" s="187"/>
      <c r="W49" s="494">
        <f t="shared" si="86"/>
        <v>253311.81443910254</v>
      </c>
      <c r="X49" s="494"/>
      <c r="Y49" s="494">
        <f>'Exhibit B,3'!Y49</f>
        <v>255269.9677972956</v>
      </c>
      <c r="Z49" s="187"/>
      <c r="AA49" s="494">
        <f>'Exhibit B,3'!AA49</f>
        <v>309766.7958259997</v>
      </c>
      <c r="AB49" s="494"/>
      <c r="AC49" s="494">
        <f>'Exhibit B,3'!AC49</f>
        <v>276543.34345654433</v>
      </c>
      <c r="AD49" s="494"/>
      <c r="AE49" s="494">
        <f>'Exhibit B,3'!AE49</f>
        <v>313203.3557288755</v>
      </c>
      <c r="AF49" s="494"/>
      <c r="AG49" s="494">
        <f>'Exhibit B,3'!AG49</f>
        <v>277825.88894725847</v>
      </c>
      <c r="AH49" s="494"/>
      <c r="AI49" s="494">
        <f>'Exhibit B,3'!AI49</f>
        <v>255269.9677972956</v>
      </c>
      <c r="AJ49" s="494"/>
      <c r="AK49" s="494">
        <f>'Exhibit B,3'!AK49</f>
        <v>10423.717797295598</v>
      </c>
      <c r="AL49" s="25"/>
      <c r="AM49" s="25">
        <f t="shared" si="90"/>
        <v>2017</v>
      </c>
      <c r="AO49" s="18">
        <f>'Exhibit B,3'!AQ49-'Exhibit A,3'!CD49</f>
        <v>244846.25</v>
      </c>
      <c r="AP49" s="18">
        <f>'Exhibit B,3'!AR49-'Exhibit A,3'!CE49</f>
        <v>251609.87</v>
      </c>
      <c r="AQ49" s="18">
        <v>244563.50999999998</v>
      </c>
      <c r="AR49" s="18">
        <v>251377.12999999998</v>
      </c>
      <c r="AT49" s="25">
        <f t="shared" si="91"/>
        <v>2017</v>
      </c>
      <c r="AV49" s="598">
        <f>'Exhibit B,3'!AY49-'Exhibit A,3'!CJ49</f>
        <v>12309.309999999998</v>
      </c>
      <c r="AW49" s="598">
        <f>'Exhibit B,3'!AZ49-'Exhibit A,3'!CK49</f>
        <v>12309.309999999998</v>
      </c>
      <c r="AX49" s="598">
        <f>'Exhibit B,3'!BA49-'Exhibit A,3'!CL49</f>
        <v>0</v>
      </c>
      <c r="AY49" s="598">
        <f>'Exhibit B,3'!BB49-'Exhibit A,3'!CM49</f>
        <v>12309.309999999998</v>
      </c>
      <c r="BA49" s="25">
        <f t="shared" si="92"/>
        <v>2017</v>
      </c>
      <c r="BC49" s="172">
        <f>'Exhibit B,3'!BG49-'Exhibit A,3'!CR49</f>
        <v>0</v>
      </c>
      <c r="BD49" s="172">
        <f>'Exhibit B,3'!BH49-'Exhibit A,3'!CS49</f>
        <v>0</v>
      </c>
      <c r="BI49" s="25">
        <f t="shared" si="93"/>
        <v>2017</v>
      </c>
      <c r="BQ49" s="25">
        <f t="shared" si="87"/>
        <v>2017</v>
      </c>
      <c r="BR49" s="25"/>
      <c r="BS49" s="18">
        <v>251377.12999999998</v>
      </c>
      <c r="BT49" s="18">
        <f t="shared" si="81"/>
        <v>3892.8377972956223</v>
      </c>
      <c r="CB49" s="25">
        <f t="shared" si="94"/>
        <v>2017</v>
      </c>
      <c r="CF49" s="20">
        <v>0</v>
      </c>
      <c r="CG49" s="20">
        <v>0</v>
      </c>
      <c r="CI49" s="25">
        <f t="shared" si="95"/>
        <v>2017</v>
      </c>
      <c r="CM49" s="61">
        <v>0</v>
      </c>
      <c r="CN49" s="61">
        <v>0</v>
      </c>
      <c r="CO49" s="205">
        <f t="shared" si="88"/>
        <v>0</v>
      </c>
      <c r="CP49" s="25">
        <f t="shared" si="96"/>
        <v>2017</v>
      </c>
      <c r="CX49" s="25">
        <f t="shared" si="97"/>
        <v>2017</v>
      </c>
    </row>
    <row r="50" spans="1:107">
      <c r="A50" s="6">
        <f t="shared" si="89"/>
        <v>2018</v>
      </c>
      <c r="C50" s="494">
        <f>'Exhibit B,3'!C50</f>
        <v>176745.91846153847</v>
      </c>
      <c r="E50" s="73"/>
      <c r="F50" s="73"/>
      <c r="G50" s="73"/>
      <c r="I50" s="494">
        <f>'Exhibit B,3'!I50</f>
        <v>63657.720749842971</v>
      </c>
      <c r="J50" s="494"/>
      <c r="K50" s="494">
        <f>'Exhibit B,3'!K50</f>
        <v>32697.934689367834</v>
      </c>
      <c r="L50" s="187"/>
      <c r="M50" s="494">
        <f>'Exhibit B,3'!M50</f>
        <v>0</v>
      </c>
      <c r="N50" s="187"/>
      <c r="O50" s="130">
        <f t="shared" si="82"/>
        <v>13978</v>
      </c>
      <c r="P50" s="494"/>
      <c r="Q50" s="130">
        <f t="shared" si="83"/>
        <v>14368.73</v>
      </c>
      <c r="R50" s="494"/>
      <c r="S50" s="130">
        <f t="shared" si="84"/>
        <v>13978</v>
      </c>
      <c r="T50" s="494"/>
      <c r="U50" s="54">
        <f t="shared" si="85"/>
        <v>14368.73</v>
      </c>
      <c r="V50" s="187"/>
      <c r="W50" s="494">
        <f t="shared" si="86"/>
        <v>92004.450749842959</v>
      </c>
      <c r="X50" s="494"/>
      <c r="Y50" s="494">
        <f>'Exhibit B,3'!Y50</f>
        <v>61044.664689367826</v>
      </c>
      <c r="Z50" s="187"/>
      <c r="AA50" s="494">
        <f>'Exhibit B,3'!AA50</f>
        <v>36214.992459268833</v>
      </c>
      <c r="AB50" s="494"/>
      <c r="AC50" s="494">
        <f>'Exhibit B,3'!AC50</f>
        <v>31519.643074652027</v>
      </c>
      <c r="AD50" s="494"/>
      <c r="AE50" s="494">
        <f>'Exhibit B,3'!AE50</f>
        <v>44303.198128632823</v>
      </c>
      <c r="AF50" s="494"/>
      <c r="AG50" s="494">
        <f>'Exhibit B,3'!AG50</f>
        <v>34781.249261742087</v>
      </c>
      <c r="AH50" s="494"/>
      <c r="AI50" s="494">
        <f>'Exhibit B,3'!AI50</f>
        <v>61044.664689367826</v>
      </c>
      <c r="AJ50" s="494"/>
      <c r="AK50" s="494">
        <f>'Exhibit B,3'!AK50</f>
        <v>32697.934689367827</v>
      </c>
      <c r="AL50" s="25"/>
      <c r="AM50" s="25">
        <f t="shared" si="90"/>
        <v>2018</v>
      </c>
      <c r="AO50" s="18">
        <f>'Exhibit B,3'!AQ50-'Exhibit A,3'!CD50</f>
        <v>28346.73</v>
      </c>
      <c r="AP50" s="18">
        <f>'Exhibit B,3'!AR50-'Exhibit A,3'!CE50</f>
        <v>28346.73</v>
      </c>
      <c r="AQ50" s="18">
        <v>28346.73</v>
      </c>
      <c r="AR50" s="18">
        <v>28346.73</v>
      </c>
      <c r="AT50" s="25">
        <f t="shared" si="91"/>
        <v>2018</v>
      </c>
      <c r="AV50" s="598">
        <f>'Exhibit B,3'!AY50-'Exhibit A,3'!CJ50</f>
        <v>14368.73</v>
      </c>
      <c r="AW50" s="598">
        <f>'Exhibit B,3'!AZ50-'Exhibit A,3'!CK50</f>
        <v>14368.73</v>
      </c>
      <c r="AX50" s="598">
        <f>'Exhibit B,3'!BA50-'Exhibit A,3'!CL50</f>
        <v>0</v>
      </c>
      <c r="AY50" s="598">
        <f>'Exhibit B,3'!BB50-'Exhibit A,3'!CM50</f>
        <v>14368.73</v>
      </c>
      <c r="BA50" s="25">
        <f t="shared" si="92"/>
        <v>2018</v>
      </c>
      <c r="BC50" s="172">
        <f>'Exhibit B,3'!BG50-'Exhibit A,3'!CR50</f>
        <v>0</v>
      </c>
      <c r="BD50" s="172">
        <f>'Exhibit B,3'!BH50-'Exhibit A,3'!CS50</f>
        <v>0</v>
      </c>
      <c r="BI50" s="25">
        <f t="shared" si="93"/>
        <v>2018</v>
      </c>
      <c r="BQ50" s="25">
        <f t="shared" si="87"/>
        <v>2018</v>
      </c>
      <c r="BR50" s="25"/>
      <c r="BS50" s="18">
        <v>153361.25241654456</v>
      </c>
      <c r="BT50" s="18">
        <f t="shared" si="81"/>
        <v>-92316.587727176739</v>
      </c>
      <c r="CB50" s="25">
        <f t="shared" si="94"/>
        <v>2018</v>
      </c>
      <c r="CF50" s="20">
        <v>0</v>
      </c>
      <c r="CG50" s="20">
        <v>0</v>
      </c>
      <c r="CI50" s="25">
        <f t="shared" si="95"/>
        <v>2018</v>
      </c>
      <c r="CM50" s="61">
        <v>0</v>
      </c>
      <c r="CN50" s="61">
        <v>0</v>
      </c>
      <c r="CO50" s="205">
        <f t="shared" si="88"/>
        <v>0</v>
      </c>
      <c r="CP50" s="25">
        <f t="shared" si="96"/>
        <v>2018</v>
      </c>
      <c r="CX50" s="25">
        <f t="shared" si="97"/>
        <v>2018</v>
      </c>
    </row>
    <row r="51" spans="1:107">
      <c r="A51" s="6">
        <f t="shared" si="89"/>
        <v>2019</v>
      </c>
      <c r="C51" s="494">
        <f>'Exhibit B,3'!C51</f>
        <v>105297.2284586982</v>
      </c>
      <c r="E51" s="73"/>
      <c r="F51" s="73"/>
      <c r="G51" s="73"/>
      <c r="I51" s="494">
        <f>'Exhibit B,3'!I51</f>
        <v>55544.136555272846</v>
      </c>
      <c r="J51" s="494"/>
      <c r="K51" s="494">
        <f>'Exhibit B,3'!K51</f>
        <v>35993.345412369985</v>
      </c>
      <c r="L51" s="187"/>
      <c r="M51" s="494">
        <f>'Exhibit B,3'!M51</f>
        <v>0</v>
      </c>
      <c r="N51" s="187"/>
      <c r="O51" s="130">
        <f t="shared" si="82"/>
        <v>11292.27</v>
      </c>
      <c r="P51" s="494"/>
      <c r="Q51" s="130">
        <f t="shared" si="83"/>
        <v>23925.500000000004</v>
      </c>
      <c r="R51" s="494"/>
      <c r="S51" s="130">
        <f t="shared" si="84"/>
        <v>11292.27</v>
      </c>
      <c r="T51" s="494"/>
      <c r="U51" s="54">
        <f t="shared" si="85"/>
        <v>23925.500000000004</v>
      </c>
      <c r="V51" s="187"/>
      <c r="W51" s="494">
        <f t="shared" si="86"/>
        <v>90761.906555272843</v>
      </c>
      <c r="X51" s="494"/>
      <c r="Y51" s="494">
        <f>'Exhibit B,3'!Y51</f>
        <v>71211.115412369982</v>
      </c>
      <c r="Z51" s="187"/>
      <c r="AA51" s="494">
        <f>'Exhibit B,3'!AA51</f>
        <v>47824.411374499759</v>
      </c>
      <c r="AB51" s="494"/>
      <c r="AC51" s="494">
        <f>'Exhibit B,3'!AC51</f>
        <v>41082.471323128499</v>
      </c>
      <c r="AD51" s="494"/>
      <c r="AE51" s="494">
        <f>'Exhibit B,3'!AE51</f>
        <v>74534.73606613341</v>
      </c>
      <c r="AF51" s="494"/>
      <c r="AG51" s="494">
        <f>'Exhibit B,3'!AG51</f>
        <v>53508.308777113452</v>
      </c>
      <c r="AH51" s="494"/>
      <c r="AI51" s="494">
        <f>'Exhibit B,3'!AI51</f>
        <v>71211.115412369982</v>
      </c>
      <c r="AJ51" s="494"/>
      <c r="AK51" s="494">
        <f>'Exhibit B,3'!AK51</f>
        <v>35993.345412369978</v>
      </c>
      <c r="AL51" s="25"/>
      <c r="AM51" s="25">
        <f t="shared" si="90"/>
        <v>2019</v>
      </c>
      <c r="AO51" s="18">
        <f>'Exhibit B,3'!AQ51-'Exhibit A,3'!CD51</f>
        <v>35217.770000000004</v>
      </c>
      <c r="AP51" s="18">
        <f>'Exhibit B,3'!AR51-'Exhibit A,3'!CE51</f>
        <v>35217.770000000004</v>
      </c>
      <c r="AQ51" s="18">
        <v>35092.770000000004</v>
      </c>
      <c r="AR51" s="18">
        <v>42262.340000000004</v>
      </c>
      <c r="AT51" s="25">
        <f t="shared" si="91"/>
        <v>2019</v>
      </c>
      <c r="AV51" s="598">
        <f>'Exhibit B,3'!AY51-'Exhibit A,3'!CJ51</f>
        <v>23925.500000000004</v>
      </c>
      <c r="AW51" s="598">
        <f>'Exhibit B,3'!AZ51-'Exhibit A,3'!CK51</f>
        <v>23925.500000000004</v>
      </c>
      <c r="AX51" s="598">
        <f>'Exhibit B,3'!BA51-'Exhibit A,3'!CL51</f>
        <v>0</v>
      </c>
      <c r="AY51" s="598">
        <f>'Exhibit B,3'!BB51-'Exhibit A,3'!CM51</f>
        <v>23925.500000000004</v>
      </c>
      <c r="BA51" s="25">
        <f t="shared" si="92"/>
        <v>2019</v>
      </c>
      <c r="BC51" s="172">
        <f>'Exhibit B,3'!BG51-'Exhibit A,3'!CR51</f>
        <v>0</v>
      </c>
      <c r="BD51" s="172">
        <f>'Exhibit B,3'!BH51-'Exhibit A,3'!CS51</f>
        <v>0</v>
      </c>
      <c r="BI51" s="25">
        <f t="shared" si="93"/>
        <v>2019</v>
      </c>
      <c r="BQ51" s="25">
        <f t="shared" si="87"/>
        <v>2019</v>
      </c>
      <c r="BR51" s="25"/>
      <c r="BS51" s="18">
        <v>267572.19983568869</v>
      </c>
      <c r="BT51" s="18">
        <f t="shared" si="81"/>
        <v>-196361.08442331871</v>
      </c>
      <c r="CB51" s="25">
        <f t="shared" si="94"/>
        <v>2019</v>
      </c>
      <c r="CF51" s="20">
        <v>0</v>
      </c>
      <c r="CG51" s="20">
        <v>0</v>
      </c>
      <c r="CI51" s="25">
        <f t="shared" si="95"/>
        <v>2019</v>
      </c>
      <c r="CM51" s="61">
        <v>0</v>
      </c>
      <c r="CN51" s="61">
        <v>0</v>
      </c>
      <c r="CO51" s="205">
        <f t="shared" si="88"/>
        <v>0</v>
      </c>
      <c r="CP51" s="25">
        <f t="shared" si="96"/>
        <v>2019</v>
      </c>
      <c r="CX51" s="25">
        <f t="shared" si="97"/>
        <v>2019</v>
      </c>
    </row>
    <row r="52" spans="1:107">
      <c r="A52" s="6">
        <f t="shared" si="89"/>
        <v>2020</v>
      </c>
      <c r="C52" s="494">
        <f>'Exhibit B,3'!C52</f>
        <v>83400.208488635719</v>
      </c>
      <c r="E52" s="73"/>
      <c r="F52" s="73"/>
      <c r="G52" s="73"/>
      <c r="I52" s="494">
        <f>'Exhibit B,3'!I52</f>
        <v>57786.112988066467</v>
      </c>
      <c r="J52" s="494"/>
      <c r="K52" s="494">
        <f>'Exhibit B,3'!K52</f>
        <v>46174.322408277229</v>
      </c>
      <c r="L52" s="187"/>
      <c r="M52" s="494">
        <f>'Exhibit B,3'!M52</f>
        <v>0</v>
      </c>
      <c r="N52" s="187"/>
      <c r="O52" s="130">
        <f t="shared" si="82"/>
        <v>45046.5</v>
      </c>
      <c r="P52" s="494"/>
      <c r="Q52" s="130">
        <f t="shared" si="83"/>
        <v>0</v>
      </c>
      <c r="R52" s="494"/>
      <c r="S52" s="130">
        <f t="shared" si="84"/>
        <v>70829</v>
      </c>
      <c r="T52" s="494"/>
      <c r="U52" s="54">
        <f t="shared" si="85"/>
        <v>0</v>
      </c>
      <c r="V52" s="187"/>
      <c r="W52" s="494">
        <f t="shared" si="86"/>
        <v>102832.61298806647</v>
      </c>
      <c r="X52" s="494"/>
      <c r="Y52" s="494">
        <f>'Exhibit B,3'!Y52</f>
        <v>117003.32240827722</v>
      </c>
      <c r="Z52" s="187"/>
      <c r="AA52" s="494">
        <f>'Exhibit B,3'!AA52</f>
        <v>146672.65887252727</v>
      </c>
      <c r="AB52" s="494"/>
      <c r="AC52" s="494">
        <f>'Exhibit B,3'!AC52</f>
        <v>158684.02310934846</v>
      </c>
      <c r="AD52" s="494"/>
      <c r="AE52" s="494">
        <f>'Exhibit B,3'!AE52</f>
        <v>146672.65887252727</v>
      </c>
      <c r="AF52" s="494"/>
      <c r="AG52" s="494">
        <f>'Exhibit B,3'!AG52</f>
        <v>158684.02310934846</v>
      </c>
      <c r="AH52" s="494"/>
      <c r="AI52" s="494">
        <f>'Exhibit B,3'!AI52</f>
        <v>117003.32240827722</v>
      </c>
      <c r="AJ52" s="494"/>
      <c r="AK52" s="494">
        <f>'Exhibit B,3'!AK52</f>
        <v>71956.822408277221</v>
      </c>
      <c r="AL52" s="25"/>
      <c r="AM52" s="25">
        <f t="shared" si="90"/>
        <v>2020</v>
      </c>
      <c r="AO52" s="18">
        <f>'Exhibit B,3'!AQ52-'Exhibit A,3'!CD52</f>
        <v>45046.5</v>
      </c>
      <c r="AP52" s="18">
        <f>'Exhibit B,3'!AR52-'Exhibit A,3'!CE52</f>
        <v>70829</v>
      </c>
      <c r="AQ52" s="18">
        <v>43289</v>
      </c>
      <c r="AR52" s="18">
        <v>60829</v>
      </c>
      <c r="AT52" s="25">
        <f t="shared" si="91"/>
        <v>2020</v>
      </c>
      <c r="AV52" s="598">
        <f>'Exhibit B,3'!AY52-'Exhibit A,3'!CJ52</f>
        <v>0</v>
      </c>
      <c r="AW52" s="598">
        <f>'Exhibit B,3'!AZ52-'Exhibit A,3'!CK52</f>
        <v>0</v>
      </c>
      <c r="AX52" s="598">
        <f>'Exhibit B,3'!BA52-'Exhibit A,3'!CL52</f>
        <v>0</v>
      </c>
      <c r="AY52" s="598">
        <f>'Exhibit B,3'!BB52-'Exhibit A,3'!CM52</f>
        <v>0</v>
      </c>
      <c r="BA52" s="25">
        <f t="shared" si="92"/>
        <v>2020</v>
      </c>
      <c r="BC52" s="172">
        <f>'Exhibit B,3'!BG52-'Exhibit A,3'!CR52</f>
        <v>0</v>
      </c>
      <c r="BD52" s="172">
        <f>'Exhibit B,3'!BH52-'Exhibit A,3'!CS52</f>
        <v>0</v>
      </c>
      <c r="BI52" s="25">
        <f t="shared" si="93"/>
        <v>2020</v>
      </c>
      <c r="BQ52" s="25">
        <f t="shared" si="87"/>
        <v>2020</v>
      </c>
      <c r="BR52" s="25"/>
      <c r="BS52" s="18">
        <v>102892.23386617636</v>
      </c>
      <c r="BT52" s="18">
        <f t="shared" si="81"/>
        <v>14111.088542100857</v>
      </c>
      <c r="CB52" s="25">
        <f t="shared" si="94"/>
        <v>2020</v>
      </c>
      <c r="CF52" s="20">
        <v>0</v>
      </c>
      <c r="CG52" s="20">
        <v>0</v>
      </c>
      <c r="CI52" s="25">
        <f t="shared" si="95"/>
        <v>2020</v>
      </c>
      <c r="CM52" s="61">
        <v>0</v>
      </c>
      <c r="CN52" s="61">
        <v>0</v>
      </c>
      <c r="CO52" s="205">
        <f t="shared" si="88"/>
        <v>0</v>
      </c>
      <c r="CP52" s="25">
        <f t="shared" si="96"/>
        <v>2020</v>
      </c>
      <c r="CX52" s="25">
        <f t="shared" si="97"/>
        <v>2020</v>
      </c>
    </row>
    <row r="53" spans="1:107">
      <c r="A53" s="6">
        <f t="shared" si="89"/>
        <v>2021</v>
      </c>
      <c r="C53" s="494">
        <f>'Exhibit B,3'!C53</f>
        <v>112193.91694279374</v>
      </c>
      <c r="E53" s="73"/>
      <c r="F53" s="73"/>
      <c r="G53" s="73"/>
      <c r="I53" s="494">
        <f>'Exhibit B,3'!I53</f>
        <v>93694.245307439807</v>
      </c>
      <c r="J53" s="494"/>
      <c r="K53" s="494">
        <f>'Exhibit B,3'!K53</f>
        <v>85337.79005896626</v>
      </c>
      <c r="L53" s="187"/>
      <c r="M53" s="494">
        <f>'Exhibit B,3'!M53</f>
        <v>0</v>
      </c>
      <c r="N53" s="187"/>
      <c r="O53" s="130">
        <f t="shared" si="82"/>
        <v>0</v>
      </c>
      <c r="P53" s="494"/>
      <c r="Q53" s="130">
        <f t="shared" si="83"/>
        <v>0</v>
      </c>
      <c r="R53" s="494"/>
      <c r="S53" s="130">
        <f t="shared" si="84"/>
        <v>2500</v>
      </c>
      <c r="T53" s="494"/>
      <c r="U53" s="54">
        <f t="shared" si="85"/>
        <v>0</v>
      </c>
      <c r="V53" s="187"/>
      <c r="W53" s="494">
        <f t="shared" si="86"/>
        <v>93694.245307439807</v>
      </c>
      <c r="X53" s="494"/>
      <c r="Y53" s="494">
        <f>'Exhibit B,3'!Y53</f>
        <v>87837.79005896626</v>
      </c>
      <c r="Z53" s="187"/>
      <c r="AA53" s="494">
        <f>'Exhibit B,3'!AA53</f>
        <v>0</v>
      </c>
      <c r="AB53" s="494"/>
      <c r="AC53" s="494">
        <f>'Exhibit B,3'!AC53</f>
        <v>10443.977777223334</v>
      </c>
      <c r="AD53" s="494"/>
      <c r="AE53" s="494">
        <f>'Exhibit B,3'!AE53</f>
        <v>0</v>
      </c>
      <c r="AF53" s="494"/>
      <c r="AG53" s="494">
        <f>'Exhibit B,3'!AG53</f>
        <v>10443.977777223334</v>
      </c>
      <c r="AH53" s="494"/>
      <c r="AI53" s="494">
        <f>'Exhibit B,3'!AI53</f>
        <v>87837.79005896626</v>
      </c>
      <c r="AJ53" s="494"/>
      <c r="AK53" s="494">
        <f>'Exhibit B,3'!AK53</f>
        <v>87837.79005896626</v>
      </c>
      <c r="AL53" s="25"/>
      <c r="AM53" s="25">
        <f t="shared" si="90"/>
        <v>2021</v>
      </c>
      <c r="AO53" s="18">
        <f>'Exhibit B,3'!AQ53-'Exhibit A,3'!CD53</f>
        <v>0</v>
      </c>
      <c r="AP53" s="18">
        <f>'Exhibit B,3'!AR53-'Exhibit A,3'!CE53</f>
        <v>2500</v>
      </c>
      <c r="AQ53" s="18">
        <v>0</v>
      </c>
      <c r="AR53" s="18">
        <v>0</v>
      </c>
      <c r="AT53" s="25">
        <f t="shared" si="91"/>
        <v>2021</v>
      </c>
      <c r="AV53" s="598">
        <f>'Exhibit B,3'!AY53-'Exhibit A,3'!CJ53</f>
        <v>0</v>
      </c>
      <c r="AW53" s="598">
        <f>'Exhibit B,3'!AZ53-'Exhibit A,3'!CK53</f>
        <v>0</v>
      </c>
      <c r="AX53" s="598">
        <f>'Exhibit B,3'!BA53-'Exhibit A,3'!CL53</f>
        <v>0</v>
      </c>
      <c r="AY53" s="598">
        <f>'Exhibit B,3'!BB53-'Exhibit A,3'!CM53</f>
        <v>0</v>
      </c>
      <c r="BA53" s="25">
        <f t="shared" si="92"/>
        <v>2021</v>
      </c>
      <c r="BC53" s="172">
        <f>'Exhibit B,3'!BG53-'Exhibit A,3'!CR53</f>
        <v>0</v>
      </c>
      <c r="BD53" s="172">
        <f>'Exhibit B,3'!BH53-'Exhibit A,3'!CS53</f>
        <v>0</v>
      </c>
      <c r="BI53" s="25">
        <f t="shared" si="93"/>
        <v>2021</v>
      </c>
      <c r="BQ53" s="25">
        <f t="shared" si="87"/>
        <v>2021</v>
      </c>
      <c r="BR53" s="25"/>
      <c r="BS53" s="18">
        <v>54945.042765563689</v>
      </c>
      <c r="BT53" s="18"/>
      <c r="CB53" s="25">
        <f t="shared" si="94"/>
        <v>2021</v>
      </c>
      <c r="CF53" s="20">
        <v>0</v>
      </c>
      <c r="CG53" s="20">
        <v>0</v>
      </c>
      <c r="CI53" s="25">
        <f t="shared" si="95"/>
        <v>2021</v>
      </c>
      <c r="CM53" s="61">
        <v>0</v>
      </c>
      <c r="CN53" s="61">
        <v>0</v>
      </c>
      <c r="CO53" s="205">
        <f t="shared" si="88"/>
        <v>0</v>
      </c>
      <c r="CP53" s="25">
        <f t="shared" si="96"/>
        <v>2021</v>
      </c>
      <c r="CX53" s="25">
        <f t="shared" si="97"/>
        <v>2021</v>
      </c>
    </row>
    <row r="54" spans="1:107">
      <c r="A54" s="6">
        <f t="shared" si="89"/>
        <v>2022</v>
      </c>
      <c r="C54" s="494">
        <f>'Exhibit B,3'!C54</f>
        <v>85377.150829989012</v>
      </c>
      <c r="E54" s="73"/>
      <c r="F54" s="73"/>
      <c r="G54" s="73"/>
      <c r="I54" s="494">
        <f>'Exhibit B,3'!I54</f>
        <v>79975.014646490949</v>
      </c>
      <c r="J54" s="494"/>
      <c r="K54" s="494">
        <f>'Exhibit B,3'!K54</f>
        <v>77777.060613841124</v>
      </c>
      <c r="L54" s="187"/>
      <c r="M54" s="494">
        <f>'Exhibit B,3'!M54</f>
        <v>0</v>
      </c>
      <c r="N54" s="187"/>
      <c r="O54" s="499">
        <f t="shared" si="82"/>
        <v>0</v>
      </c>
      <c r="P54" s="499"/>
      <c r="Q54" s="130">
        <f t="shared" si="83"/>
        <v>0</v>
      </c>
      <c r="R54" s="499"/>
      <c r="S54" s="499">
        <f t="shared" si="84"/>
        <v>0</v>
      </c>
      <c r="T54" s="499"/>
      <c r="U54" s="54">
        <f t="shared" si="85"/>
        <v>0</v>
      </c>
      <c r="V54" s="499"/>
      <c r="W54" s="494">
        <f t="shared" si="86"/>
        <v>79975.014646490949</v>
      </c>
      <c r="X54" s="494"/>
      <c r="Y54" s="494">
        <f>'Exhibit B,3'!Y54</f>
        <v>77777.060613841124</v>
      </c>
      <c r="Z54" s="187"/>
      <c r="AA54" s="494"/>
      <c r="AB54" s="494"/>
      <c r="AC54" s="494"/>
      <c r="AD54" s="494"/>
      <c r="AE54" s="494"/>
      <c r="AF54" s="494"/>
      <c r="AG54" s="494"/>
      <c r="AH54" s="494"/>
      <c r="AI54" s="494"/>
      <c r="AJ54" s="494"/>
      <c r="AK54" s="494"/>
      <c r="AL54" s="25"/>
      <c r="AM54" s="25">
        <f t="shared" si="90"/>
        <v>2022</v>
      </c>
      <c r="AO54" s="18">
        <f>'Exhibit B,3'!AQ54-'Exhibit A,3'!CD54</f>
        <v>0</v>
      </c>
      <c r="AP54" s="18">
        <f>'Exhibit B,3'!AR54-'Exhibit A,3'!CE54</f>
        <v>0</v>
      </c>
      <c r="AQ54" s="18">
        <v>0</v>
      </c>
      <c r="AR54" s="18">
        <v>0</v>
      </c>
      <c r="AT54" s="25">
        <f t="shared" si="91"/>
        <v>2022</v>
      </c>
      <c r="AV54" s="598">
        <f>'Exhibit B,3'!AY54-'Exhibit A,3'!CJ54</f>
        <v>0</v>
      </c>
      <c r="AW54" s="598">
        <f>'Exhibit B,3'!AZ54-'Exhibit A,3'!CK54</f>
        <v>0</v>
      </c>
      <c r="AX54" s="598">
        <f>'Exhibit B,3'!BA54-'Exhibit A,3'!CL54</f>
        <v>0</v>
      </c>
      <c r="AY54" s="598">
        <f>'Exhibit B,3'!BB54-'Exhibit A,3'!CM54</f>
        <v>0</v>
      </c>
      <c r="BA54" s="25">
        <f t="shared" si="92"/>
        <v>2022</v>
      </c>
      <c r="BC54" s="172">
        <f>'Exhibit B,3'!BG54-'Exhibit A,3'!CR54</f>
        <v>0</v>
      </c>
      <c r="BD54" s="172">
        <f>'Exhibit B,3'!BH54-'Exhibit A,3'!CS54</f>
        <v>0</v>
      </c>
      <c r="BI54" s="25">
        <f t="shared" si="93"/>
        <v>2022</v>
      </c>
      <c r="BQ54" s="25">
        <f t="shared" si="87"/>
        <v>2022</v>
      </c>
      <c r="BR54" s="25"/>
      <c r="BT54" s="18"/>
      <c r="CB54" s="25">
        <f t="shared" si="94"/>
        <v>2022</v>
      </c>
      <c r="CF54" s="20">
        <v>0</v>
      </c>
      <c r="CG54" s="20">
        <v>0</v>
      </c>
      <c r="CI54" s="25">
        <f t="shared" si="95"/>
        <v>2022</v>
      </c>
      <c r="CM54" s="61">
        <v>0</v>
      </c>
      <c r="CN54" s="61">
        <v>0</v>
      </c>
      <c r="CO54" s="205">
        <f t="shared" si="88"/>
        <v>0</v>
      </c>
      <c r="CP54" s="25">
        <f t="shared" si="96"/>
        <v>2022</v>
      </c>
      <c r="CX54" s="25">
        <f t="shared" si="97"/>
        <v>2022</v>
      </c>
    </row>
    <row r="55" spans="1:107">
      <c r="A55" s="6"/>
      <c r="C55" s="63"/>
      <c r="I55" s="63"/>
      <c r="K55" s="63"/>
      <c r="M55" s="63"/>
      <c r="O55" s="63"/>
      <c r="Q55" s="63"/>
      <c r="S55" s="63"/>
      <c r="U55" s="63"/>
      <c r="W55" s="63"/>
      <c r="Y55" s="63"/>
      <c r="AA55" s="63"/>
      <c r="AC55" s="63"/>
      <c r="AE55" s="63"/>
      <c r="AG55" s="63"/>
      <c r="AI55" s="63"/>
      <c r="AK55" s="63"/>
      <c r="AL55" s="25"/>
      <c r="AM55" s="25"/>
      <c r="AN55" s="70"/>
      <c r="AO55" s="70"/>
      <c r="AP55" s="70"/>
      <c r="AQ55" s="70"/>
      <c r="AR55" s="70"/>
      <c r="AT55" s="25"/>
      <c r="AU55" s="70"/>
      <c r="AV55" s="70"/>
      <c r="AW55" s="70"/>
      <c r="AX55" s="70"/>
      <c r="AY55" s="70"/>
      <c r="BA55" s="25"/>
      <c r="BB55" s="70"/>
      <c r="BC55" s="70"/>
      <c r="BD55" s="70"/>
      <c r="BE55" s="70"/>
      <c r="BF55" s="70"/>
      <c r="BI55" s="25"/>
      <c r="BJ55" s="70"/>
      <c r="BK55" s="70"/>
      <c r="BL55" s="70"/>
      <c r="BM55" s="70"/>
      <c r="BN55" s="70"/>
      <c r="BQ55" s="70"/>
      <c r="BR55" s="441"/>
      <c r="BS55" s="70"/>
      <c r="BT55" s="70"/>
      <c r="CB55" s="25"/>
      <c r="CC55" s="70"/>
      <c r="CD55" s="70"/>
      <c r="CE55" s="70"/>
      <c r="CF55" s="70"/>
      <c r="CG55" s="70"/>
      <c r="CI55" s="25"/>
      <c r="CJ55" s="70"/>
      <c r="CK55" s="70"/>
      <c r="CL55" s="70"/>
      <c r="CM55" s="70"/>
      <c r="CN55" s="70"/>
      <c r="CP55" s="25"/>
      <c r="CQ55" s="70"/>
      <c r="CR55" s="70"/>
      <c r="CS55" s="70"/>
      <c r="CT55" s="70"/>
      <c r="CU55" s="70"/>
      <c r="CX55" s="25"/>
      <c r="CY55" s="70"/>
      <c r="CZ55" s="70"/>
      <c r="DA55" s="70"/>
      <c r="DB55" s="70"/>
      <c r="DC55" s="70"/>
    </row>
    <row r="56" spans="1:107">
      <c r="A56" s="2" t="s">
        <v>0</v>
      </c>
      <c r="C56" s="147">
        <f>SUM(C45:C55)</f>
        <v>676090.19878269988</v>
      </c>
      <c r="I56" s="147">
        <f>SUM(I45:I55)</f>
        <v>364692.47018407972</v>
      </c>
      <c r="J56" s="147"/>
      <c r="K56" s="147">
        <f>SUM(K45:K55)</f>
        <v>283636.98541207507</v>
      </c>
      <c r="L56" s="147"/>
      <c r="M56" s="147">
        <f>SUM(M45:M55)</f>
        <v>0</v>
      </c>
      <c r="N56" s="147"/>
      <c r="O56" s="147">
        <f>SUM(O45:O55)</f>
        <v>348781.71</v>
      </c>
      <c r="P56" s="147"/>
      <c r="Q56" s="147">
        <f>SUM(Q45:Q55)</f>
        <v>64105.960000000006</v>
      </c>
      <c r="R56" s="147"/>
      <c r="S56" s="147">
        <f>SUM(S45:S55)</f>
        <v>411241.83</v>
      </c>
      <c r="T56" s="147"/>
      <c r="U56" s="147">
        <f>SUM(U45:U55)</f>
        <v>64105.960000000006</v>
      </c>
      <c r="V56" s="147"/>
      <c r="W56" s="147">
        <f>SUM(W45:W55)</f>
        <v>777580.14018407965</v>
      </c>
      <c r="X56" s="147"/>
      <c r="Y56" s="147">
        <f>SUM(Y45:Y55)</f>
        <v>758984.77541207511</v>
      </c>
      <c r="Z56" s="147"/>
      <c r="AA56" s="147">
        <f>SUM(AA45:AA55)</f>
        <v>603133.96775888861</v>
      </c>
      <c r="AB56" s="147"/>
      <c r="AC56" s="147">
        <f>SUM(AC45:AC55)</f>
        <v>606710.54624998698</v>
      </c>
      <c r="AD56" s="147"/>
      <c r="AE56" s="147">
        <f>SUM(AE45:AE55)</f>
        <v>643159.43767662125</v>
      </c>
      <c r="AF56" s="147"/>
      <c r="AG56" s="147">
        <f>SUM(AG45:AG55)</f>
        <v>624312.87409817928</v>
      </c>
      <c r="AH56" s="147"/>
      <c r="AI56" s="147">
        <f>SUM(AI45:AI55)</f>
        <v>681207.71479823394</v>
      </c>
      <c r="AJ56" s="147"/>
      <c r="AK56" s="147">
        <f>SUM(AK45:AK55)</f>
        <v>268320.0447982339</v>
      </c>
      <c r="AL56" s="97"/>
      <c r="AM56" s="97" t="s">
        <v>0</v>
      </c>
      <c r="AN56" s="68">
        <f>SUM(AN45:AN55)</f>
        <v>0</v>
      </c>
      <c r="AO56" s="68">
        <f>SUM(AO45:AO55)</f>
        <v>412887.67</v>
      </c>
      <c r="AP56" s="68">
        <f>SUM(AP45:AP55)</f>
        <v>475347.79000000004</v>
      </c>
      <c r="AQ56" s="68">
        <f>SUM(AQ45:AQ55)</f>
        <v>395521.43</v>
      </c>
      <c r="AR56" s="68">
        <f>SUM(AR45:AR55)</f>
        <v>469534.62</v>
      </c>
      <c r="AT56" s="97" t="s">
        <v>0</v>
      </c>
      <c r="AU56" s="68">
        <f>SUM(AU45:AU55)</f>
        <v>0</v>
      </c>
      <c r="AV56" s="68">
        <f>SUM(AV45:AV55)</f>
        <v>61608.460000000006</v>
      </c>
      <c r="AW56" s="68">
        <f>SUM(AW45:AW55)</f>
        <v>61608.460000000006</v>
      </c>
      <c r="AX56" s="68">
        <f>SUM(AX45:AX55)</f>
        <v>0</v>
      </c>
      <c r="AY56" s="68">
        <f>SUM(AY45:AY55)</f>
        <v>61608.460000000006</v>
      </c>
      <c r="BA56" s="97" t="s">
        <v>0</v>
      </c>
      <c r="BB56" s="68">
        <f>SUM(BB45:BB55)</f>
        <v>0</v>
      </c>
      <c r="BC56" s="68">
        <f>SUM(BC45:BC55)</f>
        <v>2497.5</v>
      </c>
      <c r="BD56" s="68">
        <f>SUM(BD45:BD55)</f>
        <v>2497.5</v>
      </c>
      <c r="BE56" s="68">
        <f>SUM(BE45:BE55)</f>
        <v>0</v>
      </c>
      <c r="BF56" s="68">
        <f>SUM(BF45:BF55)</f>
        <v>0</v>
      </c>
      <c r="BI56" s="97" t="s">
        <v>0</v>
      </c>
      <c r="BJ56" s="68">
        <f>SUM(BJ45:BJ55)</f>
        <v>0</v>
      </c>
      <c r="BK56" s="68">
        <f>SUM(BK45:BK55)</f>
        <v>0</v>
      </c>
      <c r="BL56" s="68">
        <f>SUM(BL45:BL55)</f>
        <v>0</v>
      </c>
      <c r="BM56" s="68">
        <f>SUM(BM45:BM55)</f>
        <v>0</v>
      </c>
      <c r="BN56" s="68">
        <f>SUM(BN45:BN55)</f>
        <v>0</v>
      </c>
      <c r="BQ56" s="61"/>
      <c r="BR56" s="61"/>
      <c r="BS56" s="61"/>
      <c r="BT56" s="122">
        <f>SUM(BT45:BT55)</f>
        <v>-268552.31137914193</v>
      </c>
      <c r="CB56" s="97" t="s">
        <v>0</v>
      </c>
      <c r="CC56" s="68">
        <f>SUM(CC45:CC55)</f>
        <v>0</v>
      </c>
      <c r="CD56" s="68">
        <f>SUM(CD45:CD55)</f>
        <v>0</v>
      </c>
      <c r="CE56" s="68">
        <f>SUM(CE45:CE55)</f>
        <v>0</v>
      </c>
      <c r="CF56" s="68">
        <f>SUM(CF45:CF55)</f>
        <v>0</v>
      </c>
      <c r="CG56" s="68">
        <f>SUM(CG45:CG55)</f>
        <v>0</v>
      </c>
      <c r="CI56" s="97" t="s">
        <v>0</v>
      </c>
      <c r="CJ56" s="68">
        <f>SUM(CJ45:CJ55)</f>
        <v>0</v>
      </c>
      <c r="CK56" s="68">
        <f>SUM(CK45:CK55)</f>
        <v>0</v>
      </c>
      <c r="CL56" s="68">
        <f>SUM(CL45:CL55)</f>
        <v>0</v>
      </c>
      <c r="CM56" s="68">
        <f>SUM(CM45:CM55)</f>
        <v>0</v>
      </c>
      <c r="CN56" s="68">
        <f>SUM(CN45:CN55)</f>
        <v>0</v>
      </c>
      <c r="CP56" s="97" t="s">
        <v>0</v>
      </c>
      <c r="CQ56" s="68">
        <f>SUM(CQ45:CQ55)</f>
        <v>0</v>
      </c>
      <c r="CR56" s="68">
        <f>SUM(CR45:CR55)</f>
        <v>0</v>
      </c>
      <c r="CS56" s="68">
        <f>SUM(CS45:CS55)</f>
        <v>0</v>
      </c>
      <c r="CT56" s="68">
        <f>SUM(CT45:CT55)</f>
        <v>0</v>
      </c>
      <c r="CU56" s="68">
        <f>SUM(CU45:CU55)</f>
        <v>0</v>
      </c>
      <c r="CX56" s="97" t="s">
        <v>0</v>
      </c>
      <c r="CY56" s="68">
        <f>SUM(CY45:CY55)</f>
        <v>0</v>
      </c>
      <c r="CZ56" s="68">
        <f>SUM(CZ45:CZ55)</f>
        <v>0</v>
      </c>
      <c r="DA56" s="68">
        <f>SUM(DA45:DA55)</f>
        <v>0</v>
      </c>
      <c r="DB56" s="68">
        <f>SUM(DB45:DB55)</f>
        <v>0</v>
      </c>
      <c r="DC56" s="68">
        <f>SUM(DC45:DC55)</f>
        <v>0</v>
      </c>
    </row>
    <row r="57" spans="1:107">
      <c r="A57" s="6"/>
      <c r="H57" s="26"/>
      <c r="AD57" s="61"/>
      <c r="AE57" s="61"/>
      <c r="AK57" s="6"/>
      <c r="AL57" s="25"/>
      <c r="AM57" s="25"/>
      <c r="AT57" s="25"/>
      <c r="BA57" s="25"/>
      <c r="BI57" s="25"/>
      <c r="BS57" s="61"/>
      <c r="BT57" s="68"/>
      <c r="CB57" s="25"/>
      <c r="CI57" s="25"/>
      <c r="CP57" s="25"/>
      <c r="CX57" s="25"/>
    </row>
    <row r="58" spans="1:107">
      <c r="A58" s="3" t="s">
        <v>297</v>
      </c>
      <c r="AD58" s="61"/>
      <c r="AE58" s="61"/>
      <c r="AK58" s="3"/>
      <c r="AL58" s="115"/>
      <c r="AM58" s="115" t="s">
        <v>297</v>
      </c>
      <c r="AT58" s="115" t="s">
        <v>297</v>
      </c>
      <c r="BA58" s="115" t="s">
        <v>297</v>
      </c>
      <c r="BI58" s="115" t="s">
        <v>297</v>
      </c>
      <c r="BQ58" s="25"/>
      <c r="BR58" s="25"/>
      <c r="BS58" s="68"/>
      <c r="BT58" s="68"/>
      <c r="CB58" s="115" t="s">
        <v>297</v>
      </c>
      <c r="CI58" s="115" t="s">
        <v>297</v>
      </c>
      <c r="CP58" s="115" t="s">
        <v>297</v>
      </c>
      <c r="CX58" s="115" t="s">
        <v>297</v>
      </c>
    </row>
    <row r="59" spans="1:107">
      <c r="A59" s="6">
        <f>A45</f>
        <v>2013</v>
      </c>
      <c r="C59" s="147">
        <f t="shared" ref="C59:C66" si="98">C17+C31+C45</f>
        <v>0</v>
      </c>
      <c r="D59" s="26"/>
      <c r="E59" s="26"/>
      <c r="I59" s="26">
        <f t="shared" ref="I59:I68" si="99">I17+I31+I45</f>
        <v>0</v>
      </c>
      <c r="J59" s="26"/>
      <c r="K59" s="26">
        <f t="shared" ref="K59:K68" si="100">K17+K31+K45</f>
        <v>0</v>
      </c>
      <c r="L59" s="26"/>
      <c r="M59" s="26">
        <f t="shared" ref="M59:M68" si="101">M17+M31+M45</f>
        <v>0</v>
      </c>
      <c r="N59" s="26"/>
      <c r="O59" s="26">
        <f t="shared" ref="O59:O68" si="102">O17+O31+O45</f>
        <v>1721</v>
      </c>
      <c r="Q59" s="26">
        <f t="shared" ref="Q59:Q68" si="103">Q17+Q31+Q45</f>
        <v>0</v>
      </c>
      <c r="R59" s="26"/>
      <c r="S59" s="26">
        <f t="shared" ref="S59:S68" si="104">S17+S31+S45</f>
        <v>1721</v>
      </c>
      <c r="T59" s="26"/>
      <c r="U59" s="26">
        <f t="shared" ref="U59:U68" si="105">U17+U31+U45</f>
        <v>0</v>
      </c>
      <c r="V59" s="26"/>
      <c r="W59" s="26">
        <f t="shared" ref="W59:W68" si="106">W17+W31+W45</f>
        <v>1721</v>
      </c>
      <c r="Y59" s="26" t="e">
        <f t="shared" ref="Y59:Y68" si="107">Y17+Y31+Y45</f>
        <v>#VALUE!</v>
      </c>
      <c r="Z59" s="26"/>
      <c r="AA59" s="26">
        <f t="shared" ref="AA59:AA68" si="108">AA17+AA31+AA45</f>
        <v>7400498.127906098</v>
      </c>
      <c r="AB59" s="26"/>
      <c r="AC59" s="26">
        <f t="shared" ref="AC59:AC68" si="109">AC17+AC31+AC45</f>
        <v>6324150.2339743767</v>
      </c>
      <c r="AD59" s="26"/>
      <c r="AE59" s="26">
        <f t="shared" ref="AE59:AE68" si="110">AE17+AE31+AE45</f>
        <v>5578007.508064677</v>
      </c>
      <c r="AG59" s="26">
        <f t="shared" ref="AG59:AG68" si="111">AG17+AG31+AG45</f>
        <v>4553338.8939743768</v>
      </c>
      <c r="AH59" s="26"/>
      <c r="AI59" s="26">
        <f t="shared" ref="AI59:AI68" si="112">AI17+AI31+AI45</f>
        <v>1824211.619841421</v>
      </c>
      <c r="AK59" s="26">
        <f t="shared" ref="AK59:AK68" si="113">AK17+AK31+AK45</f>
        <v>1770811.3399999999</v>
      </c>
      <c r="AL59" s="25"/>
      <c r="AM59" s="25">
        <f>AT59</f>
        <v>2013</v>
      </c>
      <c r="AN59" s="20"/>
      <c r="AO59" s="26">
        <f t="shared" ref="AO59:AR68" si="114">AO17+AO31+AO45</f>
        <v>1721</v>
      </c>
      <c r="AP59" s="26">
        <f t="shared" si="114"/>
        <v>1721</v>
      </c>
      <c r="AQ59" s="26">
        <f t="shared" si="114"/>
        <v>1721</v>
      </c>
      <c r="AR59" s="26">
        <f t="shared" si="114"/>
        <v>1721</v>
      </c>
      <c r="AT59" s="25">
        <f>A59</f>
        <v>2013</v>
      </c>
      <c r="AU59" s="26">
        <f t="shared" ref="AU59:AY67" si="115">AU17+AU31+AU45</f>
        <v>0</v>
      </c>
      <c r="AV59" s="26">
        <f t="shared" si="115"/>
        <v>0</v>
      </c>
      <c r="AW59" s="26">
        <f t="shared" si="115"/>
        <v>0</v>
      </c>
      <c r="AX59" s="26">
        <f t="shared" si="115"/>
        <v>0</v>
      </c>
      <c r="AY59" s="26">
        <f t="shared" si="115"/>
        <v>0</v>
      </c>
      <c r="BA59" s="25">
        <f>AT59</f>
        <v>2013</v>
      </c>
      <c r="BB59" s="26">
        <f t="shared" ref="BB59:BF67" si="116">BB17+BB31+BB45</f>
        <v>0</v>
      </c>
      <c r="BC59" s="26">
        <f t="shared" si="116"/>
        <v>0</v>
      </c>
      <c r="BD59" s="26">
        <f t="shared" si="116"/>
        <v>0</v>
      </c>
      <c r="BE59" s="26">
        <f t="shared" si="116"/>
        <v>0</v>
      </c>
      <c r="BF59" s="26">
        <f t="shared" si="116"/>
        <v>0</v>
      </c>
      <c r="BI59" s="25">
        <f>BI45</f>
        <v>2013</v>
      </c>
      <c r="BJ59" s="26">
        <f t="shared" ref="BJ59:BN67" si="117">BJ17+BJ31+BJ45</f>
        <v>0</v>
      </c>
      <c r="BK59" s="26">
        <f t="shared" si="117"/>
        <v>0</v>
      </c>
      <c r="BL59" s="26">
        <f t="shared" si="117"/>
        <v>0</v>
      </c>
      <c r="BM59" s="26">
        <f t="shared" si="117"/>
        <v>0</v>
      </c>
      <c r="BN59" s="26">
        <f t="shared" si="117"/>
        <v>0</v>
      </c>
      <c r="BQ59" s="25">
        <f>BQ45</f>
        <v>2013</v>
      </c>
      <c r="BR59" s="25"/>
      <c r="BS59" s="18">
        <f>BS17+BS31+BS45</f>
        <v>1721</v>
      </c>
      <c r="BT59" s="18">
        <f t="shared" ref="BT59:BT67" si="118">AI59-BS59</f>
        <v>1822490.619841421</v>
      </c>
      <c r="CB59" s="25">
        <v>2013</v>
      </c>
      <c r="CC59" s="26">
        <f t="shared" ref="CC59:CG59" si="119">CC17+CC31+CC45</f>
        <v>6281.0610705301142</v>
      </c>
      <c r="CD59" s="26">
        <v>0</v>
      </c>
      <c r="CE59" s="26">
        <v>0</v>
      </c>
      <c r="CF59" s="26">
        <f t="shared" si="119"/>
        <v>0</v>
      </c>
      <c r="CG59" s="26">
        <f t="shared" si="119"/>
        <v>0</v>
      </c>
      <c r="CI59" s="25">
        <f>AO59</f>
        <v>1721</v>
      </c>
      <c r="CJ59" s="26">
        <f t="shared" ref="CJ59:CN59" si="120">CJ17+CJ31+CJ45</f>
        <v>0</v>
      </c>
      <c r="CK59" s="26">
        <f t="shared" si="120"/>
        <v>0</v>
      </c>
      <c r="CL59" s="26">
        <f t="shared" si="120"/>
        <v>0</v>
      </c>
      <c r="CM59" s="26">
        <f t="shared" si="120"/>
        <v>0</v>
      </c>
      <c r="CN59" s="26">
        <f t="shared" si="120"/>
        <v>0</v>
      </c>
      <c r="CO59" s="205">
        <f>CL59-CN59</f>
        <v>0</v>
      </c>
      <c r="CP59" s="25">
        <f>CI59</f>
        <v>1721</v>
      </c>
      <c r="CQ59" s="26">
        <f t="shared" ref="CQ59:CU59" si="121">CQ17+CQ31+CQ45</f>
        <v>0</v>
      </c>
      <c r="CR59" s="26">
        <f t="shared" si="121"/>
        <v>0</v>
      </c>
      <c r="CS59" s="26">
        <f t="shared" si="121"/>
        <v>0</v>
      </c>
      <c r="CT59" s="26">
        <f t="shared" si="121"/>
        <v>0</v>
      </c>
      <c r="CU59" s="26">
        <f t="shared" si="121"/>
        <v>0</v>
      </c>
      <c r="CX59" s="25">
        <f>CX45</f>
        <v>2013</v>
      </c>
      <c r="CY59" s="26">
        <f t="shared" ref="CY59:DC59" si="122">CY17+CY31+CY45</f>
        <v>0</v>
      </c>
      <c r="CZ59" s="26">
        <f t="shared" si="122"/>
        <v>0</v>
      </c>
      <c r="DA59" s="26">
        <f t="shared" si="122"/>
        <v>0</v>
      </c>
      <c r="DB59" s="26">
        <f t="shared" si="122"/>
        <v>0</v>
      </c>
      <c r="DC59" s="26">
        <f t="shared" si="122"/>
        <v>0</v>
      </c>
    </row>
    <row r="60" spans="1:107">
      <c r="A60" s="6">
        <f>A59+1</f>
        <v>2014</v>
      </c>
      <c r="C60" s="494">
        <f t="shared" si="98"/>
        <v>1145611.8227983397</v>
      </c>
      <c r="D60" s="18"/>
      <c r="E60" s="18"/>
      <c r="F60" s="26"/>
      <c r="I60" s="494">
        <f t="shared" si="99"/>
        <v>123127.5492589888</v>
      </c>
      <c r="J60" s="187"/>
      <c r="K60" s="494">
        <f t="shared" si="100"/>
        <v>19312.396681443715</v>
      </c>
      <c r="L60" s="187"/>
      <c r="M60" s="494">
        <f t="shared" si="101"/>
        <v>0</v>
      </c>
      <c r="N60" s="187"/>
      <c r="O60" s="494">
        <f t="shared" si="102"/>
        <v>60472.08</v>
      </c>
      <c r="P60" s="187"/>
      <c r="Q60" s="494">
        <f t="shared" si="103"/>
        <v>0</v>
      </c>
      <c r="R60" s="187"/>
      <c r="S60" s="494">
        <f t="shared" si="104"/>
        <v>1100000</v>
      </c>
      <c r="T60" s="187"/>
      <c r="U60" s="494">
        <f t="shared" si="105"/>
        <v>0</v>
      </c>
      <c r="V60" s="187"/>
      <c r="W60" s="494">
        <f t="shared" si="106"/>
        <v>183599.6292589888</v>
      </c>
      <c r="X60" s="187"/>
      <c r="Y60" s="494" t="e">
        <f t="shared" si="107"/>
        <v>#VALUE!</v>
      </c>
      <c r="Z60" s="187"/>
      <c r="AA60" s="494">
        <f t="shared" si="108"/>
        <v>8731625.4403845109</v>
      </c>
      <c r="AB60" s="187"/>
      <c r="AC60" s="494">
        <f t="shared" si="109"/>
        <v>8125160.1952778716</v>
      </c>
      <c r="AD60" s="187"/>
      <c r="AE60" s="494">
        <f t="shared" si="110"/>
        <v>5886261.0414085276</v>
      </c>
      <c r="AF60" s="187"/>
      <c r="AG60" s="494">
        <f t="shared" si="111"/>
        <v>6354348.8552778717</v>
      </c>
      <c r="AH60" s="494"/>
      <c r="AI60" s="494">
        <f t="shared" si="112"/>
        <v>3964676.7956574271</v>
      </c>
      <c r="AJ60" s="187"/>
      <c r="AK60" s="494">
        <f t="shared" si="113"/>
        <v>2829651.6566814436</v>
      </c>
      <c r="AL60" s="601"/>
      <c r="AM60" s="25">
        <f>AM59+1</f>
        <v>2014</v>
      </c>
      <c r="AN60" s="20"/>
      <c r="AO60" s="20">
        <f t="shared" si="114"/>
        <v>60472.08</v>
      </c>
      <c r="AP60" s="20">
        <f t="shared" si="114"/>
        <v>1100000</v>
      </c>
      <c r="AQ60" s="20">
        <f t="shared" si="114"/>
        <v>57021.58</v>
      </c>
      <c r="AR60" s="20">
        <f t="shared" si="114"/>
        <v>174000</v>
      </c>
      <c r="AT60" s="25">
        <f>AT59+1</f>
        <v>2014</v>
      </c>
      <c r="AU60" s="20">
        <f t="shared" si="115"/>
        <v>0</v>
      </c>
      <c r="AV60" s="20">
        <f t="shared" si="115"/>
        <v>0</v>
      </c>
      <c r="AW60" s="20">
        <f t="shared" si="115"/>
        <v>0</v>
      </c>
      <c r="AX60" s="20">
        <f t="shared" si="115"/>
        <v>0</v>
      </c>
      <c r="AY60" s="20">
        <f t="shared" si="115"/>
        <v>0</v>
      </c>
      <c r="BA60" s="25">
        <f>BA59+1</f>
        <v>2014</v>
      </c>
      <c r="BB60" s="20">
        <f t="shared" si="116"/>
        <v>0</v>
      </c>
      <c r="BC60" s="20">
        <f t="shared" si="116"/>
        <v>0</v>
      </c>
      <c r="BD60" s="20">
        <f t="shared" si="116"/>
        <v>0</v>
      </c>
      <c r="BE60" s="20">
        <f t="shared" si="116"/>
        <v>0</v>
      </c>
      <c r="BF60" s="20">
        <f t="shared" si="116"/>
        <v>0</v>
      </c>
      <c r="BI60" s="25">
        <f>BI59+1</f>
        <v>2014</v>
      </c>
      <c r="BJ60" s="20">
        <f t="shared" si="117"/>
        <v>0</v>
      </c>
      <c r="BK60" s="20">
        <f t="shared" si="117"/>
        <v>0</v>
      </c>
      <c r="BL60" s="20">
        <f t="shared" si="117"/>
        <v>0</v>
      </c>
      <c r="BM60" s="20">
        <f t="shared" si="117"/>
        <v>0</v>
      </c>
      <c r="BN60" s="20">
        <f t="shared" si="117"/>
        <v>0</v>
      </c>
      <c r="BQ60" s="25">
        <f t="shared" ref="BQ60:BQ68" si="123">BQ59+1</f>
        <v>2014</v>
      </c>
      <c r="BR60" s="25"/>
      <c r="BS60" s="18">
        <f t="shared" ref="BS60:BS67" si="124">BS18+BS32+BS46</f>
        <v>181455.35210078006</v>
      </c>
      <c r="BT60" s="18">
        <f t="shared" si="118"/>
        <v>3783221.4435566468</v>
      </c>
      <c r="CB60" s="25">
        <f>CB59+1</f>
        <v>2014</v>
      </c>
      <c r="CC60" s="20">
        <f t="shared" ref="CC60:CG60" si="125">CC18+CC32+CC46</f>
        <v>7889.526154967708</v>
      </c>
      <c r="CD60" s="17">
        <v>0</v>
      </c>
      <c r="CE60" s="17">
        <v>0</v>
      </c>
      <c r="CF60" s="20">
        <f t="shared" si="125"/>
        <v>0</v>
      </c>
      <c r="CG60" s="20">
        <f t="shared" si="125"/>
        <v>0</v>
      </c>
      <c r="CI60" s="25">
        <f>CI59+1</f>
        <v>1722</v>
      </c>
      <c r="CJ60" s="20">
        <f t="shared" ref="CJ60:CN60" si="126">CJ18+CJ32+CJ46</f>
        <v>0</v>
      </c>
      <c r="CK60" s="20">
        <f t="shared" si="126"/>
        <v>0</v>
      </c>
      <c r="CL60" s="20">
        <f t="shared" si="126"/>
        <v>0</v>
      </c>
      <c r="CM60" s="20">
        <f t="shared" si="126"/>
        <v>0</v>
      </c>
      <c r="CN60" s="20">
        <f t="shared" si="126"/>
        <v>0</v>
      </c>
      <c r="CO60" s="205">
        <f t="shared" ref="CO60:CO68" si="127">CL60-CN60</f>
        <v>0</v>
      </c>
      <c r="CP60" s="25">
        <f>CP59+1</f>
        <v>1722</v>
      </c>
      <c r="CQ60" s="20">
        <f t="shared" ref="CQ60:CU60" si="128">CQ18+CQ32+CQ46</f>
        <v>0</v>
      </c>
      <c r="CR60" s="20">
        <f t="shared" si="128"/>
        <v>0</v>
      </c>
      <c r="CS60" s="20">
        <f t="shared" si="128"/>
        <v>0</v>
      </c>
      <c r="CT60" s="20">
        <f t="shared" si="128"/>
        <v>0</v>
      </c>
      <c r="CU60" s="20">
        <f t="shared" si="128"/>
        <v>0</v>
      </c>
      <c r="CX60" s="25">
        <f>CX59+1</f>
        <v>2014</v>
      </c>
      <c r="CY60" s="20">
        <f t="shared" ref="CY60:DC60" si="129">CY18+CY32+CY46</f>
        <v>0</v>
      </c>
      <c r="CZ60" s="20">
        <f t="shared" si="129"/>
        <v>0</v>
      </c>
      <c r="DA60" s="20">
        <f t="shared" si="129"/>
        <v>0</v>
      </c>
      <c r="DB60" s="20">
        <f t="shared" si="129"/>
        <v>0</v>
      </c>
      <c r="DC60" s="20">
        <f t="shared" si="129"/>
        <v>0</v>
      </c>
    </row>
    <row r="61" spans="1:107">
      <c r="A61" s="6">
        <f t="shared" ref="A61:A68" si="130">A60+1</f>
        <v>2015</v>
      </c>
      <c r="C61" s="494">
        <f t="shared" si="98"/>
        <v>354124.52695098851</v>
      </c>
      <c r="D61" s="18"/>
      <c r="E61" s="18"/>
      <c r="I61" s="494">
        <f t="shared" si="99"/>
        <v>71996.404774590686</v>
      </c>
      <c r="J61" s="187"/>
      <c r="K61" s="494">
        <f t="shared" si="100"/>
        <v>14421.692554080211</v>
      </c>
      <c r="L61" s="187"/>
      <c r="M61" s="494">
        <f t="shared" si="101"/>
        <v>0</v>
      </c>
      <c r="N61" s="187"/>
      <c r="O61" s="494">
        <f t="shared" si="102"/>
        <v>359141.74</v>
      </c>
      <c r="P61" s="187"/>
      <c r="Q61" s="494">
        <f t="shared" si="103"/>
        <v>-257086.33000000002</v>
      </c>
      <c r="R61" s="187"/>
      <c r="S61" s="494">
        <f t="shared" si="104"/>
        <v>396555.74</v>
      </c>
      <c r="T61" s="187"/>
      <c r="U61" s="494">
        <f t="shared" si="105"/>
        <v>-257086.32999999996</v>
      </c>
      <c r="V61" s="187"/>
      <c r="W61" s="494">
        <f t="shared" si="106"/>
        <v>174051.81477459072</v>
      </c>
      <c r="X61" s="187"/>
      <c r="Y61" s="494">
        <f t="shared" si="107"/>
        <v>153891.10255408025</v>
      </c>
      <c r="Z61" s="187"/>
      <c r="AA61" s="494">
        <f t="shared" si="108"/>
        <v>188512.93735322304</v>
      </c>
      <c r="AB61" s="187"/>
      <c r="AC61" s="494">
        <f t="shared" si="109"/>
        <v>155024.37910664658</v>
      </c>
      <c r="AD61" s="187"/>
      <c r="AE61" s="494">
        <f t="shared" si="110"/>
        <v>121358.67711895355</v>
      </c>
      <c r="AF61" s="187"/>
      <c r="AG61" s="494">
        <f t="shared" si="111"/>
        <v>143951.89001627045</v>
      </c>
      <c r="AH61" s="494"/>
      <c r="AI61" s="494">
        <f t="shared" si="112"/>
        <v>153891.10255408025</v>
      </c>
      <c r="AJ61" s="187"/>
      <c r="AK61" s="494">
        <f t="shared" si="113"/>
        <v>51835.692554080262</v>
      </c>
      <c r="AL61" s="601"/>
      <c r="AM61" s="25">
        <f t="shared" ref="AM61:AM68" si="131">AM60+1</f>
        <v>2015</v>
      </c>
      <c r="AN61" s="20"/>
      <c r="AO61" s="20">
        <f t="shared" si="114"/>
        <v>102055.40999999997</v>
      </c>
      <c r="AP61" s="20">
        <f t="shared" si="114"/>
        <v>139469.41000000003</v>
      </c>
      <c r="AQ61" s="20">
        <f t="shared" si="114"/>
        <v>343940.74</v>
      </c>
      <c r="AR61" s="20">
        <f t="shared" si="114"/>
        <v>386430.74</v>
      </c>
      <c r="AT61" s="25">
        <f t="shared" ref="AT61:AT68" si="132">AT60+1</f>
        <v>2015</v>
      </c>
      <c r="AU61" s="20">
        <f t="shared" si="115"/>
        <v>0</v>
      </c>
      <c r="AV61" s="20">
        <f t="shared" si="115"/>
        <v>-257086.33000000002</v>
      </c>
      <c r="AW61" s="20">
        <f t="shared" si="115"/>
        <v>-257086.32999999996</v>
      </c>
      <c r="AX61" s="20">
        <f t="shared" si="115"/>
        <v>0</v>
      </c>
      <c r="AY61" s="20">
        <f t="shared" si="115"/>
        <v>0</v>
      </c>
      <c r="BA61" s="25">
        <f t="shared" ref="BA61:BA68" si="133">BA60+1</f>
        <v>2015</v>
      </c>
      <c r="BB61" s="20">
        <f t="shared" si="116"/>
        <v>0</v>
      </c>
      <c r="BC61" s="20">
        <f t="shared" si="116"/>
        <v>0</v>
      </c>
      <c r="BD61" s="20">
        <f t="shared" si="116"/>
        <v>0</v>
      </c>
      <c r="BE61" s="20">
        <f t="shared" si="116"/>
        <v>0</v>
      </c>
      <c r="BF61" s="20">
        <f t="shared" si="116"/>
        <v>0</v>
      </c>
      <c r="BI61" s="25">
        <f t="shared" ref="BI61:BI68" si="134">BI60+1</f>
        <v>2015</v>
      </c>
      <c r="BJ61" s="20">
        <f t="shared" si="117"/>
        <v>0</v>
      </c>
      <c r="BK61" s="20">
        <f t="shared" si="117"/>
        <v>0</v>
      </c>
      <c r="BL61" s="20">
        <f t="shared" si="117"/>
        <v>0</v>
      </c>
      <c r="BM61" s="20">
        <f t="shared" si="117"/>
        <v>0</v>
      </c>
      <c r="BN61" s="20">
        <f t="shared" si="117"/>
        <v>0</v>
      </c>
      <c r="BQ61" s="25">
        <f t="shared" si="123"/>
        <v>2015</v>
      </c>
      <c r="BR61" s="25"/>
      <c r="BS61" s="18">
        <f t="shared" si="124"/>
        <v>416374.81157525349</v>
      </c>
      <c r="BT61" s="18">
        <f t="shared" si="118"/>
        <v>-262483.70902117324</v>
      </c>
      <c r="CB61" s="25">
        <f t="shared" ref="CB61:CB68" si="135">CB60+1</f>
        <v>2015</v>
      </c>
      <c r="CC61" s="20">
        <f t="shared" ref="CC61:CG61" si="136">CC19+CC33+CC47</f>
        <v>31022.886408934948</v>
      </c>
      <c r="CD61" s="17">
        <v>257086.33000000002</v>
      </c>
      <c r="CE61" s="17">
        <v>257086.32999999996</v>
      </c>
      <c r="CF61" s="20">
        <f t="shared" si="136"/>
        <v>0</v>
      </c>
      <c r="CG61" s="20">
        <f t="shared" si="136"/>
        <v>0</v>
      </c>
      <c r="CI61" s="25">
        <f t="shared" ref="CI61:CI68" si="137">CI60+1</f>
        <v>1723</v>
      </c>
      <c r="CJ61" s="20">
        <f t="shared" ref="CJ61:CN61" si="138">CJ19+CJ33+CJ47</f>
        <v>0</v>
      </c>
      <c r="CK61" s="20">
        <f t="shared" si="138"/>
        <v>0</v>
      </c>
      <c r="CL61" s="20">
        <f t="shared" si="138"/>
        <v>0</v>
      </c>
      <c r="CM61" s="20">
        <f t="shared" si="138"/>
        <v>0</v>
      </c>
      <c r="CN61" s="20">
        <f t="shared" si="138"/>
        <v>0</v>
      </c>
      <c r="CO61" s="205">
        <f t="shared" si="127"/>
        <v>0</v>
      </c>
      <c r="CP61" s="25">
        <f t="shared" ref="CP61:CP68" si="139">CP60+1</f>
        <v>1723</v>
      </c>
      <c r="CQ61" s="20">
        <f t="shared" ref="CQ61:CU61" si="140">CQ19+CQ33+CQ47</f>
        <v>0</v>
      </c>
      <c r="CR61" s="20">
        <f t="shared" si="140"/>
        <v>0</v>
      </c>
      <c r="CS61" s="20">
        <f t="shared" si="140"/>
        <v>0</v>
      </c>
      <c r="CT61" s="20">
        <f t="shared" si="140"/>
        <v>0</v>
      </c>
      <c r="CU61" s="20">
        <f t="shared" si="140"/>
        <v>0</v>
      </c>
      <c r="CX61" s="25">
        <f t="shared" ref="CX61:CX68" si="141">CX60+1</f>
        <v>2015</v>
      </c>
      <c r="CY61" s="20">
        <f t="shared" ref="CY61:DC61" si="142">CY19+CY33+CY47</f>
        <v>0</v>
      </c>
      <c r="CZ61" s="20">
        <f t="shared" si="142"/>
        <v>0</v>
      </c>
      <c r="DA61" s="20">
        <f t="shared" si="142"/>
        <v>0</v>
      </c>
      <c r="DB61" s="20">
        <f t="shared" si="142"/>
        <v>0</v>
      </c>
      <c r="DC61" s="20">
        <f t="shared" si="142"/>
        <v>0</v>
      </c>
    </row>
    <row r="62" spans="1:107">
      <c r="A62" s="6">
        <f t="shared" si="130"/>
        <v>2016</v>
      </c>
      <c r="C62" s="494">
        <f t="shared" si="98"/>
        <v>1367475.5516569815</v>
      </c>
      <c r="D62" s="18"/>
      <c r="E62" s="18"/>
      <c r="I62" s="494">
        <f t="shared" si="99"/>
        <v>465134.95281901711</v>
      </c>
      <c r="J62" s="187"/>
      <c r="K62" s="494">
        <f t="shared" si="100"/>
        <v>118962.36871228278</v>
      </c>
      <c r="L62" s="187"/>
      <c r="M62" s="494">
        <f t="shared" si="101"/>
        <v>0</v>
      </c>
      <c r="N62" s="187"/>
      <c r="O62" s="494">
        <f t="shared" si="102"/>
        <v>1894791.9018857158</v>
      </c>
      <c r="P62" s="187"/>
      <c r="Q62" s="494">
        <f t="shared" si="103"/>
        <v>9137145.2181142848</v>
      </c>
      <c r="R62" s="187"/>
      <c r="S62" s="494">
        <f t="shared" si="104"/>
        <v>2421406.4918857147</v>
      </c>
      <c r="T62" s="187"/>
      <c r="U62" s="494">
        <f t="shared" si="105"/>
        <v>9137145.2181142848</v>
      </c>
      <c r="V62" s="187"/>
      <c r="W62" s="494">
        <f t="shared" si="106"/>
        <v>11497072.072819019</v>
      </c>
      <c r="X62" s="187"/>
      <c r="Y62" s="494">
        <f t="shared" si="107"/>
        <v>11677514.078712281</v>
      </c>
      <c r="Z62" s="187"/>
      <c r="AA62" s="494">
        <f t="shared" si="108"/>
        <v>12032542.844781823</v>
      </c>
      <c r="AB62" s="187"/>
      <c r="AC62" s="494">
        <f t="shared" si="109"/>
        <v>11792267.034352159</v>
      </c>
      <c r="AD62" s="187"/>
      <c r="AE62" s="494">
        <f t="shared" si="110"/>
        <v>16867143.20400019</v>
      </c>
      <c r="AF62" s="187"/>
      <c r="AG62" s="494">
        <f t="shared" si="111"/>
        <v>12674969.338373043</v>
      </c>
      <c r="AH62" s="494"/>
      <c r="AI62" s="494">
        <f t="shared" si="112"/>
        <v>11677514.078712281</v>
      </c>
      <c r="AJ62" s="187"/>
      <c r="AK62" s="494">
        <f t="shared" si="113"/>
        <v>645576.95871228108</v>
      </c>
      <c r="AL62" s="601"/>
      <c r="AM62" s="25">
        <f t="shared" si="131"/>
        <v>2016</v>
      </c>
      <c r="AN62" s="20"/>
      <c r="AO62" s="20">
        <f t="shared" si="114"/>
        <v>11031937.120000001</v>
      </c>
      <c r="AP62" s="20">
        <f t="shared" si="114"/>
        <v>11558551.709999999</v>
      </c>
      <c r="AQ62" s="20">
        <f t="shared" si="114"/>
        <v>9630648.8099999987</v>
      </c>
      <c r="AR62" s="20">
        <f t="shared" si="114"/>
        <v>9949648.8099999987</v>
      </c>
      <c r="AT62" s="25">
        <f t="shared" si="132"/>
        <v>2016</v>
      </c>
      <c r="AU62" s="20">
        <f t="shared" si="115"/>
        <v>0</v>
      </c>
      <c r="AV62" s="20">
        <f t="shared" si="115"/>
        <v>4374693.34</v>
      </c>
      <c r="AW62" s="20">
        <f t="shared" si="115"/>
        <v>4374693.3399999989</v>
      </c>
      <c r="AX62" s="20">
        <f t="shared" si="115"/>
        <v>0</v>
      </c>
      <c r="AY62" s="20">
        <f t="shared" si="115"/>
        <v>11004.920000000004</v>
      </c>
      <c r="BA62" s="25">
        <f t="shared" si="133"/>
        <v>2016</v>
      </c>
      <c r="BB62" s="20">
        <f t="shared" si="116"/>
        <v>0</v>
      </c>
      <c r="BC62" s="20">
        <f t="shared" si="116"/>
        <v>4762451.8781142849</v>
      </c>
      <c r="BD62" s="20">
        <f t="shared" si="116"/>
        <v>4762451.8781142849</v>
      </c>
      <c r="BE62" s="20">
        <f t="shared" si="116"/>
        <v>0</v>
      </c>
      <c r="BF62" s="20">
        <f t="shared" si="116"/>
        <v>0</v>
      </c>
      <c r="BI62" s="25">
        <f t="shared" si="134"/>
        <v>2016</v>
      </c>
      <c r="BJ62" s="20">
        <f t="shared" si="117"/>
        <v>0</v>
      </c>
      <c r="BK62" s="20">
        <f t="shared" si="117"/>
        <v>0</v>
      </c>
      <c r="BL62" s="20">
        <f t="shared" si="117"/>
        <v>0</v>
      </c>
      <c r="BM62" s="20">
        <f t="shared" si="117"/>
        <v>0</v>
      </c>
      <c r="BN62" s="20">
        <f t="shared" si="117"/>
        <v>0</v>
      </c>
      <c r="BQ62" s="25">
        <f t="shared" si="123"/>
        <v>2016</v>
      </c>
      <c r="BR62" s="25"/>
      <c r="BS62" s="18">
        <f t="shared" si="124"/>
        <v>12099925.504821742</v>
      </c>
      <c r="BT62" s="18">
        <f t="shared" si="118"/>
        <v>-422411.42610946111</v>
      </c>
      <c r="CB62" s="25">
        <f t="shared" si="135"/>
        <v>2016</v>
      </c>
      <c r="CC62" s="20">
        <f t="shared" ref="CC62:CG62" si="143">CC20+CC34+CC48</f>
        <v>221639.22626255226</v>
      </c>
      <c r="CD62" s="17">
        <v>860560.86</v>
      </c>
      <c r="CE62" s="17">
        <v>860560.86000000127</v>
      </c>
      <c r="CF62" s="20">
        <f t="shared" si="143"/>
        <v>860560.86</v>
      </c>
      <c r="CG62" s="20">
        <f t="shared" si="143"/>
        <v>860560.86</v>
      </c>
      <c r="CI62" s="25">
        <f t="shared" si="137"/>
        <v>1724</v>
      </c>
      <c r="CJ62" s="20">
        <f t="shared" ref="CJ62:CN62" si="144">CJ20+CJ34+CJ48</f>
        <v>0</v>
      </c>
      <c r="CK62" s="20">
        <f t="shared" si="144"/>
        <v>0</v>
      </c>
      <c r="CL62" s="20">
        <f t="shared" si="144"/>
        <v>0</v>
      </c>
      <c r="CM62" s="20">
        <f t="shared" si="144"/>
        <v>0</v>
      </c>
      <c r="CN62" s="20">
        <f t="shared" si="144"/>
        <v>0</v>
      </c>
      <c r="CO62" s="205">
        <f t="shared" si="127"/>
        <v>0</v>
      </c>
      <c r="CP62" s="25">
        <f t="shared" si="139"/>
        <v>1724</v>
      </c>
      <c r="CQ62" s="20">
        <f t="shared" ref="CQ62:CU62" si="145">CQ20+CQ34+CQ48</f>
        <v>0</v>
      </c>
      <c r="CR62" s="20">
        <f t="shared" si="145"/>
        <v>1120567.1318857144</v>
      </c>
      <c r="CS62" s="20">
        <f t="shared" si="145"/>
        <v>1120567.1318857144</v>
      </c>
      <c r="CT62" s="20">
        <f t="shared" si="145"/>
        <v>1120567.1318857144</v>
      </c>
      <c r="CU62" s="20">
        <f t="shared" si="145"/>
        <v>1120567.1318857144</v>
      </c>
      <c r="CX62" s="25">
        <f t="shared" si="141"/>
        <v>2016</v>
      </c>
      <c r="CY62" s="20">
        <f t="shared" ref="CY62:DC62" si="146">CY20+CY34+CY48</f>
        <v>0</v>
      </c>
      <c r="CZ62" s="20">
        <f t="shared" si="146"/>
        <v>0</v>
      </c>
      <c r="DA62" s="20">
        <f t="shared" si="146"/>
        <v>0</v>
      </c>
      <c r="DB62" s="20">
        <f t="shared" si="146"/>
        <v>0</v>
      </c>
      <c r="DC62" s="20">
        <f t="shared" si="146"/>
        <v>0</v>
      </c>
    </row>
    <row r="63" spans="1:107">
      <c r="A63" s="6">
        <f t="shared" si="130"/>
        <v>2017</v>
      </c>
      <c r="C63" s="494">
        <f t="shared" si="98"/>
        <v>1334213.4806602013</v>
      </c>
      <c r="D63" s="18"/>
      <c r="E63" s="18"/>
      <c r="I63" s="494">
        <f t="shared" si="99"/>
        <v>673514.62901964446</v>
      </c>
      <c r="J63" s="187"/>
      <c r="K63" s="494">
        <f t="shared" si="100"/>
        <v>228288.08881256444</v>
      </c>
      <c r="L63" s="187"/>
      <c r="M63" s="494">
        <f t="shared" si="101"/>
        <v>-301749.95</v>
      </c>
      <c r="N63" s="187"/>
      <c r="O63" s="494">
        <f t="shared" si="102"/>
        <v>592893.30000000028</v>
      </c>
      <c r="P63" s="187"/>
      <c r="Q63" s="494">
        <f t="shared" si="103"/>
        <v>5240494.51</v>
      </c>
      <c r="R63" s="187"/>
      <c r="S63" s="494">
        <f t="shared" si="104"/>
        <v>1472181.27</v>
      </c>
      <c r="T63" s="187"/>
      <c r="U63" s="494">
        <f t="shared" si="105"/>
        <v>6218674.9500000002</v>
      </c>
      <c r="V63" s="187"/>
      <c r="W63" s="494">
        <f t="shared" si="106"/>
        <v>7183332.9290196449</v>
      </c>
      <c r="X63" s="187"/>
      <c r="Y63" s="494">
        <f t="shared" si="107"/>
        <v>7617394.3588125641</v>
      </c>
      <c r="Z63" s="187"/>
      <c r="AA63" s="494">
        <f t="shared" si="108"/>
        <v>6954915.9864258561</v>
      </c>
      <c r="AB63" s="187"/>
      <c r="AC63" s="494">
        <f t="shared" si="109"/>
        <v>7672668.9886105359</v>
      </c>
      <c r="AD63" s="187"/>
      <c r="AE63" s="494">
        <f t="shared" si="110"/>
        <v>11797674.573815823</v>
      </c>
      <c r="AF63" s="187"/>
      <c r="AG63" s="494">
        <f t="shared" si="111"/>
        <v>9277650.3649648912</v>
      </c>
      <c r="AH63" s="494"/>
      <c r="AI63" s="494">
        <f t="shared" si="112"/>
        <v>7617394.3588125641</v>
      </c>
      <c r="AJ63" s="187"/>
      <c r="AK63" s="494">
        <f t="shared" si="113"/>
        <v>1784006.548812564</v>
      </c>
      <c r="AL63" s="601"/>
      <c r="AM63" s="25">
        <f t="shared" si="131"/>
        <v>2017</v>
      </c>
      <c r="AN63" s="20"/>
      <c r="AO63" s="20">
        <f t="shared" si="114"/>
        <v>5833387.8100000005</v>
      </c>
      <c r="AP63" s="20">
        <f t="shared" si="114"/>
        <v>7690856.2200000007</v>
      </c>
      <c r="AQ63" s="20">
        <f t="shared" si="114"/>
        <v>5702456.75</v>
      </c>
      <c r="AR63" s="20">
        <f t="shared" si="114"/>
        <v>6059315.1699999999</v>
      </c>
      <c r="AT63" s="25">
        <f t="shared" si="132"/>
        <v>2017</v>
      </c>
      <c r="AU63" s="20">
        <f t="shared" si="115"/>
        <v>0</v>
      </c>
      <c r="AV63" s="20">
        <f t="shared" si="115"/>
        <v>5240494.51</v>
      </c>
      <c r="AW63" s="20">
        <f t="shared" si="115"/>
        <v>6218674.9500000002</v>
      </c>
      <c r="AX63" s="20">
        <f t="shared" si="115"/>
        <v>0</v>
      </c>
      <c r="AY63" s="20">
        <f t="shared" si="115"/>
        <v>12309.309999999998</v>
      </c>
      <c r="BA63" s="25">
        <f t="shared" si="133"/>
        <v>2017</v>
      </c>
      <c r="BB63" s="20">
        <f t="shared" si="116"/>
        <v>0</v>
      </c>
      <c r="BC63" s="20">
        <f t="shared" si="116"/>
        <v>0</v>
      </c>
      <c r="BD63" s="20">
        <f t="shared" si="116"/>
        <v>0</v>
      </c>
      <c r="BE63" s="20">
        <f t="shared" si="116"/>
        <v>0</v>
      </c>
      <c r="BF63" s="20">
        <f t="shared" si="116"/>
        <v>0</v>
      </c>
      <c r="BI63" s="25">
        <f t="shared" si="134"/>
        <v>2017</v>
      </c>
      <c r="BJ63" s="20">
        <f t="shared" si="117"/>
        <v>0</v>
      </c>
      <c r="BK63" s="20">
        <f t="shared" si="117"/>
        <v>0</v>
      </c>
      <c r="BL63" s="20">
        <f t="shared" si="117"/>
        <v>0</v>
      </c>
      <c r="BM63" s="20">
        <f t="shared" si="117"/>
        <v>0</v>
      </c>
      <c r="BN63" s="20">
        <f t="shared" si="117"/>
        <v>0</v>
      </c>
      <c r="BQ63" s="25">
        <f t="shared" si="123"/>
        <v>2017</v>
      </c>
      <c r="BR63" s="25"/>
      <c r="BS63" s="18">
        <f t="shared" si="124"/>
        <v>8244429.5094816536</v>
      </c>
      <c r="BT63" s="18">
        <f t="shared" si="118"/>
        <v>-627035.15066908952</v>
      </c>
      <c r="CB63" s="25">
        <f t="shared" si="135"/>
        <v>2017</v>
      </c>
      <c r="CC63" s="20">
        <f t="shared" ref="CC63:CG63" si="147">CC21+CC35+CC49</f>
        <v>463271.23318088276</v>
      </c>
      <c r="CD63" s="17">
        <v>828473.89</v>
      </c>
      <c r="CE63" s="17">
        <v>828473.88999999966</v>
      </c>
      <c r="CF63" s="20">
        <f t="shared" si="147"/>
        <v>828473.89</v>
      </c>
      <c r="CG63" s="20">
        <f t="shared" si="147"/>
        <v>828473.89</v>
      </c>
      <c r="CI63" s="25">
        <f t="shared" si="137"/>
        <v>1725</v>
      </c>
      <c r="CJ63" s="20">
        <f t="shared" ref="CJ63:CN63" si="148">CJ21+CJ35+CJ49</f>
        <v>0</v>
      </c>
      <c r="CK63" s="20">
        <f t="shared" si="148"/>
        <v>710701.78112499998</v>
      </c>
      <c r="CL63" s="20">
        <f t="shared" si="148"/>
        <v>771951.78112499998</v>
      </c>
      <c r="CM63" s="20">
        <f t="shared" si="148"/>
        <v>710703</v>
      </c>
      <c r="CN63" s="20">
        <f t="shared" si="148"/>
        <v>710703</v>
      </c>
      <c r="CO63" s="205">
        <f t="shared" si="127"/>
        <v>61248.78112499998</v>
      </c>
      <c r="CP63" s="25">
        <f t="shared" si="139"/>
        <v>1725</v>
      </c>
      <c r="CQ63" s="20">
        <f t="shared" ref="CQ63:CU63" si="149">CQ21+CQ35+CQ49</f>
        <v>0</v>
      </c>
      <c r="CR63" s="20">
        <f t="shared" si="149"/>
        <v>0</v>
      </c>
      <c r="CS63" s="20">
        <f t="shared" si="149"/>
        <v>0</v>
      </c>
      <c r="CT63" s="20">
        <f t="shared" si="149"/>
        <v>0</v>
      </c>
      <c r="CU63" s="20">
        <f t="shared" si="149"/>
        <v>0</v>
      </c>
      <c r="CX63" s="25">
        <f t="shared" si="141"/>
        <v>2017</v>
      </c>
      <c r="CY63" s="20">
        <f t="shared" ref="CY63:DC63" si="150">CY21+CY35+CY49</f>
        <v>0</v>
      </c>
      <c r="CZ63" s="20">
        <f t="shared" si="150"/>
        <v>0</v>
      </c>
      <c r="DA63" s="20">
        <f t="shared" si="150"/>
        <v>0</v>
      </c>
      <c r="DB63" s="20">
        <f t="shared" si="150"/>
        <v>0</v>
      </c>
      <c r="DC63" s="20">
        <f t="shared" si="150"/>
        <v>0</v>
      </c>
    </row>
    <row r="64" spans="1:107">
      <c r="A64" s="6">
        <f t="shared" si="130"/>
        <v>2018</v>
      </c>
      <c r="C64" s="494">
        <f t="shared" si="98"/>
        <v>5935784.3102314118</v>
      </c>
      <c r="D64" s="18"/>
      <c r="E64" s="18"/>
      <c r="I64" s="494">
        <f t="shared" si="99"/>
        <v>3980370.7426157622</v>
      </c>
      <c r="J64" s="187"/>
      <c r="K64" s="494">
        <f t="shared" si="100"/>
        <v>1900623.4455807302</v>
      </c>
      <c r="L64" s="187"/>
      <c r="M64" s="494">
        <f t="shared" si="101"/>
        <v>4779456.2636480285</v>
      </c>
      <c r="N64" s="187"/>
      <c r="O64" s="494">
        <f t="shared" si="102"/>
        <v>1330047.8599999994</v>
      </c>
      <c r="P64" s="187"/>
      <c r="Q64" s="494">
        <f t="shared" si="103"/>
        <v>5604350.0200000005</v>
      </c>
      <c r="R64" s="187"/>
      <c r="S64" s="494">
        <f t="shared" si="104"/>
        <v>4907068.82</v>
      </c>
      <c r="T64" s="187"/>
      <c r="U64" s="494">
        <f t="shared" si="105"/>
        <v>6198197.0999999978</v>
      </c>
      <c r="V64" s="187"/>
      <c r="W64" s="494">
        <f t="shared" si="106"/>
        <v>16288071.966263788</v>
      </c>
      <c r="X64" s="187"/>
      <c r="Y64" s="494">
        <f t="shared" si="107"/>
        <v>17785345.62922876</v>
      </c>
      <c r="Z64" s="187"/>
      <c r="AA64" s="494">
        <f t="shared" si="108"/>
        <v>15113483.493346954</v>
      </c>
      <c r="AB64" s="187"/>
      <c r="AC64" s="494">
        <f t="shared" si="109"/>
        <v>18236819.286175329</v>
      </c>
      <c r="AD64" s="187"/>
      <c r="AE64" s="494">
        <f t="shared" si="110"/>
        <v>21632354.015911132</v>
      </c>
      <c r="AF64" s="187"/>
      <c r="AG64" s="494">
        <f t="shared" si="111"/>
        <v>16429166.30841217</v>
      </c>
      <c r="AH64" s="494"/>
      <c r="AI64" s="494">
        <f t="shared" si="112"/>
        <v>17785345.62922876</v>
      </c>
      <c r="AJ64" s="187"/>
      <c r="AK64" s="494">
        <f t="shared" si="113"/>
        <v>10850947.749228759</v>
      </c>
      <c r="AL64" s="601"/>
      <c r="AM64" s="25">
        <f t="shared" si="131"/>
        <v>2018</v>
      </c>
      <c r="AN64" s="20"/>
      <c r="AO64" s="20">
        <f t="shared" si="114"/>
        <v>6934397.8799999999</v>
      </c>
      <c r="AP64" s="20">
        <f t="shared" si="114"/>
        <v>11105265.919999998</v>
      </c>
      <c r="AQ64" s="20">
        <f t="shared" si="114"/>
        <v>5628389.5600000005</v>
      </c>
      <c r="AR64" s="20">
        <f t="shared" si="114"/>
        <v>5763623.7499999991</v>
      </c>
      <c r="AT64" s="25">
        <f t="shared" si="132"/>
        <v>2018</v>
      </c>
      <c r="AU64" s="20">
        <f t="shared" si="115"/>
        <v>0</v>
      </c>
      <c r="AV64" s="20">
        <f t="shared" si="115"/>
        <v>2733841.02</v>
      </c>
      <c r="AW64" s="20">
        <f t="shared" si="115"/>
        <v>3327688.0999999973</v>
      </c>
      <c r="AX64" s="20">
        <f t="shared" si="115"/>
        <v>0</v>
      </c>
      <c r="AY64" s="20">
        <f t="shared" si="115"/>
        <v>14368.73</v>
      </c>
      <c r="BA64" s="25">
        <f t="shared" si="133"/>
        <v>2018</v>
      </c>
      <c r="BB64" s="20">
        <f t="shared" si="116"/>
        <v>0</v>
      </c>
      <c r="BC64" s="20">
        <f t="shared" si="116"/>
        <v>0</v>
      </c>
      <c r="BD64" s="20">
        <f t="shared" si="116"/>
        <v>0</v>
      </c>
      <c r="BE64" s="20">
        <f t="shared" si="116"/>
        <v>0</v>
      </c>
      <c r="BF64" s="20">
        <f t="shared" si="116"/>
        <v>0</v>
      </c>
      <c r="BI64" s="25">
        <f t="shared" si="134"/>
        <v>2018</v>
      </c>
      <c r="BJ64" s="20">
        <f t="shared" si="117"/>
        <v>0</v>
      </c>
      <c r="BK64" s="20">
        <f t="shared" si="117"/>
        <v>2870509</v>
      </c>
      <c r="BL64" s="20">
        <f t="shared" si="117"/>
        <v>2870509</v>
      </c>
      <c r="BM64" s="20">
        <f t="shared" si="117"/>
        <v>0</v>
      </c>
      <c r="BN64" s="20">
        <f t="shared" si="117"/>
        <v>0</v>
      </c>
      <c r="BQ64" s="25">
        <f t="shared" si="123"/>
        <v>2018</v>
      </c>
      <c r="BR64" s="25"/>
      <c r="BS64" s="18">
        <f t="shared" si="124"/>
        <v>12349084.51465952</v>
      </c>
      <c r="BT64" s="18">
        <f t="shared" si="118"/>
        <v>5436261.1145692393</v>
      </c>
      <c r="CB64" s="25">
        <f t="shared" si="135"/>
        <v>2018</v>
      </c>
      <c r="CC64" s="20">
        <f t="shared" ref="CC64:CG64" si="151">CC22+CC36+CC50</f>
        <v>517676.78712741804</v>
      </c>
      <c r="CD64" s="17">
        <v>74952.19</v>
      </c>
      <c r="CE64" s="17">
        <v>74952.190000001341</v>
      </c>
      <c r="CF64" s="20">
        <f t="shared" si="151"/>
        <v>0</v>
      </c>
      <c r="CG64" s="20">
        <f t="shared" si="151"/>
        <v>280000</v>
      </c>
      <c r="CI64" s="25">
        <f t="shared" si="137"/>
        <v>1726</v>
      </c>
      <c r="CJ64" s="20">
        <f t="shared" ref="CJ64:CN64" si="152">CJ22+CJ36+CJ50</f>
        <v>0</v>
      </c>
      <c r="CK64" s="20">
        <f t="shared" si="152"/>
        <v>0</v>
      </c>
      <c r="CL64" s="20">
        <f t="shared" si="152"/>
        <v>0</v>
      </c>
      <c r="CM64" s="20">
        <f t="shared" si="152"/>
        <v>0</v>
      </c>
      <c r="CN64" s="20">
        <f t="shared" si="152"/>
        <v>0</v>
      </c>
      <c r="CO64" s="205">
        <f t="shared" si="127"/>
        <v>0</v>
      </c>
      <c r="CP64" s="25">
        <f t="shared" si="139"/>
        <v>1726</v>
      </c>
      <c r="CQ64" s="20">
        <f t="shared" ref="CQ64:CU64" si="153">CQ22+CQ36+CQ50</f>
        <v>0</v>
      </c>
      <c r="CR64" s="20">
        <f t="shared" si="153"/>
        <v>0</v>
      </c>
      <c r="CS64" s="20">
        <f t="shared" si="153"/>
        <v>0</v>
      </c>
      <c r="CT64" s="20">
        <f t="shared" si="153"/>
        <v>0</v>
      </c>
      <c r="CU64" s="20">
        <f t="shared" si="153"/>
        <v>0</v>
      </c>
      <c r="CX64" s="25">
        <f t="shared" si="141"/>
        <v>2018</v>
      </c>
      <c r="CY64" s="20">
        <f t="shared" ref="CY64:DC64" si="154">CY22+CY36+CY50</f>
        <v>0</v>
      </c>
      <c r="CZ64" s="20">
        <f t="shared" si="154"/>
        <v>0</v>
      </c>
      <c r="DA64" s="20">
        <f t="shared" si="154"/>
        <v>0</v>
      </c>
      <c r="DB64" s="20">
        <f t="shared" si="154"/>
        <v>0</v>
      </c>
      <c r="DC64" s="20">
        <f t="shared" si="154"/>
        <v>0</v>
      </c>
    </row>
    <row r="65" spans="1:107">
      <c r="A65" s="6">
        <f t="shared" si="130"/>
        <v>2019</v>
      </c>
      <c r="C65" s="494">
        <f t="shared" si="98"/>
        <v>3508777.4716063831</v>
      </c>
      <c r="D65" s="18"/>
      <c r="E65" s="18"/>
      <c r="I65" s="494">
        <f t="shared" si="99"/>
        <v>2866940.1567596453</v>
      </c>
      <c r="J65" s="187"/>
      <c r="K65" s="494">
        <f t="shared" si="100"/>
        <v>1858483.9652537911</v>
      </c>
      <c r="L65" s="187"/>
      <c r="M65" s="494">
        <f t="shared" si="101"/>
        <v>5576260.3524782406</v>
      </c>
      <c r="N65" s="187"/>
      <c r="O65" s="494">
        <f t="shared" si="102"/>
        <v>1530096.9700000002</v>
      </c>
      <c r="P65" s="187"/>
      <c r="Q65" s="494">
        <f t="shared" si="103"/>
        <v>3991850.26</v>
      </c>
      <c r="R65" s="187"/>
      <c r="S65" s="494">
        <f t="shared" si="104"/>
        <v>1782103.6099999999</v>
      </c>
      <c r="T65" s="187"/>
      <c r="U65" s="494">
        <f t="shared" si="105"/>
        <v>4575540.1100000003</v>
      </c>
      <c r="V65" s="187"/>
      <c r="W65" s="494">
        <f t="shared" si="106"/>
        <v>14548837.589237887</v>
      </c>
      <c r="X65" s="187"/>
      <c r="Y65" s="494">
        <f t="shared" si="107"/>
        <v>13792388.037732031</v>
      </c>
      <c r="Z65" s="187"/>
      <c r="AA65" s="494">
        <f t="shared" si="108"/>
        <v>18906250.855115164</v>
      </c>
      <c r="AB65" s="187"/>
      <c r="AC65" s="494">
        <f t="shared" si="109"/>
        <v>13981076.957665166</v>
      </c>
      <c r="AD65" s="187"/>
      <c r="AE65" s="494">
        <f t="shared" si="110"/>
        <v>31613924.89879686</v>
      </c>
      <c r="AF65" s="187"/>
      <c r="AG65" s="494">
        <f t="shared" si="111"/>
        <v>13664130.094256597</v>
      </c>
      <c r="AH65" s="494"/>
      <c r="AI65" s="494">
        <f t="shared" si="112"/>
        <v>13792388.037732031</v>
      </c>
      <c r="AJ65" s="187"/>
      <c r="AK65" s="494">
        <f t="shared" si="113"/>
        <v>8270440.8077320326</v>
      </c>
      <c r="AL65" s="601"/>
      <c r="AM65" s="25">
        <f t="shared" si="131"/>
        <v>2019</v>
      </c>
      <c r="AN65" s="20"/>
      <c r="AO65" s="20">
        <f t="shared" si="114"/>
        <v>5521947.2299999995</v>
      </c>
      <c r="AP65" s="20">
        <f t="shared" si="114"/>
        <v>6357643.7199999997</v>
      </c>
      <c r="AQ65" s="20">
        <f t="shared" si="114"/>
        <v>2900073.2099999995</v>
      </c>
      <c r="AR65" s="20">
        <f t="shared" si="114"/>
        <v>3199097.5</v>
      </c>
      <c r="AT65" s="25">
        <f t="shared" si="132"/>
        <v>2019</v>
      </c>
      <c r="AU65" s="20">
        <f t="shared" si="115"/>
        <v>0</v>
      </c>
      <c r="AV65" s="20">
        <f t="shared" si="115"/>
        <v>3991850.26</v>
      </c>
      <c r="AW65" s="20">
        <f t="shared" si="115"/>
        <v>4575540.1100000003</v>
      </c>
      <c r="AX65" s="20">
        <f t="shared" si="115"/>
        <v>0</v>
      </c>
      <c r="AY65" s="20">
        <f t="shared" si="115"/>
        <v>23925.500000000004</v>
      </c>
      <c r="BA65" s="25">
        <f t="shared" si="133"/>
        <v>2019</v>
      </c>
      <c r="BB65" s="20">
        <f t="shared" si="116"/>
        <v>0</v>
      </c>
      <c r="BC65" s="20">
        <f t="shared" si="116"/>
        <v>0</v>
      </c>
      <c r="BD65" s="20">
        <f t="shared" si="116"/>
        <v>0</v>
      </c>
      <c r="BE65" s="20">
        <f t="shared" si="116"/>
        <v>0</v>
      </c>
      <c r="BF65" s="20">
        <f t="shared" si="116"/>
        <v>0</v>
      </c>
      <c r="BI65" s="25">
        <f t="shared" si="134"/>
        <v>2019</v>
      </c>
      <c r="BJ65" s="20">
        <f t="shared" si="117"/>
        <v>0</v>
      </c>
      <c r="BK65" s="20">
        <f t="shared" si="117"/>
        <v>0</v>
      </c>
      <c r="BL65" s="20">
        <f t="shared" si="117"/>
        <v>0</v>
      </c>
      <c r="BM65" s="20">
        <f t="shared" si="117"/>
        <v>0</v>
      </c>
      <c r="BN65" s="20">
        <f t="shared" si="117"/>
        <v>0</v>
      </c>
      <c r="BQ65" s="25">
        <f t="shared" si="123"/>
        <v>2019</v>
      </c>
      <c r="BR65" s="25"/>
      <c r="BS65" s="18">
        <f t="shared" si="124"/>
        <v>14798075.937222172</v>
      </c>
      <c r="BT65" s="18">
        <f t="shared" si="118"/>
        <v>-1005687.8994901404</v>
      </c>
      <c r="CB65" s="25">
        <f t="shared" si="135"/>
        <v>2019</v>
      </c>
      <c r="CC65" s="20">
        <f t="shared" ref="CC65:CG65" si="155">CC23+CC37+CC51</f>
        <v>625460.73503305437</v>
      </c>
      <c r="CD65" s="17">
        <v>683572.79</v>
      </c>
      <c r="CE65" s="17">
        <v>683572.79</v>
      </c>
      <c r="CF65" s="20">
        <f t="shared" si="155"/>
        <v>27688.82</v>
      </c>
      <c r="CG65" s="20">
        <f t="shared" si="155"/>
        <v>592326.81999999995</v>
      </c>
      <c r="CI65" s="25">
        <f t="shared" si="137"/>
        <v>1727</v>
      </c>
      <c r="CJ65" s="20">
        <f t="shared" ref="CJ65:CN65" si="156">CJ23+CJ37+CJ51</f>
        <v>0</v>
      </c>
      <c r="CK65" s="20">
        <f t="shared" si="156"/>
        <v>692047.1230681818</v>
      </c>
      <c r="CL65" s="20">
        <f t="shared" si="156"/>
        <v>692047.1230681818</v>
      </c>
      <c r="CM65" s="20">
        <f t="shared" si="156"/>
        <v>27781</v>
      </c>
      <c r="CN65" s="20">
        <f t="shared" si="156"/>
        <v>592419</v>
      </c>
      <c r="CO65" s="205">
        <f t="shared" si="127"/>
        <v>99628.123068181798</v>
      </c>
      <c r="CP65" s="25">
        <f t="shared" si="139"/>
        <v>1727</v>
      </c>
      <c r="CQ65" s="20">
        <f t="shared" ref="CQ65:CU65" si="157">CQ23+CQ37+CQ51</f>
        <v>0</v>
      </c>
      <c r="CR65" s="20">
        <f t="shared" si="157"/>
        <v>0</v>
      </c>
      <c r="CS65" s="20">
        <f t="shared" si="157"/>
        <v>0</v>
      </c>
      <c r="CT65" s="20">
        <f t="shared" si="157"/>
        <v>0</v>
      </c>
      <c r="CU65" s="20">
        <f t="shared" si="157"/>
        <v>0</v>
      </c>
      <c r="CX65" s="25">
        <f t="shared" si="141"/>
        <v>2019</v>
      </c>
      <c r="CY65" s="20">
        <f t="shared" ref="CY65:DC65" si="158">CY23+CY37+CY51</f>
        <v>0</v>
      </c>
      <c r="CZ65" s="20">
        <f t="shared" si="158"/>
        <v>0</v>
      </c>
      <c r="DA65" s="20">
        <f t="shared" si="158"/>
        <v>0</v>
      </c>
      <c r="DB65" s="20">
        <f t="shared" si="158"/>
        <v>0</v>
      </c>
      <c r="DC65" s="20">
        <f t="shared" si="158"/>
        <v>0</v>
      </c>
    </row>
    <row r="66" spans="1:107">
      <c r="A66" s="6">
        <f t="shared" si="130"/>
        <v>2020</v>
      </c>
      <c r="C66" s="494">
        <f t="shared" si="98"/>
        <v>2743793.6530697029</v>
      </c>
      <c r="D66" s="18"/>
      <c r="E66" s="18"/>
      <c r="I66" s="494">
        <f t="shared" si="99"/>
        <v>2522367.7990150522</v>
      </c>
      <c r="J66" s="187"/>
      <c r="K66" s="494">
        <f t="shared" si="100"/>
        <v>2031203.8634582665</v>
      </c>
      <c r="L66" s="187"/>
      <c r="M66" s="494">
        <f t="shared" si="101"/>
        <v>0</v>
      </c>
      <c r="N66" s="187"/>
      <c r="O66" s="494">
        <f t="shared" si="102"/>
        <v>200506.26</v>
      </c>
      <c r="P66" s="187"/>
      <c r="Q66" s="494">
        <f t="shared" si="103"/>
        <v>0</v>
      </c>
      <c r="R66" s="187"/>
      <c r="S66" s="494">
        <f t="shared" si="104"/>
        <v>474071.19</v>
      </c>
      <c r="T66" s="187"/>
      <c r="U66" s="494">
        <f t="shared" si="105"/>
        <v>0</v>
      </c>
      <c r="V66" s="187"/>
      <c r="W66" s="494">
        <f t="shared" si="106"/>
        <v>2722874.0590150519</v>
      </c>
      <c r="X66" s="187"/>
      <c r="Y66" s="494">
        <f t="shared" si="107"/>
        <v>2505275.0534582664</v>
      </c>
      <c r="Z66" s="187"/>
      <c r="AA66" s="494">
        <f t="shared" si="108"/>
        <v>2258824.2960068099</v>
      </c>
      <c r="AB66" s="187"/>
      <c r="AC66" s="494">
        <f t="shared" si="109"/>
        <v>1747135.6315615724</v>
      </c>
      <c r="AD66" s="187"/>
      <c r="AE66" s="494">
        <f t="shared" si="110"/>
        <v>2258824.2960068099</v>
      </c>
      <c r="AF66" s="187"/>
      <c r="AG66" s="494">
        <f t="shared" si="111"/>
        <v>1747135.6315615724</v>
      </c>
      <c r="AH66" s="494"/>
      <c r="AI66" s="494">
        <f t="shared" si="112"/>
        <v>2470394.3664509309</v>
      </c>
      <c r="AJ66" s="187"/>
      <c r="AK66" s="494">
        <f t="shared" si="113"/>
        <v>2269888.1064509307</v>
      </c>
      <c r="AL66" s="25"/>
      <c r="AM66" s="25">
        <f t="shared" si="131"/>
        <v>2020</v>
      </c>
      <c r="AN66" s="20"/>
      <c r="AO66" s="20">
        <f t="shared" si="114"/>
        <v>200506.26</v>
      </c>
      <c r="AP66" s="20">
        <f t="shared" si="114"/>
        <v>474071.19</v>
      </c>
      <c r="AQ66" s="20">
        <f t="shared" si="114"/>
        <v>129673.56000000001</v>
      </c>
      <c r="AR66" s="20">
        <f t="shared" si="114"/>
        <v>356590.2</v>
      </c>
      <c r="AT66" s="25">
        <f t="shared" si="132"/>
        <v>2020</v>
      </c>
      <c r="AU66" s="20">
        <f t="shared" si="115"/>
        <v>0</v>
      </c>
      <c r="AV66" s="20">
        <f t="shared" si="115"/>
        <v>0</v>
      </c>
      <c r="AW66" s="20">
        <f t="shared" si="115"/>
        <v>0</v>
      </c>
      <c r="AX66" s="20">
        <f t="shared" si="115"/>
        <v>0</v>
      </c>
      <c r="AY66" s="20">
        <f t="shared" si="115"/>
        <v>0</v>
      </c>
      <c r="BA66" s="25">
        <f t="shared" si="133"/>
        <v>2020</v>
      </c>
      <c r="BB66" s="20">
        <f t="shared" si="116"/>
        <v>0</v>
      </c>
      <c r="BC66" s="20">
        <f t="shared" si="116"/>
        <v>0</v>
      </c>
      <c r="BD66" s="20">
        <f t="shared" si="116"/>
        <v>0</v>
      </c>
      <c r="BE66" s="20">
        <f t="shared" si="116"/>
        <v>0</v>
      </c>
      <c r="BF66" s="20">
        <f t="shared" si="116"/>
        <v>0</v>
      </c>
      <c r="BI66" s="25">
        <f t="shared" si="134"/>
        <v>2020</v>
      </c>
      <c r="BJ66" s="20">
        <f t="shared" si="117"/>
        <v>0</v>
      </c>
      <c r="BK66" s="20">
        <f t="shared" si="117"/>
        <v>0</v>
      </c>
      <c r="BL66" s="20">
        <f t="shared" si="117"/>
        <v>0</v>
      </c>
      <c r="BM66" s="20">
        <f t="shared" si="117"/>
        <v>0</v>
      </c>
      <c r="BN66" s="20">
        <f t="shared" si="117"/>
        <v>0</v>
      </c>
      <c r="BQ66" s="25">
        <f t="shared" si="123"/>
        <v>2020</v>
      </c>
      <c r="BR66" s="25"/>
      <c r="BS66" s="18">
        <f t="shared" si="124"/>
        <v>2004096.5170705731</v>
      </c>
      <c r="BT66" s="18">
        <f t="shared" si="118"/>
        <v>466297.84938035789</v>
      </c>
      <c r="CB66" s="25">
        <f t="shared" si="135"/>
        <v>2020</v>
      </c>
      <c r="CC66" s="20">
        <f t="shared" ref="CC66:CG66" si="159">CC24+CC38+CC52</f>
        <v>296720.04556384945</v>
      </c>
      <c r="CD66" s="17">
        <v>0</v>
      </c>
      <c r="CE66" s="17">
        <v>0</v>
      </c>
      <c r="CF66" s="20">
        <f t="shared" si="159"/>
        <v>0</v>
      </c>
      <c r="CG66" s="20">
        <f t="shared" si="159"/>
        <v>0</v>
      </c>
      <c r="CI66" s="25">
        <f t="shared" si="137"/>
        <v>1728</v>
      </c>
      <c r="CJ66" s="20">
        <f t="shared" ref="CJ66:CN66" si="160">CJ24+CJ38+CJ52</f>
        <v>0</v>
      </c>
      <c r="CK66" s="20">
        <f t="shared" si="160"/>
        <v>0</v>
      </c>
      <c r="CL66" s="20">
        <f t="shared" si="160"/>
        <v>0</v>
      </c>
      <c r="CM66" s="20">
        <f t="shared" si="160"/>
        <v>0</v>
      </c>
      <c r="CN66" s="20">
        <f t="shared" si="160"/>
        <v>0</v>
      </c>
      <c r="CO66" s="205">
        <f t="shared" si="127"/>
        <v>0</v>
      </c>
      <c r="CP66" s="25">
        <f t="shared" si="139"/>
        <v>1728</v>
      </c>
      <c r="CQ66" s="20">
        <f t="shared" ref="CQ66:CU66" si="161">CQ24+CQ38+CQ52</f>
        <v>0</v>
      </c>
      <c r="CR66" s="20">
        <f t="shared" si="161"/>
        <v>0</v>
      </c>
      <c r="CS66" s="20">
        <f t="shared" si="161"/>
        <v>0</v>
      </c>
      <c r="CT66" s="20">
        <f t="shared" si="161"/>
        <v>0</v>
      </c>
      <c r="CU66" s="20">
        <f t="shared" si="161"/>
        <v>0</v>
      </c>
      <c r="CX66" s="25">
        <f t="shared" si="141"/>
        <v>2020</v>
      </c>
      <c r="CY66" s="20">
        <f t="shared" ref="CY66:DC66" si="162">CY24+CY38+CY52</f>
        <v>0</v>
      </c>
      <c r="CZ66" s="20">
        <f t="shared" si="162"/>
        <v>0</v>
      </c>
      <c r="DA66" s="20">
        <f t="shared" si="162"/>
        <v>0</v>
      </c>
      <c r="DB66" s="20">
        <f t="shared" si="162"/>
        <v>0</v>
      </c>
      <c r="DC66" s="20">
        <f t="shared" si="162"/>
        <v>0</v>
      </c>
    </row>
    <row r="67" spans="1:107">
      <c r="A67" s="6">
        <f t="shared" si="130"/>
        <v>2021</v>
      </c>
      <c r="C67" s="494">
        <f>C25+C39+C53</f>
        <v>3691081.386956166</v>
      </c>
      <c r="D67" s="18"/>
      <c r="E67" s="18"/>
      <c r="I67" s="494">
        <f t="shared" si="99"/>
        <v>3594474.8415496987</v>
      </c>
      <c r="J67" s="187"/>
      <c r="K67" s="494">
        <f t="shared" si="100"/>
        <v>3321807.1261097244</v>
      </c>
      <c r="L67" s="187"/>
      <c r="M67" s="494">
        <f t="shared" si="101"/>
        <v>0</v>
      </c>
      <c r="N67" s="187"/>
      <c r="O67" s="494">
        <f t="shared" si="102"/>
        <v>2849.11</v>
      </c>
      <c r="P67" s="187"/>
      <c r="Q67" s="494">
        <f t="shared" si="103"/>
        <v>0</v>
      </c>
      <c r="R67" s="187"/>
      <c r="S67" s="494">
        <f t="shared" si="104"/>
        <v>143500</v>
      </c>
      <c r="T67" s="187"/>
      <c r="U67" s="494">
        <f t="shared" si="105"/>
        <v>0</v>
      </c>
      <c r="V67" s="187"/>
      <c r="W67" s="494">
        <f t="shared" si="106"/>
        <v>3597323.9515496986</v>
      </c>
      <c r="X67" s="187"/>
      <c r="Y67" s="494">
        <f t="shared" si="107"/>
        <v>3465307.1261097244</v>
      </c>
      <c r="Z67" s="187"/>
      <c r="AA67" s="494">
        <f t="shared" si="108"/>
        <v>130547.33325482103</v>
      </c>
      <c r="AB67" s="187"/>
      <c r="AC67" s="494">
        <f t="shared" si="109"/>
        <v>1484148.443811669</v>
      </c>
      <c r="AD67" s="187"/>
      <c r="AE67" s="494">
        <f t="shared" si="110"/>
        <v>130547.33325482103</v>
      </c>
      <c r="AF67" s="187"/>
      <c r="AG67" s="494">
        <f t="shared" si="111"/>
        <v>1484148.443811669</v>
      </c>
      <c r="AH67" s="494"/>
      <c r="AI67" s="494">
        <f t="shared" si="112"/>
        <v>3463467.9958129921</v>
      </c>
      <c r="AJ67" s="187"/>
      <c r="AK67" s="494">
        <f t="shared" si="113"/>
        <v>3460618.8858129922</v>
      </c>
      <c r="AL67" s="25"/>
      <c r="AM67" s="25">
        <f t="shared" si="131"/>
        <v>2021</v>
      </c>
      <c r="AN67" s="20"/>
      <c r="AO67" s="20">
        <f t="shared" si="114"/>
        <v>2849.11</v>
      </c>
      <c r="AP67" s="20">
        <f t="shared" si="114"/>
        <v>143500</v>
      </c>
      <c r="AQ67" s="20">
        <f t="shared" si="114"/>
        <v>0</v>
      </c>
      <c r="AR67" s="20">
        <f t="shared" si="114"/>
        <v>0</v>
      </c>
      <c r="AT67" s="25">
        <f t="shared" si="132"/>
        <v>2021</v>
      </c>
      <c r="AU67" s="20">
        <f t="shared" si="115"/>
        <v>0</v>
      </c>
      <c r="AV67" s="20">
        <f t="shared" si="115"/>
        <v>0</v>
      </c>
      <c r="AW67" s="20">
        <f t="shared" si="115"/>
        <v>0</v>
      </c>
      <c r="AX67" s="20">
        <f t="shared" si="115"/>
        <v>0</v>
      </c>
      <c r="AY67" s="20">
        <f t="shared" si="115"/>
        <v>0</v>
      </c>
      <c r="BA67" s="25">
        <f t="shared" si="133"/>
        <v>2021</v>
      </c>
      <c r="BB67" s="20">
        <f t="shared" si="116"/>
        <v>0</v>
      </c>
      <c r="BC67" s="20">
        <f t="shared" si="116"/>
        <v>0</v>
      </c>
      <c r="BD67" s="20">
        <f t="shared" si="116"/>
        <v>0</v>
      </c>
      <c r="BE67" s="20">
        <f t="shared" si="116"/>
        <v>0</v>
      </c>
      <c r="BF67" s="20">
        <f t="shared" si="116"/>
        <v>0</v>
      </c>
      <c r="BI67" s="25">
        <f t="shared" si="134"/>
        <v>2021</v>
      </c>
      <c r="BJ67" s="20">
        <f t="shared" si="117"/>
        <v>0</v>
      </c>
      <c r="BK67" s="20">
        <f t="shared" si="117"/>
        <v>0</v>
      </c>
      <c r="BL67" s="20">
        <f t="shared" si="117"/>
        <v>0</v>
      </c>
      <c r="BM67" s="20">
        <f t="shared" si="117"/>
        <v>0</v>
      </c>
      <c r="BN67" s="20">
        <f t="shared" si="117"/>
        <v>0</v>
      </c>
      <c r="BQ67" s="25">
        <f t="shared" si="123"/>
        <v>2021</v>
      </c>
      <c r="BR67" s="25"/>
      <c r="BS67" s="18">
        <f t="shared" si="124"/>
        <v>1944259.8669323968</v>
      </c>
      <c r="BT67" s="18">
        <f t="shared" si="118"/>
        <v>1519208.1288805953</v>
      </c>
      <c r="CB67" s="25">
        <f t="shared" si="135"/>
        <v>2021</v>
      </c>
      <c r="CC67" s="20">
        <f t="shared" ref="CC67:CG67" si="163">CC25+CC39+CC53</f>
        <v>306776.73266452912</v>
      </c>
      <c r="CD67" s="17">
        <v>0</v>
      </c>
      <c r="CE67" s="17">
        <v>0</v>
      </c>
      <c r="CF67" s="20">
        <f t="shared" si="163"/>
        <v>0</v>
      </c>
      <c r="CG67" s="20">
        <f t="shared" si="163"/>
        <v>0</v>
      </c>
      <c r="CI67" s="25">
        <f t="shared" si="137"/>
        <v>1729</v>
      </c>
      <c r="CJ67" s="20">
        <f t="shared" ref="CJ67:CN67" si="164">CJ25+CJ39+CJ53</f>
        <v>0</v>
      </c>
      <c r="CK67" s="20">
        <f t="shared" si="164"/>
        <v>0</v>
      </c>
      <c r="CL67" s="20">
        <f t="shared" si="164"/>
        <v>0</v>
      </c>
      <c r="CM67" s="20">
        <f t="shared" si="164"/>
        <v>0</v>
      </c>
      <c r="CN67" s="20">
        <f t="shared" si="164"/>
        <v>0</v>
      </c>
      <c r="CO67" s="205">
        <f t="shared" si="127"/>
        <v>0</v>
      </c>
      <c r="CP67" s="25">
        <f t="shared" si="139"/>
        <v>1729</v>
      </c>
      <c r="CQ67" s="20">
        <f t="shared" ref="CQ67:CU67" si="165">CQ25+CQ39+CQ53</f>
        <v>0</v>
      </c>
      <c r="CR67" s="20">
        <f t="shared" si="165"/>
        <v>0</v>
      </c>
      <c r="CS67" s="20">
        <f t="shared" si="165"/>
        <v>0</v>
      </c>
      <c r="CT67" s="20">
        <f t="shared" si="165"/>
        <v>0</v>
      </c>
      <c r="CU67" s="20">
        <f t="shared" si="165"/>
        <v>0</v>
      </c>
      <c r="CX67" s="25">
        <f t="shared" si="141"/>
        <v>2021</v>
      </c>
      <c r="CY67" s="20">
        <f t="shared" ref="CY67:DC67" si="166">CY25+CY39+CY53</f>
        <v>0</v>
      </c>
      <c r="CZ67" s="20">
        <f t="shared" si="166"/>
        <v>0</v>
      </c>
      <c r="DA67" s="20">
        <f t="shared" si="166"/>
        <v>0</v>
      </c>
      <c r="DB67" s="20">
        <f t="shared" si="166"/>
        <v>0</v>
      </c>
      <c r="DC67" s="20">
        <f t="shared" si="166"/>
        <v>0</v>
      </c>
    </row>
    <row r="68" spans="1:107">
      <c r="A68" s="6">
        <f t="shared" si="130"/>
        <v>2022</v>
      </c>
      <c r="C68" s="494">
        <f>C26+C40+C54</f>
        <v>2808833.3207994192</v>
      </c>
      <c r="D68" s="18"/>
      <c r="E68" s="18"/>
      <c r="I68" s="494">
        <f t="shared" si="99"/>
        <v>2795650.8988470207</v>
      </c>
      <c r="J68" s="187"/>
      <c r="K68" s="494">
        <f t="shared" si="100"/>
        <v>2735227.6138102859</v>
      </c>
      <c r="L68" s="187"/>
      <c r="M68" s="494">
        <f t="shared" si="101"/>
        <v>0</v>
      </c>
      <c r="N68" s="187"/>
      <c r="O68" s="494">
        <f t="shared" si="102"/>
        <v>0</v>
      </c>
      <c r="P68" s="187"/>
      <c r="Q68" s="494">
        <f t="shared" si="103"/>
        <v>0</v>
      </c>
      <c r="R68" s="187"/>
      <c r="S68" s="494">
        <f t="shared" si="104"/>
        <v>0</v>
      </c>
      <c r="T68" s="187"/>
      <c r="U68" s="494">
        <f t="shared" si="105"/>
        <v>0</v>
      </c>
      <c r="V68" s="187"/>
      <c r="W68" s="494">
        <f t="shared" si="106"/>
        <v>2795650.8988470207</v>
      </c>
      <c r="X68" s="187"/>
      <c r="Y68" s="494">
        <f t="shared" si="107"/>
        <v>2735227.6138102859</v>
      </c>
      <c r="Z68" s="187"/>
      <c r="AA68" s="494">
        <f t="shared" si="108"/>
        <v>0</v>
      </c>
      <c r="AB68" s="187"/>
      <c r="AC68" s="494">
        <f t="shared" si="109"/>
        <v>0</v>
      </c>
      <c r="AD68" s="187"/>
      <c r="AE68" s="494">
        <f t="shared" si="110"/>
        <v>0</v>
      </c>
      <c r="AF68" s="187"/>
      <c r="AG68" s="494">
        <f t="shared" si="111"/>
        <v>0</v>
      </c>
      <c r="AH68" s="494"/>
      <c r="AI68" s="494">
        <f t="shared" si="112"/>
        <v>1980906.362590614</v>
      </c>
      <c r="AJ68" s="187"/>
      <c r="AK68" s="494">
        <f t="shared" si="113"/>
        <v>1980906.362590614</v>
      </c>
      <c r="AL68" s="25"/>
      <c r="AM68" s="25">
        <f t="shared" si="131"/>
        <v>2022</v>
      </c>
      <c r="AN68" s="20">
        <f>'Exhibit B,3'!AP68*(1-0.22*0.575)</f>
        <v>1788852.3286949997</v>
      </c>
      <c r="AO68" s="20">
        <f t="shared" si="114"/>
        <v>0</v>
      </c>
      <c r="AP68" s="20">
        <f t="shared" si="114"/>
        <v>0</v>
      </c>
      <c r="AQ68" s="20">
        <f t="shared" si="114"/>
        <v>0</v>
      </c>
      <c r="AR68" s="20">
        <f t="shared" si="114"/>
        <v>0</v>
      </c>
      <c r="AT68" s="25">
        <f t="shared" si="132"/>
        <v>2022</v>
      </c>
      <c r="AU68" s="20"/>
      <c r="AV68" s="20"/>
      <c r="AW68" s="20"/>
      <c r="AX68" s="20"/>
      <c r="AY68" s="20"/>
      <c r="BA68" s="25">
        <f t="shared" si="133"/>
        <v>2022</v>
      </c>
      <c r="BB68" s="20"/>
      <c r="BC68" s="20"/>
      <c r="BD68" s="20"/>
      <c r="BE68" s="20"/>
      <c r="BF68" s="20"/>
      <c r="BI68" s="25">
        <f t="shared" si="134"/>
        <v>2022</v>
      </c>
      <c r="BJ68" s="20"/>
      <c r="BK68" s="20"/>
      <c r="BL68" s="20"/>
      <c r="BM68" s="20"/>
      <c r="BN68" s="20"/>
      <c r="BQ68" s="25">
        <f t="shared" si="123"/>
        <v>2022</v>
      </c>
      <c r="BR68" s="25"/>
      <c r="BT68" s="18"/>
      <c r="CB68" s="25">
        <f t="shared" si="135"/>
        <v>2022</v>
      </c>
      <c r="CC68" s="20"/>
      <c r="CD68" s="17">
        <v>0</v>
      </c>
      <c r="CE68" s="17">
        <v>0</v>
      </c>
      <c r="CF68" s="20"/>
      <c r="CG68" s="20"/>
      <c r="CI68" s="25">
        <f t="shared" si="137"/>
        <v>1730</v>
      </c>
      <c r="CJ68" s="20"/>
      <c r="CK68" s="20"/>
      <c r="CL68" s="20"/>
      <c r="CM68" s="20"/>
      <c r="CN68" s="20"/>
      <c r="CO68" s="205">
        <f t="shared" si="127"/>
        <v>0</v>
      </c>
      <c r="CP68" s="25">
        <f t="shared" si="139"/>
        <v>1730</v>
      </c>
      <c r="CQ68" s="20"/>
      <c r="CR68" s="20"/>
      <c r="CS68" s="20"/>
      <c r="CT68" s="20"/>
      <c r="CU68" s="20"/>
      <c r="CX68" s="25">
        <f t="shared" si="141"/>
        <v>2022</v>
      </c>
      <c r="CY68" s="20"/>
      <c r="CZ68" s="20"/>
      <c r="DA68" s="20"/>
      <c r="DB68" s="20"/>
      <c r="DC68" s="20"/>
    </row>
    <row r="69" spans="1:107">
      <c r="A69" s="6"/>
      <c r="C69" s="63"/>
      <c r="I69" s="63"/>
      <c r="K69" s="63"/>
      <c r="M69" s="63"/>
      <c r="O69" s="63"/>
      <c r="Q69" s="63"/>
      <c r="S69" s="63"/>
      <c r="U69" s="63"/>
      <c r="W69" s="63"/>
      <c r="Y69" s="63"/>
      <c r="AA69" s="63"/>
      <c r="AC69" s="63"/>
      <c r="AE69" s="63"/>
      <c r="AG69" s="63"/>
      <c r="AI69" s="63"/>
      <c r="AK69" s="63"/>
      <c r="AL69" s="25"/>
      <c r="AM69" s="25"/>
      <c r="AN69" s="70"/>
      <c r="AO69" s="70"/>
      <c r="AP69" s="70"/>
      <c r="AQ69" s="70"/>
      <c r="AR69" s="70"/>
      <c r="AT69" s="25"/>
      <c r="AU69" s="70"/>
      <c r="AV69" s="70"/>
      <c r="AW69" s="70"/>
      <c r="AX69" s="70"/>
      <c r="AY69" s="70"/>
      <c r="BA69" s="25"/>
      <c r="BB69" s="70"/>
      <c r="BC69" s="70"/>
      <c r="BD69" s="70"/>
      <c r="BE69" s="70"/>
      <c r="BF69" s="70"/>
      <c r="BI69" s="25"/>
      <c r="BJ69" s="70"/>
      <c r="BK69" s="70"/>
      <c r="BL69" s="70"/>
      <c r="BM69" s="70"/>
      <c r="BN69" s="70"/>
      <c r="BQ69" s="70"/>
      <c r="BR69" s="441"/>
      <c r="BS69" s="70"/>
      <c r="BT69" s="70"/>
      <c r="CB69" s="25"/>
      <c r="CC69" s="70"/>
      <c r="CD69" s="70"/>
      <c r="CE69" s="70"/>
      <c r="CF69" s="70"/>
      <c r="CG69" s="70"/>
      <c r="CI69" s="25"/>
      <c r="CJ69" s="70"/>
      <c r="CK69" s="70"/>
      <c r="CL69" s="70"/>
      <c r="CM69" s="70"/>
      <c r="CN69" s="70"/>
      <c r="CP69" s="25"/>
      <c r="CQ69" s="70"/>
      <c r="CR69" s="70"/>
      <c r="CS69" s="70"/>
      <c r="CT69" s="70"/>
      <c r="CU69" s="70"/>
      <c r="CX69" s="25"/>
      <c r="CY69" s="70"/>
      <c r="CZ69" s="70"/>
      <c r="DA69" s="70"/>
      <c r="DB69" s="70"/>
      <c r="DC69" s="70"/>
    </row>
    <row r="70" spans="1:107">
      <c r="A70" s="2" t="s">
        <v>0</v>
      </c>
      <c r="C70" s="147">
        <f>SUM(C59:C69)</f>
        <v>22889695.524729591</v>
      </c>
      <c r="D70" s="26"/>
      <c r="E70" s="26"/>
      <c r="I70" s="147">
        <f>SUM(I59:I69)</f>
        <v>17093577.974659421</v>
      </c>
      <c r="J70" s="147"/>
      <c r="K70" s="147">
        <f>SUM(K59:K69)</f>
        <v>12228330.560973169</v>
      </c>
      <c r="L70" s="147"/>
      <c r="M70" s="147">
        <f>SUM(M59:M69)</f>
        <v>10053966.66612627</v>
      </c>
      <c r="N70" s="147"/>
      <c r="O70" s="147">
        <f>SUM(O59:O69)</f>
        <v>5972520.2218857156</v>
      </c>
      <c r="P70" s="147"/>
      <c r="Q70" s="147">
        <f>SUM(Q59:Q69)</f>
        <v>23716753.678114288</v>
      </c>
      <c r="R70" s="147"/>
      <c r="S70" s="147">
        <f>SUM(S59:S69)</f>
        <v>12698608.121885713</v>
      </c>
      <c r="T70" s="147"/>
      <c r="U70" s="147">
        <f>SUM(U59:U69)</f>
        <v>25872471.048114281</v>
      </c>
      <c r="V70" s="147"/>
      <c r="W70" s="147">
        <f>SUM(W59:W69)</f>
        <v>58992535.91078569</v>
      </c>
      <c r="X70" s="147"/>
      <c r="Y70" s="147" t="e">
        <f>SUM(Y59:Y69)</f>
        <v>#VALUE!</v>
      </c>
      <c r="Z70" s="147"/>
      <c r="AA70" s="147">
        <f>SUM(AA59:AA69)</f>
        <v>71717201.314575255</v>
      </c>
      <c r="AB70" s="147"/>
      <c r="AC70" s="147">
        <f>SUM(AC59:AC69)</f>
        <v>69518451.15053533</v>
      </c>
      <c r="AD70" s="147"/>
      <c r="AE70" s="147">
        <f>SUM(AE59:AE69)</f>
        <v>95886095.548377782</v>
      </c>
      <c r="AF70" s="147"/>
      <c r="AG70" s="147">
        <f>SUM(AG59:AG69)</f>
        <v>66328839.820648454</v>
      </c>
      <c r="AH70" s="147"/>
      <c r="AI70" s="147">
        <f>SUM(AI59:AI69)</f>
        <v>64730190.347393095</v>
      </c>
      <c r="AJ70" s="147"/>
      <c r="AK70" s="147">
        <f>SUM(AK59:AK69)</f>
        <v>33914684.108575687</v>
      </c>
      <c r="AL70" s="97"/>
      <c r="AM70" s="97" t="s">
        <v>0</v>
      </c>
      <c r="AN70" s="68">
        <f>SUM(AN59:AN69)</f>
        <v>1788852.3286949997</v>
      </c>
      <c r="AO70" s="68">
        <f>SUM(AO59:AO69)</f>
        <v>29689273.900000002</v>
      </c>
      <c r="AP70" s="68">
        <f>SUM(AP59:AP69)</f>
        <v>38571079.169999994</v>
      </c>
      <c r="AQ70" s="68">
        <f>SUM(AQ59:AQ69)</f>
        <v>24393925.209999997</v>
      </c>
      <c r="AR70" s="68">
        <f>SUM(AR59:AR69)</f>
        <v>25890427.169999998</v>
      </c>
      <c r="AT70" s="97" t="s">
        <v>0</v>
      </c>
      <c r="AU70" s="68">
        <f>SUM(AU59:AU69)</f>
        <v>0</v>
      </c>
      <c r="AV70" s="68">
        <f>SUM(AV59:AV69)</f>
        <v>16083792.799999999</v>
      </c>
      <c r="AW70" s="68">
        <f>SUM(AW59:AW69)</f>
        <v>18239510.169999998</v>
      </c>
      <c r="AX70" s="68">
        <f>SUM(AX59:AX69)</f>
        <v>0</v>
      </c>
      <c r="AY70" s="68">
        <f>SUM(AY59:AY69)</f>
        <v>61608.460000000006</v>
      </c>
      <c r="BA70" s="97" t="s">
        <v>0</v>
      </c>
      <c r="BB70" s="68">
        <f>SUM(BB59:BB69)</f>
        <v>0</v>
      </c>
      <c r="BC70" s="68">
        <f>SUM(BC59:BC69)</f>
        <v>4762451.8781142849</v>
      </c>
      <c r="BD70" s="68">
        <f>SUM(BD59:BD69)</f>
        <v>4762451.8781142849</v>
      </c>
      <c r="BE70" s="68">
        <f>SUM(BE59:BE69)</f>
        <v>0</v>
      </c>
      <c r="BF70" s="68">
        <f>SUM(BF59:BF69)</f>
        <v>0</v>
      </c>
      <c r="BI70" s="97" t="s">
        <v>0</v>
      </c>
      <c r="BJ70" s="68">
        <f>SUM(BJ59:BJ69)</f>
        <v>0</v>
      </c>
      <c r="BK70" s="68">
        <f>SUM(BK59:BK69)</f>
        <v>2870509</v>
      </c>
      <c r="BL70" s="68">
        <f>SUM(BL59:BL69)</f>
        <v>2870509</v>
      </c>
      <c r="BM70" s="68">
        <f>SUM(BM59:BM69)</f>
        <v>0</v>
      </c>
      <c r="BN70" s="68">
        <f>SUM(BN59:BN69)</f>
        <v>0</v>
      </c>
      <c r="BQ70" s="61"/>
      <c r="BR70" s="61"/>
      <c r="BS70" s="122">
        <f>SUM(BS59:BS69)</f>
        <v>52039423.013864093</v>
      </c>
      <c r="BT70" s="122">
        <f>SUM(BT59:BT69)</f>
        <v>10709860.970938396</v>
      </c>
      <c r="CB70" s="97" t="s">
        <v>0</v>
      </c>
      <c r="CC70" s="68">
        <f>SUM(CC59:CC69)</f>
        <v>2476738.2334667188</v>
      </c>
      <c r="CD70" s="68">
        <f>SUM(CD59:CD69)</f>
        <v>2704646.06</v>
      </c>
      <c r="CE70" s="68">
        <f>SUM(CE59:CE69)</f>
        <v>2704646.0600000024</v>
      </c>
      <c r="CF70" s="68">
        <f>SUM(CF59:CF69)</f>
        <v>1716723.57</v>
      </c>
      <c r="CG70" s="68">
        <f>SUM(CG59:CG69)</f>
        <v>2561361.5699999998</v>
      </c>
      <c r="CI70" s="97" t="s">
        <v>0</v>
      </c>
      <c r="CJ70" s="68">
        <f>SUM(CJ59:CJ69)</f>
        <v>0</v>
      </c>
      <c r="CK70" s="68">
        <f>SUM(CK59:CK69)</f>
        <v>1402748.9041931818</v>
      </c>
      <c r="CL70" s="68">
        <f>SUM(CL59:CL69)</f>
        <v>1463998.9041931818</v>
      </c>
      <c r="CM70" s="68">
        <f>SUM(CM59:CM69)</f>
        <v>738484</v>
      </c>
      <c r="CN70" s="68">
        <f>SUM(CN59:CN69)</f>
        <v>1303122</v>
      </c>
      <c r="CP70" s="97" t="s">
        <v>0</v>
      </c>
      <c r="CQ70" s="68">
        <f>SUM(CQ59:CQ69)</f>
        <v>0</v>
      </c>
      <c r="CR70" s="68">
        <f>SUM(CR59:CR69)</f>
        <v>1120567.1318857144</v>
      </c>
      <c r="CS70" s="68">
        <f>SUM(CS59:CS69)</f>
        <v>1120567.1318857144</v>
      </c>
      <c r="CT70" s="68">
        <f>SUM(CT59:CT69)</f>
        <v>1120567.1318857144</v>
      </c>
      <c r="CU70" s="68">
        <f>SUM(CU59:CU69)</f>
        <v>1120567.1318857144</v>
      </c>
      <c r="CX70" s="97" t="s">
        <v>0</v>
      </c>
      <c r="CY70" s="68">
        <f>SUM(CY59:CY69)</f>
        <v>0</v>
      </c>
      <c r="CZ70" s="68">
        <f>SUM(CZ59:CZ69)</f>
        <v>0</v>
      </c>
      <c r="DA70" s="68">
        <f>SUM(DA59:DA69)</f>
        <v>0</v>
      </c>
      <c r="DB70" s="68">
        <f>SUM(DB59:DB69)</f>
        <v>0</v>
      </c>
      <c r="DC70" s="68">
        <f>SUM(DC59:DC69)</f>
        <v>0</v>
      </c>
    </row>
    <row r="71" spans="1:107">
      <c r="A71" s="6"/>
    </row>
    <row r="72" spans="1:107">
      <c r="A72" s="3"/>
      <c r="C72" s="195"/>
      <c r="D72" s="3"/>
      <c r="AK72" s="19"/>
    </row>
    <row r="73" spans="1:107">
      <c r="A73" s="6"/>
      <c r="AP73" s="26"/>
    </row>
    <row r="74" spans="1:107">
      <c r="A74" s="64" t="s">
        <v>104</v>
      </c>
      <c r="C74" s="3" t="s">
        <v>1519</v>
      </c>
      <c r="D74" s="3"/>
      <c r="E74" s="3"/>
      <c r="AP74" s="95"/>
    </row>
    <row r="75" spans="1:107">
      <c r="A75" s="64" t="s">
        <v>36</v>
      </c>
      <c r="C75" s="3" t="s">
        <v>987</v>
      </c>
      <c r="D75" s="3"/>
      <c r="E75" s="3"/>
    </row>
    <row r="76" spans="1:107">
      <c r="A76" s="64" t="s">
        <v>38</v>
      </c>
      <c r="C76" s="3" t="s">
        <v>988</v>
      </c>
      <c r="D76" s="3"/>
      <c r="E76" s="3"/>
      <c r="AL76" s="61"/>
      <c r="AM76" s="61"/>
    </row>
    <row r="77" spans="1:107">
      <c r="A77" s="64" t="s">
        <v>40</v>
      </c>
      <c r="C77" s="3" t="s">
        <v>597</v>
      </c>
      <c r="D77" s="3"/>
      <c r="E77" s="3"/>
    </row>
    <row r="78" spans="1:107">
      <c r="A78" s="64" t="s">
        <v>42</v>
      </c>
      <c r="C78" s="3" t="s">
        <v>596</v>
      </c>
      <c r="D78" s="3"/>
      <c r="E78" s="3"/>
      <c r="AM78" s="61"/>
    </row>
    <row r="79" spans="1:107">
      <c r="A79" s="64" t="s">
        <v>30</v>
      </c>
      <c r="C79" s="3" t="s">
        <v>989</v>
      </c>
      <c r="D79" s="3"/>
      <c r="E79" s="3"/>
    </row>
    <row r="80" spans="1:107">
      <c r="A80" s="64" t="s">
        <v>598</v>
      </c>
      <c r="C80" s="3" t="s">
        <v>605</v>
      </c>
      <c r="D80" s="3"/>
      <c r="E80" s="3"/>
    </row>
    <row r="81" spans="1:44">
      <c r="A81" s="64" t="s">
        <v>134</v>
      </c>
      <c r="C81" s="3" t="s">
        <v>600</v>
      </c>
      <c r="D81" s="3"/>
      <c r="E81" s="3"/>
    </row>
    <row r="82" spans="1:44">
      <c r="A82" s="64" t="s">
        <v>137</v>
      </c>
      <c r="C82" s="3" t="s">
        <v>601</v>
      </c>
      <c r="D82" s="3"/>
      <c r="E82" s="3"/>
      <c r="AF82" s="61"/>
      <c r="AG82" s="61"/>
      <c r="AH82" s="61"/>
      <c r="AI82" s="61"/>
      <c r="AJ82" s="61"/>
    </row>
    <row r="83" spans="1:44">
      <c r="A83" s="64" t="s">
        <v>345</v>
      </c>
      <c r="C83" s="140" t="s">
        <v>602</v>
      </c>
      <c r="E83" s="3"/>
    </row>
    <row r="84" spans="1:44">
      <c r="A84" s="64" t="s">
        <v>571</v>
      </c>
      <c r="B84" s="64"/>
      <c r="C84" s="140" t="s">
        <v>606</v>
      </c>
      <c r="D84" s="3"/>
      <c r="E84" s="3"/>
      <c r="O84" s="26"/>
      <c r="S84" s="26"/>
    </row>
    <row r="85" spans="1:44">
      <c r="A85" s="64" t="s">
        <v>599</v>
      </c>
      <c r="B85" s="64"/>
      <c r="C85" s="140" t="s">
        <v>603</v>
      </c>
      <c r="D85" s="3"/>
      <c r="AQ85" s="6"/>
      <c r="AR85" s="25" t="s">
        <v>1475</v>
      </c>
    </row>
    <row r="86" spans="1:44">
      <c r="A86" s="64" t="s">
        <v>592</v>
      </c>
      <c r="B86" s="64"/>
      <c r="C86" s="140" t="s">
        <v>604</v>
      </c>
      <c r="D86" s="3"/>
      <c r="E86" s="3"/>
      <c r="AQ86" s="25"/>
      <c r="AR86" s="25" t="s">
        <v>1472</v>
      </c>
    </row>
    <row r="87" spans="1:44">
      <c r="A87" s="64" t="s">
        <v>594</v>
      </c>
      <c r="B87" s="64"/>
      <c r="C87" s="140" t="s">
        <v>1556</v>
      </c>
      <c r="D87" s="3"/>
      <c r="E87" s="3"/>
      <c r="AP87" s="26"/>
      <c r="AQ87" s="25"/>
      <c r="AR87" s="25" t="s">
        <v>1473</v>
      </c>
    </row>
    <row r="88" spans="1:44">
      <c r="B88" s="64"/>
      <c r="C88" s="3" t="s">
        <v>1555</v>
      </c>
      <c r="AQ88" s="25" t="s">
        <v>4</v>
      </c>
      <c r="AR88" s="25" t="s">
        <v>1474</v>
      </c>
    </row>
    <row r="89" spans="1:44">
      <c r="B89" s="64"/>
      <c r="C89" s="52">
        <v>2013</v>
      </c>
      <c r="D89" s="3"/>
      <c r="E89" s="237">
        <v>0</v>
      </c>
      <c r="AM89" s="61"/>
      <c r="AN89" s="25">
        <v>2020</v>
      </c>
      <c r="AO89" s="25" t="s">
        <v>1361</v>
      </c>
      <c r="AP89" s="25" t="s">
        <v>119</v>
      </c>
      <c r="AQ89" s="61"/>
      <c r="AR89" s="61"/>
    </row>
    <row r="90" spans="1:44">
      <c r="B90" s="52"/>
      <c r="C90" s="1">
        <v>2014</v>
      </c>
      <c r="E90" s="22">
        <v>0</v>
      </c>
      <c r="AM90" s="61" t="s">
        <v>562</v>
      </c>
      <c r="AN90" s="172">
        <v>10193469.150023188</v>
      </c>
      <c r="AO90" s="172">
        <f>AI28-M28-U28-AI25</f>
        <v>20143165.653782882</v>
      </c>
      <c r="AP90" s="122">
        <f>AO90-AN90</f>
        <v>9949696.5037596934</v>
      </c>
      <c r="AQ90" s="61">
        <v>2013</v>
      </c>
      <c r="AR90" s="125">
        <f t="shared" ref="AR90:AR96" si="167">Y17-U17-M17</f>
        <v>0</v>
      </c>
    </row>
    <row r="91" spans="1:44">
      <c r="B91" s="52"/>
      <c r="C91" s="1">
        <v>2015</v>
      </c>
      <c r="E91" s="22">
        <v>0</v>
      </c>
      <c r="I91" s="3"/>
      <c r="AM91" s="61" t="s">
        <v>561</v>
      </c>
      <c r="AN91" s="68">
        <v>26633676.987802964</v>
      </c>
      <c r="AO91" s="68">
        <f>AI28-AO90-AI25</f>
        <v>35862331.754240558</v>
      </c>
      <c r="AP91" s="122">
        <f>AO91-AN91</f>
        <v>9228654.7664375938</v>
      </c>
      <c r="AQ91" s="61">
        <f t="shared" ref="AQ91:AQ96" si="168">AQ90+1</f>
        <v>2014</v>
      </c>
      <c r="AR91" s="137">
        <f t="shared" si="167"/>
        <v>1119122.1343335393</v>
      </c>
    </row>
    <row r="92" spans="1:44">
      <c r="C92" s="1">
        <v>2016</v>
      </c>
      <c r="E92" s="22">
        <v>0</v>
      </c>
      <c r="AM92" s="61"/>
      <c r="AN92" s="61"/>
      <c r="AO92" s="61"/>
      <c r="AP92" s="137"/>
      <c r="AQ92" s="61">
        <f t="shared" si="168"/>
        <v>2015</v>
      </c>
      <c r="AR92" s="137">
        <f t="shared" si="167"/>
        <v>346916.43368474691</v>
      </c>
    </row>
    <row r="93" spans="1:44">
      <c r="C93" s="1">
        <v>2017</v>
      </c>
      <c r="D93" s="3"/>
      <c r="E93" s="22">
        <v>0</v>
      </c>
      <c r="AM93" s="61" t="s">
        <v>0</v>
      </c>
      <c r="AN93" s="160">
        <f>AN90+AN91</f>
        <v>36827146.137826152</v>
      </c>
      <c r="AO93" s="160">
        <f>AO90+AO91</f>
        <v>56005497.408023439</v>
      </c>
      <c r="AP93" s="160">
        <f>AP90+AP91</f>
        <v>19178351.270197287</v>
      </c>
      <c r="AQ93" s="61">
        <f t="shared" si="168"/>
        <v>2016</v>
      </c>
      <c r="AR93" s="137">
        <f t="shared" si="167"/>
        <v>2531002.6873832773</v>
      </c>
    </row>
    <row r="94" spans="1:44">
      <c r="B94" s="64"/>
      <c r="C94" s="1">
        <v>2018</v>
      </c>
      <c r="D94" s="3"/>
      <c r="E94" s="22">
        <v>0</v>
      </c>
      <c r="AM94" s="61"/>
      <c r="AN94" s="61"/>
      <c r="AO94" s="61"/>
      <c r="AP94" s="137"/>
      <c r="AQ94" s="61">
        <f t="shared" si="168"/>
        <v>2017</v>
      </c>
      <c r="AR94" s="137">
        <f t="shared" si="167"/>
        <v>1457508.7010152682</v>
      </c>
    </row>
    <row r="95" spans="1:44">
      <c r="C95" s="1">
        <v>2019</v>
      </c>
      <c r="D95" s="140"/>
      <c r="E95" s="22">
        <v>0</v>
      </c>
      <c r="AM95" s="121" t="s">
        <v>1435</v>
      </c>
      <c r="AN95" s="61"/>
      <c r="AO95" s="61"/>
      <c r="AP95" s="137"/>
      <c r="AQ95" s="61">
        <f t="shared" si="168"/>
        <v>2018</v>
      </c>
      <c r="AR95" s="137">
        <f t="shared" si="167"/>
        <v>6761016.3308913643</v>
      </c>
    </row>
    <row r="96" spans="1:44">
      <c r="AQ96" s="61">
        <f t="shared" si="168"/>
        <v>2019</v>
      </c>
      <c r="AR96" s="137">
        <f t="shared" si="167"/>
        <v>3593301.9598414218</v>
      </c>
    </row>
    <row r="97" spans="1:44">
      <c r="B97" s="64"/>
      <c r="C97" s="52" t="s">
        <v>0</v>
      </c>
      <c r="E97" s="22">
        <f>SUM(E90:E95)</f>
        <v>0</v>
      </c>
      <c r="AQ97" s="61"/>
      <c r="AR97" s="70"/>
    </row>
    <row r="98" spans="1:44">
      <c r="A98" s="64" t="s">
        <v>607</v>
      </c>
      <c r="C98" s="140" t="s">
        <v>608</v>
      </c>
      <c r="AQ98" s="432" t="s">
        <v>0</v>
      </c>
      <c r="AR98" s="68">
        <f>SUM(AR88:AR97)</f>
        <v>15808868.24714962</v>
      </c>
    </row>
    <row r="99" spans="1:44">
      <c r="A99" s="64"/>
      <c r="C99" s="3"/>
    </row>
    <row r="100" spans="1:44">
      <c r="A100" s="64"/>
      <c r="C100" s="3"/>
    </row>
    <row r="101" spans="1:44">
      <c r="A101" s="64"/>
      <c r="C101" s="3"/>
    </row>
    <row r="102" spans="1:44">
      <c r="A102" s="64"/>
      <c r="C102" s="3"/>
    </row>
    <row r="103" spans="1:44">
      <c r="A103" s="64"/>
      <c r="C103" s="140"/>
    </row>
    <row r="104" spans="1:44">
      <c r="A104" s="52"/>
      <c r="C104" s="3"/>
    </row>
  </sheetData>
  <printOptions horizontalCentered="1"/>
  <pageMargins left="0.7" right="0.7" top="0.75" bottom="0.75" header="0.3" footer="0.3"/>
  <pageSetup scale="36" orientation="landscape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0">
    <pageSetUpPr fitToPage="1"/>
  </sheetPr>
  <dimension ref="A1:AA118"/>
  <sheetViews>
    <sheetView zoomScale="70" zoomScaleNormal="70" workbookViewId="0"/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1.7109375" style="1" customWidth="1"/>
    <col min="14" max="26" width="12.7109375" style="1" customWidth="1"/>
    <col min="27" max="16384" width="8.7109375" style="1"/>
  </cols>
  <sheetData>
    <row r="1" spans="1:17">
      <c r="M1" s="64" t="s">
        <v>116</v>
      </c>
    </row>
    <row r="2" spans="1:17">
      <c r="M2" s="64" t="s">
        <v>56</v>
      </c>
    </row>
    <row r="4" spans="1:17" ht="16">
      <c r="A4" s="4" t="s">
        <v>1550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17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17">
      <c r="A6" s="5" t="s">
        <v>181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17">
      <c r="A7" s="5" t="s">
        <v>77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17">
      <c r="A8" s="5" t="s">
        <v>385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7">
      <c r="A9" s="5"/>
      <c r="B9" s="5"/>
      <c r="C9" s="5"/>
      <c r="D9" s="5"/>
      <c r="E9" s="5"/>
      <c r="F9" s="5"/>
      <c r="G9" s="5"/>
      <c r="H9" s="5"/>
      <c r="I9" s="5"/>
      <c r="J9" s="5"/>
      <c r="K9" s="5"/>
    </row>
    <row r="11" spans="1:17">
      <c r="C11" s="2" t="s">
        <v>1</v>
      </c>
      <c r="P11" s="24" t="s">
        <v>2</v>
      </c>
      <c r="Q11" s="61"/>
    </row>
    <row r="12" spans="1:17">
      <c r="C12" s="2" t="s">
        <v>67</v>
      </c>
      <c r="E12" s="2" t="s">
        <v>14</v>
      </c>
      <c r="G12" s="2" t="s">
        <v>12</v>
      </c>
      <c r="I12" s="2" t="s">
        <v>139</v>
      </c>
      <c r="M12" s="2" t="s">
        <v>63</v>
      </c>
      <c r="N12" s="25" t="s">
        <v>1386</v>
      </c>
      <c r="P12" s="24" t="s">
        <v>1</v>
      </c>
      <c r="Q12" s="61"/>
    </row>
    <row r="13" spans="1:17">
      <c r="A13" s="2" t="s">
        <v>4</v>
      </c>
      <c r="C13" s="2" t="s">
        <v>55</v>
      </c>
      <c r="E13" s="2" t="s">
        <v>55</v>
      </c>
      <c r="G13" s="2" t="s">
        <v>55</v>
      </c>
      <c r="I13" s="2" t="s">
        <v>112</v>
      </c>
      <c r="K13" s="2" t="s">
        <v>381</v>
      </c>
      <c r="M13" s="2" t="s">
        <v>55</v>
      </c>
      <c r="N13" s="25" t="s">
        <v>109</v>
      </c>
      <c r="P13" s="25" t="s">
        <v>704</v>
      </c>
      <c r="Q13" s="61" t="s">
        <v>18</v>
      </c>
    </row>
    <row r="14" spans="1:17">
      <c r="A14" s="10">
        <v>-1</v>
      </c>
      <c r="C14" s="10">
        <v>-2</v>
      </c>
      <c r="E14" s="10">
        <v>-3</v>
      </c>
      <c r="G14" s="10">
        <v>-4</v>
      </c>
      <c r="I14" s="10">
        <v>-5</v>
      </c>
      <c r="K14" s="10">
        <v>-6</v>
      </c>
      <c r="M14" s="10">
        <v>-7</v>
      </c>
      <c r="P14" s="143">
        <v>-7</v>
      </c>
      <c r="Q14" s="143">
        <v>-7</v>
      </c>
    </row>
    <row r="15" spans="1:17">
      <c r="P15" s="61"/>
      <c r="Q15" s="61"/>
    </row>
    <row r="16" spans="1:17">
      <c r="A16" s="3" t="s">
        <v>474</v>
      </c>
      <c r="P16" s="61"/>
      <c r="Q16" s="61"/>
    </row>
    <row r="17" spans="1:17">
      <c r="A17" s="6">
        <v>2013</v>
      </c>
      <c r="C17" s="147">
        <f>'Exhibit B,2'!U17+'Exhibit B,3'!AI17</f>
        <v>8861.26</v>
      </c>
      <c r="D17" s="147"/>
      <c r="E17" s="147">
        <f>'Exhibit B,2'!M17+'Exhibit B,3'!O17+'Exhibit B,3'!Q17</f>
        <v>8861.26</v>
      </c>
      <c r="F17" s="147"/>
      <c r="G17" s="147">
        <f>'Exhibit B,2'!O17+'Exhibit B,3'!S17+'Exhibit B,3'!U17</f>
        <v>8861.26</v>
      </c>
      <c r="H17" s="147"/>
      <c r="I17" s="147">
        <f>G17-E17</f>
        <v>0</v>
      </c>
      <c r="J17" s="147"/>
      <c r="K17" s="147">
        <f>C17-G17</f>
        <v>0</v>
      </c>
      <c r="L17" s="147"/>
      <c r="M17" s="147">
        <f>C17-E17</f>
        <v>0</v>
      </c>
      <c r="P17" s="353">
        <f>'Exhibit B,2'!AF17+'Exhibit B,3'!BV17</f>
        <v>8866.2892850427543</v>
      </c>
      <c r="Q17" s="68">
        <f>C17-P17</f>
        <v>-5.0292850427540543</v>
      </c>
    </row>
    <row r="18" spans="1:17">
      <c r="A18" s="6">
        <f>A17+1</f>
        <v>2014</v>
      </c>
      <c r="C18" s="494">
        <f>'Exhibit B,2'!U18+'Exhibit B,3'!AI18</f>
        <v>5123882.9004387707</v>
      </c>
      <c r="D18" s="494"/>
      <c r="E18" s="494">
        <f>'Exhibit B,2'!M18+'Exhibit B,3'!O18+'Exhibit B,3'!Q18</f>
        <v>4060952.12</v>
      </c>
      <c r="F18" s="494"/>
      <c r="G18" s="494">
        <f>'Exhibit B,2'!O18+'Exhibit B,3'!S18+'Exhibit B,3'!U18</f>
        <v>5100480.04</v>
      </c>
      <c r="H18" s="494"/>
      <c r="I18" s="494">
        <f t="shared" ref="I18:I25" si="0">G18-E18</f>
        <v>1039527.9199999999</v>
      </c>
      <c r="J18" s="494"/>
      <c r="K18" s="494">
        <f t="shared" ref="K18:K25" si="1">C18-G18</f>
        <v>23402.860438770615</v>
      </c>
      <c r="L18" s="494"/>
      <c r="M18" s="494">
        <f t="shared" ref="M18:M25" si="2">C18-E18</f>
        <v>1062930.7804387705</v>
      </c>
      <c r="P18" s="353">
        <f>'Exhibit B,2'!AF18+'Exhibit B,3'!BV18</f>
        <v>4202611.8353441786</v>
      </c>
      <c r="Q18" s="137">
        <f t="shared" ref="Q18:Q25" si="3">C18-P18</f>
        <v>921271.06509459205</v>
      </c>
    </row>
    <row r="19" spans="1:17">
      <c r="A19" s="6">
        <f t="shared" ref="A19:A26" si="4">A18+1</f>
        <v>2015</v>
      </c>
      <c r="C19" s="494">
        <f>'Exhibit B,2'!U19+'Exhibit B,3'!AI19</f>
        <v>2945384.5354535002</v>
      </c>
      <c r="D19" s="494"/>
      <c r="E19" s="494">
        <f>'Exhibit B,2'!M19+'Exhibit B,3'!O19+'Exhibit B,3'!Q19</f>
        <v>2906895.8099999996</v>
      </c>
      <c r="F19" s="494"/>
      <c r="G19" s="494">
        <f>'Exhibit B,2'!O19+'Exhibit B,3'!S19+'Exhibit B,3'!U19</f>
        <v>2916895.8099999996</v>
      </c>
      <c r="H19" s="494"/>
      <c r="I19" s="494">
        <f t="shared" si="0"/>
        <v>10000</v>
      </c>
      <c r="J19" s="494"/>
      <c r="K19" s="494">
        <f t="shared" si="1"/>
        <v>28488.725453500636</v>
      </c>
      <c r="L19" s="494"/>
      <c r="M19" s="494">
        <f t="shared" si="2"/>
        <v>38488.725453500636</v>
      </c>
      <c r="P19" s="353">
        <f>'Exhibit B,2'!AF19+'Exhibit B,3'!BV19</f>
        <v>2988494.1296427613</v>
      </c>
      <c r="Q19" s="137">
        <f t="shared" si="3"/>
        <v>-43109.594189261086</v>
      </c>
    </row>
    <row r="20" spans="1:17">
      <c r="A20" s="6">
        <f t="shared" si="4"/>
        <v>2016</v>
      </c>
      <c r="C20" s="494">
        <f>'Exhibit B,2'!U20+'Exhibit B,3'!AI20</f>
        <v>15470272.0966924</v>
      </c>
      <c r="D20" s="494"/>
      <c r="E20" s="494">
        <f>'Exhibit B,2'!M20+'Exhibit B,3'!O20+'Exhibit B,3'!Q20</f>
        <v>14755139.939999999</v>
      </c>
      <c r="F20" s="494"/>
      <c r="G20" s="494">
        <f>'Exhibit B,2'!O20+'Exhibit B,3'!S20+'Exhibit B,3'!U20</f>
        <v>15281754.529999999</v>
      </c>
      <c r="H20" s="494"/>
      <c r="I20" s="494">
        <f t="shared" si="0"/>
        <v>526614.58999999985</v>
      </c>
      <c r="J20" s="494"/>
      <c r="K20" s="494">
        <f t="shared" si="1"/>
        <v>188517.56669240072</v>
      </c>
      <c r="L20" s="494"/>
      <c r="M20" s="494">
        <f t="shared" si="2"/>
        <v>715132.15669240057</v>
      </c>
      <c r="P20" s="353">
        <f>'Exhibit B,2'!AF20+'Exhibit B,3'!BV20</f>
        <v>15975848.522633513</v>
      </c>
      <c r="Q20" s="137">
        <f t="shared" si="3"/>
        <v>-505576.42594111338</v>
      </c>
    </row>
    <row r="21" spans="1:17">
      <c r="A21" s="6">
        <f t="shared" si="4"/>
        <v>2017</v>
      </c>
      <c r="C21" s="494">
        <f>'Exhibit B,2'!U21+'Exhibit B,3'!AI21</f>
        <v>10280399.340603191</v>
      </c>
      <c r="D21" s="494"/>
      <c r="E21" s="494">
        <f>'Exhibit B,2'!M21+'Exhibit B,3'!O21+'Exhibit B,3'!Q21</f>
        <v>8108621.9199999999</v>
      </c>
      <c r="F21" s="494"/>
      <c r="G21" s="494">
        <f>'Exhibit B,2'!O21+'Exhibit B,3'!S21+'Exhibit B,3'!U21</f>
        <v>10211326.710000001</v>
      </c>
      <c r="H21" s="494"/>
      <c r="I21" s="494">
        <f t="shared" si="0"/>
        <v>2102704.790000001</v>
      </c>
      <c r="J21" s="494"/>
      <c r="K21" s="494">
        <f t="shared" si="1"/>
        <v>69072.630603190511</v>
      </c>
      <c r="L21" s="494"/>
      <c r="M21" s="494">
        <f t="shared" si="2"/>
        <v>2171777.4206031915</v>
      </c>
      <c r="P21" s="353">
        <f>'Exhibit B,2'!AF21+'Exhibit B,3'!BV21</f>
        <v>11439182.913513234</v>
      </c>
      <c r="Q21" s="137">
        <f t="shared" si="3"/>
        <v>-1158783.5729100425</v>
      </c>
    </row>
    <row r="22" spans="1:17">
      <c r="A22" s="6">
        <f t="shared" si="4"/>
        <v>2018</v>
      </c>
      <c r="C22" s="494">
        <f>'Exhibit B,2'!U22+'Exhibit B,3'!AI22</f>
        <v>18934816.381505962</v>
      </c>
      <c r="D22" s="494"/>
      <c r="E22" s="494">
        <f>'Exhibit B,2'!M22+'Exhibit B,3'!O22+'Exhibit B,3'!Q22</f>
        <v>7064253.04</v>
      </c>
      <c r="F22" s="494"/>
      <c r="G22" s="494">
        <f>'Exhibit B,2'!O22+'Exhibit B,3'!S22+'Exhibit B,3'!U22</f>
        <v>11235121.079999998</v>
      </c>
      <c r="H22" s="494"/>
      <c r="I22" s="494">
        <f t="shared" si="0"/>
        <v>4170868.0399999982</v>
      </c>
      <c r="J22" s="494"/>
      <c r="K22" s="494">
        <f t="shared" si="1"/>
        <v>7699695.3015059642</v>
      </c>
      <c r="L22" s="494"/>
      <c r="M22" s="494">
        <f t="shared" si="2"/>
        <v>11870563.341505963</v>
      </c>
      <c r="N22" s="153">
        <f>C22/('Exhibit D,2'!C22+'Exhibit D,2'!Q22)</f>
        <v>3.4621459735835476</v>
      </c>
      <c r="P22" s="353">
        <f>'Exhibit B,2'!AF22+'Exhibit B,3'!BV22</f>
        <v>14145186.04758691</v>
      </c>
      <c r="Q22" s="137">
        <f t="shared" si="3"/>
        <v>4789630.333919052</v>
      </c>
    </row>
    <row r="23" spans="1:17">
      <c r="A23" s="6">
        <f t="shared" si="4"/>
        <v>2019</v>
      </c>
      <c r="C23" s="494">
        <f>'Exhibit B,2'!U23+'Exhibit B,3'!AI23</f>
        <v>18939445.486330032</v>
      </c>
      <c r="D23" s="494"/>
      <c r="E23" s="494">
        <f>'Exhibit B,2'!M23+'Exhibit B,3'!O23+'Exhibit B,3'!Q23</f>
        <v>7982356.3799999999</v>
      </c>
      <c r="F23" s="494"/>
      <c r="G23" s="494">
        <f>'Exhibit B,2'!O23+'Exhibit B,3'!S23+'Exhibit B,3'!U23</f>
        <v>10312952.370000001</v>
      </c>
      <c r="H23" s="494"/>
      <c r="I23" s="494">
        <f t="shared" si="0"/>
        <v>2330595.9900000012</v>
      </c>
      <c r="J23" s="494"/>
      <c r="K23" s="494">
        <f t="shared" si="1"/>
        <v>8626493.1163300313</v>
      </c>
      <c r="L23" s="494"/>
      <c r="M23" s="494">
        <f t="shared" si="2"/>
        <v>10957089.106330033</v>
      </c>
      <c r="N23" s="153">
        <f>C23/('Exhibit D,2'!C23+'Exhibit D,2'!Q23)</f>
        <v>3.4090337352448077</v>
      </c>
      <c r="P23" s="353">
        <f>'Exhibit B,2'!AF23+'Exhibit B,3'!BV23</f>
        <v>21611063.050179295</v>
      </c>
      <c r="Q23" s="137">
        <f t="shared" si="3"/>
        <v>-2671617.5638492629</v>
      </c>
    </row>
    <row r="24" spans="1:17">
      <c r="A24" s="6">
        <f t="shared" si="4"/>
        <v>2020</v>
      </c>
      <c r="C24" s="494">
        <f>'Exhibit B,2'!U24+'Exhibit B,3'!AI24</f>
        <v>4587880.1563402303</v>
      </c>
      <c r="D24" s="494"/>
      <c r="E24" s="494">
        <f>'Exhibit B,2'!M24+'Exhibit B,3'!O24+'Exhibit B,3'!Q24</f>
        <v>1369686.39</v>
      </c>
      <c r="F24" s="494"/>
      <c r="G24" s="494">
        <f>'Exhibit B,2'!O24+'Exhibit B,3'!S24+'Exhibit B,3'!U24</f>
        <v>1619468.8199999998</v>
      </c>
      <c r="H24" s="494"/>
      <c r="I24" s="494">
        <f t="shared" si="0"/>
        <v>249782.42999999993</v>
      </c>
      <c r="J24" s="494"/>
      <c r="K24" s="494">
        <f t="shared" si="1"/>
        <v>2968411.3363402304</v>
      </c>
      <c r="L24" s="494"/>
      <c r="M24" s="494">
        <f t="shared" si="2"/>
        <v>3218193.7663402306</v>
      </c>
      <c r="N24" s="153">
        <f>C24/('Exhibit D,2'!C24+'Exhibit D,2'!Q24)</f>
        <v>1.5328331519350635</v>
      </c>
      <c r="P24" s="353">
        <f>'Exhibit B,2'!AF24+'Exhibit B,3'!BV24</f>
        <v>3811059.6321408572</v>
      </c>
      <c r="Q24" s="137">
        <f t="shared" si="3"/>
        <v>776820.52419937309</v>
      </c>
    </row>
    <row r="25" spans="1:17">
      <c r="A25" s="6">
        <f t="shared" si="4"/>
        <v>2021</v>
      </c>
      <c r="C25" s="494">
        <f>'Exhibit B,2'!U25+'Exhibit B,3'!AI25</f>
        <v>9839892.156139357</v>
      </c>
      <c r="D25" s="494"/>
      <c r="E25" s="494">
        <f>'Exhibit B,2'!M25+'Exhibit B,3'!O25+'Exhibit B,3'!Q25</f>
        <v>1230705.8400000001</v>
      </c>
      <c r="F25" s="494"/>
      <c r="G25" s="494">
        <f>'Exhibit B,2'!O25+'Exhibit B,3'!S25+'Exhibit B,3'!U25</f>
        <v>3620072.05</v>
      </c>
      <c r="H25" s="494"/>
      <c r="I25" s="494">
        <f t="shared" si="0"/>
        <v>2389366.21</v>
      </c>
      <c r="J25" s="494"/>
      <c r="K25" s="494">
        <f t="shared" si="1"/>
        <v>6219820.1061393572</v>
      </c>
      <c r="L25" s="494"/>
      <c r="M25" s="494">
        <f t="shared" si="2"/>
        <v>8609186.3161393572</v>
      </c>
      <c r="N25" s="153">
        <f>C25/('Exhibit D,2'!C25+'Exhibit D,2'!Q26)</f>
        <v>2.5442705881644332</v>
      </c>
      <c r="P25" s="353">
        <f>'Exhibit B,2'!AF25+'Exhibit B,3'!BV25</f>
        <v>4806332.1185846273</v>
      </c>
      <c r="Q25" s="137">
        <f t="shared" si="3"/>
        <v>5033560.0375547297</v>
      </c>
    </row>
    <row r="26" spans="1:17">
      <c r="A26" s="6">
        <f t="shared" si="4"/>
        <v>2022</v>
      </c>
      <c r="C26" s="494">
        <f>'Exhibit B,2'!U26+'Exhibit B,3'!AI26</f>
        <v>4797572.6580547653</v>
      </c>
      <c r="D26" s="494"/>
      <c r="E26" s="494">
        <f>'Exhibit B,2'!M26+'Exhibit B,3'!O26+'Exhibit B,3'!Q26</f>
        <v>36605.5</v>
      </c>
      <c r="F26" s="494"/>
      <c r="G26" s="494">
        <f>'Exhibit B,2'!O26+'Exhibit B,3'!S26+'Exhibit B,3'!U26</f>
        <v>263352.5</v>
      </c>
      <c r="H26" s="494"/>
      <c r="I26" s="494">
        <f t="shared" ref="I26" si="5">G26-E26</f>
        <v>226747</v>
      </c>
      <c r="J26" s="494"/>
      <c r="K26" s="494">
        <f t="shared" ref="K26" si="6">C26-G26</f>
        <v>4534220.1580547653</v>
      </c>
      <c r="L26" s="494"/>
      <c r="M26" s="494">
        <f t="shared" ref="M26" si="7">C26-E26</f>
        <v>4760967.1580547653</v>
      </c>
      <c r="N26" s="153">
        <f>C26/('Exhibit D,2'!C26+'Exhibit D,2'!Q27)</f>
        <v>1.3389949951496782</v>
      </c>
      <c r="Q26" s="61"/>
    </row>
    <row r="27" spans="1:17">
      <c r="A27" s="6"/>
      <c r="C27" s="63"/>
      <c r="E27" s="63"/>
      <c r="G27" s="63"/>
      <c r="I27" s="63"/>
      <c r="K27" s="63"/>
      <c r="M27" s="63"/>
      <c r="P27" s="70"/>
      <c r="Q27" s="70"/>
    </row>
    <row r="28" spans="1:17">
      <c r="A28" s="2" t="s">
        <v>0</v>
      </c>
      <c r="C28" s="147">
        <f>SUM(C17:C27)</f>
        <v>90928406.971558213</v>
      </c>
      <c r="D28" s="147"/>
      <c r="E28" s="147">
        <f>SUM(E17:E27)</f>
        <v>47524078.200000003</v>
      </c>
      <c r="F28" s="147"/>
      <c r="G28" s="147">
        <f>SUM(G17:G27)</f>
        <v>60570285.169999994</v>
      </c>
      <c r="H28" s="147"/>
      <c r="I28" s="147">
        <f>SUM(I17:I27)</f>
        <v>13046206.969999999</v>
      </c>
      <c r="J28" s="147"/>
      <c r="K28" s="147">
        <f>SUM(K17:K27)</f>
        <v>30358121.801558211</v>
      </c>
      <c r="L28" s="147"/>
      <c r="M28" s="147">
        <f>SUM(M17:M27)</f>
        <v>43404328.77155821</v>
      </c>
      <c r="P28" s="68">
        <f>SUM(P17:P27)</f>
        <v>78988644.538910434</v>
      </c>
      <c r="Q28" s="68">
        <f>SUM(Q17:Q27)</f>
        <v>7142189.7745930245</v>
      </c>
    </row>
    <row r="29" spans="1:17">
      <c r="A29" s="6"/>
      <c r="P29" s="61"/>
      <c r="Q29" s="61"/>
    </row>
    <row r="30" spans="1:17">
      <c r="A30" s="3" t="s">
        <v>475</v>
      </c>
      <c r="P30" s="61"/>
      <c r="Q30" s="61"/>
    </row>
    <row r="31" spans="1:17">
      <c r="A31" s="6">
        <f>A17</f>
        <v>2013</v>
      </c>
      <c r="C31" s="147">
        <f>'Exhibit B,2'!U31+'Exhibit B,3'!W31</f>
        <v>0</v>
      </c>
      <c r="D31" s="147"/>
      <c r="E31" s="147">
        <f>'Exhibit B,2'!M31+'Exhibit B,3'!O31+'Exhibit B,3'!Q31</f>
        <v>0</v>
      </c>
      <c r="F31" s="147"/>
      <c r="G31" s="147">
        <f>'Exhibit B,2'!O31+'Exhibit B,3'!S31+'Exhibit B,3'!U31</f>
        <v>0</v>
      </c>
      <c r="H31" s="147"/>
      <c r="I31" s="147">
        <f>G31-E31</f>
        <v>0</v>
      </c>
      <c r="J31" s="147"/>
      <c r="K31" s="147">
        <f>C31-G31</f>
        <v>0</v>
      </c>
      <c r="L31" s="147"/>
      <c r="M31" s="147">
        <f>C31-E31</f>
        <v>0</v>
      </c>
      <c r="P31" s="353">
        <f>'Exhibit B,2'!AF31+'Exhibit B,3'!BV31</f>
        <v>0</v>
      </c>
      <c r="Q31" s="68">
        <f>C31-P31</f>
        <v>0</v>
      </c>
    </row>
    <row r="32" spans="1:17">
      <c r="A32" s="6">
        <f>A31+1</f>
        <v>2014</v>
      </c>
      <c r="C32" s="494">
        <f>'Exhibit B,2'!U32+'Exhibit B,3'!W32</f>
        <v>420</v>
      </c>
      <c r="D32" s="494"/>
      <c r="E32" s="494">
        <f>'Exhibit B,2'!M32+'Exhibit B,3'!O32+'Exhibit B,3'!Q32</f>
        <v>420</v>
      </c>
      <c r="F32" s="494"/>
      <c r="G32" s="494">
        <f>'Exhibit B,2'!O32+'Exhibit B,3'!S32+'Exhibit B,3'!U32</f>
        <v>420</v>
      </c>
      <c r="H32" s="494"/>
      <c r="I32" s="494">
        <f t="shared" ref="I32:I39" si="8">G32-E32</f>
        <v>0</v>
      </c>
      <c r="J32" s="494"/>
      <c r="K32" s="494">
        <f t="shared" ref="K32:K39" si="9">C32-G32</f>
        <v>0</v>
      </c>
      <c r="L32" s="494"/>
      <c r="M32" s="494">
        <f t="shared" ref="M32:M39" si="10">C32-E32</f>
        <v>0</v>
      </c>
      <c r="P32" s="353">
        <f>'Exhibit B,2'!AF32+'Exhibit B,3'!BV32</f>
        <v>420</v>
      </c>
      <c r="Q32" s="137">
        <f t="shared" ref="Q32:Q39" si="11">C32-P32</f>
        <v>0</v>
      </c>
    </row>
    <row r="33" spans="1:17">
      <c r="A33" s="6">
        <f t="shared" ref="A33:A40" si="12">A32+1</f>
        <v>2015</v>
      </c>
      <c r="C33" s="494">
        <f>'Exhibit B,2'!U33+'Exhibit B,3'!W33</f>
        <v>104375</v>
      </c>
      <c r="D33" s="494"/>
      <c r="E33" s="494">
        <f>'Exhibit B,2'!M33+'Exhibit B,3'!O33+'Exhibit B,3'!Q33</f>
        <v>104375</v>
      </c>
      <c r="F33" s="494"/>
      <c r="G33" s="494">
        <f>'Exhibit B,2'!O33+'Exhibit B,3'!S33+'Exhibit B,3'!U33</f>
        <v>104375</v>
      </c>
      <c r="H33" s="494"/>
      <c r="I33" s="494">
        <f t="shared" si="8"/>
        <v>0</v>
      </c>
      <c r="J33" s="494"/>
      <c r="K33" s="494">
        <f t="shared" si="9"/>
        <v>0</v>
      </c>
      <c r="L33" s="494"/>
      <c r="M33" s="494">
        <f t="shared" si="10"/>
        <v>0</v>
      </c>
      <c r="P33" s="353">
        <f>'Exhibit B,2'!AF33+'Exhibit B,3'!BV33</f>
        <v>104375</v>
      </c>
      <c r="Q33" s="137">
        <f t="shared" si="11"/>
        <v>0</v>
      </c>
    </row>
    <row r="34" spans="1:17">
      <c r="A34" s="6">
        <f t="shared" si="12"/>
        <v>2016</v>
      </c>
      <c r="C34" s="494">
        <f>'Exhibit B,2'!U34+'Exhibit B,3'!W34</f>
        <v>114230.56999999999</v>
      </c>
      <c r="D34" s="494"/>
      <c r="E34" s="494">
        <f>'Exhibit B,2'!M34+'Exhibit B,3'!O34+'Exhibit B,3'!Q37</f>
        <v>114230.56999999999</v>
      </c>
      <c r="F34" s="494"/>
      <c r="G34" s="494">
        <f>'Exhibit B,2'!O34+'Exhibit B,3'!S34+'Exhibit B,3'!U34</f>
        <v>114230.56999999999</v>
      </c>
      <c r="H34" s="494"/>
      <c r="I34" s="494">
        <f t="shared" si="8"/>
        <v>0</v>
      </c>
      <c r="J34" s="494"/>
      <c r="K34" s="494">
        <f t="shared" si="9"/>
        <v>0</v>
      </c>
      <c r="L34" s="494"/>
      <c r="M34" s="494">
        <f t="shared" si="10"/>
        <v>0</v>
      </c>
      <c r="P34" s="353">
        <f>'Exhibit B,2'!AF34+'Exhibit B,3'!BV34</f>
        <v>114230.56999999999</v>
      </c>
      <c r="Q34" s="137">
        <f t="shared" si="11"/>
        <v>0</v>
      </c>
    </row>
    <row r="35" spans="1:17">
      <c r="A35" s="6">
        <f t="shared" si="12"/>
        <v>2017</v>
      </c>
      <c r="C35" s="494">
        <f>'Exhibit B,2'!U35+'Exhibit B,3'!W35</f>
        <v>72455.05</v>
      </c>
      <c r="D35" s="494"/>
      <c r="E35" s="494">
        <f>'Exhibit B,2'!M35+'Exhibit B,3'!O35+'Exhibit B,3'!Q38</f>
        <v>72455.05</v>
      </c>
      <c r="F35" s="494"/>
      <c r="G35" s="494">
        <f>'Exhibit B,2'!O35+'Exhibit B,3'!S35+'Exhibit B,3'!U35</f>
        <v>72455.05</v>
      </c>
      <c r="H35" s="494"/>
      <c r="I35" s="494">
        <f t="shared" si="8"/>
        <v>0</v>
      </c>
      <c r="J35" s="494"/>
      <c r="K35" s="494">
        <f t="shared" si="9"/>
        <v>0</v>
      </c>
      <c r="L35" s="494"/>
      <c r="M35" s="494">
        <f t="shared" si="10"/>
        <v>0</v>
      </c>
      <c r="P35" s="353">
        <f>'Exhibit B,2'!AF35+'Exhibit B,3'!BV35</f>
        <v>72455.05</v>
      </c>
      <c r="Q35" s="137">
        <f t="shared" si="11"/>
        <v>0</v>
      </c>
    </row>
    <row r="36" spans="1:17">
      <c r="A36" s="6">
        <f t="shared" si="12"/>
        <v>2018</v>
      </c>
      <c r="C36" s="494">
        <f>'Exhibit B,2'!U36+'Exhibit B,3'!W36</f>
        <v>0</v>
      </c>
      <c r="D36" s="494"/>
      <c r="E36" s="494">
        <f>'Exhibit B,2'!M36+'Exhibit B,3'!O36+'Exhibit B,3'!Q36</f>
        <v>0</v>
      </c>
      <c r="F36" s="494"/>
      <c r="G36" s="494">
        <f>'Exhibit B,2'!O36+'Exhibit B,3'!S36+'Exhibit B,3'!U36</f>
        <v>0</v>
      </c>
      <c r="H36" s="494"/>
      <c r="I36" s="494">
        <f t="shared" si="8"/>
        <v>0</v>
      </c>
      <c r="J36" s="494"/>
      <c r="K36" s="494">
        <f t="shared" si="9"/>
        <v>0</v>
      </c>
      <c r="L36" s="494"/>
      <c r="M36" s="494">
        <f t="shared" si="10"/>
        <v>0</v>
      </c>
      <c r="P36" s="353">
        <f>'Exhibit B,2'!AF36+'Exhibit B,3'!BV36</f>
        <v>0</v>
      </c>
      <c r="Q36" s="137">
        <f t="shared" si="11"/>
        <v>0</v>
      </c>
    </row>
    <row r="37" spans="1:17">
      <c r="A37" s="6">
        <f t="shared" si="12"/>
        <v>2019</v>
      </c>
      <c r="C37" s="494">
        <f>'Exhibit B,2'!U37+'Exhibit B,3'!W37</f>
        <v>0</v>
      </c>
      <c r="D37" s="494"/>
      <c r="E37" s="494">
        <f>'Exhibit B,2'!M37+'Exhibit B,3'!O37+'Exhibit B,3'!Q37</f>
        <v>0</v>
      </c>
      <c r="F37" s="494"/>
      <c r="G37" s="494">
        <f>'Exhibit B,2'!O37+'Exhibit B,3'!S37+'Exhibit B,3'!U37</f>
        <v>0</v>
      </c>
      <c r="H37" s="494"/>
      <c r="I37" s="494">
        <f t="shared" si="8"/>
        <v>0</v>
      </c>
      <c r="J37" s="494"/>
      <c r="K37" s="494">
        <f t="shared" si="9"/>
        <v>0</v>
      </c>
      <c r="L37" s="494"/>
      <c r="M37" s="494">
        <f t="shared" si="10"/>
        <v>0</v>
      </c>
      <c r="P37" s="353">
        <f>'Exhibit B,2'!AF37+'Exhibit B,3'!BV37</f>
        <v>0</v>
      </c>
      <c r="Q37" s="137">
        <f t="shared" si="11"/>
        <v>0</v>
      </c>
    </row>
    <row r="38" spans="1:17">
      <c r="A38" s="6">
        <f t="shared" si="12"/>
        <v>2020</v>
      </c>
      <c r="C38" s="494">
        <f>'Exhibit B,2'!U38+'Exhibit B,3'!W38</f>
        <v>2002</v>
      </c>
      <c r="D38" s="494"/>
      <c r="E38" s="494">
        <f>'Exhibit B,2'!M38+'Exhibit B,3'!O38+'Exhibit B,3'!Q38</f>
        <v>2002</v>
      </c>
      <c r="F38" s="494"/>
      <c r="G38" s="494">
        <f>'Exhibit B,2'!O38+'Exhibit B,3'!S38+'Exhibit B,3'!U38</f>
        <v>2002</v>
      </c>
      <c r="H38" s="494"/>
      <c r="I38" s="494">
        <f t="shared" si="8"/>
        <v>0</v>
      </c>
      <c r="J38" s="494"/>
      <c r="K38" s="494">
        <f t="shared" si="9"/>
        <v>0</v>
      </c>
      <c r="L38" s="494"/>
      <c r="M38" s="494">
        <f t="shared" si="10"/>
        <v>0</v>
      </c>
      <c r="P38" s="353">
        <f>'Exhibit B,2'!AF38+'Exhibit B,3'!BV38</f>
        <v>2002</v>
      </c>
      <c r="Q38" s="137">
        <f t="shared" si="11"/>
        <v>0</v>
      </c>
    </row>
    <row r="39" spans="1:17">
      <c r="A39" s="6">
        <f t="shared" si="12"/>
        <v>2021</v>
      </c>
      <c r="C39" s="494">
        <f>'Exhibit B,2'!U39+'Exhibit B,3'!W39</f>
        <v>0</v>
      </c>
      <c r="D39" s="494"/>
      <c r="E39" s="494">
        <f>'Exhibit B,2'!M39+'Exhibit B,3'!O39+'Exhibit B,3'!Q39</f>
        <v>0</v>
      </c>
      <c r="F39" s="494"/>
      <c r="G39" s="494">
        <f>'Exhibit B,2'!O39+'Exhibit B,3'!S39+'Exhibit B,3'!U39</f>
        <v>0</v>
      </c>
      <c r="H39" s="494"/>
      <c r="I39" s="494">
        <f t="shared" si="8"/>
        <v>0</v>
      </c>
      <c r="J39" s="494"/>
      <c r="K39" s="494">
        <f t="shared" si="9"/>
        <v>0</v>
      </c>
      <c r="L39" s="494"/>
      <c r="M39" s="494">
        <f t="shared" si="10"/>
        <v>0</v>
      </c>
      <c r="P39" s="353">
        <f>'Exhibit B,2'!AF39+'Exhibit B,3'!BV39</f>
        <v>0</v>
      </c>
      <c r="Q39" s="137">
        <f t="shared" si="11"/>
        <v>0</v>
      </c>
    </row>
    <row r="40" spans="1:17">
      <c r="A40" s="6">
        <f t="shared" si="12"/>
        <v>2022</v>
      </c>
      <c r="C40" s="494">
        <f>'Exhibit B,2'!U40+'Exhibit B,3'!W40</f>
        <v>0</v>
      </c>
      <c r="D40" s="494"/>
      <c r="E40" s="494">
        <f>'Exhibit B,2'!M40+'Exhibit B,3'!O40+'Exhibit B,3'!Q40</f>
        <v>0</v>
      </c>
      <c r="F40" s="494"/>
      <c r="G40" s="494">
        <f>'Exhibit B,2'!O40+'Exhibit B,3'!S40+'Exhibit B,3'!U40</f>
        <v>0</v>
      </c>
      <c r="H40" s="494"/>
      <c r="I40" s="494">
        <f t="shared" ref="I40" si="13">G40-E40</f>
        <v>0</v>
      </c>
      <c r="J40" s="494"/>
      <c r="K40" s="494">
        <f t="shared" ref="K40" si="14">C40-G40</f>
        <v>0</v>
      </c>
      <c r="L40" s="494"/>
      <c r="M40" s="494">
        <f t="shared" ref="M40" si="15">C40-E40</f>
        <v>0</v>
      </c>
      <c r="Q40" s="61"/>
    </row>
    <row r="41" spans="1:17">
      <c r="A41" s="6"/>
      <c r="C41" s="63"/>
      <c r="E41" s="63"/>
      <c r="G41" s="63"/>
      <c r="I41" s="63"/>
      <c r="K41" s="63"/>
      <c r="M41" s="63"/>
      <c r="P41" s="70"/>
      <c r="Q41" s="70"/>
    </row>
    <row r="42" spans="1:17">
      <c r="A42" s="2" t="s">
        <v>0</v>
      </c>
      <c r="C42" s="147">
        <f>SUM(C31:C41)</f>
        <v>293482.62</v>
      </c>
      <c r="D42" s="147"/>
      <c r="E42" s="147">
        <f>SUM(E31:E41)</f>
        <v>293482.62</v>
      </c>
      <c r="F42" s="147"/>
      <c r="G42" s="147">
        <f>SUM(G31:G41)</f>
        <v>293482.62</v>
      </c>
      <c r="H42" s="147"/>
      <c r="I42" s="147">
        <f>SUM(I31:I41)</f>
        <v>0</v>
      </c>
      <c r="J42" s="147"/>
      <c r="K42" s="147">
        <f>SUM(K31:K41)</f>
        <v>0</v>
      </c>
      <c r="L42" s="147"/>
      <c r="M42" s="147">
        <f>SUM(M31:M41)</f>
        <v>0</v>
      </c>
      <c r="P42" s="68">
        <f>SUM(P31:P41)</f>
        <v>293482.62</v>
      </c>
      <c r="Q42" s="68">
        <f>SUM(Q31:Q41)</f>
        <v>0</v>
      </c>
    </row>
    <row r="43" spans="1:17">
      <c r="A43" s="2"/>
      <c r="C43" s="26"/>
      <c r="E43" s="26"/>
      <c r="G43" s="26"/>
      <c r="I43" s="26"/>
      <c r="K43" s="26"/>
    </row>
    <row r="44" spans="1:17">
      <c r="A44" s="3" t="s">
        <v>296</v>
      </c>
    </row>
    <row r="45" spans="1:17">
      <c r="A45" s="6">
        <f>A31</f>
        <v>2013</v>
      </c>
      <c r="C45" s="147">
        <f>'Exhibit B,2'!U45+'Exhibit B,3'!AI45</f>
        <v>1721</v>
      </c>
      <c r="D45" s="147"/>
      <c r="E45" s="147">
        <f>'Exhibit B,2'!M45+'Exhibit B,3'!O45+'Exhibit B,3'!Q45</f>
        <v>1721</v>
      </c>
      <c r="F45" s="147"/>
      <c r="G45" s="147">
        <f>'Exhibit B,2'!O45+'Exhibit B,3'!S45+'Exhibit B,3'!U45</f>
        <v>1721</v>
      </c>
      <c r="H45" s="147"/>
      <c r="I45" s="147">
        <f>G45-E45</f>
        <v>0</v>
      </c>
      <c r="J45" s="147"/>
      <c r="K45" s="147">
        <f>C45-G45</f>
        <v>0</v>
      </c>
      <c r="L45" s="147"/>
      <c r="M45" s="147">
        <f>C45-E45</f>
        <v>0</v>
      </c>
      <c r="P45" s="353">
        <f>'Exhibit B,2'!AF45+'Exhibit B,3'!BV45</f>
        <v>1721</v>
      </c>
      <c r="Q45" s="68">
        <f>C45-P45</f>
        <v>0</v>
      </c>
    </row>
    <row r="46" spans="1:17">
      <c r="A46" s="6">
        <f>A45+1</f>
        <v>2014</v>
      </c>
      <c r="C46" s="494">
        <f>'Exhibit B,2'!U46+'Exhibit B,3'!AI46</f>
        <v>77791.082347904347</v>
      </c>
      <c r="D46" s="494"/>
      <c r="E46" s="494">
        <f>'Exhibit B,2'!M46+'Exhibit B,3'!O46+'Exhibit B,3'!Q46</f>
        <v>77600.820000000007</v>
      </c>
      <c r="F46" s="494"/>
      <c r="G46" s="494">
        <f>'Exhibit B,2'!O46+'Exhibit B,3'!S46+'Exhibit B,3'!U46</f>
        <v>77600.820000000007</v>
      </c>
      <c r="H46" s="494"/>
      <c r="I46" s="494">
        <f t="shared" ref="I46:I52" si="16">G46-E46</f>
        <v>0</v>
      </c>
      <c r="J46" s="494"/>
      <c r="K46" s="494">
        <f t="shared" ref="K46:K52" si="17">C46-G46</f>
        <v>190.26234790433955</v>
      </c>
      <c r="L46" s="494"/>
      <c r="M46" s="494">
        <f t="shared" ref="M46:M52" si="18">C46-E46</f>
        <v>190.26234790433955</v>
      </c>
      <c r="P46" s="353">
        <f>'Exhibit B,2'!AF46+'Exhibit B,3'!BV46</f>
        <v>77600.820000000007</v>
      </c>
      <c r="Q46" s="137">
        <f t="shared" ref="Q46:Q53" si="19">C46-P46</f>
        <v>190.26234790433955</v>
      </c>
    </row>
    <row r="47" spans="1:17">
      <c r="A47" s="6">
        <f t="shared" ref="A47:A52" si="20">A46+1</f>
        <v>2015</v>
      </c>
      <c r="C47" s="494">
        <f>'Exhibit B,2'!U47+'Exhibit B,3'!AI47</f>
        <v>86018.385303131596</v>
      </c>
      <c r="D47" s="494"/>
      <c r="E47" s="494">
        <f>'Exhibit B,2'!M47+'Exhibit B,3'!O47+'Exhibit B,3'!Q47</f>
        <v>58398.3</v>
      </c>
      <c r="F47" s="494"/>
      <c r="G47" s="494">
        <f>'Exhibit B,2'!O47+'Exhibit B,3'!S47+'Exhibit B,3'!U47</f>
        <v>85812.3</v>
      </c>
      <c r="H47" s="494"/>
      <c r="I47" s="494">
        <f t="shared" si="16"/>
        <v>27414</v>
      </c>
      <c r="J47" s="494"/>
      <c r="K47" s="494">
        <f t="shared" si="17"/>
        <v>206.08530313159281</v>
      </c>
      <c r="L47" s="494"/>
      <c r="M47" s="494">
        <f t="shared" si="18"/>
        <v>27620.085303131593</v>
      </c>
      <c r="P47" s="353">
        <f>'Exhibit B,2'!AF47+'Exhibit B,3'!BV47</f>
        <v>85687.3</v>
      </c>
      <c r="Q47" s="137">
        <f t="shared" si="19"/>
        <v>331.08530313159281</v>
      </c>
    </row>
    <row r="48" spans="1:17">
      <c r="A48" s="6">
        <f t="shared" si="20"/>
        <v>2016</v>
      </c>
      <c r="C48" s="494">
        <f>'Exhibit B,2'!U48+'Exhibit B,3'!AI48</f>
        <v>39391.600578631012</v>
      </c>
      <c r="D48" s="494"/>
      <c r="E48" s="494">
        <f>'Exhibit B,2'!M48+'Exhibit B,3'!O48+'Exhibit B,3'!Q48</f>
        <v>37379.280000000006</v>
      </c>
      <c r="F48" s="494"/>
      <c r="G48" s="494">
        <f>'Exhibit B,2'!O48+'Exhibit B,3'!S48+'Exhibit B,3'!U48</f>
        <v>37379.280000000006</v>
      </c>
      <c r="H48" s="494"/>
      <c r="I48" s="494">
        <f t="shared" si="16"/>
        <v>0</v>
      </c>
      <c r="J48" s="494"/>
      <c r="K48" s="494">
        <f t="shared" si="17"/>
        <v>2012.3205786310064</v>
      </c>
      <c r="L48" s="494"/>
      <c r="M48" s="494">
        <f t="shared" si="18"/>
        <v>2012.3205786310064</v>
      </c>
      <c r="P48" s="353">
        <f>'Exhibit B,2'!AF48+'Exhibit B,3'!BV48</f>
        <v>37379.280000000006</v>
      </c>
      <c r="Q48" s="137">
        <f t="shared" si="19"/>
        <v>2012.3205786310064</v>
      </c>
    </row>
    <row r="49" spans="1:27">
      <c r="A49" s="6">
        <f t="shared" si="20"/>
        <v>2017</v>
      </c>
      <c r="C49" s="494">
        <f>'Exhibit B,2'!U49+'Exhibit B,3'!AI49</f>
        <v>277652.4794370638</v>
      </c>
      <c r="D49" s="494"/>
      <c r="E49" s="494">
        <f>'Exhibit B,2'!M49+'Exhibit B,3'!O49+'Exhibit B,3'!Q49</f>
        <v>266267.01</v>
      </c>
      <c r="F49" s="494"/>
      <c r="G49" s="494">
        <f>'Exhibit B,2'!O49+'Exhibit B,3'!S49+'Exhibit B,3'!U49</f>
        <v>273030.63</v>
      </c>
      <c r="H49" s="494"/>
      <c r="I49" s="494">
        <f t="shared" si="16"/>
        <v>6763.6199999999953</v>
      </c>
      <c r="J49" s="494"/>
      <c r="K49" s="494">
        <f t="shared" si="17"/>
        <v>4621.8494370637927</v>
      </c>
      <c r="L49" s="494"/>
      <c r="M49" s="494">
        <f t="shared" si="18"/>
        <v>11385.469437063788</v>
      </c>
      <c r="P49" s="353">
        <f>'Exhibit B,2'!AF49+'Exhibit B,3'!BV49</f>
        <v>272797.88999999996</v>
      </c>
      <c r="Q49" s="137">
        <f t="shared" si="19"/>
        <v>4854.5894370638416</v>
      </c>
    </row>
    <row r="50" spans="1:27">
      <c r="A50" s="6">
        <f t="shared" si="20"/>
        <v>2018</v>
      </c>
      <c r="C50" s="494">
        <f>'Exhibit B,2'!U50+'Exhibit B,3'!AI50</f>
        <v>69816.277616288397</v>
      </c>
      <c r="D50" s="494"/>
      <c r="E50" s="494">
        <f>'Exhibit B,2'!M50+'Exhibit B,3'!O50+'Exhibit B,3'!Q50</f>
        <v>36547.67</v>
      </c>
      <c r="F50" s="494"/>
      <c r="G50" s="494">
        <f>'Exhibit B,2'!O50+'Exhibit B,3'!S50+'Exhibit B,3'!U50</f>
        <v>36547.67</v>
      </c>
      <c r="H50" s="494"/>
      <c r="I50" s="494">
        <f t="shared" si="16"/>
        <v>0</v>
      </c>
      <c r="J50" s="494"/>
      <c r="K50" s="494">
        <f t="shared" si="17"/>
        <v>33268.607616288398</v>
      </c>
      <c r="L50" s="494"/>
      <c r="M50" s="494">
        <f t="shared" si="18"/>
        <v>33268.607616288398</v>
      </c>
      <c r="P50" s="353">
        <f>'Exhibit B,2'!AF50+'Exhibit B,3'!BV50</f>
        <v>161562.19241654457</v>
      </c>
      <c r="Q50" s="137">
        <f t="shared" si="19"/>
        <v>-91745.914800256171</v>
      </c>
    </row>
    <row r="51" spans="1:27">
      <c r="A51" s="6">
        <f t="shared" si="20"/>
        <v>2019</v>
      </c>
      <c r="C51" s="494">
        <f>'Exhibit B,2'!U51+'Exhibit B,3'!AI51</f>
        <v>194351.39728663256</v>
      </c>
      <c r="D51" s="494"/>
      <c r="E51" s="494">
        <f>'Exhibit B,2'!M51+'Exhibit B,3'!O51+'Exhibit B,3'!Q51</f>
        <v>141598.88</v>
      </c>
      <c r="F51" s="494"/>
      <c r="G51" s="494">
        <f>'Exhibit B,2'!O51+'Exhibit B,3'!S51+'Exhibit B,3'!U51</f>
        <v>148181.68000000002</v>
      </c>
      <c r="H51" s="494"/>
      <c r="I51" s="494">
        <f t="shared" si="16"/>
        <v>6582.8000000000175</v>
      </c>
      <c r="J51" s="494"/>
      <c r="K51" s="494">
        <f t="shared" si="17"/>
        <v>46169.717286632542</v>
      </c>
      <c r="L51" s="494"/>
      <c r="M51" s="494">
        <f t="shared" si="18"/>
        <v>52752.517286632559</v>
      </c>
      <c r="P51" s="353">
        <f>'Exhibit B,2'!AF51+'Exhibit B,3'!BV51</f>
        <v>389568.10983568872</v>
      </c>
      <c r="Q51" s="137">
        <f t="shared" si="19"/>
        <v>-195216.71254905616</v>
      </c>
    </row>
    <row r="52" spans="1:27">
      <c r="A52" s="6">
        <f t="shared" si="20"/>
        <v>2020</v>
      </c>
      <c r="C52" s="494">
        <f>'Exhibit B,2'!U52+'Exhibit B,3'!AI52</f>
        <v>372955.4275277222</v>
      </c>
      <c r="D52" s="494"/>
      <c r="E52" s="494">
        <f>'Exhibit B,2'!M52+'Exhibit B,3'!O52+'Exhibit B,3'!Q52</f>
        <v>255595.7</v>
      </c>
      <c r="F52" s="494"/>
      <c r="G52" s="494">
        <f>'Exhibit B,2'!O52+'Exhibit B,3'!S52+'Exhibit B,3'!U52</f>
        <v>316583.2</v>
      </c>
      <c r="H52" s="494"/>
      <c r="I52" s="494">
        <f t="shared" si="16"/>
        <v>60987.5</v>
      </c>
      <c r="J52" s="494"/>
      <c r="K52" s="494">
        <f t="shared" si="17"/>
        <v>56372.227527722192</v>
      </c>
      <c r="L52" s="494"/>
      <c r="M52" s="494">
        <f t="shared" si="18"/>
        <v>117359.72752772219</v>
      </c>
      <c r="P52" s="353">
        <f>'Exhibit B,2'!AF52+'Exhibit B,3'!BV52</f>
        <v>352821.4338661764</v>
      </c>
      <c r="Q52" s="137">
        <f t="shared" si="19"/>
        <v>20133.993661545799</v>
      </c>
    </row>
    <row r="53" spans="1:27">
      <c r="A53" s="6">
        <f>A52+1</f>
        <v>2021</v>
      </c>
      <c r="C53" s="494">
        <f>'Exhibit B,2'!U53+'Exhibit B,3'!AI53</f>
        <v>150371.09884045646</v>
      </c>
      <c r="D53" s="494"/>
      <c r="E53" s="494">
        <f>'Exhibit B,2'!M53+'Exhibit B,3'!O53+'Exhibit B,3'!Q53</f>
        <v>8343</v>
      </c>
      <c r="F53" s="494"/>
      <c r="G53" s="494">
        <f>'Exhibit B,2'!O53+'Exhibit B,3'!S53+'Exhibit B,3'!U53</f>
        <v>10843</v>
      </c>
      <c r="H53" s="494"/>
      <c r="I53" s="494">
        <f>G53-E53</f>
        <v>2500</v>
      </c>
      <c r="J53" s="494"/>
      <c r="K53" s="494">
        <f>C53-G53</f>
        <v>139528.09884045646</v>
      </c>
      <c r="L53" s="494"/>
      <c r="M53" s="494">
        <f>C53-E53</f>
        <v>142028.09884045646</v>
      </c>
      <c r="P53" s="353">
        <f>'Exhibit B,2'!AF53+'Exhibit B,3'!BV53</f>
        <v>71865.042765563689</v>
      </c>
      <c r="Q53" s="137">
        <f t="shared" si="19"/>
        <v>78506.056074892767</v>
      </c>
      <c r="U53" s="25" t="s">
        <v>5</v>
      </c>
      <c r="V53" s="25" t="s">
        <v>395</v>
      </c>
      <c r="W53" s="25" t="s">
        <v>0</v>
      </c>
      <c r="X53" s="25" t="s">
        <v>5</v>
      </c>
      <c r="Y53" s="25" t="s">
        <v>395</v>
      </c>
      <c r="Z53" s="25" t="s">
        <v>0</v>
      </c>
    </row>
    <row r="54" spans="1:27">
      <c r="A54" s="6">
        <f>A53+1</f>
        <v>2022</v>
      </c>
      <c r="C54" s="494">
        <f>'Exhibit B,2'!U54+'Exhibit B,3'!AI54</f>
        <v>143039.24891186203</v>
      </c>
      <c r="D54" s="494"/>
      <c r="E54" s="494">
        <f>'Exhibit B,2'!M54+'Exhibit B,3'!O54+'Exhibit B,3'!Q54</f>
        <v>0</v>
      </c>
      <c r="F54" s="494"/>
      <c r="G54" s="494">
        <f>'Exhibit B,2'!O54+'Exhibit B,3'!S54+'Exhibit B,3'!U54</f>
        <v>0</v>
      </c>
      <c r="H54" s="494"/>
      <c r="I54" s="494">
        <f>G54-E54</f>
        <v>0</v>
      </c>
      <c r="J54" s="494"/>
      <c r="K54" s="494">
        <f>C54-G54</f>
        <v>143039.24891186203</v>
      </c>
      <c r="L54" s="494"/>
      <c r="M54" s="494">
        <f>C54-E54</f>
        <v>143039.24891186203</v>
      </c>
      <c r="Q54" s="61"/>
      <c r="U54" s="25" t="s">
        <v>720</v>
      </c>
      <c r="V54" s="25" t="s">
        <v>720</v>
      </c>
      <c r="W54" s="25" t="s">
        <v>720</v>
      </c>
      <c r="X54" s="25" t="s">
        <v>661</v>
      </c>
      <c r="Y54" s="25" t="s">
        <v>661</v>
      </c>
      <c r="Z54" s="25" t="s">
        <v>661</v>
      </c>
    </row>
    <row r="55" spans="1:27">
      <c r="A55" s="6"/>
      <c r="C55" s="63"/>
      <c r="E55" s="63"/>
      <c r="G55" s="63"/>
      <c r="I55" s="63"/>
      <c r="K55" s="63"/>
      <c r="M55" s="63"/>
      <c r="P55" s="70"/>
      <c r="Q55" s="70"/>
      <c r="U55" s="293">
        <v>-1</v>
      </c>
      <c r="V55" s="293">
        <f>U55-1</f>
        <v>-2</v>
      </c>
      <c r="W55" s="293">
        <f>V55-1</f>
        <v>-3</v>
      </c>
      <c r="X55" s="293">
        <f>W55-1</f>
        <v>-4</v>
      </c>
      <c r="Y55" s="293">
        <f>X55-1</f>
        <v>-5</v>
      </c>
      <c r="Z55" s="293">
        <f>Y55-1</f>
        <v>-6</v>
      </c>
    </row>
    <row r="56" spans="1:27">
      <c r="A56" s="2" t="s">
        <v>0</v>
      </c>
      <c r="C56" s="147">
        <f>SUM(C45:C55)</f>
        <v>1413107.9978496924</v>
      </c>
      <c r="D56" s="147"/>
      <c r="E56" s="147">
        <f>SUM(E45:E55)</f>
        <v>883451.65999999992</v>
      </c>
      <c r="F56" s="147"/>
      <c r="G56" s="147">
        <f>SUM(G45:G55)</f>
        <v>987699.58000000007</v>
      </c>
      <c r="H56" s="147"/>
      <c r="I56" s="147">
        <f>SUM(I45:I55)</f>
        <v>104247.92000000001</v>
      </c>
      <c r="J56" s="147"/>
      <c r="K56" s="147">
        <f>SUM(K45:K55)</f>
        <v>425408.41784969234</v>
      </c>
      <c r="L56" s="147"/>
      <c r="M56" s="147">
        <f>SUM(M45:M55)</f>
        <v>529656.33784969233</v>
      </c>
      <c r="P56" s="68">
        <f>SUM(P45:P55)</f>
        <v>1451003.0688839732</v>
      </c>
      <c r="Q56" s="68">
        <f>SUM(Q45:Q55)</f>
        <v>-180934.31994614296</v>
      </c>
    </row>
    <row r="57" spans="1:27">
      <c r="A57" s="2"/>
      <c r="C57" s="26"/>
      <c r="E57" s="26"/>
      <c r="G57" s="26"/>
      <c r="I57" s="26"/>
      <c r="K57" s="26"/>
      <c r="T57" s="61"/>
      <c r="U57" s="61"/>
      <c r="V57" s="61"/>
      <c r="W57" s="61"/>
      <c r="X57" s="61"/>
      <c r="Y57" s="61"/>
      <c r="Z57" s="61"/>
      <c r="AA57" s="61"/>
    </row>
    <row r="58" spans="1:27">
      <c r="A58" s="3" t="s">
        <v>0</v>
      </c>
      <c r="T58" s="25">
        <f>A59</f>
        <v>2013</v>
      </c>
      <c r="U58" s="137">
        <f>'Exhibit A, 1a'!R19-'Exhibit A, 1a'!T19</f>
        <v>0</v>
      </c>
      <c r="V58" s="61">
        <f>'Exhibit A, 1a'!X19-'Exhibit A, 1a'!Z19</f>
        <v>0</v>
      </c>
      <c r="W58" s="84">
        <f>U58+V58</f>
        <v>0</v>
      </c>
      <c r="X58" s="137">
        <f t="shared" ref="X58:X66" si="21">U58/$W$69*$M$72</f>
        <v>0</v>
      </c>
      <c r="Y58" s="137">
        <f t="shared" ref="Y58:Y66" si="22">V58/$W$69*$M$72</f>
        <v>0</v>
      </c>
      <c r="Z58" s="84">
        <f>X58+Y58</f>
        <v>0</v>
      </c>
      <c r="AA58" s="61"/>
    </row>
    <row r="59" spans="1:27">
      <c r="A59" s="6">
        <f>A45</f>
        <v>2013</v>
      </c>
      <c r="C59" s="147">
        <f t="shared" ref="C59:C66" si="23">C17+C31+C45</f>
        <v>10582.26</v>
      </c>
      <c r="D59" s="147"/>
      <c r="E59" s="147">
        <f t="shared" ref="E59:E66" si="24">E17+E31+E45</f>
        <v>10582.26</v>
      </c>
      <c r="F59" s="147"/>
      <c r="G59" s="147">
        <f t="shared" ref="G59:G66" si="25">G17+G31+G45</f>
        <v>10582.26</v>
      </c>
      <c r="H59" s="147"/>
      <c r="I59" s="147">
        <f t="shared" ref="I59:I66" si="26">I17+I31+I45</f>
        <v>0</v>
      </c>
      <c r="J59" s="147"/>
      <c r="K59" s="147">
        <f t="shared" ref="K59:K66" si="27">K17+K31+K45</f>
        <v>0</v>
      </c>
      <c r="L59" s="147"/>
      <c r="M59" s="147">
        <f t="shared" ref="M59:M66" si="28">M17+M31+M45</f>
        <v>0</v>
      </c>
      <c r="P59" s="353">
        <f>'Exhibit B,2'!AF59+'Exhibit B,3'!BV59</f>
        <v>10587.289285042754</v>
      </c>
      <c r="Q59" s="68">
        <f>C59-P59</f>
        <v>-5.0292850427540543</v>
      </c>
      <c r="T59" s="25">
        <f>T58+1</f>
        <v>2014</v>
      </c>
      <c r="U59" s="137">
        <f>'Exhibit A, 1a'!R20-'Exhibit A, 1a'!T20</f>
        <v>2270.5428141932935</v>
      </c>
      <c r="V59" s="137">
        <f>'Exhibit A, 1a'!X20-'Exhibit A, 1a'!Z20</f>
        <v>1060850.4999724817</v>
      </c>
      <c r="W59" s="84">
        <f t="shared" ref="W59:W66" si="29">U59+V59</f>
        <v>1063121.042786675</v>
      </c>
      <c r="X59" s="137">
        <f t="shared" si="21"/>
        <v>80.412864124923544</v>
      </c>
      <c r="Y59" s="137">
        <f t="shared" si="22"/>
        <v>37570.763509893535</v>
      </c>
      <c r="Z59" s="84">
        <f t="shared" ref="Z59:Z66" si="30">X59+Y59</f>
        <v>37651.176374018462</v>
      </c>
      <c r="AA59" s="61"/>
    </row>
    <row r="60" spans="1:27">
      <c r="A60" s="6">
        <f>A59+1</f>
        <v>2014</v>
      </c>
      <c r="C60" s="494">
        <f t="shared" si="23"/>
        <v>5202093.982786675</v>
      </c>
      <c r="D60" s="494"/>
      <c r="E60" s="494">
        <f t="shared" si="24"/>
        <v>4138972.94</v>
      </c>
      <c r="F60" s="494"/>
      <c r="G60" s="494">
        <f t="shared" si="25"/>
        <v>5178500.8600000003</v>
      </c>
      <c r="H60" s="494"/>
      <c r="I60" s="494">
        <f t="shared" si="26"/>
        <v>1039527.9199999999</v>
      </c>
      <c r="J60" s="494"/>
      <c r="K60" s="494">
        <f t="shared" si="27"/>
        <v>23593.122786674954</v>
      </c>
      <c r="L60" s="494"/>
      <c r="M60" s="494">
        <f t="shared" si="28"/>
        <v>1063121.0427866748</v>
      </c>
      <c r="P60" s="353">
        <f>'Exhibit B,2'!AF60+'Exhibit B,3'!BV60</f>
        <v>4280632.6553441789</v>
      </c>
      <c r="Q60" s="137">
        <f t="shared" ref="Q60:Q67" si="31">C60-P60</f>
        <v>921461.32744249608</v>
      </c>
      <c r="T60" s="25">
        <f t="shared" ref="T60:T65" si="32">T59+1</f>
        <v>2015</v>
      </c>
      <c r="U60" s="137">
        <f>'Exhibit A, 1a'!R21-'Exhibit A, 1a'!T21</f>
        <v>12947.388955562841</v>
      </c>
      <c r="V60" s="137">
        <f>'Exhibit A, 1a'!X21-'Exhibit A, 1a'!Z21</f>
        <v>53161.421801069402</v>
      </c>
      <c r="W60" s="84">
        <f t="shared" si="29"/>
        <v>66108.810756632243</v>
      </c>
      <c r="X60" s="137">
        <f t="shared" si="21"/>
        <v>458.5408486235122</v>
      </c>
      <c r="Y60" s="137">
        <f t="shared" si="22"/>
        <v>1882.7489890323729</v>
      </c>
      <c r="Z60" s="84">
        <f t="shared" si="30"/>
        <v>2341.2898376558851</v>
      </c>
      <c r="AA60" s="61"/>
    </row>
    <row r="61" spans="1:27">
      <c r="A61" s="6">
        <f t="shared" ref="A61:A68" si="33">A60+1</f>
        <v>2015</v>
      </c>
      <c r="C61" s="494">
        <f t="shared" si="23"/>
        <v>3135777.920756632</v>
      </c>
      <c r="D61" s="494"/>
      <c r="E61" s="494">
        <f t="shared" si="24"/>
        <v>3069669.1099999994</v>
      </c>
      <c r="F61" s="494"/>
      <c r="G61" s="494">
        <f t="shared" si="25"/>
        <v>3107083.1099999994</v>
      </c>
      <c r="H61" s="494"/>
      <c r="I61" s="494">
        <f t="shared" si="26"/>
        <v>37414</v>
      </c>
      <c r="J61" s="494"/>
      <c r="K61" s="494">
        <f t="shared" si="27"/>
        <v>28694.810756632229</v>
      </c>
      <c r="L61" s="494"/>
      <c r="M61" s="494">
        <f t="shared" si="28"/>
        <v>66108.810756632229</v>
      </c>
      <c r="P61" s="353">
        <f>'Exhibit B,2'!AF61+'Exhibit B,3'!BV61</f>
        <v>3178556.4296427616</v>
      </c>
      <c r="Q61" s="137">
        <f t="shared" si="31"/>
        <v>-42778.508886129595</v>
      </c>
      <c r="T61" s="25">
        <f t="shared" si="32"/>
        <v>2016</v>
      </c>
      <c r="U61" s="137">
        <f>'Exhibit A, 1a'!R22-'Exhibit A, 1a'!T22</f>
        <v>54158.741185854189</v>
      </c>
      <c r="V61" s="137">
        <f>'Exhibit A, 1a'!X22-'Exhibit A, 1a'!Z22</f>
        <v>662985.73608517647</v>
      </c>
      <c r="W61" s="84">
        <f t="shared" si="29"/>
        <v>717144.47727103066</v>
      </c>
      <c r="X61" s="137">
        <f t="shared" si="21"/>
        <v>1918.0697535986842</v>
      </c>
      <c r="Y61" s="137">
        <f t="shared" si="22"/>
        <v>23480.104219713325</v>
      </c>
      <c r="Z61" s="84">
        <f t="shared" si="30"/>
        <v>25398.173973312008</v>
      </c>
      <c r="AA61" s="61"/>
    </row>
    <row r="62" spans="1:27">
      <c r="A62" s="6">
        <f t="shared" si="33"/>
        <v>2016</v>
      </c>
      <c r="C62" s="494">
        <f t="shared" si="23"/>
        <v>15623894.267271031</v>
      </c>
      <c r="D62" s="494"/>
      <c r="E62" s="494">
        <f t="shared" si="24"/>
        <v>14906749.789999999</v>
      </c>
      <c r="F62" s="494"/>
      <c r="G62" s="494">
        <f t="shared" si="25"/>
        <v>15433364.379999999</v>
      </c>
      <c r="H62" s="494"/>
      <c r="I62" s="494">
        <f t="shared" si="26"/>
        <v>526614.58999999985</v>
      </c>
      <c r="J62" s="494"/>
      <c r="K62" s="494">
        <f t="shared" si="27"/>
        <v>190529.88727103174</v>
      </c>
      <c r="L62" s="494"/>
      <c r="M62" s="494">
        <f t="shared" si="28"/>
        <v>717144.47727103159</v>
      </c>
      <c r="P62" s="353">
        <f>'Exhibit B,2'!AF62+'Exhibit B,3'!BV62</f>
        <v>16127458.372633513</v>
      </c>
      <c r="Q62" s="137">
        <f t="shared" si="31"/>
        <v>-503564.10536248237</v>
      </c>
      <c r="T62" s="25">
        <f t="shared" si="32"/>
        <v>2017</v>
      </c>
      <c r="U62" s="137">
        <f>'Exhibit A, 1a'!R23-'Exhibit A, 1a'!T23</f>
        <v>343928.60722899041</v>
      </c>
      <c r="V62" s="137">
        <f>'Exhibit A, 1a'!X23-'Exhibit A, 1a'!Z23</f>
        <v>1839234.2828112654</v>
      </c>
      <c r="W62" s="84">
        <f t="shared" si="29"/>
        <v>2183162.8900402561</v>
      </c>
      <c r="X62" s="137">
        <f t="shared" si="21"/>
        <v>12180.472523529608</v>
      </c>
      <c r="Y62" s="137">
        <f t="shared" si="22"/>
        <v>65137.770383841256</v>
      </c>
      <c r="Z62" s="84">
        <f t="shared" si="30"/>
        <v>77318.242907370863</v>
      </c>
      <c r="AA62" s="61"/>
    </row>
    <row r="63" spans="1:27">
      <c r="A63" s="6">
        <f t="shared" si="33"/>
        <v>2017</v>
      </c>
      <c r="C63" s="494">
        <f t="shared" si="23"/>
        <v>10630506.870040257</v>
      </c>
      <c r="D63" s="494"/>
      <c r="E63" s="494">
        <f t="shared" si="24"/>
        <v>8447343.9800000004</v>
      </c>
      <c r="F63" s="494"/>
      <c r="G63" s="494">
        <f t="shared" si="25"/>
        <v>10556812.390000002</v>
      </c>
      <c r="H63" s="494"/>
      <c r="I63" s="494">
        <f t="shared" si="26"/>
        <v>2109468.4100000011</v>
      </c>
      <c r="J63" s="494"/>
      <c r="K63" s="494">
        <f t="shared" si="27"/>
        <v>73694.480040254304</v>
      </c>
      <c r="L63" s="494"/>
      <c r="M63" s="494">
        <f t="shared" si="28"/>
        <v>2183162.8900402552</v>
      </c>
      <c r="P63" s="353">
        <f>'Exhibit B,2'!AF63+'Exhibit B,3'!BV63</f>
        <v>11784435.853513235</v>
      </c>
      <c r="Q63" s="137">
        <f t="shared" si="31"/>
        <v>-1153928.9834729787</v>
      </c>
      <c r="T63" s="25">
        <f t="shared" si="32"/>
        <v>2018</v>
      </c>
      <c r="U63" s="137">
        <f>'Exhibit A, 1a'!R24-'Exhibit A, 1a'!T24</f>
        <v>548382.51461529313</v>
      </c>
      <c r="V63" s="137">
        <f>'Exhibit A, 1a'!X24-'Exhibit A, 1a'!Z24</f>
        <v>11355449.43450696</v>
      </c>
      <c r="W63" s="84">
        <f t="shared" si="29"/>
        <v>11903831.949122254</v>
      </c>
      <c r="X63" s="137">
        <f t="shared" si="21"/>
        <v>19421.350859622875</v>
      </c>
      <c r="Y63" s="137">
        <f t="shared" si="22"/>
        <v>402161.19544033974</v>
      </c>
      <c r="Z63" s="84">
        <f t="shared" si="30"/>
        <v>421582.54629996262</v>
      </c>
      <c r="AA63" s="61"/>
    </row>
    <row r="64" spans="1:27">
      <c r="A64" s="6">
        <f t="shared" si="33"/>
        <v>2018</v>
      </c>
      <c r="C64" s="494">
        <f t="shared" si="23"/>
        <v>19004632.659122251</v>
      </c>
      <c r="D64" s="494"/>
      <c r="E64" s="494">
        <f t="shared" si="24"/>
        <v>7100800.71</v>
      </c>
      <c r="F64" s="494"/>
      <c r="G64" s="494">
        <f t="shared" si="25"/>
        <v>11271668.749999998</v>
      </c>
      <c r="H64" s="494"/>
      <c r="I64" s="494">
        <f t="shared" si="26"/>
        <v>4170868.0399999982</v>
      </c>
      <c r="J64" s="494"/>
      <c r="K64" s="494">
        <f t="shared" si="27"/>
        <v>7732963.9091222528</v>
      </c>
      <c r="L64" s="494"/>
      <c r="M64" s="494">
        <f t="shared" si="28"/>
        <v>11903831.949122252</v>
      </c>
      <c r="P64" s="353">
        <f>'Exhibit B,2'!AF64+'Exhibit B,3'!BV64</f>
        <v>14306748.240003454</v>
      </c>
      <c r="Q64" s="137">
        <f t="shared" si="31"/>
        <v>4697884.4191187974</v>
      </c>
      <c r="T64" s="25">
        <f t="shared" si="32"/>
        <v>2019</v>
      </c>
      <c r="U64" s="137">
        <f>'Exhibit A, 1a'!R25-'Exhibit A, 1a'!T25</f>
        <v>2046197.5239869782</v>
      </c>
      <c r="V64" s="137">
        <f>'Exhibit A, 1a'!X25-'Exhibit A, 1a'!Z25</f>
        <v>8963644.0996296853</v>
      </c>
      <c r="W64" s="84">
        <f t="shared" si="29"/>
        <v>11009841.623616664</v>
      </c>
      <c r="X64" s="137">
        <f t="shared" si="21"/>
        <v>72467.518533703522</v>
      </c>
      <c r="Y64" s="137">
        <f t="shared" si="22"/>
        <v>317453.73420927388</v>
      </c>
      <c r="Z64" s="84">
        <f t="shared" si="30"/>
        <v>389921.25274297741</v>
      </c>
      <c r="AA64" s="61"/>
    </row>
    <row r="65" spans="1:27">
      <c r="A65" s="6">
        <f t="shared" si="33"/>
        <v>2019</v>
      </c>
      <c r="C65" s="494">
        <f t="shared" si="23"/>
        <v>19133796.883616664</v>
      </c>
      <c r="D65" s="494"/>
      <c r="E65" s="494">
        <f t="shared" si="24"/>
        <v>8123955.2599999998</v>
      </c>
      <c r="F65" s="494"/>
      <c r="G65" s="494">
        <f t="shared" si="25"/>
        <v>10461134.050000001</v>
      </c>
      <c r="H65" s="494"/>
      <c r="I65" s="494">
        <f t="shared" si="26"/>
        <v>2337178.790000001</v>
      </c>
      <c r="J65" s="494"/>
      <c r="K65" s="494">
        <f t="shared" si="27"/>
        <v>8672662.8336166646</v>
      </c>
      <c r="L65" s="494"/>
      <c r="M65" s="494">
        <f t="shared" si="28"/>
        <v>11009841.623616666</v>
      </c>
      <c r="P65" s="353">
        <f>'Exhibit B,2'!AF65+'Exhibit B,3'!BV65</f>
        <v>22000631.16001498</v>
      </c>
      <c r="Q65" s="137">
        <f t="shared" si="31"/>
        <v>-2866834.276398316</v>
      </c>
      <c r="T65" s="25">
        <f t="shared" si="32"/>
        <v>2020</v>
      </c>
      <c r="U65" s="137">
        <f>'Exhibit A, 1a'!R26-'Exhibit A, 1a'!T26</f>
        <v>541790.7168710765</v>
      </c>
      <c r="V65" s="137">
        <f>'Exhibit A, 1a'!X26-'Exhibit A, 1a'!Z26</f>
        <v>2793762.7769968761</v>
      </c>
      <c r="W65" s="84">
        <f t="shared" si="29"/>
        <v>3335553.4938679524</v>
      </c>
      <c r="X65" s="137">
        <f t="shared" si="21"/>
        <v>19187.897725407038</v>
      </c>
      <c r="Y65" s="137">
        <f t="shared" si="22"/>
        <v>98943.065587484583</v>
      </c>
      <c r="Z65" s="84">
        <f t="shared" si="30"/>
        <v>118130.96331289162</v>
      </c>
      <c r="AA65" s="61"/>
    </row>
    <row r="66" spans="1:27">
      <c r="A66" s="6">
        <f t="shared" si="33"/>
        <v>2020</v>
      </c>
      <c r="C66" s="494">
        <f t="shared" si="23"/>
        <v>4962837.5838679522</v>
      </c>
      <c r="D66" s="494"/>
      <c r="E66" s="494">
        <f t="shared" si="24"/>
        <v>1627284.0899999999</v>
      </c>
      <c r="F66" s="494"/>
      <c r="G66" s="494">
        <f t="shared" si="25"/>
        <v>1938054.0199999998</v>
      </c>
      <c r="H66" s="494"/>
      <c r="I66" s="494">
        <f t="shared" si="26"/>
        <v>310769.92999999993</v>
      </c>
      <c r="J66" s="494"/>
      <c r="K66" s="494">
        <f t="shared" si="27"/>
        <v>3024783.5638679527</v>
      </c>
      <c r="L66" s="494"/>
      <c r="M66" s="494">
        <f t="shared" si="28"/>
        <v>3335553.4938679528</v>
      </c>
      <c r="O66" s="26"/>
      <c r="P66" s="353">
        <f>'Exhibit B,2'!AF66+'Exhibit B,3'!BV66</f>
        <v>4165883.0660070339</v>
      </c>
      <c r="Q66" s="137">
        <f t="shared" si="31"/>
        <v>796954.51786091831</v>
      </c>
      <c r="T66" s="25">
        <f>T65+1</f>
        <v>2021</v>
      </c>
      <c r="U66" s="137">
        <f>'Exhibit A, 1a'!R27-'Exhibit A, 1a'!T27</f>
        <v>4539166.1539251432</v>
      </c>
      <c r="V66" s="137">
        <f>'Exhibit A, 1a'!X27-'Exhibit A, 1a'!Z27</f>
        <v>4212048.2610546704</v>
      </c>
      <c r="W66" s="84">
        <f t="shared" si="29"/>
        <v>8751214.4149798136</v>
      </c>
      <c r="X66" s="137">
        <f t="shared" si="21"/>
        <v>160757.74871733421</v>
      </c>
      <c r="Y66" s="137">
        <f t="shared" si="22"/>
        <v>149172.6394175695</v>
      </c>
      <c r="Z66" s="84">
        <f t="shared" si="30"/>
        <v>309930.38813490374</v>
      </c>
      <c r="AA66" s="61"/>
    </row>
    <row r="67" spans="1:27">
      <c r="A67" s="6">
        <f t="shared" si="33"/>
        <v>2021</v>
      </c>
      <c r="C67" s="494">
        <f>C25+C39+C53</f>
        <v>9990263.2549798135</v>
      </c>
      <c r="D67" s="494"/>
      <c r="E67" s="494">
        <f>E25+E39+E53</f>
        <v>1239048.8400000001</v>
      </c>
      <c r="F67" s="494"/>
      <c r="G67" s="494">
        <f>G25+G39+G53</f>
        <v>3630915.05</v>
      </c>
      <c r="H67" s="494"/>
      <c r="I67" s="494">
        <f>I25+I39+I53</f>
        <v>2391866.21</v>
      </c>
      <c r="J67" s="494"/>
      <c r="K67" s="494">
        <f>K25+K39+K53</f>
        <v>6359348.2049798137</v>
      </c>
      <c r="L67" s="494"/>
      <c r="M67" s="494">
        <f>M25+M39+M53</f>
        <v>8751214.4149798136</v>
      </c>
      <c r="P67" s="353">
        <f>'Exhibit B,2'!AF67+'Exhibit B,3'!BV67</f>
        <v>4878197.1613501916</v>
      </c>
      <c r="Q67" s="137">
        <f t="shared" si="31"/>
        <v>5112066.0936296219</v>
      </c>
      <c r="T67" s="25">
        <f>T66+1</f>
        <v>2022</v>
      </c>
      <c r="U67" s="137"/>
      <c r="V67" s="137"/>
      <c r="W67" s="84"/>
      <c r="X67" s="137"/>
      <c r="Y67" s="137"/>
      <c r="Z67" s="84"/>
      <c r="AA67" s="61"/>
    </row>
    <row r="68" spans="1:27">
      <c r="A68" s="6">
        <f t="shared" si="33"/>
        <v>2022</v>
      </c>
      <c r="C68" s="494">
        <f>C26+C40+C54</f>
        <v>4940611.9069666276</v>
      </c>
      <c r="D68" s="494"/>
      <c r="E68" s="494">
        <f>E26+E40+E54</f>
        <v>36605.5</v>
      </c>
      <c r="F68" s="494"/>
      <c r="G68" s="494">
        <f>G26+G40+G54</f>
        <v>263352.5</v>
      </c>
      <c r="H68" s="494"/>
      <c r="I68" s="494">
        <f>I26+I40+I54</f>
        <v>226747</v>
      </c>
      <c r="J68" s="494"/>
      <c r="K68" s="494">
        <f>K26+K40+K54</f>
        <v>4677259.4069666276</v>
      </c>
      <c r="L68" s="494"/>
      <c r="M68" s="494">
        <f>M26+M40+M54</f>
        <v>4904006.4069666276</v>
      </c>
      <c r="Q68" s="61"/>
      <c r="T68" s="25"/>
      <c r="U68" s="70"/>
      <c r="V68" s="70"/>
      <c r="W68" s="70"/>
      <c r="X68" s="70"/>
      <c r="Y68" s="70"/>
      <c r="Z68" s="70"/>
      <c r="AA68" s="61"/>
    </row>
    <row r="69" spans="1:27">
      <c r="A69" s="6"/>
      <c r="C69" s="63"/>
      <c r="E69" s="63"/>
      <c r="G69" s="63"/>
      <c r="I69" s="63"/>
      <c r="K69" s="63"/>
      <c r="M69" s="63"/>
      <c r="P69" s="70"/>
      <c r="Q69" s="70"/>
      <c r="T69" s="97" t="s">
        <v>0</v>
      </c>
      <c r="U69" s="68">
        <f t="shared" ref="U69:Z69" si="34">SUM(U58:U68)</f>
        <v>8088842.189583092</v>
      </c>
      <c r="V69" s="68">
        <f t="shared" si="34"/>
        <v>30941136.512858182</v>
      </c>
      <c r="W69" s="68">
        <f t="shared" si="34"/>
        <v>39029978.702441275</v>
      </c>
      <c r="X69" s="68">
        <f t="shared" si="34"/>
        <v>286472.01182594436</v>
      </c>
      <c r="Y69" s="68">
        <f t="shared" si="34"/>
        <v>1095802.0217571482</v>
      </c>
      <c r="Z69" s="68">
        <f t="shared" si="34"/>
        <v>1382274.0335830925</v>
      </c>
    </row>
    <row r="70" spans="1:27">
      <c r="A70" s="2" t="s">
        <v>0</v>
      </c>
      <c r="C70" s="147">
        <f>SUM(C59:C69)</f>
        <v>92634997.589407906</v>
      </c>
      <c r="D70" s="147"/>
      <c r="E70" s="147">
        <f>SUM(E59:E69)</f>
        <v>48701012.480000004</v>
      </c>
      <c r="F70" s="147"/>
      <c r="G70" s="147">
        <f>SUM(G59:G69)</f>
        <v>61851467.369999997</v>
      </c>
      <c r="H70" s="147"/>
      <c r="I70" s="147">
        <f>SUM(I59:I69)</f>
        <v>13150454.890000001</v>
      </c>
      <c r="J70" s="147"/>
      <c r="K70" s="147">
        <f>SUM(K59:K69)</f>
        <v>30783530.219407905</v>
      </c>
      <c r="L70" s="147"/>
      <c r="M70" s="147">
        <f>SUM(M59:M69)</f>
        <v>43933985.109407902</v>
      </c>
      <c r="P70" s="68">
        <f>SUM(P59:P69)</f>
        <v>80733130.227794394</v>
      </c>
      <c r="Q70" s="68">
        <f>SUM(Q59:Q69)</f>
        <v>6961255.4546468845</v>
      </c>
    </row>
    <row r="72" spans="1:27">
      <c r="A72" s="3" t="s">
        <v>384</v>
      </c>
      <c r="M72" s="495">
        <f>'Exhibit B,2'!W72+'Exhibit B,3'!AK72</f>
        <v>1382274.0335830925</v>
      </c>
    </row>
    <row r="74" spans="1:27">
      <c r="A74" s="3" t="s">
        <v>386</v>
      </c>
      <c r="M74" s="147">
        <f>M70+M72</f>
        <v>45316259.142990991</v>
      </c>
    </row>
    <row r="78" spans="1:27">
      <c r="A78" s="64" t="s">
        <v>180</v>
      </c>
      <c r="C78" s="3" t="s">
        <v>390</v>
      </c>
    </row>
    <row r="79" spans="1:27">
      <c r="A79" s="52" t="s">
        <v>40</v>
      </c>
      <c r="C79" s="3" t="s">
        <v>387</v>
      </c>
    </row>
    <row r="80" spans="1:27">
      <c r="A80" s="64" t="s">
        <v>42</v>
      </c>
      <c r="C80" s="3" t="s">
        <v>388</v>
      </c>
    </row>
    <row r="81" spans="1:17">
      <c r="A81" s="64" t="s">
        <v>30</v>
      </c>
      <c r="C81" s="3" t="s">
        <v>389</v>
      </c>
    </row>
    <row r="82" spans="1:17">
      <c r="A82" s="64" t="s">
        <v>621</v>
      </c>
      <c r="C82" s="3" t="s">
        <v>390</v>
      </c>
    </row>
    <row r="83" spans="1:17">
      <c r="A83" s="64"/>
      <c r="C83" s="3"/>
    </row>
    <row r="85" spans="1:17">
      <c r="A85" s="61"/>
      <c r="B85" s="61"/>
      <c r="C85" s="61"/>
      <c r="D85" s="61"/>
      <c r="E85" s="61"/>
      <c r="F85" s="61"/>
      <c r="G85" s="61"/>
      <c r="H85" s="61"/>
      <c r="I85" s="61"/>
      <c r="J85" s="61"/>
      <c r="K85" s="61"/>
    </row>
    <row r="86" spans="1:17">
      <c r="A86" s="61"/>
      <c r="B86" s="61"/>
      <c r="C86" s="25" t="s">
        <v>5</v>
      </c>
      <c r="D86" s="61"/>
      <c r="E86" s="25" t="s">
        <v>5</v>
      </c>
      <c r="F86" s="61"/>
      <c r="I86" s="25" t="s">
        <v>5</v>
      </c>
      <c r="J86" s="61"/>
      <c r="K86" s="25" t="s">
        <v>5</v>
      </c>
      <c r="L86" s="61"/>
      <c r="M86" s="25" t="s">
        <v>5</v>
      </c>
    </row>
    <row r="87" spans="1:17">
      <c r="A87" s="25" t="s">
        <v>4</v>
      </c>
      <c r="B87" s="25"/>
      <c r="C87" s="25" t="s">
        <v>1719</v>
      </c>
      <c r="D87" s="25"/>
      <c r="E87" s="25" t="s">
        <v>1685</v>
      </c>
      <c r="F87" s="25"/>
      <c r="I87" s="25" t="s">
        <v>1</v>
      </c>
      <c r="J87" s="25"/>
      <c r="K87" s="25" t="s">
        <v>162</v>
      </c>
      <c r="L87" s="61"/>
      <c r="M87" s="61" t="s">
        <v>1722</v>
      </c>
    </row>
    <row r="88" spans="1:17">
      <c r="A88" s="61"/>
      <c r="B88" s="61"/>
      <c r="C88" s="61"/>
      <c r="D88" s="61"/>
      <c r="E88" s="61"/>
      <c r="F88" s="61"/>
      <c r="I88" s="61"/>
      <c r="J88" s="61"/>
      <c r="K88" s="61"/>
      <c r="L88" s="61"/>
      <c r="M88" s="61"/>
    </row>
    <row r="89" spans="1:17">
      <c r="A89" s="25">
        <f>A59</f>
        <v>2013</v>
      </c>
      <c r="B89" s="61"/>
      <c r="C89" s="69">
        <f>'Exhibit B,2'!S59</f>
        <v>8861.26</v>
      </c>
      <c r="D89" s="61"/>
      <c r="E89" s="69">
        <v>8861.26</v>
      </c>
      <c r="F89" s="61"/>
      <c r="I89" s="84">
        <f t="shared" ref="I89:I94" si="35">C89</f>
        <v>8861.26</v>
      </c>
      <c r="J89" s="61"/>
      <c r="K89" s="123">
        <f>I89/'Exhibit B,2'!Z59</f>
        <v>8.2090859650251619E-3</v>
      </c>
      <c r="L89" s="61"/>
      <c r="M89" s="84">
        <f>I89-'Exhibit B,2'!K31-'Exhibit B,2'!O31-'Exhibit B,2'!K45-'Exhibit B,2'!O45</f>
        <v>8861.26</v>
      </c>
    </row>
    <row r="90" spans="1:17">
      <c r="A90" s="25">
        <f>A89+1</f>
        <v>2014</v>
      </c>
      <c r="B90" s="61"/>
      <c r="C90" s="69">
        <f>'Exhibit B,2'!S60</f>
        <v>4080771.4028141932</v>
      </c>
      <c r="D90" s="61"/>
      <c r="E90" s="69">
        <v>4078500.86</v>
      </c>
      <c r="F90" s="61"/>
      <c r="I90" s="84">
        <f t="shared" si="35"/>
        <v>4080771.4028141932</v>
      </c>
      <c r="J90" s="61"/>
      <c r="K90" s="123">
        <f>I90/'Exhibit B,2'!Z60</f>
        <v>3.2834364138660854</v>
      </c>
      <c r="L90" s="61"/>
      <c r="M90" s="84">
        <f>I90-'Exhibit B,2'!K32-'Exhibit B,2'!O32-'Exhibit B,2'!K46-'Exhibit B,2'!O46</f>
        <v>4002750.5828141933</v>
      </c>
    </row>
    <row r="91" spans="1:17">
      <c r="A91" s="25">
        <f t="shared" ref="A91:A98" si="36">A90+1</f>
        <v>2015</v>
      </c>
      <c r="B91" s="61"/>
      <c r="C91" s="69">
        <f>'Exhibit B,2'!S61</f>
        <v>2723474.7589555625</v>
      </c>
      <c r="D91" s="61"/>
      <c r="E91" s="69">
        <v>2710785.6270765299</v>
      </c>
      <c r="F91" s="61"/>
      <c r="I91" s="84">
        <f t="shared" si="35"/>
        <v>2723474.7589555625</v>
      </c>
      <c r="J91" s="61"/>
      <c r="K91" s="123">
        <f>I91/'Exhibit B,2'!Z61</f>
        <v>1.4067125541168717</v>
      </c>
      <c r="L91" s="61"/>
      <c r="M91" s="84">
        <f>I91-'Exhibit B,2'!K33-'Exhibit B,2'!O33-'Exhibit B,2'!K47-'Exhibit B,2'!O47</f>
        <v>2597142.3725217641</v>
      </c>
    </row>
    <row r="92" spans="1:17">
      <c r="A92" s="25">
        <f t="shared" si="36"/>
        <v>2016</v>
      </c>
      <c r="B92" s="61"/>
      <c r="C92" s="69">
        <f>'Exhibit B,2'!S62</f>
        <v>3068410.5511858533</v>
      </c>
      <c r="D92" s="61"/>
      <c r="E92" s="69">
        <v>3014996.6569065503</v>
      </c>
      <c r="F92" s="61"/>
      <c r="I92" s="84">
        <f t="shared" si="35"/>
        <v>3068410.5511858533</v>
      </c>
      <c r="J92" s="61"/>
      <c r="K92" s="123">
        <f>I92/'Exhibit B,2'!Z62</f>
        <v>2.9145214297856001</v>
      </c>
      <c r="L92" s="61"/>
      <c r="M92" s="84">
        <f>I92-'Exhibit B,2'!K34-'Exhibit B,2'!O34-'Exhibit B,2'!K48-'Exhibit B,2'!O48</f>
        <v>2937656.9738219422</v>
      </c>
    </row>
    <row r="93" spans="1:17">
      <c r="A93" s="25">
        <f t="shared" si="36"/>
        <v>2017</v>
      </c>
      <c r="B93" s="61"/>
      <c r="C93" s="69">
        <f>'Exhibit B,2'!S63</f>
        <v>2129410.8872289904</v>
      </c>
      <c r="D93" s="61"/>
      <c r="E93" s="69">
        <v>2272285.6678201966</v>
      </c>
      <c r="F93" s="61"/>
      <c r="I93" s="84">
        <f t="shared" si="35"/>
        <v>2129410.8872289904</v>
      </c>
      <c r="J93" s="61"/>
      <c r="K93" s="123">
        <f>I93/'Exhibit B,2'!Z63</f>
        <v>1.4460853508628913</v>
      </c>
      <c r="L93" s="61"/>
      <c r="M93" s="84">
        <f>I93-'Exhibit B,2'!K35-'Exhibit B,2'!O35-'Exhibit B,2'!K49-'Exhibit B,2'!O49</f>
        <v>2034573.3255892221</v>
      </c>
    </row>
    <row r="94" spans="1:17">
      <c r="A94" s="25">
        <f t="shared" si="36"/>
        <v>2018</v>
      </c>
      <c r="B94" s="61"/>
      <c r="C94" s="69">
        <f>'Exhibit B,2'!S64</f>
        <v>139833.15461529326</v>
      </c>
      <c r="D94" s="61"/>
      <c r="E94" s="69">
        <v>113065.70378235937</v>
      </c>
      <c r="F94" s="61"/>
      <c r="I94" s="84">
        <f t="shared" si="35"/>
        <v>139833.15461529326</v>
      </c>
      <c r="J94" s="61"/>
      <c r="K94" s="123">
        <f>I94/'Exhibit B,2'!Z64</f>
        <v>9.1387445877650533E-2</v>
      </c>
      <c r="L94" s="61"/>
      <c r="M94" s="84">
        <f>I94-'Exhibit B,2'!K36-'Exhibit B,2'!O36-'Exhibit B,2'!K50-'Exhibit B,2'!O50</f>
        <v>131061.54168837267</v>
      </c>
      <c r="N94" s="1" t="s">
        <v>1739</v>
      </c>
    </row>
    <row r="95" spans="1:17">
      <c r="A95" s="25">
        <f t="shared" si="36"/>
        <v>2019</v>
      </c>
      <c r="B95" s="61"/>
      <c r="C95" s="69">
        <f>'Exhibit B,2'!S65</f>
        <v>4263952.3351339456</v>
      </c>
      <c r="D95" s="61"/>
      <c r="E95" s="69">
        <v>3665313.1928400109</v>
      </c>
      <c r="F95" s="61"/>
      <c r="I95" s="84">
        <f>(E95+C95)/2</f>
        <v>3964632.7639869782</v>
      </c>
      <c r="J95" s="61"/>
      <c r="K95" s="123">
        <f>I95/'Exhibit B,2'!Z65</f>
        <v>2.4559314836007204</v>
      </c>
      <c r="L95" s="61"/>
      <c r="M95" s="84">
        <f>I95-'Exhibit B,2'!K37-'Exhibit B,2'!O37-'Exhibit B,2'!K51-'Exhibit B,2'!O51</f>
        <v>3841492.4821127155</v>
      </c>
      <c r="N95" s="1" t="s">
        <v>1742</v>
      </c>
    </row>
    <row r="96" spans="1:17">
      <c r="A96" s="25">
        <f t="shared" si="36"/>
        <v>2020</v>
      </c>
      <c r="B96" s="61"/>
      <c r="C96" s="69">
        <f>'Exhibit B,2'!S66</f>
        <v>2290674.3652229975</v>
      </c>
      <c r="D96" s="61"/>
      <c r="E96" s="69">
        <v>1646462.7285191552</v>
      </c>
      <c r="F96" s="61"/>
      <c r="I96" s="84">
        <f>(E96+C96)/2</f>
        <v>1968568.5468710763</v>
      </c>
      <c r="J96" s="61"/>
      <c r="K96" s="123">
        <f>I96/'Exhibit B,2'!Z66</f>
        <v>1.2889934081863381</v>
      </c>
      <c r="L96" s="61"/>
      <c r="M96" s="84">
        <f>I96-'Exhibit B,2'!K38-'Exhibit B,2'!O38-'Exhibit B,2'!K52-'Exhibit B,2'!O52</f>
        <v>1710614.4417516314</v>
      </c>
      <c r="N96" s="1" t="s">
        <v>1740</v>
      </c>
      <c r="Q96" s="17">
        <f>'Exhibit B,2'!O24</f>
        <v>1216226.6299999999</v>
      </c>
    </row>
    <row r="97" spans="1:19">
      <c r="A97" s="25">
        <f t="shared" si="36"/>
        <v>2021</v>
      </c>
      <c r="B97" s="61"/>
      <c r="C97" s="69">
        <f>'Exhibit B,2'!S67</f>
        <v>6627907.8396435883</v>
      </c>
      <c r="D97" s="61"/>
      <c r="E97" s="69">
        <v>4922823.928206699</v>
      </c>
      <c r="F97" s="61"/>
      <c r="I97" s="69">
        <f>(C97+E97)/2</f>
        <v>5775365.8839251436</v>
      </c>
      <c r="J97" s="61"/>
      <c r="K97" s="123">
        <f>I97/'Exhibit B,2'!Z67</f>
        <v>3.1740498278233198</v>
      </c>
      <c r="L97" s="61"/>
      <c r="M97" s="84">
        <f>I97-'Exhibit B,2'!K39-'Exhibit B,2'!O39-'Exhibit B,2'!K53-'Exhibit B,2'!O53</f>
        <v>5712832.575143653</v>
      </c>
      <c r="N97" s="1" t="s">
        <v>1748</v>
      </c>
      <c r="Q97" s="22">
        <f>I97-'Exhibit B,2'!O25</f>
        <v>2296293.8339251438</v>
      </c>
      <c r="R97" s="1" t="s">
        <v>1749</v>
      </c>
      <c r="S97" s="187">
        <f>'Exhibit A,2'!W25-'Exhibit A,2'!O25</f>
        <v>1005903.7951436532</v>
      </c>
    </row>
    <row r="98" spans="1:19">
      <c r="A98" s="25">
        <f t="shared" si="36"/>
        <v>2022</v>
      </c>
      <c r="B98" s="61"/>
      <c r="C98" s="69">
        <f>'Exhibit B,2'!S68</f>
        <v>3637752.590992278</v>
      </c>
      <c r="D98" s="61"/>
      <c r="E98" s="69">
        <v>1244188.3254690997</v>
      </c>
      <c r="F98" s="61"/>
      <c r="I98" s="69">
        <f>(C98+E98)/2</f>
        <v>2440970.4582306887</v>
      </c>
      <c r="J98" s="61"/>
      <c r="K98" s="123">
        <f>I98/'Exhibit B,2'!Z68</f>
        <v>0.68127102179299581</v>
      </c>
      <c r="L98" s="61"/>
      <c r="M98" s="84">
        <f>I98-'Exhibit B,2'!K40-'Exhibit B,2'!O40-'Exhibit B,2'!K54-'Exhibit B,2'!O54</f>
        <v>2375708.2699326677</v>
      </c>
    </row>
    <row r="99" spans="1:19">
      <c r="A99" s="25"/>
      <c r="B99" s="61"/>
      <c r="C99" s="61"/>
      <c r="D99" s="61"/>
      <c r="E99" s="61"/>
      <c r="F99" s="61"/>
      <c r="I99" s="61"/>
      <c r="J99" s="61"/>
      <c r="K99" s="61"/>
      <c r="L99" s="61"/>
      <c r="M99" s="61"/>
    </row>
    <row r="100" spans="1:19">
      <c r="A100" s="97" t="s">
        <v>0</v>
      </c>
      <c r="B100" s="61"/>
      <c r="C100" s="69">
        <f>SUM(C89:C99)</f>
        <v>28971049.1457927</v>
      </c>
      <c r="D100" s="69"/>
      <c r="E100" s="69">
        <f t="shared" ref="E100" si="37">SUM(E89:E99)</f>
        <v>23677283.950620599</v>
      </c>
      <c r="F100" s="69"/>
      <c r="I100" s="69">
        <f>SUM(I89:I99)</f>
        <v>26300299.667813782</v>
      </c>
      <c r="J100" s="61"/>
      <c r="K100" s="123">
        <f>I100/'Exhibit B,2'!Z70</f>
        <v>1.5601234940307069</v>
      </c>
      <c r="L100" s="61"/>
      <c r="M100" s="69">
        <f t="shared" ref="M100" si="38">SUM(M89:M99)</f>
        <v>25352693.825376164</v>
      </c>
    </row>
    <row r="103" spans="1:19">
      <c r="A103" s="61"/>
      <c r="B103" s="61"/>
      <c r="C103" s="25" t="s">
        <v>395</v>
      </c>
      <c r="D103" s="61"/>
      <c r="E103" s="25" t="s">
        <v>395</v>
      </c>
      <c r="F103" s="61"/>
      <c r="G103" s="25" t="s">
        <v>395</v>
      </c>
      <c r="H103" s="61"/>
      <c r="I103" s="25" t="s">
        <v>395</v>
      </c>
      <c r="J103" s="61"/>
      <c r="K103" s="25" t="s">
        <v>395</v>
      </c>
      <c r="L103" s="61"/>
      <c r="M103" s="25" t="s">
        <v>395</v>
      </c>
    </row>
    <row r="104" spans="1:19">
      <c r="A104" s="61"/>
      <c r="B104" s="61"/>
      <c r="C104" s="25" t="s">
        <v>1723</v>
      </c>
      <c r="D104" s="61"/>
      <c r="E104" s="25" t="s">
        <v>1724</v>
      </c>
      <c r="F104" s="61"/>
    </row>
    <row r="105" spans="1:19">
      <c r="A105" s="25" t="s">
        <v>4</v>
      </c>
      <c r="B105" s="25"/>
      <c r="C105" s="25" t="s">
        <v>1719</v>
      </c>
      <c r="D105" s="25"/>
      <c r="E105" s="25" t="s">
        <v>1685</v>
      </c>
      <c r="F105" s="25"/>
      <c r="G105" s="25" t="s">
        <v>1640</v>
      </c>
      <c r="I105" s="25" t="s">
        <v>1</v>
      </c>
      <c r="J105" s="25"/>
      <c r="K105" s="25" t="s">
        <v>162</v>
      </c>
      <c r="L105" s="61"/>
      <c r="M105" s="61" t="s">
        <v>1722</v>
      </c>
    </row>
    <row r="106" spans="1:19">
      <c r="A106" s="61"/>
      <c r="B106" s="61"/>
      <c r="C106" s="61"/>
      <c r="D106" s="61"/>
      <c r="E106" s="61"/>
      <c r="F106" s="61"/>
      <c r="I106" s="61"/>
      <c r="J106" s="61"/>
      <c r="K106" s="61"/>
      <c r="L106" s="61"/>
      <c r="M106" s="61"/>
    </row>
    <row r="107" spans="1:19">
      <c r="A107" s="25">
        <f>A89</f>
        <v>2013</v>
      </c>
      <c r="B107" s="61"/>
      <c r="C107" s="69">
        <f>'Exhibit B,3'!K59+'Exhibit B,3'!S59</f>
        <v>1721</v>
      </c>
      <c r="D107" s="61"/>
      <c r="E107" s="69">
        <v>2050983.5080121742</v>
      </c>
      <c r="F107" s="61"/>
      <c r="I107" s="84">
        <f>C107</f>
        <v>1721</v>
      </c>
      <c r="J107" s="61"/>
      <c r="K107" s="123">
        <f>I107/'Exhibit B,3'!AP59</f>
        <v>4.4601726794338346E-2</v>
      </c>
      <c r="L107" s="61"/>
      <c r="M107" s="84">
        <f>I107-'Exhibit B,3'!K45-'Exhibit B,3'!S45</f>
        <v>0</v>
      </c>
      <c r="N107" s="147"/>
      <c r="O107" s="22"/>
      <c r="P107" s="147"/>
    </row>
    <row r="108" spans="1:19">
      <c r="A108" s="25">
        <f>A107+1</f>
        <v>2014</v>
      </c>
      <c r="B108" s="61"/>
      <c r="C108" s="69">
        <f>'Exhibit B,3'!K60+'Exhibit B,3'!S60</f>
        <v>1121322.5799724818</v>
      </c>
      <c r="D108" s="61"/>
      <c r="E108" s="69">
        <v>193645.12472801391</v>
      </c>
      <c r="F108" s="61"/>
      <c r="I108" s="84">
        <f t="shared" ref="I108:I113" si="39">C108</f>
        <v>1121322.5799724818</v>
      </c>
      <c r="J108" s="61"/>
      <c r="K108" s="123">
        <f>I108/'Exhibit B,3'!AP60</f>
        <v>23.984940250027901</v>
      </c>
      <c r="L108" s="61"/>
      <c r="M108" s="84">
        <f>I108-'Exhibit B,3'!K46-'Exhibit B,3'!S46</f>
        <v>1121132.3176245776</v>
      </c>
      <c r="N108" s="147"/>
      <c r="O108" s="22"/>
      <c r="P108" s="147"/>
    </row>
    <row r="109" spans="1:19">
      <c r="A109" s="25">
        <f t="shared" ref="A109:A116" si="40">A108+1</f>
        <v>2015</v>
      </c>
      <c r="B109" s="61"/>
      <c r="C109" s="69">
        <f>'Exhibit B,3'!K61+'Exhibit B,3'!S61</f>
        <v>412303.16180106939</v>
      </c>
      <c r="D109" s="61"/>
      <c r="E109" s="69">
        <v>620807.44170711492</v>
      </c>
      <c r="F109" s="61"/>
      <c r="I109" s="84">
        <f t="shared" si="39"/>
        <v>412303.16180106939</v>
      </c>
      <c r="J109" s="61"/>
      <c r="K109" s="123">
        <f>I109/'Exhibit B,3'!AP61</f>
        <v>1.7645140408151667</v>
      </c>
      <c r="L109" s="61"/>
      <c r="M109" s="84">
        <f>I109-'Exhibit B,3'!K47-'Exhibit B,3'!S47</f>
        <v>348242.16293173609</v>
      </c>
      <c r="N109" s="147"/>
      <c r="O109" s="22"/>
      <c r="P109" s="147"/>
    </row>
    <row r="110" spans="1:19">
      <c r="A110" s="25">
        <f t="shared" si="40"/>
        <v>2016</v>
      </c>
      <c r="B110" s="61"/>
      <c r="C110" s="69">
        <f>'Exhibit B,3'!K62+'Exhibit B,3'!S62</f>
        <v>1437210.506085179</v>
      </c>
      <c r="D110" s="61"/>
      <c r="E110" s="69">
        <v>724121.09640781325</v>
      </c>
      <c r="F110" s="61"/>
      <c r="I110" s="84">
        <f t="shared" si="39"/>
        <v>1437210.506085179</v>
      </c>
      <c r="J110" s="61"/>
      <c r="K110" s="123">
        <f>I110/'Exhibit B,3'!AP62</f>
        <v>0.94590294505517203</v>
      </c>
      <c r="L110" s="61"/>
      <c r="M110" s="84">
        <f>I110-'Exhibit B,3'!K48-'Exhibit B,3'!S48</f>
        <v>1427844.3328704596</v>
      </c>
      <c r="N110" s="147"/>
      <c r="O110" s="22"/>
      <c r="P110" s="147"/>
    </row>
    <row r="111" spans="1:19">
      <c r="A111" s="25">
        <f t="shared" si="40"/>
        <v>2017</v>
      </c>
      <c r="B111" s="61"/>
      <c r="C111" s="69">
        <f>'Exhibit B,3'!K63+'Exhibit B,3'!S63</f>
        <v>1755697.092811266</v>
      </c>
      <c r="D111" s="61"/>
      <c r="E111" s="69">
        <v>3539867.1757020336</v>
      </c>
      <c r="F111" s="61"/>
      <c r="I111" s="84">
        <f t="shared" si="39"/>
        <v>1755697.092811266</v>
      </c>
      <c r="J111" s="61"/>
      <c r="K111" s="123">
        <f>I111/'Exhibit B,3'!AP63</f>
        <v>0.40945736957897105</v>
      </c>
      <c r="L111" s="61"/>
      <c r="M111" s="84">
        <f>I111-'Exhibit B,3'!K49-'Exhibit B,3'!S49</f>
        <v>1512736.4350139704</v>
      </c>
      <c r="N111" s="147"/>
      <c r="O111" s="22"/>
      <c r="P111" s="147"/>
    </row>
    <row r="112" spans="1:19">
      <c r="A112" s="25">
        <f t="shared" si="40"/>
        <v>2018</v>
      </c>
      <c r="B112" s="61"/>
      <c r="C112" s="69">
        <f>'Exhibit B,3'!K64+'Exhibit B,3'!S64</f>
        <v>7296005.3990940833</v>
      </c>
      <c r="D112" s="61"/>
      <c r="E112" s="69">
        <v>9661629.6210899949</v>
      </c>
      <c r="F112" s="61"/>
      <c r="G112" s="172">
        <f>'Exhibit B,3'!BP22</f>
        <v>2870509</v>
      </c>
      <c r="I112" s="84">
        <f t="shared" si="39"/>
        <v>7296005.3990940833</v>
      </c>
      <c r="J112" s="61"/>
      <c r="K112" s="123">
        <f>I112/'Exhibit B,3'!AP64</f>
        <v>1.8522552672776025</v>
      </c>
      <c r="L112" s="61"/>
      <c r="M112" s="84">
        <f>I112-'Exhibit B,3'!K50-'Exhibit B,3'!S50</f>
        <v>7249329.4644047152</v>
      </c>
      <c r="N112" s="147"/>
      <c r="O112" s="22"/>
      <c r="P112" s="147"/>
    </row>
    <row r="113" spans="1:16">
      <c r="A113" s="25">
        <f t="shared" si="40"/>
        <v>2019</v>
      </c>
      <c r="B113" s="61"/>
      <c r="C113" s="69">
        <f>'Exhibit B,3'!K65+'Exhibit B,3'!S65</f>
        <v>4091701.5696296841</v>
      </c>
      <c r="D113" s="61"/>
      <c r="E113" s="69">
        <v>1369795.5623104358</v>
      </c>
      <c r="F113" s="61"/>
      <c r="I113" s="84">
        <f t="shared" si="39"/>
        <v>4091701.5696296841</v>
      </c>
      <c r="J113" s="61"/>
      <c r="K113" s="123">
        <f>I113/'Exhibit B,3'!AP65</f>
        <v>1.0381459986728749</v>
      </c>
      <c r="L113" s="61"/>
      <c r="M113" s="84">
        <f>I113-'Exhibit B,3'!K51-'Exhibit B,3'!S51</f>
        <v>4044415.9542173143</v>
      </c>
      <c r="N113" s="147"/>
      <c r="O113" s="22"/>
      <c r="P113" s="147"/>
    </row>
    <row r="114" spans="1:16">
      <c r="A114" s="25">
        <f t="shared" si="40"/>
        <v>2020</v>
      </c>
      <c r="B114" s="61"/>
      <c r="C114" s="69">
        <f>'Exhibit B,3'!K66+'Exhibit B,3'!S66</f>
        <v>2994269.0369968764</v>
      </c>
      <c r="D114" s="61"/>
      <c r="E114" s="69">
        <v>1318751.7931974428</v>
      </c>
      <c r="F114" s="61"/>
      <c r="I114" s="84">
        <f>C114</f>
        <v>2994269.0369968764</v>
      </c>
      <c r="J114" s="61"/>
      <c r="K114" s="123">
        <f>I114/'Exhibit B,3'!AP66</f>
        <v>2.042672922357915</v>
      </c>
      <c r="L114" s="61"/>
      <c r="M114" s="84">
        <f>I114-'Exhibit B,3'!K52-'Exhibit B,3'!S52</f>
        <v>2877265.7145885993</v>
      </c>
      <c r="N114" s="147"/>
      <c r="O114" s="22"/>
      <c r="P114" s="147"/>
    </row>
    <row r="115" spans="1:16">
      <c r="A115" s="25">
        <f t="shared" si="40"/>
        <v>2021</v>
      </c>
      <c r="B115" s="61"/>
      <c r="C115" s="69">
        <f>'Exhibit B,3'!K67+'Exhibit B,3'!S67</f>
        <v>4214897.3710546708</v>
      </c>
      <c r="D115" s="61"/>
      <c r="E115" s="69">
        <v>1412217.5552744016</v>
      </c>
      <c r="F115" s="61"/>
      <c r="I115" s="84">
        <f>C115</f>
        <v>4214897.3710546708</v>
      </c>
      <c r="J115" s="61"/>
      <c r="K115" s="123">
        <f>I115/'Exhibit B,3'!AP67</f>
        <v>2.3550303404882804</v>
      </c>
      <c r="L115" s="61"/>
      <c r="M115" s="84">
        <f>I115-'Exhibit B,3'!K53-'Exhibit B,3'!S53</f>
        <v>4127059.5809957045</v>
      </c>
      <c r="N115" s="1" t="s">
        <v>1751</v>
      </c>
      <c r="O115" s="22"/>
      <c r="P115" s="147"/>
    </row>
    <row r="116" spans="1:16">
      <c r="A116" s="25">
        <f t="shared" si="40"/>
        <v>2022</v>
      </c>
      <c r="B116" s="61"/>
      <c r="C116" s="69">
        <f>'Exhibit B,3'!K68+'Exhibit B,3'!S68</f>
        <v>3334857.0746392654</v>
      </c>
      <c r="D116" s="61"/>
      <c r="E116" s="69">
        <v>1664425.8228326126</v>
      </c>
      <c r="F116" s="61"/>
      <c r="I116" s="69">
        <f>(C116+E116)/2</f>
        <v>2499641.4487359389</v>
      </c>
      <c r="J116" s="61"/>
      <c r="K116" s="123">
        <f>I116/'Exhibit B,3'!AP68</f>
        <v>1.220579681422725</v>
      </c>
      <c r="L116" s="61"/>
      <c r="M116" s="84">
        <f>I116-'Exhibit B,3'!K54-'Exhibit B,3'!S54</f>
        <v>2421864.3881220976</v>
      </c>
      <c r="N116" s="147" t="s">
        <v>1750</v>
      </c>
      <c r="O116" s="308"/>
      <c r="P116" s="147"/>
    </row>
    <row r="117" spans="1:16">
      <c r="A117" s="25"/>
      <c r="B117" s="61"/>
      <c r="C117" s="61"/>
      <c r="D117" s="61"/>
      <c r="E117" s="61"/>
      <c r="F117" s="61"/>
      <c r="I117" s="61"/>
      <c r="J117" s="61"/>
      <c r="K117" s="61"/>
      <c r="L117" s="61"/>
      <c r="M117" s="61"/>
    </row>
    <row r="118" spans="1:16">
      <c r="A118" s="97" t="s">
        <v>0</v>
      </c>
      <c r="B118" s="61"/>
      <c r="C118" s="69">
        <f>SUM(C107:C117)</f>
        <v>26659984.792084575</v>
      </c>
      <c r="D118" s="69"/>
      <c r="E118" s="69">
        <f>SUM(E107:E117)</f>
        <v>22556244.701262034</v>
      </c>
      <c r="F118" s="69"/>
      <c r="I118" s="69">
        <f t="shared" ref="I118" si="41">SUM(I107:I117)</f>
        <v>25824769.166181248</v>
      </c>
      <c r="J118" s="61"/>
      <c r="K118" s="123">
        <f>I118/'Exhibit B,3'!AP70</f>
        <v>1.3373694660222351</v>
      </c>
      <c r="L118" s="61"/>
      <c r="M118" s="69">
        <f t="shared" ref="M118" si="42">SUM(M107:M117)</f>
        <v>25129890.350769173</v>
      </c>
      <c r="N118" s="69"/>
      <c r="O118" s="22"/>
    </row>
  </sheetData>
  <printOptions horizontalCentered="1"/>
  <pageMargins left="0.7" right="0.7" top="0.75" bottom="0.75" header="0.3" footer="0.3"/>
  <pageSetup scale="56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1">
    <pageSetUpPr fitToPage="1"/>
  </sheetPr>
  <dimension ref="A1:BB96"/>
  <sheetViews>
    <sheetView zoomScale="90" zoomScaleNormal="90" workbookViewId="0">
      <selection activeCell="I22" sqref="I22"/>
    </sheetView>
  </sheetViews>
  <sheetFormatPr baseColWidth="10" defaultColWidth="8.7109375" defaultRowHeight="15"/>
  <cols>
    <col min="1" max="1" width="15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9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0.7109375" style="1" customWidth="1"/>
    <col min="10" max="10" width="1.7109375" style="1" customWidth="1"/>
    <col min="11" max="11" width="10.7109375" style="1" customWidth="1"/>
    <col min="12" max="12" width="1.7109375" style="1" customWidth="1"/>
    <col min="13" max="13" width="11.7109375" style="1" customWidth="1"/>
    <col min="14" max="14" width="1.7109375" style="1" customWidth="1"/>
    <col min="15" max="15" width="11.7109375" style="1" customWidth="1"/>
    <col min="16" max="16" width="1.7109375" style="1" customWidth="1"/>
    <col min="17" max="17" width="13.7109375" style="1" customWidth="1"/>
    <col min="18" max="18" width="1.7109375" style="1" customWidth="1"/>
    <col min="19" max="19" width="11.7109375" style="1" customWidth="1"/>
    <col min="20" max="20" width="1.7109375" style="1" customWidth="1"/>
    <col min="21" max="21" width="11.7109375" style="1" customWidth="1"/>
    <col min="22" max="22" width="1.7109375" style="1" customWidth="1"/>
    <col min="23" max="23" width="11.7109375" style="1" customWidth="1"/>
    <col min="24" max="24" width="11.28515625" style="1" bestFit="1" customWidth="1"/>
    <col min="25" max="41" width="12.7109375" style="1" customWidth="1"/>
    <col min="42" max="45" width="10.7109375" style="1" customWidth="1"/>
    <col min="46" max="16384" width="8.7109375" style="1"/>
  </cols>
  <sheetData>
    <row r="1" spans="1:45">
      <c r="W1" s="64" t="s">
        <v>116</v>
      </c>
    </row>
    <row r="2" spans="1:45">
      <c r="W2" s="64" t="s">
        <v>45</v>
      </c>
    </row>
    <row r="4" spans="1:45" ht="16">
      <c r="A4" s="4" t="s">
        <v>1550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4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45">
      <c r="A6" s="5" t="s">
        <v>293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45">
      <c r="A7" s="5" t="s">
        <v>77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AM7" s="61"/>
    </row>
    <row r="8" spans="1:45">
      <c r="A8" s="5" t="s">
        <v>327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Y8" s="61" t="s">
        <v>329</v>
      </c>
      <c r="Z8" s="61"/>
      <c r="AA8" s="61"/>
      <c r="AB8" s="61"/>
      <c r="AC8" s="61"/>
      <c r="AD8" s="61"/>
      <c r="AE8" s="61"/>
      <c r="AF8" s="61"/>
    </row>
    <row r="9" spans="1:4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Z9" s="61"/>
      <c r="AA9" s="61"/>
      <c r="AB9" s="61"/>
      <c r="AC9" s="61"/>
      <c r="AD9" s="61"/>
      <c r="AE9" s="61"/>
      <c r="AF9" s="61"/>
      <c r="AN9" s="61"/>
    </row>
    <row r="10" spans="1:45">
      <c r="Y10" s="61" t="s">
        <v>1596</v>
      </c>
      <c r="AA10" s="25">
        <v>2022</v>
      </c>
      <c r="AB10" s="25">
        <v>2022</v>
      </c>
      <c r="AC10" s="25" t="s">
        <v>2</v>
      </c>
      <c r="AD10" s="25" t="s">
        <v>2</v>
      </c>
      <c r="AE10" s="61"/>
      <c r="AF10" s="25" t="s">
        <v>2</v>
      </c>
      <c r="AG10" s="61"/>
      <c r="AH10" s="61"/>
      <c r="AI10" s="61"/>
      <c r="AJ10" s="61"/>
      <c r="AN10" s="61"/>
    </row>
    <row r="11" spans="1:45">
      <c r="E11" s="2" t="s">
        <v>7</v>
      </c>
      <c r="F11" s="2"/>
      <c r="G11" s="2" t="s">
        <v>7</v>
      </c>
      <c r="I11" s="2" t="s">
        <v>7</v>
      </c>
      <c r="J11" s="2"/>
      <c r="K11" s="2" t="s">
        <v>7</v>
      </c>
      <c r="Q11" s="2" t="s">
        <v>14</v>
      </c>
      <c r="R11" s="2"/>
      <c r="S11" s="2" t="s">
        <v>12</v>
      </c>
      <c r="U11" s="2" t="s">
        <v>1</v>
      </c>
      <c r="X11" s="25"/>
      <c r="Y11" s="2"/>
      <c r="Z11" s="61"/>
      <c r="AA11" s="44" t="s">
        <v>9</v>
      </c>
      <c r="AB11" s="44" t="s">
        <v>9</v>
      </c>
      <c r="AC11" s="44" t="s">
        <v>9</v>
      </c>
      <c r="AD11" s="44" t="s">
        <v>9</v>
      </c>
      <c r="AE11" s="44" t="s">
        <v>1606</v>
      </c>
      <c r="AF11" s="97" t="s">
        <v>1</v>
      </c>
      <c r="AG11" s="44" t="s">
        <v>1606</v>
      </c>
      <c r="AH11" s="61"/>
      <c r="AN11" s="61"/>
      <c r="AO11" s="25" t="s">
        <v>1617</v>
      </c>
      <c r="AP11" s="61" t="s">
        <v>1616</v>
      </c>
      <c r="AQ11" s="61"/>
      <c r="AR11" s="61" t="s">
        <v>1616</v>
      </c>
      <c r="AS11" s="61"/>
    </row>
    <row r="12" spans="1:45">
      <c r="A12" s="2" t="s">
        <v>6</v>
      </c>
      <c r="C12" s="6" t="s">
        <v>7</v>
      </c>
      <c r="E12" s="2" t="s">
        <v>62</v>
      </c>
      <c r="F12" s="2"/>
      <c r="G12" s="2" t="s">
        <v>62</v>
      </c>
      <c r="H12" s="2"/>
      <c r="I12" s="2" t="s">
        <v>63</v>
      </c>
      <c r="J12" s="2"/>
      <c r="K12" s="2" t="s">
        <v>69</v>
      </c>
      <c r="M12" s="2" t="s">
        <v>14</v>
      </c>
      <c r="N12" s="2"/>
      <c r="O12" s="2" t="s">
        <v>12</v>
      </c>
      <c r="Q12" s="2" t="s">
        <v>314</v>
      </c>
      <c r="R12" s="2"/>
      <c r="S12" s="2" t="s">
        <v>314</v>
      </c>
      <c r="U12" s="2" t="s">
        <v>67</v>
      </c>
      <c r="W12" s="2" t="s">
        <v>63</v>
      </c>
      <c r="X12" s="25"/>
      <c r="Y12" s="97" t="s">
        <v>203</v>
      </c>
      <c r="Z12" s="97" t="s">
        <v>177</v>
      </c>
      <c r="AA12" s="44" t="s">
        <v>14</v>
      </c>
      <c r="AB12" s="44" t="s">
        <v>12</v>
      </c>
      <c r="AC12" s="44" t="s">
        <v>14</v>
      </c>
      <c r="AD12" s="44" t="s">
        <v>12</v>
      </c>
      <c r="AE12" s="44" t="s">
        <v>12</v>
      </c>
      <c r="AF12" s="97" t="s">
        <v>67</v>
      </c>
      <c r="AG12" s="44" t="s">
        <v>67</v>
      </c>
      <c r="AH12" s="61"/>
      <c r="AN12" s="61"/>
      <c r="AO12" s="25" t="s">
        <v>1618</v>
      </c>
      <c r="AP12" s="61" t="s">
        <v>1248</v>
      </c>
      <c r="AQ12" s="61" t="s">
        <v>514</v>
      </c>
      <c r="AR12" s="61" t="s">
        <v>1246</v>
      </c>
      <c r="AS12" s="61" t="s">
        <v>514</v>
      </c>
    </row>
    <row r="13" spans="1:45">
      <c r="A13" s="2" t="s">
        <v>4</v>
      </c>
      <c r="C13" s="6" t="s">
        <v>55</v>
      </c>
      <c r="E13" s="2" t="s">
        <v>14</v>
      </c>
      <c r="F13" s="2"/>
      <c r="G13" s="2" t="s">
        <v>12</v>
      </c>
      <c r="H13" s="2"/>
      <c r="I13" s="2" t="s">
        <v>55</v>
      </c>
      <c r="J13" s="2"/>
      <c r="K13" s="2" t="s">
        <v>55</v>
      </c>
      <c r="M13" s="2" t="s">
        <v>55</v>
      </c>
      <c r="N13" s="2"/>
      <c r="O13" s="2" t="s">
        <v>55</v>
      </c>
      <c r="Q13" s="2" t="s">
        <v>55</v>
      </c>
      <c r="R13" s="2"/>
      <c r="S13" s="2" t="s">
        <v>55</v>
      </c>
      <c r="U13" s="2" t="s">
        <v>55</v>
      </c>
      <c r="W13" s="2" t="s">
        <v>55</v>
      </c>
      <c r="X13" s="25"/>
      <c r="Y13" s="97" t="s">
        <v>4</v>
      </c>
      <c r="Z13" s="97" t="s">
        <v>16</v>
      </c>
      <c r="AA13" s="45" t="s">
        <v>662</v>
      </c>
      <c r="AB13" s="45" t="s">
        <v>662</v>
      </c>
      <c r="AC13" s="45" t="s">
        <v>662</v>
      </c>
      <c r="AD13" s="45" t="s">
        <v>662</v>
      </c>
      <c r="AE13" s="568" t="s">
        <v>1607</v>
      </c>
      <c r="AF13" s="97" t="s">
        <v>55</v>
      </c>
      <c r="AG13" s="568" t="s">
        <v>1608</v>
      </c>
      <c r="AH13" s="61"/>
      <c r="AN13" s="61"/>
      <c r="AO13" s="143">
        <v>-1</v>
      </c>
      <c r="AP13" s="143">
        <v>-1</v>
      </c>
      <c r="AQ13" s="143">
        <v>-12</v>
      </c>
      <c r="AR13" s="143">
        <v>-1</v>
      </c>
      <c r="AS13" s="143">
        <v>-12</v>
      </c>
    </row>
    <row r="14" spans="1:45">
      <c r="A14" s="10">
        <v>-1</v>
      </c>
      <c r="C14" s="10">
        <v>-2</v>
      </c>
      <c r="E14" s="10">
        <v>-3</v>
      </c>
      <c r="F14" s="11"/>
      <c r="G14" s="10">
        <v>-4</v>
      </c>
      <c r="H14" s="11"/>
      <c r="I14" s="9">
        <v>-5</v>
      </c>
      <c r="J14" s="9"/>
      <c r="K14" s="9">
        <v>-6</v>
      </c>
      <c r="M14" s="10">
        <v>-7</v>
      </c>
      <c r="N14" s="11"/>
      <c r="O14" s="10">
        <v>-8</v>
      </c>
      <c r="Q14" s="10">
        <v>-9</v>
      </c>
      <c r="R14" s="11"/>
      <c r="S14" s="10">
        <v>-10</v>
      </c>
      <c r="T14" s="11"/>
      <c r="U14" s="10">
        <v>-11</v>
      </c>
      <c r="V14" s="11"/>
      <c r="W14" s="10">
        <v>-12</v>
      </c>
      <c r="Y14" s="143">
        <v>-13</v>
      </c>
      <c r="Z14" s="143">
        <v>-14</v>
      </c>
      <c r="AA14" s="143">
        <v>-14</v>
      </c>
      <c r="AB14" s="143">
        <v>-15</v>
      </c>
      <c r="AC14" s="143">
        <v>-16</v>
      </c>
      <c r="AD14" s="143">
        <v>-17</v>
      </c>
      <c r="AE14" s="143">
        <v>-18</v>
      </c>
      <c r="AF14" s="143">
        <v>-19</v>
      </c>
      <c r="AG14" s="143">
        <v>-20</v>
      </c>
      <c r="AN14" s="61"/>
      <c r="AQ14" s="61"/>
      <c r="AR14" s="61"/>
      <c r="AS14" s="61"/>
    </row>
    <row r="15" spans="1:45">
      <c r="Y15" s="61"/>
      <c r="AB15" s="61"/>
      <c r="AC15" s="61"/>
      <c r="AF15" s="61"/>
      <c r="AN15" s="61"/>
      <c r="AQ15" s="61"/>
      <c r="AR15" s="61"/>
      <c r="AS15" s="61"/>
    </row>
    <row r="16" spans="1:45">
      <c r="A16" s="3" t="s">
        <v>294</v>
      </c>
      <c r="M16" s="19">
        <f>AA16</f>
        <v>2500</v>
      </c>
      <c r="N16" s="19"/>
      <c r="O16" s="19">
        <f>AB16</f>
        <v>2500</v>
      </c>
      <c r="Y16" s="115" t="s">
        <v>294</v>
      </c>
      <c r="AA16" s="18">
        <v>2500</v>
      </c>
      <c r="AB16" s="18">
        <v>2500</v>
      </c>
      <c r="AC16" s="18">
        <f>AA16</f>
        <v>2500</v>
      </c>
      <c r="AD16" s="18">
        <f>AB16</f>
        <v>2500</v>
      </c>
      <c r="AF16" s="61"/>
      <c r="AN16" s="137"/>
      <c r="AO16" s="61">
        <f t="shared" ref="AO16:AO24" si="0">AO17+12</f>
        <v>132</v>
      </c>
      <c r="AP16" s="72">
        <f>'Exhibit Q,3'!I25</f>
        <v>0.99149076495346744</v>
      </c>
      <c r="AQ16" s="72">
        <f t="shared" ref="AQ16:AS25" si="1">AP17*(3/12)+AP16*(9/12)</f>
        <v>0.99065239453492848</v>
      </c>
      <c r="AR16" s="72">
        <f>'Exhibit Q,1'!I25</f>
        <v>1</v>
      </c>
      <c r="AS16" s="72">
        <f t="shared" si="1"/>
        <v>1</v>
      </c>
    </row>
    <row r="17" spans="1:45">
      <c r="A17" s="6">
        <v>2013</v>
      </c>
      <c r="C17" s="147">
        <f>'Exhibit D,2'!M17</f>
        <v>8861.26</v>
      </c>
      <c r="E17" s="74">
        <f t="shared" ref="E17:E25" si="2">AQ17</f>
        <v>0.98666127129523207</v>
      </c>
      <c r="F17" s="74"/>
      <c r="G17" s="74">
        <f t="shared" ref="G17:G25" si="3">AS17</f>
        <v>1</v>
      </c>
      <c r="H17" s="26"/>
      <c r="I17" s="497">
        <f>C17*(1-E17)</f>
        <v>118.1979431224119</v>
      </c>
      <c r="J17" s="497"/>
      <c r="K17" s="497">
        <f>C17*(1-G17)</f>
        <v>0</v>
      </c>
      <c r="L17" s="147"/>
      <c r="M17" s="19">
        <f>AA17</f>
        <v>8861.26</v>
      </c>
      <c r="N17" s="19"/>
      <c r="O17" s="19">
        <f>AB17</f>
        <v>8861.26</v>
      </c>
      <c r="P17" s="147"/>
      <c r="Q17" s="16">
        <f>I17+M17</f>
        <v>8979.457943122412</v>
      </c>
      <c r="R17" s="147"/>
      <c r="S17" s="147">
        <f>K17+O17</f>
        <v>8861.26</v>
      </c>
      <c r="T17" s="147"/>
      <c r="U17" s="147">
        <f>'Exhibit B,1'!M89</f>
        <v>8861.26</v>
      </c>
      <c r="V17" s="147"/>
      <c r="W17" s="147">
        <f>U17-M17</f>
        <v>0</v>
      </c>
      <c r="X17" s="622"/>
      <c r="Y17" s="25">
        <f>A17</f>
        <v>2013</v>
      </c>
      <c r="Z17" s="17">
        <v>1079445.3898708611</v>
      </c>
      <c r="AA17" s="17">
        <v>8861.26</v>
      </c>
      <c r="AB17" s="17">
        <v>8861.26</v>
      </c>
      <c r="AC17" s="17">
        <v>8861.26</v>
      </c>
      <c r="AD17" s="17">
        <v>8861.26</v>
      </c>
      <c r="AE17" s="17">
        <f>AB17-AD17</f>
        <v>0</v>
      </c>
      <c r="AF17" s="17">
        <v>8866.2892850427543</v>
      </c>
      <c r="AG17" s="17">
        <f>U17-AF17</f>
        <v>-5.0292850427540543</v>
      </c>
      <c r="AN17" s="137"/>
      <c r="AO17" s="61">
        <f t="shared" si="0"/>
        <v>120</v>
      </c>
      <c r="AP17" s="72">
        <f>'Exhibit Q,3'!I26</f>
        <v>0.98813728327931161</v>
      </c>
      <c r="AQ17" s="72">
        <f t="shared" si="1"/>
        <v>0.98666127129523207</v>
      </c>
      <c r="AR17" s="72">
        <f>'Exhibit Q,1'!I26</f>
        <v>1</v>
      </c>
      <c r="AS17" s="72">
        <f t="shared" si="1"/>
        <v>1</v>
      </c>
    </row>
    <row r="18" spans="1:45">
      <c r="A18" s="6">
        <f>A17+1</f>
        <v>2014</v>
      </c>
      <c r="C18" s="17">
        <f>'Exhibit D,2'!M18</f>
        <v>4002760.5684396555</v>
      </c>
      <c r="E18" s="74">
        <f t="shared" si="2"/>
        <v>0.97727086921515149</v>
      </c>
      <c r="F18" s="74"/>
      <c r="G18" s="74">
        <f t="shared" si="3"/>
        <v>0.99943275577557755</v>
      </c>
      <c r="H18" s="18"/>
      <c r="I18" s="494">
        <f t="shared" ref="I18:I25" si="4">C18*(1-E18)</f>
        <v>90979.268460499472</v>
      </c>
      <c r="J18" s="494"/>
      <c r="K18" s="494">
        <f t="shared" ref="K18:K25" si="5">C18*(1-G18)</f>
        <v>2270.5428141933071</v>
      </c>
      <c r="L18" s="187"/>
      <c r="M18" s="22">
        <f t="shared" ref="M18:M26" si="6">AA18</f>
        <v>4000480.04</v>
      </c>
      <c r="N18" s="147"/>
      <c r="O18" s="17">
        <f t="shared" ref="O18:O26" si="7">AB18</f>
        <v>4000480.04</v>
      </c>
      <c r="P18" s="187"/>
      <c r="Q18" s="20">
        <f t="shared" ref="Q18:Q25" si="8">I18+M18</f>
        <v>4091459.3084604996</v>
      </c>
      <c r="R18" s="494"/>
      <c r="S18" s="494">
        <f t="shared" ref="S18:S25" si="9">K18+O18</f>
        <v>4002750.5828141933</v>
      </c>
      <c r="T18" s="494"/>
      <c r="U18" s="17">
        <f>'Exhibit B,1'!M90</f>
        <v>4002750.5828141933</v>
      </c>
      <c r="V18" s="494"/>
      <c r="W18" s="494">
        <f t="shared" ref="W18:W25" si="10">U18-M18</f>
        <v>2270.5428141932935</v>
      </c>
      <c r="X18" s="622"/>
      <c r="Y18" s="25">
        <f>Y17+1</f>
        <v>2014</v>
      </c>
      <c r="Z18" s="17">
        <v>1242835.5200000005</v>
      </c>
      <c r="AA18" s="17">
        <v>4000480.04</v>
      </c>
      <c r="AB18" s="17">
        <v>4000480.04</v>
      </c>
      <c r="AC18" s="17">
        <v>4000480.04</v>
      </c>
      <c r="AD18" s="17">
        <v>4000480.04</v>
      </c>
      <c r="AE18" s="17">
        <f t="shared" ref="AE18:AE26" si="11">AB18-AD18</f>
        <v>0</v>
      </c>
      <c r="AF18" s="17">
        <v>4020463.1526151467</v>
      </c>
      <c r="AG18" s="17">
        <f t="shared" ref="AG18:AG25" si="12">U18-AF18</f>
        <v>-17712.569800953381</v>
      </c>
      <c r="AL18" s="25"/>
      <c r="AM18" s="137"/>
      <c r="AN18" s="137"/>
      <c r="AO18" s="61">
        <f t="shared" si="0"/>
        <v>108</v>
      </c>
      <c r="AP18" s="72">
        <f>'Exhibit Q,3'!I27</f>
        <v>0.98223323534299367</v>
      </c>
      <c r="AQ18" s="72">
        <f t="shared" si="1"/>
        <v>0.97727086921515149</v>
      </c>
      <c r="AR18" s="72">
        <f>'Exhibit Q,1'!I27</f>
        <v>1</v>
      </c>
      <c r="AS18" s="72">
        <f t="shared" si="1"/>
        <v>0.99943275577557755</v>
      </c>
    </row>
    <row r="19" spans="1:45">
      <c r="A19" s="6">
        <f t="shared" ref="A19:A26" si="13">A18+1</f>
        <v>2015</v>
      </c>
      <c r="C19" s="17">
        <f>'Exhibit D,2'!M19</f>
        <v>2597260.3240408506</v>
      </c>
      <c r="E19" s="74">
        <f t="shared" si="2"/>
        <v>0.94620016749280134</v>
      </c>
      <c r="F19" s="74"/>
      <c r="G19" s="74">
        <f t="shared" si="3"/>
        <v>0.9950295269202436</v>
      </c>
      <c r="H19" s="18"/>
      <c r="I19" s="494">
        <f t="shared" si="4"/>
        <v>139732.17041099028</v>
      </c>
      <c r="J19" s="494"/>
      <c r="K19" s="494">
        <f t="shared" si="5"/>
        <v>12909.612521764429</v>
      </c>
      <c r="L19" s="187"/>
      <c r="M19" s="22">
        <f t="shared" si="6"/>
        <v>2584232.7599999998</v>
      </c>
      <c r="N19" s="147"/>
      <c r="O19" s="17">
        <f t="shared" si="7"/>
        <v>2584232.7599999998</v>
      </c>
      <c r="P19" s="187"/>
      <c r="Q19" s="20">
        <f t="shared" si="8"/>
        <v>2723964.93041099</v>
      </c>
      <c r="R19" s="494"/>
      <c r="S19" s="494">
        <f t="shared" si="9"/>
        <v>2597142.3725217641</v>
      </c>
      <c r="T19" s="494"/>
      <c r="U19" s="17">
        <f>'Exhibit B,1'!M91</f>
        <v>2597142.3725217641</v>
      </c>
      <c r="V19" s="494"/>
      <c r="W19" s="494">
        <f t="shared" si="10"/>
        <v>12909.612521764357</v>
      </c>
      <c r="X19" s="622"/>
      <c r="Y19" s="25">
        <f t="shared" ref="Y19:Y26" si="14">Y18+1</f>
        <v>2015</v>
      </c>
      <c r="Z19" s="17">
        <v>1936056.34</v>
      </c>
      <c r="AA19" s="17">
        <v>2584232.7599999998</v>
      </c>
      <c r="AB19" s="17">
        <v>2584232.7599999998</v>
      </c>
      <c r="AC19" s="17">
        <v>2584232.7599999998</v>
      </c>
      <c r="AD19" s="17">
        <v>2584232.7599999998</v>
      </c>
      <c r="AE19" s="17">
        <f t="shared" si="11"/>
        <v>0</v>
      </c>
      <c r="AF19" s="17">
        <v>2632211.8077422585</v>
      </c>
      <c r="AG19" s="17">
        <f t="shared" si="12"/>
        <v>-35069.435220494401</v>
      </c>
      <c r="AL19" s="25"/>
      <c r="AM19" s="137"/>
      <c r="AN19" s="137"/>
      <c r="AO19" s="61">
        <f t="shared" si="0"/>
        <v>96</v>
      </c>
      <c r="AP19" s="72">
        <f>'Exhibit Q,3'!I28</f>
        <v>0.96238377083162541</v>
      </c>
      <c r="AQ19" s="72">
        <f t="shared" si="1"/>
        <v>0.94620016749280134</v>
      </c>
      <c r="AR19" s="72">
        <f>'Exhibit Q,1'!I28</f>
        <v>0.99773102310231021</v>
      </c>
      <c r="AS19" s="72">
        <f t="shared" si="1"/>
        <v>0.9950295269202436</v>
      </c>
    </row>
    <row r="20" spans="1:45">
      <c r="A20" s="6">
        <f t="shared" si="13"/>
        <v>2016</v>
      </c>
      <c r="C20" s="17">
        <f>'Exhibit D,2'!M20</f>
        <v>2938118.1545938896</v>
      </c>
      <c r="E20" s="74">
        <f t="shared" si="2"/>
        <v>0.86874867285598234</v>
      </c>
      <c r="F20" s="74"/>
      <c r="G20" s="74">
        <f t="shared" si="3"/>
        <v>0.98169430874049524</v>
      </c>
      <c r="H20" s="18"/>
      <c r="I20" s="494">
        <f t="shared" si="4"/>
        <v>385631.90709638008</v>
      </c>
      <c r="J20" s="494"/>
      <c r="K20" s="494">
        <f t="shared" si="5"/>
        <v>53784.28382194163</v>
      </c>
      <c r="L20" s="187"/>
      <c r="M20" s="22">
        <f t="shared" si="6"/>
        <v>2883872.69</v>
      </c>
      <c r="N20" s="147"/>
      <c r="O20" s="17">
        <f t="shared" si="7"/>
        <v>2883872.69</v>
      </c>
      <c r="P20" s="187"/>
      <c r="Q20" s="20">
        <f t="shared" si="8"/>
        <v>3269504.5970963798</v>
      </c>
      <c r="R20" s="494"/>
      <c r="S20" s="494">
        <f t="shared" si="9"/>
        <v>2937656.9738219418</v>
      </c>
      <c r="T20" s="494"/>
      <c r="U20" s="17">
        <f>'Exhibit B,1'!M92</f>
        <v>2937656.9738219422</v>
      </c>
      <c r="V20" s="494"/>
      <c r="W20" s="494">
        <f t="shared" si="10"/>
        <v>53784.283821942285</v>
      </c>
      <c r="X20" s="622"/>
      <c r="Y20" s="25">
        <f t="shared" si="14"/>
        <v>2016</v>
      </c>
      <c r="Z20" s="17">
        <v>1052800.8200000003</v>
      </c>
      <c r="AA20" s="17">
        <v>2883872.69</v>
      </c>
      <c r="AB20" s="17">
        <v>2883872.69</v>
      </c>
      <c r="AC20" s="17">
        <v>2883872.69</v>
      </c>
      <c r="AD20" s="17">
        <v>2883872.69</v>
      </c>
      <c r="AE20" s="17">
        <f t="shared" si="11"/>
        <v>0</v>
      </c>
      <c r="AF20" s="17">
        <v>3015431.2386069647</v>
      </c>
      <c r="AG20" s="17">
        <f t="shared" si="12"/>
        <v>-77774.264785022475</v>
      </c>
      <c r="AL20" s="25"/>
      <c r="AM20" s="137"/>
      <c r="AN20" s="137"/>
      <c r="AO20" s="61">
        <f t="shared" si="0"/>
        <v>84</v>
      </c>
      <c r="AP20" s="72">
        <f>'Exhibit Q,3'!I29</f>
        <v>0.89764935747632868</v>
      </c>
      <c r="AQ20" s="72">
        <f t="shared" si="1"/>
        <v>0.86874867285598234</v>
      </c>
      <c r="AR20" s="72">
        <f>'Exhibit Q,1'!I29</f>
        <v>0.98692503837404399</v>
      </c>
      <c r="AS20" s="72">
        <f t="shared" si="1"/>
        <v>0.98169430874049524</v>
      </c>
    </row>
    <row r="21" spans="1:45">
      <c r="A21" s="6">
        <f t="shared" si="13"/>
        <v>2017</v>
      </c>
      <c r="C21" s="17">
        <f>'Exhibit D,2'!M21</f>
        <v>2048997.4084690402</v>
      </c>
      <c r="E21" s="74">
        <f t="shared" si="2"/>
        <v>0.74154507887500765</v>
      </c>
      <c r="F21" s="74"/>
      <c r="G21" s="74">
        <f t="shared" si="3"/>
        <v>0.95560421149717789</v>
      </c>
      <c r="H21" s="18"/>
      <c r="I21" s="494">
        <f t="shared" si="4"/>
        <v>529573.46359117958</v>
      </c>
      <c r="J21" s="494"/>
      <c r="K21" s="494">
        <f t="shared" si="5"/>
        <v>90966.855589222105</v>
      </c>
      <c r="L21" s="187"/>
      <c r="M21" s="22">
        <f t="shared" si="6"/>
        <v>1691606.47</v>
      </c>
      <c r="N21" s="147"/>
      <c r="O21" s="17">
        <f t="shared" si="7"/>
        <v>1943606.47</v>
      </c>
      <c r="P21" s="187"/>
      <c r="Q21" s="20">
        <f t="shared" si="8"/>
        <v>2221179.9335911795</v>
      </c>
      <c r="R21" s="494"/>
      <c r="S21" s="494">
        <f t="shared" si="9"/>
        <v>2034573.3255892221</v>
      </c>
      <c r="T21" s="494"/>
      <c r="U21" s="17">
        <f>'Exhibit B,1'!M93</f>
        <v>2034573.3255892221</v>
      </c>
      <c r="V21" s="494"/>
      <c r="W21" s="494">
        <f t="shared" si="10"/>
        <v>342966.85558922216</v>
      </c>
      <c r="X21" s="622"/>
      <c r="Y21" s="25">
        <f t="shared" si="14"/>
        <v>2017</v>
      </c>
      <c r="Z21" s="17">
        <v>1472534.7200000007</v>
      </c>
      <c r="AA21" s="17">
        <v>1691606.47</v>
      </c>
      <c r="AB21" s="17">
        <v>1943606.47</v>
      </c>
      <c r="AC21" s="17">
        <v>1552098.8900000001</v>
      </c>
      <c r="AD21" s="17">
        <v>2177046.21</v>
      </c>
      <c r="AE21" s="17">
        <f t="shared" si="11"/>
        <v>-233439.74</v>
      </c>
      <c r="AF21" s="17">
        <v>2403451.655210434</v>
      </c>
      <c r="AG21" s="17">
        <f t="shared" si="12"/>
        <v>-368878.32962121186</v>
      </c>
      <c r="AL21" s="25"/>
      <c r="AM21" s="137"/>
      <c r="AN21" s="137"/>
      <c r="AO21" s="61">
        <f t="shared" si="0"/>
        <v>72</v>
      </c>
      <c r="AP21" s="72">
        <f>'Exhibit Q,3'!I30</f>
        <v>0.78204661899494354</v>
      </c>
      <c r="AQ21" s="72">
        <f t="shared" si="1"/>
        <v>0.74154507887500765</v>
      </c>
      <c r="AR21" s="72">
        <f>'Exhibit Q,1'!I30</f>
        <v>0.96600211983984874</v>
      </c>
      <c r="AS21" s="72">
        <f t="shared" si="1"/>
        <v>0.95560421149717789</v>
      </c>
    </row>
    <row r="22" spans="1:45">
      <c r="A22" s="6">
        <f t="shared" si="13"/>
        <v>2018</v>
      </c>
      <c r="C22" s="17">
        <f>'Exhibit D,2'!M22</f>
        <v>501314.31157006003</v>
      </c>
      <c r="E22" s="74">
        <f t="shared" si="2"/>
        <v>0.57066207490428578</v>
      </c>
      <c r="F22" s="74"/>
      <c r="G22" s="74">
        <f t="shared" si="3"/>
        <v>0.90462701625526831</v>
      </c>
      <c r="H22" s="18"/>
      <c r="I22" s="494">
        <f t="shared" si="4"/>
        <v>215233.24635027596</v>
      </c>
      <c r="J22" s="494"/>
      <c r="K22" s="494">
        <f t="shared" si="5"/>
        <v>47811.84168837269</v>
      </c>
      <c r="L22" s="187"/>
      <c r="M22" s="22">
        <f t="shared" si="6"/>
        <v>83249.700000000012</v>
      </c>
      <c r="N22" s="147"/>
      <c r="O22" s="17">
        <f t="shared" si="7"/>
        <v>83249.700000000012</v>
      </c>
      <c r="P22" s="187"/>
      <c r="Q22" s="20">
        <f t="shared" si="8"/>
        <v>298482.946350276</v>
      </c>
      <c r="R22" s="494"/>
      <c r="S22" s="494">
        <f t="shared" si="9"/>
        <v>131061.5416883727</v>
      </c>
      <c r="T22" s="494"/>
      <c r="U22" s="623">
        <f>'Exhibit B,1'!M94+500000</f>
        <v>631061.54168837261</v>
      </c>
      <c r="V22" s="494"/>
      <c r="W22" s="494">
        <f t="shared" si="10"/>
        <v>547811.84168837266</v>
      </c>
      <c r="X22" s="622"/>
      <c r="Y22" s="25">
        <f t="shared" si="14"/>
        <v>2018</v>
      </c>
      <c r="Z22" s="17">
        <v>1530113.3899999987</v>
      </c>
      <c r="AA22" s="17">
        <v>83249.700000000012</v>
      </c>
      <c r="AB22" s="17">
        <v>83249.700000000012</v>
      </c>
      <c r="AC22" s="17">
        <v>83249.7</v>
      </c>
      <c r="AD22" s="17">
        <v>83249.7</v>
      </c>
      <c r="AE22" s="17">
        <f t="shared" si="11"/>
        <v>0</v>
      </c>
      <c r="AF22" s="17">
        <v>961621.02801306639</v>
      </c>
      <c r="AG22" s="17">
        <f t="shared" si="12"/>
        <v>-330559.48632469377</v>
      </c>
      <c r="AH22" s="1" t="s">
        <v>1730</v>
      </c>
      <c r="AL22" s="25"/>
      <c r="AM22" s="137"/>
      <c r="AN22" s="137"/>
      <c r="AO22" s="61">
        <f t="shared" si="0"/>
        <v>60</v>
      </c>
      <c r="AP22" s="72">
        <f>'Exhibit Q,3'!I31</f>
        <v>0.62004045851520007</v>
      </c>
      <c r="AQ22" s="72">
        <f t="shared" si="1"/>
        <v>0.57066207490428578</v>
      </c>
      <c r="AR22" s="72">
        <f>'Exhibit Q,1'!I31</f>
        <v>0.92441048646916535</v>
      </c>
      <c r="AS22" s="72">
        <f t="shared" si="1"/>
        <v>0.90462701625526831</v>
      </c>
    </row>
    <row r="23" spans="1:45">
      <c r="A23" s="6">
        <f t="shared" si="13"/>
        <v>2019</v>
      </c>
      <c r="C23" s="17">
        <f>'Exhibit D,2'!M23</f>
        <v>4161330.4681595745</v>
      </c>
      <c r="E23" s="74">
        <f t="shared" si="2"/>
        <v>0.37902757056383773</v>
      </c>
      <c r="F23" s="74"/>
      <c r="G23" s="74">
        <f t="shared" si="3"/>
        <v>0.79961735083527929</v>
      </c>
      <c r="H23" s="18"/>
      <c r="I23" s="494">
        <f t="shared" si="4"/>
        <v>2584071.4904997735</v>
      </c>
      <c r="J23" s="494"/>
      <c r="K23" s="494">
        <f t="shared" si="5"/>
        <v>833858.42325968295</v>
      </c>
      <c r="L23" s="187"/>
      <c r="M23" s="22">
        <f t="shared" si="6"/>
        <v>1812054.13</v>
      </c>
      <c r="N23" s="147"/>
      <c r="O23" s="17">
        <f t="shared" si="7"/>
        <v>3306953.63</v>
      </c>
      <c r="P23" s="187"/>
      <c r="Q23" s="20">
        <f t="shared" si="8"/>
        <v>4396125.620499773</v>
      </c>
      <c r="R23" s="494"/>
      <c r="S23" s="494">
        <f t="shared" si="9"/>
        <v>4140812.0532596828</v>
      </c>
      <c r="T23" s="494"/>
      <c r="U23" s="20">
        <f>'Exhibit B,1'!M95</f>
        <v>3841492.4821127155</v>
      </c>
      <c r="V23" s="494"/>
      <c r="W23" s="494">
        <f t="shared" si="10"/>
        <v>2029438.3521127156</v>
      </c>
      <c r="X23" s="622"/>
      <c r="Y23" s="25">
        <f t="shared" si="14"/>
        <v>2019</v>
      </c>
      <c r="Z23" s="17">
        <v>1614309.1900000004</v>
      </c>
      <c r="AA23" s="17">
        <v>1812054.13</v>
      </c>
      <c r="AB23" s="17">
        <v>3306953.63</v>
      </c>
      <c r="AC23" s="17">
        <v>1051816.6599999999</v>
      </c>
      <c r="AD23" s="17">
        <v>3147036.81</v>
      </c>
      <c r="AE23" s="17">
        <f t="shared" si="11"/>
        <v>159916.81999999983</v>
      </c>
      <c r="AF23" s="17">
        <v>4920387.3289706726</v>
      </c>
      <c r="AG23" s="17">
        <f t="shared" si="12"/>
        <v>-1078894.8468579571</v>
      </c>
      <c r="AL23" s="25"/>
      <c r="AM23" s="137"/>
      <c r="AN23" s="137"/>
      <c r="AO23" s="61">
        <f t="shared" si="0"/>
        <v>48</v>
      </c>
      <c r="AP23" s="72">
        <f>'Exhibit Q,3'!I32</f>
        <v>0.4225269240715428</v>
      </c>
      <c r="AQ23" s="72">
        <f t="shared" si="1"/>
        <v>0.37902757056383773</v>
      </c>
      <c r="AR23" s="72">
        <f>'Exhibit Q,1'!I32</f>
        <v>0.8452766056135772</v>
      </c>
      <c r="AS23" s="72">
        <f t="shared" si="1"/>
        <v>0.79961735083527929</v>
      </c>
    </row>
    <row r="24" spans="1:45">
      <c r="A24" s="6">
        <f t="shared" si="13"/>
        <v>2020</v>
      </c>
      <c r="C24" s="17">
        <f>'Exhibit D,2'!M24</f>
        <v>1983876.3061453947</v>
      </c>
      <c r="E24" s="74">
        <f t="shared" si="2"/>
        <v>0.21166117878459362</v>
      </c>
      <c r="F24" s="74"/>
      <c r="G24" s="74">
        <f t="shared" si="3"/>
        <v>0.58843521263179333</v>
      </c>
      <c r="H24" s="18"/>
      <c r="I24" s="494">
        <f t="shared" si="4"/>
        <v>1563966.7086238351</v>
      </c>
      <c r="J24" s="494"/>
      <c r="K24" s="494">
        <f t="shared" si="5"/>
        <v>816493.6301035526</v>
      </c>
      <c r="L24" s="187"/>
      <c r="M24" s="22">
        <f t="shared" si="6"/>
        <v>1214226.6299999999</v>
      </c>
      <c r="N24" s="147"/>
      <c r="O24" s="17">
        <f t="shared" si="7"/>
        <v>1216226.6299999999</v>
      </c>
      <c r="P24" s="187"/>
      <c r="Q24" s="20">
        <f t="shared" si="8"/>
        <v>2778193.3386238348</v>
      </c>
      <c r="R24" s="494"/>
      <c r="S24" s="494">
        <f t="shared" si="9"/>
        <v>2032720.2601035526</v>
      </c>
      <c r="T24" s="494"/>
      <c r="U24" s="17">
        <f>'Exhibit B,1'!M96</f>
        <v>1710614.4417516314</v>
      </c>
      <c r="V24" s="494"/>
      <c r="W24" s="494">
        <f t="shared" si="10"/>
        <v>496387.81175163155</v>
      </c>
      <c r="X24" s="622"/>
      <c r="Y24" s="25">
        <f t="shared" si="14"/>
        <v>2020</v>
      </c>
      <c r="Z24" s="17">
        <v>1527213.8199999996</v>
      </c>
      <c r="AA24" s="17">
        <v>1214226.6299999999</v>
      </c>
      <c r="AB24" s="17">
        <v>1216226.6299999999</v>
      </c>
      <c r="AC24" s="17">
        <v>133713.06</v>
      </c>
      <c r="AD24" s="17">
        <v>253990.5</v>
      </c>
      <c r="AE24" s="17">
        <f t="shared" si="11"/>
        <v>962236.12999999989</v>
      </c>
      <c r="AF24" s="17">
        <v>1550558.5877638003</v>
      </c>
      <c r="AG24" s="17">
        <f t="shared" si="12"/>
        <v>160055.85398783116</v>
      </c>
      <c r="AL24" s="25"/>
      <c r="AM24" s="137"/>
      <c r="AN24" s="137"/>
      <c r="AO24" s="61">
        <f t="shared" si="0"/>
        <v>36</v>
      </c>
      <c r="AP24" s="72">
        <f>'Exhibit Q,3'!I33</f>
        <v>0.2485295100407226</v>
      </c>
      <c r="AQ24" s="72">
        <f t="shared" si="1"/>
        <v>0.21166117878459362</v>
      </c>
      <c r="AR24" s="72">
        <f>'Exhibit Q,1'!I33</f>
        <v>0.66263958650038568</v>
      </c>
      <c r="AS24" s="72">
        <f t="shared" si="1"/>
        <v>0.58843521263179333</v>
      </c>
    </row>
    <row r="25" spans="1:45">
      <c r="A25" s="6">
        <f t="shared" si="13"/>
        <v>2021</v>
      </c>
      <c r="C25" s="17">
        <f>'Exhibit D,2'!M25</f>
        <v>4457723.3520909734</v>
      </c>
      <c r="E25" s="74">
        <f t="shared" si="2"/>
        <v>7.9715419926820269E-2</v>
      </c>
      <c r="F25" s="74"/>
      <c r="G25" s="74">
        <f t="shared" si="3"/>
        <v>0.30765051191110515</v>
      </c>
      <c r="H25" s="18"/>
      <c r="I25" s="494">
        <f t="shared" si="4"/>
        <v>4102374.0631614486</v>
      </c>
      <c r="J25" s="494"/>
      <c r="K25" s="494">
        <f t="shared" si="5"/>
        <v>3086302.4808620978</v>
      </c>
      <c r="L25" s="187"/>
      <c r="M25" s="22">
        <f t="shared" si="6"/>
        <v>1227856.73</v>
      </c>
      <c r="N25" s="147"/>
      <c r="O25" s="17">
        <f t="shared" si="7"/>
        <v>3479072.05</v>
      </c>
      <c r="P25" s="187"/>
      <c r="Q25" s="20">
        <f t="shared" si="8"/>
        <v>5330230.7931614481</v>
      </c>
      <c r="R25" s="494"/>
      <c r="S25" s="494">
        <f t="shared" si="9"/>
        <v>6565374.5308620976</v>
      </c>
      <c r="T25" s="494"/>
      <c r="U25" s="17">
        <f>'Exhibit B,1'!M97</f>
        <v>5712832.575143653</v>
      </c>
      <c r="V25" s="494"/>
      <c r="W25" s="494">
        <f t="shared" si="10"/>
        <v>4484975.8451436535</v>
      </c>
      <c r="X25" s="622"/>
      <c r="Y25" s="25">
        <f t="shared" si="14"/>
        <v>2021</v>
      </c>
      <c r="Z25" s="17">
        <v>1819557.4099999997</v>
      </c>
      <c r="AA25" s="17">
        <v>1227856.73</v>
      </c>
      <c r="AB25" s="17">
        <v>3479072.05</v>
      </c>
      <c r="AC25" s="17">
        <v>34306.15</v>
      </c>
      <c r="AD25" s="17">
        <v>341193</v>
      </c>
      <c r="AE25" s="17">
        <f t="shared" si="11"/>
        <v>3137879.05</v>
      </c>
      <c r="AF25" s="17">
        <v>2505391.4652727419</v>
      </c>
      <c r="AG25" s="17">
        <f t="shared" si="12"/>
        <v>3207441.1098709111</v>
      </c>
      <c r="AJ25" s="1" t="s">
        <v>1706</v>
      </c>
      <c r="AL25" s="61"/>
      <c r="AM25" s="61"/>
      <c r="AN25" s="61"/>
      <c r="AO25" s="61">
        <f>AO26+12</f>
        <v>24</v>
      </c>
      <c r="AP25" s="72">
        <f>'Exhibit Q,3'!I34</f>
        <v>0.10105618501620665</v>
      </c>
      <c r="AQ25" s="72">
        <f t="shared" si="1"/>
        <v>7.9715419926820269E-2</v>
      </c>
      <c r="AR25" s="72">
        <f>'Exhibit Q,1'!I34</f>
        <v>0.36582209102601632</v>
      </c>
      <c r="AS25" s="72">
        <f t="shared" si="1"/>
        <v>0.30765051191110515</v>
      </c>
    </row>
    <row r="26" spans="1:45">
      <c r="A26" s="6">
        <f t="shared" si="13"/>
        <v>2022</v>
      </c>
      <c r="C26" s="17">
        <f>'Exhibit D,2'!M26</f>
        <v>3676214.6681850632</v>
      </c>
      <c r="D26" s="573"/>
      <c r="E26" s="74">
        <f t="shared" ref="E26" si="15">AQ26</f>
        <v>1.1769843493995846E-2</v>
      </c>
      <c r="F26" s="74"/>
      <c r="G26" s="74">
        <f t="shared" ref="G26" si="16">AS26</f>
        <v>9.9851830924778728E-2</v>
      </c>
      <c r="H26" s="573"/>
      <c r="I26" s="542">
        <f t="shared" ref="I26" si="17">C26*(1-E26)</f>
        <v>3632946.196890193</v>
      </c>
      <c r="J26" s="542"/>
      <c r="K26" s="542">
        <f t="shared" ref="K26" si="18">C26*(1-G26)</f>
        <v>3309137.902694257</v>
      </c>
      <c r="L26" s="573"/>
      <c r="M26" s="17">
        <f t="shared" si="6"/>
        <v>36605.5</v>
      </c>
      <c r="N26" s="573"/>
      <c r="O26" s="17">
        <f t="shared" si="7"/>
        <v>263352.5</v>
      </c>
      <c r="P26" s="187"/>
      <c r="Q26" s="20">
        <f t="shared" ref="Q26" si="19">I26+M26</f>
        <v>3669551.696890193</v>
      </c>
      <c r="R26" s="494"/>
      <c r="S26" s="494">
        <f t="shared" ref="S26" si="20">K26+O26</f>
        <v>3572490.402694257</v>
      </c>
      <c r="T26" s="494"/>
      <c r="U26" s="17">
        <f>'Exhibit B,1'!M98</f>
        <v>2375708.2699326677</v>
      </c>
      <c r="V26" s="494"/>
      <c r="W26" s="494">
        <f t="shared" ref="W26" si="21">U26-M26</f>
        <v>2339102.7699326677</v>
      </c>
      <c r="X26" s="622"/>
      <c r="Y26" s="25">
        <f t="shared" si="14"/>
        <v>2022</v>
      </c>
      <c r="Z26" s="54">
        <v>3582965.3400000003</v>
      </c>
      <c r="AA26" s="17">
        <v>36605.5</v>
      </c>
      <c r="AB26" s="17">
        <v>263352.5</v>
      </c>
      <c r="AC26" s="17">
        <v>0</v>
      </c>
      <c r="AD26" s="17">
        <v>0</v>
      </c>
      <c r="AE26" s="17">
        <f t="shared" si="11"/>
        <v>263352.5</v>
      </c>
      <c r="AF26" s="17">
        <v>0</v>
      </c>
      <c r="AG26" s="17"/>
      <c r="AH26" s="72"/>
      <c r="AL26" s="61"/>
      <c r="AM26" s="61"/>
      <c r="AN26" s="61"/>
      <c r="AO26" s="61">
        <v>12</v>
      </c>
      <c r="AP26" s="72">
        <f>'Exhibit Q,3'!I35</f>
        <v>1.5693124658661128E-2</v>
      </c>
      <c r="AQ26" s="72">
        <f>AP27*(3/12)+AP26*(9/12)</f>
        <v>1.1769843493995846E-2</v>
      </c>
      <c r="AR26" s="72">
        <f>'Exhibit Q,1'!I35</f>
        <v>0.13313577456637163</v>
      </c>
      <c r="AS26" s="72">
        <f>AR27*(3/12)+AR26*(9/12)</f>
        <v>9.9851830924778728E-2</v>
      </c>
    </row>
    <row r="27" spans="1:45" ht="16">
      <c r="A27" s="6"/>
      <c r="C27" s="63"/>
      <c r="I27" s="63"/>
      <c r="J27" s="63"/>
      <c r="K27" s="63"/>
      <c r="M27" s="63"/>
      <c r="O27" s="63"/>
      <c r="Q27" s="63"/>
      <c r="S27" s="63"/>
      <c r="U27" s="63"/>
      <c r="W27" s="63"/>
      <c r="X27" s="63"/>
      <c r="Y27" s="25"/>
      <c r="Z27" s="396"/>
      <c r="AA27" s="70"/>
      <c r="AB27" s="70"/>
      <c r="AC27" s="70"/>
      <c r="AD27" s="70"/>
      <c r="AE27" s="70"/>
      <c r="AF27" s="70"/>
      <c r="AG27" s="70"/>
      <c r="AH27" s="61"/>
      <c r="AI27" s="61"/>
      <c r="AJ27" s="61"/>
      <c r="AL27" s="61"/>
      <c r="AM27" s="61"/>
      <c r="AN27" s="61"/>
      <c r="AP27" s="360"/>
      <c r="AQ27" s="360"/>
    </row>
    <row r="28" spans="1:45" ht="16">
      <c r="A28" s="2" t="s">
        <v>0</v>
      </c>
      <c r="C28" s="147">
        <f>SUM(C17:C27)</f>
        <v>26376456.821694501</v>
      </c>
      <c r="D28" s="26"/>
      <c r="E28" s="26"/>
      <c r="G28" s="26"/>
      <c r="I28" s="147">
        <f>SUM(I17:I27)</f>
        <v>13244626.713027697</v>
      </c>
      <c r="J28" s="147"/>
      <c r="K28" s="147">
        <f>SUM(K17:K27)</f>
        <v>8253535.5733550843</v>
      </c>
      <c r="L28" s="147"/>
      <c r="M28" s="147">
        <f>SUM(M17:M27)</f>
        <v>15543045.91</v>
      </c>
      <c r="N28" s="147"/>
      <c r="O28" s="147">
        <f>SUM(O17:O27)</f>
        <v>19769907.73</v>
      </c>
      <c r="P28" s="147"/>
      <c r="Q28" s="147">
        <f>SUM(Q17:Q27)</f>
        <v>28787672.623027697</v>
      </c>
      <c r="R28" s="147"/>
      <c r="S28" s="147">
        <f>SUM(S17:S27)</f>
        <v>28023443.303355083</v>
      </c>
      <c r="T28" s="147"/>
      <c r="U28" s="147">
        <f>SUM(U17:U27)</f>
        <v>25852693.825376164</v>
      </c>
      <c r="V28" s="147"/>
      <c r="W28" s="147">
        <f>SUM(W17:W27)</f>
        <v>10309647.915376164</v>
      </c>
      <c r="X28" s="147"/>
      <c r="Y28" s="97" t="s">
        <v>0</v>
      </c>
      <c r="Z28" s="68">
        <f t="shared" ref="Z28:AE28" si="22">SUM(Z17:Z27)</f>
        <v>16857831.939870864</v>
      </c>
      <c r="AA28" s="68">
        <f t="shared" si="22"/>
        <v>15543045.91</v>
      </c>
      <c r="AB28" s="68">
        <f t="shared" si="22"/>
        <v>19769907.73</v>
      </c>
      <c r="AC28" s="68">
        <f t="shared" si="22"/>
        <v>12332631.210000001</v>
      </c>
      <c r="AD28" s="68">
        <f t="shared" si="22"/>
        <v>15479962.970000001</v>
      </c>
      <c r="AE28" s="68">
        <f t="shared" si="22"/>
        <v>4289944.76</v>
      </c>
      <c r="AF28" s="68">
        <f t="shared" ref="AF28:AG28" si="23">SUM(AF17:AF27)</f>
        <v>22018382.55348013</v>
      </c>
      <c r="AG28" s="68">
        <f t="shared" si="23"/>
        <v>1458603.0019633665</v>
      </c>
      <c r="AH28" s="61"/>
      <c r="AI28" s="61"/>
      <c r="AJ28" s="61"/>
      <c r="AL28" s="61"/>
      <c r="AM28" s="61"/>
      <c r="AN28" s="137"/>
      <c r="AP28" s="360"/>
      <c r="AQ28" s="360"/>
    </row>
    <row r="29" spans="1:45">
      <c r="A29" s="6"/>
      <c r="C29" s="147"/>
      <c r="M29" s="574"/>
      <c r="N29" s="147"/>
      <c r="O29" s="19"/>
      <c r="S29" s="147"/>
      <c r="U29" s="61"/>
      <c r="V29" s="61"/>
      <c r="W29" s="597"/>
      <c r="Y29" s="25"/>
      <c r="AG29" s="61"/>
      <c r="AH29" s="61"/>
      <c r="AI29" s="61"/>
      <c r="AJ29" s="61"/>
      <c r="AL29" s="61"/>
      <c r="AM29" s="61"/>
      <c r="AN29" s="68"/>
    </row>
    <row r="30" spans="1:45">
      <c r="A30" s="3" t="s">
        <v>295</v>
      </c>
      <c r="Q30" s="192"/>
      <c r="S30" s="26"/>
      <c r="U30" s="68"/>
      <c r="V30" s="61"/>
      <c r="W30" s="69"/>
      <c r="Y30" s="115" t="s">
        <v>295</v>
      </c>
      <c r="Z30" s="17"/>
      <c r="AA30" s="17">
        <v>25024.959999999999</v>
      </c>
      <c r="AB30" s="17">
        <v>25024.959999999999</v>
      </c>
      <c r="AC30" s="17"/>
      <c r="AD30" s="17"/>
      <c r="AE30" s="17"/>
      <c r="AF30" s="17"/>
      <c r="AG30" s="17"/>
      <c r="AL30" s="25"/>
      <c r="AM30" s="26">
        <v>25025</v>
      </c>
      <c r="AN30" s="68"/>
    </row>
    <row r="31" spans="1:45">
      <c r="A31" s="6">
        <f>A17</f>
        <v>2013</v>
      </c>
      <c r="C31" s="147">
        <f>'Exhibit D,2'!M31</f>
        <v>0</v>
      </c>
      <c r="E31" s="74">
        <v>1</v>
      </c>
      <c r="G31" s="74">
        <v>1</v>
      </c>
      <c r="H31" s="26"/>
      <c r="I31" s="497">
        <f>C31*(1-E31)</f>
        <v>0</v>
      </c>
      <c r="J31" s="497"/>
      <c r="K31" s="497">
        <f>C31*(1-G31)</f>
        <v>0</v>
      </c>
      <c r="L31" s="147"/>
      <c r="M31" s="574">
        <f>AA31</f>
        <v>0</v>
      </c>
      <c r="N31" s="147"/>
      <c r="O31" s="19">
        <f>AB31</f>
        <v>0</v>
      </c>
      <c r="P31" s="147"/>
      <c r="Q31" s="147">
        <f>I31+M31</f>
        <v>0</v>
      </c>
      <c r="R31" s="147"/>
      <c r="S31" s="147">
        <f>K31+O31</f>
        <v>0</v>
      </c>
      <c r="T31" s="147"/>
      <c r="U31" s="147">
        <f>O31</f>
        <v>0</v>
      </c>
      <c r="V31" s="147"/>
      <c r="W31" s="147">
        <f>U31-M31</f>
        <v>0</v>
      </c>
      <c r="Y31" s="25">
        <f>A31</f>
        <v>2013</v>
      </c>
      <c r="Z31" s="17">
        <v>261275</v>
      </c>
      <c r="AA31" s="17">
        <v>0</v>
      </c>
      <c r="AB31" s="17">
        <v>0</v>
      </c>
      <c r="AC31" s="17">
        <v>0</v>
      </c>
      <c r="AD31" s="17">
        <v>0</v>
      </c>
      <c r="AE31" s="17">
        <f>AB31-AD31</f>
        <v>0</v>
      </c>
      <c r="AF31" s="17">
        <v>0</v>
      </c>
      <c r="AG31" s="17"/>
      <c r="AL31" s="25">
        <f>Y31</f>
        <v>2013</v>
      </c>
      <c r="AM31" s="18">
        <v>0</v>
      </c>
      <c r="AN31" s="137">
        <f t="shared" ref="AN31:AN38" si="24">U31-AM31</f>
        <v>0</v>
      </c>
    </row>
    <row r="32" spans="1:45">
      <c r="A32" s="6">
        <f>A31+1</f>
        <v>2014</v>
      </c>
      <c r="C32" s="17">
        <f>'Exhibit D,2'!M32</f>
        <v>420</v>
      </c>
      <c r="D32" s="26"/>
      <c r="E32" s="74">
        <v>1</v>
      </c>
      <c r="G32" s="74">
        <v>1</v>
      </c>
      <c r="H32" s="18"/>
      <c r="I32" s="494">
        <f t="shared" ref="I32:I39" si="25">C32*(1-E32)</f>
        <v>0</v>
      </c>
      <c r="J32" s="494"/>
      <c r="K32" s="494">
        <f t="shared" ref="K32:K39" si="26">C32*(1-G32)</f>
        <v>0</v>
      </c>
      <c r="L32" s="187"/>
      <c r="M32" s="22">
        <f t="shared" ref="M32:M40" si="27">AA32</f>
        <v>420</v>
      </c>
      <c r="N32" s="187"/>
      <c r="O32" s="17">
        <f t="shared" ref="O32:O40" si="28">AB32</f>
        <v>420</v>
      </c>
      <c r="P32" s="187"/>
      <c r="Q32" s="494">
        <f t="shared" ref="Q32:Q39" si="29">I32+M32</f>
        <v>420</v>
      </c>
      <c r="R32" s="494"/>
      <c r="S32" s="494">
        <f t="shared" ref="S32:S39" si="30">K32+O32</f>
        <v>420</v>
      </c>
      <c r="T32" s="494"/>
      <c r="U32" s="494">
        <f t="shared" ref="U32:U36" si="31">O32</f>
        <v>420</v>
      </c>
      <c r="V32" s="494"/>
      <c r="W32" s="494">
        <f t="shared" ref="W32:W39" si="32">U32-M32</f>
        <v>0</v>
      </c>
      <c r="Y32" s="25">
        <f>Y31+1</f>
        <v>2014</v>
      </c>
      <c r="Z32" s="17">
        <v>227776</v>
      </c>
      <c r="AA32" s="17">
        <v>420</v>
      </c>
      <c r="AB32" s="17">
        <v>420</v>
      </c>
      <c r="AC32" s="17">
        <v>420</v>
      </c>
      <c r="AD32" s="17">
        <v>420</v>
      </c>
      <c r="AE32" s="17">
        <f t="shared" ref="AE32:AE40" si="33">AB32-AD32</f>
        <v>0</v>
      </c>
      <c r="AF32" s="17">
        <v>420</v>
      </c>
      <c r="AG32" s="17">
        <f>U32-AF32</f>
        <v>0</v>
      </c>
      <c r="AL32" s="25">
        <f t="shared" ref="AL32:AL38" si="34">AL31+1</f>
        <v>2014</v>
      </c>
      <c r="AM32" s="18">
        <v>420</v>
      </c>
      <c r="AN32" s="137">
        <f t="shared" si="24"/>
        <v>0</v>
      </c>
    </row>
    <row r="33" spans="1:40">
      <c r="A33" s="6">
        <f t="shared" ref="A33:A40" si="35">A32+1</f>
        <v>2015</v>
      </c>
      <c r="C33" s="17">
        <f>'Exhibit D,2'!M33</f>
        <v>104375</v>
      </c>
      <c r="E33" s="74">
        <v>1</v>
      </c>
      <c r="G33" s="74">
        <v>1</v>
      </c>
      <c r="H33" s="18"/>
      <c r="I33" s="494">
        <f t="shared" si="25"/>
        <v>0</v>
      </c>
      <c r="J33" s="494"/>
      <c r="K33" s="494">
        <f t="shared" si="26"/>
        <v>0</v>
      </c>
      <c r="L33" s="187"/>
      <c r="M33" s="22">
        <f t="shared" si="27"/>
        <v>104375</v>
      </c>
      <c r="N33" s="187"/>
      <c r="O33" s="17">
        <f t="shared" si="28"/>
        <v>104375</v>
      </c>
      <c r="P33" s="187"/>
      <c r="Q33" s="494">
        <f t="shared" si="29"/>
        <v>104375</v>
      </c>
      <c r="R33" s="494"/>
      <c r="S33" s="494">
        <f t="shared" si="30"/>
        <v>104375</v>
      </c>
      <c r="T33" s="494"/>
      <c r="U33" s="494">
        <f t="shared" si="31"/>
        <v>104375</v>
      </c>
      <c r="V33" s="494"/>
      <c r="W33" s="494">
        <f t="shared" si="32"/>
        <v>0</v>
      </c>
      <c r="Y33" s="25">
        <f t="shared" ref="Y33:Y40" si="36">Y32+1</f>
        <v>2015</v>
      </c>
      <c r="Z33" s="17">
        <v>170820.55</v>
      </c>
      <c r="AA33" s="17">
        <v>104375</v>
      </c>
      <c r="AB33" s="17">
        <v>104375</v>
      </c>
      <c r="AC33" s="17">
        <v>104375</v>
      </c>
      <c r="AD33" s="17">
        <v>104375</v>
      </c>
      <c r="AE33" s="17">
        <f t="shared" si="33"/>
        <v>0</v>
      </c>
      <c r="AF33" s="17">
        <v>104375</v>
      </c>
      <c r="AG33" s="17">
        <f t="shared" ref="AG33:AG39" si="37">U33-AF33</f>
        <v>0</v>
      </c>
      <c r="AL33" s="25">
        <f t="shared" si="34"/>
        <v>2015</v>
      </c>
      <c r="AM33" s="18">
        <v>104375</v>
      </c>
      <c r="AN33" s="137">
        <f t="shared" si="24"/>
        <v>0</v>
      </c>
    </row>
    <row r="34" spans="1:40">
      <c r="A34" s="6">
        <f t="shared" si="35"/>
        <v>2016</v>
      </c>
      <c r="C34" s="17">
        <f>'Exhibit D,2'!M34</f>
        <v>114230.56999999999</v>
      </c>
      <c r="E34" s="74">
        <v>1</v>
      </c>
      <c r="G34" s="74">
        <v>1</v>
      </c>
      <c r="H34" s="18"/>
      <c r="I34" s="494">
        <f t="shared" si="25"/>
        <v>0</v>
      </c>
      <c r="J34" s="494"/>
      <c r="K34" s="494">
        <f t="shared" si="26"/>
        <v>0</v>
      </c>
      <c r="L34" s="187"/>
      <c r="M34" s="22">
        <f t="shared" si="27"/>
        <v>114230.56999999999</v>
      </c>
      <c r="N34" s="187"/>
      <c r="O34" s="17">
        <f t="shared" si="28"/>
        <v>114230.56999999999</v>
      </c>
      <c r="P34" s="187"/>
      <c r="Q34" s="494">
        <f t="shared" si="29"/>
        <v>114230.56999999999</v>
      </c>
      <c r="R34" s="494"/>
      <c r="S34" s="494">
        <f t="shared" si="30"/>
        <v>114230.56999999999</v>
      </c>
      <c r="T34" s="494"/>
      <c r="U34" s="494">
        <f t="shared" si="31"/>
        <v>114230.56999999999</v>
      </c>
      <c r="V34" s="494"/>
      <c r="W34" s="494">
        <f t="shared" si="32"/>
        <v>0</v>
      </c>
      <c r="X34" s="53"/>
      <c r="Y34" s="25">
        <f t="shared" si="36"/>
        <v>2016</v>
      </c>
      <c r="Z34" s="17">
        <v>173029</v>
      </c>
      <c r="AA34" s="17">
        <v>114230.56999999999</v>
      </c>
      <c r="AB34" s="17">
        <v>114230.56999999999</v>
      </c>
      <c r="AC34" s="17">
        <v>114230.56999999999</v>
      </c>
      <c r="AD34" s="17">
        <v>114230.56999999999</v>
      </c>
      <c r="AE34" s="17">
        <f t="shared" si="33"/>
        <v>0</v>
      </c>
      <c r="AF34" s="17">
        <v>114230.56999999999</v>
      </c>
      <c r="AG34" s="17">
        <f t="shared" si="37"/>
        <v>0</v>
      </c>
      <c r="AL34" s="25">
        <f t="shared" si="34"/>
        <v>2016</v>
      </c>
      <c r="AM34" s="18">
        <v>114230.56999999999</v>
      </c>
      <c r="AN34" s="137">
        <f t="shared" si="24"/>
        <v>0</v>
      </c>
    </row>
    <row r="35" spans="1:40">
      <c r="A35" s="6">
        <f t="shared" si="35"/>
        <v>2017</v>
      </c>
      <c r="C35" s="17">
        <f>'Exhibit D,2'!M35</f>
        <v>72455.05</v>
      </c>
      <c r="E35" s="74">
        <v>1</v>
      </c>
      <c r="G35" s="74">
        <v>1</v>
      </c>
      <c r="H35" s="18"/>
      <c r="I35" s="494">
        <f t="shared" si="25"/>
        <v>0</v>
      </c>
      <c r="J35" s="494"/>
      <c r="K35" s="494">
        <f t="shared" si="26"/>
        <v>0</v>
      </c>
      <c r="L35" s="187"/>
      <c r="M35" s="22">
        <f t="shared" si="27"/>
        <v>72455.05</v>
      </c>
      <c r="N35" s="187"/>
      <c r="O35" s="17">
        <f t="shared" si="28"/>
        <v>72455.05</v>
      </c>
      <c r="P35" s="187"/>
      <c r="Q35" s="494">
        <f t="shared" si="29"/>
        <v>72455.05</v>
      </c>
      <c r="R35" s="494"/>
      <c r="S35" s="494">
        <f t="shared" si="30"/>
        <v>72455.05</v>
      </c>
      <c r="T35" s="494"/>
      <c r="U35" s="494">
        <f t="shared" si="31"/>
        <v>72455.05</v>
      </c>
      <c r="V35" s="494"/>
      <c r="W35" s="494">
        <f t="shared" si="32"/>
        <v>0</v>
      </c>
      <c r="Y35" s="25">
        <f t="shared" si="36"/>
        <v>2017</v>
      </c>
      <c r="Z35" s="17">
        <v>175683.42</v>
      </c>
      <c r="AA35" s="17">
        <v>72455.05</v>
      </c>
      <c r="AB35" s="17">
        <v>72455.05</v>
      </c>
      <c r="AC35" s="17">
        <v>72455.05</v>
      </c>
      <c r="AD35" s="17">
        <v>72455.05</v>
      </c>
      <c r="AE35" s="17">
        <f t="shared" si="33"/>
        <v>0</v>
      </c>
      <c r="AF35" s="17">
        <v>72455.05</v>
      </c>
      <c r="AG35" s="17">
        <f t="shared" si="37"/>
        <v>0</v>
      </c>
      <c r="AL35" s="25">
        <f t="shared" si="34"/>
        <v>2017</v>
      </c>
      <c r="AM35" s="18">
        <v>120076.29000000001</v>
      </c>
      <c r="AN35" s="137">
        <f t="shared" si="24"/>
        <v>-47621.240000000005</v>
      </c>
    </row>
    <row r="36" spans="1:40">
      <c r="A36" s="6">
        <f t="shared" si="35"/>
        <v>2018</v>
      </c>
      <c r="C36" s="17">
        <f>'Exhibit D,2'!M36</f>
        <v>0</v>
      </c>
      <c r="E36" s="74">
        <v>1</v>
      </c>
      <c r="G36" s="74">
        <v>1</v>
      </c>
      <c r="H36" s="18"/>
      <c r="I36" s="494">
        <f t="shared" si="25"/>
        <v>0</v>
      </c>
      <c r="J36" s="494"/>
      <c r="K36" s="494">
        <f t="shared" si="26"/>
        <v>0</v>
      </c>
      <c r="L36" s="187"/>
      <c r="M36" s="22">
        <f t="shared" si="27"/>
        <v>0</v>
      </c>
      <c r="N36" s="187"/>
      <c r="O36" s="17">
        <f t="shared" si="28"/>
        <v>0</v>
      </c>
      <c r="P36" s="187"/>
      <c r="Q36" s="494">
        <f t="shared" si="29"/>
        <v>0</v>
      </c>
      <c r="R36" s="494"/>
      <c r="S36" s="494">
        <f t="shared" si="30"/>
        <v>0</v>
      </c>
      <c r="T36" s="494"/>
      <c r="U36" s="494">
        <f t="shared" si="31"/>
        <v>0</v>
      </c>
      <c r="V36" s="494"/>
      <c r="W36" s="494">
        <f t="shared" si="32"/>
        <v>0</v>
      </c>
      <c r="Y36" s="25">
        <f t="shared" si="36"/>
        <v>2018</v>
      </c>
      <c r="Z36" s="17">
        <v>135959</v>
      </c>
      <c r="AA36" s="17">
        <v>0</v>
      </c>
      <c r="AB36" s="17">
        <v>0</v>
      </c>
      <c r="AC36" s="17">
        <v>0</v>
      </c>
      <c r="AD36" s="17">
        <v>0</v>
      </c>
      <c r="AE36" s="17">
        <f t="shared" si="33"/>
        <v>0</v>
      </c>
      <c r="AF36" s="17">
        <v>0</v>
      </c>
      <c r="AG36" s="17">
        <f t="shared" si="37"/>
        <v>0</v>
      </c>
      <c r="AL36" s="25">
        <f t="shared" si="34"/>
        <v>2018</v>
      </c>
      <c r="AM36" s="18">
        <v>11817.404758209172</v>
      </c>
      <c r="AN36" s="137">
        <f t="shared" si="24"/>
        <v>-11817.404758209172</v>
      </c>
    </row>
    <row r="37" spans="1:40">
      <c r="A37" s="6">
        <f t="shared" si="35"/>
        <v>2019</v>
      </c>
      <c r="C37" s="17">
        <f>'Exhibit D,2'!M37</f>
        <v>0</v>
      </c>
      <c r="E37" s="74">
        <v>1</v>
      </c>
      <c r="G37" s="74">
        <v>1</v>
      </c>
      <c r="H37" s="18"/>
      <c r="I37" s="494">
        <f t="shared" si="25"/>
        <v>0</v>
      </c>
      <c r="J37" s="494"/>
      <c r="K37" s="494">
        <f t="shared" si="26"/>
        <v>0</v>
      </c>
      <c r="L37" s="187"/>
      <c r="M37" s="22">
        <f t="shared" si="27"/>
        <v>0</v>
      </c>
      <c r="N37" s="187"/>
      <c r="O37" s="17">
        <f t="shared" si="28"/>
        <v>0</v>
      </c>
      <c r="P37" s="187"/>
      <c r="Q37" s="494">
        <f t="shared" si="29"/>
        <v>0</v>
      </c>
      <c r="R37" s="494"/>
      <c r="S37" s="494">
        <f t="shared" si="30"/>
        <v>0</v>
      </c>
      <c r="T37" s="494"/>
      <c r="U37" s="494">
        <f>S37</f>
        <v>0</v>
      </c>
      <c r="V37" s="494"/>
      <c r="W37" s="494">
        <f t="shared" si="32"/>
        <v>0</v>
      </c>
      <c r="Y37" s="25">
        <f t="shared" si="36"/>
        <v>2019</v>
      </c>
      <c r="Z37" s="17">
        <v>148828</v>
      </c>
      <c r="AA37" s="17">
        <v>0</v>
      </c>
      <c r="AB37" s="17">
        <v>0</v>
      </c>
      <c r="AC37" s="17">
        <v>0</v>
      </c>
      <c r="AD37" s="17">
        <v>0</v>
      </c>
      <c r="AE37" s="17">
        <f t="shared" si="33"/>
        <v>0</v>
      </c>
      <c r="AF37" s="17">
        <v>0</v>
      </c>
      <c r="AG37" s="17">
        <f t="shared" si="37"/>
        <v>0</v>
      </c>
      <c r="AL37" s="25">
        <f t="shared" si="34"/>
        <v>2019</v>
      </c>
      <c r="AM37" s="18">
        <v>39600.138815652557</v>
      </c>
      <c r="AN37" s="137">
        <f t="shared" si="24"/>
        <v>-39600.138815652557</v>
      </c>
    </row>
    <row r="38" spans="1:40">
      <c r="A38" s="6">
        <f t="shared" si="35"/>
        <v>2020</v>
      </c>
      <c r="C38" s="17">
        <f>'Exhibit D,2'!M38</f>
        <v>2002</v>
      </c>
      <c r="E38" s="74">
        <v>1</v>
      </c>
      <c r="G38" s="74">
        <v>1</v>
      </c>
      <c r="H38" s="18"/>
      <c r="I38" s="494">
        <f t="shared" si="25"/>
        <v>0</v>
      </c>
      <c r="J38" s="494"/>
      <c r="K38" s="494">
        <f t="shared" si="26"/>
        <v>0</v>
      </c>
      <c r="L38" s="187"/>
      <c r="M38" s="22">
        <f t="shared" si="27"/>
        <v>2002</v>
      </c>
      <c r="N38" s="187"/>
      <c r="O38" s="17">
        <f t="shared" si="28"/>
        <v>2002</v>
      </c>
      <c r="P38" s="187"/>
      <c r="Q38" s="494">
        <f t="shared" si="29"/>
        <v>2002</v>
      </c>
      <c r="R38" s="494"/>
      <c r="S38" s="494">
        <f t="shared" si="30"/>
        <v>2002</v>
      </c>
      <c r="T38" s="494"/>
      <c r="U38" s="494">
        <f>S38</f>
        <v>2002</v>
      </c>
      <c r="V38" s="494"/>
      <c r="W38" s="494">
        <f t="shared" si="32"/>
        <v>0</v>
      </c>
      <c r="Y38" s="25">
        <f t="shared" si="36"/>
        <v>2020</v>
      </c>
      <c r="Z38" s="17">
        <v>141777</v>
      </c>
      <c r="AA38" s="17">
        <v>2002</v>
      </c>
      <c r="AB38" s="17">
        <v>2002</v>
      </c>
      <c r="AC38" s="17">
        <v>2002</v>
      </c>
      <c r="AD38" s="17">
        <v>2002</v>
      </c>
      <c r="AE38" s="17">
        <f t="shared" si="33"/>
        <v>0</v>
      </c>
      <c r="AF38" s="17">
        <v>2002</v>
      </c>
      <c r="AG38" s="17">
        <f t="shared" si="37"/>
        <v>0</v>
      </c>
      <c r="AL38" s="25">
        <f t="shared" si="34"/>
        <v>2020</v>
      </c>
      <c r="AM38" s="18">
        <v>80529.386698223403</v>
      </c>
      <c r="AN38" s="137">
        <f t="shared" si="24"/>
        <v>-78527.386698223403</v>
      </c>
    </row>
    <row r="39" spans="1:40">
      <c r="A39" s="6">
        <f t="shared" si="35"/>
        <v>2021</v>
      </c>
      <c r="C39" s="17">
        <f>'Exhibit D,2'!M39</f>
        <v>0</v>
      </c>
      <c r="E39" s="74">
        <v>1</v>
      </c>
      <c r="G39" s="74">
        <v>1</v>
      </c>
      <c r="H39" s="18"/>
      <c r="I39" s="494">
        <f t="shared" si="25"/>
        <v>0</v>
      </c>
      <c r="J39" s="494"/>
      <c r="K39" s="494">
        <f t="shared" si="26"/>
        <v>0</v>
      </c>
      <c r="L39" s="187"/>
      <c r="M39" s="22">
        <f t="shared" si="27"/>
        <v>0</v>
      </c>
      <c r="N39" s="187"/>
      <c r="O39" s="17">
        <f t="shared" si="28"/>
        <v>0</v>
      </c>
      <c r="P39" s="187"/>
      <c r="Q39" s="494">
        <f t="shared" si="29"/>
        <v>0</v>
      </c>
      <c r="R39" s="494"/>
      <c r="S39" s="494">
        <f t="shared" si="30"/>
        <v>0</v>
      </c>
      <c r="T39" s="494"/>
      <c r="U39" s="494">
        <f>S39</f>
        <v>0</v>
      </c>
      <c r="V39" s="494"/>
      <c r="W39" s="494">
        <f t="shared" si="32"/>
        <v>0</v>
      </c>
      <c r="Y39" s="25">
        <f t="shared" si="36"/>
        <v>2021</v>
      </c>
      <c r="Z39" s="17">
        <v>0</v>
      </c>
      <c r="AA39" s="17">
        <v>0</v>
      </c>
      <c r="AB39" s="17">
        <v>0</v>
      </c>
      <c r="AC39" s="17">
        <v>0</v>
      </c>
      <c r="AD39" s="17">
        <v>0</v>
      </c>
      <c r="AE39" s="17">
        <f t="shared" si="33"/>
        <v>0</v>
      </c>
      <c r="AF39" s="17">
        <v>0</v>
      </c>
      <c r="AG39" s="17">
        <f t="shared" si="37"/>
        <v>0</v>
      </c>
      <c r="AL39" s="61"/>
      <c r="AM39" s="61"/>
      <c r="AN39" s="61"/>
    </row>
    <row r="40" spans="1:40">
      <c r="A40" s="6">
        <f t="shared" si="35"/>
        <v>2022</v>
      </c>
      <c r="C40" s="17">
        <f>'Exhibit D,2'!M40</f>
        <v>0</v>
      </c>
      <c r="E40" s="74">
        <v>1</v>
      </c>
      <c r="G40" s="74">
        <v>1</v>
      </c>
      <c r="H40" s="18"/>
      <c r="I40" s="494">
        <f t="shared" ref="I40" si="38">C40*(1-E40)</f>
        <v>0</v>
      </c>
      <c r="J40" s="494"/>
      <c r="K40" s="494">
        <f t="shared" ref="K40" si="39">C40*(1-G40)</f>
        <v>0</v>
      </c>
      <c r="L40" s="187"/>
      <c r="M40" s="17">
        <f t="shared" si="27"/>
        <v>0</v>
      </c>
      <c r="N40" s="187"/>
      <c r="O40" s="17">
        <f t="shared" si="28"/>
        <v>0</v>
      </c>
      <c r="P40" s="187"/>
      <c r="Q40" s="494">
        <f t="shared" ref="Q40" si="40">I40+M40</f>
        <v>0</v>
      </c>
      <c r="R40" s="494"/>
      <c r="S40" s="494">
        <f t="shared" ref="S40" si="41">K40+O40</f>
        <v>0</v>
      </c>
      <c r="T40" s="494"/>
      <c r="U40" s="494">
        <f>S40</f>
        <v>0</v>
      </c>
      <c r="V40" s="494"/>
      <c r="W40" s="494">
        <f t="shared" ref="W40" si="42">U40-M40</f>
        <v>0</v>
      </c>
      <c r="Y40" s="25">
        <f t="shared" si="36"/>
        <v>2022</v>
      </c>
      <c r="Z40" s="17">
        <v>0</v>
      </c>
      <c r="AA40" s="17">
        <v>0</v>
      </c>
      <c r="AB40" s="17">
        <v>0</v>
      </c>
      <c r="AC40" s="17">
        <v>0</v>
      </c>
      <c r="AD40" s="17">
        <v>0</v>
      </c>
      <c r="AE40" s="17">
        <f t="shared" si="33"/>
        <v>0</v>
      </c>
      <c r="AF40" s="17">
        <v>0</v>
      </c>
      <c r="AG40" s="17"/>
      <c r="AL40" s="61"/>
      <c r="AM40" s="61"/>
      <c r="AN40" s="61"/>
    </row>
    <row r="41" spans="1:40">
      <c r="A41" s="6"/>
      <c r="C41" s="63"/>
      <c r="I41" s="63"/>
      <c r="J41" s="63"/>
      <c r="K41" s="63"/>
      <c r="M41" s="63"/>
      <c r="O41" s="63"/>
      <c r="Q41" s="63"/>
      <c r="S41" s="63"/>
      <c r="U41" s="63"/>
      <c r="W41" s="63"/>
      <c r="Y41" s="25"/>
      <c r="Z41" s="70"/>
      <c r="AA41" s="70"/>
      <c r="AB41" s="70"/>
      <c r="AC41" s="70"/>
      <c r="AD41" s="70"/>
      <c r="AE41" s="70"/>
      <c r="AF41" s="70"/>
      <c r="AG41" s="70"/>
      <c r="AL41" s="61"/>
      <c r="AM41" s="61"/>
      <c r="AN41" s="61"/>
    </row>
    <row r="42" spans="1:40">
      <c r="A42" s="2" t="s">
        <v>0</v>
      </c>
      <c r="C42" s="147">
        <f>SUM(C31:C41)</f>
        <v>293482.62</v>
      </c>
      <c r="D42" s="147"/>
      <c r="E42" s="147"/>
      <c r="F42" s="147"/>
      <c r="G42" s="147"/>
      <c r="H42" s="147"/>
      <c r="I42" s="147">
        <f>SUM(I31:I41)</f>
        <v>0</v>
      </c>
      <c r="J42" s="147"/>
      <c r="K42" s="147">
        <f>SUM(K31:K41)</f>
        <v>0</v>
      </c>
      <c r="L42" s="147"/>
      <c r="M42" s="147">
        <f>SUM(M31:M41)</f>
        <v>293482.62</v>
      </c>
      <c r="N42" s="147"/>
      <c r="O42" s="147">
        <f>SUM(O31:O41)</f>
        <v>293482.62</v>
      </c>
      <c r="P42" s="147"/>
      <c r="Q42" s="147">
        <f>SUM(Q31:Q41)</f>
        <v>293482.62</v>
      </c>
      <c r="R42" s="147"/>
      <c r="S42" s="147">
        <f>SUM(S31:S41)</f>
        <v>293482.62</v>
      </c>
      <c r="T42" s="147"/>
      <c r="U42" s="147">
        <f>SUM(U31:U41)</f>
        <v>293482.62</v>
      </c>
      <c r="V42" s="147"/>
      <c r="W42" s="147">
        <f>SUM(W31:W41)</f>
        <v>0</v>
      </c>
      <c r="Y42" s="97" t="s">
        <v>0</v>
      </c>
      <c r="Z42" s="68">
        <f t="shared" ref="Z42:AG42" si="43">SUM(Z31:Z41)</f>
        <v>1435147.9700000002</v>
      </c>
      <c r="AA42" s="68">
        <f t="shared" si="43"/>
        <v>293482.62</v>
      </c>
      <c r="AB42" s="68">
        <f t="shared" si="43"/>
        <v>293482.62</v>
      </c>
      <c r="AC42" s="68">
        <f t="shared" si="43"/>
        <v>293482.62</v>
      </c>
      <c r="AD42" s="68">
        <f t="shared" si="43"/>
        <v>293482.62</v>
      </c>
      <c r="AE42" s="68">
        <f t="shared" si="43"/>
        <v>0</v>
      </c>
      <c r="AF42" s="68">
        <f t="shared" si="43"/>
        <v>293482.62</v>
      </c>
      <c r="AG42" s="68">
        <f t="shared" si="43"/>
        <v>0</v>
      </c>
      <c r="AL42" s="61"/>
      <c r="AM42" s="61"/>
      <c r="AN42" s="137">
        <f>SUM(AN30:AN41)</f>
        <v>-177566.17027208512</v>
      </c>
    </row>
    <row r="43" spans="1:40">
      <c r="A43" s="6"/>
      <c r="H43" s="26"/>
      <c r="M43" s="187"/>
      <c r="N43" s="187"/>
      <c r="O43" s="187"/>
      <c r="Y43" s="25"/>
    </row>
    <row r="44" spans="1:40">
      <c r="A44" s="3" t="s">
        <v>296</v>
      </c>
      <c r="M44" s="574">
        <f>AA44</f>
        <v>7579.66</v>
      </c>
      <c r="N44" s="147"/>
      <c r="O44" s="19">
        <f>AB44</f>
        <v>7579.66</v>
      </c>
      <c r="Y44" s="115" t="s">
        <v>296</v>
      </c>
      <c r="AA44" s="18">
        <v>7579.66</v>
      </c>
      <c r="AB44" s="18">
        <v>7579.66</v>
      </c>
      <c r="AC44" s="18"/>
      <c r="AD44" s="18"/>
      <c r="AE44" s="18"/>
      <c r="AF44" s="18"/>
      <c r="AG44" s="18"/>
      <c r="AL44" s="25"/>
      <c r="AM44" s="26">
        <v>6608.3899999999994</v>
      </c>
      <c r="AN44" s="68"/>
    </row>
    <row r="45" spans="1:40">
      <c r="A45" s="6">
        <f>A31</f>
        <v>2013</v>
      </c>
      <c r="C45" s="147">
        <f>'Exhibit D,2'!M45</f>
        <v>0</v>
      </c>
      <c r="E45" s="74">
        <f t="shared" ref="E45:E54" si="44">E16</f>
        <v>0</v>
      </c>
      <c r="G45" s="74">
        <f t="shared" ref="G45:G54" si="45">G16</f>
        <v>0</v>
      </c>
      <c r="H45" s="26"/>
      <c r="I45" s="497">
        <f>C45*(1-E45)</f>
        <v>0</v>
      </c>
      <c r="J45" s="497"/>
      <c r="K45" s="497">
        <f>C45*(1-G45)</f>
        <v>0</v>
      </c>
      <c r="L45" s="147"/>
      <c r="M45" s="574">
        <f>AA45</f>
        <v>0</v>
      </c>
      <c r="N45" s="147"/>
      <c r="O45" s="19">
        <f>AB45</f>
        <v>0</v>
      </c>
      <c r="P45" s="147"/>
      <c r="Q45" s="147">
        <f>I45+M45</f>
        <v>0</v>
      </c>
      <c r="R45" s="147"/>
      <c r="S45" s="147">
        <f>K45+O45</f>
        <v>0</v>
      </c>
      <c r="T45" s="147"/>
      <c r="U45" s="147">
        <f>S45</f>
        <v>0</v>
      </c>
      <c r="V45" s="147"/>
      <c r="W45" s="147">
        <f>U45-M45</f>
        <v>0</v>
      </c>
      <c r="Y45" s="25">
        <f>A45</f>
        <v>2013</v>
      </c>
      <c r="AA45" s="18">
        <v>0</v>
      </c>
      <c r="AB45" s="18">
        <v>0</v>
      </c>
      <c r="AC45" s="18">
        <v>0</v>
      </c>
      <c r="AD45" s="18">
        <v>0</v>
      </c>
      <c r="AE45" s="18">
        <f>AB45-AD45</f>
        <v>0</v>
      </c>
      <c r="AF45" s="18">
        <v>0</v>
      </c>
      <c r="AG45" s="18"/>
      <c r="AL45" s="25">
        <f>Y45</f>
        <v>2013</v>
      </c>
      <c r="AM45" s="20">
        <v>0.12888457836168349</v>
      </c>
      <c r="AN45" s="137">
        <f t="shared" ref="AN45:AN52" si="46">U45-AM45</f>
        <v>-0.12888457836168349</v>
      </c>
    </row>
    <row r="46" spans="1:40">
      <c r="A46" s="6">
        <f>A45+1</f>
        <v>2014</v>
      </c>
      <c r="C46" s="17">
        <f>'Exhibit D,2'!M46</f>
        <v>102634.88637024759</v>
      </c>
      <c r="E46" s="74">
        <f t="shared" si="44"/>
        <v>0.98666127129523207</v>
      </c>
      <c r="G46" s="74">
        <f t="shared" si="45"/>
        <v>1</v>
      </c>
      <c r="H46" s="18"/>
      <c r="I46" s="494">
        <f t="shared" ref="I46:I53" si="47">C46*(1-E46)</f>
        <v>1369.0189049374167</v>
      </c>
      <c r="J46" s="494"/>
      <c r="K46" s="494">
        <f t="shared" ref="K46:K53" si="48">C46*(1-G46)</f>
        <v>0</v>
      </c>
      <c r="L46" s="187"/>
      <c r="M46" s="22">
        <f t="shared" ref="M46:M54" si="49">AA46</f>
        <v>77600.820000000007</v>
      </c>
      <c r="N46" s="187"/>
      <c r="O46" s="17">
        <f t="shared" ref="O46:O54" si="50">AB46</f>
        <v>77600.820000000007</v>
      </c>
      <c r="P46" s="187"/>
      <c r="Q46" s="494">
        <f t="shared" ref="Q46:Q53" si="51">I46+M46</f>
        <v>78969.838904937424</v>
      </c>
      <c r="R46" s="494"/>
      <c r="S46" s="494">
        <f t="shared" ref="S46:S53" si="52">K46+O46</f>
        <v>77600.820000000007</v>
      </c>
      <c r="T46" s="494"/>
      <c r="U46" s="17">
        <f t="shared" ref="U46:U53" si="53">S46</f>
        <v>77600.820000000007</v>
      </c>
      <c r="V46" s="494"/>
      <c r="W46" s="494">
        <f t="shared" ref="W46:W53" si="54">U46-M46</f>
        <v>0</v>
      </c>
      <c r="Y46" s="25">
        <f>Y45+1</f>
        <v>2014</v>
      </c>
      <c r="AA46" s="18">
        <v>77600.820000000007</v>
      </c>
      <c r="AB46" s="18">
        <v>77600.820000000007</v>
      </c>
      <c r="AC46" s="18">
        <v>77600.820000000007</v>
      </c>
      <c r="AD46" s="18">
        <v>77600.820000000007</v>
      </c>
      <c r="AE46" s="18">
        <f t="shared" ref="AE46:AE54" si="55">AB46-AD46</f>
        <v>0</v>
      </c>
      <c r="AF46" s="18">
        <v>77600.820000000007</v>
      </c>
      <c r="AG46" s="17">
        <f>U46-AF46</f>
        <v>0</v>
      </c>
      <c r="AL46" s="25">
        <f t="shared" ref="AL46:AL52" si="56">AL45+1</f>
        <v>2014</v>
      </c>
      <c r="AM46" s="20">
        <v>77600.820000000007</v>
      </c>
      <c r="AN46" s="137">
        <f t="shared" si="46"/>
        <v>0</v>
      </c>
    </row>
    <row r="47" spans="1:40">
      <c r="A47" s="6">
        <f t="shared" ref="A47:A54" si="57">A46+1</f>
        <v>2015</v>
      </c>
      <c r="C47" s="17">
        <f>'Exhibit D,2'!M47</f>
        <v>66596.418565150016</v>
      </c>
      <c r="E47" s="74">
        <f t="shared" si="44"/>
        <v>0.97727086921515149</v>
      </c>
      <c r="G47" s="74">
        <f t="shared" si="45"/>
        <v>0.99943275577557755</v>
      </c>
      <c r="H47" s="18"/>
      <c r="I47" s="494">
        <f t="shared" si="47"/>
        <v>1513.6787073698079</v>
      </c>
      <c r="J47" s="494"/>
      <c r="K47" s="494">
        <f t="shared" si="48"/>
        <v>37.776433798301198</v>
      </c>
      <c r="L47" s="187"/>
      <c r="M47" s="22">
        <f t="shared" si="49"/>
        <v>21919.61</v>
      </c>
      <c r="N47" s="187"/>
      <c r="O47" s="17">
        <f t="shared" si="50"/>
        <v>21919.61</v>
      </c>
      <c r="P47" s="187"/>
      <c r="Q47" s="494">
        <f t="shared" si="51"/>
        <v>23433.288707369808</v>
      </c>
      <c r="R47" s="494"/>
      <c r="S47" s="494">
        <f t="shared" si="52"/>
        <v>21957.386433798303</v>
      </c>
      <c r="T47" s="494"/>
      <c r="U47" s="17">
        <f t="shared" si="53"/>
        <v>21957.386433798303</v>
      </c>
      <c r="V47" s="494"/>
      <c r="W47" s="494">
        <f t="shared" si="54"/>
        <v>37.776433798302605</v>
      </c>
      <c r="Y47" s="25">
        <f t="shared" ref="Y47:Y54" si="58">Y46+1</f>
        <v>2015</v>
      </c>
      <c r="AA47" s="18">
        <v>21919.61</v>
      </c>
      <c r="AB47" s="18">
        <v>21919.61</v>
      </c>
      <c r="AC47" s="18">
        <v>21919.61</v>
      </c>
      <c r="AD47" s="18">
        <v>21919.61</v>
      </c>
      <c r="AE47" s="18">
        <f t="shared" si="55"/>
        <v>0</v>
      </c>
      <c r="AF47" s="18">
        <v>21919.61</v>
      </c>
      <c r="AG47" s="17">
        <f t="shared" ref="AG47:AG53" si="59">U47-AF47</f>
        <v>37.776433798302605</v>
      </c>
      <c r="AL47" s="25">
        <f t="shared" si="56"/>
        <v>2015</v>
      </c>
      <c r="AM47" s="20">
        <v>32967.918642237382</v>
      </c>
      <c r="AN47" s="137">
        <f t="shared" si="46"/>
        <v>-11010.532208439079</v>
      </c>
    </row>
    <row r="48" spans="1:40">
      <c r="A48" s="6">
        <f t="shared" si="57"/>
        <v>2016</v>
      </c>
      <c r="C48" s="17">
        <f>'Exhibit D,2'!M48</f>
        <v>75336.362938304868</v>
      </c>
      <c r="E48" s="74">
        <f t="shared" si="44"/>
        <v>0.94620016749280134</v>
      </c>
      <c r="G48" s="74">
        <f t="shared" si="45"/>
        <v>0.9950295269202436</v>
      </c>
      <c r="H48" s="18"/>
      <c r="I48" s="494">
        <f t="shared" si="47"/>
        <v>4053.0837077823307</v>
      </c>
      <c r="J48" s="494"/>
      <c r="K48" s="494">
        <f t="shared" si="48"/>
        <v>374.45736391160204</v>
      </c>
      <c r="L48" s="187"/>
      <c r="M48" s="22">
        <f t="shared" si="49"/>
        <v>16148.550000000001</v>
      </c>
      <c r="N48" s="187"/>
      <c r="O48" s="17">
        <f t="shared" si="50"/>
        <v>16148.550000000001</v>
      </c>
      <c r="P48" s="187"/>
      <c r="Q48" s="494">
        <f t="shared" si="51"/>
        <v>20201.633707782334</v>
      </c>
      <c r="R48" s="494"/>
      <c r="S48" s="494">
        <f t="shared" si="52"/>
        <v>16523.007363911602</v>
      </c>
      <c r="T48" s="494"/>
      <c r="U48" s="17">
        <f t="shared" si="53"/>
        <v>16523.007363911602</v>
      </c>
      <c r="V48" s="494"/>
      <c r="W48" s="494">
        <f t="shared" si="54"/>
        <v>374.45736391160062</v>
      </c>
      <c r="Y48" s="25">
        <f t="shared" si="58"/>
        <v>2016</v>
      </c>
      <c r="AA48" s="18">
        <v>16148.550000000001</v>
      </c>
      <c r="AB48" s="18">
        <v>16148.550000000001</v>
      </c>
      <c r="AC48" s="18">
        <v>16148.550000000001</v>
      </c>
      <c r="AD48" s="18">
        <v>16148.550000000001</v>
      </c>
      <c r="AE48" s="18">
        <f t="shared" si="55"/>
        <v>0</v>
      </c>
      <c r="AF48" s="18">
        <v>16148.550000000001</v>
      </c>
      <c r="AG48" s="17">
        <f t="shared" si="59"/>
        <v>374.45736391160062</v>
      </c>
      <c r="AL48" s="25">
        <f t="shared" si="56"/>
        <v>2016</v>
      </c>
      <c r="AM48" s="20">
        <v>16148.550000000001</v>
      </c>
      <c r="AN48" s="137">
        <f t="shared" si="46"/>
        <v>374.45736391160062</v>
      </c>
    </row>
    <row r="49" spans="1:44">
      <c r="A49" s="6">
        <f t="shared" si="57"/>
        <v>2017</v>
      </c>
      <c r="C49" s="17">
        <f>'Exhibit D,2'!M49</f>
        <v>52538.39508894975</v>
      </c>
      <c r="E49" s="74">
        <f t="shared" si="44"/>
        <v>0.86874867285598234</v>
      </c>
      <c r="G49" s="74">
        <f t="shared" si="45"/>
        <v>0.98169430874049524</v>
      </c>
      <c r="H49" s="18"/>
      <c r="I49" s="494">
        <f t="shared" si="47"/>
        <v>6895.7340814413947</v>
      </c>
      <c r="J49" s="494"/>
      <c r="K49" s="494">
        <f t="shared" si="48"/>
        <v>961.75163976819545</v>
      </c>
      <c r="L49" s="187"/>
      <c r="M49" s="22">
        <f t="shared" si="49"/>
        <v>21420.760000000002</v>
      </c>
      <c r="N49" s="187"/>
      <c r="O49" s="17">
        <f t="shared" si="50"/>
        <v>21420.760000000002</v>
      </c>
      <c r="P49" s="187"/>
      <c r="Q49" s="494">
        <f t="shared" si="51"/>
        <v>28316.494081441397</v>
      </c>
      <c r="R49" s="494"/>
      <c r="S49" s="494">
        <f t="shared" si="52"/>
        <v>22382.511639768196</v>
      </c>
      <c r="T49" s="494"/>
      <c r="U49" s="17">
        <f t="shared" si="53"/>
        <v>22382.511639768196</v>
      </c>
      <c r="V49" s="494"/>
      <c r="W49" s="494">
        <f t="shared" si="54"/>
        <v>961.75163976819385</v>
      </c>
      <c r="Y49" s="25">
        <f t="shared" si="58"/>
        <v>2017</v>
      </c>
      <c r="AA49" s="18">
        <v>21420.760000000002</v>
      </c>
      <c r="AB49" s="18">
        <v>21420.760000000002</v>
      </c>
      <c r="AC49" s="18">
        <v>21420.760000000002</v>
      </c>
      <c r="AD49" s="18">
        <v>21420.760000000002</v>
      </c>
      <c r="AE49" s="18">
        <f t="shared" si="55"/>
        <v>0</v>
      </c>
      <c r="AF49" s="18">
        <v>21420.760000000002</v>
      </c>
      <c r="AG49" s="17">
        <f t="shared" si="59"/>
        <v>961.75163976819385</v>
      </c>
      <c r="AL49" s="25">
        <f t="shared" si="56"/>
        <v>2017</v>
      </c>
      <c r="AM49" s="20">
        <v>34785.189622570069</v>
      </c>
      <c r="AN49" s="137">
        <f t="shared" si="46"/>
        <v>-12402.677982801873</v>
      </c>
    </row>
    <row r="50" spans="1:44">
      <c r="A50" s="6">
        <f t="shared" si="57"/>
        <v>2018</v>
      </c>
      <c r="C50" s="17">
        <f>'Exhibit D,2'!M50</f>
        <v>12854.213117181027</v>
      </c>
      <c r="E50" s="74">
        <f t="shared" si="44"/>
        <v>0.74154507887500765</v>
      </c>
      <c r="G50" s="74">
        <f t="shared" si="45"/>
        <v>0.95560421149717789</v>
      </c>
      <c r="H50" s="18"/>
      <c r="I50" s="494">
        <f t="shared" si="47"/>
        <v>3322.2346373248643</v>
      </c>
      <c r="J50" s="494"/>
      <c r="K50" s="494">
        <f t="shared" si="48"/>
        <v>570.6729269205706</v>
      </c>
      <c r="L50" s="187"/>
      <c r="M50" s="22">
        <f t="shared" si="49"/>
        <v>8200.94</v>
      </c>
      <c r="N50" s="187"/>
      <c r="O50" s="17">
        <f t="shared" si="50"/>
        <v>8200.94</v>
      </c>
      <c r="P50" s="187"/>
      <c r="Q50" s="494">
        <f t="shared" si="51"/>
        <v>11523.174637324864</v>
      </c>
      <c r="R50" s="494"/>
      <c r="S50" s="494">
        <f t="shared" si="52"/>
        <v>8771.6129269205703</v>
      </c>
      <c r="T50" s="494"/>
      <c r="U50" s="17">
        <f t="shared" si="53"/>
        <v>8771.6129269205703</v>
      </c>
      <c r="V50" s="494"/>
      <c r="W50" s="494">
        <f t="shared" si="54"/>
        <v>570.67292692056981</v>
      </c>
      <c r="Y50" s="25">
        <f t="shared" si="58"/>
        <v>2018</v>
      </c>
      <c r="AA50" s="18">
        <v>8200.94</v>
      </c>
      <c r="AB50" s="18">
        <v>8200.94</v>
      </c>
      <c r="AC50" s="18">
        <v>8200.94</v>
      </c>
      <c r="AD50" s="18">
        <v>8200.94</v>
      </c>
      <c r="AE50" s="18">
        <f t="shared" si="55"/>
        <v>0</v>
      </c>
      <c r="AF50" s="18">
        <v>8200.94</v>
      </c>
      <c r="AG50" s="17">
        <f t="shared" si="59"/>
        <v>570.67292692056981</v>
      </c>
      <c r="AL50" s="25">
        <f t="shared" si="56"/>
        <v>2018</v>
      </c>
      <c r="AM50" s="20">
        <v>8200.94</v>
      </c>
      <c r="AN50" s="137">
        <f t="shared" si="46"/>
        <v>570.67292692056981</v>
      </c>
    </row>
    <row r="51" spans="1:44">
      <c r="A51" s="6">
        <f t="shared" si="57"/>
        <v>2019</v>
      </c>
      <c r="C51" s="17">
        <f>'Exhibit D,2'!M51</f>
        <v>106700.7812348609</v>
      </c>
      <c r="E51" s="74">
        <f t="shared" si="44"/>
        <v>0.57066207490428578</v>
      </c>
      <c r="G51" s="74">
        <f t="shared" si="45"/>
        <v>0.90462701625526831</v>
      </c>
      <c r="H51" s="18"/>
      <c r="I51" s="494">
        <f t="shared" si="47"/>
        <v>45810.692021466901</v>
      </c>
      <c r="J51" s="494"/>
      <c r="K51" s="494">
        <f t="shared" si="48"/>
        <v>10176.371874262561</v>
      </c>
      <c r="L51" s="187"/>
      <c r="M51" s="22">
        <f t="shared" si="49"/>
        <v>106381.11</v>
      </c>
      <c r="N51" s="187"/>
      <c r="O51" s="17">
        <f t="shared" si="50"/>
        <v>112963.91</v>
      </c>
      <c r="P51" s="187"/>
      <c r="Q51" s="494">
        <f t="shared" si="51"/>
        <v>152191.80202146689</v>
      </c>
      <c r="R51" s="494"/>
      <c r="S51" s="494">
        <f t="shared" si="52"/>
        <v>123140.28187426257</v>
      </c>
      <c r="T51" s="494"/>
      <c r="U51" s="17">
        <f t="shared" si="53"/>
        <v>123140.28187426257</v>
      </c>
      <c r="V51" s="494"/>
      <c r="W51" s="494">
        <f t="shared" si="54"/>
        <v>16759.171874262567</v>
      </c>
      <c r="Y51" s="25">
        <f t="shared" si="58"/>
        <v>2019</v>
      </c>
      <c r="AA51" s="18">
        <v>106381.11</v>
      </c>
      <c r="AB51" s="18">
        <v>112963.91</v>
      </c>
      <c r="AC51" s="18">
        <v>106306.11</v>
      </c>
      <c r="AD51" s="18">
        <v>121995.91</v>
      </c>
      <c r="AE51" s="18">
        <f t="shared" si="55"/>
        <v>-9032</v>
      </c>
      <c r="AF51" s="18">
        <v>121995.91</v>
      </c>
      <c r="AG51" s="17">
        <f t="shared" si="59"/>
        <v>1144.3718742625642</v>
      </c>
      <c r="AL51" s="25">
        <f t="shared" si="56"/>
        <v>2019</v>
      </c>
      <c r="AM51" s="20">
        <v>160841.09748536168</v>
      </c>
      <c r="AN51" s="137">
        <f t="shared" si="46"/>
        <v>-37700.815611099111</v>
      </c>
    </row>
    <row r="52" spans="1:44">
      <c r="A52" s="6">
        <f t="shared" si="57"/>
        <v>2020</v>
      </c>
      <c r="C52" s="17">
        <f>'Exhibit D,2'!M52</f>
        <v>50892.156391554454</v>
      </c>
      <c r="E52" s="74">
        <f t="shared" si="44"/>
        <v>0.37902757056383773</v>
      </c>
      <c r="G52" s="74">
        <f t="shared" si="45"/>
        <v>0.79961735083527929</v>
      </c>
      <c r="H52" s="18"/>
      <c r="I52" s="494">
        <f t="shared" si="47"/>
        <v>31602.625993708683</v>
      </c>
      <c r="J52" s="494"/>
      <c r="K52" s="494">
        <f t="shared" si="48"/>
        <v>10197.905119444955</v>
      </c>
      <c r="L52" s="187"/>
      <c r="M52" s="22">
        <f t="shared" si="49"/>
        <v>210549.2</v>
      </c>
      <c r="N52" s="187"/>
      <c r="O52" s="17">
        <f t="shared" si="50"/>
        <v>245754.2</v>
      </c>
      <c r="P52" s="187"/>
      <c r="Q52" s="494">
        <f t="shared" si="51"/>
        <v>242151.82599370868</v>
      </c>
      <c r="R52" s="494"/>
      <c r="S52" s="494">
        <f t="shared" si="52"/>
        <v>255952.10511944495</v>
      </c>
      <c r="T52" s="494"/>
      <c r="U52" s="17">
        <f t="shared" si="53"/>
        <v>255952.10511944495</v>
      </c>
      <c r="V52" s="494"/>
      <c r="W52" s="494">
        <f t="shared" si="54"/>
        <v>45402.905119444942</v>
      </c>
      <c r="Y52" s="25">
        <f t="shared" si="58"/>
        <v>2020</v>
      </c>
      <c r="AA52" s="18">
        <v>210549.2</v>
      </c>
      <c r="AB52" s="18">
        <v>245754.2</v>
      </c>
      <c r="AC52" s="18">
        <v>214724.2</v>
      </c>
      <c r="AD52" s="18">
        <v>249929.2</v>
      </c>
      <c r="AE52" s="18">
        <f t="shared" si="55"/>
        <v>-4175</v>
      </c>
      <c r="AF52" s="18">
        <v>249929.2</v>
      </c>
      <c r="AG52" s="17">
        <f t="shared" si="59"/>
        <v>6022.9051194449421</v>
      </c>
      <c r="AL52" s="25">
        <f t="shared" si="56"/>
        <v>2020</v>
      </c>
      <c r="AM52" s="20">
        <v>204939.26899006276</v>
      </c>
      <c r="AN52" s="137">
        <f t="shared" si="46"/>
        <v>51012.836129382194</v>
      </c>
    </row>
    <row r="53" spans="1:44">
      <c r="A53" s="6">
        <f t="shared" si="57"/>
        <v>2021</v>
      </c>
      <c r="C53" s="17">
        <f>'Exhibit D,2'!M53</f>
        <v>131668.96305200382</v>
      </c>
      <c r="E53" s="74">
        <f t="shared" si="44"/>
        <v>0.21166117878459362</v>
      </c>
      <c r="G53" s="74">
        <f t="shared" si="45"/>
        <v>0.58843521263179333</v>
      </c>
      <c r="H53" s="18"/>
      <c r="I53" s="494">
        <f t="shared" si="47"/>
        <v>103799.75512307158</v>
      </c>
      <c r="J53" s="494"/>
      <c r="K53" s="494">
        <f t="shared" si="48"/>
        <v>54190.30878149021</v>
      </c>
      <c r="L53" s="187"/>
      <c r="M53" s="22">
        <f t="shared" si="49"/>
        <v>8343</v>
      </c>
      <c r="N53" s="187"/>
      <c r="O53" s="17">
        <f t="shared" si="50"/>
        <v>8343</v>
      </c>
      <c r="P53" s="187"/>
      <c r="Q53" s="494">
        <f t="shared" si="51"/>
        <v>112142.75512307158</v>
      </c>
      <c r="R53" s="494"/>
      <c r="S53" s="494">
        <f t="shared" si="52"/>
        <v>62533.30878149021</v>
      </c>
      <c r="T53" s="494"/>
      <c r="U53" s="17">
        <f t="shared" si="53"/>
        <v>62533.30878149021</v>
      </c>
      <c r="V53" s="494"/>
      <c r="W53" s="494">
        <f t="shared" si="54"/>
        <v>54190.30878149021</v>
      </c>
      <c r="Y53" s="25">
        <f t="shared" si="58"/>
        <v>2021</v>
      </c>
      <c r="AA53" s="18">
        <v>8343</v>
      </c>
      <c r="AB53" s="18">
        <v>8343</v>
      </c>
      <c r="AC53" s="18">
        <v>3245</v>
      </c>
      <c r="AD53" s="18">
        <v>16920</v>
      </c>
      <c r="AE53" s="18">
        <f t="shared" si="55"/>
        <v>-8577</v>
      </c>
      <c r="AF53" s="18">
        <v>16920</v>
      </c>
      <c r="AG53" s="17">
        <f t="shared" si="59"/>
        <v>45613.30878149021</v>
      </c>
      <c r="AL53" s="61"/>
      <c r="AM53" s="63"/>
      <c r="AN53" s="61"/>
    </row>
    <row r="54" spans="1:44">
      <c r="A54" s="6">
        <f t="shared" si="57"/>
        <v>2022</v>
      </c>
      <c r="C54" s="17">
        <f>'Exhibit D,2'!M54</f>
        <v>94261.914568847787</v>
      </c>
      <c r="E54" s="74">
        <f t="shared" si="44"/>
        <v>7.9715419926820269E-2</v>
      </c>
      <c r="G54" s="74">
        <f t="shared" si="45"/>
        <v>0.30765051191110515</v>
      </c>
      <c r="H54" s="18"/>
      <c r="I54" s="494">
        <f t="shared" ref="I54" si="60">C54*(1-E54)</f>
        <v>86747.78646588602</v>
      </c>
      <c r="J54" s="494"/>
      <c r="K54" s="494">
        <f t="shared" ref="K54" si="61">C54*(1-G54)</f>
        <v>65262.188298020905</v>
      </c>
      <c r="L54" s="187"/>
      <c r="M54" s="17">
        <f t="shared" si="49"/>
        <v>0</v>
      </c>
      <c r="N54" s="187"/>
      <c r="O54" s="17">
        <f t="shared" si="50"/>
        <v>0</v>
      </c>
      <c r="P54" s="187"/>
      <c r="Q54" s="494">
        <f t="shared" ref="Q54" si="62">I54+M54</f>
        <v>86747.78646588602</v>
      </c>
      <c r="R54" s="494"/>
      <c r="S54" s="494">
        <f t="shared" ref="S54" si="63">K54+O54</f>
        <v>65262.188298020905</v>
      </c>
      <c r="T54" s="494"/>
      <c r="U54" s="17">
        <f>S54</f>
        <v>65262.188298020905</v>
      </c>
      <c r="V54" s="494"/>
      <c r="W54" s="494">
        <f t="shared" ref="W54" si="64">U54-M54</f>
        <v>65262.188298020905</v>
      </c>
      <c r="Y54" s="25">
        <f t="shared" si="58"/>
        <v>2022</v>
      </c>
      <c r="AA54" s="18">
        <v>0</v>
      </c>
      <c r="AB54" s="18">
        <v>0</v>
      </c>
      <c r="AC54" s="18">
        <v>0</v>
      </c>
      <c r="AD54" s="18">
        <v>0</v>
      </c>
      <c r="AE54" s="18">
        <f t="shared" si="55"/>
        <v>0</v>
      </c>
      <c r="AF54" s="18">
        <v>0</v>
      </c>
      <c r="AG54" s="18"/>
      <c r="AL54" s="61"/>
      <c r="AN54" s="61"/>
    </row>
    <row r="55" spans="1:44">
      <c r="A55" s="6"/>
      <c r="C55" s="63"/>
      <c r="E55" s="74"/>
      <c r="G55" s="74"/>
      <c r="I55" s="63"/>
      <c r="J55" s="63"/>
      <c r="K55" s="63"/>
      <c r="M55" s="63"/>
      <c r="O55" s="63"/>
      <c r="Q55" s="63"/>
      <c r="S55" s="63"/>
      <c r="U55" s="63"/>
      <c r="W55" s="63"/>
      <c r="Y55" s="25"/>
      <c r="Z55" s="70"/>
      <c r="AA55" s="70"/>
      <c r="AB55" s="70"/>
      <c r="AC55" s="70"/>
      <c r="AD55" s="70"/>
      <c r="AE55" s="70"/>
      <c r="AF55" s="70"/>
      <c r="AG55" s="70"/>
      <c r="AL55" s="61"/>
      <c r="AM55" s="61"/>
      <c r="AN55" s="61"/>
    </row>
    <row r="56" spans="1:44">
      <c r="A56" s="2" t="s">
        <v>0</v>
      </c>
      <c r="C56" s="147">
        <f>SUM(C45:C55)</f>
        <v>693484.09132710018</v>
      </c>
      <c r="E56" s="74"/>
      <c r="G56" s="74"/>
      <c r="H56" s="26"/>
      <c r="I56" s="147">
        <f>SUM(I45:I55)</f>
        <v>285114.609642989</v>
      </c>
      <c r="J56" s="147"/>
      <c r="K56" s="147">
        <f>SUM(K45:K55)</f>
        <v>141771.4324376173</v>
      </c>
      <c r="L56" s="147"/>
      <c r="M56" s="147">
        <f>SUM(M45:M55)</f>
        <v>470563.99000000005</v>
      </c>
      <c r="N56" s="147"/>
      <c r="O56" s="147">
        <f>SUM(O45:O55)</f>
        <v>512351.79000000004</v>
      </c>
      <c r="P56" s="147"/>
      <c r="Q56" s="147">
        <f>SUM(Q45:Q55)</f>
        <v>755678.59964298911</v>
      </c>
      <c r="R56" s="147"/>
      <c r="S56" s="147">
        <f>SUM(S45:S55)</f>
        <v>654123.22243761725</v>
      </c>
      <c r="T56" s="147"/>
      <c r="U56" s="147">
        <f>SUM(U45:U55)</f>
        <v>654123.22243761725</v>
      </c>
      <c r="V56" s="147"/>
      <c r="W56" s="147">
        <f>SUM(W45:W55)</f>
        <v>183559.23243761729</v>
      </c>
      <c r="Y56" s="97" t="s">
        <v>0</v>
      </c>
      <c r="Z56" s="68">
        <f t="shared" ref="Z56:AE56" si="65">SUM(Z45:Z55)</f>
        <v>0</v>
      </c>
      <c r="AA56" s="68">
        <f t="shared" si="65"/>
        <v>470563.99000000005</v>
      </c>
      <c r="AB56" s="68">
        <f t="shared" si="65"/>
        <v>512351.79000000004</v>
      </c>
      <c r="AC56" s="68">
        <f t="shared" si="65"/>
        <v>469565.99000000005</v>
      </c>
      <c r="AD56" s="68">
        <f t="shared" si="65"/>
        <v>534135.79</v>
      </c>
      <c r="AE56" s="68">
        <f t="shared" si="65"/>
        <v>-21784</v>
      </c>
      <c r="AF56" s="68">
        <f t="shared" ref="AF56:AG56" si="66">SUM(AF45:AF55)</f>
        <v>534135.79</v>
      </c>
      <c r="AG56" s="68">
        <f t="shared" si="66"/>
        <v>54725.244139596383</v>
      </c>
      <c r="AL56" s="61"/>
      <c r="AM56" s="61"/>
      <c r="AN56" s="137">
        <f>SUM(AN44:AN55)</f>
        <v>-9156.1882667040627</v>
      </c>
      <c r="AQ56" s="1">
        <v>2020</v>
      </c>
    </row>
    <row r="57" spans="1:44">
      <c r="A57" s="6"/>
      <c r="F57" s="26"/>
      <c r="M57" s="187"/>
      <c r="N57" s="187"/>
      <c r="O57" s="187"/>
      <c r="Y57" s="25"/>
      <c r="AF57" s="32"/>
      <c r="AQ57" s="1" t="s">
        <v>1363</v>
      </c>
    </row>
    <row r="58" spans="1:44">
      <c r="A58" s="3" t="s">
        <v>297</v>
      </c>
      <c r="M58" s="26">
        <f>M16+M29+M44</f>
        <v>10079.66</v>
      </c>
      <c r="O58" s="26">
        <f>O16+O29+O44</f>
        <v>10079.66</v>
      </c>
      <c r="Y58" s="115" t="s">
        <v>297</v>
      </c>
      <c r="Z58" s="26">
        <f t="shared" ref="Z58:AE68" si="67">Z16+Z30+Z44</f>
        <v>0</v>
      </c>
      <c r="AA58" s="26">
        <f t="shared" si="67"/>
        <v>35104.619999999995</v>
      </c>
      <c r="AB58" s="26">
        <f t="shared" si="67"/>
        <v>35104.619999999995</v>
      </c>
      <c r="AC58" s="26">
        <f>AA58</f>
        <v>35104.619999999995</v>
      </c>
      <c r="AD58" s="26">
        <f>AB58</f>
        <v>35104.619999999995</v>
      </c>
      <c r="AE58" s="26">
        <f t="shared" si="67"/>
        <v>0</v>
      </c>
      <c r="AF58" s="26">
        <f>AD58</f>
        <v>35104.619999999995</v>
      </c>
      <c r="AG58" s="18"/>
      <c r="AL58" s="25"/>
      <c r="AM58" s="26">
        <f t="shared" ref="AM58:AM67" si="68">AM16+AM30+AM44</f>
        <v>31633.39</v>
      </c>
      <c r="AN58" s="137">
        <f t="shared" ref="AN58:AN66" si="69">U58-AM58</f>
        <v>-31633.39</v>
      </c>
      <c r="AP58" s="61"/>
      <c r="AQ58" s="137"/>
      <c r="AR58" s="137"/>
    </row>
    <row r="59" spans="1:44">
      <c r="A59" s="6">
        <f>A45</f>
        <v>2013</v>
      </c>
      <c r="C59" s="26">
        <f t="shared" ref="C59:C68" si="70">C17+C31+C45</f>
        <v>8861.26</v>
      </c>
      <c r="G59" s="26"/>
      <c r="H59" s="26"/>
      <c r="I59" s="26">
        <f t="shared" ref="I59:W68" si="71">I17+I31+I45</f>
        <v>118.1979431224119</v>
      </c>
      <c r="J59" s="26"/>
      <c r="K59" s="26">
        <f t="shared" ref="K59:K67" si="72">K17+K31+K45</f>
        <v>0</v>
      </c>
      <c r="L59" s="26"/>
      <c r="M59" s="26">
        <f>M17+M31+M45</f>
        <v>8861.26</v>
      </c>
      <c r="O59" s="26">
        <f>O17+O31+O45</f>
        <v>8861.26</v>
      </c>
      <c r="Q59" s="26">
        <f t="shared" ref="Q59:Q67" si="73">Q17+Q31+Q45</f>
        <v>8979.457943122412</v>
      </c>
      <c r="S59" s="26">
        <f t="shared" ref="S59:S67" si="74">S17+S31+S45</f>
        <v>8861.26</v>
      </c>
      <c r="U59" s="26">
        <f t="shared" ref="U59:U67" si="75">U17+U31+U45</f>
        <v>8861.26</v>
      </c>
      <c r="W59" s="26">
        <f t="shared" ref="W59:W67" si="76">W17+W31+W45</f>
        <v>0</v>
      </c>
      <c r="Y59" s="25">
        <f>A59</f>
        <v>2013</v>
      </c>
      <c r="Z59" s="20">
        <v>1079445.3898708611</v>
      </c>
      <c r="AA59" s="26">
        <f t="shared" si="67"/>
        <v>8861.26</v>
      </c>
      <c r="AB59" s="26">
        <f t="shared" si="67"/>
        <v>8861.26</v>
      </c>
      <c r="AC59" s="26">
        <f t="shared" si="67"/>
        <v>8861.26</v>
      </c>
      <c r="AD59" s="26">
        <f t="shared" si="67"/>
        <v>8861.26</v>
      </c>
      <c r="AE59" s="26">
        <f t="shared" si="67"/>
        <v>0</v>
      </c>
      <c r="AF59" s="26">
        <f t="shared" ref="AF59" si="77">AF17+AF31+AF45</f>
        <v>8866.2892850427543</v>
      </c>
      <c r="AG59" s="17">
        <f t="shared" ref="AG59" si="78">AG17+AG31+AG45</f>
        <v>-5.0292850427540543</v>
      </c>
      <c r="AH59" s="32"/>
      <c r="AL59" s="25">
        <f>Y59</f>
        <v>2013</v>
      </c>
      <c r="AM59" s="26">
        <f t="shared" si="68"/>
        <v>0.12888457836168349</v>
      </c>
      <c r="AN59" s="137">
        <f t="shared" si="69"/>
        <v>8861.1311154216382</v>
      </c>
      <c r="AP59" s="61"/>
      <c r="AQ59" s="137">
        <v>8460.0394215685865</v>
      </c>
      <c r="AR59" s="137"/>
    </row>
    <row r="60" spans="1:44">
      <c r="A60" s="6">
        <f>A59+1</f>
        <v>2014</v>
      </c>
      <c r="C60" s="494">
        <f t="shared" si="70"/>
        <v>4105815.4548099032</v>
      </c>
      <c r="D60" s="26"/>
      <c r="G60" s="18"/>
      <c r="H60" s="18"/>
      <c r="I60" s="494">
        <f t="shared" si="71"/>
        <v>92348.287365436889</v>
      </c>
      <c r="J60" s="187"/>
      <c r="K60" s="494">
        <f t="shared" si="72"/>
        <v>2270.5428141933071</v>
      </c>
      <c r="L60" s="187"/>
      <c r="M60" s="494">
        <f t="shared" ref="M60:M67" si="79">M18+M32+M46</f>
        <v>4078500.86</v>
      </c>
      <c r="N60" s="187"/>
      <c r="O60" s="494">
        <f t="shared" ref="O60:O67" si="80">O18+O32+O46</f>
        <v>4078500.86</v>
      </c>
      <c r="P60" s="187"/>
      <c r="Q60" s="494">
        <f t="shared" si="73"/>
        <v>4170849.1473654369</v>
      </c>
      <c r="R60" s="187"/>
      <c r="S60" s="494">
        <f t="shared" si="74"/>
        <v>4080771.4028141932</v>
      </c>
      <c r="T60" s="187"/>
      <c r="U60" s="494">
        <f t="shared" si="75"/>
        <v>4080771.4028141932</v>
      </c>
      <c r="V60" s="187"/>
      <c r="W60" s="494">
        <f t="shared" si="76"/>
        <v>2270.5428141932935</v>
      </c>
      <c r="Y60" s="25">
        <f>Y59+1</f>
        <v>2014</v>
      </c>
      <c r="Z60" s="20">
        <v>1242835.5200000005</v>
      </c>
      <c r="AA60" s="20">
        <f t="shared" si="67"/>
        <v>4078500.86</v>
      </c>
      <c r="AB60" s="20">
        <f t="shared" si="67"/>
        <v>4078500.86</v>
      </c>
      <c r="AC60" s="20">
        <f t="shared" si="67"/>
        <v>4078500.86</v>
      </c>
      <c r="AD60" s="20">
        <f t="shared" si="67"/>
        <v>4078500.86</v>
      </c>
      <c r="AE60" s="20">
        <f t="shared" si="67"/>
        <v>0</v>
      </c>
      <c r="AF60" s="20">
        <f t="shared" ref="AF60:AG60" si="81">AF18+AF32+AF46</f>
        <v>4098483.9726151465</v>
      </c>
      <c r="AG60" s="17">
        <f t="shared" si="81"/>
        <v>-17712.569800953381</v>
      </c>
      <c r="AH60" s="32"/>
      <c r="AL60" s="25">
        <f>AL59+1</f>
        <v>2014</v>
      </c>
      <c r="AM60" s="20">
        <f t="shared" si="68"/>
        <v>78020.820000000007</v>
      </c>
      <c r="AN60" s="137">
        <f t="shared" si="69"/>
        <v>4002750.5828141933</v>
      </c>
      <c r="AO60" s="18">
        <f>'Exhibit B,S2'!I38</f>
        <v>2467321.1415077848</v>
      </c>
      <c r="AP60" s="61"/>
      <c r="AQ60" s="137">
        <v>3870026.0128769488</v>
      </c>
      <c r="AR60" s="137"/>
    </row>
    <row r="61" spans="1:44">
      <c r="A61" s="6">
        <f t="shared" ref="A61:A68" si="82">A60+1</f>
        <v>2015</v>
      </c>
      <c r="C61" s="494">
        <f t="shared" si="70"/>
        <v>2768231.7426060005</v>
      </c>
      <c r="G61" s="18"/>
      <c r="H61" s="18"/>
      <c r="I61" s="494">
        <f t="shared" si="71"/>
        <v>141245.84911836009</v>
      </c>
      <c r="J61" s="187"/>
      <c r="K61" s="494">
        <f t="shared" si="72"/>
        <v>12947.38895556273</v>
      </c>
      <c r="L61" s="187"/>
      <c r="M61" s="494">
        <f t="shared" si="79"/>
        <v>2710527.3699999996</v>
      </c>
      <c r="N61" s="187"/>
      <c r="O61" s="494">
        <f t="shared" si="80"/>
        <v>2710527.3699999996</v>
      </c>
      <c r="P61" s="187"/>
      <c r="Q61" s="494">
        <f t="shared" si="73"/>
        <v>2851773.21911836</v>
      </c>
      <c r="R61" s="187"/>
      <c r="S61" s="494">
        <f t="shared" si="74"/>
        <v>2723474.7589555625</v>
      </c>
      <c r="T61" s="187"/>
      <c r="U61" s="494">
        <f t="shared" si="75"/>
        <v>2723474.7589555625</v>
      </c>
      <c r="V61" s="187"/>
      <c r="W61" s="494">
        <f t="shared" si="76"/>
        <v>12947.388955562659</v>
      </c>
      <c r="Y61" s="25">
        <f t="shared" ref="Y61:Y68" si="83">Y60+1</f>
        <v>2015</v>
      </c>
      <c r="Z61" s="20">
        <v>1936056.34</v>
      </c>
      <c r="AA61" s="20">
        <f t="shared" si="67"/>
        <v>2710527.3699999996</v>
      </c>
      <c r="AB61" s="20">
        <f t="shared" si="67"/>
        <v>2710527.3699999996</v>
      </c>
      <c r="AC61" s="20">
        <f t="shared" si="67"/>
        <v>2710527.3699999996</v>
      </c>
      <c r="AD61" s="20">
        <f t="shared" si="67"/>
        <v>2710527.3699999996</v>
      </c>
      <c r="AE61" s="20">
        <f t="shared" si="67"/>
        <v>0</v>
      </c>
      <c r="AF61" s="20">
        <f t="shared" ref="AF61:AG61" si="84">AF19+AF33+AF47</f>
        <v>2758506.4177422584</v>
      </c>
      <c r="AG61" s="17">
        <f t="shared" si="84"/>
        <v>-35031.658786696098</v>
      </c>
      <c r="AH61" s="32"/>
      <c r="AL61" s="25">
        <f t="shared" ref="AL61:AL66" si="85">AL60+1</f>
        <v>2015</v>
      </c>
      <c r="AM61" s="20">
        <f t="shared" si="68"/>
        <v>137342.91864223738</v>
      </c>
      <c r="AN61" s="137">
        <f t="shared" si="69"/>
        <v>2586131.8403133252</v>
      </c>
      <c r="AO61" s="18">
        <f>'Exhibit B,S2'!I39</f>
        <v>2791129.8596265609</v>
      </c>
      <c r="AP61" s="61"/>
      <c r="AQ61" s="137">
        <v>2564013.7205022727</v>
      </c>
      <c r="AR61" s="137"/>
    </row>
    <row r="62" spans="1:44">
      <c r="A62" s="6">
        <f t="shared" si="82"/>
        <v>2016</v>
      </c>
      <c r="C62" s="494">
        <f t="shared" si="70"/>
        <v>3127685.0875321943</v>
      </c>
      <c r="G62" s="18"/>
      <c r="H62" s="18"/>
      <c r="I62" s="494">
        <f t="shared" si="71"/>
        <v>389684.9908041624</v>
      </c>
      <c r="J62" s="187"/>
      <c r="K62" s="494">
        <f t="shared" si="72"/>
        <v>54158.741185853229</v>
      </c>
      <c r="L62" s="187"/>
      <c r="M62" s="494">
        <f t="shared" si="79"/>
        <v>3014251.8099999996</v>
      </c>
      <c r="N62" s="187"/>
      <c r="O62" s="494">
        <f t="shared" si="80"/>
        <v>3014251.8099999996</v>
      </c>
      <c r="P62" s="187"/>
      <c r="Q62" s="494">
        <f t="shared" si="73"/>
        <v>3403936.8008041619</v>
      </c>
      <c r="R62" s="187"/>
      <c r="S62" s="494">
        <f t="shared" si="74"/>
        <v>3068410.5511858533</v>
      </c>
      <c r="T62" s="187"/>
      <c r="U62" s="494">
        <f t="shared" si="75"/>
        <v>3068410.5511858538</v>
      </c>
      <c r="V62" s="187"/>
      <c r="W62" s="494">
        <f t="shared" si="76"/>
        <v>54158.741185853884</v>
      </c>
      <c r="Y62" s="25">
        <f t="shared" si="83"/>
        <v>2016</v>
      </c>
      <c r="Z62" s="20">
        <v>1052800.8200000003</v>
      </c>
      <c r="AA62" s="20">
        <f t="shared" si="67"/>
        <v>3014251.8099999996</v>
      </c>
      <c r="AB62" s="20">
        <f t="shared" si="67"/>
        <v>3014251.8099999996</v>
      </c>
      <c r="AC62" s="20">
        <f t="shared" si="67"/>
        <v>3014251.8099999996</v>
      </c>
      <c r="AD62" s="20">
        <f t="shared" si="67"/>
        <v>3014251.8099999996</v>
      </c>
      <c r="AE62" s="20">
        <f t="shared" si="67"/>
        <v>0</v>
      </c>
      <c r="AF62" s="20">
        <f t="shared" ref="AF62:AG62" si="86">AF20+AF34+AF48</f>
        <v>3145810.3586069643</v>
      </c>
      <c r="AG62" s="17">
        <f t="shared" si="86"/>
        <v>-77399.807421110876</v>
      </c>
      <c r="AH62" s="32"/>
      <c r="AL62" s="25">
        <f t="shared" si="85"/>
        <v>2016</v>
      </c>
      <c r="AM62" s="20">
        <f t="shared" si="68"/>
        <v>130379.12</v>
      </c>
      <c r="AN62" s="137">
        <f t="shared" si="69"/>
        <v>2938031.4311858537</v>
      </c>
      <c r="AO62" s="18">
        <f>'Exhibit B,S2'!I40</f>
        <v>1933758.3233675407</v>
      </c>
      <c r="AP62" s="61"/>
      <c r="AQ62" s="137">
        <v>2901800.2081702356</v>
      </c>
      <c r="AR62" s="137"/>
    </row>
    <row r="63" spans="1:44">
      <c r="A63" s="6">
        <f t="shared" si="82"/>
        <v>2017</v>
      </c>
      <c r="C63" s="494">
        <f t="shared" si="70"/>
        <v>2173990.8535579899</v>
      </c>
      <c r="G63" s="18"/>
      <c r="H63" s="18"/>
      <c r="I63" s="494">
        <f t="shared" si="71"/>
        <v>536469.197672621</v>
      </c>
      <c r="J63" s="187"/>
      <c r="K63" s="494">
        <f t="shared" si="72"/>
        <v>91928.607228990295</v>
      </c>
      <c r="L63" s="187"/>
      <c r="M63" s="494">
        <f t="shared" si="79"/>
        <v>1785482.28</v>
      </c>
      <c r="N63" s="187"/>
      <c r="O63" s="494">
        <f t="shared" si="80"/>
        <v>2037482.28</v>
      </c>
      <c r="P63" s="187"/>
      <c r="Q63" s="494">
        <f t="shared" si="73"/>
        <v>2321951.4776726207</v>
      </c>
      <c r="R63" s="187"/>
      <c r="S63" s="494">
        <f t="shared" si="74"/>
        <v>2129410.8872289904</v>
      </c>
      <c r="T63" s="187"/>
      <c r="U63" s="494">
        <f t="shared" si="75"/>
        <v>2129410.8872289904</v>
      </c>
      <c r="V63" s="187"/>
      <c r="W63" s="494">
        <f t="shared" si="76"/>
        <v>343928.60722899035</v>
      </c>
      <c r="Y63" s="25">
        <f t="shared" si="83"/>
        <v>2017</v>
      </c>
      <c r="Z63" s="20">
        <v>1472534.7200000007</v>
      </c>
      <c r="AA63" s="20">
        <f t="shared" si="67"/>
        <v>1785482.28</v>
      </c>
      <c r="AB63" s="20">
        <f t="shared" si="67"/>
        <v>2037482.28</v>
      </c>
      <c r="AC63" s="20">
        <f t="shared" si="67"/>
        <v>1645974.7000000002</v>
      </c>
      <c r="AD63" s="20">
        <f t="shared" si="67"/>
        <v>2270922.0199999996</v>
      </c>
      <c r="AE63" s="20">
        <f t="shared" si="67"/>
        <v>-233439.74</v>
      </c>
      <c r="AF63" s="20">
        <f t="shared" ref="AF63:AG63" si="87">AF21+AF35+AF49</f>
        <v>2497327.4652104336</v>
      </c>
      <c r="AG63" s="17">
        <f t="shared" si="87"/>
        <v>-367916.57798144367</v>
      </c>
      <c r="AH63" s="32"/>
      <c r="AL63" s="25">
        <f t="shared" si="85"/>
        <v>2017</v>
      </c>
      <c r="AM63" s="20">
        <f t="shared" si="68"/>
        <v>154861.47962257007</v>
      </c>
      <c r="AN63" s="137">
        <f t="shared" si="69"/>
        <v>1974549.4076064203</v>
      </c>
      <c r="AO63" s="18">
        <f>'Exhibit B,S2'!I41</f>
        <v>600050.60388452851</v>
      </c>
      <c r="AP63" s="61"/>
      <c r="AQ63" s="137">
        <v>2437424.6071120105</v>
      </c>
      <c r="AR63" s="137"/>
    </row>
    <row r="64" spans="1:44">
      <c r="A64" s="6">
        <f t="shared" si="82"/>
        <v>2018</v>
      </c>
      <c r="C64" s="494">
        <f t="shared" si="70"/>
        <v>514168.52468724106</v>
      </c>
      <c r="G64" s="18"/>
      <c r="H64" s="18"/>
      <c r="I64" s="494">
        <f t="shared" si="71"/>
        <v>218555.48098760084</v>
      </c>
      <c r="J64" s="187"/>
      <c r="K64" s="494">
        <f t="shared" si="72"/>
        <v>48382.514615293258</v>
      </c>
      <c r="L64" s="187"/>
      <c r="M64" s="494">
        <f t="shared" si="79"/>
        <v>91450.640000000014</v>
      </c>
      <c r="N64" s="187"/>
      <c r="O64" s="494">
        <f t="shared" si="80"/>
        <v>91450.640000000014</v>
      </c>
      <c r="P64" s="187"/>
      <c r="Q64" s="494">
        <f t="shared" si="73"/>
        <v>310006.12098760088</v>
      </c>
      <c r="R64" s="187"/>
      <c r="S64" s="494">
        <f t="shared" si="74"/>
        <v>139833.15461529326</v>
      </c>
      <c r="T64" s="187"/>
      <c r="U64" s="494">
        <f t="shared" si="75"/>
        <v>639833.15461529314</v>
      </c>
      <c r="V64" s="187"/>
      <c r="W64" s="494">
        <f t="shared" si="76"/>
        <v>548382.51461529324</v>
      </c>
      <c r="Y64" s="25">
        <f t="shared" si="83"/>
        <v>2018</v>
      </c>
      <c r="Z64" s="20">
        <v>1530113.3899999987</v>
      </c>
      <c r="AA64" s="20">
        <f t="shared" si="67"/>
        <v>91450.640000000014</v>
      </c>
      <c r="AB64" s="20">
        <f t="shared" si="67"/>
        <v>91450.640000000014</v>
      </c>
      <c r="AC64" s="20">
        <f t="shared" si="67"/>
        <v>91450.64</v>
      </c>
      <c r="AD64" s="20">
        <f t="shared" si="67"/>
        <v>91450.64</v>
      </c>
      <c r="AE64" s="20">
        <f t="shared" si="67"/>
        <v>0</v>
      </c>
      <c r="AF64" s="20">
        <f t="shared" ref="AF64:AG64" si="88">AF22+AF36+AF50</f>
        <v>969821.96801306633</v>
      </c>
      <c r="AG64" s="17">
        <f t="shared" si="88"/>
        <v>-329988.81339777319</v>
      </c>
      <c r="AH64" s="32"/>
      <c r="AL64" s="25">
        <f t="shared" si="85"/>
        <v>2018</v>
      </c>
      <c r="AM64" s="20">
        <f t="shared" si="68"/>
        <v>20018.344758209172</v>
      </c>
      <c r="AN64" s="137">
        <f t="shared" si="69"/>
        <v>619814.80985708395</v>
      </c>
      <c r="AO64" s="18">
        <f>'Exhibit B,S2'!I42</f>
        <v>3665410.3212876292</v>
      </c>
      <c r="AP64" s="61"/>
      <c r="AQ64" s="137">
        <v>829196.78582906304</v>
      </c>
      <c r="AR64" s="137"/>
    </row>
    <row r="65" spans="1:54">
      <c r="A65" s="6">
        <f t="shared" si="82"/>
        <v>2019</v>
      </c>
      <c r="C65" s="494">
        <f t="shared" si="70"/>
        <v>4268031.2493944354</v>
      </c>
      <c r="G65" s="18"/>
      <c r="H65" s="18"/>
      <c r="I65" s="494">
        <f t="shared" si="71"/>
        <v>2629882.1825212403</v>
      </c>
      <c r="J65" s="187"/>
      <c r="K65" s="494">
        <f t="shared" si="72"/>
        <v>844034.79513394553</v>
      </c>
      <c r="L65" s="187"/>
      <c r="M65" s="494">
        <f t="shared" si="79"/>
        <v>1918435.24</v>
      </c>
      <c r="N65" s="187"/>
      <c r="O65" s="494">
        <f t="shared" si="80"/>
        <v>3419917.54</v>
      </c>
      <c r="P65" s="187"/>
      <c r="Q65" s="494">
        <f t="shared" si="73"/>
        <v>4548317.4225212401</v>
      </c>
      <c r="R65" s="187"/>
      <c r="S65" s="494">
        <f t="shared" si="74"/>
        <v>4263952.3351339456</v>
      </c>
      <c r="T65" s="187"/>
      <c r="U65" s="494">
        <f t="shared" si="75"/>
        <v>3964632.7639869782</v>
      </c>
      <c r="V65" s="187"/>
      <c r="W65" s="494">
        <f t="shared" si="76"/>
        <v>2046197.5239869782</v>
      </c>
      <c r="Y65" s="25">
        <f t="shared" si="83"/>
        <v>2019</v>
      </c>
      <c r="Z65" s="20">
        <v>1614309.1900000004</v>
      </c>
      <c r="AA65" s="20">
        <f t="shared" si="67"/>
        <v>1918435.24</v>
      </c>
      <c r="AB65" s="20">
        <f t="shared" si="67"/>
        <v>3419917.54</v>
      </c>
      <c r="AC65" s="20">
        <f t="shared" si="67"/>
        <v>1158122.77</v>
      </c>
      <c r="AD65" s="20">
        <f t="shared" si="67"/>
        <v>3269032.72</v>
      </c>
      <c r="AE65" s="20">
        <f t="shared" si="67"/>
        <v>150884.81999999983</v>
      </c>
      <c r="AF65" s="20">
        <f t="shared" ref="AF65:AG65" si="89">AF23+AF37+AF51</f>
        <v>5042383.2389706727</v>
      </c>
      <c r="AG65" s="17">
        <f t="shared" si="89"/>
        <v>-1077750.4749836945</v>
      </c>
      <c r="AH65" s="32"/>
      <c r="AL65" s="25">
        <f t="shared" si="85"/>
        <v>2019</v>
      </c>
      <c r="AM65" s="20">
        <f t="shared" si="68"/>
        <v>200441.23630101423</v>
      </c>
      <c r="AN65" s="137">
        <f t="shared" si="69"/>
        <v>3764191.527685964</v>
      </c>
      <c r="AO65" s="18">
        <f>'Exhibit B,S2'!I43</f>
        <v>1664250.2295275228</v>
      </c>
      <c r="AP65" s="61"/>
      <c r="AQ65" s="137">
        <v>3321231.9663020703</v>
      </c>
      <c r="AR65" s="137"/>
    </row>
    <row r="66" spans="1:54">
      <c r="A66" s="6">
        <f t="shared" si="82"/>
        <v>2020</v>
      </c>
      <c r="C66" s="494">
        <f t="shared" si="70"/>
        <v>2036770.4625369492</v>
      </c>
      <c r="G66" s="18"/>
      <c r="H66" s="18"/>
      <c r="I66" s="494">
        <f t="shared" si="71"/>
        <v>1595569.3346175437</v>
      </c>
      <c r="J66" s="187"/>
      <c r="K66" s="494">
        <f t="shared" si="72"/>
        <v>826691.53522299754</v>
      </c>
      <c r="L66" s="187"/>
      <c r="M66" s="494">
        <f t="shared" si="79"/>
        <v>1426777.8299999998</v>
      </c>
      <c r="N66" s="187"/>
      <c r="O66" s="494">
        <f t="shared" si="80"/>
        <v>1463982.8299999998</v>
      </c>
      <c r="P66" s="187"/>
      <c r="Q66" s="494">
        <f t="shared" si="73"/>
        <v>3022347.1646175436</v>
      </c>
      <c r="R66" s="187"/>
      <c r="S66" s="494">
        <f t="shared" si="74"/>
        <v>2290674.3652229975</v>
      </c>
      <c r="T66" s="187"/>
      <c r="U66" s="494">
        <f t="shared" si="75"/>
        <v>1968568.5468710763</v>
      </c>
      <c r="V66" s="187"/>
      <c r="W66" s="494">
        <f t="shared" si="76"/>
        <v>541790.7168710765</v>
      </c>
      <c r="Y66" s="25">
        <f t="shared" si="83"/>
        <v>2020</v>
      </c>
      <c r="Z66" s="20">
        <v>1527213.8199999996</v>
      </c>
      <c r="AA66" s="20">
        <f t="shared" si="67"/>
        <v>1426777.8299999998</v>
      </c>
      <c r="AB66" s="20">
        <f t="shared" si="67"/>
        <v>1463982.8299999998</v>
      </c>
      <c r="AC66" s="20">
        <f t="shared" si="67"/>
        <v>350439.26</v>
      </c>
      <c r="AD66" s="20">
        <f t="shared" si="67"/>
        <v>505921.7</v>
      </c>
      <c r="AE66" s="20">
        <f t="shared" si="67"/>
        <v>958061.12999999989</v>
      </c>
      <c r="AF66" s="20">
        <f t="shared" ref="AF66:AG66" si="90">AF24+AF38+AF52</f>
        <v>1802489.7877638002</v>
      </c>
      <c r="AG66" s="17">
        <f t="shared" si="90"/>
        <v>166078.7591072761</v>
      </c>
      <c r="AH66" s="32"/>
      <c r="AL66" s="25">
        <f t="shared" si="85"/>
        <v>2020</v>
      </c>
      <c r="AM66" s="20">
        <f t="shared" si="68"/>
        <v>285468.65568828618</v>
      </c>
      <c r="AN66" s="137">
        <f t="shared" si="69"/>
        <v>1683099.89118279</v>
      </c>
      <c r="AO66" s="18">
        <f>'Exhibit B,S2'!I44</f>
        <v>5483514.8397288853</v>
      </c>
      <c r="AP66" s="61"/>
      <c r="AQ66" s="137">
        <v>2139192.5772369038</v>
      </c>
      <c r="AR66" s="137"/>
    </row>
    <row r="67" spans="1:54">
      <c r="A67" s="6">
        <f t="shared" si="82"/>
        <v>2021</v>
      </c>
      <c r="C67" s="494">
        <f t="shared" si="70"/>
        <v>4589392.3151429771</v>
      </c>
      <c r="G67" s="18"/>
      <c r="H67" s="18"/>
      <c r="I67" s="494">
        <f t="shared" si="71"/>
        <v>4206173.8182845199</v>
      </c>
      <c r="J67" s="187"/>
      <c r="K67" s="494">
        <f t="shared" si="72"/>
        <v>3140492.789643588</v>
      </c>
      <c r="L67" s="187"/>
      <c r="M67" s="494">
        <f t="shared" si="79"/>
        <v>1236199.73</v>
      </c>
      <c r="N67" s="187"/>
      <c r="O67" s="494">
        <f t="shared" si="80"/>
        <v>3487415.05</v>
      </c>
      <c r="P67" s="187"/>
      <c r="Q67" s="494">
        <f t="shared" si="73"/>
        <v>5442373.5482845195</v>
      </c>
      <c r="R67" s="187"/>
      <c r="S67" s="494">
        <f t="shared" si="74"/>
        <v>6627907.8396435883</v>
      </c>
      <c r="T67" s="187"/>
      <c r="U67" s="494">
        <f t="shared" si="75"/>
        <v>5775365.8839251436</v>
      </c>
      <c r="V67" s="187"/>
      <c r="W67" s="494">
        <f t="shared" si="76"/>
        <v>4539166.1539251441</v>
      </c>
      <c r="Y67" s="25">
        <f t="shared" si="83"/>
        <v>2021</v>
      </c>
      <c r="Z67" s="20">
        <v>1819557.4099999995</v>
      </c>
      <c r="AA67" s="20">
        <f t="shared" si="67"/>
        <v>1236199.73</v>
      </c>
      <c r="AB67" s="20">
        <f t="shared" si="67"/>
        <v>3487415.05</v>
      </c>
      <c r="AC67" s="20">
        <f t="shared" si="67"/>
        <v>37551.15</v>
      </c>
      <c r="AD67" s="20">
        <f t="shared" si="67"/>
        <v>358113</v>
      </c>
      <c r="AE67" s="20">
        <f t="shared" si="67"/>
        <v>3129302.05</v>
      </c>
      <c r="AF67" s="20">
        <f t="shared" ref="AF67:AG68" si="91">AF25+AF39+AF53</f>
        <v>2522311.4652727419</v>
      </c>
      <c r="AG67" s="17">
        <f t="shared" si="91"/>
        <v>3253054.4186524013</v>
      </c>
      <c r="AH67" s="32"/>
      <c r="AL67" s="25"/>
      <c r="AM67" s="20">
        <f t="shared" si="68"/>
        <v>0</v>
      </c>
      <c r="AN67" s="137"/>
      <c r="AP67" s="61"/>
      <c r="AQ67" s="61"/>
      <c r="AR67" s="61"/>
    </row>
    <row r="68" spans="1:54">
      <c r="A68" s="6">
        <f t="shared" si="82"/>
        <v>2022</v>
      </c>
      <c r="C68" s="494">
        <f t="shared" si="70"/>
        <v>3770476.5827539111</v>
      </c>
      <c r="G68" s="18"/>
      <c r="H68" s="18"/>
      <c r="I68" s="494">
        <f t="shared" si="71"/>
        <v>3719693.9833560791</v>
      </c>
      <c r="J68" s="494"/>
      <c r="K68" s="494">
        <f t="shared" si="71"/>
        <v>3374400.090992278</v>
      </c>
      <c r="L68" s="494"/>
      <c r="M68" s="494">
        <f t="shared" si="71"/>
        <v>36605.5</v>
      </c>
      <c r="N68" s="494"/>
      <c r="O68" s="494">
        <f t="shared" si="71"/>
        <v>263352.5</v>
      </c>
      <c r="P68" s="494"/>
      <c r="Q68" s="494">
        <f t="shared" si="71"/>
        <v>3756299.4833560791</v>
      </c>
      <c r="R68" s="494"/>
      <c r="S68" s="494">
        <f t="shared" si="71"/>
        <v>3637752.590992278</v>
      </c>
      <c r="T68" s="494"/>
      <c r="U68" s="494">
        <f t="shared" si="71"/>
        <v>2440970.4582306887</v>
      </c>
      <c r="V68" s="494"/>
      <c r="W68" s="494">
        <f t="shared" si="71"/>
        <v>2404364.9582306887</v>
      </c>
      <c r="Y68" s="25">
        <f t="shared" si="83"/>
        <v>2022</v>
      </c>
      <c r="Z68" s="54">
        <v>3582965.3400000003</v>
      </c>
      <c r="AA68" s="20">
        <f t="shared" si="67"/>
        <v>36605.5</v>
      </c>
      <c r="AB68" s="20">
        <f t="shared" si="67"/>
        <v>263352.5</v>
      </c>
      <c r="AC68" s="20">
        <f t="shared" si="67"/>
        <v>0</v>
      </c>
      <c r="AD68" s="20">
        <f t="shared" si="67"/>
        <v>0</v>
      </c>
      <c r="AE68" s="20">
        <f t="shared" si="67"/>
        <v>263352.5</v>
      </c>
      <c r="AF68" s="20">
        <f t="shared" si="91"/>
        <v>0</v>
      </c>
      <c r="AG68" s="17"/>
      <c r="AH68" s="32"/>
      <c r="AL68" s="25"/>
      <c r="AM68" s="20"/>
      <c r="AN68" s="137"/>
      <c r="AP68" s="61"/>
      <c r="AQ68" s="61"/>
      <c r="AR68" s="61"/>
    </row>
    <row r="69" spans="1:54">
      <c r="A69" s="6"/>
      <c r="C69" s="63"/>
      <c r="G69" s="26"/>
      <c r="I69" s="63"/>
      <c r="K69" s="63"/>
      <c r="M69" s="63"/>
      <c r="O69" s="63"/>
      <c r="Q69" s="63"/>
      <c r="S69" s="63"/>
      <c r="U69" s="63"/>
      <c r="W69" s="63"/>
      <c r="Y69" s="25"/>
      <c r="Z69" s="70"/>
      <c r="AA69" s="70"/>
      <c r="AB69" s="70"/>
      <c r="AC69" s="70"/>
      <c r="AD69" s="70"/>
      <c r="AE69" s="70"/>
      <c r="AF69" s="70"/>
      <c r="AG69" s="70"/>
      <c r="AH69" s="32"/>
      <c r="AN69" s="61"/>
      <c r="AP69" s="61"/>
      <c r="AQ69" s="61"/>
      <c r="AR69" s="61"/>
    </row>
    <row r="70" spans="1:54">
      <c r="A70" s="2" t="s">
        <v>0</v>
      </c>
      <c r="C70" s="147">
        <f>SUM(C59:C69)</f>
        <v>27363423.533021603</v>
      </c>
      <c r="D70" s="26"/>
      <c r="E70" s="26"/>
      <c r="G70" s="26"/>
      <c r="I70" s="147">
        <f>SUM(I59:I69)</f>
        <v>13529741.322670687</v>
      </c>
      <c r="J70" s="147"/>
      <c r="K70" s="147">
        <f>SUM(K59:K69)</f>
        <v>8395307.0057927016</v>
      </c>
      <c r="L70" s="147"/>
      <c r="M70" s="147">
        <f>SUM(M59:M69)</f>
        <v>16307092.52</v>
      </c>
      <c r="N70" s="147"/>
      <c r="O70" s="147">
        <f>SUM(O59:O69)</f>
        <v>20575742.139999997</v>
      </c>
      <c r="P70" s="147"/>
      <c r="Q70" s="147">
        <f>SUM(Q59:Q69)</f>
        <v>29836833.842670687</v>
      </c>
      <c r="R70" s="147"/>
      <c r="S70" s="147">
        <f>SUM(S59:S69)</f>
        <v>28971049.1457927</v>
      </c>
      <c r="T70" s="147"/>
      <c r="U70" s="147">
        <f>SUM(U59:U69)</f>
        <v>26800299.667813778</v>
      </c>
      <c r="V70" s="147"/>
      <c r="W70" s="147">
        <f>SUM(W59:W69)</f>
        <v>10493207.14781378</v>
      </c>
      <c r="Y70" s="97" t="s">
        <v>0</v>
      </c>
      <c r="Z70" s="68">
        <f t="shared" ref="Z70:AE70" si="92">SUM(Z59:Z69)</f>
        <v>16857831.939870864</v>
      </c>
      <c r="AA70" s="68">
        <f t="shared" si="92"/>
        <v>16307092.52</v>
      </c>
      <c r="AB70" s="68">
        <f t="shared" si="92"/>
        <v>20575742.139999997</v>
      </c>
      <c r="AC70" s="68">
        <f t="shared" si="92"/>
        <v>13095679.82</v>
      </c>
      <c r="AD70" s="68">
        <f t="shared" si="92"/>
        <v>16307581.379999999</v>
      </c>
      <c r="AE70" s="68">
        <f t="shared" si="92"/>
        <v>4268160.76</v>
      </c>
      <c r="AF70" s="68">
        <f t="shared" ref="AF70:AG70" si="93">SUM(AF59:AF69)</f>
        <v>22846000.96348013</v>
      </c>
      <c r="AG70" s="68">
        <f t="shared" si="93"/>
        <v>1513328.2461029629</v>
      </c>
      <c r="AH70" s="68"/>
      <c r="AM70" s="137">
        <f>SUM(AM59:AM69)</f>
        <v>1006532.7038968954</v>
      </c>
      <c r="AN70" s="137">
        <f>SUM(AN58:AN69)</f>
        <v>17545797.231761053</v>
      </c>
      <c r="AO70" s="137">
        <f>SUM(AO59:AO69)</f>
        <v>18605435.318930451</v>
      </c>
      <c r="AP70" s="61"/>
      <c r="AQ70" s="137">
        <f>SUM(AQ59:AQ69)</f>
        <v>18071345.917451076</v>
      </c>
      <c r="AR70" s="137"/>
      <c r="AT70" s="206"/>
    </row>
    <row r="71" spans="1:54">
      <c r="A71" s="6"/>
      <c r="B71" s="6"/>
      <c r="M71" s="61"/>
      <c r="O71" s="69"/>
      <c r="U71" s="69"/>
      <c r="AG71" s="32"/>
      <c r="AH71" s="32"/>
      <c r="AN71" s="137"/>
      <c r="AP71" s="61"/>
      <c r="AQ71" s="61"/>
      <c r="AR71" s="61"/>
    </row>
    <row r="72" spans="1:54">
      <c r="A72" s="3" t="s">
        <v>538</v>
      </c>
      <c r="C72" s="73">
        <f>'Exhibit C,1'!I34</f>
        <v>3.6999999999999998E-2</v>
      </c>
      <c r="E72" s="3" t="s">
        <v>1022</v>
      </c>
      <c r="O72" s="26"/>
      <c r="Q72" s="26"/>
      <c r="U72" s="26"/>
      <c r="W72" s="147">
        <f>C72*(((1)*(U70-O70)+0.5*(O70-M70)))</f>
        <v>309278.64649910986</v>
      </c>
      <c r="Z72" s="1" t="s">
        <v>685</v>
      </c>
      <c r="AA72" s="26">
        <f>M70-AA70</f>
        <v>0</v>
      </c>
      <c r="AB72" s="26">
        <f>O70-AB70</f>
        <v>0</v>
      </c>
      <c r="AC72" s="26">
        <v>0</v>
      </c>
      <c r="AD72" s="26">
        <v>0</v>
      </c>
      <c r="AE72" s="66"/>
      <c r="AF72" s="17">
        <v>0</v>
      </c>
      <c r="AH72" s="32"/>
    </row>
    <row r="73" spans="1:54">
      <c r="C73" s="141"/>
      <c r="O73" s="26"/>
      <c r="U73" s="26"/>
      <c r="AD73" s="26">
        <f>AD70+2500</f>
        <v>16310081.379999999</v>
      </c>
      <c r="AE73" s="66"/>
      <c r="AF73" s="32"/>
      <c r="AH73" s="32"/>
    </row>
    <row r="74" spans="1:54">
      <c r="A74" s="6"/>
      <c r="U74" s="61"/>
      <c r="W74" s="147"/>
      <c r="AH74" s="32"/>
    </row>
    <row r="75" spans="1:54">
      <c r="A75" s="64" t="s">
        <v>104</v>
      </c>
      <c r="C75" s="3" t="s">
        <v>1490</v>
      </c>
      <c r="U75" s="68"/>
      <c r="Y75" s="95"/>
      <c r="Z75" s="95"/>
      <c r="AA75" s="18"/>
      <c r="AB75" s="95"/>
      <c r="AC75" s="95"/>
      <c r="AD75" s="95"/>
      <c r="AE75" s="95"/>
      <c r="AF75" s="18"/>
      <c r="AG75" s="95"/>
      <c r="AH75" s="95"/>
      <c r="AI75" s="95"/>
      <c r="AJ75" s="95"/>
      <c r="AK75" s="18"/>
      <c r="AL75" s="95"/>
      <c r="AM75" s="18"/>
      <c r="AN75" s="95"/>
      <c r="AO75" s="95"/>
      <c r="AP75" s="95"/>
      <c r="AQ75" s="95"/>
      <c r="AR75" s="95"/>
      <c r="AS75" s="95"/>
      <c r="AT75" s="95"/>
      <c r="AU75" s="95"/>
      <c r="AV75" s="95"/>
      <c r="AW75" s="95"/>
      <c r="AX75" s="95"/>
      <c r="AY75" s="95"/>
      <c r="AZ75" s="95"/>
      <c r="BA75" s="95"/>
      <c r="BB75" s="18"/>
    </row>
    <row r="76" spans="1:54">
      <c r="A76" s="52" t="s">
        <v>36</v>
      </c>
      <c r="C76" s="3" t="s">
        <v>999</v>
      </c>
      <c r="Y76" s="61"/>
      <c r="AH76" s="32"/>
    </row>
    <row r="77" spans="1:54">
      <c r="C77" s="1" t="s">
        <v>1561</v>
      </c>
      <c r="AH77" s="32"/>
    </row>
    <row r="78" spans="1:54">
      <c r="A78" s="52" t="s">
        <v>38</v>
      </c>
      <c r="C78" s="3" t="s">
        <v>1000</v>
      </c>
      <c r="Y78" s="61"/>
      <c r="AH78" s="32"/>
    </row>
    <row r="79" spans="1:54">
      <c r="C79" s="1" t="s">
        <v>1561</v>
      </c>
      <c r="AH79" s="32"/>
    </row>
    <row r="80" spans="1:54">
      <c r="A80" s="64" t="s">
        <v>40</v>
      </c>
      <c r="C80" s="3" t="s">
        <v>609</v>
      </c>
      <c r="Y80" s="61"/>
      <c r="Z80" s="61" t="s">
        <v>14</v>
      </c>
      <c r="AA80" s="61" t="s">
        <v>12</v>
      </c>
      <c r="AB80" s="61" t="s">
        <v>381</v>
      </c>
      <c r="AH80" s="32"/>
    </row>
    <row r="81" spans="1:34">
      <c r="A81" s="64" t="s">
        <v>42</v>
      </c>
      <c r="C81" s="3" t="s">
        <v>596</v>
      </c>
      <c r="Y81" s="61"/>
      <c r="Z81" s="61"/>
      <c r="AA81" s="61"/>
      <c r="AB81" s="61"/>
      <c r="AH81" s="32"/>
    </row>
    <row r="82" spans="1:34">
      <c r="A82" s="64" t="s">
        <v>30</v>
      </c>
      <c r="C82" s="3" t="s">
        <v>610</v>
      </c>
      <c r="Y82" s="115" t="s">
        <v>297</v>
      </c>
      <c r="Z82" s="68">
        <f>AA70+AB70-AE70</f>
        <v>32614673.899999999</v>
      </c>
      <c r="AA82" s="68">
        <f>Z82+AC70+AD70</f>
        <v>62017935.099999994</v>
      </c>
      <c r="AB82" s="68">
        <f>U70-AA82</f>
        <v>-35217635.432186216</v>
      </c>
      <c r="AH82" s="32"/>
    </row>
    <row r="83" spans="1:34">
      <c r="A83" s="64" t="s">
        <v>31</v>
      </c>
      <c r="C83" s="3" t="s">
        <v>610</v>
      </c>
      <c r="AH83" s="32"/>
    </row>
    <row r="84" spans="1:34">
      <c r="A84" s="64" t="s">
        <v>103</v>
      </c>
      <c r="C84" s="3" t="s">
        <v>611</v>
      </c>
      <c r="Y84" s="25" t="s">
        <v>752</v>
      </c>
      <c r="Z84" s="161">
        <f>C72*0.5*(AA82-Z82)+C72*(AB82)</f>
        <v>-759092.17879089003</v>
      </c>
      <c r="AH84" s="95"/>
    </row>
    <row r="85" spans="1:34">
      <c r="A85" s="64" t="s">
        <v>106</v>
      </c>
      <c r="C85" s="3" t="s">
        <v>612</v>
      </c>
    </row>
    <row r="86" spans="1:34">
      <c r="A86" s="64" t="s">
        <v>134</v>
      </c>
      <c r="C86" s="3" t="s">
        <v>316</v>
      </c>
    </row>
    <row r="87" spans="1:34">
      <c r="A87" s="52"/>
      <c r="C87" s="3"/>
    </row>
    <row r="88" spans="1:34">
      <c r="A88" s="52"/>
      <c r="C88" s="3"/>
    </row>
    <row r="89" spans="1:34">
      <c r="A89" s="52"/>
      <c r="C89" s="3"/>
    </row>
    <row r="90" spans="1:34">
      <c r="A90" s="64"/>
      <c r="C90" s="3"/>
    </row>
    <row r="91" spans="1:34">
      <c r="A91" s="64"/>
      <c r="C91" s="3"/>
    </row>
    <row r="92" spans="1:34">
      <c r="A92" s="64"/>
      <c r="C92" s="3"/>
    </row>
    <row r="93" spans="1:34">
      <c r="A93" s="64"/>
      <c r="C93" s="3"/>
    </row>
    <row r="94" spans="1:34">
      <c r="A94" s="64"/>
      <c r="C94" s="3"/>
    </row>
    <row r="95" spans="1:34">
      <c r="A95" s="64"/>
      <c r="C95" s="3"/>
    </row>
    <row r="96" spans="1:34">
      <c r="A96" s="64"/>
      <c r="C96" s="3"/>
    </row>
  </sheetData>
  <printOptions horizontalCentered="1"/>
  <pageMargins left="0.7" right="0.7" top="0.75" bottom="0.75" header="0.3" footer="0.3"/>
  <pageSetup scale="47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2">
    <tabColor rgb="FFFF0000"/>
    <pageSetUpPr fitToPage="1"/>
  </sheetPr>
  <dimension ref="A1:CT126"/>
  <sheetViews>
    <sheetView topLeftCell="L1" zoomScale="70" zoomScaleNormal="70" workbookViewId="0">
      <selection activeCell="AR21" sqref="AR21"/>
    </sheetView>
  </sheetViews>
  <sheetFormatPr baseColWidth="10" defaultColWidth="8.7109375" defaultRowHeight="15"/>
  <cols>
    <col min="1" max="1" width="10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1.7109375" style="1" customWidth="1"/>
    <col min="14" max="14" width="1.7109375" style="1" customWidth="1"/>
    <col min="15" max="15" width="11.7109375" style="1" customWidth="1"/>
    <col min="16" max="16" width="1.7109375" style="1" customWidth="1"/>
    <col min="17" max="17" width="10.7109375" style="1" customWidth="1"/>
    <col min="18" max="18" width="1.7109375" style="1" customWidth="1"/>
    <col min="19" max="19" width="11.7109375" style="1" customWidth="1"/>
    <col min="20" max="20" width="1.7109375" style="1" customWidth="1"/>
    <col min="21" max="21" width="11.7109375" style="1" customWidth="1"/>
    <col min="22" max="22" width="1.7109375" style="1" customWidth="1"/>
    <col min="23" max="23" width="11.7109375" style="1" customWidth="1"/>
    <col min="24" max="24" width="1.7109375" style="1" customWidth="1"/>
    <col min="25" max="25" width="11.7109375" style="1" customWidth="1"/>
    <col min="26" max="26" width="1.7109375" style="1" customWidth="1"/>
    <col min="27" max="27" width="11.7109375" style="1" customWidth="1"/>
    <col min="28" max="28" width="1.7109375" style="1" customWidth="1"/>
    <col min="29" max="29" width="11.7109375" style="1" customWidth="1"/>
    <col min="30" max="30" width="1.7109375" style="1" customWidth="1"/>
    <col min="31" max="31" width="11.7109375" style="1" customWidth="1"/>
    <col min="32" max="32" width="8.7109375" style="1"/>
    <col min="33" max="33" width="10.7109375" style="1" customWidth="1"/>
    <col min="34" max="34" width="1.7109375" style="1" customWidth="1"/>
    <col min="35" max="35" width="11.7109375" style="1" customWidth="1"/>
    <col min="36" max="36" width="1.7109375" style="1" customWidth="1"/>
    <col min="37" max="37" width="11.7109375" style="1" customWidth="1"/>
    <col min="38" max="38" width="1.7109375" style="1" customWidth="1"/>
    <col min="39" max="48" width="10.7109375" style="1" customWidth="1"/>
    <col min="49" max="49" width="11.7109375" style="1" customWidth="1"/>
    <col min="50" max="50" width="10.7109375" style="1" customWidth="1"/>
    <col min="51" max="91" width="12.7109375" style="1" customWidth="1"/>
    <col min="92" max="92" width="12.7109375" style="1" bestFit="1" customWidth="1"/>
    <col min="93" max="95" width="8.7109375" style="1"/>
    <col min="96" max="97" width="12.7109375" style="1" customWidth="1"/>
    <col min="98" max="16384" width="8.7109375" style="1"/>
  </cols>
  <sheetData>
    <row r="1" spans="1:98">
      <c r="Y1" s="3"/>
      <c r="AG1" s="3"/>
      <c r="AH1" s="3"/>
      <c r="AI1" s="3"/>
      <c r="AJ1" s="3"/>
      <c r="AK1" s="64" t="s">
        <v>116</v>
      </c>
      <c r="AL1" s="64"/>
      <c r="AM1" s="64"/>
    </row>
    <row r="2" spans="1:98">
      <c r="Y2" s="3"/>
      <c r="AG2" s="3"/>
      <c r="AH2" s="3"/>
      <c r="AI2" s="3"/>
      <c r="AJ2" s="3"/>
      <c r="AK2" s="64" t="s">
        <v>66</v>
      </c>
      <c r="AL2" s="64"/>
      <c r="AM2" s="64"/>
    </row>
    <row r="4" spans="1:98" ht="16">
      <c r="A4" s="4" t="s">
        <v>1550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98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6"/>
      <c r="AO5" s="6"/>
      <c r="AU5" s="6"/>
      <c r="AW5" s="6"/>
      <c r="AY5" s="6"/>
      <c r="BA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X5" s="6"/>
      <c r="BZ5" s="6"/>
      <c r="CB5" s="6"/>
    </row>
    <row r="6" spans="1:98">
      <c r="A6" s="5" t="s">
        <v>293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133"/>
      <c r="AG6" s="133"/>
      <c r="AH6" s="133"/>
      <c r="AI6" s="5"/>
      <c r="AJ6" s="133"/>
      <c r="AK6" s="133"/>
      <c r="AL6" s="133"/>
      <c r="AM6" s="133"/>
      <c r="AN6" s="2"/>
      <c r="AO6" s="2"/>
      <c r="AP6" s="2"/>
      <c r="AQ6" s="2"/>
      <c r="AR6" s="2"/>
      <c r="AU6" s="6"/>
      <c r="AV6" s="6"/>
      <c r="AW6" s="6"/>
      <c r="AY6" s="6"/>
      <c r="BA6" s="6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X6" s="2"/>
      <c r="BZ6" s="2"/>
      <c r="CB6" s="2"/>
    </row>
    <row r="7" spans="1:98">
      <c r="A7" s="5" t="s">
        <v>77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133"/>
      <c r="AG7" s="133"/>
      <c r="AH7" s="133"/>
      <c r="AI7" s="133"/>
      <c r="AJ7" s="133"/>
      <c r="AK7" s="133"/>
      <c r="AL7" s="133"/>
      <c r="AM7" s="133"/>
      <c r="AN7" s="2"/>
      <c r="AO7" s="2"/>
      <c r="AP7" s="2"/>
      <c r="AQ7" s="2"/>
      <c r="AR7" s="2"/>
      <c r="AT7" s="6"/>
      <c r="AU7" s="6"/>
      <c r="AV7" s="6"/>
      <c r="AW7" s="6"/>
      <c r="AY7" s="2"/>
      <c r="BA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X7" s="2"/>
      <c r="BZ7" s="2"/>
      <c r="CB7" s="2"/>
    </row>
    <row r="8" spans="1:98">
      <c r="A8" s="5" t="s">
        <v>391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43"/>
      <c r="AE8" s="543"/>
      <c r="AF8" s="133"/>
      <c r="AG8" s="133"/>
      <c r="AH8" s="133"/>
      <c r="AI8" s="133"/>
      <c r="AJ8" s="133"/>
      <c r="AK8" s="133"/>
      <c r="AL8" s="133"/>
      <c r="AM8" s="133"/>
      <c r="AN8" s="2"/>
      <c r="AO8" s="61" t="s">
        <v>478</v>
      </c>
      <c r="AP8" s="61"/>
      <c r="AQ8" s="61"/>
      <c r="AR8" s="61"/>
      <c r="AS8" s="61"/>
      <c r="AT8" s="61"/>
      <c r="AU8" s="61"/>
      <c r="AV8" s="61"/>
      <c r="AW8" s="61" t="s">
        <v>560</v>
      </c>
      <c r="AX8" s="61" t="s">
        <v>585</v>
      </c>
      <c r="AY8" s="61"/>
      <c r="AZ8" s="61"/>
      <c r="BA8" s="61"/>
      <c r="BB8" s="61"/>
      <c r="BC8" s="61"/>
      <c r="BD8" s="61"/>
      <c r="BE8" s="61" t="s">
        <v>560</v>
      </c>
      <c r="BF8" s="61" t="s">
        <v>1613</v>
      </c>
      <c r="BG8" s="61"/>
      <c r="BH8" s="61"/>
      <c r="BI8" s="61"/>
      <c r="BJ8" s="61"/>
      <c r="BK8" s="61"/>
      <c r="BL8" s="61"/>
      <c r="BM8" s="61" t="s">
        <v>560</v>
      </c>
      <c r="BN8" s="61" t="s">
        <v>1494</v>
      </c>
      <c r="BO8" s="61"/>
      <c r="BP8" s="61"/>
      <c r="BQ8" s="61"/>
      <c r="BR8" s="61"/>
      <c r="BS8" s="61"/>
      <c r="BT8" s="61"/>
      <c r="BU8" s="61"/>
      <c r="BV8" s="61"/>
      <c r="BX8" s="2"/>
      <c r="BZ8" s="2"/>
      <c r="CB8" s="2"/>
      <c r="CK8" s="61"/>
      <c r="CL8" s="61"/>
      <c r="CM8" s="61"/>
      <c r="CN8" s="61"/>
      <c r="CO8" s="61"/>
      <c r="CP8" s="61"/>
      <c r="CQ8" s="61"/>
    </row>
    <row r="9" spans="1:98">
      <c r="A9" s="5"/>
      <c r="B9" s="5"/>
      <c r="AE9" s="6" t="s">
        <v>11</v>
      </c>
      <c r="AF9" s="6"/>
      <c r="AG9" s="6" t="s">
        <v>11</v>
      </c>
      <c r="AH9" s="6"/>
      <c r="AI9" s="6"/>
      <c r="AJ9" s="6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O9" s="61"/>
      <c r="BP9" s="61"/>
      <c r="BQ9" s="61"/>
      <c r="BR9" s="61"/>
      <c r="BS9" s="61"/>
      <c r="BT9" s="61"/>
      <c r="BU9" s="61"/>
      <c r="BV9" s="61"/>
      <c r="BX9" s="97" t="s">
        <v>2</v>
      </c>
      <c r="CL9" s="61"/>
      <c r="CM9" s="61"/>
      <c r="CN9" s="61"/>
      <c r="CO9" s="61"/>
      <c r="CP9" s="61"/>
      <c r="CQ9" s="61"/>
    </row>
    <row r="10" spans="1:98">
      <c r="C10" s="6" t="s">
        <v>562</v>
      </c>
      <c r="D10" s="6"/>
      <c r="I10" s="6" t="s">
        <v>562</v>
      </c>
      <c r="J10" s="6"/>
      <c r="K10" s="6" t="s">
        <v>562</v>
      </c>
      <c r="L10" s="6"/>
      <c r="O10" s="6" t="s">
        <v>562</v>
      </c>
      <c r="Q10" s="6" t="s">
        <v>575</v>
      </c>
      <c r="S10" s="6" t="s">
        <v>562</v>
      </c>
      <c r="U10" s="6" t="s">
        <v>575</v>
      </c>
      <c r="W10" s="6" t="s">
        <v>14</v>
      </c>
      <c r="Y10" s="6" t="s">
        <v>12</v>
      </c>
      <c r="AA10" s="6" t="s">
        <v>14</v>
      </c>
      <c r="AC10" s="6" t="s">
        <v>12</v>
      </c>
      <c r="AE10" s="6" t="s">
        <v>14</v>
      </c>
      <c r="AG10" s="6" t="s">
        <v>12</v>
      </c>
      <c r="AH10" s="6"/>
      <c r="AI10" s="6"/>
      <c r="AJ10" s="6"/>
      <c r="AN10" s="25" t="s">
        <v>562</v>
      </c>
      <c r="AO10" s="6"/>
      <c r="AP10" s="61" t="s">
        <v>1357</v>
      </c>
      <c r="AQ10" s="25">
        <v>2022</v>
      </c>
      <c r="AR10" s="25">
        <v>2022</v>
      </c>
      <c r="AS10" s="25" t="s">
        <v>2</v>
      </c>
      <c r="AT10" s="25" t="s">
        <v>2</v>
      </c>
      <c r="AU10" s="61"/>
      <c r="AV10" s="61"/>
      <c r="AW10" s="61"/>
      <c r="AX10" s="61" t="s">
        <v>1596</v>
      </c>
      <c r="AY10" s="25">
        <v>2022</v>
      </c>
      <c r="AZ10" s="25">
        <v>2022</v>
      </c>
      <c r="BA10" s="25"/>
      <c r="BB10" s="25" t="s">
        <v>2</v>
      </c>
      <c r="BC10" s="61"/>
      <c r="BD10" s="61"/>
      <c r="BE10" s="61"/>
      <c r="BF10" s="61" t="s">
        <v>1596</v>
      </c>
      <c r="BG10" s="25">
        <v>2022</v>
      </c>
      <c r="BH10" s="25">
        <v>2022</v>
      </c>
      <c r="BI10" s="25"/>
      <c r="BJ10" s="25" t="s">
        <v>2</v>
      </c>
      <c r="BK10" s="61"/>
      <c r="BL10" s="61"/>
      <c r="BM10" s="6"/>
      <c r="BN10" s="61" t="s">
        <v>1596</v>
      </c>
      <c r="BO10" s="25">
        <v>2022</v>
      </c>
      <c r="BP10" s="25">
        <v>2022</v>
      </c>
      <c r="BQ10" s="25" t="s">
        <v>2</v>
      </c>
      <c r="BR10" s="25" t="s">
        <v>2</v>
      </c>
      <c r="BS10" s="61"/>
      <c r="BU10" s="97"/>
      <c r="BV10" s="97" t="s">
        <v>2</v>
      </c>
      <c r="BW10" s="61"/>
      <c r="BX10" s="97" t="s">
        <v>1</v>
      </c>
      <c r="CK10" s="6"/>
      <c r="CL10" s="61"/>
      <c r="CM10" s="61"/>
      <c r="CN10" s="61"/>
      <c r="CO10" s="61"/>
      <c r="CP10" s="61"/>
      <c r="CQ10" s="61"/>
    </row>
    <row r="11" spans="1:98">
      <c r="C11" s="6" t="s">
        <v>565</v>
      </c>
      <c r="D11" s="6"/>
      <c r="E11" s="6" t="s">
        <v>7</v>
      </c>
      <c r="F11" s="6"/>
      <c r="G11" s="6" t="s">
        <v>7</v>
      </c>
      <c r="H11" s="6"/>
      <c r="I11" s="2" t="s">
        <v>7</v>
      </c>
      <c r="J11" s="2"/>
      <c r="K11" s="2" t="s">
        <v>7</v>
      </c>
      <c r="L11" s="2"/>
      <c r="M11" s="2" t="s">
        <v>575</v>
      </c>
      <c r="O11" s="6" t="s">
        <v>64</v>
      </c>
      <c r="P11" s="6"/>
      <c r="Q11" s="6" t="s">
        <v>64</v>
      </c>
      <c r="S11" s="6" t="s">
        <v>64</v>
      </c>
      <c r="T11" s="6"/>
      <c r="U11" s="6" t="s">
        <v>64</v>
      </c>
      <c r="W11" s="6" t="s">
        <v>153</v>
      </c>
      <c r="Y11" s="6" t="s">
        <v>153</v>
      </c>
      <c r="AA11" s="2" t="s">
        <v>154</v>
      </c>
      <c r="AC11" s="2" t="s">
        <v>154</v>
      </c>
      <c r="AE11" s="2" t="s">
        <v>154</v>
      </c>
      <c r="AG11" s="2" t="s">
        <v>154</v>
      </c>
      <c r="AH11" s="2"/>
      <c r="AI11" s="2" t="s">
        <v>1</v>
      </c>
      <c r="AN11" s="25" t="s">
        <v>1</v>
      </c>
      <c r="AO11" s="2"/>
      <c r="AP11" s="25" t="s">
        <v>1358</v>
      </c>
      <c r="AQ11" s="44" t="s">
        <v>9</v>
      </c>
      <c r="AR11" s="44" t="s">
        <v>9</v>
      </c>
      <c r="AS11" s="44" t="s">
        <v>9</v>
      </c>
      <c r="AT11" s="44" t="s">
        <v>9</v>
      </c>
      <c r="AU11" s="44" t="s">
        <v>1606</v>
      </c>
      <c r="AV11" s="61"/>
      <c r="AW11" s="61"/>
      <c r="AX11" s="61"/>
      <c r="AY11" s="44" t="s">
        <v>9</v>
      </c>
      <c r="AZ11" s="44" t="s">
        <v>9</v>
      </c>
      <c r="BA11" s="44"/>
      <c r="BB11" s="44" t="s">
        <v>1642</v>
      </c>
      <c r="BC11" s="44" t="s">
        <v>1606</v>
      </c>
      <c r="BD11" s="61"/>
      <c r="BE11" s="61"/>
      <c r="BF11" s="61"/>
      <c r="BG11" s="44" t="s">
        <v>9</v>
      </c>
      <c r="BH11" s="44" t="s">
        <v>9</v>
      </c>
      <c r="BI11" s="44"/>
      <c r="BJ11" s="44" t="s">
        <v>1642</v>
      </c>
      <c r="BK11" s="44" t="s">
        <v>1606</v>
      </c>
      <c r="BL11" s="61"/>
      <c r="BM11" s="2"/>
      <c r="BN11" s="61"/>
      <c r="BO11" s="44" t="s">
        <v>9</v>
      </c>
      <c r="BP11" s="44" t="s">
        <v>9</v>
      </c>
      <c r="BQ11" s="44" t="s">
        <v>9</v>
      </c>
      <c r="BR11" s="44" t="s">
        <v>9</v>
      </c>
      <c r="BS11" s="44" t="s">
        <v>1606</v>
      </c>
      <c r="BU11" s="97"/>
      <c r="BV11" s="97" t="s">
        <v>1</v>
      </c>
      <c r="BW11" s="61"/>
      <c r="BX11" s="97" t="s">
        <v>67</v>
      </c>
      <c r="CE11" s="61"/>
      <c r="CF11" s="61"/>
      <c r="CG11" s="61"/>
      <c r="CH11" s="61"/>
      <c r="CI11" s="61"/>
      <c r="CK11" s="2"/>
      <c r="CL11" s="61"/>
      <c r="CM11" s="61"/>
      <c r="CN11" s="61"/>
      <c r="CO11" s="61"/>
      <c r="CP11" s="61"/>
      <c r="CQ11" s="61"/>
    </row>
    <row r="12" spans="1:98">
      <c r="A12" s="2" t="s">
        <v>203</v>
      </c>
      <c r="C12" s="6" t="s">
        <v>7</v>
      </c>
      <c r="D12" s="6"/>
      <c r="E12" s="6" t="s">
        <v>62</v>
      </c>
      <c r="F12" s="6"/>
      <c r="G12" s="6" t="s">
        <v>62</v>
      </c>
      <c r="H12" s="6"/>
      <c r="I12" s="2" t="s">
        <v>63</v>
      </c>
      <c r="J12" s="2"/>
      <c r="K12" s="2" t="s">
        <v>69</v>
      </c>
      <c r="L12" s="2"/>
      <c r="M12" s="2" t="s">
        <v>623</v>
      </c>
      <c r="O12" s="6" t="s">
        <v>14</v>
      </c>
      <c r="P12" s="6"/>
      <c r="Q12" s="6" t="s">
        <v>14</v>
      </c>
      <c r="S12" s="6" t="s">
        <v>12</v>
      </c>
      <c r="T12" s="6"/>
      <c r="U12" s="6" t="s">
        <v>12</v>
      </c>
      <c r="W12" s="2" t="s">
        <v>67</v>
      </c>
      <c r="Y12" s="2" t="s">
        <v>67</v>
      </c>
      <c r="AA12" s="2" t="s">
        <v>67</v>
      </c>
      <c r="AC12" s="2" t="s">
        <v>67</v>
      </c>
      <c r="AE12" s="2" t="s">
        <v>67</v>
      </c>
      <c r="AG12" s="2" t="s">
        <v>67</v>
      </c>
      <c r="AH12" s="2"/>
      <c r="AI12" s="2" t="s">
        <v>67</v>
      </c>
      <c r="AK12" s="2" t="s">
        <v>63</v>
      </c>
      <c r="AL12" s="2"/>
      <c r="AM12" s="2"/>
      <c r="AN12" s="25" t="s">
        <v>284</v>
      </c>
      <c r="AO12" s="97" t="s">
        <v>203</v>
      </c>
      <c r="AP12" s="97" t="s">
        <v>177</v>
      </c>
      <c r="AQ12" s="44" t="s">
        <v>14</v>
      </c>
      <c r="AR12" s="44" t="s">
        <v>12</v>
      </c>
      <c r="AS12" s="44" t="s">
        <v>14</v>
      </c>
      <c r="AT12" s="44" t="s">
        <v>12</v>
      </c>
      <c r="AU12" s="44" t="s">
        <v>12</v>
      </c>
      <c r="AV12" s="61"/>
      <c r="AW12" s="97" t="s">
        <v>203</v>
      </c>
      <c r="AX12" s="97" t="s">
        <v>177</v>
      </c>
      <c r="AY12" s="44" t="s">
        <v>14</v>
      </c>
      <c r="AZ12" s="44" t="s">
        <v>12</v>
      </c>
      <c r="BA12" s="44"/>
      <c r="BB12" s="44" t="s">
        <v>67</v>
      </c>
      <c r="BC12" s="44" t="s">
        <v>67</v>
      </c>
      <c r="BD12" s="97"/>
      <c r="BE12" s="97" t="s">
        <v>203</v>
      </c>
      <c r="BF12" s="97" t="s">
        <v>177</v>
      </c>
      <c r="BG12" s="44" t="s">
        <v>14</v>
      </c>
      <c r="BH12" s="44" t="s">
        <v>12</v>
      </c>
      <c r="BI12" s="44"/>
      <c r="BJ12" s="44" t="s">
        <v>67</v>
      </c>
      <c r="BK12" s="44" t="s">
        <v>67</v>
      </c>
      <c r="BL12" s="97"/>
      <c r="BM12" s="97" t="s">
        <v>203</v>
      </c>
      <c r="BN12" s="97" t="s">
        <v>177</v>
      </c>
      <c r="BO12" s="44" t="s">
        <v>14</v>
      </c>
      <c r="BP12" s="44" t="s">
        <v>12</v>
      </c>
      <c r="BQ12" s="44" t="s">
        <v>14</v>
      </c>
      <c r="BR12" s="44" t="s">
        <v>12</v>
      </c>
      <c r="BS12" s="44" t="s">
        <v>12</v>
      </c>
      <c r="BT12" s="61"/>
      <c r="BV12" s="97" t="s">
        <v>67</v>
      </c>
      <c r="BW12" s="61"/>
      <c r="BX12" s="97" t="s">
        <v>55</v>
      </c>
      <c r="CD12" s="25" t="s">
        <v>1617</v>
      </c>
      <c r="CE12" s="61" t="s">
        <v>1616</v>
      </c>
      <c r="CF12" s="61"/>
      <c r="CG12" s="61" t="s">
        <v>1616</v>
      </c>
      <c r="CH12" s="61"/>
      <c r="CI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</row>
    <row r="13" spans="1:98">
      <c r="A13" s="2" t="s">
        <v>4</v>
      </c>
      <c r="C13" s="6" t="s">
        <v>55</v>
      </c>
      <c r="D13" s="6"/>
      <c r="E13" s="6" t="s">
        <v>14</v>
      </c>
      <c r="F13" s="6"/>
      <c r="G13" s="109" t="s">
        <v>12</v>
      </c>
      <c r="H13" s="109"/>
      <c r="I13" s="2" t="s">
        <v>55</v>
      </c>
      <c r="J13" s="2"/>
      <c r="K13" s="2" t="s">
        <v>55</v>
      </c>
      <c r="L13" s="2"/>
      <c r="M13" s="2" t="s">
        <v>55</v>
      </c>
      <c r="O13" s="6" t="s">
        <v>55</v>
      </c>
      <c r="P13" s="6"/>
      <c r="Q13" s="6" t="s">
        <v>55</v>
      </c>
      <c r="R13" s="6"/>
      <c r="S13" s="6" t="s">
        <v>55</v>
      </c>
      <c r="T13" s="6"/>
      <c r="U13" s="6" t="s">
        <v>55</v>
      </c>
      <c r="V13" s="6"/>
      <c r="W13" s="2" t="s">
        <v>55</v>
      </c>
      <c r="Y13" s="2" t="s">
        <v>55</v>
      </c>
      <c r="AA13" s="2" t="s">
        <v>55</v>
      </c>
      <c r="AC13" s="2" t="s">
        <v>55</v>
      </c>
      <c r="AE13" s="2" t="s">
        <v>55</v>
      </c>
      <c r="AG13" s="2" t="s">
        <v>55</v>
      </c>
      <c r="AH13" s="2"/>
      <c r="AI13" s="2" t="s">
        <v>55</v>
      </c>
      <c r="AK13" s="2" t="s">
        <v>55</v>
      </c>
      <c r="AL13" s="2"/>
      <c r="AM13" s="2"/>
      <c r="AN13" s="25" t="s">
        <v>109</v>
      </c>
      <c r="AO13" s="97" t="s">
        <v>4</v>
      </c>
      <c r="AP13" s="97" t="s">
        <v>16</v>
      </c>
      <c r="AQ13" s="45" t="s">
        <v>662</v>
      </c>
      <c r="AR13" s="45" t="s">
        <v>662</v>
      </c>
      <c r="AS13" s="45" t="s">
        <v>662</v>
      </c>
      <c r="AT13" s="45" t="s">
        <v>662</v>
      </c>
      <c r="AU13" s="568" t="s">
        <v>1615</v>
      </c>
      <c r="AV13" s="61"/>
      <c r="AW13" s="25" t="s">
        <v>4</v>
      </c>
      <c r="AX13" s="97" t="s">
        <v>16</v>
      </c>
      <c r="AY13" s="45" t="s">
        <v>662</v>
      </c>
      <c r="AZ13" s="45" t="s">
        <v>662</v>
      </c>
      <c r="BA13" s="45"/>
      <c r="BB13" s="45" t="s">
        <v>662</v>
      </c>
      <c r="BC13" s="568" t="s">
        <v>1643</v>
      </c>
      <c r="BD13" s="97"/>
      <c r="BE13" s="25" t="s">
        <v>4</v>
      </c>
      <c r="BF13" s="97" t="s">
        <v>16</v>
      </c>
      <c r="BG13" s="45" t="s">
        <v>662</v>
      </c>
      <c r="BH13" s="45" t="s">
        <v>662</v>
      </c>
      <c r="BI13" s="45"/>
      <c r="BJ13" s="45" t="s">
        <v>662</v>
      </c>
      <c r="BK13" s="568" t="s">
        <v>1615</v>
      </c>
      <c r="BL13" s="61"/>
      <c r="BM13" s="97" t="s">
        <v>4</v>
      </c>
      <c r="BN13" s="97" t="s">
        <v>16</v>
      </c>
      <c r="BO13" s="45" t="s">
        <v>662</v>
      </c>
      <c r="BP13" s="45" t="s">
        <v>662</v>
      </c>
      <c r="BQ13" s="45" t="s">
        <v>662</v>
      </c>
      <c r="BR13" s="45" t="s">
        <v>662</v>
      </c>
      <c r="BS13" s="568" t="s">
        <v>1615</v>
      </c>
      <c r="BT13" s="2"/>
      <c r="BU13" s="97" t="s">
        <v>4</v>
      </c>
      <c r="BV13" s="97" t="s">
        <v>55</v>
      </c>
      <c r="BW13" s="61" t="s">
        <v>18</v>
      </c>
      <c r="BX13" s="25" t="s">
        <v>1641</v>
      </c>
      <c r="BY13" s="61" t="s">
        <v>18</v>
      </c>
      <c r="CD13" s="25" t="s">
        <v>1618</v>
      </c>
      <c r="CE13" s="61" t="s">
        <v>1248</v>
      </c>
      <c r="CF13" s="61" t="s">
        <v>514</v>
      </c>
      <c r="CG13" s="61" t="s">
        <v>1246</v>
      </c>
      <c r="CH13" s="61" t="s">
        <v>514</v>
      </c>
      <c r="CI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</row>
    <row r="14" spans="1:98">
      <c r="A14" s="10">
        <v>-1</v>
      </c>
      <c r="C14" s="9">
        <v>-2</v>
      </c>
      <c r="D14" s="9"/>
      <c r="E14" s="9">
        <v>-3</v>
      </c>
      <c r="F14" s="9"/>
      <c r="G14" s="9">
        <v>-4</v>
      </c>
      <c r="H14" s="9"/>
      <c r="I14" s="9">
        <v>-5</v>
      </c>
      <c r="J14" s="9"/>
      <c r="K14" s="9">
        <v>-6</v>
      </c>
      <c r="L14" s="9"/>
      <c r="M14" s="9">
        <v>-7</v>
      </c>
      <c r="N14" s="9"/>
      <c r="O14" s="9">
        <v>-8</v>
      </c>
      <c r="P14" s="11"/>
      <c r="Q14" s="9">
        <v>-9</v>
      </c>
      <c r="S14" s="9">
        <v>-10</v>
      </c>
      <c r="U14" s="9">
        <v>-11</v>
      </c>
      <c r="W14" s="9">
        <v>-12</v>
      </c>
      <c r="Y14" s="9">
        <v>-13</v>
      </c>
      <c r="AA14" s="9">
        <v>-14</v>
      </c>
      <c r="AC14" s="9">
        <v>-15</v>
      </c>
      <c r="AE14" s="9">
        <v>-16</v>
      </c>
      <c r="AG14" s="9">
        <v>-17</v>
      </c>
      <c r="AH14" s="11"/>
      <c r="AI14" s="10">
        <v>-18</v>
      </c>
      <c r="AJ14" s="11"/>
      <c r="AK14" s="10">
        <v>-19</v>
      </c>
      <c r="AL14" s="11"/>
      <c r="AM14" s="11"/>
      <c r="AO14" s="143">
        <f>AK14-1</f>
        <v>-20</v>
      </c>
      <c r="AP14" s="143">
        <f t="shared" ref="AP14:AU14" si="0">AO14-1</f>
        <v>-21</v>
      </c>
      <c r="AQ14" s="143">
        <f t="shared" si="0"/>
        <v>-22</v>
      </c>
      <c r="AR14" s="143">
        <f t="shared" si="0"/>
        <v>-23</v>
      </c>
      <c r="AS14" s="143">
        <f t="shared" si="0"/>
        <v>-24</v>
      </c>
      <c r="AT14" s="143">
        <f t="shared" si="0"/>
        <v>-25</v>
      </c>
      <c r="AU14" s="143">
        <f t="shared" si="0"/>
        <v>-26</v>
      </c>
      <c r="AV14" s="61"/>
      <c r="AW14" s="143">
        <v>-20</v>
      </c>
      <c r="AX14" s="143">
        <f>AW14-1</f>
        <v>-21</v>
      </c>
      <c r="AY14" s="143">
        <f t="shared" ref="AY14:BC14" si="1">AX14-1</f>
        <v>-22</v>
      </c>
      <c r="AZ14" s="143">
        <f t="shared" si="1"/>
        <v>-23</v>
      </c>
      <c r="BA14" s="143">
        <f t="shared" si="1"/>
        <v>-24</v>
      </c>
      <c r="BB14" s="143">
        <f t="shared" si="1"/>
        <v>-25</v>
      </c>
      <c r="BC14" s="143">
        <f t="shared" si="1"/>
        <v>-26</v>
      </c>
      <c r="BE14" s="143">
        <v>-20</v>
      </c>
      <c r="BF14" s="143">
        <f>BE14-1</f>
        <v>-21</v>
      </c>
      <c r="BG14" s="143">
        <f t="shared" ref="BG14:BI14" si="2">BF14-1</f>
        <v>-22</v>
      </c>
      <c r="BH14" s="143">
        <f t="shared" si="2"/>
        <v>-23</v>
      </c>
      <c r="BI14" s="143">
        <f t="shared" si="2"/>
        <v>-24</v>
      </c>
      <c r="BJ14" s="143">
        <f t="shared" ref="BJ14" si="3">BI14-1</f>
        <v>-25</v>
      </c>
      <c r="BK14" s="143">
        <f t="shared" ref="BK14" si="4">BJ14-1</f>
        <v>-26</v>
      </c>
      <c r="BL14" s="61"/>
      <c r="BM14" s="143">
        <v>-20</v>
      </c>
      <c r="BN14" s="143">
        <f t="shared" ref="BN14:BS14" si="5">BM14-1</f>
        <v>-21</v>
      </c>
      <c r="BO14" s="143">
        <f t="shared" si="5"/>
        <v>-22</v>
      </c>
      <c r="BP14" s="143">
        <f t="shared" si="5"/>
        <v>-23</v>
      </c>
      <c r="BQ14" s="143">
        <f t="shared" si="5"/>
        <v>-24</v>
      </c>
      <c r="BR14" s="143">
        <f t="shared" si="5"/>
        <v>-25</v>
      </c>
      <c r="BS14" s="143">
        <f t="shared" si="5"/>
        <v>-26</v>
      </c>
      <c r="BT14" s="2"/>
      <c r="BU14" s="143">
        <f>BS14-1</f>
        <v>-27</v>
      </c>
      <c r="BV14" s="143">
        <f>BU14-1</f>
        <v>-28</v>
      </c>
      <c r="BW14" s="143">
        <f>BV14-1</f>
        <v>-29</v>
      </c>
      <c r="BX14" s="143">
        <f>BW14-1</f>
        <v>-30</v>
      </c>
      <c r="BY14" s="143">
        <f>BX14-1</f>
        <v>-31</v>
      </c>
      <c r="CD14" s="143">
        <v>-1</v>
      </c>
      <c r="CE14" s="143">
        <v>-1</v>
      </c>
      <c r="CF14" s="143">
        <v>-12</v>
      </c>
      <c r="CG14" s="143">
        <v>-1</v>
      </c>
      <c r="CH14" s="143">
        <v>-12</v>
      </c>
      <c r="CI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</row>
    <row r="15" spans="1:98">
      <c r="AK15" s="61"/>
      <c r="AL15" s="61"/>
      <c r="AM15" s="61"/>
      <c r="AO15" s="61"/>
      <c r="BL15" s="61"/>
      <c r="BT15" s="2"/>
      <c r="BU15" s="61"/>
      <c r="BV15" s="61"/>
      <c r="BW15" s="61"/>
      <c r="CE15" s="61"/>
      <c r="CF15" s="61"/>
      <c r="CG15" s="61"/>
      <c r="CH15" s="61"/>
      <c r="CI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</row>
    <row r="16" spans="1:98" ht="16">
      <c r="A16" s="3" t="s">
        <v>392</v>
      </c>
      <c r="O16" s="129"/>
      <c r="AK16" s="3"/>
      <c r="AL16" s="3"/>
      <c r="AM16" s="3"/>
      <c r="AO16" s="115" t="s">
        <v>392</v>
      </c>
      <c r="AQ16" s="18">
        <v>0</v>
      </c>
      <c r="AR16" s="18">
        <v>0</v>
      </c>
      <c r="AS16" s="364"/>
      <c r="AW16" s="115" t="s">
        <v>392</v>
      </c>
      <c r="AY16" s="18"/>
      <c r="AZ16" s="18"/>
      <c r="BA16" s="364"/>
      <c r="BE16" s="115" t="s">
        <v>392</v>
      </c>
      <c r="BG16" s="18"/>
      <c r="BH16" s="18"/>
      <c r="BM16" s="115" t="s">
        <v>392</v>
      </c>
      <c r="BU16" s="68" t="s">
        <v>392</v>
      </c>
      <c r="BV16" s="61"/>
      <c r="BW16" s="61"/>
      <c r="CD16" s="61">
        <f t="shared" ref="CD16:CD24" si="6">CD17+12</f>
        <v>132</v>
      </c>
      <c r="CE16" s="72">
        <f>'Exhibit Q,3'!K24</f>
        <v>0.98728629011134794</v>
      </c>
      <c r="CF16" s="72">
        <f t="shared" ref="CF16:CF25" si="7">CE17*(3/12)+CE16*(9/12)</f>
        <v>0.98502961806050837</v>
      </c>
      <c r="CG16" s="72">
        <f>'Exhibit Q,1'!K25</f>
        <v>0.99888376911298637</v>
      </c>
      <c r="CH16" s="72">
        <f t="shared" ref="CH16:CH25" si="8">CG17*(3/12)+CG16*(9/12)</f>
        <v>0.99809545618651974</v>
      </c>
      <c r="CI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</row>
    <row r="17" spans="1:98" ht="16">
      <c r="A17" s="6">
        <v>2013</v>
      </c>
      <c r="C17" s="147">
        <f>'Exhibit D,2'!AC17</f>
        <v>0</v>
      </c>
      <c r="D17" s="26"/>
      <c r="E17" s="73">
        <f>CF17</f>
        <v>0.97282217520113135</v>
      </c>
      <c r="G17" s="74">
        <f>CH17</f>
        <v>0.99338148454770181</v>
      </c>
      <c r="I17" s="497">
        <f>C17*(1-E17)</f>
        <v>0</v>
      </c>
      <c r="J17" s="497"/>
      <c r="K17" s="497">
        <f t="shared" ref="K17:K25" si="9">C17*(1-G17)</f>
        <v>0</v>
      </c>
      <c r="L17" s="147"/>
      <c r="M17" s="496">
        <v>0</v>
      </c>
      <c r="N17" s="147"/>
      <c r="O17" s="570">
        <f t="shared" ref="O17:O26" si="10">AQ17-Q17</f>
        <v>0</v>
      </c>
      <c r="P17" s="147"/>
      <c r="Q17" s="570">
        <f>AY17+BG17+BO17</f>
        <v>0</v>
      </c>
      <c r="R17" s="147"/>
      <c r="S17" s="570">
        <f t="shared" ref="S17:S26" si="11">AR17-U17</f>
        <v>0</v>
      </c>
      <c r="T17" s="495"/>
      <c r="U17" s="570">
        <f>AZ17+BH17+BP17</f>
        <v>0</v>
      </c>
      <c r="V17" s="147"/>
      <c r="W17" s="147">
        <f>(I17+O17)+(M17+U17)</f>
        <v>0</v>
      </c>
      <c r="X17" s="147"/>
      <c r="Y17" s="147">
        <f>(K17+S17)+(M17+U17)</f>
        <v>0</v>
      </c>
      <c r="Z17" s="147"/>
      <c r="AA17" s="147">
        <f>O17/E17+(M17+U17)</f>
        <v>0</v>
      </c>
      <c r="AB17" s="147"/>
      <c r="AC17" s="147">
        <f>S17/G17+(M17+U17)</f>
        <v>0</v>
      </c>
      <c r="AD17" s="147"/>
      <c r="AE17" s="497">
        <f>(O17+Q17)/E17</f>
        <v>0</v>
      </c>
      <c r="AF17" s="147"/>
      <c r="AG17" s="497">
        <f>(S17+U17)/G17</f>
        <v>0</v>
      </c>
      <c r="AH17" s="497"/>
      <c r="AI17" s="497">
        <f>'Exhibit B,1'!M107+U17+M17</f>
        <v>0</v>
      </c>
      <c r="AJ17" s="497"/>
      <c r="AK17" s="508">
        <f>AI17-O17-Q17</f>
        <v>0</v>
      </c>
      <c r="AL17" s="508"/>
      <c r="AM17" s="508"/>
      <c r="AN17" s="393">
        <f t="shared" ref="AN17:AN26" si="12">(AI17-U17-M17)/(AP17-AX17-BF17)</f>
        <v>0</v>
      </c>
      <c r="AO17" s="25">
        <f>A17</f>
        <v>2013</v>
      </c>
      <c r="AP17" s="406">
        <v>38585.950000000004</v>
      </c>
      <c r="AQ17" s="17">
        <v>0</v>
      </c>
      <c r="AR17" s="17">
        <v>0</v>
      </c>
      <c r="AS17" s="17">
        <v>0</v>
      </c>
      <c r="AT17" s="17">
        <v>0</v>
      </c>
      <c r="AU17" s="17">
        <f>AR17-AT17</f>
        <v>0</v>
      </c>
      <c r="AV17" s="18"/>
      <c r="AW17" s="25">
        <f>AO17</f>
        <v>2013</v>
      </c>
      <c r="AY17" s="17">
        <v>0</v>
      </c>
      <c r="AZ17" s="17">
        <v>0</v>
      </c>
      <c r="BA17" s="17"/>
      <c r="BB17" s="17"/>
      <c r="BC17" s="17"/>
      <c r="BD17" s="18"/>
      <c r="BE17" s="25">
        <f>AW17</f>
        <v>2013</v>
      </c>
      <c r="BG17" s="17">
        <v>0</v>
      </c>
      <c r="BH17" s="17">
        <v>0</v>
      </c>
      <c r="BL17" s="18"/>
      <c r="BM17" s="25">
        <f>BE17</f>
        <v>2013</v>
      </c>
      <c r="BN17" s="18"/>
      <c r="BO17" s="18"/>
      <c r="BP17" s="18"/>
      <c r="BQ17" s="18"/>
      <c r="BR17" s="18"/>
      <c r="BS17" s="18"/>
      <c r="BT17" s="18"/>
      <c r="BU17" s="25">
        <f>BE17</f>
        <v>2013</v>
      </c>
      <c r="BV17" s="172">
        <v>0</v>
      </c>
      <c r="BW17" s="137">
        <f t="shared" ref="BW17:BW25" si="13">AI17-BV17</f>
        <v>0</v>
      </c>
      <c r="BX17" s="157">
        <v>0</v>
      </c>
      <c r="BY17" s="157">
        <f t="shared" ref="BY17:BY25" si="14">M17+U17-BX17</f>
        <v>0</v>
      </c>
      <c r="CA17" s="360"/>
      <c r="CB17" s="360"/>
      <c r="CD17" s="61">
        <f t="shared" si="6"/>
        <v>120</v>
      </c>
      <c r="CE17" s="72">
        <f>'Exhibit Q,3'!K25</f>
        <v>0.97825960190798977</v>
      </c>
      <c r="CF17" s="72">
        <f t="shared" si="7"/>
        <v>0.97282217520113135</v>
      </c>
      <c r="CG17" s="72">
        <f>'Exhibit Q,1'!K26</f>
        <v>0.99573051740711982</v>
      </c>
      <c r="CH17" s="72">
        <f t="shared" si="8"/>
        <v>0.99338148454770181</v>
      </c>
      <c r="CI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</row>
    <row r="18" spans="1:98" ht="16">
      <c r="A18" s="6">
        <f>A17+1</f>
        <v>2014</v>
      </c>
      <c r="C18" s="494">
        <f>'Exhibit D,2'!AC18</f>
        <v>1121132.3176245776</v>
      </c>
      <c r="D18" s="18"/>
      <c r="E18" s="73">
        <f t="shared" ref="E18:E25" si="15">CF18</f>
        <v>0.9437608217605965</v>
      </c>
      <c r="G18" s="74">
        <f t="shared" ref="G18:G25" si="16">CH18</f>
        <v>0.98115091564807255</v>
      </c>
      <c r="I18" s="494">
        <f t="shared" ref="I18:I25" si="17">C18*(1-E18)</f>
        <v>63051.560240844155</v>
      </c>
      <c r="J18" s="494"/>
      <c r="K18" s="494">
        <f t="shared" si="9"/>
        <v>21132.317624577579</v>
      </c>
      <c r="L18" s="187"/>
      <c r="M18" s="569">
        <f>'Exhibit D,2'!AS18</f>
        <v>0</v>
      </c>
      <c r="N18" s="494"/>
      <c r="O18" s="569">
        <f t="shared" si="10"/>
        <v>60472.08</v>
      </c>
      <c r="P18" s="494"/>
      <c r="Q18" s="130">
        <f t="shared" ref="Q18:Q25" si="18">AY18+BG18+BO18</f>
        <v>0</v>
      </c>
      <c r="R18" s="494"/>
      <c r="S18" s="130">
        <f t="shared" si="11"/>
        <v>1100000</v>
      </c>
      <c r="T18" s="494"/>
      <c r="U18" s="130">
        <f t="shared" ref="U18:U25" si="19">AZ18+BH18+BP18</f>
        <v>0</v>
      </c>
      <c r="V18" s="187"/>
      <c r="W18" s="17">
        <f t="shared" ref="W18:W26" si="20">(I18+O18)+(M18+U18)</f>
        <v>123523.64024084416</v>
      </c>
      <c r="X18" s="494"/>
      <c r="Y18" s="494">
        <f t="shared" ref="Y18:Y25" si="21">(K18+S18)+(M18+U18)</f>
        <v>1121132.3176245776</v>
      </c>
      <c r="Z18" s="187"/>
      <c r="AA18" s="494">
        <f t="shared" ref="AA18:AA25" si="22">O18/E18+(M18+U18)</f>
        <v>64075.641418541461</v>
      </c>
      <c r="AB18" s="494"/>
      <c r="AC18" s="494">
        <f t="shared" ref="AC18:AC25" si="23">S18/G18+(M18+U18)</f>
        <v>1121132.3176245776</v>
      </c>
      <c r="AD18" s="494"/>
      <c r="AE18" s="494">
        <f t="shared" ref="AE18:AE26" si="24">(O18+Q18)/E18</f>
        <v>64075.641418541461</v>
      </c>
      <c r="AF18" s="147"/>
      <c r="AG18" s="494">
        <f t="shared" ref="AG18:AG26" si="25">(S18+U18)/G18</f>
        <v>1121132.3176245776</v>
      </c>
      <c r="AH18" s="494"/>
      <c r="AI18" s="20">
        <f>'Exhibit B,1'!M108+U18+M18</f>
        <v>1121132.3176245776</v>
      </c>
      <c r="AJ18" s="494"/>
      <c r="AK18" s="506">
        <f t="shared" ref="AK18:AK26" si="26">AI18-O18-Q18</f>
        <v>1060660.2376245775</v>
      </c>
      <c r="AL18" s="506"/>
      <c r="AM18" s="508"/>
      <c r="AN18" s="393">
        <f t="shared" si="12"/>
        <v>23.980870563812871</v>
      </c>
      <c r="AO18" s="25">
        <f>AO17+1</f>
        <v>2014</v>
      </c>
      <c r="AP18" s="363">
        <v>46751.11</v>
      </c>
      <c r="AQ18" s="17">
        <v>60472.08</v>
      </c>
      <c r="AR18" s="17">
        <v>1100000</v>
      </c>
      <c r="AS18" s="17">
        <v>57021.58</v>
      </c>
      <c r="AT18" s="17">
        <v>174000</v>
      </c>
      <c r="AU18" s="17">
        <f t="shared" ref="AU18:AU25" si="27">AR18-AT18</f>
        <v>926000</v>
      </c>
      <c r="AV18" s="18"/>
      <c r="AW18" s="25">
        <f>AW17+1</f>
        <v>2014</v>
      </c>
      <c r="AY18" s="17">
        <v>0</v>
      </c>
      <c r="AZ18" s="17">
        <v>0</v>
      </c>
      <c r="BA18" s="366"/>
      <c r="BB18" s="366"/>
      <c r="BC18" s="364"/>
      <c r="BD18" s="18"/>
      <c r="BE18" s="25">
        <f>BE17+1</f>
        <v>2014</v>
      </c>
      <c r="BG18" s="17">
        <v>0</v>
      </c>
      <c r="BH18" s="17">
        <v>0</v>
      </c>
      <c r="BL18" s="18"/>
      <c r="BM18" s="25">
        <f>BM17+1</f>
        <v>2014</v>
      </c>
      <c r="BN18" s="18"/>
      <c r="BO18" s="18"/>
      <c r="BP18" s="18"/>
      <c r="BQ18" s="18"/>
      <c r="BR18" s="18"/>
      <c r="BS18" s="18"/>
      <c r="BT18" s="18"/>
      <c r="BU18" s="25">
        <f t="shared" ref="BU18:BU26" si="28">BU17+1</f>
        <v>2014</v>
      </c>
      <c r="BV18" s="172">
        <v>182148.68272903192</v>
      </c>
      <c r="BW18" s="137">
        <f t="shared" si="13"/>
        <v>938983.63489554566</v>
      </c>
      <c r="BX18" s="69">
        <v>0</v>
      </c>
      <c r="BY18" s="69">
        <f t="shared" si="14"/>
        <v>0</v>
      </c>
      <c r="CA18" s="360"/>
      <c r="CB18" s="360"/>
      <c r="CD18" s="61">
        <f t="shared" si="6"/>
        <v>108</v>
      </c>
      <c r="CE18" s="72">
        <f>'Exhibit Q,3'!K26</f>
        <v>0.95650989508055606</v>
      </c>
      <c r="CF18" s="72">
        <f t="shared" si="7"/>
        <v>0.9437608217605965</v>
      </c>
      <c r="CG18" s="72">
        <f>'Exhibit Q,1'!K27</f>
        <v>0.98633438596944767</v>
      </c>
      <c r="CH18" s="72">
        <f t="shared" si="8"/>
        <v>0.98115091564807255</v>
      </c>
      <c r="CI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</row>
    <row r="19" spans="1:98" ht="16">
      <c r="A19" s="6">
        <f t="shared" ref="A19:A26" si="29">A18+1</f>
        <v>2015</v>
      </c>
      <c r="C19" s="494">
        <f>'Exhibit D,2'!AC19</f>
        <v>348242.16293173609</v>
      </c>
      <c r="D19" s="18"/>
      <c r="E19" s="73">
        <f t="shared" si="15"/>
        <v>0.88292662596888161</v>
      </c>
      <c r="G19" s="74">
        <f t="shared" si="16"/>
        <v>0.95526356486939812</v>
      </c>
      <c r="I19" s="494">
        <f t="shared" si="17"/>
        <v>40769.884994312815</v>
      </c>
      <c r="J19" s="494"/>
      <c r="K19" s="494">
        <f t="shared" si="9"/>
        <v>15579.112931736103</v>
      </c>
      <c r="L19" s="187"/>
      <c r="M19" s="569">
        <f>'Exhibit D,2'!AS19</f>
        <v>0</v>
      </c>
      <c r="N19" s="494"/>
      <c r="O19" s="569">
        <f t="shared" si="10"/>
        <v>322663.05</v>
      </c>
      <c r="P19" s="494"/>
      <c r="Q19" s="130">
        <f t="shared" si="18"/>
        <v>0</v>
      </c>
      <c r="R19" s="494"/>
      <c r="S19" s="130">
        <f t="shared" si="11"/>
        <v>332663.05</v>
      </c>
      <c r="T19" s="494"/>
      <c r="U19" s="130">
        <f t="shared" si="19"/>
        <v>0</v>
      </c>
      <c r="V19" s="187"/>
      <c r="W19" s="17">
        <f t="shared" si="20"/>
        <v>363432.93499431282</v>
      </c>
      <c r="X19" s="494"/>
      <c r="Y19" s="494">
        <f t="shared" si="21"/>
        <v>348242.16293173609</v>
      </c>
      <c r="Z19" s="187"/>
      <c r="AA19" s="494">
        <f t="shared" si="22"/>
        <v>365447.18497522367</v>
      </c>
      <c r="AB19" s="494"/>
      <c r="AC19" s="494">
        <f t="shared" si="23"/>
        <v>348242.16293173609</v>
      </c>
      <c r="AD19" s="494"/>
      <c r="AE19" s="494">
        <f t="shared" si="24"/>
        <v>365447.18497522367</v>
      </c>
      <c r="AF19" s="147"/>
      <c r="AG19" s="494">
        <f t="shared" si="25"/>
        <v>348242.16293173609</v>
      </c>
      <c r="AH19" s="494"/>
      <c r="AI19" s="20">
        <f>'Exhibit B,1'!M109+U19+M19</f>
        <v>348242.16293173609</v>
      </c>
      <c r="AJ19" s="494"/>
      <c r="AK19" s="506">
        <f t="shared" si="26"/>
        <v>25579.112931736105</v>
      </c>
      <c r="AL19" s="506"/>
      <c r="AM19" s="508"/>
      <c r="AN19" s="393">
        <f t="shared" si="12"/>
        <v>1.4903552604657653</v>
      </c>
      <c r="AO19" s="25">
        <f t="shared" ref="AO19:AO26" si="30">AO18+1</f>
        <v>2015</v>
      </c>
      <c r="AP19" s="363">
        <v>233663.86</v>
      </c>
      <c r="AQ19" s="17">
        <v>322663.05</v>
      </c>
      <c r="AR19" s="17">
        <v>332663.05</v>
      </c>
      <c r="AS19" s="17">
        <v>322663.05</v>
      </c>
      <c r="AT19" s="17">
        <v>322663.05</v>
      </c>
      <c r="AU19" s="17">
        <f t="shared" si="27"/>
        <v>10000</v>
      </c>
      <c r="AV19" s="18"/>
      <c r="AW19" s="25">
        <f t="shared" ref="AW19:AW26" si="31">AW18+1</f>
        <v>2015</v>
      </c>
      <c r="AY19" s="17">
        <v>0</v>
      </c>
      <c r="AZ19" s="17">
        <v>0</v>
      </c>
      <c r="BA19" s="366"/>
      <c r="BB19" s="366"/>
      <c r="BD19" s="18"/>
      <c r="BE19" s="25">
        <f t="shared" ref="BE19:BE26" si="32">BE18+1</f>
        <v>2015</v>
      </c>
      <c r="BG19" s="17">
        <v>0</v>
      </c>
      <c r="BH19" s="17">
        <v>0</v>
      </c>
      <c r="BL19" s="18"/>
      <c r="BM19" s="25">
        <f t="shared" ref="BM19:BM26" si="33">BM18+1</f>
        <v>2015</v>
      </c>
      <c r="BN19" s="18"/>
      <c r="BO19" s="18"/>
      <c r="BP19" s="18"/>
      <c r="BQ19" s="18"/>
      <c r="BR19" s="18"/>
      <c r="BS19" s="18"/>
      <c r="BT19" s="18"/>
      <c r="BU19" s="25">
        <f t="shared" si="28"/>
        <v>2015</v>
      </c>
      <c r="BV19" s="172">
        <v>356282.32190050301</v>
      </c>
      <c r="BW19" s="137">
        <f t="shared" si="13"/>
        <v>-8040.1589687669184</v>
      </c>
      <c r="BX19" s="69">
        <v>0</v>
      </c>
      <c r="BY19" s="69">
        <f t="shared" si="14"/>
        <v>0</v>
      </c>
      <c r="CA19" s="360"/>
      <c r="CB19" s="360"/>
      <c r="CD19" s="61">
        <f t="shared" si="6"/>
        <v>96</v>
      </c>
      <c r="CE19" s="72">
        <f>'Exhibit Q,3'!K27</f>
        <v>0.9055136018007176</v>
      </c>
      <c r="CF19" s="72">
        <f t="shared" si="7"/>
        <v>0.88292662596888161</v>
      </c>
      <c r="CG19" s="72">
        <f>'Exhibit Q,1'!K28</f>
        <v>0.96560050468394742</v>
      </c>
      <c r="CH19" s="72">
        <f t="shared" si="8"/>
        <v>0.95526356486939812</v>
      </c>
      <c r="CI19" s="61"/>
      <c r="CK19" s="25"/>
      <c r="CL19" s="439"/>
      <c r="CM19" s="439"/>
      <c r="CN19" s="439"/>
      <c r="CO19" s="439"/>
      <c r="CP19" s="439"/>
      <c r="CQ19" s="439"/>
      <c r="CR19" s="20"/>
      <c r="CS19" s="20"/>
    </row>
    <row r="20" spans="1:98" ht="16">
      <c r="A20" s="6">
        <f t="shared" si="29"/>
        <v>2016</v>
      </c>
      <c r="C20" s="494">
        <f>'Exhibit D,2'!AC20</f>
        <v>1427844.3328704594</v>
      </c>
      <c r="D20" s="18"/>
      <c r="E20" s="73">
        <f t="shared" si="15"/>
        <v>0.781748488710163</v>
      </c>
      <c r="G20" s="74">
        <f t="shared" si="16"/>
        <v>0.90563867519115449</v>
      </c>
      <c r="I20" s="494">
        <f t="shared" si="17"/>
        <v>311629.18353560683</v>
      </c>
      <c r="J20" s="494"/>
      <c r="K20" s="494">
        <f t="shared" si="9"/>
        <v>134733.28287045876</v>
      </c>
      <c r="L20" s="187"/>
      <c r="M20" s="569">
        <v>0</v>
      </c>
      <c r="N20" s="494"/>
      <c r="O20" s="569">
        <f t="shared" si="10"/>
        <v>766496.46000000089</v>
      </c>
      <c r="P20" s="494"/>
      <c r="Q20" s="130">
        <f t="shared" si="18"/>
        <v>11104770.789999999</v>
      </c>
      <c r="R20" s="494"/>
      <c r="S20" s="130">
        <f t="shared" si="11"/>
        <v>1293111.0500000007</v>
      </c>
      <c r="T20" s="494"/>
      <c r="U20" s="130">
        <f t="shared" si="19"/>
        <v>11104770.789999999</v>
      </c>
      <c r="V20" s="187"/>
      <c r="W20" s="17">
        <f t="shared" si="20"/>
        <v>12182896.433535608</v>
      </c>
      <c r="X20" s="494"/>
      <c r="Y20" s="494">
        <f t="shared" si="21"/>
        <v>12532615.122870458</v>
      </c>
      <c r="Z20" s="187"/>
      <c r="AA20" s="494">
        <f t="shared" si="22"/>
        <v>12085260.642004283</v>
      </c>
      <c r="AB20" s="494"/>
      <c r="AC20" s="494">
        <f t="shared" si="23"/>
        <v>12532615.122870458</v>
      </c>
      <c r="AD20" s="494"/>
      <c r="AE20" s="494">
        <f t="shared" si="24"/>
        <v>15185532.714731386</v>
      </c>
      <c r="AF20" s="147"/>
      <c r="AG20" s="494">
        <f t="shared" si="25"/>
        <v>13689655.907620288</v>
      </c>
      <c r="AH20" s="494"/>
      <c r="AI20" s="20">
        <f>'Exhibit B,1'!M110+U20+M20</f>
        <v>12532615.122870458</v>
      </c>
      <c r="AJ20" s="494"/>
      <c r="AK20" s="506">
        <f t="shared" si="26"/>
        <v>661347.87287045829</v>
      </c>
      <c r="AL20" s="506"/>
      <c r="AM20" s="508"/>
      <c r="AN20" s="393">
        <f t="shared" si="12"/>
        <v>1.2328848276537454</v>
      </c>
      <c r="AO20" s="25">
        <f t="shared" si="30"/>
        <v>2016</v>
      </c>
      <c r="AP20" s="363">
        <v>1519405.8900000046</v>
      </c>
      <c r="AQ20" s="17">
        <v>11871267.25</v>
      </c>
      <c r="AR20" s="17">
        <v>12397881.84</v>
      </c>
      <c r="AS20" s="17">
        <v>10469978.939999998</v>
      </c>
      <c r="AT20" s="17">
        <v>11868586.619999997</v>
      </c>
      <c r="AU20" s="17">
        <f t="shared" si="27"/>
        <v>529295.22000000253</v>
      </c>
      <c r="AV20" s="18"/>
      <c r="AW20" s="25">
        <f t="shared" si="31"/>
        <v>2016</v>
      </c>
      <c r="AX20" s="363">
        <v>209639.63999999961</v>
      </c>
      <c r="AY20" s="17">
        <v>5224249.28</v>
      </c>
      <c r="AZ20" s="17">
        <v>5224249.28</v>
      </c>
      <c r="BA20" s="366"/>
      <c r="BB20" s="17">
        <v>6150240.879999999</v>
      </c>
      <c r="BC20" s="95">
        <f>M20+AZ20-BB20</f>
        <v>-925991.5999999987</v>
      </c>
      <c r="BD20" s="18"/>
      <c r="BE20" s="25">
        <f t="shared" si="32"/>
        <v>2016</v>
      </c>
      <c r="BF20" s="369">
        <v>151633.47</v>
      </c>
      <c r="BG20" s="17">
        <v>5880521.5099999998</v>
      </c>
      <c r="BH20" s="17">
        <v>5880521.5099999998</v>
      </c>
      <c r="BI20" s="95">
        <v>1251000</v>
      </c>
      <c r="BJ20" s="95">
        <v>5871748.8700000001</v>
      </c>
      <c r="BK20" s="95">
        <f>BH20-BJ20</f>
        <v>8772.6399999996647</v>
      </c>
      <c r="BL20" s="18"/>
      <c r="BM20" s="25">
        <f t="shared" si="33"/>
        <v>2016</v>
      </c>
      <c r="BN20" s="18"/>
      <c r="BO20" s="18"/>
      <c r="BP20" s="18"/>
      <c r="BQ20" s="18"/>
      <c r="BR20" s="18"/>
      <c r="BS20" s="18"/>
      <c r="BT20" s="18"/>
      <c r="BU20" s="25">
        <f t="shared" si="28"/>
        <v>2016</v>
      </c>
      <c r="BV20" s="172">
        <v>12960417.284026548</v>
      </c>
      <c r="BW20" s="137">
        <f t="shared" si="13"/>
        <v>-427802.16115608998</v>
      </c>
      <c r="BX20" s="69">
        <v>12021989.749999998</v>
      </c>
      <c r="BY20" s="69">
        <f t="shared" si="14"/>
        <v>-917218.95999999903</v>
      </c>
      <c r="CA20" s="360"/>
      <c r="CB20" s="360"/>
      <c r="CD20" s="61">
        <f t="shared" si="6"/>
        <v>84</v>
      </c>
      <c r="CE20" s="72">
        <f>'Exhibit Q,3'!K28</f>
        <v>0.81516569847337383</v>
      </c>
      <c r="CF20" s="72">
        <f t="shared" si="7"/>
        <v>0.781748488710163</v>
      </c>
      <c r="CG20" s="72">
        <f>'Exhibit Q,1'!K29</f>
        <v>0.92425274542575031</v>
      </c>
      <c r="CH20" s="72">
        <f t="shared" si="8"/>
        <v>0.90563867519115449</v>
      </c>
      <c r="CI20" s="61"/>
      <c r="CK20" s="25"/>
      <c r="CL20" s="439"/>
      <c r="CM20" s="439"/>
      <c r="CN20" s="439"/>
      <c r="CO20" s="439"/>
      <c r="CP20" s="439"/>
      <c r="CQ20" s="439"/>
      <c r="CR20" s="20"/>
      <c r="CS20" s="20"/>
    </row>
    <row r="21" spans="1:98" ht="16">
      <c r="A21" s="6">
        <f t="shared" si="29"/>
        <v>2017</v>
      </c>
      <c r="C21" s="494">
        <f>'Exhibit D,2'!AC21</f>
        <v>1512736.4350139704</v>
      </c>
      <c r="D21" s="18"/>
      <c r="E21" s="73">
        <f t="shared" si="15"/>
        <v>0.6398348470847689</v>
      </c>
      <c r="G21" s="74">
        <f t="shared" si="16"/>
        <v>0.81500034074912342</v>
      </c>
      <c r="I21" s="494">
        <f t="shared" si="17"/>
        <v>544834.94943724817</v>
      </c>
      <c r="J21" s="494"/>
      <c r="K21" s="494">
        <f t="shared" si="9"/>
        <v>279855.72501397034</v>
      </c>
      <c r="L21" s="187"/>
      <c r="M21" s="569">
        <v>-301749.95</v>
      </c>
      <c r="N21" s="494"/>
      <c r="O21" s="569">
        <f t="shared" si="10"/>
        <v>360356.36000000034</v>
      </c>
      <c r="P21" s="494"/>
      <c r="Q21" s="130">
        <f t="shared" si="18"/>
        <v>6056659.0899999999</v>
      </c>
      <c r="R21" s="494"/>
      <c r="S21" s="130">
        <f t="shared" si="11"/>
        <v>1232880.71</v>
      </c>
      <c r="T21" s="494"/>
      <c r="U21" s="130">
        <f t="shared" si="19"/>
        <v>7034839.5300000003</v>
      </c>
      <c r="V21" s="187"/>
      <c r="W21" s="17">
        <f t="shared" si="20"/>
        <v>7638280.8894372489</v>
      </c>
      <c r="X21" s="494"/>
      <c r="Y21" s="494">
        <f t="shared" si="21"/>
        <v>8245826.0150139704</v>
      </c>
      <c r="Z21" s="187"/>
      <c r="AA21" s="494">
        <f t="shared" si="22"/>
        <v>7296291.7276196005</v>
      </c>
      <c r="AB21" s="494"/>
      <c r="AC21" s="494">
        <f t="shared" si="23"/>
        <v>8245826.0150139704</v>
      </c>
      <c r="AD21" s="494"/>
      <c r="AE21" s="494">
        <f t="shared" si="24"/>
        <v>10029174.683494283</v>
      </c>
      <c r="AF21" s="147"/>
      <c r="AG21" s="494">
        <f t="shared" si="25"/>
        <v>10144437.770910088</v>
      </c>
      <c r="AH21" s="494"/>
      <c r="AI21" s="20">
        <f>'Exhibit B,1'!M111+U21+M21</f>
        <v>8245826.0150139695</v>
      </c>
      <c r="AJ21" s="494"/>
      <c r="AK21" s="506">
        <f t="shared" si="26"/>
        <v>1828810.5650139693</v>
      </c>
      <c r="AL21" s="506"/>
      <c r="AM21" s="508"/>
      <c r="AN21" s="393">
        <f t="shared" si="12"/>
        <v>0.96735319166299316</v>
      </c>
      <c r="AO21" s="25">
        <f t="shared" si="30"/>
        <v>2017</v>
      </c>
      <c r="AP21" s="363">
        <v>4287862.9699999793</v>
      </c>
      <c r="AQ21" s="17">
        <v>6417015.4500000002</v>
      </c>
      <c r="AR21" s="17">
        <v>8267720.2400000002</v>
      </c>
      <c r="AS21" s="17">
        <v>6286367.1299999999</v>
      </c>
      <c r="AT21" s="17">
        <v>6765178.4699999997</v>
      </c>
      <c r="AU21" s="17">
        <f t="shared" si="27"/>
        <v>1502541.7700000005</v>
      </c>
      <c r="AV21" s="18"/>
      <c r="AW21" s="25">
        <f t="shared" si="31"/>
        <v>2017</v>
      </c>
      <c r="AX21" s="363">
        <v>2491508.9200000018</v>
      </c>
      <c r="AY21" s="17">
        <v>6056659.0899999999</v>
      </c>
      <c r="AZ21" s="17">
        <v>7034839.5300000003</v>
      </c>
      <c r="BA21" s="366"/>
      <c r="BB21" s="17">
        <v>7415663.6400000006</v>
      </c>
      <c r="BC21" s="95">
        <f>M21+AZ21-BB21</f>
        <v>-682574.06000000052</v>
      </c>
      <c r="BD21" s="18"/>
      <c r="BE21" s="25">
        <f t="shared" si="32"/>
        <v>2017</v>
      </c>
      <c r="BF21" s="363">
        <v>232564.89000000007</v>
      </c>
      <c r="BG21" s="17">
        <v>0</v>
      </c>
      <c r="BH21" s="17">
        <v>0</v>
      </c>
      <c r="BL21" s="18"/>
      <c r="BM21" s="25">
        <f t="shared" si="33"/>
        <v>2017</v>
      </c>
      <c r="BN21" s="18"/>
      <c r="BO21" s="18"/>
      <c r="BP21" s="18"/>
      <c r="BQ21" s="18"/>
      <c r="BR21" s="18"/>
      <c r="BS21" s="18"/>
      <c r="BT21" s="18"/>
      <c r="BU21" s="25">
        <f t="shared" si="28"/>
        <v>2017</v>
      </c>
      <c r="BV21" s="172">
        <v>9035731.2583028004</v>
      </c>
      <c r="BW21" s="137">
        <f t="shared" si="13"/>
        <v>-789905.24328883085</v>
      </c>
      <c r="BX21" s="69">
        <v>7415663.6400000006</v>
      </c>
      <c r="BY21" s="69">
        <f t="shared" si="14"/>
        <v>-682574.06000000052</v>
      </c>
      <c r="CA21" s="360"/>
      <c r="CB21" s="360"/>
      <c r="CD21" s="61">
        <f t="shared" si="6"/>
        <v>72</v>
      </c>
      <c r="CE21" s="72">
        <f>'Exhibit Q,3'!K29</f>
        <v>0.6814968594205304</v>
      </c>
      <c r="CF21" s="72">
        <f t="shared" si="7"/>
        <v>0.6398348470847689</v>
      </c>
      <c r="CG21" s="72">
        <f>'Exhibit Q,1'!K30</f>
        <v>0.84979646448736712</v>
      </c>
      <c r="CH21" s="72">
        <f t="shared" si="8"/>
        <v>0.81500034074912342</v>
      </c>
      <c r="CI21" s="61"/>
      <c r="CK21" s="25"/>
      <c r="CL21" s="439"/>
      <c r="CM21" s="439"/>
      <c r="CN21" s="439"/>
      <c r="CO21" s="439"/>
      <c r="CP21" s="439"/>
      <c r="CQ21" s="439"/>
      <c r="CR21" s="20"/>
      <c r="CS21" s="20"/>
    </row>
    <row r="22" spans="1:98" ht="16">
      <c r="A22" s="6">
        <f t="shared" si="29"/>
        <v>2018</v>
      </c>
      <c r="C22" s="494">
        <f>'Exhibit D,2'!AC22</f>
        <v>6893090.8200000003</v>
      </c>
      <c r="D22" s="18"/>
      <c r="E22" s="73">
        <f t="shared" si="15"/>
        <v>0.47250143837300063</v>
      </c>
      <c r="G22" s="74">
        <f t="shared" si="16"/>
        <v>0.658173857572253</v>
      </c>
      <c r="I22" s="494">
        <f t="shared" si="17"/>
        <v>3636095.4927142737</v>
      </c>
      <c r="J22" s="494"/>
      <c r="K22" s="494">
        <f t="shared" si="9"/>
        <v>2356238.6444047154</v>
      </c>
      <c r="L22" s="187"/>
      <c r="M22" s="569">
        <v>4795644.8154128762</v>
      </c>
      <c r="N22" s="494"/>
      <c r="O22" s="569">
        <f t="shared" si="10"/>
        <v>1316069.8599999994</v>
      </c>
      <c r="P22" s="494"/>
      <c r="Q22" s="130">
        <f t="shared" si="18"/>
        <v>5664933.4800000004</v>
      </c>
      <c r="R22" s="494"/>
      <c r="S22" s="130">
        <f t="shared" si="11"/>
        <v>4893090.82</v>
      </c>
      <c r="T22" s="494"/>
      <c r="U22" s="130">
        <f t="shared" si="19"/>
        <v>6258780.5599999987</v>
      </c>
      <c r="V22" s="187"/>
      <c r="W22" s="17">
        <f t="shared" si="20"/>
        <v>16006590.728127148</v>
      </c>
      <c r="X22" s="494"/>
      <c r="Y22" s="494">
        <f t="shared" si="21"/>
        <v>18303754.839817591</v>
      </c>
      <c r="Z22" s="187"/>
      <c r="AA22" s="494">
        <f t="shared" si="22"/>
        <v>13839749.933432678</v>
      </c>
      <c r="AB22" s="494"/>
      <c r="AC22" s="494">
        <f t="shared" si="23"/>
        <v>18488769.300965779</v>
      </c>
      <c r="AD22" s="494"/>
      <c r="AE22" s="494">
        <f t="shared" si="24"/>
        <v>14774565.26701423</v>
      </c>
      <c r="AF22" s="147"/>
      <c r="AG22" s="494">
        <f t="shared" si="25"/>
        <v>16943655.922668986</v>
      </c>
      <c r="AH22" s="494"/>
      <c r="AI22" s="20">
        <f>'Exhibit B,1'!M112+U22+M22</f>
        <v>18303754.839817591</v>
      </c>
      <c r="AJ22" s="494"/>
      <c r="AK22" s="506">
        <f t="shared" si="26"/>
        <v>11322751.499817591</v>
      </c>
      <c r="AL22" s="506"/>
      <c r="AM22" s="508"/>
      <c r="AN22" s="393">
        <f t="shared" si="12"/>
        <v>5.5483367084408126</v>
      </c>
      <c r="AO22" s="25">
        <f t="shared" si="30"/>
        <v>2018</v>
      </c>
      <c r="AP22" s="363">
        <v>3938984.8300000061</v>
      </c>
      <c r="AQ22" s="17">
        <v>6981003.3399999999</v>
      </c>
      <c r="AR22" s="17">
        <v>11151871.379999999</v>
      </c>
      <c r="AS22" s="17">
        <v>5600042.8300000001</v>
      </c>
      <c r="AT22" s="17">
        <v>6328217.209999999</v>
      </c>
      <c r="AU22" s="17">
        <f t="shared" si="27"/>
        <v>4823654.17</v>
      </c>
      <c r="AV22" s="18"/>
      <c r="AW22" s="25">
        <f t="shared" si="31"/>
        <v>2018</v>
      </c>
      <c r="AX22" s="363">
        <v>2628323.6899999985</v>
      </c>
      <c r="AY22" s="17">
        <v>2794424.48</v>
      </c>
      <c r="AZ22" s="17">
        <v>3388271.5599999987</v>
      </c>
      <c r="BA22" s="366"/>
      <c r="BB22" s="17">
        <v>7499549.552941177</v>
      </c>
      <c r="BC22" s="95">
        <f>M22+AZ22-BB22</f>
        <v>684366.82247169781</v>
      </c>
      <c r="BD22" s="18"/>
      <c r="BE22" s="25">
        <f t="shared" si="32"/>
        <v>2018</v>
      </c>
      <c r="BF22" s="363">
        <v>4084.08</v>
      </c>
      <c r="BG22" s="17">
        <v>0</v>
      </c>
      <c r="BH22" s="17">
        <v>0</v>
      </c>
      <c r="BL22" s="18"/>
      <c r="BM22" s="25">
        <f t="shared" si="33"/>
        <v>2018</v>
      </c>
      <c r="BN22" s="18">
        <v>572642.32000000007</v>
      </c>
      <c r="BO22" s="18">
        <v>2870509</v>
      </c>
      <c r="BP22" s="18">
        <f>BO22</f>
        <v>2870509</v>
      </c>
      <c r="BQ22" s="18"/>
      <c r="BR22" s="18">
        <v>2856530.57</v>
      </c>
      <c r="BS22" s="95">
        <f>BP22-BR22</f>
        <v>13978.430000000168</v>
      </c>
      <c r="BT22" s="18"/>
      <c r="BU22" s="25">
        <f t="shared" si="28"/>
        <v>2018</v>
      </c>
      <c r="BV22" s="172">
        <v>13183565.019573843</v>
      </c>
      <c r="BW22" s="137">
        <f t="shared" si="13"/>
        <v>5120189.8202437479</v>
      </c>
      <c r="BX22" s="69">
        <v>10356080.122941177</v>
      </c>
      <c r="BY22" s="69">
        <f t="shared" si="14"/>
        <v>698345.25247169659</v>
      </c>
      <c r="CA22" s="360"/>
      <c r="CB22" s="360"/>
      <c r="CD22" s="61">
        <f t="shared" si="6"/>
        <v>60</v>
      </c>
      <c r="CE22" s="72">
        <f>'Exhibit Q,3'!K30</f>
        <v>0.51484881007748451</v>
      </c>
      <c r="CF22" s="72">
        <f t="shared" si="7"/>
        <v>0.47250143837300063</v>
      </c>
      <c r="CG22" s="72">
        <f>'Exhibit Q,1'!K31</f>
        <v>0.71061196953439254</v>
      </c>
      <c r="CH22" s="72">
        <f t="shared" si="8"/>
        <v>0.658173857572253</v>
      </c>
      <c r="CI22" s="61"/>
      <c r="CK22" s="25"/>
      <c r="CL22" s="439"/>
      <c r="CM22" s="439"/>
      <c r="CN22" s="439"/>
      <c r="CO22" s="439"/>
      <c r="CP22" s="439"/>
      <c r="CQ22" s="439"/>
      <c r="CR22" s="20"/>
      <c r="CS22" s="20"/>
    </row>
    <row r="23" spans="1:98" ht="16">
      <c r="A23" s="6">
        <f t="shared" si="29"/>
        <v>2019</v>
      </c>
      <c r="C23" s="494">
        <f>'Exhibit D,2'!AC23</f>
        <v>4106591.9098892291</v>
      </c>
      <c r="D23" s="18"/>
      <c r="E23" s="73">
        <f t="shared" si="15"/>
        <v>0.30712267948418231</v>
      </c>
      <c r="G23" s="74">
        <f t="shared" si="16"/>
        <v>0.44635243430393778</v>
      </c>
      <c r="I23" s="494">
        <f t="shared" si="17"/>
        <v>2845364.3989759833</v>
      </c>
      <c r="J23" s="494"/>
      <c r="K23" s="494">
        <f t="shared" si="9"/>
        <v>2273604.6142173144</v>
      </c>
      <c r="L23" s="187"/>
      <c r="M23" s="569">
        <v>5818349.6500000004</v>
      </c>
      <c r="N23" s="494"/>
      <c r="O23" s="569">
        <f t="shared" si="10"/>
        <v>1518804.7000000002</v>
      </c>
      <c r="P23" s="494"/>
      <c r="Q23" s="130">
        <f t="shared" si="18"/>
        <v>4651497.55</v>
      </c>
      <c r="R23" s="494"/>
      <c r="S23" s="130">
        <f t="shared" si="11"/>
        <v>1770811.3399999999</v>
      </c>
      <c r="T23" s="494"/>
      <c r="U23" s="130">
        <f t="shared" si="19"/>
        <v>5235187.4000000004</v>
      </c>
      <c r="V23" s="187"/>
      <c r="W23" s="17">
        <f t="shared" si="20"/>
        <v>15417706.148975983</v>
      </c>
      <c r="X23" s="494"/>
      <c r="Y23" s="494">
        <f t="shared" si="21"/>
        <v>15097953.004217315</v>
      </c>
      <c r="Z23" s="187"/>
      <c r="AA23" s="494">
        <f t="shared" si="22"/>
        <v>15998807.462953087</v>
      </c>
      <c r="AB23" s="494"/>
      <c r="AC23" s="494">
        <f t="shared" si="23"/>
        <v>15020831.062323432</v>
      </c>
      <c r="AD23" s="494"/>
      <c r="AE23" s="494">
        <f t="shared" si="24"/>
        <v>20090676.013777707</v>
      </c>
      <c r="AF23" s="147"/>
      <c r="AG23" s="494">
        <f t="shared" si="25"/>
        <v>15696114.10527081</v>
      </c>
      <c r="AH23" s="494"/>
      <c r="AI23" s="20">
        <f>'Exhibit B,1'!M113+U23+M23</f>
        <v>15097953.004217315</v>
      </c>
      <c r="AJ23" s="494"/>
      <c r="AK23" s="506">
        <f t="shared" si="26"/>
        <v>8927650.7542173155</v>
      </c>
      <c r="AL23" s="506"/>
      <c r="AM23" s="508"/>
      <c r="AN23" s="393">
        <f t="shared" si="12"/>
        <v>3.0832387505453198</v>
      </c>
      <c r="AO23" s="25">
        <f t="shared" si="30"/>
        <v>2019</v>
      </c>
      <c r="AP23" s="363">
        <v>3941354.6599999946</v>
      </c>
      <c r="AQ23" s="17">
        <v>6170302.25</v>
      </c>
      <c r="AR23" s="17">
        <v>7005998.7400000002</v>
      </c>
      <c r="AS23" s="17">
        <v>2892669.26</v>
      </c>
      <c r="AT23" s="17">
        <v>5241001.49</v>
      </c>
      <c r="AU23" s="17">
        <f t="shared" si="27"/>
        <v>1764997.25</v>
      </c>
      <c r="AV23" s="18"/>
      <c r="AW23" s="25">
        <f t="shared" si="31"/>
        <v>2019</v>
      </c>
      <c r="AX23" s="363">
        <v>2629611.9500000002</v>
      </c>
      <c r="AY23" s="17">
        <v>4651497.55</v>
      </c>
      <c r="AZ23" s="17">
        <v>5235187.4000000004</v>
      </c>
      <c r="BA23" s="366"/>
      <c r="BB23" s="17">
        <v>12154700.93</v>
      </c>
      <c r="BC23" s="95">
        <f>M23+AZ23-BB23</f>
        <v>-1101163.879999999</v>
      </c>
      <c r="BD23" s="18"/>
      <c r="BE23" s="25">
        <f t="shared" si="32"/>
        <v>2019</v>
      </c>
      <c r="BF23" s="363">
        <v>0</v>
      </c>
      <c r="BG23" s="17">
        <v>0</v>
      </c>
      <c r="BH23" s="17">
        <v>0</v>
      </c>
      <c r="BL23" s="18"/>
      <c r="BM23" s="25">
        <f t="shared" si="33"/>
        <v>2019</v>
      </c>
      <c r="BN23" s="18"/>
      <c r="BO23" s="18"/>
      <c r="BP23" s="18"/>
      <c r="BQ23" s="18"/>
      <c r="BR23" s="18"/>
      <c r="BS23" s="18"/>
      <c r="BT23" s="18"/>
      <c r="BU23" s="25">
        <f t="shared" si="28"/>
        <v>2019</v>
      </c>
      <c r="BV23" s="172">
        <v>16690675.721208621</v>
      </c>
      <c r="BW23" s="137">
        <f t="shared" si="13"/>
        <v>-1592722.7169913054</v>
      </c>
      <c r="BX23" s="69">
        <v>12154700.93</v>
      </c>
      <c r="BY23" s="69">
        <f t="shared" si="14"/>
        <v>-1101163.879999999</v>
      </c>
      <c r="CA23" s="360"/>
      <c r="CB23" s="360"/>
      <c r="CD23" s="61">
        <f t="shared" si="6"/>
        <v>48</v>
      </c>
      <c r="CE23" s="72">
        <f>'Exhibit Q,3'!K31</f>
        <v>0.34545932325954892</v>
      </c>
      <c r="CF23" s="72">
        <f t="shared" si="7"/>
        <v>0.30712267948418231</v>
      </c>
      <c r="CG23" s="72">
        <f>'Exhibit Q,1'!K32</f>
        <v>0.50085952168583414</v>
      </c>
      <c r="CH23" s="72">
        <f t="shared" si="8"/>
        <v>0.44635243430393778</v>
      </c>
      <c r="CI23" s="61"/>
      <c r="CK23" s="25"/>
      <c r="CL23" s="439"/>
      <c r="CM23" s="439"/>
      <c r="CN23" s="439"/>
      <c r="CO23" s="439"/>
      <c r="CP23" s="439"/>
      <c r="CQ23" s="439"/>
      <c r="CR23" s="20"/>
      <c r="CS23" s="20"/>
    </row>
    <row r="24" spans="1:98" ht="16">
      <c r="A24" s="6">
        <f t="shared" si="29"/>
        <v>2020</v>
      </c>
      <c r="C24" s="494">
        <f>'Exhibit D,2'!AC24</f>
        <v>3252608.1310567926</v>
      </c>
      <c r="D24" s="18"/>
      <c r="E24" s="73">
        <f t="shared" si="15"/>
        <v>0.16489014858788364</v>
      </c>
      <c r="G24" s="74">
        <f t="shared" si="16"/>
        <v>0.23937239750280831</v>
      </c>
      <c r="I24" s="494">
        <f t="shared" si="17"/>
        <v>2716285.0930286795</v>
      </c>
      <c r="J24" s="494"/>
      <c r="K24" s="494">
        <f t="shared" si="9"/>
        <v>2474023.5245885993</v>
      </c>
      <c r="L24" s="187"/>
      <c r="M24" s="569">
        <f>'Exhibit D,2'!AS24</f>
        <v>0</v>
      </c>
      <c r="N24" s="494"/>
      <c r="O24" s="569">
        <f t="shared" si="10"/>
        <v>155459.76</v>
      </c>
      <c r="P24" s="494"/>
      <c r="Q24" s="130">
        <f t="shared" si="18"/>
        <v>0</v>
      </c>
      <c r="R24" s="494"/>
      <c r="S24" s="130">
        <f t="shared" si="11"/>
        <v>403242.19</v>
      </c>
      <c r="T24" s="494"/>
      <c r="U24" s="130">
        <f t="shared" si="19"/>
        <v>0</v>
      </c>
      <c r="V24" s="187"/>
      <c r="W24" s="17">
        <f t="shared" si="20"/>
        <v>2871744.8530286793</v>
      </c>
      <c r="X24" s="494"/>
      <c r="Y24" s="494">
        <f t="shared" si="21"/>
        <v>2877265.7145885993</v>
      </c>
      <c r="Z24" s="187"/>
      <c r="AA24" s="494">
        <f t="shared" si="22"/>
        <v>942808.05330915574</v>
      </c>
      <c r="AB24" s="494"/>
      <c r="AC24" s="494">
        <f t="shared" si="23"/>
        <v>1684580.9884795477</v>
      </c>
      <c r="AD24" s="494"/>
      <c r="AE24" s="494">
        <f t="shared" si="24"/>
        <v>942808.05330915574</v>
      </c>
      <c r="AF24" s="147"/>
      <c r="AG24" s="494">
        <f t="shared" si="25"/>
        <v>1684580.9884795477</v>
      </c>
      <c r="AH24" s="494"/>
      <c r="AI24" s="20">
        <f>'Exhibit B,1'!M114+U24+M24</f>
        <v>2877265.7145885993</v>
      </c>
      <c r="AJ24" s="494"/>
      <c r="AK24" s="506">
        <f t="shared" si="26"/>
        <v>2721805.9545885995</v>
      </c>
      <c r="AL24" s="506"/>
      <c r="AM24" s="508"/>
      <c r="AN24" s="393">
        <f t="shared" si="12"/>
        <v>1.9628539363028055</v>
      </c>
      <c r="AO24" s="25">
        <f t="shared" si="30"/>
        <v>2020</v>
      </c>
      <c r="AP24" s="363">
        <v>1465858.29</v>
      </c>
      <c r="AQ24" s="17">
        <v>155459.76</v>
      </c>
      <c r="AR24" s="17">
        <v>403242.19</v>
      </c>
      <c r="AS24" s="17">
        <v>86384.560000000012</v>
      </c>
      <c r="AT24" s="17">
        <v>295761.2</v>
      </c>
      <c r="AU24" s="17">
        <f t="shared" si="27"/>
        <v>107480.98999999999</v>
      </c>
      <c r="AV24" s="18"/>
      <c r="AW24" s="25">
        <f t="shared" si="31"/>
        <v>2020</v>
      </c>
      <c r="AX24" s="363">
        <v>0</v>
      </c>
      <c r="AY24" s="17">
        <v>0</v>
      </c>
      <c r="AZ24" s="17">
        <v>0</v>
      </c>
      <c r="BA24" s="366"/>
      <c r="BB24" s="366"/>
      <c r="BC24" s="364"/>
      <c r="BD24" s="18"/>
      <c r="BE24" s="25">
        <f t="shared" si="32"/>
        <v>2020</v>
      </c>
      <c r="BF24" s="17"/>
      <c r="BG24" s="17">
        <v>0</v>
      </c>
      <c r="BH24" s="17">
        <v>0</v>
      </c>
      <c r="BL24" s="18"/>
      <c r="BM24" s="25">
        <f t="shared" si="33"/>
        <v>2020</v>
      </c>
      <c r="BN24" s="18"/>
      <c r="BO24" s="18"/>
      <c r="BP24" s="18"/>
      <c r="BQ24" s="18"/>
      <c r="BR24" s="18"/>
      <c r="BS24" s="18"/>
      <c r="BT24" s="18"/>
      <c r="BU24" s="25">
        <f t="shared" si="28"/>
        <v>2020</v>
      </c>
      <c r="BV24" s="172">
        <v>2260501.0443770569</v>
      </c>
      <c r="BW24" s="137">
        <f t="shared" si="13"/>
        <v>616764.6702115424</v>
      </c>
      <c r="BX24" s="69">
        <v>0</v>
      </c>
      <c r="BY24" s="69">
        <f t="shared" si="14"/>
        <v>0</v>
      </c>
      <c r="CA24" s="360"/>
      <c r="CB24" s="360"/>
      <c r="CD24" s="61">
        <f t="shared" si="6"/>
        <v>36</v>
      </c>
      <c r="CE24" s="72">
        <f>'Exhibit Q,3'!K32</f>
        <v>0.19211274815808235</v>
      </c>
      <c r="CF24" s="72">
        <f t="shared" si="7"/>
        <v>0.16489014858788364</v>
      </c>
      <c r="CG24" s="72">
        <f>'Exhibit Q,1'!K33</f>
        <v>0.28283117215824882</v>
      </c>
      <c r="CH24" s="72">
        <f t="shared" si="8"/>
        <v>0.23937239750280831</v>
      </c>
      <c r="CI24" s="61"/>
      <c r="CK24" s="61"/>
      <c r="CL24" s="61"/>
      <c r="CM24" s="61"/>
      <c r="CN24" s="61"/>
      <c r="CO24" s="61"/>
      <c r="CP24" s="61"/>
      <c r="CQ24" s="61"/>
      <c r="CR24" s="61"/>
      <c r="CS24" s="61"/>
      <c r="CT24" s="61"/>
    </row>
    <row r="25" spans="1:98" ht="16">
      <c r="A25" s="6">
        <f t="shared" si="29"/>
        <v>2021</v>
      </c>
      <c r="C25" s="494">
        <f>'Exhibit D,2'!AC25</f>
        <v>4375562.7607689556</v>
      </c>
      <c r="D25" s="18"/>
      <c r="E25" s="73">
        <f t="shared" si="15"/>
        <v>6.3273793175123619E-2</v>
      </c>
      <c r="G25" s="74">
        <f t="shared" si="16"/>
        <v>8.9017847776179576E-2</v>
      </c>
      <c r="I25" s="494">
        <f t="shared" si="17"/>
        <v>4098704.3076192876</v>
      </c>
      <c r="J25" s="494"/>
      <c r="K25" s="494">
        <f t="shared" si="9"/>
        <v>3986059.5809957045</v>
      </c>
      <c r="L25" s="187"/>
      <c r="M25" s="569">
        <f>'Exhibit D,2'!AS25</f>
        <v>0</v>
      </c>
      <c r="N25" s="494"/>
      <c r="O25" s="569">
        <f t="shared" si="10"/>
        <v>2849.11</v>
      </c>
      <c r="P25" s="494"/>
      <c r="Q25" s="130">
        <f t="shared" si="18"/>
        <v>0</v>
      </c>
      <c r="R25" s="494"/>
      <c r="S25" s="130">
        <f t="shared" si="11"/>
        <v>141000</v>
      </c>
      <c r="T25" s="494"/>
      <c r="U25" s="130">
        <f t="shared" si="19"/>
        <v>0</v>
      </c>
      <c r="V25" s="187"/>
      <c r="W25" s="17">
        <f t="shared" si="20"/>
        <v>4101553.4176192875</v>
      </c>
      <c r="X25" s="494"/>
      <c r="Y25" s="494">
        <f t="shared" si="21"/>
        <v>4127059.5809957045</v>
      </c>
      <c r="Z25" s="187"/>
      <c r="AA25" s="494">
        <f t="shared" si="22"/>
        <v>45028.278802797315</v>
      </c>
      <c r="AB25" s="494"/>
      <c r="AC25" s="494">
        <f t="shared" si="23"/>
        <v>1583952.0222340222</v>
      </c>
      <c r="AD25" s="494"/>
      <c r="AE25" s="494">
        <f t="shared" si="24"/>
        <v>45028.278802797315</v>
      </c>
      <c r="AF25" s="147"/>
      <c r="AG25" s="494">
        <f t="shared" si="25"/>
        <v>1583952.0222340222</v>
      </c>
      <c r="AH25" s="494"/>
      <c r="AI25" s="20">
        <f>'Exhibit B,1'!M115+U25+M25</f>
        <v>4127059.5809957045</v>
      </c>
      <c r="AJ25" s="494"/>
      <c r="AK25" s="506">
        <f t="shared" si="26"/>
        <v>4124210.4709957046</v>
      </c>
      <c r="AL25" s="506"/>
      <c r="AM25" s="508"/>
      <c r="AN25" s="393">
        <f t="shared" si="12"/>
        <v>2.3059518831927592</v>
      </c>
      <c r="AO25" s="25">
        <f t="shared" si="30"/>
        <v>2021</v>
      </c>
      <c r="AP25" s="363">
        <v>1789742.2800000007</v>
      </c>
      <c r="AQ25" s="17">
        <v>2849.11</v>
      </c>
      <c r="AR25" s="17">
        <v>141000</v>
      </c>
      <c r="AS25" s="17">
        <v>0</v>
      </c>
      <c r="AT25" s="17">
        <v>0</v>
      </c>
      <c r="AU25" s="17">
        <f t="shared" si="27"/>
        <v>141000</v>
      </c>
      <c r="AV25" s="18"/>
      <c r="AW25" s="25">
        <f t="shared" si="31"/>
        <v>2021</v>
      </c>
      <c r="AY25" s="17">
        <v>0</v>
      </c>
      <c r="AZ25" s="17">
        <v>0</v>
      </c>
      <c r="BA25" s="366"/>
      <c r="BB25" s="366"/>
      <c r="BC25" s="364"/>
      <c r="BD25" s="18"/>
      <c r="BE25" s="25">
        <f t="shared" si="32"/>
        <v>2021</v>
      </c>
      <c r="BG25" s="17">
        <v>0</v>
      </c>
      <c r="BH25" s="17">
        <v>0</v>
      </c>
      <c r="BL25" s="18"/>
      <c r="BM25" s="25">
        <f t="shared" si="33"/>
        <v>2021</v>
      </c>
      <c r="BN25" s="18"/>
      <c r="BO25" s="18"/>
      <c r="BP25" s="18"/>
      <c r="BQ25" s="18"/>
      <c r="BR25" s="18"/>
      <c r="BS25" s="18"/>
      <c r="BT25" s="18"/>
      <c r="BU25" s="25">
        <f t="shared" si="28"/>
        <v>2021</v>
      </c>
      <c r="BV25" s="172">
        <v>2300940.6533118859</v>
      </c>
      <c r="BW25" s="137">
        <f t="shared" si="13"/>
        <v>1826118.9276838186</v>
      </c>
      <c r="BX25" s="69">
        <v>0</v>
      </c>
      <c r="BY25" s="69">
        <f t="shared" si="14"/>
        <v>0</v>
      </c>
      <c r="CA25" s="360"/>
      <c r="CB25" s="360"/>
      <c r="CD25" s="61">
        <f>CD26+12</f>
        <v>24</v>
      </c>
      <c r="CE25" s="72">
        <f>'Exhibit Q,3'!K33</f>
        <v>8.3222349877287466E-2</v>
      </c>
      <c r="CF25" s="72">
        <f t="shared" si="7"/>
        <v>6.3273793175123619E-2</v>
      </c>
      <c r="CG25" s="72">
        <f>'Exhibit Q,1'!K34</f>
        <v>0.10899607353648681</v>
      </c>
      <c r="CH25" s="72">
        <f t="shared" si="8"/>
        <v>8.9017847776179576E-2</v>
      </c>
      <c r="CI25" s="61"/>
      <c r="CK25" s="61"/>
      <c r="CL25" s="61"/>
      <c r="CM25" s="61"/>
      <c r="CN25" s="61"/>
      <c r="CO25" s="61"/>
      <c r="CP25" s="61"/>
      <c r="CQ25" s="61"/>
      <c r="CR25" s="61"/>
      <c r="CS25" s="61"/>
      <c r="CT25" s="61"/>
    </row>
    <row r="26" spans="1:98" ht="16">
      <c r="A26" s="6">
        <f t="shared" si="29"/>
        <v>2022</v>
      </c>
      <c r="C26" s="494">
        <f>'Exhibit D, 1'!AV26</f>
        <v>3329708.8823695709</v>
      </c>
      <c r="D26" s="18"/>
      <c r="E26" s="73">
        <f t="shared" ref="E26" si="34">CF26</f>
        <v>2.5710923014740494E-3</v>
      </c>
      <c r="G26" s="74">
        <f t="shared" ref="G26" si="35">CH26</f>
        <v>2.1812377871443394E-2</v>
      </c>
      <c r="I26" s="494">
        <f t="shared" ref="I26" si="36">C26*(1-E26)</f>
        <v>3321147.8934959611</v>
      </c>
      <c r="J26" s="494"/>
      <c r="K26" s="494">
        <f t="shared" ref="K26" si="37">C26*(1-G26)</f>
        <v>3257080.0140254241</v>
      </c>
      <c r="L26" s="187"/>
      <c r="M26" s="569">
        <f>'Exhibit D,2'!AS26</f>
        <v>0</v>
      </c>
      <c r="N26" s="494"/>
      <c r="O26" s="571">
        <f t="shared" si="10"/>
        <v>0</v>
      </c>
      <c r="P26" s="542"/>
      <c r="Q26" s="572">
        <f t="shared" ref="Q26" si="38">AY26+BG26+BO26</f>
        <v>0</v>
      </c>
      <c r="R26" s="542"/>
      <c r="S26" s="572">
        <f t="shared" si="11"/>
        <v>0</v>
      </c>
      <c r="T26" s="542"/>
      <c r="U26" s="572">
        <f t="shared" ref="U26" si="39">AZ26+BH26+BP26</f>
        <v>0</v>
      </c>
      <c r="V26" s="191"/>
      <c r="W26" s="17">
        <f t="shared" si="20"/>
        <v>3321147.8934959611</v>
      </c>
      <c r="X26" s="494"/>
      <c r="Y26" s="494">
        <f t="shared" ref="Y26" si="40">(K26+S26)+(M26+U26)</f>
        <v>3257080.0140254241</v>
      </c>
      <c r="Z26" s="187"/>
      <c r="AA26" s="494">
        <f t="shared" ref="AA26" si="41">O26/E26+(M26+U26)</f>
        <v>0</v>
      </c>
      <c r="AB26" s="494"/>
      <c r="AC26" s="494">
        <f t="shared" ref="AC26" si="42">S26/G26+(M26+U26)</f>
        <v>0</v>
      </c>
      <c r="AD26" s="494"/>
      <c r="AE26" s="494">
        <f t="shared" si="24"/>
        <v>0</v>
      </c>
      <c r="AF26" s="147"/>
      <c r="AG26" s="494">
        <f t="shared" si="25"/>
        <v>0</v>
      </c>
      <c r="AH26" s="494"/>
      <c r="AI26" s="20">
        <f>'Exhibit B,1'!M116+U26+M26</f>
        <v>2421864.3881220976</v>
      </c>
      <c r="AJ26" s="494"/>
      <c r="AK26" s="506">
        <f t="shared" si="26"/>
        <v>2421864.3881220976</v>
      </c>
      <c r="AL26" s="506"/>
      <c r="AM26" s="508"/>
      <c r="AN26" s="393">
        <f t="shared" si="12"/>
        <v>1.182600994553836</v>
      </c>
      <c r="AO26" s="25">
        <f t="shared" si="30"/>
        <v>2022</v>
      </c>
      <c r="AP26" s="363">
        <v>2047913.3699999996</v>
      </c>
      <c r="AQ26" s="17">
        <v>0</v>
      </c>
      <c r="AR26" s="17">
        <v>0</v>
      </c>
      <c r="AS26" s="366"/>
      <c r="AT26" s="366"/>
      <c r="AU26" s="95"/>
      <c r="AV26" s="18"/>
      <c r="AW26" s="25">
        <f t="shared" si="31"/>
        <v>2022</v>
      </c>
      <c r="AY26" s="17">
        <v>0</v>
      </c>
      <c r="AZ26" s="17">
        <v>0</v>
      </c>
      <c r="BA26" s="366"/>
      <c r="BB26" s="366"/>
      <c r="BC26" s="364"/>
      <c r="BD26" s="18"/>
      <c r="BE26" s="25">
        <f t="shared" si="32"/>
        <v>2022</v>
      </c>
      <c r="BG26" s="17">
        <v>0</v>
      </c>
      <c r="BH26" s="17">
        <v>0</v>
      </c>
      <c r="BL26" s="18"/>
      <c r="BM26" s="25">
        <f t="shared" si="33"/>
        <v>2022</v>
      </c>
      <c r="BN26" s="18"/>
      <c r="BO26" s="18"/>
      <c r="BP26" s="18"/>
      <c r="BQ26" s="18"/>
      <c r="BR26" s="18"/>
      <c r="BS26" s="18"/>
      <c r="BT26" s="18"/>
      <c r="BU26" s="25">
        <f t="shared" si="28"/>
        <v>2022</v>
      </c>
      <c r="BV26" s="61"/>
      <c r="BW26" s="61"/>
      <c r="CA26" s="360"/>
      <c r="CB26" s="360"/>
      <c r="CD26" s="61">
        <f>CD27+12</f>
        <v>12</v>
      </c>
      <c r="CE26" s="72">
        <f>'Exhibit Q,3'!K35</f>
        <v>3.4281230686320661E-3</v>
      </c>
      <c r="CF26" s="72">
        <f>CE27*(3/12)+CE26*(9/12)</f>
        <v>2.5710923014740494E-3</v>
      </c>
      <c r="CG26" s="72">
        <f>'Exhibit Q,1'!K35</f>
        <v>2.9083170495257857E-2</v>
      </c>
      <c r="CH26" s="72">
        <f>CG27*(3/12)+CG26*(9/12)</f>
        <v>2.1812377871443394E-2</v>
      </c>
      <c r="CI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</row>
    <row r="27" spans="1:98" ht="16">
      <c r="A27" s="6"/>
      <c r="C27" s="63"/>
      <c r="I27" s="63"/>
      <c r="K27" s="63"/>
      <c r="M27" s="63"/>
      <c r="O27" s="63"/>
      <c r="Q27" s="63"/>
      <c r="S27" s="63"/>
      <c r="U27" s="63"/>
      <c r="W27" s="63"/>
      <c r="Y27" s="63"/>
      <c r="AA27" s="63"/>
      <c r="AC27" s="63"/>
      <c r="AE27" s="63"/>
      <c r="AG27" s="63"/>
      <c r="AI27" s="63"/>
      <c r="AK27" s="63"/>
      <c r="AN27" s="394"/>
      <c r="AO27" s="25"/>
      <c r="AP27" s="70"/>
      <c r="AQ27" s="70"/>
      <c r="AR27" s="70"/>
      <c r="AS27" s="70"/>
      <c r="AT27" s="70"/>
      <c r="AU27" s="70"/>
      <c r="AW27" s="25"/>
      <c r="AX27" s="70"/>
      <c r="AY27" s="70"/>
      <c r="AZ27" s="70"/>
      <c r="BA27" s="70"/>
      <c r="BB27" s="70"/>
      <c r="BC27" s="70"/>
      <c r="BE27" s="25"/>
      <c r="BF27" s="70"/>
      <c r="BG27" s="70"/>
      <c r="BH27" s="70"/>
      <c r="BI27" s="70"/>
      <c r="BJ27" s="70"/>
      <c r="BK27" s="70"/>
      <c r="BM27" s="25"/>
      <c r="BU27" s="70"/>
      <c r="BV27" s="70"/>
      <c r="BW27" s="70"/>
      <c r="BX27" s="70"/>
      <c r="BY27" s="70"/>
      <c r="CA27" s="360"/>
      <c r="CB27" s="360"/>
      <c r="CD27" s="61"/>
      <c r="CE27" s="72"/>
      <c r="CF27" s="72"/>
      <c r="CG27" s="72"/>
      <c r="CH27" s="72"/>
      <c r="CI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</row>
    <row r="28" spans="1:98">
      <c r="A28" s="2" t="s">
        <v>0</v>
      </c>
      <c r="C28" s="147">
        <f>SUM(C17:C27)</f>
        <v>26367517.752525292</v>
      </c>
      <c r="D28" s="26"/>
      <c r="I28" s="147">
        <f>SUM(I17:I27)</f>
        <v>17577882.764042199</v>
      </c>
      <c r="J28" s="147"/>
      <c r="K28" s="147">
        <f>SUM(K17:K27)</f>
        <v>14798306.8166725</v>
      </c>
      <c r="L28" s="147"/>
      <c r="M28" s="147">
        <f>SUM(M17:M27)</f>
        <v>10312244.515412876</v>
      </c>
      <c r="N28" s="147"/>
      <c r="O28" s="147">
        <f>SUM(O17:O27)</f>
        <v>4503171.3800000008</v>
      </c>
      <c r="P28" s="147"/>
      <c r="Q28" s="147">
        <f>SUM(Q17:Q27)</f>
        <v>27477860.91</v>
      </c>
      <c r="R28" s="147"/>
      <c r="S28" s="147">
        <f>SUM(S17:S27)</f>
        <v>11166799.16</v>
      </c>
      <c r="T28" s="147"/>
      <c r="U28" s="147">
        <f>SUM(U17:U27)</f>
        <v>29633578.280000001</v>
      </c>
      <c r="V28" s="147"/>
      <c r="W28" s="147">
        <f>SUM(W17:W27)</f>
        <v>62026876.93945507</v>
      </c>
      <c r="X28" s="147"/>
      <c r="Y28" s="147">
        <f>SUM(Y17:Y27)</f>
        <v>65910928.772085369</v>
      </c>
      <c r="Z28" s="147"/>
      <c r="AA28" s="147">
        <f>SUM(AA17:AA27)</f>
        <v>50637468.924515367</v>
      </c>
      <c r="AB28" s="147"/>
      <c r="AC28" s="147">
        <f>SUM(AC17:AC27)</f>
        <v>59025948.992443524</v>
      </c>
      <c r="AD28" s="147"/>
      <c r="AE28" s="147">
        <f>SUM(AE17:AE27)</f>
        <v>61497307.837523326</v>
      </c>
      <c r="AF28" s="147"/>
      <c r="AG28" s="147">
        <f>SUM(AG17:AG27)</f>
        <v>61211771.197740056</v>
      </c>
      <c r="AH28" s="147"/>
      <c r="AI28" s="147">
        <f>SUM(AI17:AI27)</f>
        <v>65075713.146182038</v>
      </c>
      <c r="AJ28" s="147"/>
      <c r="AK28" s="147">
        <f>SUM(AK17:AK27)</f>
        <v>33094680.85618205</v>
      </c>
      <c r="AL28" s="147"/>
      <c r="AM28" s="147"/>
      <c r="AN28" s="393">
        <f>(AI28-U28-M28)/(AP28-AX28-BF28)</f>
        <v>2.2922966673854721</v>
      </c>
      <c r="AO28" s="97" t="s">
        <v>0</v>
      </c>
      <c r="AP28" s="68">
        <f t="shared" ref="AP28:AU28" si="43">SUM(AP17:AP27)</f>
        <v>19310123.209999986</v>
      </c>
      <c r="AQ28" s="68">
        <f t="shared" si="43"/>
        <v>31981032.290000003</v>
      </c>
      <c r="AR28" s="68">
        <f t="shared" si="43"/>
        <v>40800377.439999998</v>
      </c>
      <c r="AS28" s="68">
        <f t="shared" si="43"/>
        <v>25715127.349999998</v>
      </c>
      <c r="AT28" s="68">
        <f t="shared" si="43"/>
        <v>30995408.039999995</v>
      </c>
      <c r="AU28" s="68">
        <f t="shared" si="43"/>
        <v>9804969.4000000041</v>
      </c>
      <c r="AV28" s="68"/>
      <c r="AW28" s="97" t="s">
        <v>0</v>
      </c>
      <c r="AX28" s="68">
        <f t="shared" ref="AX28:BB28" si="44">SUM(AX17:AX27)</f>
        <v>7959084.2000000002</v>
      </c>
      <c r="AY28" s="68">
        <f t="shared" si="44"/>
        <v>18726830.400000002</v>
      </c>
      <c r="AZ28" s="68">
        <f t="shared" si="44"/>
        <v>20882547.77</v>
      </c>
      <c r="BA28" s="68">
        <f t="shared" si="44"/>
        <v>0</v>
      </c>
      <c r="BB28" s="68">
        <f t="shared" si="44"/>
        <v>33220155.002941176</v>
      </c>
      <c r="BC28" s="68">
        <f t="shared" ref="BC28" si="45">SUM(BC17:BC27)</f>
        <v>-2025362.7175283004</v>
      </c>
      <c r="BD28" s="26"/>
      <c r="BE28" s="97" t="s">
        <v>0</v>
      </c>
      <c r="BF28" s="68">
        <f t="shared" ref="BF28:BK28" si="46">SUM(BF17:BF27)</f>
        <v>388282.44000000012</v>
      </c>
      <c r="BG28" s="68">
        <f t="shared" si="46"/>
        <v>5880521.5099999998</v>
      </c>
      <c r="BH28" s="68">
        <f t="shared" si="46"/>
        <v>5880521.5099999998</v>
      </c>
      <c r="BI28" s="68">
        <f t="shared" si="46"/>
        <v>1251000</v>
      </c>
      <c r="BJ28" s="68">
        <f t="shared" si="46"/>
        <v>5871748.8700000001</v>
      </c>
      <c r="BK28" s="68">
        <f t="shared" si="46"/>
        <v>8772.6399999996647</v>
      </c>
      <c r="BL28" s="26"/>
      <c r="BM28" s="97" t="s">
        <v>0</v>
      </c>
      <c r="BN28" s="26"/>
      <c r="BO28" s="68">
        <f t="shared" ref="BO28:BT28" si="47">SUM(BO17:BO27)</f>
        <v>2870509</v>
      </c>
      <c r="BP28" s="68">
        <f t="shared" si="47"/>
        <v>2870509</v>
      </c>
      <c r="BQ28" s="68">
        <f t="shared" si="47"/>
        <v>0</v>
      </c>
      <c r="BR28" s="68">
        <f t="shared" si="47"/>
        <v>2856530.57</v>
      </c>
      <c r="BS28" s="68">
        <f t="shared" si="47"/>
        <v>13978.430000000168</v>
      </c>
      <c r="BT28" s="68">
        <f t="shared" si="47"/>
        <v>0</v>
      </c>
      <c r="BU28" s="61"/>
      <c r="BV28" s="122">
        <f>SUM(BV17:BV27)</f>
        <v>56970261.985430293</v>
      </c>
      <c r="BW28" s="122">
        <f>SUM(BW17:BW27)</f>
        <v>5683586.7726296615</v>
      </c>
      <c r="BX28" s="122">
        <f>SUM(BX17:BX27)</f>
        <v>41948434.442941174</v>
      </c>
      <c r="BY28" s="122">
        <f>SUM(BY17:BY27)</f>
        <v>-2002611.6475283019</v>
      </c>
      <c r="CF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</row>
    <row r="29" spans="1:98">
      <c r="A29" s="6"/>
      <c r="G29" s="22"/>
      <c r="I29" s="17"/>
      <c r="K29" s="17"/>
      <c r="AI29" s="18"/>
      <c r="AJ29" s="18"/>
      <c r="AK29" s="18"/>
      <c r="AL29" s="18"/>
      <c r="AM29" s="18"/>
      <c r="AN29" s="25"/>
      <c r="AO29" s="25"/>
      <c r="AW29" s="25"/>
      <c r="BE29" s="25"/>
      <c r="BM29" s="25"/>
      <c r="BU29" s="61"/>
      <c r="BV29" s="61"/>
      <c r="BW29" s="68"/>
      <c r="CF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</row>
    <row r="30" spans="1:98">
      <c r="A30" s="3" t="s">
        <v>393</v>
      </c>
      <c r="M30" s="1" t="s">
        <v>685</v>
      </c>
      <c r="O30" s="26">
        <f>O28+Q28-AQ28</f>
        <v>0</v>
      </c>
      <c r="S30" s="147">
        <f>S28+U28-AR28</f>
        <v>0</v>
      </c>
      <c r="U30" s="26"/>
      <c r="AJ30" s="18"/>
      <c r="AK30" s="18"/>
      <c r="AL30" s="18"/>
      <c r="AM30" s="18"/>
      <c r="AN30" s="115"/>
      <c r="AO30" s="115" t="s">
        <v>393</v>
      </c>
      <c r="AP30" s="17"/>
      <c r="AQ30" s="17">
        <v>0</v>
      </c>
      <c r="AR30" s="17">
        <v>0</v>
      </c>
      <c r="AS30" s="17"/>
      <c r="AT30" s="17"/>
      <c r="AU30" s="17"/>
      <c r="AW30" s="115" t="s">
        <v>393</v>
      </c>
      <c r="AY30" s="18">
        <v>0</v>
      </c>
      <c r="AZ30" s="18">
        <v>0</v>
      </c>
      <c r="BE30" s="115" t="s">
        <v>393</v>
      </c>
      <c r="BG30" s="18"/>
      <c r="BH30" s="18"/>
      <c r="BM30" s="115" t="s">
        <v>393</v>
      </c>
      <c r="BU30" s="25"/>
      <c r="BV30" s="68"/>
      <c r="BW30" s="68"/>
      <c r="CK30" s="61"/>
      <c r="CL30" s="61"/>
      <c r="CM30" s="61"/>
      <c r="CN30" s="61"/>
      <c r="CO30" s="61"/>
      <c r="CP30" s="61"/>
      <c r="CQ30" s="61"/>
      <c r="CR30" s="61"/>
      <c r="CS30" s="61"/>
      <c r="CT30" s="61"/>
    </row>
    <row r="31" spans="1:98">
      <c r="A31" s="6">
        <v>2013</v>
      </c>
      <c r="C31" s="26"/>
      <c r="D31" s="26"/>
      <c r="E31" s="26"/>
      <c r="G31" s="74"/>
      <c r="I31" s="26"/>
      <c r="J31" s="26"/>
      <c r="K31" s="74"/>
      <c r="L31" s="74"/>
      <c r="M31" s="74"/>
      <c r="N31" s="26"/>
      <c r="O31" s="19"/>
      <c r="P31" s="19"/>
      <c r="Q31" s="19"/>
      <c r="S31" s="19"/>
      <c r="T31" s="19"/>
      <c r="U31" s="19"/>
      <c r="W31" s="26"/>
      <c r="Y31" s="26"/>
      <c r="AJ31" s="66"/>
      <c r="AK31" s="188"/>
      <c r="AL31" s="188"/>
      <c r="AM31" s="25" t="s">
        <v>1468</v>
      </c>
      <c r="AN31" s="240">
        <f>AI28-U28-M28-S28</f>
        <v>13963091.190769162</v>
      </c>
      <c r="AO31" s="25">
        <f>A31</f>
        <v>2013</v>
      </c>
      <c r="AP31" s="17"/>
      <c r="AQ31" s="17">
        <v>0</v>
      </c>
      <c r="AR31" s="17">
        <v>0</v>
      </c>
      <c r="AS31" s="17">
        <v>0</v>
      </c>
      <c r="AT31" s="17">
        <v>0</v>
      </c>
      <c r="AU31" s="17">
        <f>AR31-AT31</f>
        <v>0</v>
      </c>
      <c r="AW31" s="25">
        <f>AO31</f>
        <v>2013</v>
      </c>
      <c r="AY31" s="18">
        <v>0</v>
      </c>
      <c r="AZ31" s="18">
        <v>0</v>
      </c>
      <c r="BE31" s="25">
        <f>AW31</f>
        <v>2013</v>
      </c>
      <c r="BG31" s="17"/>
      <c r="BH31" s="17"/>
      <c r="BM31" s="25">
        <f>BE31</f>
        <v>2013</v>
      </c>
      <c r="BU31" s="25">
        <f>BE31</f>
        <v>2013</v>
      </c>
      <c r="BV31" s="172">
        <v>0</v>
      </c>
      <c r="BW31" s="137">
        <f t="shared" ref="BW31:BW38" si="48">AI31-BV31</f>
        <v>0</v>
      </c>
      <c r="CF31" s="149"/>
      <c r="CK31" s="61"/>
      <c r="CL31" s="61"/>
      <c r="CM31" s="61"/>
      <c r="CN31" s="61"/>
      <c r="CO31" s="61"/>
      <c r="CP31" s="61"/>
      <c r="CQ31" s="61"/>
      <c r="CR31" s="61"/>
      <c r="CS31" s="61"/>
      <c r="CT31" s="61"/>
    </row>
    <row r="32" spans="1:98">
      <c r="A32" s="6">
        <f>A31+1</f>
        <v>2014</v>
      </c>
      <c r="C32" s="18"/>
      <c r="D32" s="18"/>
      <c r="E32" s="18"/>
      <c r="F32" s="26"/>
      <c r="G32" s="74"/>
      <c r="I32" s="18"/>
      <c r="J32" s="18"/>
      <c r="K32" s="74"/>
      <c r="L32" s="74"/>
      <c r="M32" s="74"/>
      <c r="N32" s="18"/>
      <c r="O32" s="18"/>
      <c r="P32" s="18"/>
      <c r="Q32" s="18"/>
      <c r="R32" s="18"/>
      <c r="S32" s="20"/>
      <c r="T32" s="20"/>
      <c r="U32" s="18"/>
      <c r="V32" s="18"/>
      <c r="W32" s="20"/>
      <c r="X32" s="18"/>
      <c r="Y32" s="20"/>
      <c r="AJ32" s="20"/>
      <c r="AK32" s="189"/>
      <c r="AM32" s="67" t="s">
        <v>1659</v>
      </c>
      <c r="AN32" s="220">
        <v>7921295.3012620388</v>
      </c>
      <c r="AO32" s="25">
        <f>AO31+1</f>
        <v>2014</v>
      </c>
      <c r="AP32" s="17"/>
      <c r="AQ32" s="17">
        <v>0</v>
      </c>
      <c r="AR32" s="17">
        <v>0</v>
      </c>
      <c r="AS32" s="17">
        <v>0</v>
      </c>
      <c r="AT32" s="17">
        <v>0</v>
      </c>
      <c r="AU32" s="17">
        <f t="shared" ref="AU32:AU40" si="49">AR32-AT32</f>
        <v>0</v>
      </c>
      <c r="AW32" s="25">
        <f>AW31+1</f>
        <v>2014</v>
      </c>
      <c r="AY32" s="18">
        <v>0</v>
      </c>
      <c r="AZ32" s="18">
        <v>0</v>
      </c>
      <c r="BE32" s="25">
        <f>BE31+1</f>
        <v>2014</v>
      </c>
      <c r="BG32" s="17"/>
      <c r="BH32" s="17"/>
      <c r="BM32" s="25">
        <f>BM31+1</f>
        <v>2014</v>
      </c>
      <c r="BU32" s="25">
        <f t="shared" ref="BU32:BU37" si="50">BU31+1</f>
        <v>2014</v>
      </c>
      <c r="BV32" s="172">
        <v>0</v>
      </c>
      <c r="BW32" s="137">
        <f t="shared" si="48"/>
        <v>0</v>
      </c>
      <c r="CF32" s="149"/>
      <c r="CL32" s="20"/>
      <c r="CM32" s="20"/>
    </row>
    <row r="33" spans="1:92">
      <c r="A33" s="6">
        <f t="shared" ref="A33:A40" si="51">A32+1</f>
        <v>2015</v>
      </c>
      <c r="C33" s="18"/>
      <c r="D33" s="18"/>
      <c r="E33" s="18"/>
      <c r="G33" s="74"/>
      <c r="I33" s="18"/>
      <c r="J33" s="18"/>
      <c r="K33" s="74"/>
      <c r="L33" s="74"/>
      <c r="M33" s="74"/>
      <c r="N33" s="18"/>
      <c r="O33" s="18"/>
      <c r="P33" s="18"/>
      <c r="Q33" s="18"/>
      <c r="R33" s="18"/>
      <c r="S33" s="20"/>
      <c r="T33" s="20"/>
      <c r="U33" s="20"/>
      <c r="V33" s="18"/>
      <c r="W33" s="20"/>
      <c r="X33" s="18"/>
      <c r="Y33" s="20"/>
      <c r="AJ33" s="20"/>
      <c r="AK33" s="189"/>
      <c r="AL33" s="189"/>
      <c r="AM33" s="189"/>
      <c r="AN33" s="25"/>
      <c r="AO33" s="25">
        <f t="shared" ref="AO33:AO40" si="52">AO32+1</f>
        <v>2015</v>
      </c>
      <c r="AP33" s="17"/>
      <c r="AQ33" s="17">
        <v>0</v>
      </c>
      <c r="AR33" s="17">
        <v>0</v>
      </c>
      <c r="AS33" s="17">
        <v>0</v>
      </c>
      <c r="AT33" s="17">
        <v>0</v>
      </c>
      <c r="AU33" s="17">
        <f t="shared" si="49"/>
        <v>0</v>
      </c>
      <c r="AW33" s="25">
        <f t="shared" ref="AW33:AW40" si="53">AW32+1</f>
        <v>2015</v>
      </c>
      <c r="AY33" s="18">
        <v>0</v>
      </c>
      <c r="AZ33" s="18">
        <v>0</v>
      </c>
      <c r="BE33" s="25">
        <f t="shared" ref="BE33:BE40" si="54">BE32+1</f>
        <v>2015</v>
      </c>
      <c r="BG33" s="17"/>
      <c r="BH33" s="17"/>
      <c r="BM33" s="25">
        <f t="shared" ref="BM33:BM40" si="55">BM32+1</f>
        <v>2015</v>
      </c>
      <c r="BU33" s="25">
        <f t="shared" si="50"/>
        <v>2015</v>
      </c>
      <c r="BV33" s="172">
        <v>0</v>
      </c>
      <c r="BW33" s="137">
        <f t="shared" si="48"/>
        <v>0</v>
      </c>
      <c r="CF33" s="149"/>
      <c r="CL33" s="20"/>
      <c r="CM33" s="20"/>
    </row>
    <row r="34" spans="1:92">
      <c r="A34" s="6">
        <f t="shared" si="51"/>
        <v>2016</v>
      </c>
      <c r="C34" s="18"/>
      <c r="D34" s="18"/>
      <c r="E34" s="18"/>
      <c r="G34" s="74"/>
      <c r="I34" s="18"/>
      <c r="J34" s="18"/>
      <c r="K34" s="74"/>
      <c r="L34" s="74"/>
      <c r="M34" s="74"/>
      <c r="N34" s="18"/>
      <c r="O34" s="18"/>
      <c r="P34" s="18"/>
      <c r="Q34" s="26"/>
      <c r="R34" s="18"/>
      <c r="S34" s="20"/>
      <c r="T34" s="20"/>
      <c r="U34" s="26"/>
      <c r="V34" s="18"/>
      <c r="W34" s="20"/>
      <c r="X34" s="18"/>
      <c r="Y34" s="20"/>
      <c r="AJ34" s="20"/>
      <c r="AK34" s="189"/>
      <c r="AL34" s="189"/>
      <c r="AM34" s="189"/>
      <c r="AN34" s="25"/>
      <c r="AO34" s="25">
        <f t="shared" si="52"/>
        <v>2016</v>
      </c>
      <c r="AP34" s="17"/>
      <c r="AQ34" s="17">
        <v>0</v>
      </c>
      <c r="AR34" s="17">
        <v>0</v>
      </c>
      <c r="AS34" s="17">
        <v>0</v>
      </c>
      <c r="AT34" s="17">
        <v>0</v>
      </c>
      <c r="AU34" s="17">
        <f t="shared" si="49"/>
        <v>0</v>
      </c>
      <c r="AW34" s="25">
        <f t="shared" si="53"/>
        <v>2016</v>
      </c>
      <c r="AY34" s="18">
        <v>0</v>
      </c>
      <c r="AZ34" s="18">
        <v>0</v>
      </c>
      <c r="BE34" s="25">
        <f t="shared" si="54"/>
        <v>2016</v>
      </c>
      <c r="BG34" s="17"/>
      <c r="BH34" s="17"/>
      <c r="BM34" s="25">
        <f t="shared" si="55"/>
        <v>2016</v>
      </c>
      <c r="BU34" s="25">
        <f t="shared" si="50"/>
        <v>2016</v>
      </c>
      <c r="BV34" s="172">
        <v>0</v>
      </c>
      <c r="BW34" s="137">
        <f t="shared" si="48"/>
        <v>0</v>
      </c>
      <c r="CF34" s="149"/>
      <c r="CL34" s="20"/>
      <c r="CM34" s="20"/>
    </row>
    <row r="35" spans="1:92">
      <c r="A35" s="6">
        <f t="shared" si="51"/>
        <v>2017</v>
      </c>
      <c r="C35" s="18"/>
      <c r="D35" s="18"/>
      <c r="E35" s="18"/>
      <c r="G35" s="74"/>
      <c r="I35" s="18"/>
      <c r="J35" s="18"/>
      <c r="K35" s="74"/>
      <c r="L35" s="74"/>
      <c r="M35" s="74"/>
      <c r="N35" s="18"/>
      <c r="O35" s="18"/>
      <c r="P35" s="18"/>
      <c r="Q35" s="18"/>
      <c r="R35" s="18"/>
      <c r="S35" s="20"/>
      <c r="T35" s="20"/>
      <c r="U35" s="20"/>
      <c r="V35" s="18"/>
      <c r="W35" s="20"/>
      <c r="X35" s="18"/>
      <c r="Y35" s="20"/>
      <c r="AJ35" s="20"/>
      <c r="AK35" s="189"/>
      <c r="AL35" s="189"/>
      <c r="AM35" s="189"/>
      <c r="AN35" s="25"/>
      <c r="AO35" s="25">
        <f t="shared" si="52"/>
        <v>2017</v>
      </c>
      <c r="AP35" s="17"/>
      <c r="AQ35" s="17">
        <v>0</v>
      </c>
      <c r="AR35" s="17">
        <v>0</v>
      </c>
      <c r="AS35" s="17">
        <v>0</v>
      </c>
      <c r="AT35" s="17">
        <v>0</v>
      </c>
      <c r="AU35" s="17">
        <f t="shared" si="49"/>
        <v>0</v>
      </c>
      <c r="AW35" s="25">
        <f t="shared" si="53"/>
        <v>2017</v>
      </c>
      <c r="AY35" s="18">
        <v>0</v>
      </c>
      <c r="AZ35" s="18">
        <v>0</v>
      </c>
      <c r="BE35" s="25">
        <f t="shared" si="54"/>
        <v>2017</v>
      </c>
      <c r="BG35" s="17"/>
      <c r="BH35" s="17"/>
      <c r="BM35" s="25">
        <f t="shared" si="55"/>
        <v>2017</v>
      </c>
      <c r="BU35" s="25">
        <f t="shared" si="50"/>
        <v>2017</v>
      </c>
      <c r="BV35" s="172">
        <v>0</v>
      </c>
      <c r="BW35" s="137">
        <f t="shared" si="48"/>
        <v>0</v>
      </c>
      <c r="CF35" s="149"/>
      <c r="CL35" s="20"/>
      <c r="CM35" s="20"/>
    </row>
    <row r="36" spans="1:92">
      <c r="A36" s="6">
        <f t="shared" si="51"/>
        <v>2018</v>
      </c>
      <c r="C36" s="18"/>
      <c r="D36" s="18"/>
      <c r="E36" s="18"/>
      <c r="G36" s="74"/>
      <c r="I36" s="18"/>
      <c r="J36" s="18"/>
      <c r="K36" s="74"/>
      <c r="L36" s="74"/>
      <c r="M36" s="74"/>
      <c r="N36" s="18"/>
      <c r="O36" s="18"/>
      <c r="P36" s="18"/>
      <c r="Q36" s="18"/>
      <c r="R36" s="18"/>
      <c r="S36" s="20"/>
      <c r="T36" s="20"/>
      <c r="U36" s="20"/>
      <c r="V36" s="18"/>
      <c r="W36" s="20"/>
      <c r="X36" s="18"/>
      <c r="Y36" s="20"/>
      <c r="AJ36" s="20"/>
      <c r="AK36" s="189"/>
      <c r="AL36" s="189"/>
      <c r="AM36" s="189"/>
      <c r="AN36" s="25"/>
      <c r="AO36" s="25">
        <f t="shared" si="52"/>
        <v>2018</v>
      </c>
      <c r="AP36" s="17"/>
      <c r="AQ36" s="17">
        <v>0</v>
      </c>
      <c r="AR36" s="17">
        <v>0</v>
      </c>
      <c r="AS36" s="17">
        <v>0</v>
      </c>
      <c r="AT36" s="17">
        <v>0</v>
      </c>
      <c r="AU36" s="17">
        <f t="shared" si="49"/>
        <v>0</v>
      </c>
      <c r="AW36" s="25">
        <f t="shared" si="53"/>
        <v>2018</v>
      </c>
      <c r="AY36" s="18">
        <v>0</v>
      </c>
      <c r="AZ36" s="18">
        <v>0</v>
      </c>
      <c r="BE36" s="25">
        <f t="shared" si="54"/>
        <v>2018</v>
      </c>
      <c r="BG36" s="17"/>
      <c r="BH36" s="17"/>
      <c r="BM36" s="25">
        <f t="shared" si="55"/>
        <v>2018</v>
      </c>
      <c r="BU36" s="25">
        <f t="shared" si="50"/>
        <v>2018</v>
      </c>
      <c r="BV36" s="172">
        <v>0</v>
      </c>
      <c r="BW36" s="137">
        <f t="shared" si="48"/>
        <v>0</v>
      </c>
      <c r="CF36" s="149"/>
    </row>
    <row r="37" spans="1:92">
      <c r="A37" s="6">
        <f t="shared" si="51"/>
        <v>2019</v>
      </c>
      <c r="C37" s="18"/>
      <c r="D37" s="18"/>
      <c r="E37" s="18"/>
      <c r="G37" s="74"/>
      <c r="I37" s="18"/>
      <c r="J37" s="18"/>
      <c r="K37" s="74"/>
      <c r="L37" s="74"/>
      <c r="M37" s="74"/>
      <c r="N37" s="18"/>
      <c r="O37" s="18"/>
      <c r="P37" s="18"/>
      <c r="Q37" s="18"/>
      <c r="R37" s="18"/>
      <c r="S37" s="20"/>
      <c r="T37" s="20"/>
      <c r="U37" s="20"/>
      <c r="V37" s="18"/>
      <c r="W37" s="20"/>
      <c r="X37" s="18"/>
      <c r="Y37" s="20"/>
      <c r="AI37" s="20"/>
      <c r="AJ37" s="20"/>
      <c r="AK37" s="189"/>
      <c r="AL37" s="189"/>
      <c r="AM37" s="189"/>
      <c r="AN37" s="25"/>
      <c r="AO37" s="25">
        <f t="shared" si="52"/>
        <v>2019</v>
      </c>
      <c r="AP37" s="17"/>
      <c r="AQ37" s="17">
        <v>0</v>
      </c>
      <c r="AR37" s="17">
        <v>0</v>
      </c>
      <c r="AS37" s="17">
        <v>0</v>
      </c>
      <c r="AT37" s="17">
        <v>0</v>
      </c>
      <c r="AU37" s="17">
        <f t="shared" si="49"/>
        <v>0</v>
      </c>
      <c r="AW37" s="25">
        <f t="shared" si="53"/>
        <v>2019</v>
      </c>
      <c r="AY37" s="18">
        <v>0</v>
      </c>
      <c r="AZ37" s="18">
        <v>0</v>
      </c>
      <c r="BE37" s="25">
        <f t="shared" si="54"/>
        <v>2019</v>
      </c>
      <c r="BG37" s="17"/>
      <c r="BH37" s="17"/>
      <c r="BM37" s="25">
        <f t="shared" si="55"/>
        <v>2019</v>
      </c>
      <c r="BU37" s="25">
        <f t="shared" si="50"/>
        <v>2019</v>
      </c>
      <c r="BV37" s="172">
        <v>0</v>
      </c>
      <c r="BW37" s="137">
        <f t="shared" si="48"/>
        <v>0</v>
      </c>
      <c r="CF37" s="149"/>
    </row>
    <row r="38" spans="1:92">
      <c r="A38" s="6">
        <f t="shared" si="51"/>
        <v>2020</v>
      </c>
      <c r="C38" s="18"/>
      <c r="D38" s="18"/>
      <c r="E38" s="18"/>
      <c r="G38" s="74"/>
      <c r="I38" s="18"/>
      <c r="J38" s="18"/>
      <c r="K38" s="74"/>
      <c r="L38" s="74"/>
      <c r="M38" s="74"/>
      <c r="N38" s="18"/>
      <c r="O38" s="18"/>
      <c r="P38" s="18"/>
      <c r="Q38" s="18"/>
      <c r="R38" s="18"/>
      <c r="S38" s="20"/>
      <c r="T38" s="20"/>
      <c r="U38" s="20"/>
      <c r="V38" s="18"/>
      <c r="W38" s="20"/>
      <c r="X38" s="18"/>
      <c r="Y38" s="20"/>
      <c r="AI38" s="20"/>
      <c r="AJ38" s="20"/>
      <c r="AK38" s="189"/>
      <c r="AL38" s="189"/>
      <c r="AM38" s="189"/>
      <c r="AN38" s="25"/>
      <c r="AO38" s="25">
        <f t="shared" si="52"/>
        <v>2020</v>
      </c>
      <c r="AP38" s="17"/>
      <c r="AQ38" s="17">
        <v>0</v>
      </c>
      <c r="AR38" s="17">
        <v>0</v>
      </c>
      <c r="AS38" s="17">
        <v>0</v>
      </c>
      <c r="AT38" s="17">
        <v>0</v>
      </c>
      <c r="AU38" s="17">
        <f t="shared" si="49"/>
        <v>0</v>
      </c>
      <c r="AW38" s="25">
        <f t="shared" si="53"/>
        <v>2020</v>
      </c>
      <c r="AY38" s="18">
        <v>0</v>
      </c>
      <c r="AZ38" s="18">
        <v>0</v>
      </c>
      <c r="BE38" s="25">
        <f t="shared" si="54"/>
        <v>2020</v>
      </c>
      <c r="BG38" s="17"/>
      <c r="BH38" s="17"/>
      <c r="BM38" s="25">
        <f t="shared" si="55"/>
        <v>2020</v>
      </c>
      <c r="BU38" s="25">
        <f>BU37+1</f>
        <v>2020</v>
      </c>
      <c r="BV38" s="172">
        <v>0</v>
      </c>
      <c r="BW38" s="137">
        <f t="shared" si="48"/>
        <v>0</v>
      </c>
      <c r="CF38" s="149"/>
    </row>
    <row r="39" spans="1:92">
      <c r="A39" s="6">
        <f t="shared" si="51"/>
        <v>2021</v>
      </c>
      <c r="C39" s="18"/>
      <c r="D39" s="18"/>
      <c r="E39" s="18"/>
      <c r="G39" s="74"/>
      <c r="I39" s="18"/>
      <c r="J39" s="18"/>
      <c r="K39" s="74"/>
      <c r="L39" s="74"/>
      <c r="M39" s="74"/>
      <c r="N39" s="18"/>
      <c r="O39" s="18"/>
      <c r="P39" s="18"/>
      <c r="Q39" s="18"/>
      <c r="R39" s="18"/>
      <c r="S39" s="20"/>
      <c r="T39" s="20"/>
      <c r="U39" s="20"/>
      <c r="V39" s="18"/>
      <c r="W39" s="20"/>
      <c r="X39" s="18"/>
      <c r="Y39" s="20"/>
      <c r="AI39" s="20"/>
      <c r="AJ39" s="20"/>
      <c r="AK39" s="189"/>
      <c r="AL39" s="189"/>
      <c r="AM39" s="189"/>
      <c r="AN39" s="25"/>
      <c r="AO39" s="25">
        <f t="shared" si="52"/>
        <v>2021</v>
      </c>
      <c r="AP39" s="17"/>
      <c r="AQ39" s="17">
        <v>0</v>
      </c>
      <c r="AR39" s="17">
        <v>0</v>
      </c>
      <c r="AS39" s="17">
        <v>0</v>
      </c>
      <c r="AT39" s="17">
        <v>0</v>
      </c>
      <c r="AU39" s="17">
        <f t="shared" si="49"/>
        <v>0</v>
      </c>
      <c r="AW39" s="25">
        <f t="shared" si="53"/>
        <v>2021</v>
      </c>
      <c r="AY39" s="18">
        <v>0</v>
      </c>
      <c r="AZ39" s="18">
        <v>0</v>
      </c>
      <c r="BE39" s="25">
        <f t="shared" si="54"/>
        <v>2021</v>
      </c>
      <c r="BG39" s="17"/>
      <c r="BH39" s="17"/>
      <c r="BM39" s="25">
        <f t="shared" si="55"/>
        <v>2021</v>
      </c>
      <c r="BU39" s="25">
        <f t="shared" ref="BU39:BU40" si="56">BU38+1</f>
        <v>2021</v>
      </c>
      <c r="BV39" s="172">
        <v>0</v>
      </c>
      <c r="BW39" s="61"/>
      <c r="CF39" s="149"/>
      <c r="CL39" s="172"/>
      <c r="CM39" s="172"/>
      <c r="CN39" s="18"/>
    </row>
    <row r="40" spans="1:92">
      <c r="A40" s="6">
        <f t="shared" si="51"/>
        <v>2022</v>
      </c>
      <c r="C40" s="18"/>
      <c r="D40" s="18"/>
      <c r="E40" s="18"/>
      <c r="G40" s="74"/>
      <c r="I40" s="18"/>
      <c r="J40" s="18"/>
      <c r="K40" s="74"/>
      <c r="L40" s="74"/>
      <c r="M40" s="74"/>
      <c r="N40" s="18"/>
      <c r="O40" s="18"/>
      <c r="P40" s="18"/>
      <c r="Q40" s="18"/>
      <c r="R40" s="18"/>
      <c r="S40" s="20"/>
      <c r="T40" s="20"/>
      <c r="U40" s="20"/>
      <c r="V40" s="18"/>
      <c r="W40" s="20"/>
      <c r="X40" s="18"/>
      <c r="Y40" s="20"/>
      <c r="AI40" s="20"/>
      <c r="AJ40" s="20"/>
      <c r="AK40" s="189"/>
      <c r="AL40" s="189"/>
      <c r="AM40" s="189"/>
      <c r="AN40" s="25"/>
      <c r="AO40" s="25">
        <f t="shared" si="52"/>
        <v>2022</v>
      </c>
      <c r="AP40" s="17"/>
      <c r="AQ40" s="17">
        <v>0</v>
      </c>
      <c r="AR40" s="17">
        <v>0</v>
      </c>
      <c r="AS40" s="17">
        <v>0</v>
      </c>
      <c r="AT40" s="17">
        <v>0</v>
      </c>
      <c r="AU40" s="17">
        <f t="shared" si="49"/>
        <v>0</v>
      </c>
      <c r="AW40" s="25">
        <f t="shared" si="53"/>
        <v>2022</v>
      </c>
      <c r="BE40" s="25">
        <f t="shared" si="54"/>
        <v>2022</v>
      </c>
      <c r="BG40" s="17"/>
      <c r="BH40" s="17"/>
      <c r="BM40" s="25">
        <f t="shared" si="55"/>
        <v>2022</v>
      </c>
      <c r="BU40" s="25">
        <f t="shared" si="56"/>
        <v>2022</v>
      </c>
      <c r="BV40" s="172"/>
      <c r="CF40" s="149"/>
      <c r="CL40" s="172"/>
      <c r="CM40" s="172"/>
      <c r="CN40" s="18"/>
    </row>
    <row r="41" spans="1:92">
      <c r="A41" s="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5"/>
      <c r="AO41" s="25"/>
      <c r="AP41" s="70"/>
      <c r="AQ41" s="70"/>
      <c r="AR41" s="70"/>
      <c r="AS41" s="70"/>
      <c r="AT41" s="70"/>
      <c r="AU41" s="70"/>
      <c r="AV41" s="61"/>
      <c r="AW41" s="25"/>
      <c r="AX41" s="70"/>
      <c r="AY41" s="70"/>
      <c r="AZ41" s="70"/>
      <c r="BA41" s="70"/>
      <c r="BB41" s="70"/>
      <c r="BC41" s="70"/>
      <c r="BE41" s="25"/>
      <c r="BF41" s="70"/>
      <c r="BG41" s="70"/>
      <c r="BH41" s="70"/>
      <c r="BI41" s="70"/>
      <c r="BJ41" s="70"/>
      <c r="BK41" s="70"/>
      <c r="BM41" s="25"/>
      <c r="BU41" s="70"/>
      <c r="BV41" s="70"/>
      <c r="BW41" s="70"/>
      <c r="CL41" s="172"/>
      <c r="CM41" s="172"/>
      <c r="CN41" s="18"/>
    </row>
    <row r="42" spans="1:92">
      <c r="A42" s="2" t="s">
        <v>0</v>
      </c>
      <c r="C42" s="26"/>
      <c r="D42" s="26"/>
      <c r="E42" s="26"/>
      <c r="I42" s="26"/>
      <c r="J42" s="26"/>
      <c r="N42" s="26"/>
      <c r="O42" s="26"/>
      <c r="Q42" s="26"/>
      <c r="S42" s="26"/>
      <c r="U42" s="26"/>
      <c r="W42" s="26"/>
      <c r="Y42" s="26"/>
      <c r="AI42" s="26"/>
      <c r="AJ42" s="26"/>
      <c r="AK42" s="26"/>
      <c r="AL42" s="26"/>
      <c r="AM42" s="26"/>
      <c r="AN42" s="97"/>
      <c r="AO42" s="97" t="s">
        <v>0</v>
      </c>
      <c r="AP42" s="68">
        <f t="shared" ref="AP42:AU42" si="57">SUM(AP31:AP41)</f>
        <v>0</v>
      </c>
      <c r="AQ42" s="68">
        <f t="shared" si="57"/>
        <v>0</v>
      </c>
      <c r="AR42" s="68">
        <f t="shared" si="57"/>
        <v>0</v>
      </c>
      <c r="AS42" s="68">
        <f t="shared" si="57"/>
        <v>0</v>
      </c>
      <c r="AT42" s="68">
        <f t="shared" si="57"/>
        <v>0</v>
      </c>
      <c r="AU42" s="68">
        <f t="shared" si="57"/>
        <v>0</v>
      </c>
      <c r="AV42" s="61"/>
      <c r="AW42" s="97" t="s">
        <v>0</v>
      </c>
      <c r="AX42" s="68">
        <f t="shared" ref="AX42:BC42" si="58">SUM(AX31:AX41)</f>
        <v>0</v>
      </c>
      <c r="AY42" s="68">
        <f t="shared" si="58"/>
        <v>0</v>
      </c>
      <c r="AZ42" s="68">
        <f t="shared" si="58"/>
        <v>0</v>
      </c>
      <c r="BA42" s="68">
        <f t="shared" si="58"/>
        <v>0</v>
      </c>
      <c r="BB42" s="68">
        <f t="shared" si="58"/>
        <v>0</v>
      </c>
      <c r="BC42" s="68">
        <f t="shared" si="58"/>
        <v>0</v>
      </c>
      <c r="BE42" s="97" t="s">
        <v>0</v>
      </c>
      <c r="BF42" s="68">
        <f t="shared" ref="BF42:BK42" si="59">SUM(BF31:BF41)</f>
        <v>0</v>
      </c>
      <c r="BG42" s="68">
        <f t="shared" si="59"/>
        <v>0</v>
      </c>
      <c r="BH42" s="68">
        <f t="shared" si="59"/>
        <v>0</v>
      </c>
      <c r="BI42" s="68">
        <f t="shared" si="59"/>
        <v>0</v>
      </c>
      <c r="BJ42" s="68">
        <f t="shared" si="59"/>
        <v>0</v>
      </c>
      <c r="BK42" s="68">
        <f t="shared" si="59"/>
        <v>0</v>
      </c>
      <c r="BM42" s="97" t="s">
        <v>0</v>
      </c>
      <c r="BU42" s="61"/>
      <c r="BV42" s="122">
        <f t="shared" ref="BV42:BW42" si="60">SUM(BV31:BV41)</f>
        <v>0</v>
      </c>
      <c r="BW42" s="122">
        <f t="shared" si="60"/>
        <v>0</v>
      </c>
      <c r="CL42" s="172"/>
      <c r="CM42" s="172"/>
      <c r="CN42" s="18"/>
    </row>
    <row r="43" spans="1:92">
      <c r="A43" s="6"/>
      <c r="H43" s="26"/>
      <c r="AK43" s="6"/>
      <c r="AL43" s="6"/>
      <c r="AM43" s="6"/>
      <c r="AN43" s="25"/>
      <c r="AO43" s="25"/>
      <c r="AW43" s="25"/>
      <c r="BE43" s="25"/>
      <c r="BM43" s="25"/>
      <c r="BV43" s="61"/>
      <c r="CL43" s="172"/>
      <c r="CM43" s="172"/>
      <c r="CN43" s="18"/>
    </row>
    <row r="44" spans="1:92">
      <c r="A44" s="3" t="s">
        <v>296</v>
      </c>
      <c r="AK44" s="3"/>
      <c r="AL44" s="3"/>
      <c r="AM44" s="3"/>
      <c r="AN44" s="115"/>
      <c r="AO44" s="115" t="s">
        <v>296</v>
      </c>
      <c r="AP44" s="18"/>
      <c r="AQ44" s="18">
        <v>2700</v>
      </c>
      <c r="AR44" s="18">
        <v>2700</v>
      </c>
      <c r="AS44" s="18"/>
      <c r="AT44" s="18"/>
      <c r="AU44" s="18"/>
      <c r="AW44" s="115" t="s">
        <v>296</v>
      </c>
      <c r="AY44" s="18"/>
      <c r="AZ44" s="18"/>
      <c r="BE44" s="115" t="s">
        <v>296</v>
      </c>
      <c r="BG44" s="18"/>
      <c r="BH44" s="18"/>
      <c r="BM44" s="115" t="s">
        <v>296</v>
      </c>
      <c r="BU44" s="25"/>
      <c r="BV44" s="26"/>
      <c r="BW44" s="68"/>
      <c r="CL44" s="172"/>
      <c r="CM44" s="172"/>
      <c r="CN44" s="18"/>
    </row>
    <row r="45" spans="1:92">
      <c r="A45" s="6">
        <v>2013</v>
      </c>
      <c r="C45" s="147">
        <f>'Exhibit D,2'!AE45</f>
        <v>0</v>
      </c>
      <c r="E45" s="74">
        <f t="shared" ref="E45:E53" si="61">CF16</f>
        <v>0.98502961806050837</v>
      </c>
      <c r="G45" s="74">
        <f t="shared" ref="G45:G53" si="62">CH16</f>
        <v>0.99809545618651974</v>
      </c>
      <c r="I45" s="497">
        <f>C45*(1-E45)</f>
        <v>0</v>
      </c>
      <c r="J45" s="497"/>
      <c r="K45" s="497">
        <f t="shared" ref="K45:K53" si="63">C45*(1-G45)</f>
        <v>0</v>
      </c>
      <c r="L45" s="147"/>
      <c r="M45" s="495">
        <f>IF(U45=Q45,0,K45/S45)*U45</f>
        <v>0</v>
      </c>
      <c r="N45" s="147"/>
      <c r="O45" s="570">
        <f t="shared" ref="O45:O54" si="64">AQ45-Q45</f>
        <v>1721</v>
      </c>
      <c r="P45" s="147"/>
      <c r="Q45" s="570">
        <f>AY45+BG45+BO45</f>
        <v>0</v>
      </c>
      <c r="R45" s="147"/>
      <c r="S45" s="570">
        <f t="shared" ref="S45:S54" si="65">AR45-U45</f>
        <v>1721</v>
      </c>
      <c r="T45" s="495"/>
      <c r="U45" s="570">
        <f>AZ45+BH45+BP45</f>
        <v>0</v>
      </c>
      <c r="V45" s="147"/>
      <c r="W45" s="147">
        <f>(I45+O45)+(M45+U45)</f>
        <v>1721</v>
      </c>
      <c r="X45" s="147"/>
      <c r="Y45" s="147">
        <f>(K45+S45)+(M45+U45)</f>
        <v>1721</v>
      </c>
      <c r="Z45" s="147"/>
      <c r="AA45" s="147">
        <f>O45/E45+(M45+U45)</f>
        <v>1747.1555864366735</v>
      </c>
      <c r="AB45" s="147"/>
      <c r="AC45" s="147">
        <f>S45/G45+(M45+U45)</f>
        <v>1724.2839743760812</v>
      </c>
      <c r="AD45" s="147"/>
      <c r="AE45" s="497">
        <f>(O45+Q45)/E45</f>
        <v>1747.1555864366735</v>
      </c>
      <c r="AF45" s="147"/>
      <c r="AG45" s="497">
        <f>(S45+U45)/G45</f>
        <v>1724.2839743760812</v>
      </c>
      <c r="AH45" s="497"/>
      <c r="AI45" s="497">
        <f>Y45</f>
        <v>1721</v>
      </c>
      <c r="AJ45" s="497"/>
      <c r="AK45" s="530">
        <f>AI45-O45-Q45</f>
        <v>0</v>
      </c>
      <c r="AL45" s="530"/>
      <c r="AM45" s="530"/>
      <c r="AN45" s="25"/>
      <c r="AO45" s="25">
        <f>A45</f>
        <v>2013</v>
      </c>
      <c r="AP45" s="18"/>
      <c r="AQ45" s="18">
        <v>1721</v>
      </c>
      <c r="AR45" s="18">
        <v>1721</v>
      </c>
      <c r="AS45" s="17">
        <v>1721</v>
      </c>
      <c r="AT45" s="17">
        <v>1721</v>
      </c>
      <c r="AU45" s="18">
        <f>AR45-AT45</f>
        <v>0</v>
      </c>
      <c r="AV45" s="18"/>
      <c r="AW45" s="25">
        <f>AO45</f>
        <v>2013</v>
      </c>
      <c r="AY45" s="18">
        <v>0</v>
      </c>
      <c r="AZ45" s="18">
        <v>0</v>
      </c>
      <c r="BE45" s="25">
        <f>AW45</f>
        <v>2013</v>
      </c>
      <c r="BG45" s="18">
        <v>0</v>
      </c>
      <c r="BH45" s="18">
        <v>0</v>
      </c>
      <c r="BM45" s="25">
        <f>BE45</f>
        <v>2013</v>
      </c>
      <c r="BU45" s="25">
        <f>BU31</f>
        <v>2013</v>
      </c>
      <c r="BV45" s="172">
        <v>1721</v>
      </c>
      <c r="BW45" s="137">
        <f t="shared" ref="BW45:BW52" si="66">AI45-BV45</f>
        <v>0</v>
      </c>
      <c r="CL45" s="172"/>
      <c r="CM45" s="172"/>
      <c r="CN45" s="18"/>
    </row>
    <row r="46" spans="1:92">
      <c r="A46" s="6">
        <f>A45+1</f>
        <v>2014</v>
      </c>
      <c r="C46" s="494">
        <f>'Exhibit D,2'!AE46</f>
        <v>28746.9825031943</v>
      </c>
      <c r="E46" s="74">
        <f t="shared" si="61"/>
        <v>0.97282217520113135</v>
      </c>
      <c r="G46" s="74">
        <f t="shared" si="62"/>
        <v>0.99338148454770181</v>
      </c>
      <c r="I46" s="494">
        <f t="shared" ref="I46:I53" si="67">C46*(1-E46)</f>
        <v>781.28045396795733</v>
      </c>
      <c r="J46" s="494"/>
      <c r="K46" s="494">
        <f t="shared" si="63"/>
        <v>190.26234790433719</v>
      </c>
      <c r="L46" s="187"/>
      <c r="M46" s="494">
        <f t="shared" ref="M46:M54" si="68">IF(U46=Q46,0,K46/S46)*U46</f>
        <v>0</v>
      </c>
      <c r="N46" s="187"/>
      <c r="O46" s="569">
        <f t="shared" si="64"/>
        <v>0</v>
      </c>
      <c r="P46" s="494"/>
      <c r="Q46" s="130">
        <f t="shared" ref="Q46:Q54" si="69">AY46+BG46+BO46</f>
        <v>0</v>
      </c>
      <c r="R46" s="494"/>
      <c r="S46" s="130">
        <f t="shared" si="65"/>
        <v>0</v>
      </c>
      <c r="T46" s="494"/>
      <c r="U46" s="130">
        <f t="shared" ref="U46:U54" si="70">AZ46+BH46+BP46</f>
        <v>0</v>
      </c>
      <c r="V46" s="187"/>
      <c r="W46" s="17">
        <f t="shared" ref="W46:W54" si="71">(I46+O46)+(M46+U46)</f>
        <v>781.28045396795733</v>
      </c>
      <c r="X46" s="494"/>
      <c r="Y46" s="494">
        <f t="shared" ref="Y46:Y54" si="72">(K46+S46)+(M46+U46)</f>
        <v>190.26234790433719</v>
      </c>
      <c r="Z46" s="187"/>
      <c r="AA46" s="494">
        <f t="shared" ref="AA46:AA54" si="73">O46/E46+(M46+U46)</f>
        <v>0</v>
      </c>
      <c r="AB46" s="494"/>
      <c r="AC46" s="494">
        <f t="shared" ref="AC46:AC54" si="74">S46/G46+(M46+U46)</f>
        <v>0</v>
      </c>
      <c r="AD46" s="494"/>
      <c r="AE46" s="494">
        <f t="shared" ref="AE46:AE54" si="75">(O46+Q46)/E46</f>
        <v>0</v>
      </c>
      <c r="AF46" s="494"/>
      <c r="AG46" s="494">
        <f t="shared" ref="AG46:AG54" si="76">(S46+U46)/G46</f>
        <v>0</v>
      </c>
      <c r="AH46" s="494"/>
      <c r="AI46" s="494">
        <f>Y46</f>
        <v>190.26234790433719</v>
      </c>
      <c r="AJ46" s="494"/>
      <c r="AK46" s="532">
        <f t="shared" ref="AK46:AK54" si="77">AI46-O46-Q46</f>
        <v>190.26234790433719</v>
      </c>
      <c r="AL46" s="532"/>
      <c r="AM46" s="532"/>
      <c r="AN46" s="25"/>
      <c r="AO46" s="25">
        <f>AO45+1</f>
        <v>2014</v>
      </c>
      <c r="AQ46" s="18">
        <v>0</v>
      </c>
      <c r="AR46" s="18">
        <v>0</v>
      </c>
      <c r="AS46" s="17">
        <v>0</v>
      </c>
      <c r="AT46" s="17">
        <v>0</v>
      </c>
      <c r="AU46" s="18">
        <f t="shared" ref="AU46:AU53" si="78">AR46-AT46</f>
        <v>0</v>
      </c>
      <c r="AV46" s="18"/>
      <c r="AW46" s="25">
        <f>AW45+1</f>
        <v>2014</v>
      </c>
      <c r="AY46" s="18">
        <v>0</v>
      </c>
      <c r="AZ46" s="18">
        <v>0</v>
      </c>
      <c r="BE46" s="25">
        <f>BE45+1</f>
        <v>2014</v>
      </c>
      <c r="BG46" s="18">
        <v>0</v>
      </c>
      <c r="BH46" s="18">
        <v>0</v>
      </c>
      <c r="BM46" s="25">
        <f>BM45+1</f>
        <v>2014</v>
      </c>
      <c r="BU46" s="25">
        <f t="shared" ref="BU46:BU54" si="79">BU45+1</f>
        <v>2014</v>
      </c>
      <c r="BV46" s="172">
        <v>0</v>
      </c>
      <c r="BW46" s="137">
        <f t="shared" si="66"/>
        <v>190.26234790433719</v>
      </c>
      <c r="CL46" s="172"/>
      <c r="CM46" s="172"/>
      <c r="CN46" s="18"/>
    </row>
    <row r="47" spans="1:92">
      <c r="A47" s="6">
        <f t="shared" ref="A47:A54" si="80">A46+1</f>
        <v>2015</v>
      </c>
      <c r="C47" s="494">
        <f>'Exhibit D,2'!AE47</f>
        <v>8929.286229018875</v>
      </c>
      <c r="E47" s="74">
        <f t="shared" si="61"/>
        <v>0.9437608217605965</v>
      </c>
      <c r="G47" s="74">
        <f t="shared" si="62"/>
        <v>0.98115091564807255</v>
      </c>
      <c r="I47" s="494">
        <f t="shared" si="67"/>
        <v>502.17571978444363</v>
      </c>
      <c r="J47" s="494"/>
      <c r="K47" s="494">
        <f t="shared" si="63"/>
        <v>168.30886933328091</v>
      </c>
      <c r="L47" s="187"/>
      <c r="M47" s="494">
        <f t="shared" si="68"/>
        <v>0</v>
      </c>
      <c r="N47" s="187"/>
      <c r="O47" s="569">
        <f t="shared" si="64"/>
        <v>36478.69</v>
      </c>
      <c r="P47" s="494"/>
      <c r="Q47" s="130">
        <f t="shared" si="69"/>
        <v>0</v>
      </c>
      <c r="R47" s="494"/>
      <c r="S47" s="130">
        <f t="shared" si="65"/>
        <v>63892.69</v>
      </c>
      <c r="T47" s="494"/>
      <c r="U47" s="130">
        <f t="shared" si="70"/>
        <v>0</v>
      </c>
      <c r="V47" s="187"/>
      <c r="W47" s="17">
        <f t="shared" si="71"/>
        <v>36980.865719784444</v>
      </c>
      <c r="X47" s="494"/>
      <c r="Y47" s="494">
        <f t="shared" si="72"/>
        <v>64060.998869333285</v>
      </c>
      <c r="Z47" s="187"/>
      <c r="AA47" s="494">
        <f t="shared" si="73"/>
        <v>38652.473337416777</v>
      </c>
      <c r="AB47" s="494"/>
      <c r="AC47" s="494">
        <f t="shared" si="74"/>
        <v>65120.145108153338</v>
      </c>
      <c r="AD47" s="494"/>
      <c r="AE47" s="494">
        <f t="shared" si="75"/>
        <v>38652.473337416777</v>
      </c>
      <c r="AF47" s="494"/>
      <c r="AG47" s="494">
        <f t="shared" si="76"/>
        <v>65120.145108153338</v>
      </c>
      <c r="AH47" s="494"/>
      <c r="AI47" s="494">
        <f>Y47</f>
        <v>64060.998869333285</v>
      </c>
      <c r="AJ47" s="494"/>
      <c r="AK47" s="532">
        <f t="shared" si="77"/>
        <v>27582.308869333283</v>
      </c>
      <c r="AL47" s="532"/>
      <c r="AM47" s="532"/>
      <c r="AN47" s="25"/>
      <c r="AO47" s="25">
        <f t="shared" ref="AO47:AO54" si="81">AO46+1</f>
        <v>2015</v>
      </c>
      <c r="AQ47" s="18">
        <v>36478.69</v>
      </c>
      <c r="AR47" s="18">
        <v>63892.69</v>
      </c>
      <c r="AS47" s="17">
        <v>21277.69</v>
      </c>
      <c r="AT47" s="17">
        <v>63767.69</v>
      </c>
      <c r="AU47" s="18">
        <f t="shared" si="78"/>
        <v>125</v>
      </c>
      <c r="AV47" s="18"/>
      <c r="AW47" s="25">
        <f t="shared" ref="AW47:AW54" si="82">AW46+1</f>
        <v>2015</v>
      </c>
      <c r="AY47" s="18">
        <v>0</v>
      </c>
      <c r="AZ47" s="18">
        <v>0</v>
      </c>
      <c r="BE47" s="25">
        <f t="shared" ref="BE47:BE54" si="83">BE46+1</f>
        <v>2015</v>
      </c>
      <c r="BG47" s="18">
        <v>0</v>
      </c>
      <c r="BH47" s="18">
        <v>0</v>
      </c>
      <c r="BM47" s="25">
        <f t="shared" ref="BM47:BM54" si="84">BM46+1</f>
        <v>2015</v>
      </c>
      <c r="BU47" s="25">
        <f t="shared" si="79"/>
        <v>2015</v>
      </c>
      <c r="BV47" s="172">
        <v>63767.69</v>
      </c>
      <c r="BW47" s="137">
        <f t="shared" si="66"/>
        <v>293.30886933328293</v>
      </c>
      <c r="CL47" s="172"/>
      <c r="CM47" s="172"/>
      <c r="CN47" s="18"/>
    </row>
    <row r="48" spans="1:92">
      <c r="A48" s="6">
        <f t="shared" si="80"/>
        <v>2016</v>
      </c>
      <c r="C48" s="494">
        <f>'Exhibit D,2'!AE48</f>
        <v>36611.393150524607</v>
      </c>
      <c r="E48" s="74">
        <f t="shared" si="61"/>
        <v>0.88292662596888161</v>
      </c>
      <c r="G48" s="74">
        <f t="shared" si="62"/>
        <v>0.95526356486939812</v>
      </c>
      <c r="I48" s="494">
        <f t="shared" si="67"/>
        <v>4286.2193241116938</v>
      </c>
      <c r="J48" s="494"/>
      <c r="K48" s="494">
        <f t="shared" si="63"/>
        <v>1637.8632147194062</v>
      </c>
      <c r="L48" s="187"/>
      <c r="M48" s="494">
        <f t="shared" si="68"/>
        <v>0</v>
      </c>
      <c r="N48" s="187"/>
      <c r="O48" s="569">
        <f t="shared" si="64"/>
        <v>7728.3099999999995</v>
      </c>
      <c r="P48" s="494"/>
      <c r="Q48" s="130">
        <f t="shared" si="69"/>
        <v>13502.420000000004</v>
      </c>
      <c r="R48" s="494"/>
      <c r="S48" s="130">
        <f t="shared" si="65"/>
        <v>7728.3099999999995</v>
      </c>
      <c r="T48" s="494"/>
      <c r="U48" s="130">
        <f t="shared" si="70"/>
        <v>13502.420000000004</v>
      </c>
      <c r="V48" s="187"/>
      <c r="W48" s="17">
        <f t="shared" si="71"/>
        <v>25516.949324111694</v>
      </c>
      <c r="X48" s="494"/>
      <c r="Y48" s="494">
        <f t="shared" si="72"/>
        <v>22868.593214719411</v>
      </c>
      <c r="Z48" s="187"/>
      <c r="AA48" s="494">
        <f t="shared" si="73"/>
        <v>22255.480302739568</v>
      </c>
      <c r="AB48" s="494"/>
      <c r="AC48" s="494">
        <f t="shared" si="74"/>
        <v>21592.658426560949</v>
      </c>
      <c r="AD48" s="494"/>
      <c r="AE48" s="494">
        <f t="shared" si="75"/>
        <v>24045.859956598786</v>
      </c>
      <c r="AF48" s="494"/>
      <c r="AG48" s="494">
        <f t="shared" si="76"/>
        <v>22224.997142964025</v>
      </c>
      <c r="AH48" s="494"/>
      <c r="AI48" s="494">
        <f>Y48</f>
        <v>22868.593214719411</v>
      </c>
      <c r="AJ48" s="494"/>
      <c r="AK48" s="532">
        <f t="shared" si="77"/>
        <v>1637.8632147194076</v>
      </c>
      <c r="AL48" s="532"/>
      <c r="AM48" s="532"/>
      <c r="AN48" s="25"/>
      <c r="AO48" s="25">
        <f t="shared" si="81"/>
        <v>2016</v>
      </c>
      <c r="AQ48" s="18">
        <v>21230.730000000003</v>
      </c>
      <c r="AR48" s="18">
        <v>21230.730000000003</v>
      </c>
      <c r="AS48" s="17">
        <v>21230.730000000003</v>
      </c>
      <c r="AT48" s="17">
        <v>21230.730000000003</v>
      </c>
      <c r="AU48" s="18">
        <f t="shared" si="78"/>
        <v>0</v>
      </c>
      <c r="AV48" s="18"/>
      <c r="AW48" s="25">
        <f t="shared" si="82"/>
        <v>2016</v>
      </c>
      <c r="AY48" s="18">
        <v>11004.920000000004</v>
      </c>
      <c r="AZ48" s="18">
        <v>11004.920000000004</v>
      </c>
      <c r="BA48" s="18"/>
      <c r="BB48" s="18">
        <f>AZ48</f>
        <v>11004.920000000004</v>
      </c>
      <c r="BC48" s="132">
        <f t="shared" ref="BC48:BC51" si="85">M48+AZ48-BB48</f>
        <v>0</v>
      </c>
      <c r="BE48" s="25">
        <f t="shared" si="83"/>
        <v>2016</v>
      </c>
      <c r="BG48" s="18">
        <v>2497.5</v>
      </c>
      <c r="BH48" s="18">
        <v>2497.5</v>
      </c>
      <c r="BJ48" s="95">
        <f>BH48</f>
        <v>2497.5</v>
      </c>
      <c r="BK48" s="95">
        <f>BH48-BJ48</f>
        <v>0</v>
      </c>
      <c r="BM48" s="25">
        <f t="shared" si="84"/>
        <v>2016</v>
      </c>
      <c r="BU48" s="25">
        <f t="shared" si="79"/>
        <v>2016</v>
      </c>
      <c r="BV48" s="172">
        <v>21230.730000000003</v>
      </c>
      <c r="BW48" s="137">
        <f t="shared" si="66"/>
        <v>1637.8632147194076</v>
      </c>
    </row>
    <row r="49" spans="1:79">
      <c r="A49" s="6">
        <f t="shared" si="80"/>
        <v>2017</v>
      </c>
      <c r="C49" s="494">
        <f>'Exhibit D,2'!AE49</f>
        <v>38788.113718306937</v>
      </c>
      <c r="E49" s="74">
        <f t="shared" si="61"/>
        <v>0.781748488710163</v>
      </c>
      <c r="G49" s="74">
        <f t="shared" si="62"/>
        <v>0.90563867519115449</v>
      </c>
      <c r="I49" s="494">
        <f t="shared" si="67"/>
        <v>8465.5644391025471</v>
      </c>
      <c r="J49" s="494"/>
      <c r="K49" s="494">
        <f t="shared" si="63"/>
        <v>3660.0977972955975</v>
      </c>
      <c r="L49" s="187"/>
      <c r="M49" s="494">
        <f t="shared" si="68"/>
        <v>0</v>
      </c>
      <c r="N49" s="187"/>
      <c r="O49" s="569">
        <f t="shared" si="64"/>
        <v>232536.94</v>
      </c>
      <c r="P49" s="494"/>
      <c r="Q49" s="130">
        <f t="shared" si="69"/>
        <v>12309.309999999998</v>
      </c>
      <c r="R49" s="494"/>
      <c r="S49" s="130">
        <f t="shared" si="65"/>
        <v>239300.56</v>
      </c>
      <c r="T49" s="494"/>
      <c r="U49" s="130">
        <f t="shared" si="70"/>
        <v>12309.309999999998</v>
      </c>
      <c r="V49" s="187"/>
      <c r="W49" s="17">
        <f t="shared" si="71"/>
        <v>253311.81443910254</v>
      </c>
      <c r="X49" s="494"/>
      <c r="Y49" s="494">
        <f t="shared" si="72"/>
        <v>255269.9677972956</v>
      </c>
      <c r="Z49" s="187"/>
      <c r="AA49" s="494">
        <f t="shared" si="73"/>
        <v>309766.7958259997</v>
      </c>
      <c r="AB49" s="494"/>
      <c r="AC49" s="494">
        <f t="shared" si="74"/>
        <v>276543.34345654433</v>
      </c>
      <c r="AD49" s="494"/>
      <c r="AE49" s="494">
        <f t="shared" si="75"/>
        <v>313203.3557288755</v>
      </c>
      <c r="AF49" s="494"/>
      <c r="AG49" s="494">
        <f t="shared" si="76"/>
        <v>277825.88894725847</v>
      </c>
      <c r="AH49" s="494"/>
      <c r="AI49" s="494">
        <f t="shared" ref="AI49:AI54" si="86">Y49</f>
        <v>255269.9677972956</v>
      </c>
      <c r="AJ49" s="494"/>
      <c r="AK49" s="532">
        <f t="shared" si="77"/>
        <v>10423.717797295598</v>
      </c>
      <c r="AL49" s="532"/>
      <c r="AM49" s="532"/>
      <c r="AN49" s="25"/>
      <c r="AO49" s="25">
        <f t="shared" si="81"/>
        <v>2017</v>
      </c>
      <c r="AQ49" s="18">
        <v>244846.25</v>
      </c>
      <c r="AR49" s="18">
        <v>251609.87</v>
      </c>
      <c r="AS49" s="17">
        <v>244563.50999999998</v>
      </c>
      <c r="AT49" s="17">
        <v>251377.12999999998</v>
      </c>
      <c r="AU49" s="18">
        <f t="shared" si="78"/>
        <v>232.74000000001979</v>
      </c>
      <c r="AV49" s="18"/>
      <c r="AW49" s="25">
        <f t="shared" si="82"/>
        <v>2017</v>
      </c>
      <c r="AY49" s="18">
        <v>12309.309999999998</v>
      </c>
      <c r="AZ49" s="18">
        <v>12309.309999999998</v>
      </c>
      <c r="BA49" s="18"/>
      <c r="BB49" s="18">
        <f t="shared" ref="BB49:BB51" si="87">AZ49</f>
        <v>12309.309999999998</v>
      </c>
      <c r="BC49" s="132">
        <f t="shared" si="85"/>
        <v>0</v>
      </c>
      <c r="BE49" s="25">
        <f t="shared" si="83"/>
        <v>2017</v>
      </c>
      <c r="BG49" s="18">
        <v>0</v>
      </c>
      <c r="BH49" s="18">
        <v>0</v>
      </c>
      <c r="BM49" s="25">
        <f t="shared" si="84"/>
        <v>2017</v>
      </c>
      <c r="BU49" s="25">
        <f t="shared" si="79"/>
        <v>2017</v>
      </c>
      <c r="BV49" s="172">
        <v>251377.12999999998</v>
      </c>
      <c r="BW49" s="137">
        <f t="shared" si="66"/>
        <v>3892.8377972956223</v>
      </c>
    </row>
    <row r="50" spans="1:79">
      <c r="A50" s="6">
        <f t="shared" si="80"/>
        <v>2018</v>
      </c>
      <c r="C50" s="494">
        <f>'Exhibit D,2'!AE50</f>
        <v>176745.91846153847</v>
      </c>
      <c r="E50" s="74">
        <f t="shared" si="61"/>
        <v>0.6398348470847689</v>
      </c>
      <c r="G50" s="74">
        <f t="shared" si="62"/>
        <v>0.81500034074912342</v>
      </c>
      <c r="I50" s="494">
        <f t="shared" si="67"/>
        <v>63657.720749842971</v>
      </c>
      <c r="J50" s="494"/>
      <c r="K50" s="494">
        <f t="shared" si="63"/>
        <v>32697.934689367834</v>
      </c>
      <c r="L50" s="187"/>
      <c r="M50" s="494">
        <f t="shared" si="68"/>
        <v>0</v>
      </c>
      <c r="N50" s="187"/>
      <c r="O50" s="569">
        <f t="shared" si="64"/>
        <v>13978</v>
      </c>
      <c r="P50" s="494"/>
      <c r="Q50" s="130">
        <f t="shared" si="69"/>
        <v>14368.73</v>
      </c>
      <c r="R50" s="494"/>
      <c r="S50" s="130">
        <f t="shared" si="65"/>
        <v>13978</v>
      </c>
      <c r="T50" s="494"/>
      <c r="U50" s="130">
        <f t="shared" si="70"/>
        <v>14368.73</v>
      </c>
      <c r="V50" s="187"/>
      <c r="W50" s="17">
        <f t="shared" si="71"/>
        <v>92004.450749842959</v>
      </c>
      <c r="X50" s="494"/>
      <c r="Y50" s="494">
        <f t="shared" si="72"/>
        <v>61044.664689367826</v>
      </c>
      <c r="Z50" s="187"/>
      <c r="AA50" s="494">
        <f t="shared" si="73"/>
        <v>36214.992459268833</v>
      </c>
      <c r="AB50" s="494"/>
      <c r="AC50" s="494">
        <f t="shared" si="74"/>
        <v>31519.643074652027</v>
      </c>
      <c r="AD50" s="494"/>
      <c r="AE50" s="494">
        <f t="shared" si="75"/>
        <v>44303.198128632823</v>
      </c>
      <c r="AF50" s="494"/>
      <c r="AG50" s="494">
        <f t="shared" si="76"/>
        <v>34781.249261742087</v>
      </c>
      <c r="AH50" s="494"/>
      <c r="AI50" s="494">
        <f t="shared" si="86"/>
        <v>61044.664689367826</v>
      </c>
      <c r="AJ50" s="494"/>
      <c r="AK50" s="532">
        <f t="shared" si="77"/>
        <v>32697.934689367827</v>
      </c>
      <c r="AL50" s="532"/>
      <c r="AM50" s="532"/>
      <c r="AN50" s="25"/>
      <c r="AO50" s="25">
        <f t="shared" si="81"/>
        <v>2018</v>
      </c>
      <c r="AQ50" s="18">
        <v>28346.73</v>
      </c>
      <c r="AR50" s="18">
        <v>28346.73</v>
      </c>
      <c r="AS50" s="17">
        <v>28346.73</v>
      </c>
      <c r="AT50" s="17">
        <v>28346.73</v>
      </c>
      <c r="AU50" s="18">
        <f t="shared" si="78"/>
        <v>0</v>
      </c>
      <c r="AV50" s="18"/>
      <c r="AW50" s="25">
        <f t="shared" si="82"/>
        <v>2018</v>
      </c>
      <c r="AY50" s="18">
        <v>14368.73</v>
      </c>
      <c r="AZ50" s="18">
        <v>14368.73</v>
      </c>
      <c r="BA50" s="18"/>
      <c r="BB50" s="18">
        <f t="shared" si="87"/>
        <v>14368.73</v>
      </c>
      <c r="BC50" s="132">
        <f t="shared" si="85"/>
        <v>0</v>
      </c>
      <c r="BE50" s="25">
        <f t="shared" si="83"/>
        <v>2018</v>
      </c>
      <c r="BG50" s="18">
        <v>0</v>
      </c>
      <c r="BH50" s="18">
        <v>0</v>
      </c>
      <c r="BM50" s="25">
        <f t="shared" si="84"/>
        <v>2018</v>
      </c>
      <c r="BU50" s="25">
        <f t="shared" si="79"/>
        <v>2018</v>
      </c>
      <c r="BV50" s="172">
        <v>153361.25241654456</v>
      </c>
      <c r="BW50" s="137">
        <f t="shared" si="66"/>
        <v>-92316.587727176739</v>
      </c>
    </row>
    <row r="51" spans="1:79">
      <c r="A51" s="6">
        <f t="shared" si="80"/>
        <v>2019</v>
      </c>
      <c r="C51" s="494">
        <f>'Exhibit D,2'!AE51</f>
        <v>105297.2284586982</v>
      </c>
      <c r="E51" s="74">
        <f t="shared" si="61"/>
        <v>0.47250143837300063</v>
      </c>
      <c r="G51" s="74">
        <f t="shared" si="62"/>
        <v>0.658173857572253</v>
      </c>
      <c r="I51" s="494">
        <f t="shared" si="67"/>
        <v>55544.136555272846</v>
      </c>
      <c r="J51" s="494"/>
      <c r="K51" s="494">
        <f t="shared" si="63"/>
        <v>35993.345412369985</v>
      </c>
      <c r="L51" s="187"/>
      <c r="M51" s="494">
        <f t="shared" si="68"/>
        <v>0</v>
      </c>
      <c r="N51" s="187"/>
      <c r="O51" s="569">
        <f t="shared" si="64"/>
        <v>11292.27</v>
      </c>
      <c r="P51" s="494"/>
      <c r="Q51" s="130">
        <f t="shared" si="69"/>
        <v>23925.500000000004</v>
      </c>
      <c r="R51" s="494"/>
      <c r="S51" s="130">
        <f t="shared" si="65"/>
        <v>11292.27</v>
      </c>
      <c r="T51" s="494"/>
      <c r="U51" s="130">
        <f t="shared" si="70"/>
        <v>23925.500000000004</v>
      </c>
      <c r="V51" s="187"/>
      <c r="W51" s="17">
        <f t="shared" si="71"/>
        <v>90761.906555272843</v>
      </c>
      <c r="X51" s="494"/>
      <c r="Y51" s="494">
        <f t="shared" si="72"/>
        <v>71211.115412369982</v>
      </c>
      <c r="Z51" s="187"/>
      <c r="AA51" s="494">
        <f t="shared" si="73"/>
        <v>47824.411374499759</v>
      </c>
      <c r="AB51" s="494"/>
      <c r="AC51" s="494">
        <f t="shared" si="74"/>
        <v>41082.471323128499</v>
      </c>
      <c r="AD51" s="494"/>
      <c r="AE51" s="494">
        <f t="shared" si="75"/>
        <v>74534.73606613341</v>
      </c>
      <c r="AF51" s="494"/>
      <c r="AG51" s="494">
        <f t="shared" si="76"/>
        <v>53508.308777113452</v>
      </c>
      <c r="AH51" s="494"/>
      <c r="AI51" s="494">
        <f t="shared" si="86"/>
        <v>71211.115412369982</v>
      </c>
      <c r="AJ51" s="494"/>
      <c r="AK51" s="532">
        <f t="shared" si="77"/>
        <v>35993.345412369978</v>
      </c>
      <c r="AL51" s="532"/>
      <c r="AM51" s="532"/>
      <c r="AN51" s="25"/>
      <c r="AO51" s="25">
        <f t="shared" si="81"/>
        <v>2019</v>
      </c>
      <c r="AQ51" s="18">
        <v>35217.770000000004</v>
      </c>
      <c r="AR51" s="18">
        <v>35217.770000000004</v>
      </c>
      <c r="AS51" s="17">
        <v>35092.770000000004</v>
      </c>
      <c r="AT51" s="17">
        <v>42262.340000000004</v>
      </c>
      <c r="AU51" s="18">
        <f t="shared" si="78"/>
        <v>-7044.57</v>
      </c>
      <c r="AV51" s="18"/>
      <c r="AW51" s="25">
        <f t="shared" si="82"/>
        <v>2019</v>
      </c>
      <c r="AY51" s="18">
        <v>23925.500000000004</v>
      </c>
      <c r="AZ51" s="18">
        <v>23925.500000000004</v>
      </c>
      <c r="BA51" s="18"/>
      <c r="BB51" s="18">
        <f t="shared" si="87"/>
        <v>23925.500000000004</v>
      </c>
      <c r="BC51" s="132">
        <f t="shared" si="85"/>
        <v>0</v>
      </c>
      <c r="BE51" s="25">
        <f t="shared" si="83"/>
        <v>2019</v>
      </c>
      <c r="BG51" s="18">
        <v>0</v>
      </c>
      <c r="BH51" s="18">
        <v>0</v>
      </c>
      <c r="BM51" s="25">
        <f t="shared" si="84"/>
        <v>2019</v>
      </c>
      <c r="BU51" s="25">
        <f t="shared" si="79"/>
        <v>2019</v>
      </c>
      <c r="BV51" s="172">
        <v>267572.19983568869</v>
      </c>
      <c r="BW51" s="137">
        <f t="shared" si="66"/>
        <v>-196361.08442331871</v>
      </c>
    </row>
    <row r="52" spans="1:79">
      <c r="A52" s="6">
        <f t="shared" si="80"/>
        <v>2020</v>
      </c>
      <c r="C52" s="494">
        <f>'Exhibit D,2'!AE52</f>
        <v>83400.208488635719</v>
      </c>
      <c r="E52" s="74">
        <f t="shared" si="61"/>
        <v>0.30712267948418231</v>
      </c>
      <c r="G52" s="74">
        <f t="shared" si="62"/>
        <v>0.44635243430393778</v>
      </c>
      <c r="I52" s="494">
        <f t="shared" si="67"/>
        <v>57786.112988066467</v>
      </c>
      <c r="J52" s="494"/>
      <c r="K52" s="494">
        <f t="shared" si="63"/>
        <v>46174.322408277229</v>
      </c>
      <c r="L52" s="187"/>
      <c r="M52" s="494">
        <f t="shared" si="68"/>
        <v>0</v>
      </c>
      <c r="N52" s="187"/>
      <c r="O52" s="569">
        <f t="shared" si="64"/>
        <v>45046.5</v>
      </c>
      <c r="P52" s="494"/>
      <c r="Q52" s="130">
        <f t="shared" si="69"/>
        <v>0</v>
      </c>
      <c r="R52" s="494"/>
      <c r="S52" s="130">
        <f t="shared" si="65"/>
        <v>70829</v>
      </c>
      <c r="T52" s="494"/>
      <c r="U52" s="130">
        <f t="shared" si="70"/>
        <v>0</v>
      </c>
      <c r="V52" s="187"/>
      <c r="W52" s="17">
        <f t="shared" si="71"/>
        <v>102832.61298806647</v>
      </c>
      <c r="X52" s="494"/>
      <c r="Y52" s="494">
        <f t="shared" si="72"/>
        <v>117003.32240827722</v>
      </c>
      <c r="Z52" s="187"/>
      <c r="AA52" s="494">
        <f t="shared" si="73"/>
        <v>146672.65887252727</v>
      </c>
      <c r="AB52" s="494"/>
      <c r="AC52" s="494">
        <f t="shared" si="74"/>
        <v>158684.02310934846</v>
      </c>
      <c r="AD52" s="494"/>
      <c r="AE52" s="494">
        <f t="shared" si="75"/>
        <v>146672.65887252727</v>
      </c>
      <c r="AF52" s="494"/>
      <c r="AG52" s="494">
        <f t="shared" si="76"/>
        <v>158684.02310934846</v>
      </c>
      <c r="AH52" s="494"/>
      <c r="AI52" s="494">
        <f t="shared" si="86"/>
        <v>117003.32240827722</v>
      </c>
      <c r="AJ52" s="494"/>
      <c r="AK52" s="532">
        <f t="shared" si="77"/>
        <v>71956.822408277221</v>
      </c>
      <c r="AL52" s="532"/>
      <c r="AM52" s="532"/>
      <c r="AN52" s="25"/>
      <c r="AO52" s="25">
        <f t="shared" si="81"/>
        <v>2020</v>
      </c>
      <c r="AQ52" s="18">
        <v>45046.5</v>
      </c>
      <c r="AR52" s="18">
        <v>70829</v>
      </c>
      <c r="AS52" s="17">
        <v>43289</v>
      </c>
      <c r="AT52" s="17">
        <v>60829</v>
      </c>
      <c r="AU52" s="18">
        <f t="shared" si="78"/>
        <v>10000</v>
      </c>
      <c r="AV52" s="18"/>
      <c r="AW52" s="25">
        <f t="shared" si="82"/>
        <v>2020</v>
      </c>
      <c r="AY52" s="18">
        <v>0</v>
      </c>
      <c r="AZ52" s="18">
        <v>0</v>
      </c>
      <c r="BE52" s="25">
        <f t="shared" si="83"/>
        <v>2020</v>
      </c>
      <c r="BG52" s="18">
        <v>0</v>
      </c>
      <c r="BH52" s="18">
        <v>0</v>
      </c>
      <c r="BM52" s="25">
        <f t="shared" si="84"/>
        <v>2020</v>
      </c>
      <c r="BU52" s="25">
        <f t="shared" si="79"/>
        <v>2020</v>
      </c>
      <c r="BV52" s="172">
        <v>102892.23386617636</v>
      </c>
      <c r="BW52" s="137">
        <f t="shared" si="66"/>
        <v>14111.088542100857</v>
      </c>
    </row>
    <row r="53" spans="1:79">
      <c r="A53" s="6">
        <f t="shared" si="80"/>
        <v>2021</v>
      </c>
      <c r="C53" s="494">
        <f>'Exhibit D,2'!AE53</f>
        <v>112193.91694279374</v>
      </c>
      <c r="E53" s="74">
        <f t="shared" si="61"/>
        <v>0.16489014858788364</v>
      </c>
      <c r="G53" s="74">
        <f t="shared" si="62"/>
        <v>0.23937239750280831</v>
      </c>
      <c r="I53" s="494">
        <f t="shared" si="67"/>
        <v>93694.245307439807</v>
      </c>
      <c r="J53" s="494"/>
      <c r="K53" s="494">
        <f t="shared" si="63"/>
        <v>85337.79005896626</v>
      </c>
      <c r="L53" s="187"/>
      <c r="M53" s="494">
        <f t="shared" si="68"/>
        <v>0</v>
      </c>
      <c r="N53" s="187"/>
      <c r="O53" s="569">
        <f t="shared" si="64"/>
        <v>0</v>
      </c>
      <c r="P53" s="494"/>
      <c r="Q53" s="130">
        <f t="shared" si="69"/>
        <v>0</v>
      </c>
      <c r="R53" s="494"/>
      <c r="S53" s="130">
        <f t="shared" si="65"/>
        <v>2500</v>
      </c>
      <c r="T53" s="494"/>
      <c r="U53" s="130">
        <f t="shared" si="70"/>
        <v>0</v>
      </c>
      <c r="V53" s="187"/>
      <c r="W53" s="17">
        <f t="shared" si="71"/>
        <v>93694.245307439807</v>
      </c>
      <c r="X53" s="494"/>
      <c r="Y53" s="494">
        <f t="shared" si="72"/>
        <v>87837.79005896626</v>
      </c>
      <c r="Z53" s="187"/>
      <c r="AA53" s="494">
        <f t="shared" si="73"/>
        <v>0</v>
      </c>
      <c r="AB53" s="494"/>
      <c r="AC53" s="494">
        <f t="shared" si="74"/>
        <v>10443.977777223334</v>
      </c>
      <c r="AD53" s="494"/>
      <c r="AE53" s="494">
        <f t="shared" si="75"/>
        <v>0</v>
      </c>
      <c r="AF53" s="494"/>
      <c r="AG53" s="494">
        <f t="shared" si="76"/>
        <v>10443.977777223334</v>
      </c>
      <c r="AH53" s="494"/>
      <c r="AI53" s="494">
        <f t="shared" si="86"/>
        <v>87837.79005896626</v>
      </c>
      <c r="AJ53" s="494"/>
      <c r="AK53" s="532">
        <f t="shared" si="77"/>
        <v>87837.79005896626</v>
      </c>
      <c r="AL53" s="532"/>
      <c r="AM53" s="532"/>
      <c r="AN53" s="25"/>
      <c r="AO53" s="25">
        <f t="shared" si="81"/>
        <v>2021</v>
      </c>
      <c r="AQ53" s="18">
        <v>0</v>
      </c>
      <c r="AR53" s="18">
        <v>2500</v>
      </c>
      <c r="AS53" s="17">
        <v>0</v>
      </c>
      <c r="AT53" s="17">
        <v>0</v>
      </c>
      <c r="AU53" s="18">
        <f t="shared" si="78"/>
        <v>2500</v>
      </c>
      <c r="AV53" s="18"/>
      <c r="AW53" s="25">
        <f t="shared" si="82"/>
        <v>2021</v>
      </c>
      <c r="AY53" s="18">
        <v>0</v>
      </c>
      <c r="AZ53" s="18">
        <v>0</v>
      </c>
      <c r="BE53" s="25">
        <f t="shared" si="83"/>
        <v>2021</v>
      </c>
      <c r="BG53" s="18">
        <v>0</v>
      </c>
      <c r="BH53" s="18">
        <v>0</v>
      </c>
      <c r="BM53" s="25">
        <f t="shared" si="84"/>
        <v>2021</v>
      </c>
      <c r="BU53" s="25">
        <f t="shared" si="79"/>
        <v>2021</v>
      </c>
      <c r="BV53" s="172">
        <v>54945.042765563689</v>
      </c>
      <c r="BW53" s="61"/>
    </row>
    <row r="54" spans="1:79">
      <c r="A54" s="6">
        <f t="shared" si="80"/>
        <v>2022</v>
      </c>
      <c r="C54" s="494">
        <f>'Exhibit D,2'!AE54</f>
        <v>85377.150829989012</v>
      </c>
      <c r="E54" s="74">
        <f t="shared" ref="E54" si="88">CF25</f>
        <v>6.3273793175123619E-2</v>
      </c>
      <c r="G54" s="74">
        <f t="shared" ref="G54" si="89">CH25</f>
        <v>8.9017847776179576E-2</v>
      </c>
      <c r="I54" s="494">
        <f t="shared" ref="I54" si="90">C54*(1-E54)</f>
        <v>79975.014646490949</v>
      </c>
      <c r="J54" s="494"/>
      <c r="K54" s="494">
        <f t="shared" ref="K54" si="91">C54*(1-G54)</f>
        <v>77777.060613841124</v>
      </c>
      <c r="L54" s="187"/>
      <c r="M54" s="494">
        <f t="shared" si="68"/>
        <v>0</v>
      </c>
      <c r="N54" s="187"/>
      <c r="O54" s="571">
        <f t="shared" si="64"/>
        <v>0</v>
      </c>
      <c r="P54" s="542"/>
      <c r="Q54" s="572">
        <f t="shared" si="69"/>
        <v>0</v>
      </c>
      <c r="R54" s="542"/>
      <c r="S54" s="572">
        <f t="shared" si="65"/>
        <v>0</v>
      </c>
      <c r="T54" s="542"/>
      <c r="U54" s="572">
        <f t="shared" si="70"/>
        <v>0</v>
      </c>
      <c r="V54" s="187"/>
      <c r="W54" s="573">
        <f t="shared" si="71"/>
        <v>79975.014646490949</v>
      </c>
      <c r="X54" s="494"/>
      <c r="Y54" s="494">
        <f t="shared" si="72"/>
        <v>77777.060613841124</v>
      </c>
      <c r="Z54" s="187"/>
      <c r="AA54" s="494">
        <f t="shared" si="73"/>
        <v>0</v>
      </c>
      <c r="AB54" s="494"/>
      <c r="AC54" s="494">
        <f t="shared" si="74"/>
        <v>0</v>
      </c>
      <c r="AD54" s="494"/>
      <c r="AE54" s="494">
        <f t="shared" si="75"/>
        <v>0</v>
      </c>
      <c r="AF54" s="494"/>
      <c r="AG54" s="494">
        <f t="shared" si="76"/>
        <v>0</v>
      </c>
      <c r="AH54" s="494"/>
      <c r="AI54" s="494">
        <f t="shared" si="86"/>
        <v>77777.060613841124</v>
      </c>
      <c r="AJ54" s="494"/>
      <c r="AK54" s="532">
        <f t="shared" si="77"/>
        <v>77777.060613841124</v>
      </c>
      <c r="AL54" s="532"/>
      <c r="AM54" s="532"/>
      <c r="AN54" s="25"/>
      <c r="AO54" s="25">
        <f t="shared" si="81"/>
        <v>2022</v>
      </c>
      <c r="AQ54" s="18">
        <v>0</v>
      </c>
      <c r="AR54" s="18">
        <v>0</v>
      </c>
      <c r="AT54" s="366"/>
      <c r="AV54" s="18"/>
      <c r="AW54" s="25">
        <f t="shared" si="82"/>
        <v>2022</v>
      </c>
      <c r="AY54" s="18">
        <v>0</v>
      </c>
      <c r="AZ54" s="18">
        <v>0</v>
      </c>
      <c r="BE54" s="25">
        <f t="shared" si="83"/>
        <v>2022</v>
      </c>
      <c r="BG54" s="18">
        <v>0</v>
      </c>
      <c r="BH54" s="18">
        <v>0</v>
      </c>
      <c r="BM54" s="25">
        <f t="shared" si="84"/>
        <v>2022</v>
      </c>
      <c r="BU54" s="25">
        <f t="shared" si="79"/>
        <v>2022</v>
      </c>
      <c r="BW54" s="61"/>
    </row>
    <row r="55" spans="1:79">
      <c r="A55" s="6"/>
      <c r="C55" s="63"/>
      <c r="I55" s="63"/>
      <c r="K55" s="63"/>
      <c r="M55" s="63"/>
      <c r="O55" s="63"/>
      <c r="Q55" s="63"/>
      <c r="S55" s="63"/>
      <c r="U55" s="63"/>
      <c r="W55" s="63"/>
      <c r="Y55" s="63"/>
      <c r="AA55" s="63"/>
      <c r="AC55" s="63"/>
      <c r="AE55" s="63"/>
      <c r="AG55" s="63"/>
      <c r="AI55" s="63"/>
      <c r="AK55" s="63"/>
      <c r="AN55" s="25"/>
      <c r="AO55" s="25"/>
      <c r="AP55" s="70"/>
      <c r="AQ55" s="70"/>
      <c r="AR55" s="70"/>
      <c r="AS55" s="70"/>
      <c r="AT55" s="70"/>
      <c r="AU55" s="70"/>
      <c r="AW55" s="25"/>
      <c r="AX55" s="70"/>
      <c r="AY55" s="70"/>
      <c r="AZ55" s="70"/>
      <c r="BA55" s="70"/>
      <c r="BB55" s="70"/>
      <c r="BC55" s="70"/>
      <c r="BE55" s="25"/>
      <c r="BF55" s="70"/>
      <c r="BG55" s="70"/>
      <c r="BH55" s="70"/>
      <c r="BI55" s="70"/>
      <c r="BJ55" s="70"/>
      <c r="BK55" s="70"/>
      <c r="BM55" s="25"/>
      <c r="BU55" s="70"/>
      <c r="BV55" s="70"/>
      <c r="BW55" s="70"/>
    </row>
    <row r="56" spans="1:79">
      <c r="A56" s="2" t="s">
        <v>0</v>
      </c>
      <c r="C56" s="147">
        <f>SUM(C45:C55)</f>
        <v>676090.19878269988</v>
      </c>
      <c r="I56" s="147">
        <f>SUM(I45:I55)</f>
        <v>364692.47018407972</v>
      </c>
      <c r="J56" s="147"/>
      <c r="K56" s="147">
        <f>SUM(K45:K55)</f>
        <v>283636.98541207507</v>
      </c>
      <c r="L56" s="147"/>
      <c r="M56" s="147">
        <f>SUM(M45:M55)</f>
        <v>0</v>
      </c>
      <c r="N56" s="147"/>
      <c r="O56" s="147">
        <f>SUM(O45:O55)</f>
        <v>348781.71</v>
      </c>
      <c r="P56" s="147"/>
      <c r="Q56" s="147">
        <f>SUM(Q45:Q55)</f>
        <v>64105.960000000006</v>
      </c>
      <c r="R56" s="147"/>
      <c r="S56" s="147">
        <f>SUM(S45:S55)</f>
        <v>411241.83</v>
      </c>
      <c r="T56" s="147"/>
      <c r="U56" s="147">
        <f>SUM(U45:U55)</f>
        <v>64105.960000000006</v>
      </c>
      <c r="V56" s="147"/>
      <c r="W56" s="147">
        <f>SUM(W45:W55)</f>
        <v>777580.14018407965</v>
      </c>
      <c r="X56" s="147"/>
      <c r="Y56" s="147">
        <f>SUM(Y45:Y55)</f>
        <v>758984.77541207511</v>
      </c>
      <c r="Z56" s="147"/>
      <c r="AA56" s="147">
        <f>SUM(AA45:AA55)</f>
        <v>603133.96775888861</v>
      </c>
      <c r="AB56" s="147"/>
      <c r="AC56" s="147">
        <f>SUM(AC45:AC55)</f>
        <v>606710.54624998698</v>
      </c>
      <c r="AD56" s="147"/>
      <c r="AE56" s="147">
        <f>SUM(AE45:AE55)</f>
        <v>643159.43767662125</v>
      </c>
      <c r="AF56" s="147"/>
      <c r="AG56" s="147">
        <f>SUM(AG45:AG55)</f>
        <v>624312.87409817928</v>
      </c>
      <c r="AH56" s="147"/>
      <c r="AI56" s="147">
        <f>SUM(AI45:AI55)</f>
        <v>758984.77541207511</v>
      </c>
      <c r="AJ56" s="147"/>
      <c r="AK56" s="147">
        <f>SUM(AK45:AK55)</f>
        <v>346097.10541207501</v>
      </c>
      <c r="AL56" s="147"/>
      <c r="AM56" s="147"/>
      <c r="AN56" s="97"/>
      <c r="AO56" s="97" t="s">
        <v>0</v>
      </c>
      <c r="AP56" s="68">
        <f t="shared" ref="AP56:AU56" si="92">SUM(AP45:AP55)</f>
        <v>0</v>
      </c>
      <c r="AQ56" s="68">
        <f t="shared" si="92"/>
        <v>412887.67</v>
      </c>
      <c r="AR56" s="68">
        <f t="shared" si="92"/>
        <v>475347.79000000004</v>
      </c>
      <c r="AS56" s="68">
        <f t="shared" si="92"/>
        <v>395521.43</v>
      </c>
      <c r="AT56" s="68">
        <f t="shared" ref="AT56" si="93">SUM(AT45:AT55)</f>
        <v>469534.62</v>
      </c>
      <c r="AU56" s="68">
        <f t="shared" si="92"/>
        <v>5813.1700000000201</v>
      </c>
      <c r="AV56" s="68"/>
      <c r="AW56" s="97" t="s">
        <v>0</v>
      </c>
      <c r="AX56" s="68">
        <f t="shared" ref="AX56:BB56" si="94">SUM(AX45:AX55)</f>
        <v>0</v>
      </c>
      <c r="AY56" s="68">
        <f t="shared" si="94"/>
        <v>61608.460000000006</v>
      </c>
      <c r="AZ56" s="68">
        <f t="shared" si="94"/>
        <v>61608.460000000006</v>
      </c>
      <c r="BA56" s="68">
        <f t="shared" si="94"/>
        <v>0</v>
      </c>
      <c r="BB56" s="68">
        <f t="shared" si="94"/>
        <v>61608.460000000006</v>
      </c>
      <c r="BC56" s="95">
        <f t="shared" ref="BC56" si="95">M56+AZ56-BB56</f>
        <v>0</v>
      </c>
      <c r="BE56" s="97" t="s">
        <v>0</v>
      </c>
      <c r="BF56" s="68">
        <f t="shared" ref="BF56:BK56" si="96">SUM(BF45:BF55)</f>
        <v>0</v>
      </c>
      <c r="BG56" s="68">
        <f t="shared" si="96"/>
        <v>2497.5</v>
      </c>
      <c r="BH56" s="68">
        <f t="shared" si="96"/>
        <v>2497.5</v>
      </c>
      <c r="BI56" s="68">
        <f t="shared" si="96"/>
        <v>0</v>
      </c>
      <c r="BJ56" s="68">
        <f t="shared" si="96"/>
        <v>2497.5</v>
      </c>
      <c r="BK56" s="68">
        <f t="shared" si="96"/>
        <v>0</v>
      </c>
      <c r="BM56" s="97" t="s">
        <v>0</v>
      </c>
      <c r="BU56" s="61"/>
      <c r="BV56" s="122">
        <f>SUM(BV45:BV55)</f>
        <v>916867.27888397325</v>
      </c>
      <c r="BW56" s="122">
        <f>SUM(BW45:BW55)</f>
        <v>-268552.31137914193</v>
      </c>
    </row>
    <row r="57" spans="1:79">
      <c r="A57" s="6"/>
      <c r="H57" s="26"/>
      <c r="AD57" s="61"/>
      <c r="AE57" s="61"/>
      <c r="AK57" s="6"/>
      <c r="AL57" s="6"/>
      <c r="AM57" s="6"/>
      <c r="AN57" s="25"/>
      <c r="AO57" s="25"/>
      <c r="AW57" s="25"/>
      <c r="BC57" s="95"/>
      <c r="BE57" s="25"/>
      <c r="BM57" s="25"/>
      <c r="BV57" s="61"/>
      <c r="CA57" s="1" t="s">
        <v>1364</v>
      </c>
    </row>
    <row r="58" spans="1:79">
      <c r="A58" s="3" t="s">
        <v>297</v>
      </c>
      <c r="M58" s="1" t="s">
        <v>685</v>
      </c>
      <c r="O58" s="26">
        <f>O56+Q56-AQ56</f>
        <v>0</v>
      </c>
      <c r="S58" s="147">
        <f>S56+U56-AR56</f>
        <v>0</v>
      </c>
      <c r="AD58" s="61"/>
      <c r="AE58" s="61"/>
      <c r="AK58" s="3"/>
      <c r="AL58" s="3"/>
      <c r="AM58" s="3"/>
      <c r="AN58" s="115"/>
      <c r="AO58" s="115" t="s">
        <v>297</v>
      </c>
      <c r="AP58" s="26">
        <f t="shared" ref="AP58:AT59" si="97">AP16+AP30+AP44</f>
        <v>0</v>
      </c>
      <c r="AQ58" s="26">
        <f t="shared" si="97"/>
        <v>2700</v>
      </c>
      <c r="AR58" s="26">
        <f t="shared" si="97"/>
        <v>2700</v>
      </c>
      <c r="AS58" s="18">
        <f>AQ58</f>
        <v>2700</v>
      </c>
      <c r="AT58" s="18">
        <f>AR58</f>
        <v>2700</v>
      </c>
      <c r="AW58" s="115" t="s">
        <v>297</v>
      </c>
      <c r="BC58" s="95"/>
      <c r="BE58" s="115" t="s">
        <v>297</v>
      </c>
      <c r="BM58" s="115" t="s">
        <v>297</v>
      </c>
      <c r="BU58" s="25" t="s">
        <v>2</v>
      </c>
      <c r="BV58" s="68">
        <f>AT58</f>
        <v>2700</v>
      </c>
      <c r="BW58" s="69">
        <f t="shared" ref="BV58:BW59" si="98">BW16+BW30+BW44</f>
        <v>0</v>
      </c>
    </row>
    <row r="59" spans="1:79">
      <c r="A59" s="6">
        <v>2013</v>
      </c>
      <c r="C59" s="147">
        <f t="shared" ref="C59:C68" si="99">C17+C31+C45</f>
        <v>0</v>
      </c>
      <c r="D59" s="26"/>
      <c r="E59" s="26"/>
      <c r="I59" s="147">
        <f t="shared" ref="I59:I68" si="100">I17+I31+I45</f>
        <v>0</v>
      </c>
      <c r="J59" s="147"/>
      <c r="K59" s="147">
        <f t="shared" ref="K59:K68" si="101">K17+K31+K45</f>
        <v>0</v>
      </c>
      <c r="L59" s="147"/>
      <c r="M59" s="147">
        <f t="shared" ref="M59:M68" si="102">M17+M31+M45</f>
        <v>0</v>
      </c>
      <c r="N59" s="147"/>
      <c r="O59" s="147">
        <f t="shared" ref="O59:U59" si="103">O17+O31+O45</f>
        <v>1721</v>
      </c>
      <c r="P59" s="147"/>
      <c r="Q59" s="147">
        <f t="shared" si="103"/>
        <v>0</v>
      </c>
      <c r="R59" s="147"/>
      <c r="S59" s="147">
        <f t="shared" si="103"/>
        <v>1721</v>
      </c>
      <c r="T59" s="147"/>
      <c r="U59" s="147">
        <f t="shared" si="103"/>
        <v>0</v>
      </c>
      <c r="V59" s="147"/>
      <c r="W59" s="147">
        <f t="shared" ref="W59:W68" si="104">W17+W31+W45</f>
        <v>1721</v>
      </c>
      <c r="X59" s="147"/>
      <c r="Y59" s="147">
        <f t="shared" ref="Y59:Y68" si="105">Y17+Y31+Y45</f>
        <v>1721</v>
      </c>
      <c r="Z59" s="147"/>
      <c r="AA59" s="147">
        <f t="shared" ref="AA59:AA68" si="106">AA17+AA31+AA45</f>
        <v>1747.1555864366735</v>
      </c>
      <c r="AB59" s="147"/>
      <c r="AC59" s="147">
        <f t="shared" ref="AC59:AC68" si="107">AC17+AC45</f>
        <v>1724.2839743760812</v>
      </c>
      <c r="AD59" s="147"/>
      <c r="AE59" s="147">
        <f t="shared" ref="AE59:AE68" si="108">AE17+AE45</f>
        <v>1747.1555864366735</v>
      </c>
      <c r="AF59" s="147"/>
      <c r="AG59" s="147">
        <f t="shared" ref="AG59:AG67" si="109">AG17+AG45</f>
        <v>1724.2839743760812</v>
      </c>
      <c r="AH59" s="147"/>
      <c r="AI59" s="147">
        <f t="shared" ref="AI59:AI68" si="110">AI17+AI45</f>
        <v>1721</v>
      </c>
      <c r="AJ59" s="147"/>
      <c r="AK59" s="147">
        <f t="shared" ref="AK59:AK68" si="111">AK17+AK45</f>
        <v>0</v>
      </c>
      <c r="AL59" s="147"/>
      <c r="AM59" s="147"/>
      <c r="AN59" s="25"/>
      <c r="AO59" s="25">
        <f>A59</f>
        <v>2013</v>
      </c>
      <c r="AP59" s="17">
        <v>38585.950000000004</v>
      </c>
      <c r="AQ59" s="26">
        <f t="shared" si="97"/>
        <v>1721</v>
      </c>
      <c r="AR59" s="26">
        <f t="shared" si="97"/>
        <v>1721</v>
      </c>
      <c r="AS59" s="26">
        <f t="shared" si="97"/>
        <v>1721</v>
      </c>
      <c r="AT59" s="26">
        <f t="shared" si="97"/>
        <v>1721</v>
      </c>
      <c r="AU59" s="191">
        <f t="shared" ref="AU59" si="112">AU17+AU31+AU45</f>
        <v>0</v>
      </c>
      <c r="AV59" s="18"/>
      <c r="AW59" s="25">
        <f>AO59</f>
        <v>2013</v>
      </c>
      <c r="AX59" s="17">
        <f t="shared" ref="AX59:BB59" si="113">AX17+AX31+AX45</f>
        <v>0</v>
      </c>
      <c r="AY59" s="17">
        <f t="shared" si="113"/>
        <v>0</v>
      </c>
      <c r="AZ59" s="17">
        <f t="shared" si="113"/>
        <v>0</v>
      </c>
      <c r="BA59" s="17">
        <f t="shared" si="113"/>
        <v>0</v>
      </c>
      <c r="BB59" s="17">
        <f t="shared" si="113"/>
        <v>0</v>
      </c>
      <c r="BC59" s="132">
        <f>M59+AZ59-BB59</f>
        <v>0</v>
      </c>
      <c r="BD59" s="18"/>
      <c r="BE59" s="25">
        <f>AW59</f>
        <v>2013</v>
      </c>
      <c r="BF59" s="17">
        <f t="shared" ref="BF59:BJ59" si="114">BF17+BF31+BF45</f>
        <v>0</v>
      </c>
      <c r="BG59" s="17">
        <f t="shared" si="114"/>
        <v>0</v>
      </c>
      <c r="BH59" s="17">
        <f t="shared" si="114"/>
        <v>0</v>
      </c>
      <c r="BI59" s="17">
        <f t="shared" si="114"/>
        <v>0</v>
      </c>
      <c r="BJ59" s="17">
        <f t="shared" si="114"/>
        <v>0</v>
      </c>
      <c r="BK59" s="17">
        <f t="shared" ref="BK59" si="115">BK17+BK31+BK45</f>
        <v>0</v>
      </c>
      <c r="BM59" s="25">
        <f>BE59</f>
        <v>2013</v>
      </c>
      <c r="BN59" s="17">
        <f t="shared" ref="BN59:BS59" si="116">BN17+BN31+BN45</f>
        <v>0</v>
      </c>
      <c r="BO59" s="17">
        <f t="shared" si="116"/>
        <v>0</v>
      </c>
      <c r="BP59" s="17">
        <f t="shared" si="116"/>
        <v>0</v>
      </c>
      <c r="BQ59" s="17">
        <f t="shared" si="116"/>
        <v>0</v>
      </c>
      <c r="BR59" s="17">
        <f t="shared" si="116"/>
        <v>0</v>
      </c>
      <c r="BS59" s="17">
        <f t="shared" si="116"/>
        <v>0</v>
      </c>
      <c r="BU59" s="25">
        <f>BE59</f>
        <v>2013</v>
      </c>
      <c r="BV59" s="69">
        <f t="shared" si="98"/>
        <v>1721</v>
      </c>
      <c r="BW59" s="69">
        <f t="shared" si="98"/>
        <v>0</v>
      </c>
      <c r="CA59" s="18">
        <v>0</v>
      </c>
    </row>
    <row r="60" spans="1:79">
      <c r="A60" s="6">
        <f>A59+1</f>
        <v>2014</v>
      </c>
      <c r="C60" s="494">
        <f t="shared" si="99"/>
        <v>1149879.3001277719</v>
      </c>
      <c r="D60" s="18"/>
      <c r="E60" s="18"/>
      <c r="F60" s="26"/>
      <c r="I60" s="494">
        <f t="shared" si="100"/>
        <v>63832.840694812112</v>
      </c>
      <c r="J60" s="187"/>
      <c r="K60" s="494">
        <f t="shared" si="101"/>
        <v>21322.579972481915</v>
      </c>
      <c r="L60" s="187"/>
      <c r="M60" s="494">
        <f t="shared" si="102"/>
        <v>0</v>
      </c>
      <c r="N60" s="187"/>
      <c r="O60" s="494">
        <f t="shared" ref="O60:O68" si="117">O18+O32+O46</f>
        <v>60472.08</v>
      </c>
      <c r="P60" s="494"/>
      <c r="Q60" s="494">
        <f t="shared" ref="Q60:Q68" si="118">Q18+Q32+Q46</f>
        <v>0</v>
      </c>
      <c r="R60" s="494"/>
      <c r="S60" s="494">
        <f t="shared" ref="S60:S68" si="119">S18+S32+S46</f>
        <v>1100000</v>
      </c>
      <c r="T60" s="494"/>
      <c r="U60" s="494">
        <f t="shared" ref="U60:U68" si="120">U18+U32+U46</f>
        <v>0</v>
      </c>
      <c r="V60" s="187"/>
      <c r="W60" s="494">
        <f t="shared" si="104"/>
        <v>124304.92069481213</v>
      </c>
      <c r="X60" s="187"/>
      <c r="Y60" s="494">
        <f t="shared" si="105"/>
        <v>1121322.5799724818</v>
      </c>
      <c r="Z60" s="187"/>
      <c r="AA60" s="494">
        <f t="shared" si="106"/>
        <v>64075.641418541461</v>
      </c>
      <c r="AB60" s="187"/>
      <c r="AC60" s="494">
        <f t="shared" si="107"/>
        <v>1121132.3176245776</v>
      </c>
      <c r="AD60" s="187"/>
      <c r="AE60" s="494">
        <f t="shared" si="108"/>
        <v>64075.641418541461</v>
      </c>
      <c r="AF60" s="187"/>
      <c r="AG60" s="494">
        <f t="shared" si="109"/>
        <v>1121132.3176245776</v>
      </c>
      <c r="AH60" s="494"/>
      <c r="AI60" s="494">
        <f t="shared" si="110"/>
        <v>1121322.5799724818</v>
      </c>
      <c r="AJ60" s="187"/>
      <c r="AK60" s="494">
        <f t="shared" si="111"/>
        <v>1060850.4999724817</v>
      </c>
      <c r="AL60" s="494"/>
      <c r="AM60" s="494"/>
      <c r="AN60" s="25"/>
      <c r="AO60" s="25">
        <f>AO59+1</f>
        <v>2014</v>
      </c>
      <c r="AP60" s="17">
        <v>46751.11</v>
      </c>
      <c r="AQ60" s="17">
        <f t="shared" ref="AQ60:AU60" si="121">AQ18+AQ32+AQ46</f>
        <v>60472.08</v>
      </c>
      <c r="AR60" s="17">
        <f t="shared" si="121"/>
        <v>1100000</v>
      </c>
      <c r="AS60" s="17">
        <f t="shared" si="121"/>
        <v>57021.58</v>
      </c>
      <c r="AT60" s="17">
        <f t="shared" si="121"/>
        <v>174000</v>
      </c>
      <c r="AU60" s="17">
        <f t="shared" si="121"/>
        <v>926000</v>
      </c>
      <c r="AV60" s="17"/>
      <c r="AW60" s="25">
        <f>AW59+1</f>
        <v>2014</v>
      </c>
      <c r="AX60" s="17">
        <f t="shared" ref="AX60:BB67" si="122">AX18+AX32+AX46</f>
        <v>0</v>
      </c>
      <c r="AY60" s="17">
        <f t="shared" si="122"/>
        <v>0</v>
      </c>
      <c r="AZ60" s="17">
        <f t="shared" si="122"/>
        <v>0</v>
      </c>
      <c r="BA60" s="17">
        <f t="shared" si="122"/>
        <v>0</v>
      </c>
      <c r="BB60" s="17">
        <f t="shared" si="122"/>
        <v>0</v>
      </c>
      <c r="BC60" s="95">
        <f t="shared" ref="BC60:BC67" si="123">M60+AZ60-BB60</f>
        <v>0</v>
      </c>
      <c r="BD60" s="18"/>
      <c r="BE60" s="25">
        <f>BE59+1</f>
        <v>2014</v>
      </c>
      <c r="BF60" s="17">
        <f t="shared" ref="BF60:BJ60" si="124">BF18+BF32+BF46</f>
        <v>0</v>
      </c>
      <c r="BG60" s="17">
        <f t="shared" si="124"/>
        <v>0</v>
      </c>
      <c r="BH60" s="17">
        <f t="shared" si="124"/>
        <v>0</v>
      </c>
      <c r="BI60" s="17">
        <f t="shared" si="124"/>
        <v>0</v>
      </c>
      <c r="BJ60" s="17">
        <f t="shared" si="124"/>
        <v>0</v>
      </c>
      <c r="BK60" s="17">
        <f t="shared" ref="BK60" si="125">BK18+BK32+BK46</f>
        <v>0</v>
      </c>
      <c r="BM60" s="25">
        <f>BM59+1</f>
        <v>2014</v>
      </c>
      <c r="BN60" s="17">
        <f t="shared" ref="BN60:BS60" si="126">BN18+BN32+BN46</f>
        <v>0</v>
      </c>
      <c r="BO60" s="17">
        <f t="shared" si="126"/>
        <v>0</v>
      </c>
      <c r="BP60" s="17">
        <f t="shared" si="126"/>
        <v>0</v>
      </c>
      <c r="BQ60" s="17">
        <f t="shared" si="126"/>
        <v>0</v>
      </c>
      <c r="BR60" s="17">
        <f t="shared" si="126"/>
        <v>0</v>
      </c>
      <c r="BS60" s="17">
        <f t="shared" si="126"/>
        <v>0</v>
      </c>
      <c r="BU60" s="25">
        <f t="shared" ref="BU60:BU68" si="127">BU59+1</f>
        <v>2014</v>
      </c>
      <c r="BV60" s="69">
        <f t="shared" ref="BV60:BW60" si="128">BV18+BV32+BV46</f>
        <v>182148.68272903192</v>
      </c>
      <c r="BW60" s="69">
        <f t="shared" si="128"/>
        <v>939173.89724345005</v>
      </c>
      <c r="CA60" s="18">
        <v>177795.33125659949</v>
      </c>
    </row>
    <row r="61" spans="1:79">
      <c r="A61" s="6">
        <f t="shared" ref="A61:A68" si="129">A60+1</f>
        <v>2015</v>
      </c>
      <c r="C61" s="494">
        <f t="shared" si="99"/>
        <v>357171.44916075497</v>
      </c>
      <c r="D61" s="18"/>
      <c r="E61" s="18"/>
      <c r="I61" s="494">
        <f t="shared" si="100"/>
        <v>41272.060714097257</v>
      </c>
      <c r="J61" s="187"/>
      <c r="K61" s="494">
        <f t="shared" si="101"/>
        <v>15747.421801069384</v>
      </c>
      <c r="L61" s="187"/>
      <c r="M61" s="494">
        <f t="shared" si="102"/>
        <v>0</v>
      </c>
      <c r="N61" s="187"/>
      <c r="O61" s="494">
        <f t="shared" si="117"/>
        <v>359141.74</v>
      </c>
      <c r="P61" s="494"/>
      <c r="Q61" s="494">
        <f t="shared" si="118"/>
        <v>0</v>
      </c>
      <c r="R61" s="494"/>
      <c r="S61" s="494">
        <f t="shared" si="119"/>
        <v>396555.74</v>
      </c>
      <c r="T61" s="494"/>
      <c r="U61" s="494">
        <f t="shared" si="120"/>
        <v>0</v>
      </c>
      <c r="V61" s="187"/>
      <c r="W61" s="494">
        <f t="shared" si="104"/>
        <v>400413.80071409728</v>
      </c>
      <c r="X61" s="187"/>
      <c r="Y61" s="494">
        <f t="shared" si="105"/>
        <v>412303.16180106939</v>
      </c>
      <c r="Z61" s="187"/>
      <c r="AA61" s="494">
        <f t="shared" si="106"/>
        <v>404099.65831264044</v>
      </c>
      <c r="AB61" s="187"/>
      <c r="AC61" s="494">
        <f t="shared" si="107"/>
        <v>413362.30803988944</v>
      </c>
      <c r="AD61" s="187"/>
      <c r="AE61" s="494">
        <f t="shared" si="108"/>
        <v>404099.65831264044</v>
      </c>
      <c r="AF61" s="187"/>
      <c r="AG61" s="494">
        <f t="shared" si="109"/>
        <v>413362.30803988944</v>
      </c>
      <c r="AH61" s="494"/>
      <c r="AI61" s="494">
        <f t="shared" si="110"/>
        <v>412303.16180106939</v>
      </c>
      <c r="AJ61" s="187"/>
      <c r="AK61" s="494">
        <f t="shared" si="111"/>
        <v>53161.421801069388</v>
      </c>
      <c r="AL61" s="494"/>
      <c r="AM61" s="494"/>
      <c r="AN61" s="25"/>
      <c r="AO61" s="25">
        <f t="shared" ref="AO61:AO68" si="130">AO60+1</f>
        <v>2015</v>
      </c>
      <c r="AP61" s="17">
        <v>233663.86</v>
      </c>
      <c r="AQ61" s="17">
        <f t="shared" ref="AQ61:AU61" si="131">AQ19+AQ33+AQ47</f>
        <v>359141.74</v>
      </c>
      <c r="AR61" s="17">
        <f t="shared" si="131"/>
        <v>396555.74</v>
      </c>
      <c r="AS61" s="17">
        <f t="shared" si="131"/>
        <v>343940.74</v>
      </c>
      <c r="AT61" s="17">
        <f t="shared" si="131"/>
        <v>386430.74</v>
      </c>
      <c r="AU61" s="17">
        <f t="shared" si="131"/>
        <v>10125</v>
      </c>
      <c r="AV61" s="17"/>
      <c r="AW61" s="25">
        <f t="shared" ref="AW61:AW67" si="132">AW60+1</f>
        <v>2015</v>
      </c>
      <c r="AX61" s="17">
        <f t="shared" si="122"/>
        <v>0</v>
      </c>
      <c r="AY61" s="17">
        <f t="shared" si="122"/>
        <v>0</v>
      </c>
      <c r="AZ61" s="17">
        <f t="shared" si="122"/>
        <v>0</v>
      </c>
      <c r="BA61" s="17">
        <f t="shared" si="122"/>
        <v>0</v>
      </c>
      <c r="BB61" s="17">
        <f t="shared" si="122"/>
        <v>0</v>
      </c>
      <c r="BC61" s="95">
        <f t="shared" si="123"/>
        <v>0</v>
      </c>
      <c r="BD61" s="18"/>
      <c r="BE61" s="25">
        <f t="shared" ref="BE61:BE68" si="133">BE60+1</f>
        <v>2015</v>
      </c>
      <c r="BF61" s="17">
        <f t="shared" ref="BF61:BJ61" si="134">BF19+BF33+BF47</f>
        <v>0</v>
      </c>
      <c r="BG61" s="17">
        <f t="shared" si="134"/>
        <v>0</v>
      </c>
      <c r="BH61" s="17">
        <f t="shared" si="134"/>
        <v>0</v>
      </c>
      <c r="BI61" s="17">
        <f t="shared" si="134"/>
        <v>0</v>
      </c>
      <c r="BJ61" s="17">
        <f t="shared" si="134"/>
        <v>0</v>
      </c>
      <c r="BK61" s="17">
        <f t="shared" ref="BK61" si="135">BK19+BK33+BK47</f>
        <v>0</v>
      </c>
      <c r="BM61" s="25">
        <f t="shared" ref="BM61:BM68" si="136">BM60+1</f>
        <v>2015</v>
      </c>
      <c r="BN61" s="17">
        <f t="shared" ref="BN61:BS61" si="137">BN19+BN33+BN47</f>
        <v>0</v>
      </c>
      <c r="BO61" s="17">
        <f t="shared" si="137"/>
        <v>0</v>
      </c>
      <c r="BP61" s="17">
        <f t="shared" si="137"/>
        <v>0</v>
      </c>
      <c r="BQ61" s="17">
        <f t="shared" si="137"/>
        <v>0</v>
      </c>
      <c r="BR61" s="17">
        <f t="shared" si="137"/>
        <v>0</v>
      </c>
      <c r="BS61" s="17">
        <f t="shared" si="137"/>
        <v>0</v>
      </c>
      <c r="BU61" s="25">
        <f t="shared" si="127"/>
        <v>2015</v>
      </c>
      <c r="BV61" s="69">
        <f t="shared" ref="BV61:BW61" si="138">BV19+BV33+BV47</f>
        <v>420050.01190050301</v>
      </c>
      <c r="BW61" s="69">
        <f t="shared" si="138"/>
        <v>-7746.8500994336355</v>
      </c>
      <c r="CA61" s="18">
        <v>454546.03455427708</v>
      </c>
    </row>
    <row r="62" spans="1:79">
      <c r="A62" s="6">
        <f t="shared" si="129"/>
        <v>2016</v>
      </c>
      <c r="C62" s="494">
        <f t="shared" si="99"/>
        <v>1464455.7260209841</v>
      </c>
      <c r="D62" s="18"/>
      <c r="E62" s="18"/>
      <c r="I62" s="494">
        <f t="shared" si="100"/>
        <v>315915.40285971854</v>
      </c>
      <c r="J62" s="187"/>
      <c r="K62" s="494">
        <f t="shared" si="101"/>
        <v>136371.14608517816</v>
      </c>
      <c r="L62" s="187"/>
      <c r="M62" s="494">
        <f t="shared" si="102"/>
        <v>0</v>
      </c>
      <c r="N62" s="187"/>
      <c r="O62" s="494">
        <f t="shared" si="117"/>
        <v>774224.77000000095</v>
      </c>
      <c r="P62" s="494"/>
      <c r="Q62" s="494">
        <f t="shared" si="118"/>
        <v>11118273.209999999</v>
      </c>
      <c r="R62" s="494"/>
      <c r="S62" s="494">
        <f t="shared" si="119"/>
        <v>1300839.3600000008</v>
      </c>
      <c r="T62" s="494"/>
      <c r="U62" s="494">
        <f t="shared" si="120"/>
        <v>11118273.209999999</v>
      </c>
      <c r="V62" s="187"/>
      <c r="W62" s="494">
        <f t="shared" si="104"/>
        <v>12208413.38285972</v>
      </c>
      <c r="X62" s="187"/>
      <c r="Y62" s="494">
        <f t="shared" si="105"/>
        <v>12555483.716085177</v>
      </c>
      <c r="Z62" s="187"/>
      <c r="AA62" s="494">
        <f t="shared" si="106"/>
        <v>12107516.122307023</v>
      </c>
      <c r="AB62" s="187"/>
      <c r="AC62" s="494">
        <f t="shared" si="107"/>
        <v>12554207.781297019</v>
      </c>
      <c r="AD62" s="187"/>
      <c r="AE62" s="494">
        <f t="shared" si="108"/>
        <v>15209578.574687984</v>
      </c>
      <c r="AF62" s="187"/>
      <c r="AG62" s="494">
        <f t="shared" si="109"/>
        <v>13711880.904763252</v>
      </c>
      <c r="AH62" s="494"/>
      <c r="AI62" s="494">
        <f t="shared" si="110"/>
        <v>12555483.716085177</v>
      </c>
      <c r="AJ62" s="187"/>
      <c r="AK62" s="494">
        <f t="shared" si="111"/>
        <v>662985.73608517775</v>
      </c>
      <c r="AL62" s="494"/>
      <c r="AM62" s="494"/>
      <c r="AN62" s="25"/>
      <c r="AO62" s="25">
        <f t="shared" si="130"/>
        <v>2016</v>
      </c>
      <c r="AP62" s="17">
        <v>1519405.8900000046</v>
      </c>
      <c r="AQ62" s="17">
        <f>AQ20+AQ34+AQ48</f>
        <v>11892497.98</v>
      </c>
      <c r="AR62" s="17">
        <f t="shared" ref="AR62:AU62" si="139">AR20+AR34+AR48</f>
        <v>12419112.57</v>
      </c>
      <c r="AS62" s="17">
        <f t="shared" si="139"/>
        <v>10491209.669999998</v>
      </c>
      <c r="AT62" s="17">
        <f t="shared" si="139"/>
        <v>11889817.349999998</v>
      </c>
      <c r="AU62" s="17">
        <f t="shared" si="139"/>
        <v>529295.22000000253</v>
      </c>
      <c r="AV62" s="17"/>
      <c r="AW62" s="25">
        <f t="shared" si="132"/>
        <v>2016</v>
      </c>
      <c r="AX62" s="17">
        <f t="shared" si="122"/>
        <v>209639.63999999961</v>
      </c>
      <c r="AY62" s="17">
        <f t="shared" si="122"/>
        <v>5235254.2</v>
      </c>
      <c r="AZ62" s="17">
        <f t="shared" si="122"/>
        <v>5235254.2</v>
      </c>
      <c r="BA62" s="17">
        <f t="shared" si="122"/>
        <v>0</v>
      </c>
      <c r="BB62" s="17">
        <f t="shared" si="122"/>
        <v>6161245.7999999989</v>
      </c>
      <c r="BC62" s="95">
        <f t="shared" si="123"/>
        <v>-925991.5999999987</v>
      </c>
      <c r="BD62" s="18"/>
      <c r="BE62" s="25">
        <f t="shared" si="133"/>
        <v>2016</v>
      </c>
      <c r="BF62" s="17">
        <f t="shared" ref="BF62:BJ62" si="140">BF20+BF34+BF48</f>
        <v>151633.47</v>
      </c>
      <c r="BG62" s="17">
        <f t="shared" si="140"/>
        <v>5883019.0099999998</v>
      </c>
      <c r="BH62" s="17">
        <f t="shared" si="140"/>
        <v>5883019.0099999998</v>
      </c>
      <c r="BI62" s="17">
        <f t="shared" si="140"/>
        <v>1251000</v>
      </c>
      <c r="BJ62" s="17">
        <f t="shared" si="140"/>
        <v>5874246.3700000001</v>
      </c>
      <c r="BK62" s="17">
        <f t="shared" ref="BK62" si="141">BK20+BK34+BK48</f>
        <v>8772.6399999996647</v>
      </c>
      <c r="BM62" s="25">
        <f t="shared" si="136"/>
        <v>2016</v>
      </c>
      <c r="BN62" s="17">
        <f t="shared" ref="BN62:BS62" si="142">BN20+BN34+BN48</f>
        <v>0</v>
      </c>
      <c r="BO62" s="17">
        <f t="shared" si="142"/>
        <v>0</v>
      </c>
      <c r="BP62" s="17">
        <f t="shared" si="142"/>
        <v>0</v>
      </c>
      <c r="BQ62" s="17">
        <f t="shared" si="142"/>
        <v>0</v>
      </c>
      <c r="BR62" s="17">
        <f t="shared" si="142"/>
        <v>0</v>
      </c>
      <c r="BS62" s="17">
        <f t="shared" si="142"/>
        <v>0</v>
      </c>
      <c r="BU62" s="25">
        <f t="shared" si="127"/>
        <v>2016</v>
      </c>
      <c r="BV62" s="69">
        <f t="shared" ref="BV62:BW62" si="143">BV20+BV34+BV48</f>
        <v>12981648.014026549</v>
      </c>
      <c r="BW62" s="69">
        <f t="shared" si="143"/>
        <v>-426164.29794137058</v>
      </c>
      <c r="CA62" s="18">
        <v>12327324.099712836</v>
      </c>
    </row>
    <row r="63" spans="1:79">
      <c r="A63" s="6">
        <f t="shared" si="129"/>
        <v>2017</v>
      </c>
      <c r="C63" s="494">
        <f t="shared" si="99"/>
        <v>1551524.5487322772</v>
      </c>
      <c r="D63" s="18"/>
      <c r="E63" s="18"/>
      <c r="I63" s="494">
        <f t="shared" si="100"/>
        <v>553300.51387635071</v>
      </c>
      <c r="J63" s="187"/>
      <c r="K63" s="494">
        <f t="shared" si="101"/>
        <v>283515.82281126594</v>
      </c>
      <c r="L63" s="187"/>
      <c r="M63" s="494">
        <f t="shared" si="102"/>
        <v>-301749.95</v>
      </c>
      <c r="N63" s="187"/>
      <c r="O63" s="494">
        <f t="shared" si="117"/>
        <v>592893.30000000028</v>
      </c>
      <c r="P63" s="494"/>
      <c r="Q63" s="494">
        <f t="shared" si="118"/>
        <v>6068968.3999999994</v>
      </c>
      <c r="R63" s="494"/>
      <c r="S63" s="494">
        <f t="shared" si="119"/>
        <v>1472181.27</v>
      </c>
      <c r="T63" s="494"/>
      <c r="U63" s="494">
        <f t="shared" si="120"/>
        <v>7047148.8399999999</v>
      </c>
      <c r="V63" s="187"/>
      <c r="W63" s="494">
        <f t="shared" si="104"/>
        <v>7891592.7038763519</v>
      </c>
      <c r="X63" s="187"/>
      <c r="Y63" s="494">
        <f t="shared" si="105"/>
        <v>8501095.9828112666</v>
      </c>
      <c r="Z63" s="187"/>
      <c r="AA63" s="494">
        <f t="shared" si="106"/>
        <v>7606058.5234456006</v>
      </c>
      <c r="AB63" s="187"/>
      <c r="AC63" s="494">
        <f t="shared" si="107"/>
        <v>8522369.3584705144</v>
      </c>
      <c r="AD63" s="187"/>
      <c r="AE63" s="494">
        <f t="shared" si="108"/>
        <v>10342378.039223159</v>
      </c>
      <c r="AF63" s="187"/>
      <c r="AG63" s="494">
        <f t="shared" si="109"/>
        <v>10422263.659857346</v>
      </c>
      <c r="AH63" s="494"/>
      <c r="AI63" s="494">
        <f t="shared" si="110"/>
        <v>8501095.9828112647</v>
      </c>
      <c r="AJ63" s="187"/>
      <c r="AK63" s="494">
        <f t="shared" si="111"/>
        <v>1839234.282811265</v>
      </c>
      <c r="AL63" s="494"/>
      <c r="AM63" s="494"/>
      <c r="AN63" s="25"/>
      <c r="AO63" s="25">
        <f t="shared" si="130"/>
        <v>2017</v>
      </c>
      <c r="AP63" s="17">
        <v>4287862.9699999793</v>
      </c>
      <c r="AQ63" s="17">
        <f t="shared" ref="AQ63:AU63" si="144">AQ21+AQ35+AQ49</f>
        <v>6661861.7000000002</v>
      </c>
      <c r="AR63" s="17">
        <f t="shared" si="144"/>
        <v>8519330.1099999994</v>
      </c>
      <c r="AS63" s="17">
        <f t="shared" si="144"/>
        <v>6530930.6399999997</v>
      </c>
      <c r="AT63" s="17">
        <f t="shared" si="144"/>
        <v>7016555.5999999996</v>
      </c>
      <c r="AU63" s="17">
        <f t="shared" si="144"/>
        <v>1502774.5100000005</v>
      </c>
      <c r="AV63" s="17"/>
      <c r="AW63" s="25">
        <f t="shared" si="132"/>
        <v>2017</v>
      </c>
      <c r="AX63" s="17">
        <f t="shared" si="122"/>
        <v>2491508.9200000018</v>
      </c>
      <c r="AY63" s="17">
        <f t="shared" si="122"/>
        <v>6068968.3999999994</v>
      </c>
      <c r="AZ63" s="17">
        <f t="shared" si="122"/>
        <v>7047148.8399999999</v>
      </c>
      <c r="BA63" s="17">
        <f t="shared" si="122"/>
        <v>0</v>
      </c>
      <c r="BB63" s="17">
        <f t="shared" si="122"/>
        <v>7427972.9500000002</v>
      </c>
      <c r="BC63" s="95">
        <f t="shared" si="123"/>
        <v>-682574.06000000052</v>
      </c>
      <c r="BD63" s="18"/>
      <c r="BE63" s="25">
        <f t="shared" si="133"/>
        <v>2017</v>
      </c>
      <c r="BF63" s="17">
        <f t="shared" ref="BF63:BJ63" si="145">BF21+BF35+BF49</f>
        <v>232564.89000000007</v>
      </c>
      <c r="BG63" s="17">
        <f t="shared" si="145"/>
        <v>0</v>
      </c>
      <c r="BH63" s="17">
        <f t="shared" si="145"/>
        <v>0</v>
      </c>
      <c r="BI63" s="17">
        <f t="shared" si="145"/>
        <v>0</v>
      </c>
      <c r="BJ63" s="17">
        <f t="shared" si="145"/>
        <v>0</v>
      </c>
      <c r="BK63" s="17">
        <f t="shared" ref="BK63" si="146">BK21+BK35+BK49</f>
        <v>0</v>
      </c>
      <c r="BM63" s="25">
        <f t="shared" si="136"/>
        <v>2017</v>
      </c>
      <c r="BN63" s="17">
        <f t="shared" ref="BN63:BS63" si="147">BN21+BN35+BN49</f>
        <v>0</v>
      </c>
      <c r="BO63" s="17">
        <f t="shared" si="147"/>
        <v>0</v>
      </c>
      <c r="BP63" s="17">
        <f t="shared" si="147"/>
        <v>0</v>
      </c>
      <c r="BQ63" s="17">
        <f t="shared" si="147"/>
        <v>0</v>
      </c>
      <c r="BR63" s="17">
        <f t="shared" si="147"/>
        <v>0</v>
      </c>
      <c r="BS63" s="17">
        <f t="shared" si="147"/>
        <v>0</v>
      </c>
      <c r="BU63" s="25">
        <f t="shared" si="127"/>
        <v>2017</v>
      </c>
      <c r="BV63" s="69">
        <f t="shared" ref="BV63:BW63" si="148">BV21+BV35+BV49</f>
        <v>9287108.3883028012</v>
      </c>
      <c r="BW63" s="69">
        <f t="shared" si="148"/>
        <v>-786012.4054915352</v>
      </c>
      <c r="CA63" s="18">
        <v>8795297.9269156009</v>
      </c>
    </row>
    <row r="64" spans="1:79">
      <c r="A64" s="6">
        <f t="shared" si="129"/>
        <v>2018</v>
      </c>
      <c r="C64" s="494">
        <f t="shared" si="99"/>
        <v>7069836.7384615391</v>
      </c>
      <c r="D64" s="18"/>
      <c r="E64" s="18"/>
      <c r="I64" s="494">
        <f t="shared" si="100"/>
        <v>3699753.2134641167</v>
      </c>
      <c r="J64" s="187"/>
      <c r="K64" s="494">
        <f t="shared" si="101"/>
        <v>2388936.579094083</v>
      </c>
      <c r="L64" s="187"/>
      <c r="M64" s="494">
        <f t="shared" si="102"/>
        <v>4795644.8154128762</v>
      </c>
      <c r="N64" s="187"/>
      <c r="O64" s="494">
        <f t="shared" si="117"/>
        <v>1330047.8599999994</v>
      </c>
      <c r="P64" s="494"/>
      <c r="Q64" s="494">
        <f t="shared" si="118"/>
        <v>5679302.2100000009</v>
      </c>
      <c r="R64" s="494"/>
      <c r="S64" s="494">
        <f t="shared" si="119"/>
        <v>4907068.82</v>
      </c>
      <c r="T64" s="494"/>
      <c r="U64" s="494">
        <f t="shared" si="120"/>
        <v>6273149.2899999991</v>
      </c>
      <c r="V64" s="187"/>
      <c r="W64" s="494">
        <f t="shared" si="104"/>
        <v>16098595.17887699</v>
      </c>
      <c r="X64" s="187"/>
      <c r="Y64" s="494">
        <f t="shared" si="105"/>
        <v>18364799.504506961</v>
      </c>
      <c r="Z64" s="187"/>
      <c r="AA64" s="494">
        <f t="shared" si="106"/>
        <v>13875964.925891947</v>
      </c>
      <c r="AB64" s="187"/>
      <c r="AC64" s="494">
        <f t="shared" si="107"/>
        <v>18520288.944040429</v>
      </c>
      <c r="AD64" s="187"/>
      <c r="AE64" s="494">
        <f t="shared" si="108"/>
        <v>14818868.465142863</v>
      </c>
      <c r="AF64" s="187"/>
      <c r="AG64" s="494">
        <f t="shared" si="109"/>
        <v>16978437.171930727</v>
      </c>
      <c r="AH64" s="494"/>
      <c r="AI64" s="494">
        <f t="shared" si="110"/>
        <v>18364799.504506961</v>
      </c>
      <c r="AJ64" s="187"/>
      <c r="AK64" s="494">
        <f t="shared" si="111"/>
        <v>11355449.434506958</v>
      </c>
      <c r="AL64" s="494"/>
      <c r="AM64" s="494"/>
      <c r="AN64" s="25"/>
      <c r="AO64" s="25">
        <f t="shared" si="130"/>
        <v>2018</v>
      </c>
      <c r="AP64" s="17">
        <v>3938984.8300000061</v>
      </c>
      <c r="AQ64" s="17">
        <f t="shared" ref="AQ64:AU64" si="149">AQ22+AQ36+AQ50</f>
        <v>7009350.0700000003</v>
      </c>
      <c r="AR64" s="17">
        <f t="shared" si="149"/>
        <v>11180218.109999999</v>
      </c>
      <c r="AS64" s="17">
        <f t="shared" si="149"/>
        <v>5628389.5600000005</v>
      </c>
      <c r="AT64" s="17">
        <f t="shared" si="149"/>
        <v>6356563.9399999995</v>
      </c>
      <c r="AU64" s="17">
        <f t="shared" si="149"/>
        <v>4823654.17</v>
      </c>
      <c r="AV64" s="17"/>
      <c r="AW64" s="25">
        <f t="shared" si="132"/>
        <v>2018</v>
      </c>
      <c r="AX64" s="17">
        <f t="shared" si="122"/>
        <v>2628323.6899999985</v>
      </c>
      <c r="AY64" s="17">
        <f t="shared" si="122"/>
        <v>2808793.21</v>
      </c>
      <c r="AZ64" s="17">
        <f t="shared" si="122"/>
        <v>3402640.2899999986</v>
      </c>
      <c r="BA64" s="17">
        <f t="shared" si="122"/>
        <v>0</v>
      </c>
      <c r="BB64" s="17">
        <f t="shared" si="122"/>
        <v>7513918.2829411775</v>
      </c>
      <c r="BC64" s="95">
        <f t="shared" si="123"/>
        <v>684366.82247169688</v>
      </c>
      <c r="BD64" s="18"/>
      <c r="BE64" s="25">
        <f t="shared" si="133"/>
        <v>2018</v>
      </c>
      <c r="BF64" s="17">
        <f t="shared" ref="BF64:BJ64" si="150">BF22+BF36+BF50</f>
        <v>4084.08</v>
      </c>
      <c r="BG64" s="17">
        <f t="shared" si="150"/>
        <v>0</v>
      </c>
      <c r="BH64" s="17">
        <f t="shared" si="150"/>
        <v>0</v>
      </c>
      <c r="BI64" s="17">
        <f t="shared" si="150"/>
        <v>0</v>
      </c>
      <c r="BJ64" s="17">
        <f t="shared" si="150"/>
        <v>0</v>
      </c>
      <c r="BK64" s="17">
        <f t="shared" ref="BK64" si="151">BK22+BK36+BK50</f>
        <v>0</v>
      </c>
      <c r="BM64" s="25">
        <f t="shared" si="136"/>
        <v>2018</v>
      </c>
      <c r="BN64" s="17">
        <f t="shared" ref="BN64:BS64" si="152">BN22+BN36+BN50</f>
        <v>572642.32000000007</v>
      </c>
      <c r="BO64" s="17">
        <f t="shared" si="152"/>
        <v>2870509</v>
      </c>
      <c r="BP64" s="17">
        <f t="shared" si="152"/>
        <v>2870509</v>
      </c>
      <c r="BQ64" s="17">
        <f t="shared" si="152"/>
        <v>0</v>
      </c>
      <c r="BR64" s="17">
        <f t="shared" si="152"/>
        <v>2856530.57</v>
      </c>
      <c r="BS64" s="17">
        <f t="shared" si="152"/>
        <v>13978.430000000168</v>
      </c>
      <c r="BU64" s="25">
        <f t="shared" si="127"/>
        <v>2018</v>
      </c>
      <c r="BV64" s="69">
        <f t="shared" ref="BV64:BW64" si="153">BV22+BV36+BV50</f>
        <v>13336926.271990387</v>
      </c>
      <c r="BW64" s="69">
        <f t="shared" si="153"/>
        <v>5027873.2325165709</v>
      </c>
      <c r="CA64" s="18">
        <v>7594521.8290966554</v>
      </c>
    </row>
    <row r="65" spans="1:79">
      <c r="A65" s="6">
        <f t="shared" si="129"/>
        <v>2019</v>
      </c>
      <c r="C65" s="494">
        <f t="shared" si="99"/>
        <v>4211889.1383479275</v>
      </c>
      <c r="D65" s="18"/>
      <c r="E65" s="18"/>
      <c r="I65" s="494">
        <f t="shared" si="100"/>
        <v>2900908.5355312559</v>
      </c>
      <c r="J65" s="187"/>
      <c r="K65" s="494">
        <f t="shared" si="101"/>
        <v>2309597.9596296842</v>
      </c>
      <c r="L65" s="187"/>
      <c r="M65" s="494">
        <f t="shared" si="102"/>
        <v>5818349.6500000004</v>
      </c>
      <c r="N65" s="187"/>
      <c r="O65" s="494">
        <f t="shared" si="117"/>
        <v>1530096.9700000002</v>
      </c>
      <c r="P65" s="494"/>
      <c r="Q65" s="494">
        <f t="shared" si="118"/>
        <v>4675423.05</v>
      </c>
      <c r="R65" s="494"/>
      <c r="S65" s="494">
        <f t="shared" si="119"/>
        <v>1782103.6099999999</v>
      </c>
      <c r="T65" s="494"/>
      <c r="U65" s="494">
        <f t="shared" si="120"/>
        <v>5259112.9000000004</v>
      </c>
      <c r="V65" s="187"/>
      <c r="W65" s="494">
        <f t="shared" si="104"/>
        <v>15508468.055531256</v>
      </c>
      <c r="X65" s="187"/>
      <c r="Y65" s="494">
        <f t="shared" si="105"/>
        <v>15169164.119629685</v>
      </c>
      <c r="Z65" s="187"/>
      <c r="AA65" s="494">
        <f t="shared" si="106"/>
        <v>16046631.874327587</v>
      </c>
      <c r="AB65" s="187"/>
      <c r="AC65" s="494">
        <f t="shared" si="107"/>
        <v>15061913.533646561</v>
      </c>
      <c r="AD65" s="187"/>
      <c r="AE65" s="494">
        <f t="shared" si="108"/>
        <v>20165210.74984384</v>
      </c>
      <c r="AF65" s="187"/>
      <c r="AG65" s="494">
        <f t="shared" si="109"/>
        <v>15749622.414047925</v>
      </c>
      <c r="AH65" s="494"/>
      <c r="AI65" s="494">
        <f t="shared" si="110"/>
        <v>15169164.119629685</v>
      </c>
      <c r="AJ65" s="187"/>
      <c r="AK65" s="494">
        <f t="shared" si="111"/>
        <v>8963644.0996296853</v>
      </c>
      <c r="AL65" s="494"/>
      <c r="AM65" s="494"/>
      <c r="AN65" s="25"/>
      <c r="AO65" s="25">
        <f t="shared" si="130"/>
        <v>2019</v>
      </c>
      <c r="AP65" s="17">
        <v>3941354.6599999946</v>
      </c>
      <c r="AQ65" s="17">
        <f t="shared" ref="AQ65:AU65" si="154">AQ23+AQ37+AQ51</f>
        <v>6205520.0199999996</v>
      </c>
      <c r="AR65" s="17">
        <f t="shared" si="154"/>
        <v>7041216.5099999998</v>
      </c>
      <c r="AS65" s="17">
        <f t="shared" si="154"/>
        <v>2927762.03</v>
      </c>
      <c r="AT65" s="17">
        <f t="shared" si="154"/>
        <v>5283263.83</v>
      </c>
      <c r="AU65" s="17">
        <f t="shared" si="154"/>
        <v>1757952.68</v>
      </c>
      <c r="AV65" s="17"/>
      <c r="AW65" s="25">
        <f t="shared" si="132"/>
        <v>2019</v>
      </c>
      <c r="AX65" s="17">
        <f t="shared" si="122"/>
        <v>2629611.9500000002</v>
      </c>
      <c r="AY65" s="17">
        <f t="shared" si="122"/>
        <v>4675423.05</v>
      </c>
      <c r="AZ65" s="17">
        <f t="shared" si="122"/>
        <v>5259112.9000000004</v>
      </c>
      <c r="BA65" s="17">
        <f t="shared" si="122"/>
        <v>0</v>
      </c>
      <c r="BB65" s="17">
        <f t="shared" si="122"/>
        <v>12178626.43</v>
      </c>
      <c r="BC65" s="95">
        <f t="shared" si="123"/>
        <v>-1101163.879999999</v>
      </c>
      <c r="BD65" s="18"/>
      <c r="BE65" s="25">
        <f t="shared" si="133"/>
        <v>2019</v>
      </c>
      <c r="BF65" s="17">
        <f t="shared" ref="BF65:BJ65" si="155">BF23+BF37+BF51</f>
        <v>0</v>
      </c>
      <c r="BG65" s="17">
        <f t="shared" si="155"/>
        <v>0</v>
      </c>
      <c r="BH65" s="17">
        <f t="shared" si="155"/>
        <v>0</v>
      </c>
      <c r="BI65" s="17">
        <f t="shared" si="155"/>
        <v>0</v>
      </c>
      <c r="BJ65" s="17">
        <f t="shared" si="155"/>
        <v>0</v>
      </c>
      <c r="BK65" s="17">
        <f t="shared" ref="BK65" si="156">BK23+BK37+BK51</f>
        <v>0</v>
      </c>
      <c r="BM65" s="25">
        <f t="shared" si="136"/>
        <v>2019</v>
      </c>
      <c r="BN65" s="17">
        <f t="shared" ref="BN65:BS65" si="157">BN23+BN37+BN51</f>
        <v>0</v>
      </c>
      <c r="BO65" s="17">
        <f t="shared" si="157"/>
        <v>0</v>
      </c>
      <c r="BP65" s="17">
        <f t="shared" si="157"/>
        <v>0</v>
      </c>
      <c r="BQ65" s="17">
        <f t="shared" si="157"/>
        <v>0</v>
      </c>
      <c r="BR65" s="17">
        <f t="shared" si="157"/>
        <v>0</v>
      </c>
      <c r="BS65" s="17">
        <f t="shared" si="157"/>
        <v>0</v>
      </c>
      <c r="BU65" s="25">
        <f t="shared" si="127"/>
        <v>2019</v>
      </c>
      <c r="BV65" s="69">
        <f t="shared" ref="BV65:BW65" si="158">BV23+BV37+BV51</f>
        <v>16958247.921044309</v>
      </c>
      <c r="BW65" s="69">
        <f t="shared" si="158"/>
        <v>-1789083.8014146241</v>
      </c>
      <c r="CA65" s="18">
        <v>7094514.9978845539</v>
      </c>
    </row>
    <row r="66" spans="1:79">
      <c r="A66" s="6">
        <f t="shared" si="129"/>
        <v>2020</v>
      </c>
      <c r="C66" s="494">
        <f t="shared" si="99"/>
        <v>3336008.3395454283</v>
      </c>
      <c r="D66" s="18"/>
      <c r="E66" s="18"/>
      <c r="I66" s="494">
        <f t="shared" si="100"/>
        <v>2774071.2060167459</v>
      </c>
      <c r="J66" s="187"/>
      <c r="K66" s="494">
        <f t="shared" si="101"/>
        <v>2520197.8469968764</v>
      </c>
      <c r="L66" s="187"/>
      <c r="M66" s="494">
        <f t="shared" si="102"/>
        <v>0</v>
      </c>
      <c r="N66" s="187"/>
      <c r="O66" s="494">
        <f t="shared" si="117"/>
        <v>200506.26</v>
      </c>
      <c r="P66" s="494"/>
      <c r="Q66" s="494">
        <f t="shared" si="118"/>
        <v>0</v>
      </c>
      <c r="R66" s="494"/>
      <c r="S66" s="494">
        <f t="shared" si="119"/>
        <v>474071.19</v>
      </c>
      <c r="T66" s="494"/>
      <c r="U66" s="494">
        <f t="shared" si="120"/>
        <v>0</v>
      </c>
      <c r="V66" s="187"/>
      <c r="W66" s="494">
        <f t="shared" si="104"/>
        <v>2974577.4660167457</v>
      </c>
      <c r="X66" s="187"/>
      <c r="Y66" s="494">
        <f t="shared" si="105"/>
        <v>2994269.0369968764</v>
      </c>
      <c r="Z66" s="187"/>
      <c r="AA66" s="494">
        <f t="shared" si="106"/>
        <v>1089480.7121816829</v>
      </c>
      <c r="AB66" s="187"/>
      <c r="AC66" s="494">
        <f t="shared" si="107"/>
        <v>1843265.0115888962</v>
      </c>
      <c r="AD66" s="187"/>
      <c r="AE66" s="494">
        <f t="shared" si="108"/>
        <v>1089480.7121816829</v>
      </c>
      <c r="AF66" s="187"/>
      <c r="AG66" s="494">
        <f t="shared" si="109"/>
        <v>1843265.0115888962</v>
      </c>
      <c r="AH66" s="494"/>
      <c r="AI66" s="494">
        <f t="shared" si="110"/>
        <v>2994269.0369968764</v>
      </c>
      <c r="AJ66" s="187"/>
      <c r="AK66" s="494">
        <f t="shared" si="111"/>
        <v>2793762.7769968766</v>
      </c>
      <c r="AL66" s="494"/>
      <c r="AM66" s="494"/>
      <c r="AN66" s="25"/>
      <c r="AO66" s="25">
        <f t="shared" si="130"/>
        <v>2020</v>
      </c>
      <c r="AP66" s="17">
        <v>1465858.29</v>
      </c>
      <c r="AQ66" s="17">
        <f t="shared" ref="AQ66:AU66" si="159">AQ24+AQ38+AQ52</f>
        <v>200506.26</v>
      </c>
      <c r="AR66" s="17">
        <f t="shared" si="159"/>
        <v>474071.19</v>
      </c>
      <c r="AS66" s="17">
        <f t="shared" si="159"/>
        <v>129673.56000000001</v>
      </c>
      <c r="AT66" s="17">
        <f t="shared" si="159"/>
        <v>356590.2</v>
      </c>
      <c r="AU66" s="17">
        <f t="shared" si="159"/>
        <v>117480.98999999999</v>
      </c>
      <c r="AV66" s="17"/>
      <c r="AW66" s="25">
        <f t="shared" si="132"/>
        <v>2020</v>
      </c>
      <c r="AX66" s="17">
        <f t="shared" si="122"/>
        <v>0</v>
      </c>
      <c r="AY66" s="17">
        <f t="shared" si="122"/>
        <v>0</v>
      </c>
      <c r="AZ66" s="17">
        <f t="shared" si="122"/>
        <v>0</v>
      </c>
      <c r="BA66" s="17">
        <f t="shared" si="122"/>
        <v>0</v>
      </c>
      <c r="BB66" s="17">
        <f t="shared" si="122"/>
        <v>0</v>
      </c>
      <c r="BC66" s="95">
        <f t="shared" si="123"/>
        <v>0</v>
      </c>
      <c r="BD66" s="18"/>
      <c r="BE66" s="25">
        <f t="shared" si="133"/>
        <v>2020</v>
      </c>
      <c r="BF66" s="17">
        <f t="shared" ref="BF66:BJ66" si="160">BF24+BF38+BF52</f>
        <v>0</v>
      </c>
      <c r="BG66" s="17">
        <f t="shared" si="160"/>
        <v>0</v>
      </c>
      <c r="BH66" s="17">
        <f t="shared" si="160"/>
        <v>0</v>
      </c>
      <c r="BI66" s="17">
        <f t="shared" si="160"/>
        <v>0</v>
      </c>
      <c r="BJ66" s="17">
        <f t="shared" si="160"/>
        <v>0</v>
      </c>
      <c r="BK66" s="17">
        <f t="shared" ref="BK66" si="161">BK24+BK38+BK52</f>
        <v>0</v>
      </c>
      <c r="BM66" s="25">
        <f t="shared" si="136"/>
        <v>2020</v>
      </c>
      <c r="BN66" s="17">
        <f t="shared" ref="BN66:BS66" si="162">BN24+BN38+BN52</f>
        <v>0</v>
      </c>
      <c r="BO66" s="17">
        <f t="shared" si="162"/>
        <v>0</v>
      </c>
      <c r="BP66" s="17">
        <f t="shared" si="162"/>
        <v>0</v>
      </c>
      <c r="BQ66" s="17">
        <f t="shared" si="162"/>
        <v>0</v>
      </c>
      <c r="BR66" s="17">
        <f t="shared" si="162"/>
        <v>0</v>
      </c>
      <c r="BS66" s="17">
        <f t="shared" si="162"/>
        <v>0</v>
      </c>
      <c r="BU66" s="25">
        <f t="shared" si="127"/>
        <v>2020</v>
      </c>
      <c r="BV66" s="69">
        <f t="shared" ref="BV66:BW66" si="163">BV24+BV38+BV52</f>
        <v>2363393.2782432334</v>
      </c>
      <c r="BW66" s="69">
        <f t="shared" si="163"/>
        <v>630875.75875364325</v>
      </c>
      <c r="CA66" s="18">
        <v>1588134.5975457637</v>
      </c>
    </row>
    <row r="67" spans="1:79">
      <c r="A67" s="6">
        <f t="shared" si="129"/>
        <v>2021</v>
      </c>
      <c r="C67" s="494">
        <f t="shared" si="99"/>
        <v>4487756.6777117494</v>
      </c>
      <c r="D67" s="18"/>
      <c r="E67" s="18"/>
      <c r="I67" s="494">
        <f t="shared" si="100"/>
        <v>4192398.5529267276</v>
      </c>
      <c r="J67" s="187"/>
      <c r="K67" s="494">
        <f t="shared" si="101"/>
        <v>4071397.3710546708</v>
      </c>
      <c r="L67" s="187"/>
      <c r="M67" s="494">
        <f t="shared" si="102"/>
        <v>0</v>
      </c>
      <c r="N67" s="187"/>
      <c r="O67" s="494">
        <f t="shared" si="117"/>
        <v>2849.11</v>
      </c>
      <c r="P67" s="494"/>
      <c r="Q67" s="494">
        <f t="shared" si="118"/>
        <v>0</v>
      </c>
      <c r="R67" s="494"/>
      <c r="S67" s="494">
        <f t="shared" si="119"/>
        <v>143500</v>
      </c>
      <c r="T67" s="494"/>
      <c r="U67" s="494">
        <f t="shared" si="120"/>
        <v>0</v>
      </c>
      <c r="V67" s="187"/>
      <c r="W67" s="494">
        <f t="shared" si="104"/>
        <v>4195247.662926727</v>
      </c>
      <c r="X67" s="187"/>
      <c r="Y67" s="494">
        <f t="shared" si="105"/>
        <v>4214897.3710546708</v>
      </c>
      <c r="Z67" s="187"/>
      <c r="AA67" s="494">
        <f t="shared" si="106"/>
        <v>45028.278802797315</v>
      </c>
      <c r="AB67" s="187"/>
      <c r="AC67" s="494">
        <f t="shared" si="107"/>
        <v>1594396.0000112455</v>
      </c>
      <c r="AD67" s="187"/>
      <c r="AE67" s="494">
        <f t="shared" si="108"/>
        <v>45028.278802797315</v>
      </c>
      <c r="AF67" s="187"/>
      <c r="AG67" s="494">
        <f t="shared" si="109"/>
        <v>1594396.0000112455</v>
      </c>
      <c r="AH67" s="494"/>
      <c r="AI67" s="494">
        <f t="shared" si="110"/>
        <v>4214897.3710546708</v>
      </c>
      <c r="AJ67" s="187"/>
      <c r="AK67" s="494">
        <f t="shared" si="111"/>
        <v>4212048.2610546704</v>
      </c>
      <c r="AL67" s="494"/>
      <c r="AM67" s="494"/>
      <c r="AN67" s="25"/>
      <c r="AO67" s="25">
        <f t="shared" si="130"/>
        <v>2021</v>
      </c>
      <c r="AP67" s="17">
        <v>1789742.2799999998</v>
      </c>
      <c r="AQ67" s="17">
        <f t="shared" ref="AQ67:AU68" si="164">AQ25+AQ39+AQ53</f>
        <v>2849.11</v>
      </c>
      <c r="AR67" s="17">
        <f t="shared" si="164"/>
        <v>143500</v>
      </c>
      <c r="AS67" s="17">
        <f t="shared" si="164"/>
        <v>0</v>
      </c>
      <c r="AT67" s="17">
        <f t="shared" si="164"/>
        <v>0</v>
      </c>
      <c r="AU67" s="17">
        <f t="shared" si="164"/>
        <v>143500</v>
      </c>
      <c r="AV67" s="17"/>
      <c r="AW67" s="25">
        <f t="shared" si="132"/>
        <v>2021</v>
      </c>
      <c r="AX67" s="17">
        <f t="shared" si="122"/>
        <v>0</v>
      </c>
      <c r="AY67" s="17">
        <f t="shared" si="122"/>
        <v>0</v>
      </c>
      <c r="AZ67" s="17">
        <f t="shared" si="122"/>
        <v>0</v>
      </c>
      <c r="BA67" s="17">
        <f t="shared" si="122"/>
        <v>0</v>
      </c>
      <c r="BB67" s="17">
        <f t="shared" si="122"/>
        <v>0</v>
      </c>
      <c r="BC67" s="95">
        <f t="shared" si="123"/>
        <v>0</v>
      </c>
      <c r="BD67" s="18"/>
      <c r="BE67" s="25">
        <f t="shared" si="133"/>
        <v>2021</v>
      </c>
      <c r="BF67" s="17">
        <f t="shared" ref="BF67:BK69" si="165">BF25+BF39+BF53</f>
        <v>0</v>
      </c>
      <c r="BG67" s="17">
        <f t="shared" si="165"/>
        <v>0</v>
      </c>
      <c r="BH67" s="17">
        <f t="shared" si="165"/>
        <v>0</v>
      </c>
      <c r="BI67" s="17">
        <f t="shared" si="165"/>
        <v>0</v>
      </c>
      <c r="BJ67" s="17">
        <f t="shared" si="165"/>
        <v>0</v>
      </c>
      <c r="BK67" s="17">
        <f t="shared" ref="BK67" si="166">BK25+BK39+BK53</f>
        <v>0</v>
      </c>
      <c r="BM67" s="25">
        <f t="shared" si="136"/>
        <v>2021</v>
      </c>
      <c r="BN67" s="17">
        <f t="shared" ref="BN67:BS68" si="167">BN25+BN39+BN53</f>
        <v>0</v>
      </c>
      <c r="BO67" s="17">
        <f t="shared" si="167"/>
        <v>0</v>
      </c>
      <c r="BP67" s="17">
        <f t="shared" si="167"/>
        <v>0</v>
      </c>
      <c r="BQ67" s="17">
        <f t="shared" si="167"/>
        <v>0</v>
      </c>
      <c r="BR67" s="17">
        <f t="shared" si="167"/>
        <v>0</v>
      </c>
      <c r="BS67" s="17">
        <f t="shared" si="167"/>
        <v>0</v>
      </c>
      <c r="BU67" s="25">
        <f t="shared" si="127"/>
        <v>2021</v>
      </c>
      <c r="BV67" s="69">
        <f t="shared" ref="BV67:BW67" si="168">BV25+BV39+BV53</f>
        <v>2355885.6960774497</v>
      </c>
      <c r="BW67" s="69">
        <f t="shared" si="168"/>
        <v>1826118.9276838186</v>
      </c>
    </row>
    <row r="68" spans="1:79">
      <c r="A68" s="6">
        <f t="shared" si="129"/>
        <v>2022</v>
      </c>
      <c r="C68" s="494">
        <f t="shared" si="99"/>
        <v>3415086.0331995599</v>
      </c>
      <c r="D68" s="18"/>
      <c r="E68" s="18"/>
      <c r="I68" s="494">
        <f t="shared" si="100"/>
        <v>3401122.9081424521</v>
      </c>
      <c r="J68" s="187"/>
      <c r="K68" s="494">
        <f t="shared" si="101"/>
        <v>3334857.0746392654</v>
      </c>
      <c r="L68" s="187"/>
      <c r="M68" s="494">
        <f t="shared" si="102"/>
        <v>0</v>
      </c>
      <c r="N68" s="187"/>
      <c r="O68" s="494">
        <f t="shared" si="117"/>
        <v>0</v>
      </c>
      <c r="P68" s="494"/>
      <c r="Q68" s="494">
        <f t="shared" si="118"/>
        <v>0</v>
      </c>
      <c r="R68" s="187"/>
      <c r="S68" s="494">
        <f t="shared" si="119"/>
        <v>0</v>
      </c>
      <c r="T68" s="187"/>
      <c r="U68" s="494">
        <f t="shared" si="120"/>
        <v>0</v>
      </c>
      <c r="V68" s="187"/>
      <c r="W68" s="494">
        <f t="shared" si="104"/>
        <v>3401122.9081424521</v>
      </c>
      <c r="X68" s="187"/>
      <c r="Y68" s="494">
        <f t="shared" si="105"/>
        <v>3334857.0746392654</v>
      </c>
      <c r="Z68" s="187"/>
      <c r="AA68" s="494">
        <f t="shared" si="106"/>
        <v>0</v>
      </c>
      <c r="AB68" s="187"/>
      <c r="AC68" s="494">
        <f t="shared" si="107"/>
        <v>0</v>
      </c>
      <c r="AD68" s="187"/>
      <c r="AE68" s="494">
        <f t="shared" si="108"/>
        <v>0</v>
      </c>
      <c r="AF68" s="187"/>
      <c r="AG68" s="494">
        <f t="shared" ref="AG68" si="169">AG26+AG40+AG54</f>
        <v>0</v>
      </c>
      <c r="AH68" s="187"/>
      <c r="AI68" s="494">
        <f t="shared" si="110"/>
        <v>2499641.4487359389</v>
      </c>
      <c r="AJ68" s="187"/>
      <c r="AK68" s="494">
        <f t="shared" si="111"/>
        <v>2499641.4487359389</v>
      </c>
      <c r="AL68" s="494"/>
      <c r="AM68" s="494"/>
      <c r="AN68" s="25"/>
      <c r="AO68" s="25">
        <f t="shared" si="130"/>
        <v>2022</v>
      </c>
      <c r="AP68" s="17">
        <v>2047913.3699999996</v>
      </c>
      <c r="AQ68" s="17">
        <f t="shared" si="164"/>
        <v>0</v>
      </c>
      <c r="AR68" s="17">
        <f t="shared" si="164"/>
        <v>0</v>
      </c>
      <c r="AS68" s="17">
        <f t="shared" si="164"/>
        <v>0</v>
      </c>
      <c r="AT68" s="17">
        <f t="shared" si="164"/>
        <v>0</v>
      </c>
      <c r="AU68" s="17">
        <f t="shared" si="164"/>
        <v>0</v>
      </c>
      <c r="AV68" s="18"/>
      <c r="AW68" s="25"/>
      <c r="AX68" s="191"/>
      <c r="AY68" s="191"/>
      <c r="AZ68" s="191"/>
      <c r="BA68" s="191"/>
      <c r="BB68" s="191"/>
      <c r="BC68" s="191"/>
      <c r="BD68" s="18"/>
      <c r="BE68" s="25">
        <f t="shared" si="133"/>
        <v>2022</v>
      </c>
      <c r="BF68" s="191"/>
      <c r="BM68" s="25">
        <f t="shared" si="136"/>
        <v>2022</v>
      </c>
      <c r="BN68" s="17">
        <f t="shared" si="167"/>
        <v>0</v>
      </c>
      <c r="BO68" s="17">
        <f t="shared" si="167"/>
        <v>0</v>
      </c>
      <c r="BP68" s="17">
        <f t="shared" si="167"/>
        <v>0</v>
      </c>
      <c r="BQ68" s="17">
        <f t="shared" si="167"/>
        <v>0</v>
      </c>
      <c r="BR68" s="17">
        <f t="shared" si="167"/>
        <v>0</v>
      </c>
      <c r="BS68" s="17">
        <f t="shared" si="167"/>
        <v>0</v>
      </c>
      <c r="BU68" s="25">
        <f t="shared" si="127"/>
        <v>2022</v>
      </c>
      <c r="BV68" s="61"/>
    </row>
    <row r="69" spans="1:79">
      <c r="A69" s="6"/>
      <c r="C69" s="63"/>
      <c r="I69" s="63"/>
      <c r="K69" s="63"/>
      <c r="M69" s="63"/>
      <c r="O69" s="63"/>
      <c r="Q69" s="63"/>
      <c r="S69" s="63"/>
      <c r="U69" s="63"/>
      <c r="W69" s="63"/>
      <c r="Y69" s="63"/>
      <c r="AA69" s="63"/>
      <c r="AC69" s="63"/>
      <c r="AE69" s="63"/>
      <c r="AG69" s="63"/>
      <c r="AI69" s="63"/>
      <c r="AK69" s="63"/>
      <c r="AN69" s="25"/>
      <c r="AO69" s="25"/>
      <c r="AP69" s="70"/>
      <c r="AQ69" s="70"/>
      <c r="AR69" s="70"/>
      <c r="AS69" s="70"/>
      <c r="AT69" s="70"/>
      <c r="AU69" s="70"/>
      <c r="AW69" s="25"/>
      <c r="AX69" s="70"/>
      <c r="AY69" s="70"/>
      <c r="AZ69" s="70"/>
      <c r="BA69" s="70"/>
      <c r="BB69" s="70"/>
      <c r="BC69" s="70"/>
      <c r="BE69" s="25"/>
      <c r="BF69" s="17">
        <f t="shared" si="165"/>
        <v>0</v>
      </c>
      <c r="BG69" s="17">
        <f t="shared" si="165"/>
        <v>0</v>
      </c>
      <c r="BH69" s="17">
        <f t="shared" si="165"/>
        <v>0</v>
      </c>
      <c r="BI69" s="17">
        <f t="shared" si="165"/>
        <v>0</v>
      </c>
      <c r="BJ69" s="17">
        <f t="shared" si="165"/>
        <v>0</v>
      </c>
      <c r="BK69" s="17">
        <f t="shared" si="165"/>
        <v>0</v>
      </c>
      <c r="BM69" s="25"/>
      <c r="BU69" s="70"/>
      <c r="BV69" s="70"/>
      <c r="BW69" s="70"/>
    </row>
    <row r="70" spans="1:79">
      <c r="A70" s="2" t="s">
        <v>0</v>
      </c>
      <c r="C70" s="147">
        <f>SUM(C59:C69)</f>
        <v>27043607.951307993</v>
      </c>
      <c r="D70" s="26"/>
      <c r="E70" s="26"/>
      <c r="I70" s="147">
        <f>SUM(I59:I69)</f>
        <v>17942575.234226275</v>
      </c>
      <c r="J70" s="147"/>
      <c r="K70" s="147">
        <f>SUM(K59:K69)</f>
        <v>15081943.802084576</v>
      </c>
      <c r="L70" s="147"/>
      <c r="M70" s="147">
        <f>SUM(M59:M69)</f>
        <v>10312244.515412876</v>
      </c>
      <c r="N70" s="147"/>
      <c r="O70" s="147">
        <f>SUM(O59:O69)</f>
        <v>4851953.0900000008</v>
      </c>
      <c r="P70" s="147"/>
      <c r="Q70" s="147">
        <f>SUM(Q59:Q69)</f>
        <v>27541966.870000001</v>
      </c>
      <c r="R70" s="147"/>
      <c r="S70" s="147">
        <f>SUM(S59:S69)</f>
        <v>11578040.99</v>
      </c>
      <c r="T70" s="147"/>
      <c r="U70" s="147">
        <f>SUM(U59:U69)</f>
        <v>29697684.239999995</v>
      </c>
      <c r="V70" s="147"/>
      <c r="W70" s="147">
        <f>SUM(W59:W69)</f>
        <v>62804457.079639152</v>
      </c>
      <c r="X70" s="147"/>
      <c r="Y70" s="147">
        <f>SUM(Y59:Y69)</f>
        <v>66669913.547497459</v>
      </c>
      <c r="Z70" s="147"/>
      <c r="AA70" s="147">
        <f>SUM(AA59:AA69)</f>
        <v>51240602.892274253</v>
      </c>
      <c r="AB70" s="147"/>
      <c r="AC70" s="147">
        <f>SUM(AC59:AC69)</f>
        <v>59632659.538693503</v>
      </c>
      <c r="AD70" s="147"/>
      <c r="AE70" s="147">
        <f>SUM(AE59:AE69)</f>
        <v>62140467.275199942</v>
      </c>
      <c r="AF70" s="147"/>
      <c r="AG70" s="147">
        <f>SUM(AG59:AG69)</f>
        <v>61836084.07183823</v>
      </c>
      <c r="AH70" s="147"/>
      <c r="AI70" s="147">
        <f>SUM(AI59:AI69)</f>
        <v>65834697.921594128</v>
      </c>
      <c r="AJ70" s="147"/>
      <c r="AK70" s="147">
        <f>SUM(AK59:AK69)</f>
        <v>33440777.96159412</v>
      </c>
      <c r="AL70" s="147"/>
      <c r="AM70" s="147"/>
      <c r="AN70" s="97"/>
      <c r="AO70" s="97" t="s">
        <v>0</v>
      </c>
      <c r="AP70" s="68">
        <f t="shared" ref="AP70:AU70" si="170">SUM(AP59:AP69)</f>
        <v>19310123.209999986</v>
      </c>
      <c r="AQ70" s="68">
        <f t="shared" si="170"/>
        <v>32393919.960000001</v>
      </c>
      <c r="AR70" s="68">
        <f t="shared" si="170"/>
        <v>41275725.229999997</v>
      </c>
      <c r="AS70" s="68">
        <f t="shared" si="170"/>
        <v>26110648.779999997</v>
      </c>
      <c r="AT70" s="68">
        <f t="shared" si="170"/>
        <v>31464942.659999993</v>
      </c>
      <c r="AU70" s="68">
        <f t="shared" si="170"/>
        <v>9810782.570000004</v>
      </c>
      <c r="AV70" s="68"/>
      <c r="AW70" s="97" t="s">
        <v>0</v>
      </c>
      <c r="AX70" s="68">
        <v>21567265.300000001</v>
      </c>
      <c r="AY70" s="68">
        <f t="shared" ref="AY70:BD70" si="171">SUM(AY59:AY69)</f>
        <v>18788438.859999999</v>
      </c>
      <c r="AZ70" s="68">
        <f t="shared" si="171"/>
        <v>20944156.229999997</v>
      </c>
      <c r="BA70" s="68">
        <f t="shared" si="171"/>
        <v>0</v>
      </c>
      <c r="BB70" s="68">
        <f t="shared" si="171"/>
        <v>33281763.462941177</v>
      </c>
      <c r="BC70" s="68">
        <f t="shared" si="171"/>
        <v>-2025362.7175283013</v>
      </c>
      <c r="BD70" s="68">
        <f t="shared" si="171"/>
        <v>0</v>
      </c>
      <c r="BE70" s="97" t="s">
        <v>0</v>
      </c>
      <c r="BF70" s="68">
        <f t="shared" ref="BF70:BK70" si="172">SUM(BF59:BF69)</f>
        <v>388282.44000000012</v>
      </c>
      <c r="BG70" s="68">
        <f t="shared" si="172"/>
        <v>5883019.0099999998</v>
      </c>
      <c r="BH70" s="68">
        <f t="shared" si="172"/>
        <v>5883019.0099999998</v>
      </c>
      <c r="BI70" s="68">
        <f t="shared" si="172"/>
        <v>1251000</v>
      </c>
      <c r="BJ70" s="68">
        <f t="shared" si="172"/>
        <v>5874246.3700000001</v>
      </c>
      <c r="BK70" s="68">
        <f t="shared" si="172"/>
        <v>8772.6399999996647</v>
      </c>
      <c r="BM70" s="97" t="s">
        <v>0</v>
      </c>
      <c r="BU70" s="61"/>
      <c r="BV70" s="68">
        <f>SUM(BV59:BV69)</f>
        <v>57887129.264314272</v>
      </c>
      <c r="BW70" s="122">
        <f>SUM(BW59:BW69)</f>
        <v>5415034.4612505194</v>
      </c>
      <c r="CA70" s="68">
        <f>SUM(CA59:CA69)</f>
        <v>38032134.816966288</v>
      </c>
    </row>
    <row r="71" spans="1:79">
      <c r="A71" s="6"/>
      <c r="I71" s="17">
        <f>K62+S62</f>
        <v>1437210.506085179</v>
      </c>
      <c r="K71" s="22">
        <f>I71-I48-S48</f>
        <v>1425195.9767610673</v>
      </c>
    </row>
    <row r="72" spans="1:79">
      <c r="A72" s="3" t="s">
        <v>538</v>
      </c>
      <c r="C72" s="73">
        <f>'Exhibit C,1'!I34</f>
        <v>3.6999999999999998E-2</v>
      </c>
      <c r="D72" s="3" t="s">
        <v>1023</v>
      </c>
      <c r="O72" s="26"/>
      <c r="S72" s="147"/>
      <c r="U72" s="147"/>
      <c r="AK72" s="147">
        <f>0.5*C72*((S70+U70)-(O70+Q70))+(1)*C72*(AI70-(S70+U70))</f>
        <v>1072995.3870839826</v>
      </c>
      <c r="AL72" s="147"/>
      <c r="AM72" s="147"/>
      <c r="AP72" s="1" t="s">
        <v>685</v>
      </c>
      <c r="AQ72" s="26">
        <v>0</v>
      </c>
      <c r="AR72" s="26">
        <v>0</v>
      </c>
      <c r="AX72" s="61" t="s">
        <v>685</v>
      </c>
      <c r="AY72" s="68">
        <v>2700</v>
      </c>
      <c r="AZ72" s="68">
        <v>2700</v>
      </c>
      <c r="BA72" s="61"/>
      <c r="BB72" s="61"/>
      <c r="BC72" s="68"/>
      <c r="BF72" s="1" t="s">
        <v>685</v>
      </c>
      <c r="BG72" s="26">
        <v>2700</v>
      </c>
      <c r="BH72" s="26">
        <v>2700</v>
      </c>
    </row>
    <row r="73" spans="1:79">
      <c r="A73" s="6"/>
      <c r="O73" s="61"/>
      <c r="P73" s="61"/>
      <c r="Q73" s="61"/>
      <c r="R73" s="61"/>
      <c r="S73" s="84"/>
      <c r="T73" s="61"/>
      <c r="U73" s="61"/>
      <c r="AE73" s="192"/>
      <c r="AQ73" s="26"/>
      <c r="AS73" s="61"/>
      <c r="AT73" s="61"/>
      <c r="AU73" s="122"/>
      <c r="AV73" s="61"/>
      <c r="AX73" s="61"/>
      <c r="AY73" s="61"/>
      <c r="AZ73" s="61"/>
      <c r="BA73" s="61"/>
      <c r="BB73" s="61"/>
      <c r="BC73" s="122"/>
      <c r="BG73" s="26"/>
      <c r="BK73" s="66"/>
      <c r="BU73" s="21">
        <f>AU73-BC73-BK73</f>
        <v>0</v>
      </c>
    </row>
    <row r="74" spans="1:79">
      <c r="A74" s="64" t="s">
        <v>104</v>
      </c>
      <c r="C74" s="3" t="s">
        <v>1518</v>
      </c>
      <c r="D74" s="3"/>
      <c r="E74" s="3"/>
      <c r="O74" s="61"/>
      <c r="P74" s="61"/>
      <c r="Q74" s="61"/>
      <c r="R74" s="61"/>
      <c r="S74" s="69"/>
      <c r="T74" s="61"/>
      <c r="U74" s="61"/>
      <c r="AI74" s="26"/>
      <c r="AS74" s="61"/>
      <c r="AT74" s="61"/>
      <c r="AU74" s="122"/>
      <c r="AV74" s="61"/>
      <c r="AX74" s="61" t="s">
        <v>1694</v>
      </c>
      <c r="AY74" s="61"/>
      <c r="AZ74" s="68">
        <v>0</v>
      </c>
      <c r="BA74" s="61"/>
      <c r="BB74" s="61"/>
      <c r="BC74" s="122">
        <v>-61608.459999996237</v>
      </c>
      <c r="BK74" s="367"/>
    </row>
    <row r="75" spans="1:79">
      <c r="A75" s="64" t="s">
        <v>36</v>
      </c>
      <c r="C75" s="3" t="s">
        <v>990</v>
      </c>
      <c r="D75" s="3"/>
      <c r="E75" s="3"/>
      <c r="O75" s="61"/>
      <c r="P75" s="61"/>
      <c r="Q75" s="61"/>
      <c r="R75" s="61"/>
      <c r="S75" s="157"/>
      <c r="T75" s="61"/>
      <c r="U75" s="61"/>
      <c r="AC75" s="26"/>
      <c r="AE75" s="26"/>
      <c r="AG75" s="26"/>
      <c r="AI75" s="26"/>
      <c r="AS75" s="61"/>
      <c r="AT75" s="61"/>
      <c r="AU75" s="160"/>
      <c r="AV75" s="61"/>
      <c r="BC75" s="21"/>
      <c r="BK75" s="21"/>
    </row>
    <row r="76" spans="1:79">
      <c r="C76" s="1" t="s">
        <v>1562</v>
      </c>
      <c r="D76" s="3"/>
      <c r="E76" s="3"/>
      <c r="AI76" s="26"/>
      <c r="AN76" s="61"/>
      <c r="AO76" s="61"/>
      <c r="AS76" s="61"/>
      <c r="AT76" s="61"/>
      <c r="AU76" s="61"/>
      <c r="AV76" s="61"/>
    </row>
    <row r="77" spans="1:79">
      <c r="A77" s="64" t="s">
        <v>38</v>
      </c>
      <c r="C77" s="3" t="s">
        <v>991</v>
      </c>
      <c r="D77" s="3"/>
      <c r="E77" s="3"/>
      <c r="AI77" s="192"/>
      <c r="AS77" s="61"/>
      <c r="AT77" s="61"/>
      <c r="AU77" s="61"/>
      <c r="AV77" s="61"/>
      <c r="BC77" s="6"/>
      <c r="BE77" s="6" t="s">
        <v>12</v>
      </c>
      <c r="BI77" s="6" t="s">
        <v>381</v>
      </c>
      <c r="BM77" s="6" t="s">
        <v>67</v>
      </c>
    </row>
    <row r="78" spans="1:79">
      <c r="C78" s="1" t="s">
        <v>1562</v>
      </c>
      <c r="D78" s="3"/>
      <c r="E78" s="3"/>
      <c r="AI78" s="26"/>
      <c r="AO78" s="61"/>
      <c r="BC78" s="6"/>
      <c r="BD78" s="6" t="s">
        <v>1499</v>
      </c>
      <c r="BE78" s="6" t="s">
        <v>1500</v>
      </c>
      <c r="BF78" s="6" t="s">
        <v>1501</v>
      </c>
      <c r="BH78" s="6" t="s">
        <v>1499</v>
      </c>
      <c r="BI78" s="6" t="s">
        <v>1500</v>
      </c>
      <c r="BJ78" s="6" t="s">
        <v>1501</v>
      </c>
      <c r="BL78" s="6" t="s">
        <v>1499</v>
      </c>
      <c r="BM78" s="6" t="s">
        <v>1500</v>
      </c>
      <c r="BN78" s="6" t="s">
        <v>1501</v>
      </c>
    </row>
    <row r="79" spans="1:79">
      <c r="A79" s="64" t="s">
        <v>40</v>
      </c>
      <c r="C79" s="3" t="s">
        <v>597</v>
      </c>
      <c r="D79" s="3"/>
      <c r="E79" s="3"/>
      <c r="AI79" s="192"/>
      <c r="BC79" s="6" t="s">
        <v>4</v>
      </c>
      <c r="BD79" s="207">
        <v>44531</v>
      </c>
      <c r="BE79" s="207">
        <v>44531</v>
      </c>
      <c r="BF79" s="207">
        <v>44531</v>
      </c>
      <c r="BG79" s="6" t="s">
        <v>4</v>
      </c>
      <c r="BH79" s="207">
        <v>44531</v>
      </c>
      <c r="BI79" s="207">
        <v>44531</v>
      </c>
      <c r="BJ79" s="207">
        <v>44531</v>
      </c>
      <c r="BK79" s="6" t="s">
        <v>4</v>
      </c>
      <c r="BL79" s="207">
        <v>44531</v>
      </c>
      <c r="BM79" s="207">
        <v>44531</v>
      </c>
      <c r="BN79" s="207">
        <v>44531</v>
      </c>
    </row>
    <row r="80" spans="1:79">
      <c r="A80" s="64" t="s">
        <v>42</v>
      </c>
      <c r="C80" s="3" t="s">
        <v>596</v>
      </c>
      <c r="D80" s="3"/>
      <c r="E80" s="3"/>
      <c r="AI80" s="192"/>
      <c r="AO80" s="61"/>
      <c r="AP80" s="61" t="s">
        <v>14</v>
      </c>
      <c r="AQ80" s="61" t="s">
        <v>12</v>
      </c>
      <c r="AR80" s="61" t="s">
        <v>381</v>
      </c>
    </row>
    <row r="81" spans="1:66">
      <c r="A81" s="64" t="s">
        <v>30</v>
      </c>
      <c r="C81" s="3" t="s">
        <v>1489</v>
      </c>
      <c r="D81" s="3"/>
      <c r="E81" s="3"/>
      <c r="AO81" s="61"/>
      <c r="AP81" s="61"/>
      <c r="AQ81" s="61"/>
      <c r="AR81" s="61"/>
      <c r="BC81" s="6">
        <v>2013</v>
      </c>
      <c r="BD81" s="18">
        <f t="shared" ref="BD81:BD89" si="173">BD59</f>
        <v>0</v>
      </c>
      <c r="BF81" s="18">
        <f>BD81-BE81</f>
        <v>0</v>
      </c>
      <c r="BG81" s="6">
        <v>2013</v>
      </c>
      <c r="BH81" s="20"/>
      <c r="BI81" s="20"/>
      <c r="BJ81" s="20">
        <f>BH81-BI81</f>
        <v>0</v>
      </c>
      <c r="BK81" s="6">
        <v>2013</v>
      </c>
      <c r="BL81" s="20">
        <f>BD81+BH81</f>
        <v>0</v>
      </c>
      <c r="BM81" s="20">
        <f t="shared" ref="BM81:BN89" si="174">BE81+BI81</f>
        <v>0</v>
      </c>
      <c r="BN81" s="20">
        <f t="shared" si="174"/>
        <v>0</v>
      </c>
    </row>
    <row r="82" spans="1:66">
      <c r="A82" s="64" t="s">
        <v>598</v>
      </c>
      <c r="C82" s="3" t="s">
        <v>605</v>
      </c>
      <c r="D82" s="3"/>
      <c r="E82" s="3"/>
      <c r="AF82" s="61"/>
      <c r="AG82" s="61"/>
      <c r="AH82" s="61"/>
      <c r="AI82" s="61"/>
      <c r="AJ82" s="61"/>
      <c r="AO82" s="115" t="s">
        <v>297</v>
      </c>
      <c r="AP82" s="68">
        <f>AQ70+AR70-AU70</f>
        <v>63858862.61999999</v>
      </c>
      <c r="AQ82" s="68">
        <f>AP82+AS70+AT70</f>
        <v>121434454.05999999</v>
      </c>
      <c r="AR82" s="68">
        <f>AI70-AQ82</f>
        <v>-55599756.138405859</v>
      </c>
      <c r="BC82" s="6">
        <f>BC81+1</f>
        <v>2014</v>
      </c>
      <c r="BD82" s="18">
        <f t="shared" si="173"/>
        <v>0</v>
      </c>
      <c r="BF82" s="18">
        <f t="shared" ref="BF82:BF89" si="175">BD82-BE82</f>
        <v>0</v>
      </c>
      <c r="BG82" s="6">
        <f>BG81+1</f>
        <v>2014</v>
      </c>
      <c r="BH82" s="20"/>
      <c r="BI82" s="20"/>
      <c r="BJ82" s="20">
        <f t="shared" ref="BJ82:BJ89" si="176">BH82-BI82</f>
        <v>0</v>
      </c>
      <c r="BK82" s="6">
        <f>BK81+1</f>
        <v>2014</v>
      </c>
      <c r="BL82" s="20">
        <f t="shared" ref="BL82:BL89" si="177">BD82+BH82</f>
        <v>0</v>
      </c>
      <c r="BM82" s="20">
        <f t="shared" si="174"/>
        <v>0</v>
      </c>
      <c r="BN82" s="20">
        <f t="shared" si="174"/>
        <v>0</v>
      </c>
    </row>
    <row r="83" spans="1:66">
      <c r="A83" s="64" t="s">
        <v>134</v>
      </c>
      <c r="C83" s="3" t="s">
        <v>600</v>
      </c>
      <c r="E83" s="3"/>
      <c r="BC83" s="6">
        <f t="shared" ref="BC83:BC89" si="178">BC82+1</f>
        <v>2015</v>
      </c>
      <c r="BD83" s="18">
        <f t="shared" si="173"/>
        <v>0</v>
      </c>
      <c r="BF83" s="18">
        <f t="shared" si="175"/>
        <v>0</v>
      </c>
      <c r="BG83" s="6">
        <f t="shared" ref="BG83:BG89" si="179">BG82+1</f>
        <v>2015</v>
      </c>
      <c r="BH83" s="20"/>
      <c r="BI83" s="20"/>
      <c r="BJ83" s="20">
        <f t="shared" si="176"/>
        <v>0</v>
      </c>
      <c r="BK83" s="6">
        <f t="shared" ref="BK83:BK89" si="180">BK82+1</f>
        <v>2015</v>
      </c>
      <c r="BL83" s="20">
        <f t="shared" si="177"/>
        <v>0</v>
      </c>
      <c r="BM83" s="20">
        <f t="shared" si="174"/>
        <v>0</v>
      </c>
      <c r="BN83" s="20">
        <f t="shared" si="174"/>
        <v>0</v>
      </c>
    </row>
    <row r="84" spans="1:66">
      <c r="A84" s="64" t="s">
        <v>137</v>
      </c>
      <c r="C84" s="3" t="s">
        <v>601</v>
      </c>
      <c r="D84" s="3"/>
      <c r="E84" s="3"/>
      <c r="AO84" s="25" t="s">
        <v>752</v>
      </c>
      <c r="AP84" s="161">
        <f>C72*(0.5*(AQ82-AP82)+AR82)</f>
        <v>-992042.53548101685</v>
      </c>
      <c r="BC84" s="6">
        <f t="shared" si="178"/>
        <v>2016</v>
      </c>
      <c r="BD84" s="18">
        <f t="shared" si="173"/>
        <v>0</v>
      </c>
      <c r="BF84" s="18">
        <f t="shared" si="175"/>
        <v>0</v>
      </c>
      <c r="BG84" s="6">
        <f t="shared" si="179"/>
        <v>2016</v>
      </c>
      <c r="BH84" s="20" t="e">
        <f>'Exhibit D,2'!#REF!</f>
        <v>#REF!</v>
      </c>
      <c r="BI84" s="20" cm="1">
        <f t="array" ref="BI84:BI87">'Exhibit D,4'!AL20:AL23</f>
        <v>0</v>
      </c>
      <c r="BJ84" s="20" t="e">
        <f t="shared" si="176"/>
        <v>#REF!</v>
      </c>
      <c r="BK84" s="6">
        <f t="shared" si="180"/>
        <v>2016</v>
      </c>
      <c r="BL84" s="20" t="e">
        <f t="shared" si="177"/>
        <v>#REF!</v>
      </c>
      <c r="BM84" s="20">
        <f t="shared" si="174"/>
        <v>0</v>
      </c>
      <c r="BN84" s="20" t="e">
        <f t="shared" si="174"/>
        <v>#REF!</v>
      </c>
    </row>
    <row r="85" spans="1:66">
      <c r="A85" s="64" t="s">
        <v>345</v>
      </c>
      <c r="C85" s="140" t="s">
        <v>602</v>
      </c>
      <c r="D85" s="3"/>
      <c r="AO85" s="25"/>
      <c r="BC85" s="6">
        <f t="shared" si="178"/>
        <v>2017</v>
      </c>
      <c r="BD85" s="18">
        <f t="shared" si="173"/>
        <v>0</v>
      </c>
      <c r="BE85" s="95">
        <f>SUM('Exhibit A,3'!AV21:AZ21)</f>
        <v>11434550.84</v>
      </c>
      <c r="BF85" s="18">
        <f t="shared" si="175"/>
        <v>-11434550.84</v>
      </c>
      <c r="BG85" s="6">
        <f t="shared" si="179"/>
        <v>2017</v>
      </c>
      <c r="BH85" s="20" t="e">
        <f>'Exhibit D,2'!#REF!</f>
        <v>#REF!</v>
      </c>
      <c r="BI85" s="20">
        <v>0</v>
      </c>
      <c r="BJ85" s="20" t="e">
        <f t="shared" si="176"/>
        <v>#REF!</v>
      </c>
      <c r="BK85" s="6">
        <f t="shared" si="180"/>
        <v>2017</v>
      </c>
      <c r="BL85" s="20" t="e">
        <f t="shared" si="177"/>
        <v>#REF!</v>
      </c>
      <c r="BM85" s="20">
        <f t="shared" si="174"/>
        <v>11434550.84</v>
      </c>
      <c r="BN85" s="20" t="e">
        <f t="shared" si="174"/>
        <v>#REF!</v>
      </c>
    </row>
    <row r="86" spans="1:66">
      <c r="A86" s="64" t="s">
        <v>571</v>
      </c>
      <c r="B86" s="64"/>
      <c r="C86" s="140" t="s">
        <v>606</v>
      </c>
      <c r="D86" s="3"/>
      <c r="E86" s="3"/>
      <c r="AO86" s="25"/>
      <c r="BC86" s="6">
        <f t="shared" si="178"/>
        <v>2018</v>
      </c>
      <c r="BD86" s="18">
        <f t="shared" si="173"/>
        <v>0</v>
      </c>
      <c r="BE86" s="95">
        <f>SUM('Exhibit A,3'!AV22:AZ22)</f>
        <v>6032791.6599999974</v>
      </c>
      <c r="BF86" s="18">
        <f t="shared" si="175"/>
        <v>-6032791.6599999974</v>
      </c>
      <c r="BG86" s="6">
        <f t="shared" si="179"/>
        <v>2018</v>
      </c>
      <c r="BH86" s="20" t="e">
        <f>'Exhibit D,2'!#REF!</f>
        <v>#REF!</v>
      </c>
      <c r="BI86" s="20">
        <v>0</v>
      </c>
      <c r="BJ86" s="20" t="e">
        <f t="shared" si="176"/>
        <v>#REF!</v>
      </c>
      <c r="BK86" s="6">
        <f t="shared" si="180"/>
        <v>2018</v>
      </c>
      <c r="BL86" s="20" t="e">
        <f t="shared" si="177"/>
        <v>#REF!</v>
      </c>
      <c r="BM86" s="20">
        <f t="shared" si="174"/>
        <v>6032791.6599999974</v>
      </c>
      <c r="BN86" s="20" t="e">
        <f t="shared" si="174"/>
        <v>#REF!</v>
      </c>
    </row>
    <row r="87" spans="1:66">
      <c r="A87" s="64" t="s">
        <v>599</v>
      </c>
      <c r="B87" s="64"/>
      <c r="C87" s="140" t="s">
        <v>603</v>
      </c>
      <c r="D87" s="3"/>
      <c r="E87" s="3"/>
      <c r="AO87" s="61"/>
      <c r="AP87" s="61"/>
      <c r="AQ87" s="25">
        <v>2020</v>
      </c>
      <c r="AR87" s="25"/>
      <c r="AS87" s="25" t="s">
        <v>1361</v>
      </c>
      <c r="AT87" s="25"/>
      <c r="AU87" s="25" t="s">
        <v>119</v>
      </c>
      <c r="BC87" s="6">
        <f t="shared" si="178"/>
        <v>2019</v>
      </c>
      <c r="BD87" s="18">
        <f t="shared" si="173"/>
        <v>0</v>
      </c>
      <c r="BE87" s="95">
        <f>SUM('Exhibit A,3'!AV23:AZ23)</f>
        <v>8519539.370000001</v>
      </c>
      <c r="BF87" s="18">
        <f t="shared" si="175"/>
        <v>-8519539.370000001</v>
      </c>
      <c r="BG87" s="6">
        <f t="shared" si="179"/>
        <v>2019</v>
      </c>
      <c r="BH87" s="20" t="e">
        <f>'Exhibit D,2'!#REF!</f>
        <v>#REF!</v>
      </c>
      <c r="BI87" s="20">
        <v>0</v>
      </c>
      <c r="BJ87" s="20" t="e">
        <f t="shared" si="176"/>
        <v>#REF!</v>
      </c>
      <c r="BK87" s="6">
        <f t="shared" si="180"/>
        <v>2019</v>
      </c>
      <c r="BL87" s="20" t="e">
        <f t="shared" si="177"/>
        <v>#REF!</v>
      </c>
      <c r="BM87" s="20">
        <f t="shared" si="174"/>
        <v>8519539.370000001</v>
      </c>
      <c r="BN87" s="20" t="e">
        <f t="shared" si="174"/>
        <v>#REF!</v>
      </c>
    </row>
    <row r="88" spans="1:66">
      <c r="A88" s="64" t="s">
        <v>592</v>
      </c>
      <c r="B88" s="64"/>
      <c r="C88" s="140" t="s">
        <v>604</v>
      </c>
      <c r="D88" s="3"/>
      <c r="E88" s="3"/>
      <c r="AO88" s="61" t="s">
        <v>562</v>
      </c>
      <c r="AP88" s="61"/>
      <c r="AQ88" s="550">
        <v>10809568.144214947</v>
      </c>
      <c r="AR88" s="157"/>
      <c r="AS88" s="157">
        <f>AI28-M28-U28-AI25</f>
        <v>21002830.769773457</v>
      </c>
      <c r="AT88" s="157"/>
      <c r="AU88" s="551">
        <f>AS88-AQ88</f>
        <v>10193262.62555851</v>
      </c>
      <c r="BC88" s="6">
        <f t="shared" si="178"/>
        <v>2020</v>
      </c>
      <c r="BD88" s="18">
        <f t="shared" si="173"/>
        <v>0</v>
      </c>
      <c r="BE88" s="95">
        <f>SUM('Exhibit A,3'!AV24:AZ24)</f>
        <v>0</v>
      </c>
      <c r="BF88" s="18">
        <f t="shared" si="175"/>
        <v>0</v>
      </c>
      <c r="BG88" s="6">
        <f t="shared" si="179"/>
        <v>2020</v>
      </c>
      <c r="BH88" s="20" t="e">
        <f>'Exhibit D,2'!#REF!</f>
        <v>#REF!</v>
      </c>
      <c r="BI88" s="20"/>
      <c r="BJ88" s="20" t="e">
        <f t="shared" si="176"/>
        <v>#REF!</v>
      </c>
      <c r="BK88" s="6">
        <f t="shared" si="180"/>
        <v>2020</v>
      </c>
      <c r="BL88" s="20" t="e">
        <f t="shared" si="177"/>
        <v>#REF!</v>
      </c>
      <c r="BM88" s="20">
        <f t="shared" si="174"/>
        <v>0</v>
      </c>
      <c r="BN88" s="20" t="e">
        <f t="shared" si="174"/>
        <v>#REF!</v>
      </c>
    </row>
    <row r="89" spans="1:66">
      <c r="A89" s="64" t="s">
        <v>607</v>
      </c>
      <c r="B89" s="64"/>
      <c r="C89" s="140" t="s">
        <v>608</v>
      </c>
      <c r="D89" s="3"/>
      <c r="E89" s="3"/>
      <c r="AO89" s="61" t="s">
        <v>561</v>
      </c>
      <c r="AP89" s="61"/>
      <c r="AQ89" s="157">
        <v>29224257.978907462</v>
      </c>
      <c r="AR89" s="157"/>
      <c r="AS89" s="157">
        <f>AI28-AS88-AI25</f>
        <v>39945822.795412876</v>
      </c>
      <c r="AT89" s="157"/>
      <c r="AU89" s="551">
        <f>AS89-AQ89</f>
        <v>10721564.816505414</v>
      </c>
      <c r="BC89" s="6">
        <f t="shared" si="178"/>
        <v>2021</v>
      </c>
      <c r="BD89" s="18">
        <f t="shared" si="173"/>
        <v>0</v>
      </c>
      <c r="BE89" s="95">
        <f>SUM('Exhibit A,3'!AV25:AZ25)</f>
        <v>0</v>
      </c>
      <c r="BF89" s="18">
        <f t="shared" si="175"/>
        <v>0</v>
      </c>
      <c r="BG89" s="6">
        <f t="shared" si="179"/>
        <v>2021</v>
      </c>
      <c r="BH89" s="20" t="e">
        <f>'Exhibit D,2'!#REF!</f>
        <v>#REF!</v>
      </c>
      <c r="BI89" s="20"/>
      <c r="BJ89" s="20" t="e">
        <f t="shared" si="176"/>
        <v>#REF!</v>
      </c>
      <c r="BK89" s="6">
        <f t="shared" si="180"/>
        <v>2021</v>
      </c>
      <c r="BL89" s="20" t="e">
        <f t="shared" si="177"/>
        <v>#REF!</v>
      </c>
      <c r="BM89" s="20">
        <f t="shared" si="174"/>
        <v>0</v>
      </c>
      <c r="BN89" s="20" t="e">
        <f t="shared" si="174"/>
        <v>#REF!</v>
      </c>
    </row>
    <row r="90" spans="1:66">
      <c r="B90" s="64"/>
      <c r="D90" s="3"/>
      <c r="E90" s="3"/>
      <c r="AO90" s="61"/>
      <c r="AP90" s="61"/>
      <c r="AQ90" s="157"/>
      <c r="AR90" s="157"/>
      <c r="AS90" s="157"/>
      <c r="AT90" s="157"/>
      <c r="AU90" s="552"/>
      <c r="BC90" s="6"/>
      <c r="BD90" s="18"/>
      <c r="BE90" s="95"/>
      <c r="BG90" s="6"/>
      <c r="BK90" s="6"/>
    </row>
    <row r="91" spans="1:66">
      <c r="B91" s="64"/>
      <c r="D91" s="140"/>
      <c r="AO91" s="61" t="s">
        <v>0</v>
      </c>
      <c r="AP91" s="61"/>
      <c r="AQ91" s="157">
        <f>AQ88+AQ89</f>
        <v>40033826.123122409</v>
      </c>
      <c r="AR91" s="157"/>
      <c r="AS91" s="157">
        <f>AS88+AS89</f>
        <v>60948653.565186337</v>
      </c>
      <c r="AT91" s="157"/>
      <c r="AU91" s="157">
        <f>AU88+AU89</f>
        <v>20914827.442063924</v>
      </c>
      <c r="BC91" s="2" t="s">
        <v>0</v>
      </c>
      <c r="BD91" s="63"/>
      <c r="BE91" s="63"/>
      <c r="BF91" s="63"/>
      <c r="BG91" s="2" t="s">
        <v>0</v>
      </c>
      <c r="BH91" s="63"/>
      <c r="BI91" s="63"/>
      <c r="BJ91" s="63"/>
      <c r="BK91" s="2" t="s">
        <v>0</v>
      </c>
      <c r="BL91" s="63"/>
      <c r="BM91" s="63"/>
      <c r="BN91" s="63"/>
    </row>
    <row r="92" spans="1:66">
      <c r="B92" s="52"/>
      <c r="D92" s="3"/>
      <c r="AO92" s="61"/>
      <c r="AP92" s="61"/>
      <c r="AQ92" s="61"/>
      <c r="AR92" s="61"/>
      <c r="AS92" s="61"/>
      <c r="AT92" s="61"/>
      <c r="AU92" s="137"/>
      <c r="BD92" s="26">
        <f>SUM(BD82:BD91)</f>
        <v>0</v>
      </c>
      <c r="BE92" s="26">
        <f>SUM(BE82:BE91)</f>
        <v>25986881.869999997</v>
      </c>
      <c r="BF92" s="26">
        <f>SUM(BF82:BF91)</f>
        <v>-25986881.869999997</v>
      </c>
      <c r="BH92" s="26" t="e">
        <f>SUM(BH82:BH91)</f>
        <v>#REF!</v>
      </c>
      <c r="BI92" s="26">
        <f>SUM(BI82:BI91)</f>
        <v>0</v>
      </c>
      <c r="BJ92" s="26" t="e">
        <f>SUM(BJ82:BJ91)</f>
        <v>#REF!</v>
      </c>
      <c r="BL92" s="26" t="e">
        <f>SUM(BL82:BL91)</f>
        <v>#REF!</v>
      </c>
      <c r="BM92" s="26">
        <f>SUM(BM82:BM91)</f>
        <v>25986881.869999997</v>
      </c>
      <c r="BN92" s="26" t="e">
        <f>SUM(BN82:BN91)</f>
        <v>#REF!</v>
      </c>
    </row>
    <row r="93" spans="1:66">
      <c r="B93" s="52"/>
      <c r="D93" s="3"/>
      <c r="AO93" s="121" t="s">
        <v>1362</v>
      </c>
      <c r="AP93" s="61"/>
      <c r="AQ93" s="61"/>
      <c r="AR93" s="61"/>
      <c r="AS93" s="61"/>
      <c r="AT93" s="61"/>
      <c r="AU93" s="137"/>
    </row>
    <row r="94" spans="1:66">
      <c r="BE94" s="6" t="s">
        <v>12</v>
      </c>
      <c r="BI94" s="6" t="s">
        <v>381</v>
      </c>
      <c r="BM94" s="6" t="s">
        <v>67</v>
      </c>
    </row>
    <row r="95" spans="1:66">
      <c r="BC95" s="6"/>
      <c r="BD95" s="6" t="s">
        <v>1499</v>
      </c>
      <c r="BE95" s="6" t="s">
        <v>1500</v>
      </c>
      <c r="BF95" s="6" t="s">
        <v>1501</v>
      </c>
      <c r="BH95" s="6" t="s">
        <v>1499</v>
      </c>
      <c r="BI95" s="6" t="s">
        <v>1500</v>
      </c>
      <c r="BJ95" s="6" t="s">
        <v>1501</v>
      </c>
      <c r="BL95" s="6" t="s">
        <v>1499</v>
      </c>
      <c r="BM95" s="6" t="s">
        <v>1500</v>
      </c>
      <c r="BN95" s="6" t="s">
        <v>1501</v>
      </c>
    </row>
    <row r="96" spans="1:66">
      <c r="BC96" s="6" t="s">
        <v>4</v>
      </c>
      <c r="BD96" s="207">
        <v>44166</v>
      </c>
      <c r="BE96" s="207">
        <v>44166</v>
      </c>
      <c r="BF96" s="207">
        <v>44166</v>
      </c>
      <c r="BG96" s="6" t="s">
        <v>4</v>
      </c>
      <c r="BH96" s="207">
        <v>44166</v>
      </c>
      <c r="BI96" s="207">
        <v>44166</v>
      </c>
      <c r="BJ96" s="207">
        <v>44166</v>
      </c>
      <c r="BK96" s="6" t="s">
        <v>4</v>
      </c>
      <c r="BL96" s="207">
        <v>44166</v>
      </c>
      <c r="BM96" s="207">
        <v>44166</v>
      </c>
      <c r="BN96" s="207">
        <v>44166</v>
      </c>
    </row>
    <row r="97" spans="1:66">
      <c r="C97" s="77"/>
    </row>
    <row r="98" spans="1:66">
      <c r="A98" s="64"/>
      <c r="C98" s="3"/>
      <c r="BC98" s="6">
        <v>2013</v>
      </c>
      <c r="BD98" s="18">
        <v>0</v>
      </c>
      <c r="BE98" s="95">
        <v>0</v>
      </c>
      <c r="BF98" s="18">
        <f>BD98-BE98</f>
        <v>0</v>
      </c>
      <c r="BG98" s="6">
        <v>2013</v>
      </c>
      <c r="BJ98" s="18">
        <f>BH98-BI98</f>
        <v>0</v>
      </c>
      <c r="BK98" s="6">
        <v>2013</v>
      </c>
      <c r="BL98" s="20">
        <f>BD98+BH98</f>
        <v>0</v>
      </c>
      <c r="BM98" s="20">
        <f t="shared" ref="BM98:BM106" si="181">BE98+BI98</f>
        <v>0</v>
      </c>
      <c r="BN98" s="20">
        <f t="shared" ref="BN98:BN106" si="182">BF98+BJ98</f>
        <v>0</v>
      </c>
    </row>
    <row r="99" spans="1:66">
      <c r="A99" s="64"/>
      <c r="C99" s="3"/>
      <c r="BC99" s="6">
        <f>BC98+1</f>
        <v>2014</v>
      </c>
      <c r="BD99" s="18">
        <v>0</v>
      </c>
      <c r="BF99" s="18">
        <f t="shared" ref="BF99:BF106" si="183">BD99-BE99</f>
        <v>0</v>
      </c>
      <c r="BG99" s="6">
        <f>BG98+1</f>
        <v>2014</v>
      </c>
      <c r="BJ99" s="18">
        <f t="shared" ref="BJ99:BJ106" si="184">BH99-BI99</f>
        <v>0</v>
      </c>
      <c r="BK99" s="6">
        <f>BK98+1</f>
        <v>2014</v>
      </c>
      <c r="BL99" s="20">
        <f t="shared" ref="BL99:BL106" si="185">BD99+BH99</f>
        <v>0</v>
      </c>
      <c r="BM99" s="20">
        <f t="shared" si="181"/>
        <v>0</v>
      </c>
      <c r="BN99" s="20">
        <f t="shared" si="182"/>
        <v>0</v>
      </c>
    </row>
    <row r="100" spans="1:66">
      <c r="A100" s="64"/>
      <c r="C100" s="3"/>
      <c r="BC100" s="6">
        <f t="shared" ref="BC100:BC106" si="186">BC99+1</f>
        <v>2015</v>
      </c>
      <c r="BD100" s="18">
        <v>0</v>
      </c>
      <c r="BF100" s="18">
        <f t="shared" si="183"/>
        <v>0</v>
      </c>
      <c r="BG100" s="6">
        <f t="shared" ref="BG100:BG106" si="187">BG99+1</f>
        <v>2015</v>
      </c>
      <c r="BJ100" s="18">
        <f t="shared" si="184"/>
        <v>0</v>
      </c>
      <c r="BK100" s="6">
        <f t="shared" ref="BK100:BK106" si="188">BK99+1</f>
        <v>2015</v>
      </c>
      <c r="BL100" s="20">
        <f t="shared" si="185"/>
        <v>0</v>
      </c>
      <c r="BM100" s="20">
        <f t="shared" si="181"/>
        <v>0</v>
      </c>
      <c r="BN100" s="20">
        <f t="shared" si="182"/>
        <v>0</v>
      </c>
    </row>
    <row r="101" spans="1:66">
      <c r="A101" s="64"/>
      <c r="C101" s="3"/>
      <c r="BC101" s="6">
        <f t="shared" si="186"/>
        <v>2016</v>
      </c>
      <c r="BD101" s="18">
        <v>5168659</v>
      </c>
      <c r="BF101" s="18">
        <f t="shared" si="183"/>
        <v>5168659</v>
      </c>
      <c r="BG101" s="6">
        <f t="shared" si="187"/>
        <v>2016</v>
      </c>
      <c r="BH101" s="17">
        <v>1184200.0499999998</v>
      </c>
      <c r="BI101" s="20"/>
      <c r="BJ101" s="18">
        <f t="shared" si="184"/>
        <v>1184200.0499999998</v>
      </c>
      <c r="BK101" s="6">
        <f t="shared" si="188"/>
        <v>2016</v>
      </c>
      <c r="BL101" s="20">
        <f t="shared" si="185"/>
        <v>6352859.0499999998</v>
      </c>
      <c r="BM101" s="20">
        <f t="shared" si="181"/>
        <v>0</v>
      </c>
      <c r="BN101" s="20">
        <f t="shared" si="182"/>
        <v>6352859.0499999998</v>
      </c>
    </row>
    <row r="102" spans="1:66">
      <c r="A102" s="64"/>
      <c r="C102" s="3"/>
      <c r="BC102" s="6">
        <f t="shared" si="186"/>
        <v>2017</v>
      </c>
      <c r="BD102" s="18">
        <v>2251391.89</v>
      </c>
      <c r="BE102" s="95">
        <v>128908</v>
      </c>
      <c r="BF102" s="18">
        <f t="shared" si="183"/>
        <v>2122483.89</v>
      </c>
      <c r="BG102" s="6">
        <f t="shared" si="187"/>
        <v>2017</v>
      </c>
      <c r="BH102" s="17">
        <v>6040460.8695652159</v>
      </c>
      <c r="BI102" s="20">
        <v>1182753.8913043477</v>
      </c>
      <c r="BJ102" s="18">
        <f t="shared" si="184"/>
        <v>4857706.9782608682</v>
      </c>
      <c r="BK102" s="6">
        <f t="shared" si="188"/>
        <v>2017</v>
      </c>
      <c r="BL102" s="20">
        <f t="shared" si="185"/>
        <v>8291852.7595652156</v>
      </c>
      <c r="BM102" s="20">
        <f t="shared" si="181"/>
        <v>1311661.8913043477</v>
      </c>
      <c r="BN102" s="20">
        <f t="shared" si="182"/>
        <v>6980190.8682608679</v>
      </c>
    </row>
    <row r="103" spans="1:66">
      <c r="A103" s="64"/>
      <c r="C103" s="140"/>
      <c r="BC103" s="6">
        <f t="shared" si="186"/>
        <v>2018</v>
      </c>
      <c r="BD103" s="18">
        <v>2441213.71</v>
      </c>
      <c r="BE103" s="95">
        <v>0</v>
      </c>
      <c r="BF103" s="18">
        <f t="shared" si="183"/>
        <v>2441213.71</v>
      </c>
      <c r="BG103" s="6">
        <f t="shared" si="187"/>
        <v>2018</v>
      </c>
      <c r="BH103" s="17">
        <v>1267352.2547058826</v>
      </c>
      <c r="BI103" s="20">
        <v>70147.058823529471</v>
      </c>
      <c r="BJ103" s="18">
        <f t="shared" si="184"/>
        <v>1197205.1958823532</v>
      </c>
      <c r="BK103" s="6">
        <f t="shared" si="188"/>
        <v>2018</v>
      </c>
      <c r="BL103" s="20">
        <f t="shared" si="185"/>
        <v>3708565.9647058826</v>
      </c>
      <c r="BM103" s="20">
        <f t="shared" si="181"/>
        <v>70147.058823529471</v>
      </c>
      <c r="BN103" s="20">
        <f t="shared" si="182"/>
        <v>3638418.905882353</v>
      </c>
    </row>
    <row r="104" spans="1:66">
      <c r="A104" s="52"/>
      <c r="C104" s="3"/>
      <c r="BC104" s="6">
        <f t="shared" si="186"/>
        <v>2019</v>
      </c>
      <c r="BD104" s="18">
        <v>1177247.3799999999</v>
      </c>
      <c r="BE104" s="95">
        <v>27689</v>
      </c>
      <c r="BF104" s="18">
        <f t="shared" si="183"/>
        <v>1149558.3799999999</v>
      </c>
      <c r="BG104" s="6">
        <f t="shared" si="187"/>
        <v>2019</v>
      </c>
      <c r="BH104" s="17">
        <v>3612495.5036363634</v>
      </c>
      <c r="BI104" s="20">
        <v>317601.90909090894</v>
      </c>
      <c r="BJ104" s="18">
        <f t="shared" si="184"/>
        <v>3294893.5945454547</v>
      </c>
      <c r="BK104" s="6">
        <f t="shared" si="188"/>
        <v>2019</v>
      </c>
      <c r="BL104" s="20">
        <f t="shared" si="185"/>
        <v>4789742.8836363629</v>
      </c>
      <c r="BM104" s="20">
        <f t="shared" si="181"/>
        <v>345290.90909090894</v>
      </c>
      <c r="BN104" s="20">
        <f t="shared" si="182"/>
        <v>4444451.9745454546</v>
      </c>
    </row>
    <row r="105" spans="1:66">
      <c r="A105" s="52"/>
      <c r="C105" s="3"/>
      <c r="BC105" s="6">
        <f t="shared" si="186"/>
        <v>2020</v>
      </c>
      <c r="BE105" s="95">
        <v>0</v>
      </c>
      <c r="BF105" s="18">
        <f t="shared" si="183"/>
        <v>0</v>
      </c>
      <c r="BG105" s="6">
        <f t="shared" si="187"/>
        <v>2020</v>
      </c>
      <c r="BJ105" s="18">
        <f t="shared" si="184"/>
        <v>0</v>
      </c>
      <c r="BK105" s="6">
        <f t="shared" si="188"/>
        <v>2020</v>
      </c>
      <c r="BL105" s="20">
        <f t="shared" si="185"/>
        <v>0</v>
      </c>
      <c r="BM105" s="20">
        <f t="shared" si="181"/>
        <v>0</v>
      </c>
      <c r="BN105" s="20">
        <f t="shared" si="182"/>
        <v>0</v>
      </c>
    </row>
    <row r="106" spans="1:66">
      <c r="BC106" s="6">
        <f t="shared" si="186"/>
        <v>2021</v>
      </c>
      <c r="BD106" s="18">
        <v>0</v>
      </c>
      <c r="BE106" s="95">
        <f>SUM('Exhibit A,3'!AV43:AZ43)</f>
        <v>0</v>
      </c>
      <c r="BF106" s="18">
        <f t="shared" si="183"/>
        <v>0</v>
      </c>
      <c r="BG106" s="6">
        <f t="shared" si="187"/>
        <v>2021</v>
      </c>
      <c r="BJ106" s="18">
        <f t="shared" si="184"/>
        <v>0</v>
      </c>
      <c r="BK106" s="6">
        <f t="shared" si="188"/>
        <v>2021</v>
      </c>
      <c r="BL106" s="20">
        <f t="shared" si="185"/>
        <v>0</v>
      </c>
      <c r="BM106" s="20">
        <f t="shared" si="181"/>
        <v>0</v>
      </c>
      <c r="BN106" s="20">
        <f t="shared" si="182"/>
        <v>0</v>
      </c>
    </row>
    <row r="107" spans="1:66">
      <c r="BC107" s="6"/>
      <c r="BD107" s="18"/>
      <c r="BE107" s="95"/>
      <c r="BG107" s="6"/>
      <c r="BK107" s="6"/>
    </row>
    <row r="108" spans="1:66">
      <c r="BD108" s="63"/>
      <c r="BE108" s="63"/>
      <c r="BF108" s="63"/>
      <c r="BH108" s="63"/>
      <c r="BI108" s="63"/>
      <c r="BJ108" s="63"/>
      <c r="BL108" s="63"/>
      <c r="BM108" s="63"/>
      <c r="BN108" s="63"/>
    </row>
    <row r="109" spans="1:66">
      <c r="BC109" s="2" t="s">
        <v>0</v>
      </c>
      <c r="BD109" s="26">
        <f>SUM(BD99:BD108)</f>
        <v>11038511.98</v>
      </c>
      <c r="BE109" s="26">
        <f>SUM(BE99:BE108)</f>
        <v>156597</v>
      </c>
      <c r="BF109" s="26">
        <f>SUM(BF99:BF108)</f>
        <v>10881914.98</v>
      </c>
      <c r="BG109" s="2" t="s">
        <v>0</v>
      </c>
      <c r="BH109" s="26">
        <f>SUM(BH99:BH108)</f>
        <v>12104508.677907463</v>
      </c>
      <c r="BI109" s="26">
        <f>SUM(BI99:BI108)</f>
        <v>1570502.859218786</v>
      </c>
      <c r="BJ109" s="26">
        <f>SUM(BJ99:BJ108)</f>
        <v>10534005.818688676</v>
      </c>
      <c r="BK109" s="2" t="s">
        <v>0</v>
      </c>
      <c r="BL109" s="26">
        <f>SUM(BL99:BL108)</f>
        <v>23143020.657907464</v>
      </c>
      <c r="BM109" s="26">
        <f>SUM(BM99:BM108)</f>
        <v>1727099.859218786</v>
      </c>
      <c r="BN109" s="26">
        <f>SUM(BN99:BN108)</f>
        <v>21415920.79868868</v>
      </c>
    </row>
    <row r="112" spans="1:66">
      <c r="BC112" s="6" t="s">
        <v>1502</v>
      </c>
      <c r="BE112" s="6" t="s">
        <v>12</v>
      </c>
      <c r="BI112" s="6" t="s">
        <v>381</v>
      </c>
      <c r="BK112" s="6" t="s">
        <v>1502</v>
      </c>
      <c r="BM112" s="6" t="s">
        <v>381</v>
      </c>
    </row>
    <row r="113" spans="55:66">
      <c r="BC113" s="6" t="s">
        <v>4</v>
      </c>
      <c r="BD113" s="6" t="s">
        <v>1499</v>
      </c>
      <c r="BE113" s="6" t="s">
        <v>1500</v>
      </c>
      <c r="BF113" s="6" t="s">
        <v>1501</v>
      </c>
      <c r="BG113" s="6" t="s">
        <v>1502</v>
      </c>
      <c r="BH113" s="6" t="s">
        <v>1499</v>
      </c>
      <c r="BI113" s="6" t="s">
        <v>1500</v>
      </c>
      <c r="BJ113" s="6" t="s">
        <v>1501</v>
      </c>
      <c r="BK113" s="6" t="s">
        <v>4</v>
      </c>
      <c r="BL113" s="6" t="s">
        <v>1499</v>
      </c>
      <c r="BM113" s="6" t="s">
        <v>1500</v>
      </c>
      <c r="BN113" s="6" t="s">
        <v>1501</v>
      </c>
    </row>
    <row r="115" spans="55:66">
      <c r="BC115" s="6">
        <v>2013</v>
      </c>
      <c r="BD115" s="20">
        <f>BD81-BD98</f>
        <v>0</v>
      </c>
      <c r="BE115" s="20">
        <f>BE81-BE98</f>
        <v>0</v>
      </c>
      <c r="BF115" s="20">
        <f>BF81-BF98</f>
        <v>0</v>
      </c>
      <c r="BG115" s="6">
        <v>2013</v>
      </c>
      <c r="BH115" s="20">
        <f t="shared" ref="BH115:BJ123" si="189">BH81-BH98</f>
        <v>0</v>
      </c>
      <c r="BI115" s="20">
        <f t="shared" si="189"/>
        <v>0</v>
      </c>
      <c r="BJ115" s="20">
        <f t="shared" si="189"/>
        <v>0</v>
      </c>
      <c r="BK115" s="6">
        <v>2013</v>
      </c>
      <c r="BL115" s="20">
        <f>BD115+BH115</f>
        <v>0</v>
      </c>
      <c r="BM115" s="20">
        <f t="shared" ref="BM115:BM123" si="190">BE115+BI115</f>
        <v>0</v>
      </c>
      <c r="BN115" s="20">
        <f t="shared" ref="BN115:BN123" si="191">BF115+BJ115</f>
        <v>0</v>
      </c>
    </row>
    <row r="116" spans="55:66">
      <c r="BC116" s="6">
        <f>BC115+1</f>
        <v>2014</v>
      </c>
      <c r="BD116" s="20">
        <f t="shared" ref="BD116:BF123" si="192">BD82-BD99</f>
        <v>0</v>
      </c>
      <c r="BE116" s="20">
        <f t="shared" si="192"/>
        <v>0</v>
      </c>
      <c r="BF116" s="20">
        <f t="shared" si="192"/>
        <v>0</v>
      </c>
      <c r="BG116" s="6">
        <f>BG115+1</f>
        <v>2014</v>
      </c>
      <c r="BH116" s="20">
        <f t="shared" si="189"/>
        <v>0</v>
      </c>
      <c r="BI116" s="20">
        <f t="shared" si="189"/>
        <v>0</v>
      </c>
      <c r="BJ116" s="20">
        <f t="shared" si="189"/>
        <v>0</v>
      </c>
      <c r="BK116" s="6">
        <f>BK115+1</f>
        <v>2014</v>
      </c>
      <c r="BL116" s="20">
        <f t="shared" ref="BL116:BL123" si="193">BD116+BH116</f>
        <v>0</v>
      </c>
      <c r="BM116" s="20">
        <f t="shared" si="190"/>
        <v>0</v>
      </c>
      <c r="BN116" s="20">
        <f t="shared" si="191"/>
        <v>0</v>
      </c>
    </row>
    <row r="117" spans="55:66">
      <c r="BC117" s="6">
        <f t="shared" ref="BC117:BC123" si="194">BC116+1</f>
        <v>2015</v>
      </c>
      <c r="BD117" s="20">
        <f t="shared" si="192"/>
        <v>0</v>
      </c>
      <c r="BE117" s="20">
        <f t="shared" si="192"/>
        <v>0</v>
      </c>
      <c r="BF117" s="20">
        <f t="shared" si="192"/>
        <v>0</v>
      </c>
      <c r="BG117" s="6">
        <f t="shared" ref="BG117:BG123" si="195">BG116+1</f>
        <v>2015</v>
      </c>
      <c r="BH117" s="20">
        <f t="shared" si="189"/>
        <v>0</v>
      </c>
      <c r="BI117" s="20">
        <f t="shared" si="189"/>
        <v>0</v>
      </c>
      <c r="BJ117" s="20">
        <f t="shared" si="189"/>
        <v>0</v>
      </c>
      <c r="BK117" s="6">
        <f t="shared" ref="BK117:BK123" si="196">BK116+1</f>
        <v>2015</v>
      </c>
      <c r="BL117" s="20">
        <f t="shared" si="193"/>
        <v>0</v>
      </c>
      <c r="BM117" s="20">
        <f t="shared" si="190"/>
        <v>0</v>
      </c>
      <c r="BN117" s="20">
        <f t="shared" si="191"/>
        <v>0</v>
      </c>
    </row>
    <row r="118" spans="55:66">
      <c r="BC118" s="6">
        <f t="shared" si="194"/>
        <v>2016</v>
      </c>
      <c r="BD118" s="20">
        <f t="shared" si="192"/>
        <v>-5168659</v>
      </c>
      <c r="BE118" s="20">
        <f t="shared" si="192"/>
        <v>0</v>
      </c>
      <c r="BF118" s="20">
        <f t="shared" si="192"/>
        <v>-5168659</v>
      </c>
      <c r="BG118" s="6">
        <f t="shared" si="195"/>
        <v>2016</v>
      </c>
      <c r="BH118" s="20" t="e">
        <f t="shared" si="189"/>
        <v>#REF!</v>
      </c>
      <c r="BI118" s="20">
        <f t="shared" si="189"/>
        <v>0</v>
      </c>
      <c r="BJ118" s="20" t="e">
        <f t="shared" si="189"/>
        <v>#REF!</v>
      </c>
      <c r="BK118" s="6">
        <f t="shared" si="196"/>
        <v>2016</v>
      </c>
      <c r="BL118" s="20" t="e">
        <f t="shared" si="193"/>
        <v>#REF!</v>
      </c>
      <c r="BM118" s="20">
        <f t="shared" si="190"/>
        <v>0</v>
      </c>
      <c r="BN118" s="20" t="e">
        <f t="shared" si="191"/>
        <v>#REF!</v>
      </c>
    </row>
    <row r="119" spans="55:66">
      <c r="BC119" s="6">
        <f t="shared" si="194"/>
        <v>2017</v>
      </c>
      <c r="BD119" s="20">
        <f t="shared" si="192"/>
        <v>-2251391.89</v>
      </c>
      <c r="BE119" s="20">
        <f t="shared" si="192"/>
        <v>11305642.84</v>
      </c>
      <c r="BF119" s="20">
        <f t="shared" si="192"/>
        <v>-13557034.73</v>
      </c>
      <c r="BG119" s="6">
        <f t="shared" si="195"/>
        <v>2017</v>
      </c>
      <c r="BH119" s="20" t="e">
        <f t="shared" si="189"/>
        <v>#REF!</v>
      </c>
      <c r="BI119" s="20">
        <f t="shared" si="189"/>
        <v>-1182753.8913043477</v>
      </c>
      <c r="BJ119" s="20" t="e">
        <f t="shared" si="189"/>
        <v>#REF!</v>
      </c>
      <c r="BK119" s="6">
        <f t="shared" si="196"/>
        <v>2017</v>
      </c>
      <c r="BL119" s="20" t="e">
        <f t="shared" si="193"/>
        <v>#REF!</v>
      </c>
      <c r="BM119" s="20">
        <f t="shared" si="190"/>
        <v>10122888.948695652</v>
      </c>
      <c r="BN119" s="20" t="e">
        <f t="shared" si="191"/>
        <v>#REF!</v>
      </c>
    </row>
    <row r="120" spans="55:66">
      <c r="BC120" s="6">
        <f t="shared" si="194"/>
        <v>2018</v>
      </c>
      <c r="BD120" s="20">
        <f t="shared" si="192"/>
        <v>-2441213.71</v>
      </c>
      <c r="BE120" s="20">
        <f t="shared" si="192"/>
        <v>6032791.6599999974</v>
      </c>
      <c r="BF120" s="20">
        <f t="shared" si="192"/>
        <v>-8474005.3699999973</v>
      </c>
      <c r="BG120" s="6">
        <f t="shared" si="195"/>
        <v>2018</v>
      </c>
      <c r="BH120" s="20" t="e">
        <f t="shared" si="189"/>
        <v>#REF!</v>
      </c>
      <c r="BI120" s="20">
        <f t="shared" si="189"/>
        <v>-70147.058823529471</v>
      </c>
      <c r="BJ120" s="20" t="e">
        <f t="shared" si="189"/>
        <v>#REF!</v>
      </c>
      <c r="BK120" s="6">
        <f t="shared" si="196"/>
        <v>2018</v>
      </c>
      <c r="BL120" s="20" t="e">
        <f t="shared" si="193"/>
        <v>#REF!</v>
      </c>
      <c r="BM120" s="20">
        <f t="shared" si="190"/>
        <v>5962644.6011764677</v>
      </c>
      <c r="BN120" s="20" t="e">
        <f t="shared" si="191"/>
        <v>#REF!</v>
      </c>
    </row>
    <row r="121" spans="55:66">
      <c r="BC121" s="6">
        <f t="shared" si="194"/>
        <v>2019</v>
      </c>
      <c r="BD121" s="20">
        <f t="shared" si="192"/>
        <v>-1177247.3799999999</v>
      </c>
      <c r="BE121" s="20">
        <f t="shared" si="192"/>
        <v>8491850.370000001</v>
      </c>
      <c r="BF121" s="20">
        <f t="shared" si="192"/>
        <v>-9669097.75</v>
      </c>
      <c r="BG121" s="6">
        <f t="shared" si="195"/>
        <v>2019</v>
      </c>
      <c r="BH121" s="20" t="e">
        <f t="shared" si="189"/>
        <v>#REF!</v>
      </c>
      <c r="BI121" s="20">
        <f t="shared" si="189"/>
        <v>-317601.90909090894</v>
      </c>
      <c r="BJ121" s="20" t="e">
        <f t="shared" si="189"/>
        <v>#REF!</v>
      </c>
      <c r="BK121" s="6">
        <f t="shared" si="196"/>
        <v>2019</v>
      </c>
      <c r="BL121" s="20" t="e">
        <f t="shared" si="193"/>
        <v>#REF!</v>
      </c>
      <c r="BM121" s="20">
        <f t="shared" si="190"/>
        <v>8174248.4609090919</v>
      </c>
      <c r="BN121" s="20" t="e">
        <f t="shared" si="191"/>
        <v>#REF!</v>
      </c>
    </row>
    <row r="122" spans="55:66">
      <c r="BC122" s="6">
        <f t="shared" si="194"/>
        <v>2020</v>
      </c>
      <c r="BD122" s="20">
        <f t="shared" si="192"/>
        <v>0</v>
      </c>
      <c r="BE122" s="20">
        <f t="shared" si="192"/>
        <v>0</v>
      </c>
      <c r="BF122" s="20">
        <f t="shared" si="192"/>
        <v>0</v>
      </c>
      <c r="BG122" s="6">
        <f t="shared" si="195"/>
        <v>2020</v>
      </c>
      <c r="BH122" s="20" t="e">
        <f t="shared" si="189"/>
        <v>#REF!</v>
      </c>
      <c r="BI122" s="20">
        <f t="shared" si="189"/>
        <v>0</v>
      </c>
      <c r="BJ122" s="20" t="e">
        <f t="shared" si="189"/>
        <v>#REF!</v>
      </c>
      <c r="BK122" s="6">
        <f t="shared" si="196"/>
        <v>2020</v>
      </c>
      <c r="BL122" s="20" t="e">
        <f t="shared" si="193"/>
        <v>#REF!</v>
      </c>
      <c r="BM122" s="20">
        <f t="shared" si="190"/>
        <v>0</v>
      </c>
      <c r="BN122" s="20" t="e">
        <f t="shared" si="191"/>
        <v>#REF!</v>
      </c>
    </row>
    <row r="123" spans="55:66">
      <c r="BC123" s="6">
        <f t="shared" si="194"/>
        <v>2021</v>
      </c>
      <c r="BD123" s="20">
        <f t="shared" si="192"/>
        <v>0</v>
      </c>
      <c r="BE123" s="20">
        <f t="shared" si="192"/>
        <v>0</v>
      </c>
      <c r="BF123" s="20">
        <f t="shared" si="192"/>
        <v>0</v>
      </c>
      <c r="BG123" s="6">
        <f t="shared" si="195"/>
        <v>2021</v>
      </c>
      <c r="BH123" s="20" t="e">
        <f t="shared" si="189"/>
        <v>#REF!</v>
      </c>
      <c r="BI123" s="20">
        <f t="shared" si="189"/>
        <v>0</v>
      </c>
      <c r="BJ123" s="20" t="e">
        <f t="shared" si="189"/>
        <v>#REF!</v>
      </c>
      <c r="BK123" s="6">
        <f t="shared" si="196"/>
        <v>2021</v>
      </c>
      <c r="BL123" s="20" t="e">
        <f t="shared" si="193"/>
        <v>#REF!</v>
      </c>
      <c r="BM123" s="20">
        <f t="shared" si="190"/>
        <v>0</v>
      </c>
      <c r="BN123" s="20" t="e">
        <f t="shared" si="191"/>
        <v>#REF!</v>
      </c>
    </row>
    <row r="124" spans="55:66">
      <c r="BC124" s="6"/>
      <c r="BD124" s="18"/>
      <c r="BE124" s="95"/>
      <c r="BG124" s="6"/>
    </row>
    <row r="125" spans="55:66">
      <c r="BD125" s="63"/>
      <c r="BE125" s="63"/>
      <c r="BF125" s="63"/>
      <c r="BH125" s="63"/>
      <c r="BI125" s="63"/>
      <c r="BJ125" s="63"/>
      <c r="BL125" s="63"/>
      <c r="BM125" s="63"/>
      <c r="BN125" s="63"/>
    </row>
    <row r="126" spans="55:66">
      <c r="BC126" s="2" t="s">
        <v>0</v>
      </c>
      <c r="BD126" s="26">
        <f>SUM(BD116:BD125)</f>
        <v>-11038511.98</v>
      </c>
      <c r="BE126" s="26">
        <f>SUM(BE116:BE125)</f>
        <v>25830284.869999997</v>
      </c>
      <c r="BF126" s="26">
        <f>SUM(BF116:BF125)</f>
        <v>-36868796.849999994</v>
      </c>
      <c r="BG126" s="2" t="s">
        <v>0</v>
      </c>
      <c r="BH126" s="26" t="e">
        <f>SUM(BH116:BH125)</f>
        <v>#REF!</v>
      </c>
      <c r="BI126" s="26">
        <f>SUM(BI116:BI125)</f>
        <v>-1570502.859218786</v>
      </c>
      <c r="BJ126" s="26" t="e">
        <f>SUM(BJ116:BJ125)</f>
        <v>#REF!</v>
      </c>
      <c r="BL126" s="26" t="e">
        <f>SUM(BL116:BL125)</f>
        <v>#REF!</v>
      </c>
      <c r="BM126" s="26">
        <f>SUM(BM116:BM125)</f>
        <v>24259782.01078121</v>
      </c>
      <c r="BN126" s="26" t="e">
        <f>SUM(BN116:BN125)</f>
        <v>#REF!</v>
      </c>
    </row>
  </sheetData>
  <printOptions horizontalCentered="1"/>
  <pageMargins left="0.7" right="0.7" top="0.75" bottom="0.75" header="0.3" footer="0.3"/>
  <pageSetup scale="38" orientation="landscape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3">
    <pageSetUpPr fitToPage="1"/>
  </sheetPr>
  <dimension ref="A1:AG52"/>
  <sheetViews>
    <sheetView topLeftCell="A33" zoomScale="70" zoomScaleNormal="70" workbookViewId="0">
      <selection activeCell="K36" sqref="K36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1.7109375" style="1" customWidth="1"/>
    <col min="14" max="14" width="1.7109375" style="1" customWidth="1"/>
    <col min="15" max="15" width="11.7109375" style="1" customWidth="1"/>
    <col min="16" max="16" width="1.7109375" style="1" customWidth="1"/>
    <col min="17" max="17" width="11.7109375" style="1" customWidth="1"/>
    <col min="18" max="18" width="1.7109375" style="1" customWidth="1"/>
    <col min="19" max="19" width="9.7109375" style="1" customWidth="1"/>
    <col min="20" max="20" width="1.7109375" style="1" customWidth="1"/>
    <col min="21" max="21" width="10.7109375" style="1" customWidth="1"/>
    <col min="22" max="22" width="1.7109375" style="1" customWidth="1"/>
    <col min="23" max="23" width="11.7109375" style="1" customWidth="1"/>
    <col min="24" max="16384" width="8.7109375" style="1"/>
  </cols>
  <sheetData>
    <row r="1" spans="1:33">
      <c r="W1" s="64" t="s">
        <v>114</v>
      </c>
    </row>
    <row r="2" spans="1:33">
      <c r="U2" s="3"/>
      <c r="W2" s="64" t="s">
        <v>56</v>
      </c>
    </row>
    <row r="3" spans="1:33">
      <c r="U3" s="3"/>
    </row>
    <row r="4" spans="1:33" ht="16">
      <c r="A4" s="4" t="s">
        <v>1550</v>
      </c>
      <c r="B4" s="4"/>
      <c r="C4" s="4"/>
      <c r="D4" s="4"/>
      <c r="E4" s="4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33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33">
      <c r="A6" s="5" t="s">
        <v>128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33">
      <c r="A7" s="5" t="s">
        <v>325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33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33">
      <c r="A9" s="5"/>
      <c r="B9" s="5"/>
      <c r="C9" s="5"/>
      <c r="D9" s="5"/>
      <c r="E9" s="5"/>
      <c r="F9" s="5"/>
      <c r="G9" s="5"/>
      <c r="H9" s="5"/>
    </row>
    <row r="11" spans="1:33">
      <c r="C11" s="7" t="s">
        <v>282</v>
      </c>
      <c r="D11" s="8"/>
      <c r="E11" s="8"/>
      <c r="F11" s="8"/>
      <c r="G11" s="8"/>
      <c r="H11" s="8"/>
      <c r="I11" s="8"/>
      <c r="J11" s="8"/>
      <c r="K11" s="8"/>
      <c r="M11" s="7" t="s">
        <v>132</v>
      </c>
      <c r="N11" s="8"/>
      <c r="O11" s="8"/>
      <c r="P11" s="8"/>
      <c r="Q11" s="8"/>
      <c r="S11" s="7" t="s">
        <v>197</v>
      </c>
      <c r="T11" s="8"/>
      <c r="U11" s="8"/>
      <c r="V11" s="8"/>
      <c r="W11" s="8"/>
    </row>
    <row r="12" spans="1:33">
      <c r="A12" s="2" t="s">
        <v>6</v>
      </c>
      <c r="B12" s="2"/>
      <c r="C12" s="2" t="s">
        <v>177</v>
      </c>
      <c r="D12" s="2"/>
      <c r="E12" s="2" t="s">
        <v>280</v>
      </c>
      <c r="G12" s="2" t="s">
        <v>321</v>
      </c>
      <c r="I12" s="2" t="s">
        <v>12</v>
      </c>
      <c r="K12" s="2" t="s">
        <v>14</v>
      </c>
      <c r="M12" s="2" t="s">
        <v>177</v>
      </c>
      <c r="O12" s="2" t="s">
        <v>12</v>
      </c>
      <c r="Q12" s="2" t="s">
        <v>14</v>
      </c>
      <c r="S12" s="2" t="s">
        <v>177</v>
      </c>
      <c r="U12" s="2" t="s">
        <v>12</v>
      </c>
      <c r="W12" s="2" t="s">
        <v>14</v>
      </c>
      <c r="Z12" s="61"/>
      <c r="AA12" s="61"/>
      <c r="AB12" s="61"/>
      <c r="AC12" s="61"/>
      <c r="AD12" s="61"/>
      <c r="AE12" s="61"/>
      <c r="AF12" s="61"/>
      <c r="AG12" s="61"/>
    </row>
    <row r="13" spans="1:33">
      <c r="A13" s="2" t="s">
        <v>4</v>
      </c>
      <c r="B13" s="2"/>
      <c r="C13" s="2" t="s">
        <v>16</v>
      </c>
      <c r="D13" s="2"/>
      <c r="E13" s="2" t="s">
        <v>119</v>
      </c>
      <c r="G13" s="2" t="s">
        <v>177</v>
      </c>
      <c r="I13" s="2" t="s">
        <v>55</v>
      </c>
      <c r="K13" s="2" t="s">
        <v>55</v>
      </c>
      <c r="M13" s="2" t="s">
        <v>16</v>
      </c>
      <c r="O13" s="2" t="s">
        <v>55</v>
      </c>
      <c r="Q13" s="2" t="s">
        <v>55</v>
      </c>
      <c r="S13" s="2" t="s">
        <v>16</v>
      </c>
      <c r="U13" s="2" t="s">
        <v>55</v>
      </c>
      <c r="W13" s="2" t="s">
        <v>55</v>
      </c>
      <c r="Z13" s="61"/>
      <c r="AA13" s="61"/>
      <c r="AB13" s="61"/>
      <c r="AC13" s="61"/>
      <c r="AD13" s="61"/>
      <c r="AE13" s="61"/>
      <c r="AF13" s="61"/>
      <c r="AG13" s="61"/>
    </row>
    <row r="14" spans="1:33">
      <c r="A14" s="10">
        <v>-1</v>
      </c>
      <c r="B14" s="11"/>
      <c r="C14" s="10">
        <v>-2</v>
      </c>
      <c r="E14" s="10">
        <v>-3</v>
      </c>
      <c r="G14" s="10">
        <v>-4</v>
      </c>
      <c r="I14" s="10">
        <v>-5</v>
      </c>
      <c r="K14" s="10">
        <v>-6</v>
      </c>
      <c r="M14" s="10">
        <v>-7</v>
      </c>
      <c r="O14" s="10">
        <v>-8</v>
      </c>
      <c r="Q14" s="10">
        <v>-9</v>
      </c>
      <c r="S14" s="10">
        <v>-10</v>
      </c>
      <c r="U14" s="10">
        <v>-11</v>
      </c>
      <c r="W14" s="10">
        <v>-12</v>
      </c>
      <c r="Z14" s="61"/>
      <c r="AA14" s="61"/>
      <c r="AB14" s="61"/>
      <c r="AC14" s="61"/>
      <c r="AD14" s="61"/>
      <c r="AE14" s="61"/>
      <c r="AF14" s="61"/>
      <c r="AG14" s="61"/>
    </row>
    <row r="15" spans="1:33">
      <c r="G15" s="62"/>
      <c r="H15" s="11"/>
      <c r="I15" s="62"/>
      <c r="J15" s="11"/>
      <c r="K15" s="62"/>
      <c r="L15" s="11"/>
      <c r="M15" s="62"/>
      <c r="O15" s="62"/>
      <c r="Q15" s="62"/>
      <c r="S15" s="62"/>
      <c r="U15" s="62"/>
      <c r="W15" s="62"/>
      <c r="Z15" s="61"/>
      <c r="AA15" s="61"/>
      <c r="AB15" s="61"/>
      <c r="AC15" s="61"/>
      <c r="AD15" s="61"/>
      <c r="AE15" s="61"/>
      <c r="AF15" s="61"/>
      <c r="AG15" s="61"/>
    </row>
    <row r="16" spans="1:33">
      <c r="A16" s="65" t="s">
        <v>77</v>
      </c>
      <c r="B16" s="65"/>
      <c r="C16" s="65"/>
      <c r="D16" s="65"/>
      <c r="E16" s="65"/>
      <c r="Z16" s="61"/>
      <c r="AA16" s="61"/>
      <c r="AB16" s="61"/>
      <c r="AC16" s="61"/>
      <c r="AD16" s="61"/>
      <c r="AE16" s="61"/>
      <c r="AF16" s="61"/>
      <c r="AG16" s="61"/>
    </row>
    <row r="17" spans="1:33">
      <c r="A17" s="6">
        <v>2013</v>
      </c>
      <c r="B17" s="65"/>
      <c r="C17" s="147">
        <v>1340720</v>
      </c>
      <c r="D17" s="508"/>
      <c r="E17" s="147">
        <v>112000</v>
      </c>
      <c r="F17" s="147"/>
      <c r="G17" s="495">
        <f t="shared" ref="G17:G23" si="0">C17-E17</f>
        <v>1228720</v>
      </c>
      <c r="H17" s="147"/>
      <c r="I17" s="495">
        <f>'Exhibit B,2'!O59</f>
        <v>8861.26</v>
      </c>
      <c r="J17" s="495"/>
      <c r="K17" s="495">
        <f>'Exhibit B,2'!M59</f>
        <v>8861.26</v>
      </c>
      <c r="L17" s="147"/>
      <c r="M17" s="147">
        <v>1228000</v>
      </c>
      <c r="N17" s="147"/>
      <c r="O17" s="495">
        <v>9000</v>
      </c>
      <c r="P17" s="147"/>
      <c r="Q17" s="495">
        <v>9000</v>
      </c>
      <c r="R17" s="147"/>
      <c r="S17" s="495">
        <f t="shared" ref="S17:S25" si="1">M17-G17</f>
        <v>-720</v>
      </c>
      <c r="T17" s="495"/>
      <c r="U17" s="495">
        <f t="shared" ref="U17:U25" si="2">O17-I17</f>
        <v>138.73999999999978</v>
      </c>
      <c r="V17" s="495"/>
      <c r="W17" s="495">
        <f t="shared" ref="W17:W25" si="3">Q17-K17</f>
        <v>138.73999999999978</v>
      </c>
      <c r="Z17" s="61"/>
      <c r="AA17" s="61"/>
      <c r="AB17" s="61"/>
      <c r="AC17" s="61"/>
      <c r="AD17" s="61"/>
      <c r="AE17" s="61"/>
      <c r="AF17" s="61"/>
      <c r="AG17" s="61"/>
    </row>
    <row r="18" spans="1:33">
      <c r="A18" s="6">
        <f t="shared" ref="A18:A26" si="4">A17+1</f>
        <v>2014</v>
      </c>
      <c r="B18" s="65"/>
      <c r="C18" s="187">
        <v>1469856</v>
      </c>
      <c r="D18" s="514"/>
      <c r="E18" s="187">
        <v>62000</v>
      </c>
      <c r="F18" s="187"/>
      <c r="G18" s="494">
        <f t="shared" si="0"/>
        <v>1407856</v>
      </c>
      <c r="H18" s="187"/>
      <c r="I18" s="494">
        <f>'Exhibit B,2'!O60</f>
        <v>4078500.86</v>
      </c>
      <c r="J18" s="494"/>
      <c r="K18" s="494">
        <f>'Exhibit B,2'!M60</f>
        <v>4078500.86</v>
      </c>
      <c r="L18" s="187"/>
      <c r="M18" s="187">
        <v>1408000</v>
      </c>
      <c r="N18" s="187"/>
      <c r="O18" s="494">
        <v>4079000</v>
      </c>
      <c r="P18" s="187"/>
      <c r="Q18" s="494">
        <v>4079000</v>
      </c>
      <c r="R18" s="187"/>
      <c r="S18" s="494">
        <f t="shared" si="1"/>
        <v>144</v>
      </c>
      <c r="T18" s="494"/>
      <c r="U18" s="494">
        <f t="shared" si="2"/>
        <v>499.14000000013039</v>
      </c>
      <c r="V18" s="494"/>
      <c r="W18" s="494">
        <f t="shared" si="3"/>
        <v>499.14000000013039</v>
      </c>
      <c r="Z18" s="61"/>
      <c r="AA18" s="61"/>
      <c r="AB18" s="61"/>
      <c r="AC18" s="61"/>
      <c r="AD18" s="61"/>
      <c r="AE18" s="61"/>
      <c r="AF18" s="61"/>
      <c r="AG18" s="61"/>
    </row>
    <row r="19" spans="1:33">
      <c r="A19" s="6">
        <f t="shared" si="4"/>
        <v>2015</v>
      </c>
      <c r="B19" s="65"/>
      <c r="C19" s="187">
        <v>2106833</v>
      </c>
      <c r="D19" s="514"/>
      <c r="E19" s="187">
        <v>214000</v>
      </c>
      <c r="F19" s="187"/>
      <c r="G19" s="494">
        <f t="shared" si="0"/>
        <v>1892833</v>
      </c>
      <c r="H19" s="187"/>
      <c r="I19" s="494">
        <f>'Exhibit B,2'!O61</f>
        <v>2710527.3699999996</v>
      </c>
      <c r="J19" s="494"/>
      <c r="K19" s="494">
        <f>'Exhibit B,2'!M61</f>
        <v>2710527.3699999996</v>
      </c>
      <c r="L19" s="187"/>
      <c r="M19" s="187">
        <v>1893000</v>
      </c>
      <c r="N19" s="187"/>
      <c r="O19" s="494">
        <v>2711000</v>
      </c>
      <c r="P19" s="187"/>
      <c r="Q19" s="494">
        <v>2711000</v>
      </c>
      <c r="R19" s="187"/>
      <c r="S19" s="494">
        <f t="shared" si="1"/>
        <v>167</v>
      </c>
      <c r="T19" s="494"/>
      <c r="U19" s="494">
        <f t="shared" si="2"/>
        <v>472.6300000003539</v>
      </c>
      <c r="V19" s="494"/>
      <c r="W19" s="494">
        <f t="shared" si="3"/>
        <v>472.6300000003539</v>
      </c>
      <c r="Z19" s="61"/>
      <c r="AA19" s="61"/>
      <c r="AB19" s="61"/>
      <c r="AC19" s="61"/>
      <c r="AD19" s="61"/>
      <c r="AE19" s="61"/>
      <c r="AF19" s="61"/>
      <c r="AG19" s="61"/>
    </row>
    <row r="20" spans="1:33">
      <c r="A20" s="6">
        <f t="shared" si="4"/>
        <v>2016</v>
      </c>
      <c r="B20" s="65"/>
      <c r="C20" s="187">
        <v>1536735</v>
      </c>
      <c r="D20" s="514"/>
      <c r="E20" s="187">
        <v>303000</v>
      </c>
      <c r="F20" s="187"/>
      <c r="G20" s="494">
        <f t="shared" si="0"/>
        <v>1233735</v>
      </c>
      <c r="H20" s="187"/>
      <c r="I20" s="494">
        <f>'Exhibit B,2'!O62</f>
        <v>3014251.8099999996</v>
      </c>
      <c r="J20" s="494"/>
      <c r="K20" s="494">
        <f>'Exhibit B,2'!M62</f>
        <v>3014251.8099999996</v>
      </c>
      <c r="L20" s="187"/>
      <c r="M20" s="187">
        <v>1234000</v>
      </c>
      <c r="N20" s="187"/>
      <c r="O20" s="494">
        <v>3014000</v>
      </c>
      <c r="P20" s="187"/>
      <c r="Q20" s="494">
        <v>3014000</v>
      </c>
      <c r="R20" s="187"/>
      <c r="S20" s="494">
        <f t="shared" si="1"/>
        <v>265</v>
      </c>
      <c r="T20" s="494"/>
      <c r="U20" s="494">
        <f t="shared" si="2"/>
        <v>-251.80999999959022</v>
      </c>
      <c r="V20" s="494"/>
      <c r="W20" s="494">
        <f t="shared" si="3"/>
        <v>-251.80999999959022</v>
      </c>
      <c r="Z20" s="61"/>
      <c r="AA20" s="61"/>
      <c r="AB20" s="61"/>
      <c r="AC20" s="61"/>
      <c r="AD20" s="61"/>
      <c r="AE20" s="61"/>
      <c r="AF20" s="61"/>
      <c r="AG20" s="61"/>
    </row>
    <row r="21" spans="1:33">
      <c r="A21" s="6">
        <f t="shared" si="4"/>
        <v>2017</v>
      </c>
      <c r="B21" s="65"/>
      <c r="C21" s="187">
        <v>1862729</v>
      </c>
      <c r="D21" s="514"/>
      <c r="E21" s="187">
        <v>1000</v>
      </c>
      <c r="F21" s="187"/>
      <c r="G21" s="494">
        <f t="shared" si="0"/>
        <v>1861729</v>
      </c>
      <c r="H21" s="187"/>
      <c r="I21" s="494">
        <f>'Exhibit B,2'!O63</f>
        <v>2037482.28</v>
      </c>
      <c r="J21" s="494"/>
      <c r="K21" s="494">
        <f>'Exhibit B,2'!M63</f>
        <v>1785482.28</v>
      </c>
      <c r="L21" s="187"/>
      <c r="M21" s="187">
        <v>1862000</v>
      </c>
      <c r="N21" s="187"/>
      <c r="O21" s="494">
        <v>2271000</v>
      </c>
      <c r="P21" s="187"/>
      <c r="Q21" s="494">
        <v>1646000</v>
      </c>
      <c r="R21" s="187"/>
      <c r="S21" s="494">
        <f t="shared" si="1"/>
        <v>271</v>
      </c>
      <c r="T21" s="494"/>
      <c r="U21" s="494">
        <f t="shared" si="2"/>
        <v>233517.71999999997</v>
      </c>
      <c r="V21" s="494"/>
      <c r="W21" s="494">
        <f t="shared" si="3"/>
        <v>-139482.28000000003</v>
      </c>
      <c r="Z21" s="61"/>
      <c r="AA21" s="61"/>
      <c r="AB21" s="61"/>
      <c r="AC21" s="61"/>
      <c r="AD21" s="61"/>
      <c r="AE21" s="61"/>
      <c r="AF21" s="61"/>
      <c r="AG21" s="61"/>
    </row>
    <row r="22" spans="1:33">
      <c r="A22" s="6">
        <f t="shared" si="4"/>
        <v>2018</v>
      </c>
      <c r="B22" s="65"/>
      <c r="C22" s="187">
        <v>1667538</v>
      </c>
      <c r="D22" s="514"/>
      <c r="E22" s="187">
        <v>100000</v>
      </c>
      <c r="F22" s="187"/>
      <c r="G22" s="494">
        <f t="shared" si="0"/>
        <v>1567538</v>
      </c>
      <c r="H22" s="187"/>
      <c r="I22" s="494">
        <f>'Exhibit B,2'!O64</f>
        <v>91450.640000000014</v>
      </c>
      <c r="J22" s="494"/>
      <c r="K22" s="494">
        <f>'Exhibit B,2'!M64</f>
        <v>91450.640000000014</v>
      </c>
      <c r="L22" s="187"/>
      <c r="M22" s="187">
        <v>1566980</v>
      </c>
      <c r="N22" s="187"/>
      <c r="O22" s="494">
        <v>91000</v>
      </c>
      <c r="P22" s="187"/>
      <c r="Q22" s="494">
        <v>91000</v>
      </c>
      <c r="R22" s="187"/>
      <c r="S22" s="494">
        <f t="shared" si="1"/>
        <v>-558</v>
      </c>
      <c r="T22" s="494"/>
      <c r="U22" s="494">
        <f t="shared" si="2"/>
        <v>-450.64000000001397</v>
      </c>
      <c r="V22" s="494"/>
      <c r="W22" s="494">
        <f t="shared" si="3"/>
        <v>-450.64000000001397</v>
      </c>
      <c r="Z22" s="61"/>
      <c r="AA22" s="61"/>
      <c r="AB22" s="61"/>
      <c r="AC22" s="61"/>
      <c r="AD22" s="61"/>
      <c r="AE22" s="61"/>
      <c r="AF22" s="61"/>
      <c r="AG22" s="61"/>
    </row>
    <row r="23" spans="1:33">
      <c r="A23" s="6">
        <f t="shared" si="4"/>
        <v>2019</v>
      </c>
      <c r="B23" s="65"/>
      <c r="C23" s="187">
        <v>1769439.3900000004</v>
      </c>
      <c r="D23" s="514"/>
      <c r="E23" s="187">
        <v>268000</v>
      </c>
      <c r="F23" s="187"/>
      <c r="G23" s="494">
        <f t="shared" si="0"/>
        <v>1501439.3900000004</v>
      </c>
      <c r="H23" s="187"/>
      <c r="I23" s="494">
        <f>'Exhibit B,2'!O65</f>
        <v>3419917.54</v>
      </c>
      <c r="J23" s="494"/>
      <c r="K23" s="494">
        <f>'Exhibit B,2'!M65</f>
        <v>1918435.24</v>
      </c>
      <c r="L23" s="187"/>
      <c r="M23" s="187">
        <v>1502000</v>
      </c>
      <c r="N23" s="187"/>
      <c r="O23" s="494">
        <v>3269000</v>
      </c>
      <c r="P23" s="187"/>
      <c r="Q23" s="494">
        <v>1158000</v>
      </c>
      <c r="R23" s="187"/>
      <c r="S23" s="494">
        <f t="shared" si="1"/>
        <v>560.60999999963678</v>
      </c>
      <c r="T23" s="494"/>
      <c r="U23" s="494">
        <f t="shared" si="2"/>
        <v>-150917.54000000004</v>
      </c>
      <c r="V23" s="494"/>
      <c r="W23" s="494">
        <f t="shared" si="3"/>
        <v>-760435.24</v>
      </c>
      <c r="Z23" s="61"/>
      <c r="AA23" s="61"/>
      <c r="AB23" s="61"/>
      <c r="AC23" s="61"/>
      <c r="AD23" s="61"/>
      <c r="AE23" s="61"/>
      <c r="AF23" s="61"/>
      <c r="AG23" s="61"/>
    </row>
    <row r="24" spans="1:33">
      <c r="A24" s="6">
        <f t="shared" si="4"/>
        <v>2020</v>
      </c>
      <c r="B24" s="65"/>
      <c r="C24" s="187">
        <v>1668990.82</v>
      </c>
      <c r="D24" s="514"/>
      <c r="E24" s="187">
        <v>23000</v>
      </c>
      <c r="F24" s="187"/>
      <c r="G24" s="494">
        <f>C24-E24</f>
        <v>1645990.82</v>
      </c>
      <c r="H24" s="187"/>
      <c r="I24" s="494">
        <f>'Exhibit B,2'!O66</f>
        <v>1463982.8299999998</v>
      </c>
      <c r="J24" s="494"/>
      <c r="K24" s="494">
        <f>'Exhibit B,2'!M66</f>
        <v>1426777.8299999998</v>
      </c>
      <c r="L24" s="187"/>
      <c r="M24" s="187">
        <v>1646000</v>
      </c>
      <c r="N24" s="187"/>
      <c r="O24" s="494">
        <v>506000</v>
      </c>
      <c r="P24" s="187"/>
      <c r="Q24" s="494">
        <v>350000</v>
      </c>
      <c r="R24" s="187"/>
      <c r="S24" s="494">
        <f t="shared" si="1"/>
        <v>9.1799999999348074</v>
      </c>
      <c r="T24" s="494"/>
      <c r="U24" s="494">
        <f t="shared" si="2"/>
        <v>-957982.82999999984</v>
      </c>
      <c r="V24" s="494"/>
      <c r="W24" s="494">
        <f t="shared" si="3"/>
        <v>-1076777.8299999998</v>
      </c>
      <c r="Z24" s="61"/>
      <c r="AA24" s="61"/>
      <c r="AB24" s="61"/>
      <c r="AC24" s="61"/>
      <c r="AD24" s="61"/>
      <c r="AE24" s="61"/>
      <c r="AF24" s="61"/>
      <c r="AG24" s="61"/>
    </row>
    <row r="25" spans="1:33">
      <c r="A25" s="6">
        <f t="shared" si="4"/>
        <v>2021</v>
      </c>
      <c r="B25" s="65"/>
      <c r="C25" s="187">
        <v>1819557.4099999997</v>
      </c>
      <c r="D25" s="514"/>
      <c r="E25" s="187">
        <v>-396000</v>
      </c>
      <c r="F25" s="187"/>
      <c r="G25" s="494">
        <f>C25-E25</f>
        <v>2215557.4099999997</v>
      </c>
      <c r="H25" s="187"/>
      <c r="I25" s="494">
        <f>'Exhibit B,2'!O67</f>
        <v>3487415.05</v>
      </c>
      <c r="J25" s="494"/>
      <c r="K25" s="494">
        <f>'Exhibit B,2'!M67</f>
        <v>1236199.73</v>
      </c>
      <c r="L25" s="187"/>
      <c r="M25" s="187">
        <v>2215557</v>
      </c>
      <c r="N25" s="187"/>
      <c r="O25" s="494">
        <v>358000</v>
      </c>
      <c r="P25" s="187"/>
      <c r="Q25" s="494">
        <v>38000</v>
      </c>
      <c r="R25" s="187"/>
      <c r="S25" s="494">
        <f t="shared" si="1"/>
        <v>-0.40999999968335032</v>
      </c>
      <c r="T25" s="494"/>
      <c r="U25" s="494">
        <f t="shared" si="2"/>
        <v>-3129415.05</v>
      </c>
      <c r="V25" s="494"/>
      <c r="W25" s="494">
        <f t="shared" si="3"/>
        <v>-1198199.73</v>
      </c>
      <c r="Z25" s="61"/>
      <c r="AA25" s="61"/>
      <c r="AB25" s="61"/>
      <c r="AC25" s="61"/>
      <c r="AD25" s="61"/>
      <c r="AE25" s="61"/>
      <c r="AF25" s="61"/>
      <c r="AG25" s="61"/>
    </row>
    <row r="26" spans="1:33">
      <c r="A26" s="6">
        <f t="shared" si="4"/>
        <v>2022</v>
      </c>
      <c r="B26" s="65"/>
      <c r="C26" s="187"/>
      <c r="D26" s="514"/>
      <c r="E26" s="187"/>
      <c r="F26" s="187"/>
      <c r="G26" s="494"/>
      <c r="H26" s="187"/>
      <c r="I26" s="494"/>
      <c r="J26" s="494"/>
      <c r="K26" s="494"/>
      <c r="L26" s="187"/>
      <c r="M26" s="187"/>
      <c r="N26" s="187"/>
      <c r="O26" s="494"/>
      <c r="P26" s="187"/>
      <c r="Q26" s="494"/>
      <c r="R26" s="187"/>
      <c r="S26" s="494"/>
      <c r="T26" s="494"/>
      <c r="U26" s="494"/>
      <c r="V26" s="494"/>
      <c r="W26" s="494"/>
      <c r="Z26" s="61"/>
      <c r="AA26" s="61"/>
      <c r="AB26" s="61"/>
      <c r="AC26" s="61"/>
      <c r="AD26" s="61"/>
      <c r="AE26" s="61"/>
      <c r="AF26" s="61"/>
      <c r="AG26" s="61"/>
    </row>
    <row r="27" spans="1:33">
      <c r="A27" s="6"/>
      <c r="B27" s="65"/>
      <c r="C27" s="471"/>
      <c r="D27" s="6"/>
      <c r="E27" s="472"/>
      <c r="G27" s="345"/>
      <c r="I27" s="345"/>
      <c r="K27" s="345"/>
      <c r="M27" s="345"/>
      <c r="O27" s="345"/>
      <c r="Q27" s="345"/>
      <c r="S27" s="345"/>
      <c r="U27" s="345"/>
      <c r="W27" s="345"/>
      <c r="Z27" s="61"/>
      <c r="AA27" s="61"/>
      <c r="AB27" s="61"/>
      <c r="AC27" s="61"/>
      <c r="AD27" s="61"/>
      <c r="AE27" s="61"/>
      <c r="AF27" s="61"/>
      <c r="AG27" s="61"/>
    </row>
    <row r="28" spans="1:33">
      <c r="A28" s="2" t="s">
        <v>0</v>
      </c>
      <c r="B28" s="65"/>
      <c r="C28" s="147">
        <f>SUM(C17:C27)</f>
        <v>15242398.620000001</v>
      </c>
      <c r="D28" s="147"/>
      <c r="E28" s="147">
        <f>SUM(E17:E27)</f>
        <v>687000</v>
      </c>
      <c r="F28" s="147"/>
      <c r="G28" s="147">
        <f>SUM(G17:G27)</f>
        <v>14555398.620000001</v>
      </c>
      <c r="H28" s="147"/>
      <c r="I28" s="147">
        <f>SUM(I17:I27)</f>
        <v>20312389.639999997</v>
      </c>
      <c r="J28" s="147"/>
      <c r="K28" s="147">
        <f>SUM(K17:K27)</f>
        <v>16270487.02</v>
      </c>
      <c r="L28" s="147"/>
      <c r="M28" s="147">
        <f>SUM(M17:M27)</f>
        <v>14555537</v>
      </c>
      <c r="N28" s="147"/>
      <c r="O28" s="147">
        <f>SUM(O17:O27)</f>
        <v>16308000</v>
      </c>
      <c r="P28" s="147"/>
      <c r="Q28" s="147">
        <f>SUM(Q17:Q27)</f>
        <v>13096000</v>
      </c>
      <c r="R28" s="147"/>
      <c r="S28" s="147">
        <f>SUM(S17:S27)</f>
        <v>138.37999999988824</v>
      </c>
      <c r="T28" s="147"/>
      <c r="U28" s="147">
        <f>SUM(U17:U27)</f>
        <v>-4004389.6399999987</v>
      </c>
      <c r="V28" s="147"/>
      <c r="W28" s="147">
        <f>SUM(W17:W27)</f>
        <v>-3174487.0199999991</v>
      </c>
      <c r="Z28" s="61"/>
      <c r="AA28" s="61"/>
      <c r="AB28" s="61"/>
      <c r="AC28" s="61"/>
      <c r="AD28" s="61"/>
      <c r="AE28" s="61"/>
      <c r="AF28" s="61"/>
      <c r="AG28" s="61"/>
    </row>
    <row r="29" spans="1:33">
      <c r="B29" s="65"/>
      <c r="C29" s="26"/>
      <c r="D29" s="2"/>
      <c r="E29" s="26"/>
      <c r="G29" s="26"/>
      <c r="I29" s="26"/>
      <c r="K29" s="26"/>
      <c r="M29" s="26"/>
      <c r="O29" s="26"/>
      <c r="Q29" s="26"/>
      <c r="S29" s="26"/>
      <c r="U29" s="26"/>
      <c r="W29" s="26"/>
    </row>
    <row r="30" spans="1:33">
      <c r="A30" s="65" t="s">
        <v>118</v>
      </c>
      <c r="B30" s="65"/>
      <c r="C30" s="65"/>
      <c r="D30" s="65"/>
      <c r="E30" s="65"/>
    </row>
    <row r="31" spans="1:33">
      <c r="A31" s="6">
        <f>A17</f>
        <v>2013</v>
      </c>
      <c r="B31" s="6"/>
      <c r="C31" s="508"/>
      <c r="D31" s="508"/>
      <c r="E31" s="508"/>
      <c r="F31" s="147"/>
      <c r="G31" s="147"/>
      <c r="H31" s="147"/>
      <c r="I31" s="495">
        <f>'Exhibit A, 1d'!G45+'Exhibit A,2'!O45</f>
        <v>0</v>
      </c>
      <c r="J31" s="495"/>
      <c r="K31" s="495">
        <f>'Exhibit A, 1d'!E45+'Exhibit A,2'!M45</f>
        <v>0</v>
      </c>
      <c r="L31" s="147"/>
      <c r="M31" s="147"/>
      <c r="N31" s="147"/>
      <c r="O31" s="495">
        <v>0</v>
      </c>
      <c r="P31" s="495"/>
      <c r="Q31" s="495">
        <v>0</v>
      </c>
      <c r="R31" s="147"/>
      <c r="S31" s="147"/>
      <c r="T31" s="147"/>
      <c r="U31" s="495">
        <f>O31-I31</f>
        <v>0</v>
      </c>
      <c r="V31" s="495"/>
      <c r="W31" s="495">
        <f t="shared" ref="W31:W39" si="5">Q31-K31</f>
        <v>0</v>
      </c>
    </row>
    <row r="32" spans="1:33">
      <c r="A32" s="6">
        <f t="shared" ref="A32:A40" si="6">A31+1</f>
        <v>2014</v>
      </c>
      <c r="B32" s="6"/>
      <c r="C32" s="514"/>
      <c r="D32" s="514"/>
      <c r="E32" s="514"/>
      <c r="F32" s="187"/>
      <c r="G32" s="187"/>
      <c r="H32" s="187"/>
      <c r="I32" s="494">
        <f>'Exhibit A, 1d'!G46+'Exhibit A,2'!O46</f>
        <v>77600.820000000007</v>
      </c>
      <c r="J32" s="494"/>
      <c r="K32" s="494">
        <f>'Exhibit A, 1d'!E46+'Exhibit A,2'!M46</f>
        <v>77600.820000000007</v>
      </c>
      <c r="L32" s="187"/>
      <c r="M32" s="187"/>
      <c r="N32" s="187"/>
      <c r="O32" s="494">
        <v>278000</v>
      </c>
      <c r="P32" s="494"/>
      <c r="Q32" s="494">
        <v>278000</v>
      </c>
      <c r="R32" s="187"/>
      <c r="S32" s="187"/>
      <c r="T32" s="187"/>
      <c r="U32" s="494">
        <f t="shared" ref="U32:U39" si="7">O32-I32</f>
        <v>200399.18</v>
      </c>
      <c r="V32" s="494"/>
      <c r="W32" s="494">
        <f t="shared" si="5"/>
        <v>200399.18</v>
      </c>
    </row>
    <row r="33" spans="1:23">
      <c r="A33" s="6">
        <f t="shared" si="6"/>
        <v>2015</v>
      </c>
      <c r="B33" s="6"/>
      <c r="C33" s="514"/>
      <c r="D33" s="514"/>
      <c r="E33" s="514"/>
      <c r="F33" s="187"/>
      <c r="G33" s="187"/>
      <c r="H33" s="187"/>
      <c r="I33" s="494">
        <f>'Exhibit A, 1d'!G47+'Exhibit A,2'!O47</f>
        <v>21919.61</v>
      </c>
      <c r="J33" s="494"/>
      <c r="K33" s="494">
        <f>'Exhibit A, 1d'!E47+'Exhibit A,2'!M47</f>
        <v>21919.61</v>
      </c>
      <c r="L33" s="187"/>
      <c r="M33" s="187"/>
      <c r="N33" s="187"/>
      <c r="O33" s="494">
        <v>151000</v>
      </c>
      <c r="P33" s="494"/>
      <c r="Q33" s="494">
        <v>151000</v>
      </c>
      <c r="R33" s="187"/>
      <c r="S33" s="187"/>
      <c r="T33" s="187"/>
      <c r="U33" s="494">
        <f t="shared" si="7"/>
        <v>129080.39</v>
      </c>
      <c r="V33" s="494"/>
      <c r="W33" s="494">
        <f t="shared" si="5"/>
        <v>129080.39</v>
      </c>
    </row>
    <row r="34" spans="1:23">
      <c r="A34" s="6">
        <f t="shared" si="6"/>
        <v>2016</v>
      </c>
      <c r="B34" s="6"/>
      <c r="C34" s="514"/>
      <c r="D34" s="514"/>
      <c r="E34" s="514"/>
      <c r="F34" s="187"/>
      <c r="G34" s="187"/>
      <c r="H34" s="187"/>
      <c r="I34" s="494">
        <f>'Exhibit A, 1d'!G48+'Exhibit A,2'!O48</f>
        <v>16148.550000000001</v>
      </c>
      <c r="J34" s="494"/>
      <c r="K34" s="494">
        <f>'Exhibit A, 1d'!E48+'Exhibit A,2'!M48</f>
        <v>16148.550000000001</v>
      </c>
      <c r="L34" s="187"/>
      <c r="M34" s="187"/>
      <c r="N34" s="187"/>
      <c r="O34" s="494">
        <v>160000</v>
      </c>
      <c r="P34" s="494"/>
      <c r="Q34" s="494">
        <v>160000</v>
      </c>
      <c r="R34" s="187"/>
      <c r="S34" s="187"/>
      <c r="T34" s="187"/>
      <c r="U34" s="494">
        <f t="shared" si="7"/>
        <v>143851.45000000001</v>
      </c>
      <c r="V34" s="494"/>
      <c r="W34" s="494">
        <f t="shared" si="5"/>
        <v>143851.45000000001</v>
      </c>
    </row>
    <row r="35" spans="1:23">
      <c r="A35" s="6">
        <f t="shared" si="6"/>
        <v>2017</v>
      </c>
      <c r="B35" s="6"/>
      <c r="C35" s="514"/>
      <c r="D35" s="514"/>
      <c r="E35" s="514"/>
      <c r="F35" s="187"/>
      <c r="G35" s="187"/>
      <c r="H35" s="187"/>
      <c r="I35" s="494">
        <f>'Exhibit A, 1d'!G49+'Exhibit A,2'!O49</f>
        <v>21420.760000000002</v>
      </c>
      <c r="J35" s="494"/>
      <c r="K35" s="494">
        <f>'Exhibit A, 1d'!E49+'Exhibit A,2'!M49</f>
        <v>21420.760000000002</v>
      </c>
      <c r="L35" s="187"/>
      <c r="M35" s="187"/>
      <c r="N35" s="187"/>
      <c r="O35" s="494">
        <v>130000</v>
      </c>
      <c r="P35" s="494"/>
      <c r="Q35" s="494">
        <v>99000</v>
      </c>
      <c r="R35" s="187"/>
      <c r="S35" s="187"/>
      <c r="T35" s="187"/>
      <c r="U35" s="494">
        <f t="shared" si="7"/>
        <v>108579.23999999999</v>
      </c>
      <c r="V35" s="494"/>
      <c r="W35" s="494">
        <f t="shared" si="5"/>
        <v>77579.239999999991</v>
      </c>
    </row>
    <row r="36" spans="1:23">
      <c r="A36" s="6">
        <f t="shared" si="6"/>
        <v>2018</v>
      </c>
      <c r="B36" s="6"/>
      <c r="C36" s="514"/>
      <c r="D36" s="514"/>
      <c r="E36" s="514"/>
      <c r="F36" s="187"/>
      <c r="G36" s="187"/>
      <c r="H36" s="187"/>
      <c r="I36" s="494">
        <f>'Exhibit A, 1d'!G50+'Exhibit A,2'!O50</f>
        <v>8200.94</v>
      </c>
      <c r="J36" s="494"/>
      <c r="K36" s="494">
        <f>'Exhibit A, 1d'!E50+'Exhibit A,2'!M50</f>
        <v>8200.94</v>
      </c>
      <c r="L36" s="187"/>
      <c r="M36" s="187"/>
      <c r="N36" s="187"/>
      <c r="O36" s="494">
        <v>12000</v>
      </c>
      <c r="P36" s="494"/>
      <c r="Q36" s="494">
        <v>12000</v>
      </c>
      <c r="R36" s="187"/>
      <c r="S36" s="187"/>
      <c r="T36" s="187"/>
      <c r="U36" s="494">
        <f t="shared" si="7"/>
        <v>3799.0599999999995</v>
      </c>
      <c r="V36" s="494"/>
      <c r="W36" s="494">
        <f t="shared" si="5"/>
        <v>3799.0599999999995</v>
      </c>
    </row>
    <row r="37" spans="1:23">
      <c r="A37" s="6">
        <f t="shared" si="6"/>
        <v>2019</v>
      </c>
      <c r="B37" s="6"/>
      <c r="C37" s="514"/>
      <c r="D37" s="514"/>
      <c r="E37" s="514"/>
      <c r="F37" s="187"/>
      <c r="G37" s="187"/>
      <c r="H37" s="187"/>
      <c r="I37" s="494">
        <f>'Exhibit A, 1d'!G51+'Exhibit A,2'!O51</f>
        <v>119288.82</v>
      </c>
      <c r="J37" s="494"/>
      <c r="K37" s="494">
        <f>'Exhibit A, 1d'!E51+'Exhibit A,2'!M51</f>
        <v>106452.36</v>
      </c>
      <c r="L37" s="187"/>
      <c r="M37" s="187"/>
      <c r="N37" s="187"/>
      <c r="O37" s="494">
        <v>279000</v>
      </c>
      <c r="P37" s="494"/>
      <c r="Q37" s="494">
        <v>159000</v>
      </c>
      <c r="R37" s="187"/>
      <c r="S37" s="187"/>
      <c r="T37" s="187"/>
      <c r="U37" s="494">
        <f t="shared" si="7"/>
        <v>159711.18</v>
      </c>
      <c r="V37" s="494"/>
      <c r="W37" s="494">
        <f t="shared" si="5"/>
        <v>52547.64</v>
      </c>
    </row>
    <row r="38" spans="1:23">
      <c r="A38" s="6">
        <f t="shared" si="6"/>
        <v>2020</v>
      </c>
      <c r="B38" s="6"/>
      <c r="C38" s="514"/>
      <c r="D38" s="514"/>
      <c r="E38" s="514"/>
      <c r="F38" s="187"/>
      <c r="G38" s="187"/>
      <c r="H38" s="187"/>
      <c r="I38" s="494">
        <f>'Exhibit A, 1d'!G52+'Exhibit A,2'!O52</f>
        <v>275232.7</v>
      </c>
      <c r="J38" s="494"/>
      <c r="K38" s="494">
        <f>'Exhibit A, 1d'!E52+'Exhibit A,2'!M52</f>
        <v>206582.95</v>
      </c>
      <c r="L38" s="187"/>
      <c r="M38" s="187"/>
      <c r="N38" s="187"/>
      <c r="O38" s="494">
        <v>265000</v>
      </c>
      <c r="P38" s="494"/>
      <c r="Q38" s="494">
        <v>223000</v>
      </c>
      <c r="R38" s="187"/>
      <c r="S38" s="187"/>
      <c r="T38" s="187"/>
      <c r="U38" s="494">
        <f t="shared" si="7"/>
        <v>-10232.700000000012</v>
      </c>
      <c r="V38" s="187"/>
      <c r="W38" s="494">
        <f t="shared" si="5"/>
        <v>16417.049999999988</v>
      </c>
    </row>
    <row r="39" spans="1:23">
      <c r="A39" s="6">
        <f t="shared" si="6"/>
        <v>2021</v>
      </c>
      <c r="B39" s="6"/>
      <c r="C39" s="514"/>
      <c r="D39" s="514"/>
      <c r="E39" s="514"/>
      <c r="F39" s="187"/>
      <c r="G39" s="187"/>
      <c r="H39" s="187"/>
      <c r="I39" s="494">
        <f>'Exhibit A, 1d'!G53+'Exhibit A,2'!O53</f>
        <v>13186.1</v>
      </c>
      <c r="J39" s="494"/>
      <c r="K39" s="494">
        <f>'Exhibit A, 1d'!E53+'Exhibit A,2'!M53</f>
        <v>13186.1</v>
      </c>
      <c r="L39" s="187"/>
      <c r="M39" s="187"/>
      <c r="N39" s="187"/>
      <c r="O39" s="494">
        <v>34000</v>
      </c>
      <c r="P39" s="494"/>
      <c r="Q39" s="494">
        <v>5000</v>
      </c>
      <c r="R39" s="187"/>
      <c r="S39" s="187"/>
      <c r="T39" s="187"/>
      <c r="U39" s="494">
        <f t="shared" si="7"/>
        <v>20813.900000000001</v>
      </c>
      <c r="V39" s="187"/>
      <c r="W39" s="494">
        <f t="shared" si="5"/>
        <v>-8186.1</v>
      </c>
    </row>
    <row r="40" spans="1:23">
      <c r="A40" s="6">
        <f t="shared" si="6"/>
        <v>2022</v>
      </c>
      <c r="B40" s="6"/>
      <c r="C40" s="514"/>
      <c r="D40" s="514"/>
      <c r="E40" s="514"/>
      <c r="F40" s="187"/>
      <c r="G40" s="187"/>
      <c r="H40" s="187"/>
      <c r="I40" s="494"/>
      <c r="J40" s="494"/>
      <c r="K40" s="494"/>
      <c r="L40" s="187"/>
      <c r="M40" s="187"/>
      <c r="N40" s="187"/>
      <c r="O40" s="494"/>
      <c r="P40" s="494"/>
      <c r="Q40" s="494"/>
      <c r="R40" s="187"/>
      <c r="S40" s="187"/>
      <c r="T40" s="187"/>
      <c r="U40" s="494"/>
      <c r="V40" s="187"/>
      <c r="W40" s="494"/>
    </row>
    <row r="41" spans="1:23">
      <c r="A41" s="6"/>
      <c r="B41" s="6"/>
      <c r="C41" s="6"/>
      <c r="D41" s="6"/>
      <c r="E41" s="6"/>
      <c r="I41" s="63"/>
      <c r="K41" s="63"/>
      <c r="O41" s="63"/>
      <c r="Q41" s="63"/>
      <c r="U41" s="63"/>
      <c r="W41" s="63"/>
    </row>
    <row r="42" spans="1:23">
      <c r="A42" s="2" t="s">
        <v>0</v>
      </c>
      <c r="B42" s="2"/>
      <c r="C42" s="544"/>
      <c r="D42" s="544"/>
      <c r="E42" s="544"/>
      <c r="F42" s="147"/>
      <c r="G42" s="147"/>
      <c r="H42" s="147"/>
      <c r="I42" s="147">
        <f>SUM(I31:I41)</f>
        <v>552998.29999999993</v>
      </c>
      <c r="J42" s="147"/>
      <c r="K42" s="147">
        <f>SUM(K31:K41)</f>
        <v>471512.09</v>
      </c>
      <c r="L42" s="147"/>
      <c r="M42" s="147"/>
      <c r="N42" s="147"/>
      <c r="O42" s="147">
        <f>SUM(O31:O41)</f>
        <v>1309000</v>
      </c>
      <c r="P42" s="147"/>
      <c r="Q42" s="147">
        <f>SUM(Q31:Q41)</f>
        <v>1087000</v>
      </c>
      <c r="R42" s="147"/>
      <c r="S42" s="147"/>
      <c r="T42" s="147"/>
      <c r="U42" s="147">
        <f>SUM(U31:U41)</f>
        <v>756001.70000000007</v>
      </c>
      <c r="V42" s="147"/>
      <c r="W42" s="147">
        <f>SUM(W31:W41)</f>
        <v>615487.91</v>
      </c>
    </row>
    <row r="43" spans="1:23">
      <c r="A43" s="2"/>
      <c r="B43" s="2"/>
      <c r="C43" s="2"/>
      <c r="D43" s="2"/>
      <c r="E43" s="2"/>
      <c r="I43" s="26"/>
      <c r="K43" s="26"/>
      <c r="O43" s="26"/>
      <c r="Q43" s="26"/>
      <c r="U43" s="26"/>
      <c r="W43" s="26"/>
    </row>
    <row r="44" spans="1:23">
      <c r="A44" s="64" t="s">
        <v>104</v>
      </c>
      <c r="B44" s="2"/>
      <c r="C44" s="3" t="s">
        <v>482</v>
      </c>
      <c r="D44" s="2"/>
      <c r="E44" s="2"/>
    </row>
    <row r="45" spans="1:23">
      <c r="A45" s="64" t="s">
        <v>36</v>
      </c>
      <c r="B45" s="2"/>
      <c r="C45" s="3" t="s">
        <v>995</v>
      </c>
      <c r="D45" s="2"/>
      <c r="E45" s="2"/>
    </row>
    <row r="46" spans="1:23">
      <c r="A46" s="64" t="s">
        <v>38</v>
      </c>
      <c r="B46" s="64"/>
      <c r="C46" s="3" t="s">
        <v>120</v>
      </c>
      <c r="D46" s="64"/>
      <c r="E46" s="64"/>
    </row>
    <row r="47" spans="1:23">
      <c r="A47" s="64" t="s">
        <v>323</v>
      </c>
      <c r="B47" s="64"/>
      <c r="C47" s="3" t="s">
        <v>1517</v>
      </c>
      <c r="D47" s="64"/>
      <c r="E47" s="64"/>
    </row>
    <row r="48" spans="1:23">
      <c r="A48" s="64" t="s">
        <v>324</v>
      </c>
      <c r="B48" s="64"/>
      <c r="C48" s="3" t="s">
        <v>993</v>
      </c>
      <c r="D48" s="64"/>
      <c r="E48" s="64"/>
    </row>
    <row r="49" spans="1:5">
      <c r="A49" s="64" t="s">
        <v>106</v>
      </c>
      <c r="B49" s="64"/>
      <c r="C49" s="3" t="s">
        <v>367</v>
      </c>
      <c r="D49" s="64"/>
      <c r="E49" s="64"/>
    </row>
    <row r="50" spans="1:5">
      <c r="A50" s="64" t="s">
        <v>108</v>
      </c>
      <c r="B50" s="64"/>
      <c r="C50" s="3" t="s">
        <v>368</v>
      </c>
      <c r="D50" s="64"/>
      <c r="E50" s="64"/>
    </row>
    <row r="51" spans="1:5">
      <c r="A51" s="64" t="s">
        <v>134</v>
      </c>
      <c r="B51" s="64"/>
      <c r="C51" s="3" t="s">
        <v>369</v>
      </c>
      <c r="D51" s="64"/>
      <c r="E51" s="64"/>
    </row>
    <row r="52" spans="1:5">
      <c r="C52" s="3"/>
    </row>
  </sheetData>
  <printOptions horizontalCentered="1"/>
  <pageMargins left="0.7" right="0.7" top="0.75" bottom="0.75" header="0.3" footer="0.3"/>
  <pageSetup scale="47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4">
    <pageSetUpPr fitToPage="1"/>
  </sheetPr>
  <dimension ref="A1:AC53"/>
  <sheetViews>
    <sheetView zoomScale="70" zoomScaleNormal="70" workbookViewId="0"/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1.7109375" style="1" customWidth="1"/>
    <col min="14" max="14" width="1.7109375" style="1" customWidth="1"/>
    <col min="15" max="15" width="11.7109375" style="1" customWidth="1"/>
    <col min="16" max="16" width="1.7109375" style="1" customWidth="1"/>
    <col min="17" max="17" width="11.7109375" style="1" customWidth="1"/>
    <col min="18" max="18" width="1.7109375" style="1" customWidth="1"/>
    <col min="19" max="19" width="11.7109375" style="1" customWidth="1"/>
    <col min="20" max="20" width="8.7109375" style="1"/>
    <col min="21" max="22" width="10.28515625" style="1" bestFit="1" customWidth="1"/>
    <col min="23" max="23" width="9.42578125" style="1" bestFit="1" customWidth="1"/>
    <col min="24" max="24" width="10.28515625" style="1" bestFit="1" customWidth="1"/>
    <col min="25" max="16384" width="8.7109375" style="1"/>
  </cols>
  <sheetData>
    <row r="1" spans="1:29">
      <c r="S1" s="3" t="s">
        <v>114</v>
      </c>
    </row>
    <row r="2" spans="1:29">
      <c r="Q2" s="3"/>
      <c r="S2" s="3" t="s">
        <v>45</v>
      </c>
    </row>
    <row r="3" spans="1:29">
      <c r="Q3" s="3"/>
    </row>
    <row r="4" spans="1:29" ht="16">
      <c r="A4" s="4" t="s">
        <v>1550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</row>
    <row r="5" spans="1:29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29">
      <c r="A6" s="5" t="s">
        <v>128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29">
      <c r="A7" s="5" t="s">
        <v>394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29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29">
      <c r="A9" s="5"/>
      <c r="B9" s="5"/>
      <c r="C9" s="5"/>
      <c r="D9" s="5"/>
    </row>
    <row r="11" spans="1:29">
      <c r="C11" s="7" t="s">
        <v>282</v>
      </c>
      <c r="D11" s="8"/>
      <c r="E11" s="8"/>
      <c r="F11" s="8"/>
      <c r="G11" s="8"/>
      <c r="I11" s="7" t="s">
        <v>132</v>
      </c>
      <c r="J11" s="8"/>
      <c r="K11" s="8"/>
      <c r="L11" s="8"/>
      <c r="M11" s="8"/>
      <c r="O11" s="7" t="s">
        <v>197</v>
      </c>
      <c r="P11" s="8"/>
      <c r="Q11" s="8"/>
      <c r="R11" s="8"/>
      <c r="S11" s="8"/>
    </row>
    <row r="12" spans="1:29">
      <c r="A12" s="2" t="s">
        <v>203</v>
      </c>
      <c r="C12" s="2" t="s">
        <v>177</v>
      </c>
      <c r="E12" s="2" t="s">
        <v>12</v>
      </c>
      <c r="G12" s="2" t="s">
        <v>14</v>
      </c>
      <c r="I12" s="2" t="s">
        <v>177</v>
      </c>
      <c r="K12" s="2" t="s">
        <v>12</v>
      </c>
      <c r="M12" s="2" t="s">
        <v>14</v>
      </c>
      <c r="O12" s="2" t="s">
        <v>177</v>
      </c>
      <c r="Q12" s="2" t="s">
        <v>12</v>
      </c>
      <c r="S12" s="2" t="s">
        <v>14</v>
      </c>
      <c r="V12" s="61"/>
      <c r="W12" s="61"/>
      <c r="X12" s="61"/>
      <c r="Y12" s="61"/>
      <c r="Z12" s="61"/>
      <c r="AA12" s="61"/>
      <c r="AB12" s="61"/>
      <c r="AC12" s="61"/>
    </row>
    <row r="13" spans="1:29">
      <c r="A13" s="2" t="s">
        <v>4</v>
      </c>
      <c r="C13" s="2" t="s">
        <v>16</v>
      </c>
      <c r="E13" s="2" t="s">
        <v>55</v>
      </c>
      <c r="G13" s="2" t="s">
        <v>55</v>
      </c>
      <c r="I13" s="2" t="s">
        <v>16</v>
      </c>
      <c r="K13" s="2" t="s">
        <v>55</v>
      </c>
      <c r="M13" s="2" t="s">
        <v>55</v>
      </c>
      <c r="O13" s="2" t="s">
        <v>16</v>
      </c>
      <c r="Q13" s="2" t="s">
        <v>55</v>
      </c>
      <c r="S13" s="2" t="s">
        <v>55</v>
      </c>
      <c r="V13" s="61"/>
      <c r="W13" s="61"/>
      <c r="X13" s="61"/>
      <c r="Y13" s="61"/>
      <c r="Z13" s="61"/>
      <c r="AA13" s="61"/>
      <c r="AB13" s="61"/>
      <c r="AC13" s="61"/>
    </row>
    <row r="14" spans="1:29">
      <c r="A14" s="10">
        <v>-1</v>
      </c>
      <c r="C14" s="10">
        <v>-2</v>
      </c>
      <c r="E14" s="10">
        <v>-3</v>
      </c>
      <c r="G14" s="10">
        <v>-4</v>
      </c>
      <c r="I14" s="10">
        <v>-5</v>
      </c>
      <c r="K14" s="10">
        <v>-6</v>
      </c>
      <c r="M14" s="10">
        <v>-7</v>
      </c>
      <c r="O14" s="10">
        <v>-8</v>
      </c>
      <c r="Q14" s="10">
        <v>-9</v>
      </c>
      <c r="S14" s="10">
        <v>-10</v>
      </c>
      <c r="V14" s="61"/>
      <c r="W14" s="61"/>
      <c r="X14" s="61"/>
      <c r="Y14" s="61"/>
      <c r="Z14" s="61"/>
      <c r="AA14" s="61"/>
      <c r="AB14" s="61"/>
      <c r="AC14" s="61"/>
    </row>
    <row r="15" spans="1:29">
      <c r="C15" s="62"/>
      <c r="D15" s="11"/>
      <c r="E15" s="62"/>
      <c r="F15" s="11"/>
      <c r="G15" s="62"/>
      <c r="H15" s="11"/>
      <c r="I15" s="62"/>
      <c r="K15" s="62"/>
      <c r="M15" s="62"/>
      <c r="O15" s="62"/>
      <c r="Q15" s="62"/>
      <c r="S15" s="62"/>
      <c r="V15" s="61"/>
      <c r="W15" s="61"/>
      <c r="X15" s="61"/>
      <c r="Y15" s="61"/>
      <c r="Z15" s="61"/>
      <c r="AA15" s="61"/>
      <c r="AB15" s="61"/>
      <c r="AC15" s="61"/>
    </row>
    <row r="16" spans="1:29">
      <c r="A16" s="65" t="s">
        <v>77</v>
      </c>
      <c r="C16" s="26"/>
      <c r="E16" s="26"/>
      <c r="F16" s="26"/>
      <c r="G16" s="26"/>
      <c r="I16" s="18"/>
      <c r="K16" s="66"/>
      <c r="L16" s="26"/>
      <c r="M16" s="26"/>
      <c r="O16" s="26"/>
      <c r="Q16" s="26"/>
      <c r="R16" s="26"/>
      <c r="S16" s="26"/>
      <c r="V16" s="61"/>
      <c r="W16" s="61"/>
      <c r="X16" s="61"/>
      <c r="Y16" s="61"/>
      <c r="Z16" s="61"/>
      <c r="AA16" s="61"/>
      <c r="AB16" s="61"/>
      <c r="AC16" s="61"/>
    </row>
    <row r="17" spans="1:29">
      <c r="A17" s="6">
        <v>2013</v>
      </c>
      <c r="C17" s="495">
        <f>'Exhibit B,3'!AP59</f>
        <v>38585.950000000004</v>
      </c>
      <c r="D17" s="495"/>
      <c r="E17" s="495">
        <f>'Exhibit B,3'!S59+'Exhibit B,3'!U59+'Exhibit B,3'!AU59</f>
        <v>1721</v>
      </c>
      <c r="F17" s="495"/>
      <c r="G17" s="495">
        <f>'Exhibit B,3'!O59+'Exhibit B,3'!Q59+'Exhibit B,3'!AU59</f>
        <v>1721</v>
      </c>
      <c r="H17" s="147"/>
      <c r="I17" s="147">
        <v>39000</v>
      </c>
      <c r="J17" s="147"/>
      <c r="K17" s="495">
        <v>2000</v>
      </c>
      <c r="L17" s="147"/>
      <c r="M17" s="495">
        <v>2000</v>
      </c>
      <c r="N17" s="147"/>
      <c r="O17" s="495">
        <f t="shared" ref="O17:O24" si="0">I17-C17</f>
        <v>414.04999999999563</v>
      </c>
      <c r="P17" s="495"/>
      <c r="Q17" s="495">
        <f t="shared" ref="Q17:Q24" si="1">K17-E17</f>
        <v>279</v>
      </c>
      <c r="R17" s="495"/>
      <c r="S17" s="495">
        <f t="shared" ref="S17:S24" si="2">M17-G17</f>
        <v>279</v>
      </c>
      <c r="V17" s="61"/>
      <c r="W17" s="61"/>
      <c r="X17" s="61"/>
      <c r="Y17" s="61"/>
      <c r="Z17" s="61"/>
      <c r="AA17" s="61"/>
      <c r="AB17" s="61"/>
      <c r="AC17" s="61"/>
    </row>
    <row r="18" spans="1:29">
      <c r="A18" s="6">
        <f>A17+1</f>
        <v>2014</v>
      </c>
      <c r="C18" s="494">
        <f>'Exhibit B,3'!AP60</f>
        <v>46751.11</v>
      </c>
      <c r="D18" s="494"/>
      <c r="E18" s="494">
        <f>'Exhibit B,3'!S60+'Exhibit B,3'!U60+'Exhibit B,3'!AU60</f>
        <v>2026000</v>
      </c>
      <c r="F18" s="494"/>
      <c r="G18" s="494">
        <f>'Exhibit B,3'!O60+'Exhibit B,3'!Q60+'Exhibit B,3'!AU60</f>
        <v>986472.08</v>
      </c>
      <c r="H18" s="187"/>
      <c r="I18" s="187">
        <v>47000</v>
      </c>
      <c r="J18" s="187"/>
      <c r="K18" s="494">
        <v>174000</v>
      </c>
      <c r="L18" s="187"/>
      <c r="M18" s="494">
        <v>57000</v>
      </c>
      <c r="N18" s="187"/>
      <c r="O18" s="494">
        <f t="shared" si="0"/>
        <v>248.88999999999942</v>
      </c>
      <c r="P18" s="494"/>
      <c r="Q18" s="494">
        <f t="shared" si="1"/>
        <v>-1852000</v>
      </c>
      <c r="R18" s="494"/>
      <c r="S18" s="494">
        <f t="shared" si="2"/>
        <v>-929472.08</v>
      </c>
      <c r="V18" s="61"/>
      <c r="W18" s="61"/>
      <c r="X18" s="61"/>
      <c r="Y18" s="61"/>
      <c r="Z18" s="61"/>
      <c r="AA18" s="61"/>
      <c r="AB18" s="61"/>
      <c r="AC18" s="61"/>
    </row>
    <row r="19" spans="1:29">
      <c r="A19" s="6">
        <f t="shared" ref="A19:A26" si="3">A18+1</f>
        <v>2015</v>
      </c>
      <c r="C19" s="494">
        <f>'Exhibit B,3'!AP61</f>
        <v>233663.86</v>
      </c>
      <c r="D19" s="494"/>
      <c r="E19" s="494">
        <f>'Exhibit B,3'!S61+'Exhibit B,3'!U61+'Exhibit B,3'!AU61</f>
        <v>406680.74</v>
      </c>
      <c r="F19" s="494"/>
      <c r="G19" s="494">
        <f>'Exhibit B,3'!O61+'Exhibit B,3'!Q61+'Exhibit B,3'!AU61</f>
        <v>369266.74</v>
      </c>
      <c r="H19" s="187"/>
      <c r="I19" s="187">
        <v>234000</v>
      </c>
      <c r="J19" s="187"/>
      <c r="K19" s="494">
        <v>386000</v>
      </c>
      <c r="L19" s="187"/>
      <c r="M19" s="494">
        <v>344000</v>
      </c>
      <c r="N19" s="187"/>
      <c r="O19" s="494">
        <f t="shared" si="0"/>
        <v>336.14000000001397</v>
      </c>
      <c r="P19" s="494"/>
      <c r="Q19" s="494">
        <f t="shared" si="1"/>
        <v>-20680.739999999991</v>
      </c>
      <c r="R19" s="494"/>
      <c r="S19" s="494">
        <f t="shared" si="2"/>
        <v>-25266.739999999991</v>
      </c>
      <c r="V19" s="61"/>
      <c r="W19" s="61"/>
      <c r="X19" s="61"/>
      <c r="Y19" s="61"/>
      <c r="Z19" s="61"/>
      <c r="AA19" s="61"/>
      <c r="AB19" s="61"/>
      <c r="AC19" s="61"/>
    </row>
    <row r="20" spans="1:29">
      <c r="A20" s="6">
        <f t="shared" si="3"/>
        <v>2016</v>
      </c>
      <c r="C20" s="494">
        <f>'Exhibit B,3'!AP62-311000</f>
        <v>1208405.8900000046</v>
      </c>
      <c r="D20" s="494"/>
      <c r="E20" s="494">
        <f>'Exhibit B,3'!S62+'Exhibit B,3'!U62+'Exhibit B,3'!AU62</f>
        <v>12948407.790000003</v>
      </c>
      <c r="F20" s="494"/>
      <c r="G20" s="494">
        <f>'Exhibit B,3'!O62+'Exhibit B,3'!Q62+'Exhibit B,3'!AU62</f>
        <v>12421793.200000003</v>
      </c>
      <c r="H20" s="187"/>
      <c r="I20" s="187">
        <v>1208000</v>
      </c>
      <c r="J20" s="187"/>
      <c r="K20" s="494">
        <v>11390000</v>
      </c>
      <c r="L20" s="187"/>
      <c r="M20" s="494">
        <v>9991000</v>
      </c>
      <c r="N20" s="187"/>
      <c r="O20" s="494">
        <f t="shared" si="0"/>
        <v>-405.89000000455417</v>
      </c>
      <c r="P20" s="494"/>
      <c r="Q20" s="494">
        <f t="shared" si="1"/>
        <v>-1558407.7900000028</v>
      </c>
      <c r="R20" s="494"/>
      <c r="S20" s="494">
        <f t="shared" si="2"/>
        <v>-2430793.200000003</v>
      </c>
      <c r="V20" s="61"/>
      <c r="W20" s="61"/>
      <c r="X20" s="61"/>
      <c r="Y20" s="61"/>
      <c r="Z20" s="61"/>
      <c r="AA20" s="61"/>
      <c r="AB20" s="61"/>
      <c r="AC20" s="61"/>
    </row>
    <row r="21" spans="1:29">
      <c r="A21" s="6">
        <f t="shared" si="3"/>
        <v>2017</v>
      </c>
      <c r="C21" s="494">
        <f>'Exhibit B,3'!AP63-214000</f>
        <v>4073862.9699999793</v>
      </c>
      <c r="D21" s="494"/>
      <c r="E21" s="494">
        <f>'Exhibit B,3'!S63+'Exhibit B,3'!U63+'Exhibit B,3'!AU63</f>
        <v>10022104.619999999</v>
      </c>
      <c r="F21" s="494"/>
      <c r="G21" s="494">
        <f>'Exhibit B,3'!O63+'Exhibit B,3'!Q63+'Exhibit B,3'!AU63</f>
        <v>8164636.21</v>
      </c>
      <c r="H21" s="187"/>
      <c r="I21" s="187">
        <v>4073000</v>
      </c>
      <c r="J21" s="187"/>
      <c r="K21" s="494">
        <v>7017000</v>
      </c>
      <c r="L21" s="187"/>
      <c r="M21" s="494">
        <v>6531000</v>
      </c>
      <c r="N21" s="187"/>
      <c r="O21" s="494">
        <f t="shared" si="0"/>
        <v>-862.96999997925013</v>
      </c>
      <c r="P21" s="494"/>
      <c r="Q21" s="494">
        <f t="shared" si="1"/>
        <v>-3005104.6199999992</v>
      </c>
      <c r="R21" s="494"/>
      <c r="S21" s="494">
        <f t="shared" si="2"/>
        <v>-1633636.21</v>
      </c>
      <c r="V21" s="61"/>
      <c r="W21" s="61"/>
      <c r="X21" s="61"/>
      <c r="Y21" s="61"/>
      <c r="Z21" s="61"/>
      <c r="AA21" s="61"/>
      <c r="AB21" s="61"/>
      <c r="AC21" s="61"/>
    </row>
    <row r="22" spans="1:29">
      <c r="A22" s="6">
        <f t="shared" si="3"/>
        <v>2018</v>
      </c>
      <c r="C22" s="494">
        <f>'Exhibit B,3'!AP64</f>
        <v>3938984.8300000061</v>
      </c>
      <c r="D22" s="494"/>
      <c r="E22" s="494">
        <f>'Exhibit B,3'!S64+'Exhibit B,3'!U64+'Exhibit B,3'!AU64</f>
        <v>16003872.279999999</v>
      </c>
      <c r="F22" s="494"/>
      <c r="G22" s="494">
        <f>'Exhibit B,3'!O64+'Exhibit B,3'!Q64+'Exhibit B,3'!AU64</f>
        <v>11833004.24</v>
      </c>
      <c r="H22" s="187"/>
      <c r="I22" s="187">
        <v>3938077</v>
      </c>
      <c r="J22" s="187"/>
      <c r="K22" s="494">
        <v>6057000</v>
      </c>
      <c r="L22" s="187"/>
      <c r="M22" s="494">
        <v>5328000</v>
      </c>
      <c r="N22" s="187"/>
      <c r="O22" s="494">
        <f t="shared" si="0"/>
        <v>-907.8300000061281</v>
      </c>
      <c r="P22" s="494"/>
      <c r="Q22" s="494">
        <f t="shared" si="1"/>
        <v>-9946872.2799999993</v>
      </c>
      <c r="R22" s="494"/>
      <c r="S22" s="494">
        <f t="shared" si="2"/>
        <v>-6505004.2400000002</v>
      </c>
      <c r="V22" s="61"/>
      <c r="W22" s="61"/>
      <c r="X22" s="61"/>
      <c r="Y22" s="61"/>
      <c r="Z22" s="61"/>
      <c r="AA22" s="61"/>
      <c r="AB22" s="61"/>
      <c r="AC22" s="61"/>
    </row>
    <row r="23" spans="1:29">
      <c r="A23" s="6">
        <f t="shared" si="3"/>
        <v>2019</v>
      </c>
      <c r="C23" s="494">
        <f>'Exhibit B,3'!AP65-6300</f>
        <v>3935054.6599999946</v>
      </c>
      <c r="D23" s="494"/>
      <c r="E23" s="494">
        <f>'Exhibit B,3'!S65+'Exhibit B,3'!U65+'Exhibit B,3'!AU65</f>
        <v>8799169.1899999995</v>
      </c>
      <c r="F23" s="494"/>
      <c r="G23" s="494">
        <f>'Exhibit B,3'!O65+'Exhibit B,3'!Q65+'Exhibit B,3'!AU65</f>
        <v>7963472.6999999993</v>
      </c>
      <c r="H23" s="187"/>
      <c r="I23" s="187">
        <v>3935000</v>
      </c>
      <c r="J23" s="187"/>
      <c r="K23" s="494">
        <v>5183000</v>
      </c>
      <c r="L23" s="187"/>
      <c r="M23" s="494">
        <v>2828000</v>
      </c>
      <c r="N23" s="187"/>
      <c r="O23" s="494">
        <f t="shared" si="0"/>
        <v>-54.659999994561076</v>
      </c>
      <c r="P23" s="494"/>
      <c r="Q23" s="494">
        <f t="shared" si="1"/>
        <v>-3616169.1899999995</v>
      </c>
      <c r="R23" s="494"/>
      <c r="S23" s="494">
        <f t="shared" si="2"/>
        <v>-5135472.6999999993</v>
      </c>
      <c r="V23" s="61"/>
      <c r="W23" s="61"/>
      <c r="X23" s="61"/>
      <c r="Y23" s="61"/>
      <c r="Z23" s="61"/>
      <c r="AA23" s="61"/>
      <c r="AB23" s="61"/>
      <c r="AC23" s="61"/>
    </row>
    <row r="24" spans="1:29">
      <c r="A24" s="6">
        <f t="shared" si="3"/>
        <v>2020</v>
      </c>
      <c r="C24" s="494">
        <f>'Exhibit B,3'!AP66</f>
        <v>1465858.29</v>
      </c>
      <c r="D24" s="494"/>
      <c r="E24" s="494">
        <f>'Exhibit B,3'!S66+'Exhibit B,3'!U66+'Exhibit B,3'!AU66</f>
        <v>591552.17999999993</v>
      </c>
      <c r="F24" s="494"/>
      <c r="G24" s="494">
        <f>'Exhibit B,3'!O66+'Exhibit B,3'!Q66+'Exhibit B,3'!AU66</f>
        <v>317987.25</v>
      </c>
      <c r="H24" s="187"/>
      <c r="I24" s="187">
        <v>1466000</v>
      </c>
      <c r="J24" s="187"/>
      <c r="K24" s="494">
        <v>357000</v>
      </c>
      <c r="L24" s="187"/>
      <c r="M24" s="494">
        <v>130000</v>
      </c>
      <c r="N24" s="187"/>
      <c r="O24" s="494">
        <f t="shared" si="0"/>
        <v>141.70999999996275</v>
      </c>
      <c r="P24" s="494"/>
      <c r="Q24" s="494">
        <f t="shared" si="1"/>
        <v>-234552.17999999993</v>
      </c>
      <c r="R24" s="494"/>
      <c r="S24" s="494">
        <f t="shared" si="2"/>
        <v>-187987.25</v>
      </c>
      <c r="V24" s="61"/>
      <c r="W24" s="61"/>
      <c r="X24" s="61"/>
      <c r="Y24" s="61"/>
      <c r="Z24" s="61"/>
      <c r="AA24" s="61"/>
      <c r="AB24" s="61"/>
      <c r="AC24" s="61"/>
    </row>
    <row r="25" spans="1:29">
      <c r="A25" s="6">
        <f t="shared" si="3"/>
        <v>2021</v>
      </c>
      <c r="C25" s="494">
        <f>'Exhibit B,3'!AP67</f>
        <v>1789742.2799999998</v>
      </c>
      <c r="D25" s="494"/>
      <c r="E25" s="494">
        <f>'Exhibit B,3'!S67+'Exhibit B,3'!U67+'Exhibit B,3'!AU67</f>
        <v>287000</v>
      </c>
      <c r="F25" s="494"/>
      <c r="G25" s="494">
        <f>'Exhibit B,3'!O67+'Exhibit B,3'!Q67+'Exhibit B,3'!AU67</f>
        <v>146349.10999999999</v>
      </c>
      <c r="H25" s="187"/>
      <c r="I25" s="187">
        <v>1789742</v>
      </c>
      <c r="J25" s="187"/>
      <c r="K25" s="494">
        <v>0</v>
      </c>
      <c r="L25" s="187"/>
      <c r="M25" s="494">
        <v>0</v>
      </c>
      <c r="N25" s="187"/>
      <c r="O25" s="494">
        <f>I25-C25</f>
        <v>-0.27999999979510903</v>
      </c>
      <c r="P25" s="494"/>
      <c r="Q25" s="494">
        <f>K25-E25</f>
        <v>-287000</v>
      </c>
      <c r="R25" s="494"/>
      <c r="S25" s="494">
        <f>M25-G25</f>
        <v>-146349.10999999999</v>
      </c>
      <c r="V25" s="61"/>
      <c r="W25" s="61"/>
      <c r="X25" s="61"/>
      <c r="Y25" s="61"/>
      <c r="Z25" s="61"/>
      <c r="AA25" s="61"/>
      <c r="AB25" s="61"/>
      <c r="AC25" s="61"/>
    </row>
    <row r="26" spans="1:29">
      <c r="A26" s="6">
        <f t="shared" si="3"/>
        <v>2022</v>
      </c>
      <c r="C26" s="494"/>
      <c r="D26" s="494"/>
      <c r="E26" s="494"/>
      <c r="F26" s="494"/>
      <c r="G26" s="494"/>
      <c r="H26" s="187"/>
      <c r="I26" s="187"/>
      <c r="J26" s="187"/>
      <c r="K26" s="494"/>
      <c r="L26" s="187"/>
      <c r="M26" s="494"/>
      <c r="N26" s="187"/>
      <c r="O26" s="494"/>
      <c r="P26" s="494"/>
      <c r="Q26" s="494"/>
      <c r="R26" s="494"/>
      <c r="S26" s="494"/>
      <c r="V26" s="61"/>
      <c r="W26" s="61"/>
      <c r="X26" s="61"/>
      <c r="Y26" s="61"/>
      <c r="Z26" s="61"/>
      <c r="AA26" s="61"/>
      <c r="AB26" s="61"/>
      <c r="AC26" s="61"/>
    </row>
    <row r="27" spans="1:29">
      <c r="A27" s="6"/>
      <c r="C27" s="63"/>
      <c r="E27" s="63"/>
      <c r="G27" s="63"/>
      <c r="I27" s="63"/>
      <c r="K27" s="63"/>
      <c r="M27" s="63"/>
      <c r="O27" s="63"/>
      <c r="Q27" s="63"/>
      <c r="S27" s="63"/>
      <c r="V27" s="61"/>
      <c r="W27" s="61"/>
      <c r="X27" s="61"/>
      <c r="Y27" s="61"/>
      <c r="Z27" s="61"/>
      <c r="AA27" s="61"/>
      <c r="AB27" s="61"/>
      <c r="AC27" s="61"/>
    </row>
    <row r="28" spans="1:29">
      <c r="A28" s="2" t="s">
        <v>0</v>
      </c>
      <c r="C28" s="147">
        <f>SUM(C17:C27)</f>
        <v>16730909.839999983</v>
      </c>
      <c r="D28" s="147"/>
      <c r="E28" s="147">
        <f>SUM(E17:E27)</f>
        <v>51086507.799999997</v>
      </c>
      <c r="F28" s="147"/>
      <c r="G28" s="147">
        <f>SUM(G17:G27)</f>
        <v>42204702.530000001</v>
      </c>
      <c r="H28" s="147"/>
      <c r="I28" s="147">
        <f>SUM(I17:I27)</f>
        <v>16729819</v>
      </c>
      <c r="J28" s="147"/>
      <c r="K28" s="147">
        <f>SUM(K17:K27)</f>
        <v>30566000</v>
      </c>
      <c r="L28" s="147"/>
      <c r="M28" s="147">
        <f>SUM(M17:M27)</f>
        <v>25211000</v>
      </c>
      <c r="N28" s="147"/>
      <c r="O28" s="147">
        <f>SUM(O17:O27)</f>
        <v>-1090.8399999843168</v>
      </c>
      <c r="P28" s="147"/>
      <c r="Q28" s="147">
        <f>SUM(Q17:Q27)</f>
        <v>-20520507.800000001</v>
      </c>
      <c r="R28" s="147"/>
      <c r="S28" s="147">
        <f>SUM(S17:S27)</f>
        <v>-16993702.530000001</v>
      </c>
      <c r="V28" s="61"/>
      <c r="W28" s="61"/>
      <c r="X28" s="61"/>
      <c r="Y28" s="61"/>
      <c r="Z28" s="61"/>
      <c r="AA28" s="61"/>
      <c r="AB28" s="61"/>
      <c r="AC28" s="61"/>
    </row>
    <row r="29" spans="1:29">
      <c r="K29" s="26"/>
      <c r="M29" s="26"/>
    </row>
    <row r="30" spans="1:29">
      <c r="A30" s="65" t="s">
        <v>118</v>
      </c>
      <c r="E30" s="26"/>
      <c r="F30" s="26"/>
      <c r="G30" s="26"/>
      <c r="K30" s="26"/>
      <c r="L30" s="26"/>
      <c r="M30" s="26"/>
      <c r="Q30" s="26"/>
      <c r="R30" s="26"/>
      <c r="S30" s="26"/>
      <c r="V30" s="61" t="s">
        <v>1511</v>
      </c>
    </row>
    <row r="31" spans="1:29">
      <c r="A31" s="6">
        <f>A17</f>
        <v>2013</v>
      </c>
      <c r="C31" s="147"/>
      <c r="D31" s="147"/>
      <c r="E31" s="495">
        <f>V31*0.05+'Exhibit A, 1d'!W45+'Exhibit A,3'!S45+'Exhibit A,3'!U45</f>
        <v>1721</v>
      </c>
      <c r="F31" s="495"/>
      <c r="G31" s="495">
        <f>V31*0.05+'Exhibit A, 1d'!U45+'Exhibit A,3'!O45+'Exhibit A,3'!Q45</f>
        <v>1721</v>
      </c>
      <c r="H31" s="147"/>
      <c r="I31" s="147"/>
      <c r="J31" s="147"/>
      <c r="K31" s="495">
        <v>2000</v>
      </c>
      <c r="L31" s="495"/>
      <c r="M31" s="495">
        <v>2000</v>
      </c>
      <c r="N31" s="147"/>
      <c r="O31" s="147"/>
      <c r="P31" s="147"/>
      <c r="Q31" s="495">
        <f t="shared" ref="Q31:Q38" si="4">K31-E31</f>
        <v>279</v>
      </c>
      <c r="R31" s="495"/>
      <c r="S31" s="495">
        <f t="shared" ref="S31:S38" si="5">M31-G31</f>
        <v>279</v>
      </c>
      <c r="U31" s="20"/>
      <c r="V31" s="137"/>
      <c r="W31" s="20"/>
      <c r="X31" s="20"/>
    </row>
    <row r="32" spans="1:29">
      <c r="A32" s="6">
        <f>A31+1</f>
        <v>2014</v>
      </c>
      <c r="C32" s="187"/>
      <c r="D32" s="187"/>
      <c r="E32" s="494">
        <f>V32*0.05+'Exhibit A, 1d'!W46+'Exhibit A,3'!S46+'Exhibit A,3'!U46</f>
        <v>0</v>
      </c>
      <c r="F32" s="494"/>
      <c r="G32" s="494">
        <f>V32*0.05+'Exhibit A, 1d'!U46+'Exhibit A,3'!O46+'Exhibit A,3'!Q46</f>
        <v>0</v>
      </c>
      <c r="H32" s="187"/>
      <c r="I32" s="187"/>
      <c r="J32" s="187"/>
      <c r="K32" s="494">
        <v>7000</v>
      </c>
      <c r="L32" s="494"/>
      <c r="M32" s="494">
        <v>1000</v>
      </c>
      <c r="N32" s="187"/>
      <c r="O32" s="187"/>
      <c r="P32" s="187"/>
      <c r="Q32" s="494">
        <f t="shared" si="4"/>
        <v>7000</v>
      </c>
      <c r="R32" s="494"/>
      <c r="S32" s="494">
        <f t="shared" si="5"/>
        <v>1000</v>
      </c>
      <c r="U32" s="20"/>
      <c r="V32" s="137"/>
      <c r="W32" s="20"/>
      <c r="X32" s="20"/>
    </row>
    <row r="33" spans="1:24">
      <c r="A33" s="6">
        <f t="shared" ref="A33:A40" si="6">A32+1</f>
        <v>2015</v>
      </c>
      <c r="C33" s="187"/>
      <c r="D33" s="187"/>
      <c r="E33" s="494">
        <f>V33*0.05+'Exhibit A, 1d'!W47+'Exhibit A,3'!S47+'Exhibit A,3'!U47</f>
        <v>63892.69</v>
      </c>
      <c r="F33" s="494"/>
      <c r="G33" s="494">
        <f>V33*0.05+'Exhibit A, 1d'!U47+'Exhibit A,3'!O47+'Exhibit A,3'!Q47</f>
        <v>36478.69</v>
      </c>
      <c r="H33" s="187"/>
      <c r="I33" s="187"/>
      <c r="J33" s="187"/>
      <c r="K33" s="494">
        <v>79000</v>
      </c>
      <c r="L33" s="494"/>
      <c r="M33" s="494">
        <v>37000</v>
      </c>
      <c r="N33" s="187"/>
      <c r="O33" s="187"/>
      <c r="P33" s="187"/>
      <c r="Q33" s="494">
        <f t="shared" si="4"/>
        <v>15107.309999999998</v>
      </c>
      <c r="R33" s="494"/>
      <c r="S33" s="494">
        <f t="shared" si="5"/>
        <v>521.30999999999767</v>
      </c>
      <c r="U33" s="20"/>
      <c r="V33" s="137"/>
      <c r="W33" s="20"/>
      <c r="X33" s="20"/>
    </row>
    <row r="34" spans="1:24">
      <c r="A34" s="6">
        <f t="shared" si="6"/>
        <v>2016</v>
      </c>
      <c r="C34" s="187"/>
      <c r="D34" s="187"/>
      <c r="E34" s="494">
        <f>V34*0.05+'Exhibit A, 1d'!W48+'Exhibit A,3'!S48+'Exhibit A,3'!U48</f>
        <v>-3769.2699999999986</v>
      </c>
      <c r="F34" s="494"/>
      <c r="G34" s="494">
        <f>V34*0.05+'Exhibit A, 1d'!U48+'Exhibit A,3'!O48+'Exhibit A,3'!Q48</f>
        <v>-3769.2699999999986</v>
      </c>
      <c r="H34" s="187"/>
      <c r="I34" s="187"/>
      <c r="J34" s="187"/>
      <c r="K34" s="494">
        <v>590000</v>
      </c>
      <c r="L34" s="494"/>
      <c r="M34" s="494">
        <v>520000</v>
      </c>
      <c r="N34" s="187"/>
      <c r="O34" s="187"/>
      <c r="P34" s="187"/>
      <c r="Q34" s="494">
        <f t="shared" si="4"/>
        <v>593769.27</v>
      </c>
      <c r="R34" s="494"/>
      <c r="S34" s="494">
        <f t="shared" si="5"/>
        <v>523769.27</v>
      </c>
      <c r="U34" s="20"/>
      <c r="V34" s="137">
        <v>-500000</v>
      </c>
      <c r="W34" s="20"/>
      <c r="X34" s="20"/>
    </row>
    <row r="35" spans="1:24">
      <c r="A35" s="6">
        <f t="shared" si="6"/>
        <v>2017</v>
      </c>
      <c r="C35" s="187"/>
      <c r="D35" s="187"/>
      <c r="E35" s="494">
        <f>V35*0.05+'Exhibit A, 1d'!W49+'Exhibit A,3'!S49+'Exhibit A,3'!U49</f>
        <v>251609.87</v>
      </c>
      <c r="F35" s="494"/>
      <c r="G35" s="494">
        <f>V35*0.05+'Exhibit A, 1d'!U49+'Exhibit A,3'!O49+'Exhibit A,3'!Q49</f>
        <v>244846.25</v>
      </c>
      <c r="H35" s="187"/>
      <c r="I35" s="187"/>
      <c r="J35" s="187"/>
      <c r="K35" s="494">
        <v>590000</v>
      </c>
      <c r="L35" s="494"/>
      <c r="M35" s="494">
        <v>559000</v>
      </c>
      <c r="N35" s="187"/>
      <c r="O35" s="187"/>
      <c r="P35" s="187"/>
      <c r="Q35" s="494">
        <f t="shared" si="4"/>
        <v>338390.13</v>
      </c>
      <c r="R35" s="494"/>
      <c r="S35" s="494">
        <f t="shared" si="5"/>
        <v>314153.75</v>
      </c>
      <c r="U35" s="20"/>
      <c r="V35" s="137"/>
      <c r="W35" s="20"/>
      <c r="X35" s="20"/>
    </row>
    <row r="36" spans="1:24">
      <c r="A36" s="6">
        <f t="shared" si="6"/>
        <v>2018</v>
      </c>
      <c r="C36" s="187"/>
      <c r="D36" s="187"/>
      <c r="E36" s="494">
        <f>V36*0.05+'Exhibit A, 1d'!W50+'Exhibit A,3'!S50+'Exhibit A,3'!U50</f>
        <v>13346.73</v>
      </c>
      <c r="F36" s="494"/>
      <c r="G36" s="494">
        <f>V36*0.05+'Exhibit A, 1d'!U50+'Exhibit A,3'!O50+'Exhibit A,3'!Q50</f>
        <v>13346.73</v>
      </c>
      <c r="H36" s="187"/>
      <c r="I36" s="187"/>
      <c r="J36" s="187"/>
      <c r="K36" s="494">
        <v>330000</v>
      </c>
      <c r="L36" s="494"/>
      <c r="M36" s="494">
        <v>293000</v>
      </c>
      <c r="N36" s="187"/>
      <c r="O36" s="187"/>
      <c r="P36" s="187"/>
      <c r="Q36" s="494">
        <f t="shared" si="4"/>
        <v>316653.27</v>
      </c>
      <c r="R36" s="494"/>
      <c r="S36" s="494">
        <f t="shared" si="5"/>
        <v>279653.27</v>
      </c>
      <c r="U36" s="20"/>
      <c r="V36" s="137">
        <v>-300000</v>
      </c>
      <c r="W36" s="20"/>
      <c r="X36" s="20"/>
    </row>
    <row r="37" spans="1:24">
      <c r="A37" s="6">
        <f t="shared" si="6"/>
        <v>2019</v>
      </c>
      <c r="C37" s="187"/>
      <c r="D37" s="187"/>
      <c r="E37" s="494">
        <f>V37*0.05+'Exhibit A, 1d'!W51+'Exhibit A,3'!S51+'Exhibit A,3'!U51</f>
        <v>36542.680000000008</v>
      </c>
      <c r="F37" s="494"/>
      <c r="G37" s="494">
        <f>V37*0.05+'Exhibit A, 1d'!U51+'Exhibit A,3'!O51+'Exhibit A,3'!Q51</f>
        <v>30289.020000000004</v>
      </c>
      <c r="H37" s="187"/>
      <c r="I37" s="187"/>
      <c r="J37" s="187"/>
      <c r="K37" s="494">
        <v>299000</v>
      </c>
      <c r="L37" s="494"/>
      <c r="M37" s="494">
        <v>175000</v>
      </c>
      <c r="N37" s="187"/>
      <c r="O37" s="187"/>
      <c r="P37" s="187"/>
      <c r="Q37" s="494">
        <f t="shared" si="4"/>
        <v>262457.32</v>
      </c>
      <c r="R37" s="494"/>
      <c r="S37" s="494">
        <f t="shared" si="5"/>
        <v>144710.97999999998</v>
      </c>
      <c r="U37" s="20"/>
      <c r="V37" s="137">
        <v>-100000</v>
      </c>
      <c r="W37" s="20"/>
      <c r="X37" s="20"/>
    </row>
    <row r="38" spans="1:24">
      <c r="A38" s="6">
        <f t="shared" si="6"/>
        <v>2020</v>
      </c>
      <c r="C38" s="187"/>
      <c r="D38" s="187"/>
      <c r="E38" s="494">
        <f>V38*0.05+'Exhibit A, 1d'!W52+'Exhibit A,3'!S52+'Exhibit A,3'!U52</f>
        <v>100307.5</v>
      </c>
      <c r="F38" s="494"/>
      <c r="G38" s="494">
        <f>V38*0.05+'Exhibit A, 1d'!U52+'Exhibit A,3'!O52+'Exhibit A,3'!Q52</f>
        <v>41080.25</v>
      </c>
      <c r="H38" s="187"/>
      <c r="I38" s="187"/>
      <c r="J38" s="187"/>
      <c r="K38" s="494">
        <v>76000</v>
      </c>
      <c r="L38" s="494"/>
      <c r="M38" s="494">
        <v>48000</v>
      </c>
      <c r="N38" s="187"/>
      <c r="O38" s="187"/>
      <c r="P38" s="187"/>
      <c r="Q38" s="494">
        <f t="shared" si="4"/>
        <v>-24307.5</v>
      </c>
      <c r="R38" s="494"/>
      <c r="S38" s="494">
        <f t="shared" si="5"/>
        <v>6919.75</v>
      </c>
      <c r="U38" s="20"/>
      <c r="V38" s="137"/>
      <c r="W38" s="20"/>
      <c r="X38" s="20"/>
    </row>
    <row r="39" spans="1:24">
      <c r="A39" s="6">
        <f t="shared" si="6"/>
        <v>2021</v>
      </c>
      <c r="C39" s="187"/>
      <c r="D39" s="187"/>
      <c r="E39" s="494">
        <f>V39*0.05+'Exhibit A, 1d'!W53+'Exhibit A,3'!S53+'Exhibit A,3'!U53</f>
        <v>7343.1</v>
      </c>
      <c r="F39" s="494"/>
      <c r="G39" s="494">
        <f>V39*0.05+'Exhibit A, 1d'!U53+'Exhibit A,3'!O53+'Exhibit A,3'!Q53</f>
        <v>4843.1000000000004</v>
      </c>
      <c r="H39" s="187"/>
      <c r="I39" s="187"/>
      <c r="J39" s="187"/>
      <c r="K39" s="494">
        <v>0</v>
      </c>
      <c r="L39" s="494"/>
      <c r="M39" s="494">
        <v>0</v>
      </c>
      <c r="N39" s="187"/>
      <c r="O39" s="187"/>
      <c r="P39" s="187"/>
      <c r="Q39" s="494">
        <f>K39-E39</f>
        <v>-7343.1</v>
      </c>
      <c r="R39" s="494"/>
      <c r="S39" s="494">
        <f>M39-G39</f>
        <v>-4843.1000000000004</v>
      </c>
      <c r="U39" s="20"/>
      <c r="V39" s="137"/>
      <c r="W39" s="20"/>
      <c r="X39" s="20"/>
    </row>
    <row r="40" spans="1:24">
      <c r="A40" s="6">
        <f t="shared" si="6"/>
        <v>2022</v>
      </c>
      <c r="C40" s="187"/>
      <c r="D40" s="187"/>
      <c r="E40" s="494"/>
      <c r="F40" s="494"/>
      <c r="G40" s="494"/>
      <c r="H40" s="187"/>
      <c r="I40" s="187"/>
      <c r="J40" s="187"/>
      <c r="K40" s="494"/>
      <c r="L40" s="494"/>
      <c r="M40" s="494"/>
      <c r="N40" s="187"/>
      <c r="O40" s="187"/>
      <c r="P40" s="187"/>
      <c r="Q40" s="494"/>
      <c r="R40" s="494"/>
      <c r="S40" s="494"/>
      <c r="U40" s="20"/>
      <c r="V40" s="137"/>
      <c r="W40" s="20"/>
      <c r="X40" s="20"/>
    </row>
    <row r="41" spans="1:24">
      <c r="A41" s="6"/>
      <c r="E41" s="63"/>
      <c r="G41" s="63"/>
      <c r="K41" s="63"/>
      <c r="M41" s="63"/>
      <c r="Q41" s="63"/>
      <c r="S41" s="63"/>
      <c r="V41" s="61"/>
    </row>
    <row r="42" spans="1:24">
      <c r="A42" s="2" t="s">
        <v>0</v>
      </c>
      <c r="C42" s="147"/>
      <c r="D42" s="147"/>
      <c r="E42" s="147">
        <f>SUM(E31:E41)</f>
        <v>470994.29999999993</v>
      </c>
      <c r="F42" s="147"/>
      <c r="G42" s="147">
        <f>SUM(G31:G41)</f>
        <v>368835.76999999996</v>
      </c>
      <c r="H42" s="147"/>
      <c r="I42" s="147"/>
      <c r="J42" s="147"/>
      <c r="K42" s="147">
        <f>SUM(K31:K41)</f>
        <v>1973000</v>
      </c>
      <c r="L42" s="147"/>
      <c r="M42" s="147">
        <f>SUM(M31:M41)</f>
        <v>1635000</v>
      </c>
      <c r="N42" s="147"/>
      <c r="O42" s="147"/>
      <c r="P42" s="147"/>
      <c r="Q42" s="147">
        <f>SUM(Q31:Q41)</f>
        <v>1502005.7</v>
      </c>
      <c r="R42" s="147"/>
      <c r="S42" s="147">
        <f>SUM(S31:S41)</f>
        <v>1266164.23</v>
      </c>
      <c r="V42" s="61"/>
    </row>
    <row r="43" spans="1:24">
      <c r="A43" s="2"/>
    </row>
    <row r="44" spans="1:24">
      <c r="A44" s="2"/>
    </row>
    <row r="45" spans="1:24">
      <c r="A45" s="64" t="s">
        <v>104</v>
      </c>
      <c r="C45" s="3" t="s">
        <v>994</v>
      </c>
    </row>
    <row r="46" spans="1:24">
      <c r="A46" s="64" t="s">
        <v>996</v>
      </c>
      <c r="B46" s="2"/>
      <c r="C46" s="3" t="s">
        <v>1516</v>
      </c>
    </row>
    <row r="47" spans="1:24">
      <c r="A47" s="64" t="s">
        <v>38</v>
      </c>
      <c r="B47" s="64"/>
      <c r="C47" s="3" t="s">
        <v>120</v>
      </c>
    </row>
    <row r="48" spans="1:24">
      <c r="A48" s="64" t="s">
        <v>186</v>
      </c>
      <c r="B48" s="64"/>
      <c r="C48" s="3" t="s">
        <v>993</v>
      </c>
    </row>
    <row r="49" spans="1:15">
      <c r="A49" s="64" t="s">
        <v>103</v>
      </c>
      <c r="B49" s="64"/>
      <c r="C49" s="3" t="s">
        <v>363</v>
      </c>
      <c r="O49" s="3"/>
    </row>
    <row r="50" spans="1:15">
      <c r="A50" s="64" t="s">
        <v>106</v>
      </c>
      <c r="B50" s="64"/>
      <c r="C50" s="3" t="s">
        <v>367</v>
      </c>
      <c r="O50" s="3"/>
    </row>
    <row r="51" spans="1:15">
      <c r="A51" s="64"/>
      <c r="B51" s="64"/>
      <c r="C51" s="3" t="s">
        <v>997</v>
      </c>
      <c r="O51" s="3"/>
    </row>
    <row r="52" spans="1:15">
      <c r="A52" s="64"/>
      <c r="B52" s="64"/>
      <c r="C52" s="3" t="s">
        <v>998</v>
      </c>
      <c r="O52" s="3"/>
    </row>
    <row r="53" spans="1:15">
      <c r="C53" s="140"/>
    </row>
  </sheetData>
  <printOptions horizontalCentered="1"/>
  <pageMargins left="0.7" right="0.7" top="0.75" bottom="0.75" header="0.3" footer="0.3"/>
  <pageSetup scale="56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5">
    <pageSetUpPr fitToPage="1"/>
  </sheetPr>
  <dimension ref="A1:AG53"/>
  <sheetViews>
    <sheetView zoomScale="70" zoomScaleNormal="70" workbookViewId="0"/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1.7109375" style="1" customWidth="1"/>
    <col min="14" max="14" width="1.7109375" style="1" customWidth="1"/>
    <col min="15" max="15" width="11.7109375" style="1" customWidth="1"/>
    <col min="16" max="16" width="1.7109375" style="1" customWidth="1"/>
    <col min="17" max="17" width="11.7109375" style="1" customWidth="1"/>
    <col min="18" max="18" width="1.7109375" style="1" customWidth="1"/>
    <col min="19" max="19" width="11.7109375" style="1" customWidth="1"/>
    <col min="20" max="16384" width="8.7109375" style="1"/>
  </cols>
  <sheetData>
    <row r="1" spans="1:21">
      <c r="S1" s="64" t="s">
        <v>114</v>
      </c>
    </row>
    <row r="2" spans="1:21">
      <c r="Q2" s="3"/>
      <c r="S2" s="64" t="s">
        <v>66</v>
      </c>
    </row>
    <row r="3" spans="1:21">
      <c r="Q3" s="3"/>
    </row>
    <row r="4" spans="1:21" ht="16">
      <c r="A4" s="4" t="s">
        <v>1550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</row>
    <row r="5" spans="1:2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21">
      <c r="A6" s="5" t="s">
        <v>128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21">
      <c r="A7" s="5" t="s">
        <v>326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2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21">
      <c r="A9" s="5"/>
      <c r="B9" s="5"/>
      <c r="C9" s="5"/>
      <c r="D9" s="5"/>
    </row>
    <row r="10" spans="1:21">
      <c r="U10" s="120"/>
    </row>
    <row r="11" spans="1:21">
      <c r="C11" s="7" t="s">
        <v>282</v>
      </c>
      <c r="D11" s="8"/>
      <c r="E11" s="8"/>
      <c r="F11" s="8"/>
      <c r="G11" s="8"/>
      <c r="I11" s="7" t="s">
        <v>132</v>
      </c>
      <c r="J11" s="8"/>
      <c r="K11" s="8"/>
      <c r="L11" s="8"/>
      <c r="M11" s="8"/>
      <c r="O11" s="7" t="s">
        <v>197</v>
      </c>
      <c r="P11" s="8"/>
      <c r="Q11" s="8"/>
      <c r="R11" s="8"/>
      <c r="S11" s="8"/>
    </row>
    <row r="12" spans="1:21">
      <c r="A12" s="2" t="s">
        <v>3</v>
      </c>
      <c r="C12" s="2" t="s">
        <v>177</v>
      </c>
      <c r="E12" s="2" t="s">
        <v>12</v>
      </c>
      <c r="G12" s="2" t="s">
        <v>14</v>
      </c>
      <c r="I12" s="2" t="s">
        <v>177</v>
      </c>
      <c r="K12" s="2" t="s">
        <v>12</v>
      </c>
      <c r="M12" s="2" t="s">
        <v>14</v>
      </c>
      <c r="O12" s="2" t="s">
        <v>177</v>
      </c>
      <c r="Q12" s="2" t="s">
        <v>12</v>
      </c>
      <c r="S12" s="2" t="s">
        <v>14</v>
      </c>
    </row>
    <row r="13" spans="1:21">
      <c r="A13" s="2" t="s">
        <v>4</v>
      </c>
      <c r="C13" s="2" t="s">
        <v>16</v>
      </c>
      <c r="E13" s="2" t="s">
        <v>55</v>
      </c>
      <c r="G13" s="2" t="s">
        <v>55</v>
      </c>
      <c r="I13" s="2" t="s">
        <v>16</v>
      </c>
      <c r="K13" s="2" t="s">
        <v>55</v>
      </c>
      <c r="M13" s="2" t="s">
        <v>55</v>
      </c>
      <c r="O13" s="2" t="s">
        <v>16</v>
      </c>
      <c r="Q13" s="2" t="s">
        <v>55</v>
      </c>
      <c r="S13" s="2" t="s">
        <v>55</v>
      </c>
    </row>
    <row r="14" spans="1:21">
      <c r="A14" s="10">
        <v>-1</v>
      </c>
      <c r="C14" s="10">
        <v>-2</v>
      </c>
      <c r="E14" s="10">
        <v>-3</v>
      </c>
      <c r="G14" s="10">
        <v>-4</v>
      </c>
      <c r="I14" s="10">
        <v>-5</v>
      </c>
      <c r="K14" s="10">
        <v>-6</v>
      </c>
      <c r="M14" s="10">
        <v>-7</v>
      </c>
      <c r="O14" s="10">
        <v>-8</v>
      </c>
      <c r="Q14" s="10">
        <v>-9</v>
      </c>
      <c r="S14" s="10">
        <v>-10</v>
      </c>
    </row>
    <row r="15" spans="1:21">
      <c r="C15" s="62"/>
      <c r="D15" s="11"/>
      <c r="E15" s="62"/>
      <c r="F15" s="11"/>
      <c r="G15" s="62"/>
      <c r="H15" s="11"/>
      <c r="I15" s="62"/>
      <c r="K15" s="62"/>
      <c r="M15" s="62"/>
      <c r="O15" s="62"/>
      <c r="Q15" s="62"/>
      <c r="S15" s="62"/>
    </row>
    <row r="16" spans="1:21">
      <c r="A16" s="65" t="s">
        <v>77</v>
      </c>
    </row>
    <row r="17" spans="1:28">
      <c r="A17" s="6">
        <v>2013</v>
      </c>
      <c r="C17" s="497">
        <f>'Exhibit C, 1'!G17+'Exhibit C,2'!C17</f>
        <v>1267305.95</v>
      </c>
      <c r="D17" s="147"/>
      <c r="E17" s="497">
        <f>'Exhibit C, 1'!I17+'Exhibit C,2'!E17</f>
        <v>10582.26</v>
      </c>
      <c r="F17" s="147"/>
      <c r="G17" s="497">
        <f>'Exhibit C, 1'!K17+'Exhibit C,2'!G17</f>
        <v>10582.26</v>
      </c>
      <c r="H17" s="147"/>
      <c r="I17" s="497">
        <f>'Exhibit C, 1'!M17+'Exhibit C,2'!I17</f>
        <v>1267000</v>
      </c>
      <c r="J17" s="147"/>
      <c r="K17" s="497">
        <f>'Exhibit C, 1'!O17+'Exhibit C,2'!K17</f>
        <v>11000</v>
      </c>
      <c r="L17" s="147"/>
      <c r="M17" s="497">
        <f>'Exhibit C, 1'!Q17+'Exhibit C,2'!M17</f>
        <v>11000</v>
      </c>
      <c r="N17" s="147"/>
      <c r="O17" s="147">
        <f>I17-C17</f>
        <v>-305.94999999995343</v>
      </c>
      <c r="P17" s="147"/>
      <c r="Q17" s="147">
        <f>K17-E17</f>
        <v>417.73999999999978</v>
      </c>
      <c r="R17" s="147"/>
      <c r="S17" s="147">
        <f>M17-G17</f>
        <v>417.73999999999978</v>
      </c>
      <c r="V17" s="185"/>
    </row>
    <row r="18" spans="1:28">
      <c r="A18" s="6">
        <f>A17+1</f>
        <v>2014</v>
      </c>
      <c r="C18" s="494">
        <f>'Exhibit C, 1'!G18+'Exhibit C,2'!C18</f>
        <v>1454607.11</v>
      </c>
      <c r="D18" s="494"/>
      <c r="E18" s="499">
        <f>'Exhibit C, 1'!I18+'Exhibit C,2'!E18</f>
        <v>6104500.8599999994</v>
      </c>
      <c r="F18" s="494"/>
      <c r="G18" s="499">
        <f>'Exhibit C, 1'!K18+'Exhibit C,2'!G18</f>
        <v>5064972.9399999995</v>
      </c>
      <c r="H18" s="494"/>
      <c r="I18" s="494">
        <f>'Exhibit C, 1'!M18+'Exhibit C,2'!I18</f>
        <v>1455000</v>
      </c>
      <c r="J18" s="494"/>
      <c r="K18" s="494">
        <f>'Exhibit C, 1'!O18+'Exhibit C,2'!K18</f>
        <v>4253000</v>
      </c>
      <c r="L18" s="494"/>
      <c r="M18" s="494">
        <f>'Exhibit C, 1'!Q18+'Exhibit C,2'!M18</f>
        <v>4136000</v>
      </c>
      <c r="N18" s="494"/>
      <c r="O18" s="494">
        <f t="shared" ref="O18:O25" si="0">I18-C18</f>
        <v>392.88999999989755</v>
      </c>
      <c r="P18" s="494"/>
      <c r="Q18" s="494">
        <f t="shared" ref="Q18:S25" si="1">K18-E18</f>
        <v>-1851500.8599999994</v>
      </c>
      <c r="R18" s="494"/>
      <c r="S18" s="494">
        <f t="shared" si="1"/>
        <v>-928972.93999999948</v>
      </c>
    </row>
    <row r="19" spans="1:28">
      <c r="A19" s="6">
        <f t="shared" ref="A19:A24" si="2">A18+1</f>
        <v>2015</v>
      </c>
      <c r="C19" s="494">
        <f>'Exhibit C, 1'!G19+'Exhibit C,2'!C19</f>
        <v>2126496.86</v>
      </c>
      <c r="D19" s="494"/>
      <c r="E19" s="499">
        <f>'Exhibit C, 1'!I19+'Exhibit C,2'!E19</f>
        <v>3117208.1099999994</v>
      </c>
      <c r="F19" s="494"/>
      <c r="G19" s="499">
        <f>'Exhibit C, 1'!K19+'Exhibit C,2'!G19</f>
        <v>3079794.1099999994</v>
      </c>
      <c r="H19" s="494"/>
      <c r="I19" s="494">
        <f>'Exhibit C, 1'!M19+'Exhibit C,2'!I19</f>
        <v>2127000</v>
      </c>
      <c r="J19" s="494"/>
      <c r="K19" s="494">
        <f>'Exhibit C, 1'!O19+'Exhibit C,2'!K19</f>
        <v>3097000</v>
      </c>
      <c r="L19" s="494"/>
      <c r="M19" s="494">
        <f>'Exhibit C, 1'!Q19+'Exhibit C,2'!M19</f>
        <v>3055000</v>
      </c>
      <c r="N19" s="494"/>
      <c r="O19" s="494">
        <f t="shared" si="0"/>
        <v>503.14000000013039</v>
      </c>
      <c r="P19" s="494"/>
      <c r="Q19" s="494">
        <f t="shared" si="1"/>
        <v>-20208.109999999404</v>
      </c>
      <c r="R19" s="494"/>
      <c r="S19" s="494">
        <f t="shared" si="1"/>
        <v>-24794.109999999404</v>
      </c>
    </row>
    <row r="20" spans="1:28">
      <c r="A20" s="6">
        <f t="shared" si="2"/>
        <v>2016</v>
      </c>
      <c r="C20" s="494">
        <f>'Exhibit C, 1'!G20+'Exhibit C,2'!C20</f>
        <v>2442140.8900000043</v>
      </c>
      <c r="D20" s="494"/>
      <c r="E20" s="499">
        <f>'Exhibit C, 1'!I20+'Exhibit C,2'!E20</f>
        <v>15962659.600000001</v>
      </c>
      <c r="F20" s="494"/>
      <c r="G20" s="499">
        <f>'Exhibit C, 1'!K20+'Exhibit C,2'!G20</f>
        <v>15436045.010000002</v>
      </c>
      <c r="H20" s="494"/>
      <c r="I20" s="494">
        <f>'Exhibit C, 1'!M20+'Exhibit C,2'!I20</f>
        <v>2442000</v>
      </c>
      <c r="J20" s="494"/>
      <c r="K20" s="494">
        <f>'Exhibit C, 1'!O20+'Exhibit C,2'!K20</f>
        <v>14404000</v>
      </c>
      <c r="L20" s="494"/>
      <c r="M20" s="494">
        <f>'Exhibit C, 1'!Q20+'Exhibit C,2'!M20</f>
        <v>13005000</v>
      </c>
      <c r="N20" s="494"/>
      <c r="O20" s="494">
        <f t="shared" si="0"/>
        <v>-140.89000000432134</v>
      </c>
      <c r="P20" s="494"/>
      <c r="Q20" s="494">
        <f t="shared" si="1"/>
        <v>-1558659.6000000015</v>
      </c>
      <c r="R20" s="494"/>
      <c r="S20" s="494">
        <f t="shared" si="1"/>
        <v>-2431045.0100000016</v>
      </c>
    </row>
    <row r="21" spans="1:28">
      <c r="A21" s="6">
        <f t="shared" si="2"/>
        <v>2017</v>
      </c>
      <c r="C21" s="494">
        <f>'Exhibit C, 1'!G21+'Exhibit C,2'!C21</f>
        <v>5935591.9699999793</v>
      </c>
      <c r="D21" s="494"/>
      <c r="E21" s="499">
        <f>'Exhibit C, 1'!I21+'Exhibit C,2'!E21</f>
        <v>12059586.899999999</v>
      </c>
      <c r="F21" s="494"/>
      <c r="G21" s="499">
        <f>'Exhibit C, 1'!K21+'Exhibit C,2'!G21</f>
        <v>9950118.4900000002</v>
      </c>
      <c r="H21" s="494"/>
      <c r="I21" s="494">
        <f>'Exhibit C, 1'!M21+'Exhibit C,2'!I21</f>
        <v>5935000</v>
      </c>
      <c r="J21" s="494"/>
      <c r="K21" s="494">
        <f>'Exhibit C, 1'!O21+'Exhibit C,2'!K21</f>
        <v>9288000</v>
      </c>
      <c r="L21" s="494"/>
      <c r="M21" s="494">
        <f>'Exhibit C, 1'!Q21+'Exhibit C,2'!M21</f>
        <v>8177000</v>
      </c>
      <c r="N21" s="494"/>
      <c r="O21" s="494">
        <f t="shared" si="0"/>
        <v>-591.96999997925013</v>
      </c>
      <c r="P21" s="494"/>
      <c r="Q21" s="494">
        <f t="shared" si="1"/>
        <v>-2771586.8999999985</v>
      </c>
      <c r="R21" s="494"/>
      <c r="S21" s="494">
        <f t="shared" si="1"/>
        <v>-1773118.4900000002</v>
      </c>
    </row>
    <row r="22" spans="1:28">
      <c r="A22" s="6">
        <f t="shared" si="2"/>
        <v>2018</v>
      </c>
      <c r="C22" s="494">
        <f>'Exhibit C, 1'!G22+'Exhibit C,2'!C22</f>
        <v>5506522.8300000057</v>
      </c>
      <c r="D22" s="494"/>
      <c r="E22" s="499">
        <f>'Exhibit C, 1'!I22+'Exhibit C,2'!E22</f>
        <v>16095322.92</v>
      </c>
      <c r="F22" s="494"/>
      <c r="G22" s="499">
        <f>'Exhibit C, 1'!K22+'Exhibit C,2'!G22</f>
        <v>11924454.880000001</v>
      </c>
      <c r="H22" s="494"/>
      <c r="I22" s="494">
        <f>'Exhibit C, 1'!M22+'Exhibit C,2'!I22</f>
        <v>5505057</v>
      </c>
      <c r="J22" s="494"/>
      <c r="K22" s="494">
        <f>'Exhibit C, 1'!O22+'Exhibit C,2'!K22</f>
        <v>6148000</v>
      </c>
      <c r="L22" s="494"/>
      <c r="M22" s="494">
        <f>'Exhibit C, 1'!Q22+'Exhibit C,2'!M22</f>
        <v>5419000</v>
      </c>
      <c r="N22" s="494"/>
      <c r="O22" s="494">
        <f t="shared" si="0"/>
        <v>-1465.8300000056624</v>
      </c>
      <c r="P22" s="494"/>
      <c r="Q22" s="494">
        <f t="shared" si="1"/>
        <v>-9947322.9199999999</v>
      </c>
      <c r="R22" s="494"/>
      <c r="S22" s="494">
        <f t="shared" si="1"/>
        <v>-6505454.8800000008</v>
      </c>
    </row>
    <row r="23" spans="1:28">
      <c r="A23" s="6">
        <f t="shared" si="2"/>
        <v>2019</v>
      </c>
      <c r="C23" s="494">
        <f>'Exhibit C, 1'!G23+'Exhibit C,2'!C23</f>
        <v>5436494.0499999952</v>
      </c>
      <c r="D23" s="494"/>
      <c r="E23" s="499">
        <f>'Exhibit C, 1'!I23+'Exhibit C,2'!E23</f>
        <v>12219086.73</v>
      </c>
      <c r="F23" s="494"/>
      <c r="G23" s="499">
        <f>'Exhibit C, 1'!K23+'Exhibit C,2'!G23</f>
        <v>9881907.9399999995</v>
      </c>
      <c r="H23" s="494"/>
      <c r="I23" s="494">
        <f>'Exhibit C, 1'!M23+'Exhibit C,2'!I23</f>
        <v>5437000</v>
      </c>
      <c r="J23" s="494"/>
      <c r="K23" s="494">
        <f>'Exhibit C, 1'!O23+'Exhibit C,2'!K23</f>
        <v>8452000</v>
      </c>
      <c r="L23" s="494"/>
      <c r="M23" s="494">
        <f>'Exhibit C, 1'!Q23+'Exhibit C,2'!M23</f>
        <v>3986000</v>
      </c>
      <c r="N23" s="494"/>
      <c r="O23" s="494">
        <f t="shared" si="0"/>
        <v>505.95000000484288</v>
      </c>
      <c r="P23" s="494"/>
      <c r="Q23" s="494">
        <f t="shared" si="1"/>
        <v>-3767086.7300000004</v>
      </c>
      <c r="R23" s="494"/>
      <c r="S23" s="494">
        <f t="shared" si="1"/>
        <v>-5895907.9399999995</v>
      </c>
    </row>
    <row r="24" spans="1:28">
      <c r="A24" s="6">
        <f t="shared" si="2"/>
        <v>2020</v>
      </c>
      <c r="C24" s="494">
        <f>'Exhibit C, 1'!G24+'Exhibit C,2'!C24</f>
        <v>3111849.1100000003</v>
      </c>
      <c r="D24" s="494"/>
      <c r="E24" s="499">
        <f>'Exhibit C, 1'!I24+'Exhibit C,2'!E24</f>
        <v>2055535.0099999998</v>
      </c>
      <c r="F24" s="494"/>
      <c r="G24" s="499">
        <f>'Exhibit C, 1'!K24+'Exhibit C,2'!G24</f>
        <v>1744765.0799999998</v>
      </c>
      <c r="H24" s="494"/>
      <c r="I24" s="494">
        <f>'Exhibit C, 1'!M24+'Exhibit C,2'!I24</f>
        <v>3112000</v>
      </c>
      <c r="J24" s="494"/>
      <c r="K24" s="494">
        <f>'Exhibit C, 1'!O24+'Exhibit C,2'!K24</f>
        <v>863000</v>
      </c>
      <c r="L24" s="494"/>
      <c r="M24" s="494">
        <f>'Exhibit C, 1'!Q24+'Exhibit C,2'!M24</f>
        <v>480000</v>
      </c>
      <c r="N24" s="494"/>
      <c r="O24" s="494">
        <f t="shared" si="0"/>
        <v>150.88999999966472</v>
      </c>
      <c r="P24" s="494"/>
      <c r="Q24" s="494">
        <f t="shared" si="1"/>
        <v>-1192535.0099999998</v>
      </c>
      <c r="R24" s="494"/>
      <c r="S24" s="494">
        <f t="shared" si="1"/>
        <v>-1264765.0799999998</v>
      </c>
    </row>
    <row r="25" spans="1:28">
      <c r="A25" s="6">
        <f>A24+1</f>
        <v>2021</v>
      </c>
      <c r="C25" s="494">
        <f>'Exhibit C, 1'!G25+'Exhibit C,2'!C25</f>
        <v>4005299.6899999995</v>
      </c>
      <c r="D25" s="494"/>
      <c r="E25" s="499">
        <f>'Exhibit C, 1'!I25+'Exhibit C,2'!E25</f>
        <v>3774415.05</v>
      </c>
      <c r="F25" s="494"/>
      <c r="G25" s="499">
        <f>'Exhibit C, 1'!K25+'Exhibit C,2'!G25</f>
        <v>1382548.8399999999</v>
      </c>
      <c r="H25" s="494"/>
      <c r="I25" s="494">
        <f>'Exhibit C, 1'!M25+'Exhibit C,2'!I25</f>
        <v>4005299</v>
      </c>
      <c r="J25" s="494"/>
      <c r="K25" s="494">
        <f>'Exhibit C, 1'!O25+'Exhibit C,2'!K25</f>
        <v>358000</v>
      </c>
      <c r="L25" s="494"/>
      <c r="M25" s="494">
        <f>'Exhibit C, 1'!Q25+'Exhibit C,2'!M25</f>
        <v>38000</v>
      </c>
      <c r="N25" s="494"/>
      <c r="O25" s="494">
        <f t="shared" si="0"/>
        <v>-0.68999999947845936</v>
      </c>
      <c r="P25" s="494"/>
      <c r="Q25" s="494">
        <f t="shared" si="1"/>
        <v>-3416415.05</v>
      </c>
      <c r="R25" s="494"/>
      <c r="S25" s="494">
        <f t="shared" si="1"/>
        <v>-1344548.8399999999</v>
      </c>
    </row>
    <row r="26" spans="1:28">
      <c r="A26" s="6">
        <f>A25+1</f>
        <v>2022</v>
      </c>
      <c r="C26" s="494"/>
      <c r="D26" s="494"/>
      <c r="E26" s="499"/>
      <c r="F26" s="494"/>
      <c r="G26" s="499"/>
      <c r="H26" s="494"/>
      <c r="I26" s="494"/>
      <c r="J26" s="494"/>
      <c r="K26" s="494"/>
      <c r="L26" s="494"/>
      <c r="M26" s="494"/>
      <c r="N26" s="494"/>
      <c r="O26" s="494"/>
      <c r="P26" s="494"/>
      <c r="Q26" s="494"/>
      <c r="R26" s="494"/>
      <c r="S26" s="494"/>
    </row>
    <row r="27" spans="1:28">
      <c r="A27" s="6"/>
      <c r="C27" s="63"/>
      <c r="E27" s="63"/>
      <c r="G27" s="63"/>
      <c r="I27" s="63"/>
      <c r="K27" s="63"/>
      <c r="M27" s="63"/>
      <c r="O27" s="63"/>
      <c r="Q27" s="63"/>
      <c r="S27" s="63"/>
    </row>
    <row r="28" spans="1:28">
      <c r="A28" s="2" t="s">
        <v>0</v>
      </c>
      <c r="C28" s="147">
        <f>SUM(C17:C27)</f>
        <v>31286308.459999979</v>
      </c>
      <c r="D28" s="147"/>
      <c r="E28" s="147">
        <f>SUM(E17:E27)</f>
        <v>71398897.439999998</v>
      </c>
      <c r="F28" s="147"/>
      <c r="G28" s="147">
        <f>SUM(G17:G27)</f>
        <v>58475189.549999997</v>
      </c>
      <c r="H28" s="147"/>
      <c r="I28" s="147">
        <f>SUM(I17:I27)</f>
        <v>31285356</v>
      </c>
      <c r="J28" s="147"/>
      <c r="K28" s="147">
        <f>SUM(K17:K27)</f>
        <v>46874000</v>
      </c>
      <c r="L28" s="147"/>
      <c r="M28" s="147">
        <f>SUM(M17:M27)</f>
        <v>38307000</v>
      </c>
      <c r="N28" s="147"/>
      <c r="O28" s="147">
        <f>SUM(O17:O27)</f>
        <v>-952.45999998413026</v>
      </c>
      <c r="P28" s="147"/>
      <c r="Q28" s="147">
        <f>SUM(Q17:Q27)</f>
        <v>-24524897.440000001</v>
      </c>
      <c r="R28" s="147"/>
      <c r="S28" s="147">
        <f>SUM(S17:S27)</f>
        <v>-20168189.550000001</v>
      </c>
    </row>
    <row r="30" spans="1:28">
      <c r="A30" s="65" t="s">
        <v>118</v>
      </c>
    </row>
    <row r="31" spans="1:28">
      <c r="A31" s="6">
        <f>A17</f>
        <v>2013</v>
      </c>
      <c r="C31" s="147"/>
      <c r="D31" s="147"/>
      <c r="E31" s="497">
        <f>'Exhibit C, 1'!I31+'Exhibit C,2'!E31</f>
        <v>1721</v>
      </c>
      <c r="F31" s="147"/>
      <c r="G31" s="497">
        <f>'Exhibit C, 1'!K31+'Exhibit C,2'!G31</f>
        <v>1721</v>
      </c>
      <c r="H31" s="147"/>
      <c r="I31" s="147"/>
      <c r="J31" s="147"/>
      <c r="K31" s="497">
        <f>'Exhibit C, 1'!O31+'Exhibit C,2'!K31</f>
        <v>2000</v>
      </c>
      <c r="L31" s="147"/>
      <c r="M31" s="509">
        <f>'Exhibit C, 1'!Q31+'Exhibit C,2'!M31</f>
        <v>2000</v>
      </c>
      <c r="N31" s="147"/>
      <c r="O31" s="147"/>
      <c r="P31" s="147"/>
      <c r="Q31" s="147">
        <f>K31-E31</f>
        <v>279</v>
      </c>
      <c r="R31" s="147"/>
      <c r="S31" s="147">
        <f>M31-G31</f>
        <v>279</v>
      </c>
      <c r="AB31" s="366"/>
    </row>
    <row r="32" spans="1:28">
      <c r="A32" s="6">
        <f>A31+1</f>
        <v>2014</v>
      </c>
      <c r="C32" s="187"/>
      <c r="D32" s="187"/>
      <c r="E32" s="499">
        <f>'Exhibit C, 1'!I32+'Exhibit C,2'!E32</f>
        <v>77600.820000000007</v>
      </c>
      <c r="F32" s="187"/>
      <c r="G32" s="499">
        <f>'Exhibit C, 1'!K32+'Exhibit C,2'!G32</f>
        <v>77600.820000000007</v>
      </c>
      <c r="H32" s="187"/>
      <c r="I32" s="187"/>
      <c r="J32" s="187"/>
      <c r="K32" s="494">
        <f>'Exhibit C, 1'!O32+'Exhibit C,2'!K32</f>
        <v>285000</v>
      </c>
      <c r="L32" s="187"/>
      <c r="M32" s="499">
        <f>'Exhibit C, 1'!Q32+'Exhibit C,2'!M32</f>
        <v>279000</v>
      </c>
      <c r="N32" s="187"/>
      <c r="O32" s="187"/>
      <c r="P32" s="187"/>
      <c r="Q32" s="494">
        <f t="shared" ref="Q32:S39" si="3">K32-E32</f>
        <v>207399.18</v>
      </c>
      <c r="R32" s="187"/>
      <c r="S32" s="494">
        <f t="shared" si="3"/>
        <v>201399.18</v>
      </c>
      <c r="AB32" s="366"/>
    </row>
    <row r="33" spans="1:33">
      <c r="A33" s="6">
        <f t="shared" ref="A33:A40" si="4">A32+1</f>
        <v>2015</v>
      </c>
      <c r="C33" s="187"/>
      <c r="D33" s="187"/>
      <c r="E33" s="499">
        <f>'Exhibit C, 1'!I33+'Exhibit C,2'!E33</f>
        <v>85812.3</v>
      </c>
      <c r="F33" s="187"/>
      <c r="G33" s="499">
        <f>'Exhibit C, 1'!K33+'Exhibit C,2'!G33</f>
        <v>58398.3</v>
      </c>
      <c r="H33" s="187"/>
      <c r="I33" s="187"/>
      <c r="J33" s="187"/>
      <c r="K33" s="494">
        <f>'Exhibit C, 1'!O33+'Exhibit C,2'!K33</f>
        <v>230000</v>
      </c>
      <c r="L33" s="187"/>
      <c r="M33" s="499">
        <f>'Exhibit C, 1'!Q33+'Exhibit C,2'!M33</f>
        <v>188000</v>
      </c>
      <c r="N33" s="187"/>
      <c r="O33" s="187"/>
      <c r="P33" s="187"/>
      <c r="Q33" s="494">
        <f t="shared" si="3"/>
        <v>144187.70000000001</v>
      </c>
      <c r="R33" s="187"/>
      <c r="S33" s="494">
        <f t="shared" si="3"/>
        <v>129601.7</v>
      </c>
      <c r="AB33" s="366"/>
    </row>
    <row r="34" spans="1:33">
      <c r="A34" s="6">
        <f t="shared" si="4"/>
        <v>2016</v>
      </c>
      <c r="C34" s="187"/>
      <c r="D34" s="187"/>
      <c r="E34" s="499">
        <f>'Exhibit C, 1'!I34+'Exhibit C,2'!E34</f>
        <v>12379.280000000002</v>
      </c>
      <c r="F34" s="187"/>
      <c r="G34" s="499">
        <f>'Exhibit C, 1'!K34+'Exhibit C,2'!G34</f>
        <v>12379.280000000002</v>
      </c>
      <c r="H34" s="187"/>
      <c r="I34" s="187"/>
      <c r="J34" s="187"/>
      <c r="K34" s="494">
        <f>'Exhibit C, 1'!O34+'Exhibit C,2'!K34</f>
        <v>750000</v>
      </c>
      <c r="L34" s="187"/>
      <c r="M34" s="499">
        <f>'Exhibit C, 1'!Q34+'Exhibit C,2'!M34</f>
        <v>680000</v>
      </c>
      <c r="N34" s="187"/>
      <c r="O34" s="187"/>
      <c r="P34" s="187"/>
      <c r="Q34" s="494">
        <f t="shared" si="3"/>
        <v>737620.72</v>
      </c>
      <c r="R34" s="187"/>
      <c r="S34" s="494">
        <f t="shared" si="3"/>
        <v>667620.72</v>
      </c>
      <c r="AB34" s="366"/>
    </row>
    <row r="35" spans="1:33">
      <c r="A35" s="6">
        <f t="shared" si="4"/>
        <v>2017</v>
      </c>
      <c r="C35" s="187"/>
      <c r="D35" s="187"/>
      <c r="E35" s="499">
        <f>'Exhibit C, 1'!I35+'Exhibit C,2'!E35</f>
        <v>273030.63</v>
      </c>
      <c r="F35" s="187"/>
      <c r="G35" s="499">
        <f>'Exhibit C, 1'!K35+'Exhibit C,2'!G35</f>
        <v>266267.01</v>
      </c>
      <c r="H35" s="187"/>
      <c r="I35" s="187"/>
      <c r="J35" s="187"/>
      <c r="K35" s="494">
        <f>'Exhibit C, 1'!O35+'Exhibit C,2'!K35</f>
        <v>720000</v>
      </c>
      <c r="L35" s="187"/>
      <c r="M35" s="499">
        <f>'Exhibit C, 1'!Q35+'Exhibit C,2'!M35</f>
        <v>658000</v>
      </c>
      <c r="N35" s="187"/>
      <c r="O35" s="187"/>
      <c r="P35" s="187"/>
      <c r="Q35" s="494">
        <f t="shared" si="3"/>
        <v>446969.37</v>
      </c>
      <c r="R35" s="187"/>
      <c r="S35" s="494">
        <f t="shared" si="3"/>
        <v>391732.99</v>
      </c>
      <c r="AB35" s="366"/>
    </row>
    <row r="36" spans="1:33">
      <c r="A36" s="6">
        <f t="shared" si="4"/>
        <v>2018</v>
      </c>
      <c r="C36" s="187"/>
      <c r="D36" s="187"/>
      <c r="E36" s="499">
        <f>'Exhibit C, 1'!I36+'Exhibit C,2'!E36</f>
        <v>21547.67</v>
      </c>
      <c r="F36" s="187"/>
      <c r="G36" s="499">
        <f>'Exhibit C, 1'!K36+'Exhibit C,2'!G36</f>
        <v>21547.67</v>
      </c>
      <c r="H36" s="187"/>
      <c r="I36" s="187"/>
      <c r="J36" s="187"/>
      <c r="K36" s="494">
        <f>'Exhibit C, 1'!O36+'Exhibit C,2'!K36</f>
        <v>342000</v>
      </c>
      <c r="L36" s="187"/>
      <c r="M36" s="499">
        <f>'Exhibit C, 1'!Q36+'Exhibit C,2'!M36</f>
        <v>305000</v>
      </c>
      <c r="N36" s="187"/>
      <c r="O36" s="187"/>
      <c r="P36" s="187"/>
      <c r="Q36" s="494">
        <f t="shared" si="3"/>
        <v>320452.33</v>
      </c>
      <c r="R36" s="187"/>
      <c r="S36" s="494">
        <f t="shared" si="3"/>
        <v>283452.33</v>
      </c>
      <c r="AB36" s="366"/>
    </row>
    <row r="37" spans="1:33">
      <c r="A37" s="6">
        <f t="shared" si="4"/>
        <v>2019</v>
      </c>
      <c r="C37" s="187"/>
      <c r="D37" s="187"/>
      <c r="E37" s="499">
        <f>'Exhibit C, 1'!I37+'Exhibit C,2'!E37</f>
        <v>155831.5</v>
      </c>
      <c r="F37" s="187"/>
      <c r="G37" s="499">
        <f>'Exhibit C, 1'!K37+'Exhibit C,2'!G37</f>
        <v>136741.38</v>
      </c>
      <c r="H37" s="187"/>
      <c r="I37" s="187"/>
      <c r="J37" s="187"/>
      <c r="K37" s="494">
        <f>'Exhibit C, 1'!O37+'Exhibit C,2'!K37</f>
        <v>578000</v>
      </c>
      <c r="L37" s="187"/>
      <c r="M37" s="499">
        <f>'Exhibit C, 1'!Q37+'Exhibit C,2'!M37</f>
        <v>334000</v>
      </c>
      <c r="N37" s="187"/>
      <c r="O37" s="187"/>
      <c r="P37" s="187"/>
      <c r="Q37" s="494">
        <f t="shared" si="3"/>
        <v>422168.5</v>
      </c>
      <c r="R37" s="187"/>
      <c r="S37" s="494">
        <f t="shared" si="3"/>
        <v>197258.62</v>
      </c>
      <c r="AB37" s="366"/>
    </row>
    <row r="38" spans="1:33">
      <c r="A38" s="6">
        <f t="shared" si="4"/>
        <v>2020</v>
      </c>
      <c r="C38" s="187"/>
      <c r="D38" s="187"/>
      <c r="E38" s="499">
        <f>'Exhibit C, 1'!I38+'Exhibit C,2'!E38</f>
        <v>375540.2</v>
      </c>
      <c r="F38" s="187"/>
      <c r="G38" s="499">
        <f>'Exhibit C, 1'!K38+'Exhibit C,2'!G38</f>
        <v>247663.2</v>
      </c>
      <c r="H38" s="187"/>
      <c r="I38" s="187"/>
      <c r="J38" s="187"/>
      <c r="K38" s="494">
        <f>'Exhibit C, 1'!O38+'Exhibit C,2'!K38</f>
        <v>341000</v>
      </c>
      <c r="L38" s="187"/>
      <c r="M38" s="499">
        <f>'Exhibit C, 1'!Q38+'Exhibit C,2'!M38</f>
        <v>271000</v>
      </c>
      <c r="N38" s="187"/>
      <c r="O38" s="187"/>
      <c r="P38" s="187"/>
      <c r="Q38" s="494">
        <f t="shared" si="3"/>
        <v>-34540.200000000012</v>
      </c>
      <c r="R38" s="187"/>
      <c r="S38" s="494">
        <f t="shared" si="3"/>
        <v>23336.799999999988</v>
      </c>
      <c r="AB38" s="366"/>
    </row>
    <row r="39" spans="1:33">
      <c r="A39" s="6">
        <f t="shared" si="4"/>
        <v>2021</v>
      </c>
      <c r="C39" s="187"/>
      <c r="D39" s="187"/>
      <c r="E39" s="499">
        <f>'Exhibit C, 1'!I39+'Exhibit C,2'!E39</f>
        <v>20529.2</v>
      </c>
      <c r="F39" s="187"/>
      <c r="G39" s="499">
        <f>'Exhibit C, 1'!K39+'Exhibit C,2'!G39</f>
        <v>18029.2</v>
      </c>
      <c r="H39" s="187"/>
      <c r="I39" s="187"/>
      <c r="J39" s="187"/>
      <c r="K39" s="494">
        <f>'Exhibit C, 1'!O39+'Exhibit C,2'!K39</f>
        <v>34000</v>
      </c>
      <c r="L39" s="187"/>
      <c r="M39" s="499">
        <f>'Exhibit C, 1'!Q39+'Exhibit C,2'!M39</f>
        <v>5000</v>
      </c>
      <c r="N39" s="187"/>
      <c r="O39" s="187"/>
      <c r="P39" s="187"/>
      <c r="Q39" s="494">
        <f t="shared" si="3"/>
        <v>13470.8</v>
      </c>
      <c r="R39" s="187"/>
      <c r="S39" s="494">
        <f t="shared" si="3"/>
        <v>-13029.2</v>
      </c>
      <c r="AB39" s="366"/>
    </row>
    <row r="40" spans="1:33">
      <c r="A40" s="6">
        <f t="shared" si="4"/>
        <v>2022</v>
      </c>
      <c r="C40" s="187"/>
      <c r="D40" s="187"/>
      <c r="E40" s="499"/>
      <c r="F40" s="187"/>
      <c r="G40" s="499"/>
      <c r="H40" s="187"/>
      <c r="I40" s="187"/>
      <c r="J40" s="187"/>
      <c r="K40" s="494"/>
      <c r="L40" s="187"/>
      <c r="M40" s="499"/>
      <c r="N40" s="187"/>
      <c r="O40" s="187"/>
      <c r="P40" s="187"/>
      <c r="Q40" s="494"/>
      <c r="R40" s="187"/>
      <c r="S40" s="494"/>
      <c r="AB40" s="366"/>
    </row>
    <row r="41" spans="1:33">
      <c r="A41" s="6"/>
      <c r="E41" s="63"/>
      <c r="G41" s="63"/>
      <c r="K41" s="63"/>
      <c r="M41" s="63"/>
      <c r="Q41" s="63"/>
      <c r="S41" s="63"/>
    </row>
    <row r="42" spans="1:33">
      <c r="A42" s="2" t="s">
        <v>0</v>
      </c>
      <c r="C42" s="147"/>
      <c r="D42" s="147"/>
      <c r="E42" s="147">
        <f>SUM(E31:E41)</f>
        <v>1023992.5999999999</v>
      </c>
      <c r="F42" s="147"/>
      <c r="G42" s="147">
        <f>SUM(G31:G41)</f>
        <v>840347.85999999987</v>
      </c>
      <c r="H42" s="147"/>
      <c r="I42" s="147"/>
      <c r="J42" s="147"/>
      <c r="K42" s="147">
        <f>SUM(K31:K41)</f>
        <v>3282000</v>
      </c>
      <c r="L42" s="147"/>
      <c r="M42" s="147">
        <f>SUM(M31:M41)</f>
        <v>2722000</v>
      </c>
      <c r="N42" s="147"/>
      <c r="O42" s="147"/>
      <c r="P42" s="147"/>
      <c r="Q42" s="147">
        <f>SUM(Q31:Q41)</f>
        <v>2258007.4</v>
      </c>
      <c r="R42" s="147"/>
      <c r="S42" s="147">
        <f>SUM(S31:S41)</f>
        <v>1881652.1400000001</v>
      </c>
    </row>
    <row r="43" spans="1:33">
      <c r="A43" s="2"/>
    </row>
    <row r="44" spans="1:33">
      <c r="A44" s="2"/>
      <c r="AG44" s="366"/>
    </row>
    <row r="45" spans="1:33">
      <c r="A45" s="64" t="s">
        <v>322</v>
      </c>
      <c r="C45" s="3" t="s">
        <v>1557</v>
      </c>
      <c r="AA45" s="365"/>
      <c r="AB45" s="366"/>
      <c r="AD45" s="366"/>
      <c r="AG45" s="366"/>
    </row>
    <row r="46" spans="1:33">
      <c r="A46" s="64"/>
      <c r="C46" s="3"/>
      <c r="AA46" s="365"/>
      <c r="AB46" s="366"/>
      <c r="AD46" s="366"/>
      <c r="AG46" s="366"/>
    </row>
    <row r="47" spans="1:33">
      <c r="AA47" s="365"/>
      <c r="AB47" s="366"/>
      <c r="AD47" s="366"/>
    </row>
    <row r="48" spans="1:33">
      <c r="AA48" s="365"/>
      <c r="AB48" s="366"/>
      <c r="AD48" s="366"/>
    </row>
    <row r="49" spans="27:30">
      <c r="AA49" s="365"/>
      <c r="AB49" s="366"/>
      <c r="AD49" s="366"/>
    </row>
    <row r="50" spans="27:30">
      <c r="AA50" s="365"/>
      <c r="AB50" s="366"/>
      <c r="AD50" s="366"/>
    </row>
    <row r="51" spans="27:30">
      <c r="AA51" s="365"/>
      <c r="AB51" s="366"/>
      <c r="AD51" s="366"/>
    </row>
    <row r="52" spans="27:30">
      <c r="AA52" s="365"/>
      <c r="AB52" s="366"/>
      <c r="AD52" s="366"/>
    </row>
    <row r="53" spans="27:30">
      <c r="AA53" s="365"/>
      <c r="AB53" s="366"/>
      <c r="AD53" s="366"/>
    </row>
  </sheetData>
  <printOptions horizontalCentered="1"/>
  <pageMargins left="0.7" right="0.7" top="0.75" bottom="0.75" header="0.3" footer="0.3"/>
  <pageSetup scale="56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6">
    <pageSetUpPr fitToPage="1"/>
  </sheetPr>
  <dimension ref="A1:DG85"/>
  <sheetViews>
    <sheetView topLeftCell="N1" zoomScale="70" zoomScaleNormal="70" workbookViewId="0"/>
  </sheetViews>
  <sheetFormatPr baseColWidth="10" defaultColWidth="8.7109375" defaultRowHeight="15"/>
  <cols>
    <col min="1" max="1" width="15.7109375" style="1" hidden="1" customWidth="1"/>
    <col min="2" max="2" width="1.7109375" style="1" hidden="1" customWidth="1"/>
    <col min="3" max="3" width="12.7109375" style="1" hidden="1" customWidth="1"/>
    <col min="4" max="4" width="1.7109375" style="1" hidden="1" customWidth="1"/>
    <col min="5" max="5" width="12.7109375" style="1" hidden="1" customWidth="1"/>
    <col min="6" max="6" width="1.7109375" style="1" hidden="1" customWidth="1"/>
    <col min="7" max="7" width="12.7109375" style="1" hidden="1" customWidth="1"/>
    <col min="8" max="8" width="1.7109375" style="1" hidden="1" customWidth="1"/>
    <col min="9" max="9" width="12.7109375" style="1" hidden="1" customWidth="1"/>
    <col min="10" max="10" width="1.7109375" style="1" hidden="1" customWidth="1"/>
    <col min="11" max="11" width="12.7109375" style="1" hidden="1" customWidth="1"/>
    <col min="12" max="12" width="1.7109375" style="1" hidden="1" customWidth="1"/>
    <col min="13" max="13" width="12.7109375" style="1" hidden="1" customWidth="1"/>
    <col min="14" max="14" width="15.7109375" style="1" customWidth="1"/>
    <col min="15" max="15" width="1.7109375" style="1" customWidth="1"/>
    <col min="16" max="16" width="12.7109375" style="1" customWidth="1"/>
    <col min="17" max="17" width="1.7109375" style="1" customWidth="1"/>
    <col min="18" max="18" width="12.7109375" style="1" customWidth="1"/>
    <col min="19" max="19" width="1.7109375" style="1" customWidth="1"/>
    <col min="20" max="20" width="12.7109375" style="1" bestFit="1" customWidth="1"/>
    <col min="21" max="21" width="1.7109375" style="1" customWidth="1"/>
    <col min="22" max="22" width="12.7109375" style="1" customWidth="1"/>
    <col min="23" max="25" width="1.7109375" style="1" customWidth="1"/>
    <col min="26" max="26" width="8.7109375" style="1" bestFit="1" customWidth="1"/>
    <col min="27" max="27" width="1.7109375" style="1" customWidth="1"/>
    <col min="28" max="28" width="12.7109375" style="1" customWidth="1"/>
    <col min="29" max="29" width="1.7109375" style="1" customWidth="1"/>
    <col min="30" max="30" width="12.7109375" style="1" customWidth="1"/>
    <col min="31" max="31" width="1.7109375" style="1" customWidth="1"/>
    <col min="32" max="32" width="12.7109375" style="1" customWidth="1"/>
    <col min="33" max="33" width="1.7109375" style="1" customWidth="1"/>
    <col min="34" max="34" width="12.7109375" style="1" customWidth="1"/>
    <col min="35" max="35" width="1.7109375" style="1" customWidth="1"/>
    <col min="36" max="36" width="12.7109375" style="1" customWidth="1"/>
    <col min="37" max="37" width="1.7109375" style="1" customWidth="1"/>
    <col min="38" max="38" width="12.7109375" style="1" customWidth="1"/>
    <col min="39" max="39" width="1.7109375" style="1" customWidth="1"/>
    <col min="40" max="40" width="12.7109375" style="1" customWidth="1"/>
    <col min="41" max="41" width="1.7109375" style="1" customWidth="1"/>
    <col min="42" max="42" width="12.7109375" style="1" customWidth="1"/>
    <col min="43" max="43" width="1.7109375" style="1" customWidth="1"/>
    <col min="44" max="44" width="12.7109375" style="1" customWidth="1"/>
    <col min="45" max="45" width="1.7109375" style="1" customWidth="1"/>
    <col min="46" max="46" width="12.7109375" style="1" customWidth="1"/>
    <col min="47" max="47" width="1.7109375" style="1" customWidth="1"/>
    <col min="48" max="48" width="12.7109375" style="1" customWidth="1"/>
    <col min="49" max="49" width="11.140625" style="1" bestFit="1" customWidth="1"/>
    <col min="50" max="50" width="10.140625" style="1" bestFit="1" customWidth="1"/>
    <col min="51" max="51" width="12.7109375" style="1" customWidth="1"/>
    <col min="52" max="52" width="10.7109375" style="1" bestFit="1" customWidth="1"/>
    <col min="53" max="53" width="11.140625" style="1" bestFit="1" customWidth="1"/>
    <col min="54" max="54" width="8.7109375" style="1"/>
    <col min="55" max="83" width="12.7109375" style="1" customWidth="1"/>
    <col min="84" max="86" width="12" style="1" bestFit="1" customWidth="1"/>
    <col min="87" max="87" width="10.7109375" style="1" bestFit="1" customWidth="1"/>
    <col min="88" max="88" width="8.7109375" style="1" bestFit="1" customWidth="1"/>
    <col min="89" max="90" width="11.140625" style="1" bestFit="1" customWidth="1"/>
    <col min="91" max="91" width="8.7109375" style="1"/>
    <col min="92" max="102" width="12.7109375" style="1" customWidth="1"/>
    <col min="103" max="103" width="10.28515625" style="1" bestFit="1" customWidth="1"/>
    <col min="104" max="110" width="12.7109375" style="1" customWidth="1"/>
    <col min="111" max="16384" width="8.7109375" style="1"/>
  </cols>
  <sheetData>
    <row r="1" spans="14:111">
      <c r="AV1" s="64" t="s">
        <v>107</v>
      </c>
    </row>
    <row r="2" spans="14:111">
      <c r="AV2" s="64" t="s">
        <v>56</v>
      </c>
    </row>
    <row r="4" spans="14:111" ht="16">
      <c r="N4" s="4" t="s">
        <v>1550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</row>
    <row r="5" spans="14:111"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</row>
    <row r="6" spans="14:111">
      <c r="N6" s="5" t="s">
        <v>584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</row>
    <row r="7" spans="14:111">
      <c r="N7" s="5" t="s">
        <v>622</v>
      </c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</row>
    <row r="8" spans="14:111">
      <c r="N8" s="5" t="s">
        <v>77</v>
      </c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X8" s="243"/>
      <c r="AY8" s="24"/>
      <c r="BA8" s="588"/>
      <c r="BD8" s="25"/>
      <c r="BE8" s="25" t="s">
        <v>1674</v>
      </c>
      <c r="BH8" s="25" t="s">
        <v>1701</v>
      </c>
      <c r="CP8" s="25"/>
      <c r="CQ8" s="61"/>
    </row>
    <row r="9" spans="14:111"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6" t="s">
        <v>562</v>
      </c>
      <c r="AQ9" s="5"/>
      <c r="AR9" s="6" t="s">
        <v>562</v>
      </c>
      <c r="AS9" s="6"/>
      <c r="AT9" s="6" t="s">
        <v>562</v>
      </c>
      <c r="AX9" s="25"/>
      <c r="AY9" s="25"/>
      <c r="BA9" s="25" t="s">
        <v>1702</v>
      </c>
      <c r="BD9" s="25"/>
      <c r="BE9" s="61" t="s">
        <v>1675</v>
      </c>
      <c r="BG9" s="25" t="s">
        <v>1677</v>
      </c>
      <c r="BH9" s="25" t="s">
        <v>1677</v>
      </c>
      <c r="BI9" s="25" t="s">
        <v>1</v>
      </c>
      <c r="CP9" s="25"/>
      <c r="CQ9" s="61"/>
      <c r="CZ9" s="25"/>
      <c r="DA9" s="25"/>
      <c r="DB9" s="25"/>
      <c r="DC9" s="25"/>
      <c r="DD9" s="25"/>
      <c r="DE9" s="25"/>
      <c r="DF9" s="25"/>
      <c r="DG9" s="25"/>
    </row>
    <row r="10" spans="14:111">
      <c r="AL10" s="6" t="s">
        <v>562</v>
      </c>
      <c r="AN10" s="6" t="s">
        <v>562</v>
      </c>
      <c r="AP10" s="6" t="s">
        <v>564</v>
      </c>
      <c r="AR10" s="6" t="s">
        <v>564</v>
      </c>
      <c r="AS10" s="6"/>
      <c r="AT10" s="6" t="s">
        <v>1</v>
      </c>
      <c r="AV10" s="6" t="s">
        <v>562</v>
      </c>
      <c r="AX10" s="25"/>
      <c r="AY10" s="25"/>
      <c r="AZ10" s="6"/>
      <c r="BA10" s="61"/>
      <c r="BB10" s="25" t="s">
        <v>564</v>
      </c>
      <c r="BC10" s="25" t="s">
        <v>703</v>
      </c>
      <c r="BD10" s="399">
        <v>0.02</v>
      </c>
      <c r="BE10" s="25" t="s">
        <v>1308</v>
      </c>
      <c r="BF10" s="61"/>
      <c r="BG10" s="25" t="s">
        <v>284</v>
      </c>
      <c r="BH10" s="25" t="s">
        <v>284</v>
      </c>
      <c r="BI10" s="25" t="s">
        <v>284</v>
      </c>
      <c r="BJ10" s="6"/>
      <c r="BS10" s="6"/>
      <c r="CB10" s="6"/>
      <c r="CK10" s="6"/>
      <c r="CN10" s="61"/>
      <c r="CO10" s="25"/>
      <c r="CP10" s="61"/>
      <c r="CQ10" s="25"/>
      <c r="CR10" s="61"/>
      <c r="CS10" s="61"/>
      <c r="CT10" s="25"/>
      <c r="CU10" s="25"/>
      <c r="CV10" s="25"/>
      <c r="CW10" s="25"/>
      <c r="CX10" s="25"/>
      <c r="CY10" s="25"/>
      <c r="CZ10" s="25"/>
      <c r="DG10" s="25"/>
    </row>
    <row r="11" spans="14:111">
      <c r="P11" s="6" t="s">
        <v>478</v>
      </c>
      <c r="R11" s="6" t="s">
        <v>478</v>
      </c>
      <c r="T11" s="1" t="s">
        <v>614</v>
      </c>
      <c r="V11" s="6" t="s">
        <v>562</v>
      </c>
      <c r="Z11" s="2" t="s">
        <v>7</v>
      </c>
      <c r="AA11" s="2"/>
      <c r="AB11" s="2" t="s">
        <v>7</v>
      </c>
      <c r="AD11" s="6" t="s">
        <v>478</v>
      </c>
      <c r="AF11" s="1" t="s">
        <v>614</v>
      </c>
      <c r="AH11" s="6" t="s">
        <v>478</v>
      </c>
      <c r="AJ11" s="1" t="s">
        <v>614</v>
      </c>
      <c r="AL11" s="2" t="s">
        <v>14</v>
      </c>
      <c r="AM11" s="2"/>
      <c r="AN11" s="2" t="s">
        <v>12</v>
      </c>
      <c r="AP11" s="2" t="s">
        <v>1</v>
      </c>
      <c r="AR11" s="2" t="s">
        <v>7</v>
      </c>
      <c r="AS11" s="2"/>
      <c r="AT11" s="2" t="s">
        <v>7</v>
      </c>
      <c r="AV11" s="6" t="s">
        <v>1</v>
      </c>
      <c r="AW11" s="25"/>
      <c r="BA11" s="61"/>
      <c r="BB11" s="97" t="s">
        <v>7</v>
      </c>
      <c r="BC11" s="285" t="s">
        <v>1696</v>
      </c>
      <c r="BD11" s="97" t="s">
        <v>284</v>
      </c>
      <c r="BE11" s="25" t="s">
        <v>1698</v>
      </c>
      <c r="BF11" s="285" t="s">
        <v>1308</v>
      </c>
      <c r="BG11" s="285" t="s">
        <v>109</v>
      </c>
      <c r="BH11" s="285" t="s">
        <v>109</v>
      </c>
      <c r="BI11" s="285" t="s">
        <v>109</v>
      </c>
      <c r="CN11" s="61"/>
      <c r="CO11" s="285"/>
      <c r="CP11" s="97"/>
      <c r="CQ11" s="285"/>
      <c r="CR11" s="285"/>
      <c r="CS11" s="61"/>
      <c r="CT11" s="25"/>
      <c r="CU11" s="25"/>
      <c r="CV11" s="25"/>
      <c r="CW11" s="25"/>
      <c r="CX11" s="25"/>
      <c r="CY11" s="25"/>
      <c r="CZ11" s="25"/>
      <c r="DG11" s="25"/>
    </row>
    <row r="12" spans="14:111">
      <c r="N12" s="2" t="s">
        <v>203</v>
      </c>
      <c r="P12" s="2" t="s">
        <v>177</v>
      </c>
      <c r="Q12" s="2"/>
      <c r="R12" s="2" t="s">
        <v>334</v>
      </c>
      <c r="S12" s="2"/>
      <c r="T12" s="2" t="s">
        <v>177</v>
      </c>
      <c r="V12" s="2" t="s">
        <v>177</v>
      </c>
      <c r="Y12" s="2"/>
      <c r="Z12" s="2" t="s">
        <v>62</v>
      </c>
      <c r="AA12" s="2"/>
      <c r="AB12" s="2" t="s">
        <v>62</v>
      </c>
      <c r="AD12" s="2" t="s">
        <v>14</v>
      </c>
      <c r="AE12" s="2"/>
      <c r="AF12" s="2" t="s">
        <v>14</v>
      </c>
      <c r="AG12" s="2"/>
      <c r="AH12" s="2" t="s">
        <v>12</v>
      </c>
      <c r="AI12" s="2"/>
      <c r="AJ12" s="2" t="s">
        <v>12</v>
      </c>
      <c r="AL12" s="2" t="s">
        <v>67</v>
      </c>
      <c r="AM12" s="2"/>
      <c r="AN12" s="2" t="s">
        <v>67</v>
      </c>
      <c r="AP12" s="2" t="s">
        <v>67</v>
      </c>
      <c r="AR12" s="2" t="s">
        <v>284</v>
      </c>
      <c r="AS12" s="2"/>
      <c r="AT12" s="2" t="s">
        <v>284</v>
      </c>
      <c r="AV12" s="2" t="s">
        <v>7</v>
      </c>
      <c r="AW12" s="25"/>
      <c r="BA12" s="61"/>
      <c r="BB12" s="97" t="s">
        <v>284</v>
      </c>
      <c r="BC12" s="398" t="s">
        <v>1359</v>
      </c>
      <c r="BD12" s="25" t="s">
        <v>1365</v>
      </c>
      <c r="BE12" s="25" t="s">
        <v>1671</v>
      </c>
      <c r="BF12" s="398" t="s">
        <v>1395</v>
      </c>
      <c r="BG12" s="398" t="s">
        <v>1395</v>
      </c>
      <c r="BH12" s="398" t="s">
        <v>1395</v>
      </c>
      <c r="BI12" s="398" t="s">
        <v>1395</v>
      </c>
      <c r="CN12" s="61"/>
      <c r="CO12" s="398"/>
      <c r="CP12" s="25"/>
      <c r="CQ12" s="398"/>
      <c r="CR12" s="398"/>
      <c r="CS12" s="25"/>
      <c r="CT12" s="25"/>
      <c r="CU12" s="25"/>
      <c r="CV12" s="25"/>
      <c r="CW12" s="25"/>
      <c r="CX12" s="25"/>
      <c r="CY12" s="25"/>
      <c r="CZ12" s="25"/>
      <c r="DG12" s="25"/>
    </row>
    <row r="13" spans="14:111">
      <c r="N13" s="2" t="s">
        <v>4</v>
      </c>
      <c r="P13" s="2" t="s">
        <v>16</v>
      </c>
      <c r="Q13" s="2"/>
      <c r="R13" s="2" t="s">
        <v>613</v>
      </c>
      <c r="S13" s="2"/>
      <c r="T13" s="2" t="s">
        <v>16</v>
      </c>
      <c r="V13" s="2" t="s">
        <v>16</v>
      </c>
      <c r="Y13" s="2"/>
      <c r="Z13" s="2" t="s">
        <v>14</v>
      </c>
      <c r="AA13" s="2"/>
      <c r="AB13" s="2" t="s">
        <v>12</v>
      </c>
      <c r="AD13" s="2" t="s">
        <v>55</v>
      </c>
      <c r="AE13" s="2"/>
      <c r="AF13" s="2" t="s">
        <v>55</v>
      </c>
      <c r="AG13" s="2"/>
      <c r="AH13" s="2" t="s">
        <v>55</v>
      </c>
      <c r="AI13" s="2"/>
      <c r="AJ13" s="2" t="s">
        <v>55</v>
      </c>
      <c r="AL13" s="2" t="s">
        <v>55</v>
      </c>
      <c r="AM13" s="2"/>
      <c r="AN13" s="2" t="s">
        <v>55</v>
      </c>
      <c r="AP13" s="2" t="s">
        <v>55</v>
      </c>
      <c r="AR13" s="2" t="s">
        <v>109</v>
      </c>
      <c r="AS13" s="2"/>
      <c r="AT13" s="2" t="s">
        <v>109</v>
      </c>
      <c r="AV13" s="2" t="s">
        <v>55</v>
      </c>
      <c r="AW13" s="25"/>
      <c r="BA13" s="25" t="s">
        <v>4</v>
      </c>
      <c r="BB13" s="97" t="s">
        <v>109</v>
      </c>
      <c r="BC13" s="25" t="s">
        <v>1360</v>
      </c>
      <c r="BD13" s="399">
        <v>0.02</v>
      </c>
      <c r="BE13" s="25" t="s">
        <v>1672</v>
      </c>
      <c r="BF13" s="25" t="s">
        <v>1370</v>
      </c>
      <c r="BG13" s="25" t="s">
        <v>1370</v>
      </c>
      <c r="BH13" s="25" t="s">
        <v>1370</v>
      </c>
      <c r="BI13" s="25" t="s">
        <v>1370</v>
      </c>
      <c r="CN13" s="25"/>
      <c r="CO13" s="25"/>
      <c r="CP13" s="399"/>
      <c r="CQ13" s="25"/>
      <c r="CR13" s="25"/>
      <c r="CS13" s="25"/>
      <c r="CT13" s="25"/>
      <c r="CU13" s="25"/>
      <c r="CV13" s="25"/>
      <c r="CW13" s="25"/>
      <c r="CX13" s="25"/>
      <c r="CY13" s="25"/>
      <c r="CZ13" s="25"/>
      <c r="DG13" s="25"/>
    </row>
    <row r="14" spans="14:111">
      <c r="N14" s="10">
        <v>-1</v>
      </c>
      <c r="P14" s="10">
        <f>N14-1</f>
        <v>-2</v>
      </c>
      <c r="Q14" s="11"/>
      <c r="R14" s="10">
        <f>P14-1</f>
        <v>-3</v>
      </c>
      <c r="S14" s="11"/>
      <c r="T14" s="10">
        <f>R14-1</f>
        <v>-4</v>
      </c>
      <c r="U14" s="11"/>
      <c r="V14" s="10">
        <f>T14-1</f>
        <v>-5</v>
      </c>
      <c r="W14" s="11"/>
      <c r="Y14" s="11"/>
      <c r="Z14" s="10">
        <f>V14-1</f>
        <v>-6</v>
      </c>
      <c r="AA14" s="11"/>
      <c r="AB14" s="10">
        <f>Z14-1</f>
        <v>-7</v>
      </c>
      <c r="AC14" s="11"/>
      <c r="AD14" s="10">
        <f>AB14-1</f>
        <v>-8</v>
      </c>
      <c r="AE14" s="10"/>
      <c r="AF14" s="10">
        <f>AD14-1</f>
        <v>-9</v>
      </c>
      <c r="AH14" s="10">
        <f>AF14-1</f>
        <v>-10</v>
      </c>
      <c r="AI14" s="11"/>
      <c r="AJ14" s="10">
        <f>AH14-1</f>
        <v>-11</v>
      </c>
      <c r="AK14" s="11"/>
      <c r="AL14" s="10">
        <f>AJ14-1</f>
        <v>-12</v>
      </c>
      <c r="AM14" s="11"/>
      <c r="AN14" s="10">
        <f>AL14-1</f>
        <v>-13</v>
      </c>
      <c r="AO14" s="11"/>
      <c r="AP14" s="10">
        <f>AN14-1</f>
        <v>-14</v>
      </c>
      <c r="AR14" s="10">
        <f>AP14-1</f>
        <v>-15</v>
      </c>
      <c r="AS14" s="11"/>
      <c r="AT14" s="10">
        <f>AR14-1</f>
        <v>-16</v>
      </c>
      <c r="AV14" s="10">
        <f>AT14-1</f>
        <v>-17</v>
      </c>
      <c r="BA14" s="143">
        <f>AV16-1</f>
        <v>-1</v>
      </c>
      <c r="BB14" s="143">
        <f t="shared" ref="BB14:BI14" si="0">BA14-1</f>
        <v>-2</v>
      </c>
      <c r="BC14" s="143">
        <f t="shared" si="0"/>
        <v>-3</v>
      </c>
      <c r="BD14" s="143">
        <f t="shared" si="0"/>
        <v>-4</v>
      </c>
      <c r="BE14" s="143">
        <f t="shared" si="0"/>
        <v>-5</v>
      </c>
      <c r="BF14" s="143">
        <f t="shared" si="0"/>
        <v>-6</v>
      </c>
      <c r="BG14" s="143">
        <f t="shared" si="0"/>
        <v>-7</v>
      </c>
      <c r="BH14" s="143">
        <f t="shared" si="0"/>
        <v>-8</v>
      </c>
      <c r="BI14" s="143">
        <f t="shared" si="0"/>
        <v>-9</v>
      </c>
      <c r="CN14" s="143"/>
      <c r="CO14" s="143"/>
      <c r="CP14" s="143"/>
      <c r="CQ14" s="143"/>
      <c r="CR14" s="143"/>
      <c r="CS14" s="25"/>
      <c r="CT14" s="143"/>
      <c r="CU14" s="143"/>
      <c r="CV14" s="143"/>
      <c r="CW14" s="143"/>
      <c r="CX14" s="143"/>
      <c r="CY14" s="143"/>
      <c r="CZ14" s="143"/>
    </row>
    <row r="15" spans="14:111">
      <c r="AT15" s="61"/>
      <c r="BA15" s="61"/>
      <c r="BB15" s="61"/>
      <c r="BC15" s="61"/>
      <c r="BD15" s="61"/>
      <c r="BE15" s="61"/>
      <c r="BF15" s="61"/>
      <c r="BG15" s="61"/>
      <c r="CN15" s="61"/>
      <c r="CO15" s="61"/>
      <c r="CP15" s="61"/>
      <c r="CQ15" s="61"/>
      <c r="CR15" s="61"/>
      <c r="CS15" s="25"/>
    </row>
    <row r="16" spans="14:111">
      <c r="N16" s="3" t="s">
        <v>392</v>
      </c>
      <c r="AZ16" s="60"/>
      <c r="BA16" s="61"/>
      <c r="BB16" s="61"/>
      <c r="BC16" s="61"/>
      <c r="BD16" s="61"/>
      <c r="BE16" s="61"/>
      <c r="BF16" s="61"/>
      <c r="BG16" s="61"/>
      <c r="CN16" s="61"/>
      <c r="CO16" s="61"/>
      <c r="CP16" s="61"/>
      <c r="CQ16" s="61"/>
      <c r="CR16" s="61"/>
      <c r="CS16" s="25"/>
    </row>
    <row r="17" spans="14:104">
      <c r="N17" s="6">
        <v>2013</v>
      </c>
      <c r="P17" s="497">
        <f>'Exhibit B,3'!AP17</f>
        <v>38585.950000000004</v>
      </c>
      <c r="Q17" s="497"/>
      <c r="R17" s="505">
        <v>0</v>
      </c>
      <c r="S17" s="497"/>
      <c r="T17" s="497">
        <f>'Exhibit B,3'!AX17+'Exhibit B,3'!BF17+'Exhibit B,3'!BN17</f>
        <v>0</v>
      </c>
      <c r="U17" s="147"/>
      <c r="V17" s="497">
        <f>P17+R17-T17</f>
        <v>38585.950000000004</v>
      </c>
      <c r="Y17" s="26"/>
      <c r="Z17" s="74">
        <f>'Exhibit B,3'!E17</f>
        <v>0.97282217520113135</v>
      </c>
      <c r="AA17" s="74"/>
      <c r="AB17" s="74">
        <f>'Exhibit B,3'!G17</f>
        <v>0.99338148454770181</v>
      </c>
      <c r="AC17" s="26"/>
      <c r="AD17" s="147">
        <f>'Exhibit B,3'!AQ17</f>
        <v>0</v>
      </c>
      <c r="AE17" s="147"/>
      <c r="AF17" s="147">
        <f>'Exhibit B,3'!Q17</f>
        <v>0</v>
      </c>
      <c r="AG17" s="147"/>
      <c r="AH17" s="147">
        <f>'Exhibit B,3'!AR17</f>
        <v>0</v>
      </c>
      <c r="AI17" s="147"/>
      <c r="AJ17" s="147">
        <f>'Exhibit B,3'!U17</f>
        <v>0</v>
      </c>
      <c r="AK17" s="147"/>
      <c r="AL17" s="147">
        <f>(AD17-AF17)/Z17</f>
        <v>0</v>
      </c>
      <c r="AM17" s="147"/>
      <c r="AN17" s="147">
        <f t="shared" ref="AN17:AN25" si="1">(AH17-AJ17)/AB17</f>
        <v>0</v>
      </c>
      <c r="AO17" s="147"/>
      <c r="AP17" s="497">
        <f>AN17</f>
        <v>0</v>
      </c>
      <c r="AR17" s="73">
        <f>IF(V17=0,0,AP17/(V17))</f>
        <v>0</v>
      </c>
      <c r="AS17" s="73"/>
      <c r="AT17" s="73">
        <f t="shared" ref="AT17:AT21" si="2">AR17</f>
        <v>0</v>
      </c>
      <c r="AV17" s="147">
        <f>AT17*V17</f>
        <v>0</v>
      </c>
      <c r="AW17" s="147"/>
      <c r="AZ17" s="605"/>
      <c r="BA17" s="61">
        <v>2013</v>
      </c>
      <c r="BB17" s="74"/>
      <c r="BC17" s="437">
        <v>0.60660200881698656</v>
      </c>
      <c r="BD17" s="259">
        <f t="shared" ref="BD17:BD25" si="3">BD18/(1+BD$13)</f>
        <v>0.83675526587265814</v>
      </c>
      <c r="BE17" s="606">
        <v>0.76646545503761998</v>
      </c>
      <c r="BF17" s="259">
        <v>1</v>
      </c>
      <c r="BG17" s="400">
        <f t="shared" ref="BG17:BG20" si="4">BD17/BC17*BF17</f>
        <v>1.3794139381511832</v>
      </c>
      <c r="BH17" s="259">
        <f t="shared" ref="BH17:BH26" si="5">BG17/BG$21</f>
        <v>1.315683275326389</v>
      </c>
      <c r="CN17" s="61"/>
      <c r="CO17" s="259"/>
      <c r="CP17" s="259"/>
      <c r="CQ17" s="400"/>
      <c r="CR17" s="61"/>
      <c r="CS17" s="61"/>
      <c r="CT17" s="61"/>
      <c r="CU17" s="198"/>
      <c r="CV17" s="123"/>
      <c r="CW17" s="69"/>
      <c r="CX17" s="69"/>
      <c r="CY17" s="259"/>
      <c r="CZ17" s="61"/>
    </row>
    <row r="18" spans="14:104">
      <c r="N18" s="6">
        <f>N17+1</f>
        <v>2014</v>
      </c>
      <c r="P18" s="494">
        <f>'Exhibit B,3'!AP18</f>
        <v>46751.11</v>
      </c>
      <c r="Q18" s="187"/>
      <c r="R18" s="187">
        <v>0</v>
      </c>
      <c r="S18" s="187"/>
      <c r="T18" s="20">
        <f>'Exhibit B,3'!AX18+'Exhibit B,3'!BF18+'Exhibit B,3'!BN18</f>
        <v>0</v>
      </c>
      <c r="U18" s="187"/>
      <c r="V18" s="494">
        <f t="shared" ref="V18:V26" si="6">P18+R18-T18</f>
        <v>46751.11</v>
      </c>
      <c r="Y18" s="18"/>
      <c r="Z18" s="74">
        <f>'Exhibit B,3'!E18</f>
        <v>0.9437608217605965</v>
      </c>
      <c r="AA18" s="74"/>
      <c r="AB18" s="74">
        <f>'Exhibit B,3'!G18</f>
        <v>0.98115091564807255</v>
      </c>
      <c r="AC18" s="18"/>
      <c r="AD18" s="17">
        <f>'Exhibit B,3'!AQ18</f>
        <v>60472.08</v>
      </c>
      <c r="AE18" s="17"/>
      <c r="AF18" s="17">
        <f>'Exhibit B,3'!Q18</f>
        <v>0</v>
      </c>
      <c r="AG18" s="17"/>
      <c r="AH18" s="17">
        <f>'Exhibit B,3'!AR18</f>
        <v>1100000</v>
      </c>
      <c r="AI18" s="17"/>
      <c r="AJ18" s="132">
        <f>'Exhibit B,3'!U18</f>
        <v>0</v>
      </c>
      <c r="AK18" s="187"/>
      <c r="AL18" s="494">
        <f t="shared" ref="AL18:AL24" si="7">(AD18-AF18)/Z18</f>
        <v>64075.641418541461</v>
      </c>
      <c r="AM18" s="494"/>
      <c r="AN18" s="494">
        <f t="shared" si="1"/>
        <v>1121132.3176245776</v>
      </c>
      <c r="AO18" s="494"/>
      <c r="AP18" s="20">
        <f t="shared" ref="AP18:AP26" si="8">AN18</f>
        <v>1121132.3176245776</v>
      </c>
      <c r="AQ18" s="20"/>
      <c r="AR18" s="73">
        <f>IF(V18=0,0,AP18/(V18))</f>
        <v>23.980870563812871</v>
      </c>
      <c r="AS18" s="73"/>
      <c r="AT18" s="73">
        <f t="shared" si="2"/>
        <v>23.980870563812871</v>
      </c>
      <c r="AV18" s="494">
        <f t="shared" ref="AV18:AV20" si="9">AT18*V18</f>
        <v>1121132.3176245776</v>
      </c>
      <c r="AW18" s="147"/>
      <c r="AX18" s="123"/>
      <c r="AY18" s="123"/>
      <c r="AZ18" s="60"/>
      <c r="BA18" s="61">
        <f>BA17+1</f>
        <v>2014</v>
      </c>
      <c r="BC18" s="437">
        <v>0.83831197308461081</v>
      </c>
      <c r="BD18" s="259">
        <f t="shared" si="3"/>
        <v>0.85349037119011129</v>
      </c>
      <c r="BE18" s="606">
        <v>4.0004864325245757</v>
      </c>
      <c r="BF18" s="259">
        <v>1</v>
      </c>
      <c r="BG18" s="400">
        <f t="shared" si="4"/>
        <v>1.0181059063842912</v>
      </c>
      <c r="BH18" s="259">
        <f t="shared" si="5"/>
        <v>0.97106813009019854</v>
      </c>
      <c r="BI18" s="20"/>
      <c r="BJ18" s="20"/>
      <c r="BL18" s="6"/>
      <c r="BM18" s="20"/>
      <c r="BN18" s="20"/>
      <c r="BO18" s="20"/>
      <c r="BP18" s="20"/>
      <c r="BQ18" s="20"/>
      <c r="BR18" s="20"/>
      <c r="BS18" s="20"/>
      <c r="BU18" s="6"/>
      <c r="BV18" s="20"/>
      <c r="BW18" s="20"/>
      <c r="BX18" s="20"/>
      <c r="BY18" s="20"/>
      <c r="BZ18" s="20"/>
      <c r="CA18" s="20"/>
      <c r="CB18" s="20"/>
      <c r="CD18" s="6"/>
      <c r="CE18" s="20"/>
      <c r="CF18" s="20"/>
      <c r="CG18" s="20"/>
      <c r="CH18" s="20"/>
      <c r="CI18" s="20"/>
      <c r="CJ18" s="20"/>
      <c r="CK18" s="20"/>
      <c r="CL18" s="17"/>
      <c r="CN18" s="61"/>
      <c r="CO18" s="259"/>
      <c r="CP18" s="259"/>
      <c r="CQ18" s="400"/>
      <c r="CR18" s="61"/>
      <c r="CS18" s="61"/>
      <c r="CT18" s="61"/>
      <c r="CU18" s="198"/>
      <c r="CV18" s="123"/>
      <c r="CW18" s="69"/>
      <c r="CX18" s="69"/>
      <c r="CY18" s="259"/>
      <c r="CZ18" s="61"/>
    </row>
    <row r="19" spans="14:104">
      <c r="N19" s="6">
        <f t="shared" ref="N19:N26" si="10">N18+1</f>
        <v>2015</v>
      </c>
      <c r="P19" s="494">
        <f>'Exhibit B,3'!AP19</f>
        <v>233663.86</v>
      </c>
      <c r="Q19" s="187"/>
      <c r="R19" s="187">
        <v>0</v>
      </c>
      <c r="S19" s="187"/>
      <c r="T19" s="20">
        <f>'Exhibit B,3'!AX19+'Exhibit B,3'!BF19+'Exhibit B,3'!BN19</f>
        <v>0</v>
      </c>
      <c r="U19" s="187"/>
      <c r="V19" s="494">
        <f t="shared" si="6"/>
        <v>233663.86</v>
      </c>
      <c r="Y19" s="18"/>
      <c r="Z19" s="74">
        <f>'Exhibit B,3'!E19</f>
        <v>0.88292662596888161</v>
      </c>
      <c r="AA19" s="74"/>
      <c r="AB19" s="74">
        <f>'Exhibit B,3'!G19</f>
        <v>0.95526356486939812</v>
      </c>
      <c r="AC19" s="18"/>
      <c r="AD19" s="17">
        <f>'Exhibit B,3'!AQ19</f>
        <v>322663.05</v>
      </c>
      <c r="AE19" s="17"/>
      <c r="AF19" s="17">
        <f>'Exhibit B,3'!Q19</f>
        <v>0</v>
      </c>
      <c r="AG19" s="17"/>
      <c r="AH19" s="17">
        <f>'Exhibit B,3'!AR19</f>
        <v>332663.05</v>
      </c>
      <c r="AI19" s="17"/>
      <c r="AJ19" s="132">
        <f>'Exhibit B,3'!U19</f>
        <v>0</v>
      </c>
      <c r="AK19" s="187"/>
      <c r="AL19" s="494">
        <f t="shared" si="7"/>
        <v>365447.18497522367</v>
      </c>
      <c r="AM19" s="494"/>
      <c r="AN19" s="494">
        <f t="shared" si="1"/>
        <v>348242.16293173609</v>
      </c>
      <c r="AO19" s="494"/>
      <c r="AP19" s="20">
        <f t="shared" si="8"/>
        <v>348242.16293173609</v>
      </c>
      <c r="AQ19" s="20"/>
      <c r="AR19" s="73">
        <f t="shared" ref="AR19:AR28" si="11">IF(V19=0,0,AP19/(V19))</f>
        <v>1.4903552604657653</v>
      </c>
      <c r="AS19" s="73"/>
      <c r="AT19" s="73">
        <f t="shared" si="2"/>
        <v>1.4903552604657653</v>
      </c>
      <c r="AV19" s="494">
        <f t="shared" si="9"/>
        <v>348242.16293173609</v>
      </c>
      <c r="AW19" s="147"/>
      <c r="AX19" s="123"/>
      <c r="AY19" s="123"/>
      <c r="AZ19" s="60"/>
      <c r="BA19" s="61">
        <f t="shared" ref="BA19:BA26" si="12">BA18+1</f>
        <v>2015</v>
      </c>
      <c r="BC19" s="437">
        <v>1.0351912932977154</v>
      </c>
      <c r="BD19" s="259">
        <f t="shared" si="3"/>
        <v>0.87056017861391355</v>
      </c>
      <c r="BE19" s="606">
        <v>2.7860478609320163</v>
      </c>
      <c r="BF19" s="259">
        <v>1</v>
      </c>
      <c r="BG19" s="400">
        <f t="shared" si="4"/>
        <v>0.84096551453852419</v>
      </c>
      <c r="BH19" s="259">
        <f t="shared" si="5"/>
        <v>0.80211184764998489</v>
      </c>
      <c r="BI19" s="20"/>
      <c r="BJ19" s="20"/>
      <c r="BK19" s="32"/>
      <c r="BL19" s="6"/>
      <c r="BM19" s="20"/>
      <c r="BN19" s="20"/>
      <c r="BO19" s="20"/>
      <c r="BP19" s="20"/>
      <c r="BQ19" s="20"/>
      <c r="BR19" s="20"/>
      <c r="BS19" s="20"/>
      <c r="BU19" s="6"/>
      <c r="BV19" s="20"/>
      <c r="BW19" s="20"/>
      <c r="BX19" s="20"/>
      <c r="BY19" s="20"/>
      <c r="BZ19" s="20"/>
      <c r="CA19" s="20"/>
      <c r="CB19" s="20"/>
      <c r="CD19" s="6"/>
      <c r="CE19" s="20"/>
      <c r="CF19" s="20"/>
      <c r="CG19" s="20"/>
      <c r="CH19" s="20"/>
      <c r="CI19" s="20"/>
      <c r="CJ19" s="20"/>
      <c r="CK19" s="20"/>
      <c r="CL19" s="17"/>
      <c r="CN19" s="61"/>
      <c r="CO19" s="259"/>
      <c r="CP19" s="259"/>
      <c r="CQ19" s="400"/>
      <c r="CR19" s="61"/>
      <c r="CS19" s="61"/>
      <c r="CT19" s="61"/>
      <c r="CU19" s="198"/>
      <c r="CV19" s="123"/>
      <c r="CW19" s="69"/>
      <c r="CX19" s="69"/>
      <c r="CY19" s="259"/>
      <c r="CZ19" s="61"/>
    </row>
    <row r="20" spans="14:104">
      <c r="N20" s="6">
        <f t="shared" si="10"/>
        <v>2016</v>
      </c>
      <c r="P20" s="494">
        <f>'Exhibit B,3'!AP20</f>
        <v>1519405.8900000046</v>
      </c>
      <c r="Q20" s="187"/>
      <c r="R20" s="187">
        <v>0</v>
      </c>
      <c r="S20" s="187"/>
      <c r="T20" s="20">
        <f>'Exhibit B,3'!AX20+'Exhibit B,3'!BF20+'Exhibit B,3'!BN20</f>
        <v>361273.10999999964</v>
      </c>
      <c r="U20" s="187"/>
      <c r="V20" s="494">
        <f t="shared" si="6"/>
        <v>1158132.7800000049</v>
      </c>
      <c r="Y20" s="18"/>
      <c r="Z20" s="74">
        <f>'Exhibit B,3'!E20</f>
        <v>0.781748488710163</v>
      </c>
      <c r="AA20" s="74"/>
      <c r="AB20" s="74">
        <f>'Exhibit B,3'!G20</f>
        <v>0.90563867519115449</v>
      </c>
      <c r="AC20" s="18"/>
      <c r="AD20" s="17">
        <f>'Exhibit B,3'!AQ20</f>
        <v>11871267.25</v>
      </c>
      <c r="AE20" s="17"/>
      <c r="AF20" s="17">
        <f>'Exhibit B,3'!Q20</f>
        <v>11104770.789999999</v>
      </c>
      <c r="AG20" s="17"/>
      <c r="AH20" s="17">
        <f>'Exhibit B,3'!AR20</f>
        <v>12397881.84</v>
      </c>
      <c r="AI20" s="17"/>
      <c r="AJ20" s="132">
        <f>'Exhibit B,3'!U20</f>
        <v>11104770.789999999</v>
      </c>
      <c r="AK20" s="187"/>
      <c r="AL20" s="494">
        <f t="shared" si="7"/>
        <v>980489.85200428462</v>
      </c>
      <c r="AM20" s="494"/>
      <c r="AN20" s="494">
        <f t="shared" si="1"/>
        <v>1427844.3328704594</v>
      </c>
      <c r="AO20" s="494"/>
      <c r="AP20" s="20">
        <f t="shared" si="8"/>
        <v>1427844.3328704594</v>
      </c>
      <c r="AQ20" s="20"/>
      <c r="AR20" s="73">
        <f t="shared" si="11"/>
        <v>1.2328848276537456</v>
      </c>
      <c r="AS20" s="73"/>
      <c r="AT20" s="73">
        <f t="shared" si="2"/>
        <v>1.2328848276537456</v>
      </c>
      <c r="AV20" s="494">
        <f t="shared" si="9"/>
        <v>1427844.3328704594</v>
      </c>
      <c r="AW20" s="147"/>
      <c r="AX20" s="123"/>
      <c r="AY20" s="123"/>
      <c r="AZ20" s="60"/>
      <c r="BA20" s="61">
        <f t="shared" si="12"/>
        <v>2016</v>
      </c>
      <c r="BC20" s="437">
        <v>0.86438999331447774</v>
      </c>
      <c r="BD20" s="259">
        <f t="shared" si="3"/>
        <v>0.88797138218619187</v>
      </c>
      <c r="BE20" s="606">
        <v>8.747395822802174</v>
      </c>
      <c r="BF20" s="259">
        <v>1</v>
      </c>
      <c r="BG20" s="400">
        <f t="shared" si="4"/>
        <v>1.0272809600459303</v>
      </c>
      <c r="BH20" s="259">
        <f t="shared" si="5"/>
        <v>0.97981928470664381</v>
      </c>
      <c r="BI20" s="20"/>
      <c r="BJ20" s="20"/>
      <c r="BK20" s="32"/>
      <c r="BL20" s="6"/>
      <c r="BM20" s="20"/>
      <c r="BN20" s="20"/>
      <c r="BO20" s="20"/>
      <c r="BP20" s="20"/>
      <c r="BQ20" s="20"/>
      <c r="BR20" s="20"/>
      <c r="BS20" s="20"/>
      <c r="BU20" s="6"/>
      <c r="BV20" s="20"/>
      <c r="BW20" s="20"/>
      <c r="BX20" s="20"/>
      <c r="BY20" s="20"/>
      <c r="BZ20" s="20"/>
      <c r="CA20" s="20"/>
      <c r="CB20" s="20"/>
      <c r="CD20" s="6"/>
      <c r="CE20" s="20"/>
      <c r="CF20" s="20"/>
      <c r="CG20" s="20"/>
      <c r="CH20" s="20"/>
      <c r="CI20" s="20"/>
      <c r="CJ20" s="20"/>
      <c r="CK20" s="20"/>
      <c r="CL20" s="17"/>
      <c r="CN20" s="61"/>
      <c r="CO20" s="259"/>
      <c r="CP20" s="259"/>
      <c r="CQ20" s="400"/>
      <c r="CR20" s="61"/>
      <c r="CS20" s="61"/>
      <c r="CT20" s="61"/>
      <c r="CU20" s="198"/>
      <c r="CV20" s="123"/>
      <c r="CW20" s="69"/>
      <c r="CX20" s="69"/>
      <c r="CY20" s="259"/>
      <c r="CZ20" s="61"/>
    </row>
    <row r="21" spans="14:104">
      <c r="N21" s="6">
        <f t="shared" si="10"/>
        <v>2017</v>
      </c>
      <c r="P21" s="494">
        <f>'Exhibit B,3'!AP21</f>
        <v>4287862.9699999793</v>
      </c>
      <c r="Q21" s="187"/>
      <c r="R21" s="187">
        <v>0</v>
      </c>
      <c r="S21" s="187"/>
      <c r="T21" s="20">
        <f>'Exhibit B,3'!AX21+'Exhibit B,3'!BF21+'Exhibit B,3'!BN21</f>
        <v>2724073.8100000019</v>
      </c>
      <c r="U21" s="187"/>
      <c r="V21" s="494">
        <f t="shared" si="6"/>
        <v>1563789.1599999773</v>
      </c>
      <c r="Y21" s="18"/>
      <c r="Z21" s="74">
        <f>'Exhibit B,3'!E21</f>
        <v>0.6398348470847689</v>
      </c>
      <c r="AA21" s="74"/>
      <c r="AB21" s="74">
        <f>'Exhibit B,3'!G21</f>
        <v>0.81500034074912342</v>
      </c>
      <c r="AC21" s="18"/>
      <c r="AD21" s="17">
        <f>'Exhibit B,3'!AQ21</f>
        <v>6417015.4500000002</v>
      </c>
      <c r="AE21" s="17"/>
      <c r="AF21" s="17">
        <f>'Exhibit B,3'!Q21</f>
        <v>6056659.0899999999</v>
      </c>
      <c r="AG21" s="17"/>
      <c r="AH21" s="17">
        <f>'Exhibit B,3'!AR21</f>
        <v>8267720.2400000002</v>
      </c>
      <c r="AI21" s="17"/>
      <c r="AJ21" s="132">
        <f>'Exhibit B,3'!U21</f>
        <v>7034839.5300000003</v>
      </c>
      <c r="AK21" s="187"/>
      <c r="AL21" s="494">
        <f t="shared" si="7"/>
        <v>563202.14761960017</v>
      </c>
      <c r="AM21" s="494"/>
      <c r="AN21" s="494">
        <f t="shared" si="1"/>
        <v>1512736.4350139704</v>
      </c>
      <c r="AO21" s="494"/>
      <c r="AP21" s="20">
        <f t="shared" si="8"/>
        <v>1512736.4350139704</v>
      </c>
      <c r="AQ21" s="20"/>
      <c r="AR21" s="73">
        <f t="shared" si="11"/>
        <v>0.96735319166299394</v>
      </c>
      <c r="AS21" s="73"/>
      <c r="AT21" s="73">
        <f t="shared" si="2"/>
        <v>0.96735319166299394</v>
      </c>
      <c r="AV21" s="494">
        <f>AT21*V21</f>
        <v>1512736.4350139704</v>
      </c>
      <c r="AW21" s="147"/>
      <c r="AY21" s="61" t="s">
        <v>1699</v>
      </c>
      <c r="AZ21" s="60"/>
      <c r="BA21" s="61">
        <f t="shared" si="12"/>
        <v>2017</v>
      </c>
      <c r="BB21" s="149">
        <f>AR29</f>
        <v>2.2162117693657741</v>
      </c>
      <c r="BC21" s="437">
        <v>0.86388490465611156</v>
      </c>
      <c r="BD21" s="259">
        <f t="shared" si="3"/>
        <v>0.90573080982991572</v>
      </c>
      <c r="BE21" s="606">
        <v>8.6257362298361624</v>
      </c>
      <c r="BF21" s="259">
        <v>1</v>
      </c>
      <c r="BG21" s="400">
        <f t="shared" ref="BG21:BG26" si="13">BD21/BC21*BF21</f>
        <v>1.0484392133121736</v>
      </c>
      <c r="BH21" s="259">
        <f t="shared" si="5"/>
        <v>1</v>
      </c>
      <c r="CX21" s="69"/>
      <c r="CY21" s="259"/>
      <c r="CZ21" s="61"/>
    </row>
    <row r="22" spans="14:104">
      <c r="N22" s="6">
        <f t="shared" si="10"/>
        <v>2018</v>
      </c>
      <c r="P22" s="494">
        <f>'Exhibit B,3'!AP22</f>
        <v>3938984.8300000061</v>
      </c>
      <c r="Q22" s="187"/>
      <c r="R22" s="187">
        <v>0</v>
      </c>
      <c r="S22" s="187"/>
      <c r="T22" s="20">
        <f>'Exhibit B,3'!AX22+'Exhibit B,3'!BF22+'Exhibit B,3'!BN22</f>
        <v>3205050.0899999989</v>
      </c>
      <c r="U22" s="187"/>
      <c r="V22" s="494">
        <f t="shared" si="6"/>
        <v>733934.74000000721</v>
      </c>
      <c r="Y22" s="18"/>
      <c r="Z22" s="74">
        <f>'Exhibit B,3'!E22</f>
        <v>0.47250143837300063</v>
      </c>
      <c r="AA22" s="74"/>
      <c r="AB22" s="74">
        <f>'Exhibit B,3'!G22</f>
        <v>0.658173857572253</v>
      </c>
      <c r="AC22" s="18"/>
      <c r="AD22" s="17">
        <f>'Exhibit B,3'!AQ22</f>
        <v>6981003.3399999999</v>
      </c>
      <c r="AE22" s="17"/>
      <c r="AF22" s="17">
        <f>'Exhibit B,3'!Q22</f>
        <v>5664933.4800000004</v>
      </c>
      <c r="AG22" s="17"/>
      <c r="AH22" s="17">
        <f>'Exhibit B,3'!AR22</f>
        <v>11151871.379999999</v>
      </c>
      <c r="AI22" s="17"/>
      <c r="AJ22" s="132">
        <f>'Exhibit B,3'!U22</f>
        <v>6258780.5599999987</v>
      </c>
      <c r="AK22" s="187"/>
      <c r="AL22" s="494">
        <f t="shared" si="7"/>
        <v>2785324.5580198034</v>
      </c>
      <c r="AM22" s="494"/>
      <c r="AN22" s="494">
        <f t="shared" si="1"/>
        <v>7434343.9255529027</v>
      </c>
      <c r="AO22" s="494"/>
      <c r="AP22" s="20">
        <f t="shared" si="8"/>
        <v>7434343.9255529027</v>
      </c>
      <c r="AQ22" s="20"/>
      <c r="AR22" s="73">
        <f>IF(V22=0,0,AP22/(V22))</f>
        <v>10.129434567374245</v>
      </c>
      <c r="AS22" s="73"/>
      <c r="AT22" s="128">
        <f>AV22/V22</f>
        <v>9.3919669479059298</v>
      </c>
      <c r="AV22" s="494">
        <f>AH22-AJ22+2000000</f>
        <v>6893090.8200000003</v>
      </c>
      <c r="AW22" s="127" t="s">
        <v>1731</v>
      </c>
      <c r="AY22" s="61" t="s">
        <v>1700</v>
      </c>
      <c r="AZ22" s="60"/>
      <c r="BA22" s="61">
        <f t="shared" si="12"/>
        <v>2018</v>
      </c>
      <c r="BB22" s="149"/>
      <c r="BC22" s="437">
        <v>0.79324308002027211</v>
      </c>
      <c r="BD22" s="259">
        <f t="shared" si="3"/>
        <v>0.92384542602651409</v>
      </c>
      <c r="BE22" s="606">
        <v>2.2092545489349704</v>
      </c>
      <c r="BF22" s="259">
        <v>1</v>
      </c>
      <c r="BG22" s="400">
        <f t="shared" si="13"/>
        <v>1.1646435365095202</v>
      </c>
      <c r="BH22" s="259">
        <f t="shared" si="5"/>
        <v>1.1108355369790492</v>
      </c>
      <c r="CX22" s="69"/>
      <c r="CY22" s="259"/>
      <c r="CZ22" s="61"/>
    </row>
    <row r="23" spans="14:104">
      <c r="N23" s="6">
        <f t="shared" si="10"/>
        <v>2019</v>
      </c>
      <c r="P23" s="494">
        <f>'Exhibit B,3'!AP23</f>
        <v>3941354.6599999946</v>
      </c>
      <c r="Q23" s="187"/>
      <c r="R23" s="187">
        <v>0</v>
      </c>
      <c r="S23" s="187"/>
      <c r="T23" s="20">
        <f>'Exhibit B,3'!AX23+'Exhibit B,3'!BF23+'Exhibit B,3'!BN23</f>
        <v>2629611.9500000002</v>
      </c>
      <c r="U23" s="187"/>
      <c r="V23" s="494">
        <f t="shared" si="6"/>
        <v>1311742.7099999944</v>
      </c>
      <c r="Y23" s="18"/>
      <c r="Z23" s="74">
        <f>'Exhibit B,3'!E23</f>
        <v>0.30712267948418231</v>
      </c>
      <c r="AA23" s="74"/>
      <c r="AB23" s="74">
        <f>'Exhibit B,3'!G23</f>
        <v>0.44635243430393778</v>
      </c>
      <c r="AC23" s="18"/>
      <c r="AD23" s="17">
        <f>'Exhibit B,3'!AQ23</f>
        <v>6170302.25</v>
      </c>
      <c r="AE23" s="17"/>
      <c r="AF23" s="17">
        <f>'Exhibit B,3'!Q23</f>
        <v>4651497.55</v>
      </c>
      <c r="AG23" s="17"/>
      <c r="AH23" s="17">
        <f>'Exhibit B,3'!AR23</f>
        <v>7005998.7400000002</v>
      </c>
      <c r="AI23" s="17"/>
      <c r="AJ23" s="132">
        <f>'Exhibit B,3'!U23</f>
        <v>5235187.4000000004</v>
      </c>
      <c r="AK23" s="187"/>
      <c r="AL23" s="494">
        <f t="shared" si="7"/>
        <v>4945270.4129530853</v>
      </c>
      <c r="AM23" s="494"/>
      <c r="AN23" s="494">
        <f t="shared" si="1"/>
        <v>3967294.0123234307</v>
      </c>
      <c r="AO23" s="494"/>
      <c r="AP23" s="20">
        <f t="shared" si="8"/>
        <v>3967294.0123234307</v>
      </c>
      <c r="AQ23" s="20"/>
      <c r="AR23" s="73">
        <f t="shared" si="11"/>
        <v>3.0244452529287909</v>
      </c>
      <c r="AS23" s="73"/>
      <c r="AT23" s="418">
        <f>AV23/V23</f>
        <v>3.1306382559497865</v>
      </c>
      <c r="AV23" s="499">
        <f>V23*(1-AB23)*AR$29*BI23+(AH23-AJ23)</f>
        <v>4106591.9098892291</v>
      </c>
      <c r="AW23" s="147"/>
      <c r="AZ23" s="60"/>
      <c r="BA23" s="61">
        <f t="shared" si="12"/>
        <v>2019</v>
      </c>
      <c r="BC23" s="437">
        <v>0.80512043659090071</v>
      </c>
      <c r="BD23" s="259">
        <f t="shared" si="3"/>
        <v>0.94232233454704439</v>
      </c>
      <c r="BE23" s="606">
        <v>5.6430894951866835</v>
      </c>
      <c r="BF23" s="434">
        <f>ROUND(BE23/BE$29,1)</f>
        <v>1.3</v>
      </c>
      <c r="BG23" s="400">
        <f t="shared" si="13"/>
        <v>1.5215351383927382</v>
      </c>
      <c r="BH23" s="259">
        <f t="shared" si="5"/>
        <v>1.4512382969595206</v>
      </c>
      <c r="BI23" s="259">
        <f>BH23</f>
        <v>1.4512382969595206</v>
      </c>
      <c r="CX23" s="69"/>
      <c r="CY23" s="259"/>
      <c r="CZ23" s="61"/>
    </row>
    <row r="24" spans="14:104">
      <c r="N24" s="6">
        <f t="shared" si="10"/>
        <v>2020</v>
      </c>
      <c r="P24" s="494">
        <f>'Exhibit B,3'!AP24</f>
        <v>1465858.29</v>
      </c>
      <c r="Q24" s="187"/>
      <c r="R24" s="187">
        <v>0</v>
      </c>
      <c r="S24" s="187"/>
      <c r="T24" s="20">
        <f>'Exhibit B,3'!AX24+'Exhibit B,3'!BF24+'Exhibit B,3'!BN24</f>
        <v>0</v>
      </c>
      <c r="U24" s="187"/>
      <c r="V24" s="494">
        <f t="shared" si="6"/>
        <v>1465858.29</v>
      </c>
      <c r="Y24" s="18"/>
      <c r="Z24" s="74">
        <f>'Exhibit B,3'!E24</f>
        <v>0.16489014858788364</v>
      </c>
      <c r="AA24" s="74"/>
      <c r="AB24" s="74">
        <f>'Exhibit B,3'!G24</f>
        <v>0.23937239750280831</v>
      </c>
      <c r="AC24" s="18"/>
      <c r="AD24" s="17">
        <f>'Exhibit B,3'!AQ24</f>
        <v>155459.76</v>
      </c>
      <c r="AE24" s="17"/>
      <c r="AF24" s="17">
        <f>'Exhibit B,3'!Q24</f>
        <v>0</v>
      </c>
      <c r="AG24" s="17"/>
      <c r="AH24" s="17">
        <f>'Exhibit B,3'!AR24</f>
        <v>403242.19</v>
      </c>
      <c r="AI24" s="17"/>
      <c r="AJ24" s="494">
        <f>'Exhibit B,3'!U24</f>
        <v>0</v>
      </c>
      <c r="AK24" s="187"/>
      <c r="AL24" s="494">
        <f t="shared" si="7"/>
        <v>942808.05330915574</v>
      </c>
      <c r="AM24" s="494"/>
      <c r="AN24" s="494">
        <f t="shared" si="1"/>
        <v>1684580.9884795477</v>
      </c>
      <c r="AO24" s="494"/>
      <c r="AP24" s="20">
        <f t="shared" si="8"/>
        <v>1684580.9884795477</v>
      </c>
      <c r="AQ24" s="20"/>
      <c r="AR24" s="73">
        <f t="shared" si="11"/>
        <v>1.14921135281061</v>
      </c>
      <c r="AS24" s="73"/>
      <c r="AT24" s="418">
        <f t="shared" ref="AT24:AT26" si="14">AV24/V24</f>
        <v>2.2189103498243288</v>
      </c>
      <c r="AV24" s="499">
        <f>V24*(1-AB24)*AR$29*BI24+(AH24-AJ24)+2000000</f>
        <v>3252608.1310567926</v>
      </c>
      <c r="AW24" s="157" t="s">
        <v>1765</v>
      </c>
      <c r="AZ24" s="60"/>
      <c r="BA24" s="61">
        <f t="shared" si="12"/>
        <v>2020</v>
      </c>
      <c r="BC24" s="437">
        <v>0.8001255506250039</v>
      </c>
      <c r="BD24" s="259">
        <f t="shared" si="3"/>
        <v>0.96116878123798533</v>
      </c>
      <c r="BE24" s="606">
        <v>1.2269290620542666</v>
      </c>
      <c r="BF24" s="434">
        <f t="shared" ref="BF24:BF26" si="15">ROUND(BE24/BE$29,1)</f>
        <v>0.3</v>
      </c>
      <c r="BG24" s="400">
        <f t="shared" si="13"/>
        <v>0.36038173527411493</v>
      </c>
      <c r="BH24" s="259">
        <f t="shared" si="5"/>
        <v>0.34373164480906437</v>
      </c>
      <c r="BI24" s="259">
        <f t="shared" ref="BI24:BI25" si="16">BH24</f>
        <v>0.34373164480906437</v>
      </c>
      <c r="CX24" s="69"/>
      <c r="CY24" s="259"/>
      <c r="CZ24" s="259"/>
    </row>
    <row r="25" spans="14:104">
      <c r="N25" s="6">
        <f t="shared" si="10"/>
        <v>2021</v>
      </c>
      <c r="P25" s="494">
        <f>'Exhibit B,3'!AP25</f>
        <v>1789742.2800000007</v>
      </c>
      <c r="Q25" s="187"/>
      <c r="R25" s="545">
        <v>0</v>
      </c>
      <c r="S25" s="187"/>
      <c r="T25" s="20">
        <f>'Exhibit B,3'!AX25+'Exhibit B,3'!BF25+'Exhibit B,3'!BN25</f>
        <v>0</v>
      </c>
      <c r="U25" s="187"/>
      <c r="V25" s="494">
        <f t="shared" si="6"/>
        <v>1789742.2800000007</v>
      </c>
      <c r="Y25" s="18"/>
      <c r="Z25" s="74">
        <f>'Exhibit B,3'!E25</f>
        <v>6.3273793175123619E-2</v>
      </c>
      <c r="AA25" s="74"/>
      <c r="AB25" s="74">
        <f>'Exhibit B,3'!G25</f>
        <v>8.9017847776179576E-2</v>
      </c>
      <c r="AC25" s="18"/>
      <c r="AD25" s="17">
        <f>'Exhibit B,3'!AQ25</f>
        <v>2849.11</v>
      </c>
      <c r="AE25" s="17"/>
      <c r="AF25" s="494">
        <f>'Exhibit B,3'!Q25</f>
        <v>0</v>
      </c>
      <c r="AG25" s="494"/>
      <c r="AH25" s="494">
        <f>'Exhibit B,3'!AR25</f>
        <v>141000</v>
      </c>
      <c r="AI25" s="494"/>
      <c r="AJ25" s="494">
        <f>'Exhibit B,3'!U25</f>
        <v>0</v>
      </c>
      <c r="AK25" s="187"/>
      <c r="AL25" s="494">
        <f>(AD25-AF25)/Z25</f>
        <v>45028.278802797315</v>
      </c>
      <c r="AM25" s="494"/>
      <c r="AN25" s="494">
        <f t="shared" si="1"/>
        <v>1583952.0222340222</v>
      </c>
      <c r="AO25" s="494"/>
      <c r="AP25" s="20">
        <f t="shared" si="8"/>
        <v>1583952.0222340222</v>
      </c>
      <c r="AQ25" s="20"/>
      <c r="AR25" s="73">
        <f>IF(V25=0,0,AP25/(V25))</f>
        <v>0.88501682054134712</v>
      </c>
      <c r="AS25" s="73"/>
      <c r="AT25" s="418">
        <f t="shared" si="14"/>
        <v>2.4448004663380662</v>
      </c>
      <c r="AV25" s="499">
        <f t="shared" ref="AV25:AV26" si="17">V25*(1-AB25)*AR$29*BI25+(AH25-AJ25)</f>
        <v>4375562.7607689556</v>
      </c>
      <c r="AW25" s="147"/>
      <c r="AZ25" s="60"/>
      <c r="BA25" s="61">
        <f t="shared" si="12"/>
        <v>2021</v>
      </c>
      <c r="BC25" s="437">
        <v>0.87771254696390921</v>
      </c>
      <c r="BD25" s="259">
        <f t="shared" si="3"/>
        <v>0.98039215686274506</v>
      </c>
      <c r="BE25" s="606">
        <v>4.9540813980098486</v>
      </c>
      <c r="BF25" s="434">
        <f t="shared" si="15"/>
        <v>1.1000000000000001</v>
      </c>
      <c r="BG25" s="400">
        <f t="shared" si="13"/>
        <v>1.2286840108181385</v>
      </c>
      <c r="BH25" s="259">
        <f t="shared" si="5"/>
        <v>1.1719172606455124</v>
      </c>
      <c r="BI25" s="259">
        <f t="shared" si="16"/>
        <v>1.1719172606455124</v>
      </c>
      <c r="CX25" s="69"/>
      <c r="CY25" s="259"/>
      <c r="CZ25" s="259"/>
    </row>
    <row r="26" spans="14:104">
      <c r="N26" s="6">
        <f t="shared" si="10"/>
        <v>2022</v>
      </c>
      <c r="P26" s="494">
        <f>'Exhibit B,3'!AP26</f>
        <v>2047913.3699999996</v>
      </c>
      <c r="Q26" s="187"/>
      <c r="R26" s="545">
        <v>0</v>
      </c>
      <c r="S26" s="187"/>
      <c r="T26" s="20">
        <f>'Exhibit B,3'!AX26+'Exhibit B,3'!BF26+'Exhibit B,3'!BN26</f>
        <v>0</v>
      </c>
      <c r="U26" s="187"/>
      <c r="V26" s="494">
        <f t="shared" si="6"/>
        <v>2047913.3699999996</v>
      </c>
      <c r="Y26" s="18"/>
      <c r="Z26" s="74">
        <f>'Exhibit B,3'!E26</f>
        <v>2.5710923014740494E-3</v>
      </c>
      <c r="AA26" s="74"/>
      <c r="AB26" s="74">
        <f>'Exhibit B,3'!G26</f>
        <v>2.1812377871443394E-2</v>
      </c>
      <c r="AC26" s="18"/>
      <c r="AD26" s="494">
        <f>'Exhibit B,3'!AQ26</f>
        <v>0</v>
      </c>
      <c r="AE26" s="17"/>
      <c r="AF26" s="494">
        <f>'Exhibit B,3'!Q26</f>
        <v>0</v>
      </c>
      <c r="AG26" s="494"/>
      <c r="AH26" s="494">
        <f>'Exhibit B,3'!AR26</f>
        <v>0</v>
      </c>
      <c r="AI26" s="494"/>
      <c r="AJ26" s="494">
        <f>'Exhibit B,3'!U26</f>
        <v>0</v>
      </c>
      <c r="AK26" s="187"/>
      <c r="AL26" s="494">
        <f>(AD26-AF26)/Z26</f>
        <v>0</v>
      </c>
      <c r="AM26" s="494"/>
      <c r="AN26" s="494">
        <v>0</v>
      </c>
      <c r="AO26" s="494"/>
      <c r="AP26" s="494">
        <f t="shared" si="8"/>
        <v>0</v>
      </c>
      <c r="AQ26" s="20"/>
      <c r="AR26" s="73">
        <f>IF(V26=0,0,AP26/(V26))</f>
        <v>0</v>
      </c>
      <c r="AS26" s="73"/>
      <c r="AT26" s="418">
        <f t="shared" si="14"/>
        <v>1.6259031906069208</v>
      </c>
      <c r="AV26" s="499">
        <f t="shared" si="17"/>
        <v>3329708.8823695709</v>
      </c>
      <c r="AW26" s="147"/>
      <c r="AZ26" s="60"/>
      <c r="BA26" s="61">
        <f t="shared" si="12"/>
        <v>2022</v>
      </c>
      <c r="BC26" s="437">
        <v>1</v>
      </c>
      <c r="BD26" s="259">
        <v>1</v>
      </c>
      <c r="BE26" s="606">
        <v>1.1163937187290793</v>
      </c>
      <c r="BF26" s="434">
        <f t="shared" si="15"/>
        <v>0.3</v>
      </c>
      <c r="BG26" s="400">
        <f t="shared" si="13"/>
        <v>0.3</v>
      </c>
      <c r="BH26" s="259">
        <f t="shared" si="5"/>
        <v>0.28613962182152258</v>
      </c>
      <c r="BI26" s="259">
        <v>0.75</v>
      </c>
      <c r="CX26" s="69"/>
      <c r="CY26" s="259"/>
      <c r="CZ26" s="259"/>
    </row>
    <row r="27" spans="14:104">
      <c r="N27" s="6"/>
      <c r="P27" s="63"/>
      <c r="R27" s="183"/>
      <c r="T27" s="63"/>
      <c r="V27" s="63"/>
      <c r="AD27" s="63"/>
      <c r="AF27" s="63"/>
      <c r="AH27" s="63"/>
      <c r="AJ27" s="63"/>
      <c r="AL27" s="63"/>
      <c r="AN27" s="63"/>
      <c r="AP27" s="63"/>
      <c r="AR27" s="63"/>
      <c r="AT27" s="63"/>
      <c r="AV27" s="63"/>
      <c r="BA27" s="63"/>
      <c r="BC27" s="63"/>
      <c r="BD27" s="63"/>
      <c r="CX27" s="61"/>
      <c r="CY27" s="61"/>
      <c r="CZ27" s="61"/>
    </row>
    <row r="28" spans="14:104">
      <c r="N28" s="2" t="s">
        <v>0</v>
      </c>
      <c r="P28" s="147">
        <f>SUM(P17:P27)</f>
        <v>19310123.209999986</v>
      </c>
      <c r="Q28" s="147"/>
      <c r="R28" s="147">
        <f>SUM(R17:R27)</f>
        <v>0</v>
      </c>
      <c r="S28" s="147"/>
      <c r="T28" s="147">
        <f>SUM(T17:T27)</f>
        <v>8920008.9600000009</v>
      </c>
      <c r="U28" s="147"/>
      <c r="V28" s="147">
        <f>SUM(V17:V27)</f>
        <v>10390114.249999983</v>
      </c>
      <c r="Y28" s="26"/>
      <c r="AC28" s="26"/>
      <c r="AD28" s="147">
        <f>SUM(AD17:AD27)</f>
        <v>31981032.290000003</v>
      </c>
      <c r="AE28" s="147"/>
      <c r="AF28" s="147">
        <f>SUM(AF17:AF27)</f>
        <v>27477860.91</v>
      </c>
      <c r="AG28" s="147"/>
      <c r="AH28" s="147">
        <f>SUM(AH17:AH27)</f>
        <v>40800377.439999998</v>
      </c>
      <c r="AI28" s="147"/>
      <c r="AJ28" s="147">
        <f>SUM(AJ17:AJ27)</f>
        <v>29633578.280000001</v>
      </c>
      <c r="AK28" s="147"/>
      <c r="AL28" s="147">
        <f>SUM(AL17:AL27)</f>
        <v>10691646.129102493</v>
      </c>
      <c r="AM28" s="147"/>
      <c r="AN28" s="147">
        <f>SUM(AN17:AN27)</f>
        <v>19080126.197030649</v>
      </c>
      <c r="AO28" s="147"/>
      <c r="AP28" s="147">
        <f>SUM(AP17:AP27)</f>
        <v>19080126.197030649</v>
      </c>
      <c r="AQ28" s="26"/>
      <c r="AR28" s="73">
        <f t="shared" si="11"/>
        <v>1.8363730886819343</v>
      </c>
      <c r="AS28" s="73"/>
      <c r="AT28" s="73">
        <f>AV28/V28</f>
        <v>2.5377505115042731</v>
      </c>
      <c r="AV28" s="147">
        <f>SUM(AV17:AV27)</f>
        <v>26367517.752525292</v>
      </c>
      <c r="AW28" s="147"/>
      <c r="AZ28" s="60"/>
      <c r="BA28" s="61"/>
      <c r="BC28" s="147"/>
      <c r="BD28" s="376"/>
      <c r="CX28" s="69"/>
      <c r="CY28" s="61"/>
      <c r="CZ28" s="61"/>
    </row>
    <row r="29" spans="14:104">
      <c r="N29" s="6"/>
      <c r="R29" s="26"/>
      <c r="V29" s="26"/>
      <c r="AN29" s="284" t="s">
        <v>1732</v>
      </c>
      <c r="AP29" s="55">
        <f>(AP28-AP24-AP25)/(V28-V24-V25)</f>
        <v>2.2162117693657741</v>
      </c>
      <c r="AR29" s="128">
        <f>AP29</f>
        <v>2.2162117693657741</v>
      </c>
      <c r="AS29" s="73"/>
      <c r="AT29" s="73"/>
      <c r="AV29" s="26"/>
      <c r="BA29" s="61"/>
      <c r="BD29" s="61" t="s">
        <v>1697</v>
      </c>
      <c r="BE29" s="606">
        <v>4.3460687257570649</v>
      </c>
      <c r="BI29" s="95"/>
      <c r="CN29" s="61"/>
      <c r="CO29" s="403"/>
      <c r="CP29" s="259"/>
      <c r="CQ29" s="400"/>
      <c r="CR29" s="61"/>
      <c r="CS29" s="432"/>
      <c r="CT29" s="432"/>
      <c r="CU29" s="198"/>
      <c r="CV29" s="61"/>
      <c r="CW29" s="69"/>
      <c r="CX29" s="69"/>
      <c r="CY29" s="259"/>
      <c r="CZ29" s="61"/>
    </row>
    <row r="30" spans="14:104">
      <c r="N30" s="3"/>
      <c r="AD30" s="147">
        <f>AH21-AJ21</f>
        <v>1232880.71</v>
      </c>
      <c r="AT30" s="23"/>
      <c r="BA30" s="61"/>
      <c r="CN30" s="61"/>
      <c r="CO30" s="259"/>
      <c r="CP30" s="259"/>
      <c r="CQ30" s="400"/>
      <c r="CR30" s="61"/>
      <c r="CS30" s="61"/>
      <c r="CT30" s="61"/>
      <c r="CU30" s="69"/>
      <c r="CV30" s="84"/>
      <c r="CW30" s="84"/>
      <c r="CX30" s="206"/>
    </row>
    <row r="31" spans="14:104">
      <c r="N31" s="6"/>
      <c r="P31" s="26"/>
      <c r="Q31" s="26"/>
      <c r="R31" s="26"/>
      <c r="S31" s="26"/>
      <c r="T31" s="26"/>
      <c r="V31" s="74"/>
      <c r="X31" s="26"/>
      <c r="Y31" s="26"/>
      <c r="Z31" s="74"/>
      <c r="AA31" s="74"/>
      <c r="AB31" s="74"/>
      <c r="AC31" s="26"/>
      <c r="AD31" s="19"/>
      <c r="AE31" s="19"/>
      <c r="AF31" s="18"/>
      <c r="AG31" s="19"/>
      <c r="AH31" s="19"/>
      <c r="AI31" s="19"/>
      <c r="AJ31" s="19"/>
      <c r="AL31" s="19"/>
      <c r="AM31" s="19"/>
      <c r="AN31" s="19"/>
      <c r="AP31" s="26"/>
      <c r="AR31" s="128"/>
      <c r="AS31" s="26"/>
      <c r="AT31" s="19"/>
      <c r="AV31" s="19"/>
      <c r="CN31" s="61"/>
      <c r="CO31" s="259"/>
      <c r="CP31" s="259"/>
      <c r="CQ31" s="400"/>
      <c r="CR31" s="61"/>
      <c r="CS31" s="61"/>
      <c r="CT31" s="61"/>
      <c r="CU31" s="69"/>
      <c r="CV31" s="206"/>
      <c r="CW31" s="259"/>
    </row>
    <row r="32" spans="14:104">
      <c r="N32" s="64" t="s">
        <v>104</v>
      </c>
      <c r="P32" s="3" t="s">
        <v>620</v>
      </c>
      <c r="Q32" s="18"/>
      <c r="R32" s="18"/>
      <c r="S32" s="18"/>
      <c r="T32" s="18"/>
      <c r="U32" s="26"/>
      <c r="V32" s="74"/>
      <c r="X32" s="18"/>
      <c r="Y32" s="18"/>
      <c r="Z32" s="74"/>
      <c r="AA32" s="74"/>
      <c r="AB32" s="74"/>
      <c r="AC32" s="18"/>
      <c r="AD32" s="18"/>
      <c r="AE32" s="18"/>
      <c r="AF32" s="18"/>
      <c r="AG32" s="18"/>
      <c r="AH32" s="19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9"/>
      <c r="AV32" s="19"/>
      <c r="BA32" s="588"/>
      <c r="BD32" s="25"/>
      <c r="BE32" s="25" t="s">
        <v>1674</v>
      </c>
      <c r="BH32" s="25" t="s">
        <v>1701</v>
      </c>
      <c r="CN32" s="61"/>
      <c r="CO32" s="259"/>
      <c r="CP32" s="259"/>
      <c r="CQ32" s="400"/>
      <c r="CR32" s="401"/>
      <c r="CS32" s="61"/>
      <c r="CT32" s="61"/>
      <c r="CU32" s="69"/>
      <c r="CV32" s="206"/>
      <c r="CW32" s="259"/>
    </row>
    <row r="33" spans="14:101">
      <c r="N33" s="52" t="s">
        <v>36</v>
      </c>
      <c r="P33" s="3" t="s">
        <v>1485</v>
      </c>
      <c r="Q33" s="18"/>
      <c r="R33" s="18"/>
      <c r="S33" s="18"/>
      <c r="T33" s="18"/>
      <c r="V33" s="74"/>
      <c r="X33" s="18"/>
      <c r="Y33" s="18"/>
      <c r="Z33" s="74"/>
      <c r="AA33" s="74"/>
      <c r="AB33" s="74"/>
      <c r="AC33" s="18"/>
      <c r="AD33" s="18"/>
      <c r="AE33" s="18"/>
      <c r="AF33" s="18"/>
      <c r="AG33" s="18"/>
      <c r="AH33" s="19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9"/>
      <c r="AV33" s="19"/>
      <c r="BA33" s="25" t="s">
        <v>1703</v>
      </c>
      <c r="BD33" s="25"/>
      <c r="BE33" s="61" t="s">
        <v>1675</v>
      </c>
      <c r="BG33" s="25" t="s">
        <v>1677</v>
      </c>
      <c r="BH33" s="25" t="s">
        <v>1677</v>
      </c>
      <c r="CN33" s="25"/>
      <c r="CO33" s="25"/>
      <c r="CP33" s="25"/>
      <c r="CQ33" s="25"/>
      <c r="CR33" s="61"/>
      <c r="CS33" s="61"/>
      <c r="CT33" s="61"/>
      <c r="CU33" s="25"/>
      <c r="CV33" s="61"/>
      <c r="CW33" s="61"/>
    </row>
    <row r="34" spans="14:101">
      <c r="N34" s="52" t="s">
        <v>38</v>
      </c>
      <c r="P34" s="3" t="s">
        <v>620</v>
      </c>
      <c r="Q34" s="18"/>
      <c r="R34" s="18"/>
      <c r="S34" s="18"/>
      <c r="T34" s="18"/>
      <c r="V34" s="74"/>
      <c r="X34" s="18"/>
      <c r="Y34" s="18"/>
      <c r="Z34" s="74"/>
      <c r="AA34" s="74"/>
      <c r="AB34" s="74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9"/>
      <c r="AV34" s="19"/>
      <c r="BA34" s="61"/>
      <c r="BB34" s="25" t="s">
        <v>564</v>
      </c>
      <c r="BC34" s="25" t="s">
        <v>703</v>
      </c>
      <c r="BD34" s="399">
        <v>0.02</v>
      </c>
      <c r="BE34" s="25" t="s">
        <v>1308</v>
      </c>
      <c r="BF34" s="61"/>
      <c r="BG34" s="25" t="s">
        <v>284</v>
      </c>
      <c r="BH34" s="25" t="s">
        <v>284</v>
      </c>
      <c r="CN34" s="223"/>
      <c r="CO34" s="259"/>
      <c r="CP34" s="376"/>
      <c r="CQ34" s="376"/>
      <c r="CR34" s="61"/>
      <c r="CS34" s="61"/>
      <c r="CT34" s="137"/>
      <c r="CU34" s="223"/>
      <c r="CV34" s="206"/>
      <c r="CW34" s="61"/>
    </row>
    <row r="35" spans="14:101">
      <c r="N35" s="52" t="s">
        <v>40</v>
      </c>
      <c r="P35" s="3" t="s">
        <v>629</v>
      </c>
      <c r="Q35" s="18"/>
      <c r="R35" s="18"/>
      <c r="S35" s="18"/>
      <c r="T35" s="18"/>
      <c r="V35" s="74"/>
      <c r="X35" s="18"/>
      <c r="Y35" s="18"/>
      <c r="Z35" s="74"/>
      <c r="AA35" s="74"/>
      <c r="AB35" s="74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9"/>
      <c r="AV35" s="19"/>
      <c r="BA35" s="61"/>
      <c r="BB35" s="97" t="s">
        <v>7</v>
      </c>
      <c r="BC35" s="285" t="s">
        <v>1696</v>
      </c>
      <c r="BD35" s="97" t="s">
        <v>284</v>
      </c>
      <c r="BE35" s="25" t="s">
        <v>1698</v>
      </c>
      <c r="BF35" s="285" t="s">
        <v>1308</v>
      </c>
      <c r="BG35" s="285" t="s">
        <v>109</v>
      </c>
      <c r="BH35" s="285" t="s">
        <v>109</v>
      </c>
      <c r="BI35" s="25" t="s">
        <v>1704</v>
      </c>
      <c r="BJ35" s="25" t="s">
        <v>695</v>
      </c>
      <c r="BK35" s="25" t="s">
        <v>695</v>
      </c>
      <c r="CN35" s="61"/>
      <c r="CO35" s="61"/>
      <c r="CP35" s="61"/>
      <c r="CQ35" s="376"/>
      <c r="CR35" s="61"/>
      <c r="CS35" s="61"/>
      <c r="CT35" s="84"/>
      <c r="CU35" s="84"/>
      <c r="CV35" s="206"/>
      <c r="CW35" s="61"/>
    </row>
    <row r="36" spans="14:101">
      <c r="N36" s="64" t="s">
        <v>577</v>
      </c>
      <c r="P36" s="140" t="s">
        <v>1620</v>
      </c>
      <c r="Q36" s="18"/>
      <c r="R36" s="18"/>
      <c r="S36" s="18"/>
      <c r="T36" s="18"/>
      <c r="V36" s="74"/>
      <c r="X36" s="18"/>
      <c r="Y36" s="18"/>
      <c r="Z36" s="74"/>
      <c r="AA36" s="74"/>
      <c r="AB36" s="74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9"/>
      <c r="AV36" s="19"/>
      <c r="BA36" s="61"/>
      <c r="BB36" s="97" t="s">
        <v>284</v>
      </c>
      <c r="BC36" s="398" t="s">
        <v>1359</v>
      </c>
      <c r="BD36" s="25" t="s">
        <v>1365</v>
      </c>
      <c r="BE36" s="25" t="s">
        <v>1671</v>
      </c>
      <c r="BF36" s="398" t="s">
        <v>1395</v>
      </c>
      <c r="BG36" s="398" t="s">
        <v>1395</v>
      </c>
      <c r="BH36" s="398" t="s">
        <v>1395</v>
      </c>
      <c r="BI36" s="25" t="s">
        <v>7</v>
      </c>
      <c r="BJ36" s="25" t="s">
        <v>7</v>
      </c>
      <c r="BK36" s="25" t="s">
        <v>7</v>
      </c>
      <c r="CN36" s="61"/>
      <c r="CO36" s="61"/>
      <c r="CP36" s="61"/>
      <c r="CQ36" s="205"/>
      <c r="CR36" s="61"/>
      <c r="CS36" s="61"/>
      <c r="CT36" s="61"/>
      <c r="CU36" s="69"/>
      <c r="CV36" s="206"/>
      <c r="CW36" s="61"/>
    </row>
    <row r="37" spans="14:101">
      <c r="N37" s="64" t="s">
        <v>598</v>
      </c>
      <c r="P37" s="3" t="s">
        <v>1621</v>
      </c>
      <c r="Q37" s="18"/>
      <c r="R37" s="18"/>
      <c r="S37" s="18"/>
      <c r="T37" s="18"/>
      <c r="V37" s="74"/>
      <c r="X37" s="18"/>
      <c r="Y37" s="18"/>
      <c r="Z37" s="74"/>
      <c r="AA37" s="74"/>
      <c r="AB37" s="74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9"/>
      <c r="AV37" s="19"/>
      <c r="BA37" s="25" t="s">
        <v>4</v>
      </c>
      <c r="BB37" s="97" t="s">
        <v>109</v>
      </c>
      <c r="BC37" s="25" t="s">
        <v>1360</v>
      </c>
      <c r="BD37" s="399">
        <v>0.02</v>
      </c>
      <c r="BE37" s="25" t="s">
        <v>1672</v>
      </c>
      <c r="BF37" s="25" t="s">
        <v>1370</v>
      </c>
      <c r="BG37" s="25" t="s">
        <v>1370</v>
      </c>
      <c r="BH37" s="25" t="s">
        <v>1370</v>
      </c>
      <c r="BI37" s="25" t="s">
        <v>1705</v>
      </c>
      <c r="BJ37" s="25" t="s">
        <v>1705</v>
      </c>
      <c r="BK37" s="25" t="s">
        <v>55</v>
      </c>
    </row>
    <row r="38" spans="14:101">
      <c r="N38" s="64" t="s">
        <v>134</v>
      </c>
      <c r="P38" s="3" t="s">
        <v>628</v>
      </c>
      <c r="Q38" s="18"/>
      <c r="R38" s="18"/>
      <c r="S38" s="18"/>
      <c r="T38" s="18"/>
      <c r="V38" s="74"/>
      <c r="X38" s="18"/>
      <c r="Y38" s="18"/>
      <c r="Z38" s="74"/>
      <c r="AA38" s="74"/>
      <c r="AB38" s="74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9"/>
      <c r="AV38" s="19"/>
      <c r="BA38" s="143">
        <f>AV40-1</f>
        <v>-1</v>
      </c>
      <c r="BB38" s="143">
        <f t="shared" ref="BB38" si="18">BA38-1</f>
        <v>-2</v>
      </c>
      <c r="BC38" s="143">
        <f t="shared" ref="BC38" si="19">BB38-1</f>
        <v>-3</v>
      </c>
      <c r="BD38" s="143">
        <f t="shared" ref="BD38" si="20">BC38-1</f>
        <v>-4</v>
      </c>
      <c r="BE38" s="143">
        <f t="shared" ref="BE38" si="21">BD38-1</f>
        <v>-5</v>
      </c>
      <c r="BF38" s="143">
        <f t="shared" ref="BF38" si="22">BE38-1</f>
        <v>-6</v>
      </c>
      <c r="BG38" s="143">
        <f t="shared" ref="BG38" si="23">BF38-1</f>
        <v>-7</v>
      </c>
      <c r="BH38" s="143">
        <f t="shared" ref="BH38:BJ38" si="24">BG38-1</f>
        <v>-8</v>
      </c>
      <c r="BI38" s="143">
        <f t="shared" si="24"/>
        <v>-9</v>
      </c>
      <c r="BJ38" s="143">
        <f t="shared" si="24"/>
        <v>-10</v>
      </c>
      <c r="BK38" s="143">
        <f>BH38-1</f>
        <v>-9</v>
      </c>
    </row>
    <row r="39" spans="14:101">
      <c r="N39" s="64" t="s">
        <v>137</v>
      </c>
      <c r="P39" s="3" t="s">
        <v>627</v>
      </c>
      <c r="Q39" s="18"/>
      <c r="R39" s="18"/>
      <c r="S39" s="18"/>
      <c r="T39" s="18"/>
      <c r="V39" s="74"/>
      <c r="X39" s="18"/>
      <c r="Y39" s="18"/>
      <c r="Z39" s="74"/>
      <c r="AA39" s="74"/>
      <c r="AB39" s="74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V39" s="19"/>
      <c r="BA39" s="61"/>
      <c r="BB39" s="61"/>
      <c r="BC39" s="61"/>
      <c r="BD39" s="61"/>
      <c r="BE39" s="61"/>
      <c r="BF39" s="61"/>
      <c r="BG39" s="61"/>
    </row>
    <row r="40" spans="14:101">
      <c r="N40" s="64" t="s">
        <v>345</v>
      </c>
      <c r="P40" s="1" t="s">
        <v>1622</v>
      </c>
      <c r="Q40" s="18"/>
      <c r="R40" s="18"/>
      <c r="S40" s="18"/>
      <c r="T40" s="18"/>
      <c r="V40" s="73"/>
      <c r="W40" s="18"/>
      <c r="X40" s="18"/>
      <c r="Y40" s="18"/>
      <c r="Z40" s="74"/>
      <c r="AA40" s="74"/>
      <c r="AB40" s="74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BA40" s="61"/>
      <c r="BB40" s="61"/>
      <c r="BC40" s="61"/>
      <c r="BD40" s="61"/>
      <c r="BE40" s="61"/>
      <c r="BF40" s="61"/>
      <c r="BG40" s="61"/>
    </row>
    <row r="41" spans="14:101">
      <c r="N41" s="64" t="s">
        <v>571</v>
      </c>
      <c r="P41" s="3" t="s">
        <v>1387</v>
      </c>
      <c r="Q41" s="18"/>
      <c r="R41" s="18"/>
      <c r="S41" s="18"/>
      <c r="T41" s="18"/>
      <c r="V41" s="73"/>
      <c r="W41" s="18"/>
      <c r="X41" s="18"/>
      <c r="Y41" s="18"/>
      <c r="Z41" s="74"/>
      <c r="AA41" s="74"/>
      <c r="AB41" s="74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BA41" s="61">
        <v>2013</v>
      </c>
      <c r="BB41" s="74"/>
      <c r="BC41" s="437">
        <v>0.82735760193563113</v>
      </c>
      <c r="BD41" s="259">
        <f t="shared" ref="BD41:BD49" si="25">BD42/(1+BD$13)</f>
        <v>0.83675526587265814</v>
      </c>
      <c r="BE41" s="259">
        <v>3.6068644020516336</v>
      </c>
      <c r="BF41" s="259">
        <v>1</v>
      </c>
      <c r="BG41" s="400">
        <f t="shared" ref="BG41:BG50" si="26">BD41/BC41*BF41</f>
        <v>1.0113586482012624</v>
      </c>
      <c r="BH41" s="259">
        <f t="shared" ref="BH41:BH49" si="27">BG41/BG$21</f>
        <v>0.96463260374078508</v>
      </c>
      <c r="BI41" s="123">
        <f>'Exhibit D,2'!L17</f>
        <v>8.2090859650251619E-3</v>
      </c>
      <c r="BJ41" s="149">
        <f>BI41</f>
        <v>8.2090859650251619E-3</v>
      </c>
      <c r="BK41" s="599">
        <f>BJ41*'Exhibit D,2'!C17</f>
        <v>8861.26</v>
      </c>
    </row>
    <row r="42" spans="14:101">
      <c r="N42" s="64" t="s">
        <v>599</v>
      </c>
      <c r="P42" s="1" t="s">
        <v>1623</v>
      </c>
      <c r="W42" s="18"/>
      <c r="X42" s="18"/>
      <c r="Y42" s="18"/>
      <c r="AD42" s="26"/>
      <c r="AE42" s="26"/>
      <c r="AF42" s="26"/>
      <c r="AH42" s="26"/>
      <c r="AI42" s="26"/>
      <c r="AJ42" s="26"/>
      <c r="AL42" s="26"/>
      <c r="AM42" s="26"/>
      <c r="AN42" s="26"/>
      <c r="AP42" s="26"/>
      <c r="AR42" s="26"/>
      <c r="AS42" s="26"/>
      <c r="AT42" s="26"/>
      <c r="BA42" s="61">
        <f>BA41+1</f>
        <v>2014</v>
      </c>
      <c r="BC42" s="437">
        <v>0.82865777260327178</v>
      </c>
      <c r="BD42" s="259">
        <f t="shared" si="25"/>
        <v>0.85349037119011129</v>
      </c>
      <c r="BE42" s="259">
        <v>3.5426910118803869</v>
      </c>
      <c r="BF42" s="259">
        <v>1</v>
      </c>
      <c r="BG42" s="400">
        <f t="shared" si="26"/>
        <v>1.029967254767703</v>
      </c>
      <c r="BH42" s="259">
        <f t="shared" si="27"/>
        <v>0.98238146922594116</v>
      </c>
      <c r="BI42" s="123">
        <f>'Exhibit D,2'!L18</f>
        <v>3.2206679838371968</v>
      </c>
      <c r="BJ42" s="149">
        <f t="shared" ref="BJ42:BJ47" si="28">BI42</f>
        <v>3.2206679838371968</v>
      </c>
      <c r="BK42" s="69">
        <f>BJ42*'Exhibit D,2'!C18</f>
        <v>4002760.5684396555</v>
      </c>
    </row>
    <row r="43" spans="14:101">
      <c r="N43" s="64" t="s">
        <v>592</v>
      </c>
      <c r="P43" s="1" t="s">
        <v>1484</v>
      </c>
      <c r="R43" s="21"/>
      <c r="T43" s="18"/>
      <c r="X43" s="26"/>
      <c r="Y43" s="26"/>
      <c r="Z43" s="26"/>
      <c r="AA43" s="26"/>
      <c r="AB43" s="26"/>
      <c r="AC43" s="26"/>
      <c r="BA43" s="61">
        <f t="shared" ref="BA43:BA50" si="29">BA42+1</f>
        <v>2015</v>
      </c>
      <c r="BC43" s="437">
        <v>0.77056366067155324</v>
      </c>
      <c r="BD43" s="259">
        <f t="shared" si="25"/>
        <v>0.87056017861391355</v>
      </c>
      <c r="BE43" s="259">
        <v>3.4466723844839637</v>
      </c>
      <c r="BF43" s="259">
        <v>1</v>
      </c>
      <c r="BG43" s="400">
        <f t="shared" si="26"/>
        <v>1.1297706121454163</v>
      </c>
      <c r="BH43" s="259">
        <f t="shared" si="27"/>
        <v>1.0775737856811982</v>
      </c>
      <c r="BI43" s="123">
        <f>'Exhibit D,2'!L19</f>
        <v>1.3415210448063979</v>
      </c>
      <c r="BJ43" s="149">
        <f t="shared" si="28"/>
        <v>1.3415210448063979</v>
      </c>
      <c r="BK43" s="69">
        <f>BJ43*'Exhibit D,2'!C19</f>
        <v>2597260.3240408506</v>
      </c>
    </row>
    <row r="44" spans="14:101">
      <c r="R44" s="21"/>
      <c r="T44" s="18"/>
      <c r="V44" s="60"/>
      <c r="AB44" s="6"/>
      <c r="AF44" s="6"/>
      <c r="AH44" s="6"/>
      <c r="AJ44" s="6"/>
      <c r="BA44" s="61">
        <f t="shared" si="29"/>
        <v>2016</v>
      </c>
      <c r="BC44" s="437">
        <v>0.83720595410097376</v>
      </c>
      <c r="BD44" s="259">
        <f t="shared" si="25"/>
        <v>0.88797138218619187</v>
      </c>
      <c r="BE44" s="259">
        <v>3.1539525919908704</v>
      </c>
      <c r="BF44" s="259">
        <v>1</v>
      </c>
      <c r="BG44" s="400">
        <f t="shared" si="26"/>
        <v>1.0606367260487679</v>
      </c>
      <c r="BH44" s="259">
        <f t="shared" si="27"/>
        <v>1.0116339722720411</v>
      </c>
      <c r="BI44" s="123">
        <f>'Exhibit D,2'!L20</f>
        <v>2.7907635506912776</v>
      </c>
      <c r="BJ44" s="149">
        <f t="shared" si="28"/>
        <v>2.7907635506912776</v>
      </c>
      <c r="BK44" s="69">
        <f>BJ44*'Exhibit D,2'!C20</f>
        <v>2938118.1545938896</v>
      </c>
    </row>
    <row r="45" spans="14:101">
      <c r="N45" s="64"/>
      <c r="P45" s="3"/>
      <c r="AB45" s="6"/>
      <c r="AF45" s="6"/>
      <c r="AH45" s="6"/>
      <c r="AJ45" s="6"/>
      <c r="BA45" s="61">
        <f t="shared" si="29"/>
        <v>2017</v>
      </c>
      <c r="BB45" s="149">
        <f>'Exhibit D,2'!L28</f>
        <v>1.3868050314512108</v>
      </c>
      <c r="BC45" s="437">
        <v>0.84677973893304426</v>
      </c>
      <c r="BD45" s="259">
        <f t="shared" si="25"/>
        <v>0.90573080982991572</v>
      </c>
      <c r="BE45" s="259">
        <v>2.8942572231771555</v>
      </c>
      <c r="BF45" s="259">
        <v>1</v>
      </c>
      <c r="BG45" s="400">
        <f t="shared" si="26"/>
        <v>1.0696179516188598</v>
      </c>
      <c r="BH45" s="259">
        <f t="shared" si="27"/>
        <v>1.0202002538991073</v>
      </c>
      <c r="BI45" s="123">
        <f>'Exhibit D,2'!L21</f>
        <v>1.3914764661501762</v>
      </c>
      <c r="BJ45" s="149">
        <f t="shared" si="28"/>
        <v>1.3914764661501762</v>
      </c>
      <c r="BK45" s="69">
        <f>BJ45*'Exhibit D,2'!C21</f>
        <v>2048997.4084690402</v>
      </c>
    </row>
    <row r="46" spans="14:101">
      <c r="X46" s="26"/>
      <c r="Y46" s="26"/>
      <c r="Z46" s="74"/>
      <c r="AA46" s="74"/>
      <c r="AB46" s="6"/>
      <c r="AD46" s="6"/>
      <c r="AF46" s="6"/>
      <c r="AH46" s="6"/>
      <c r="AI46" s="19"/>
      <c r="AJ46" s="6"/>
      <c r="AL46" s="19"/>
      <c r="AM46" s="19"/>
      <c r="AN46" s="19"/>
      <c r="AP46" s="26"/>
      <c r="AR46" s="26"/>
      <c r="AS46" s="26"/>
      <c r="AT46" s="26"/>
      <c r="BA46" s="61">
        <f t="shared" si="29"/>
        <v>2018</v>
      </c>
      <c r="BB46" s="149"/>
      <c r="BC46" s="437">
        <v>0.84510249181095187</v>
      </c>
      <c r="BD46" s="259">
        <f t="shared" si="25"/>
        <v>0.92384542602651409</v>
      </c>
      <c r="BE46" s="259">
        <v>2.3279141704179991</v>
      </c>
      <c r="BF46" s="259">
        <v>1</v>
      </c>
      <c r="BG46" s="400">
        <f t="shared" si="26"/>
        <v>1.0931756029340602</v>
      </c>
      <c r="BH46" s="259">
        <f t="shared" si="27"/>
        <v>1.0426695120268898</v>
      </c>
      <c r="BI46" s="123">
        <f>'Exhibit D,2'!L22</f>
        <v>0.32763213160957988</v>
      </c>
      <c r="BJ46" s="149">
        <f t="shared" si="28"/>
        <v>0.32763213160957988</v>
      </c>
      <c r="BK46" s="69">
        <f>BJ46*'Exhibit D,2'!C22</f>
        <v>501314.31157006003</v>
      </c>
    </row>
    <row r="47" spans="14:101">
      <c r="N47" s="6"/>
      <c r="X47" s="18"/>
      <c r="Y47" s="18"/>
      <c r="Z47" s="74"/>
      <c r="AA47" s="74"/>
      <c r="AB47" s="6"/>
      <c r="AD47" s="6"/>
      <c r="AF47" s="6"/>
      <c r="AH47" s="6"/>
      <c r="AI47" s="18"/>
      <c r="AJ47" s="6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BA47" s="61">
        <f t="shared" si="29"/>
        <v>2019</v>
      </c>
      <c r="BC47" s="437">
        <v>0.91096912320723322</v>
      </c>
      <c r="BD47" s="259">
        <f t="shared" si="25"/>
        <v>0.94232233454704439</v>
      </c>
      <c r="BE47" s="259">
        <v>3.4831873723385782</v>
      </c>
      <c r="BF47" s="434">
        <v>1</v>
      </c>
      <c r="BG47" s="400">
        <f t="shared" si="26"/>
        <v>1.0344174248512688</v>
      </c>
      <c r="BH47" s="259">
        <f t="shared" si="27"/>
        <v>0.98662603584178432</v>
      </c>
      <c r="BI47" s="123">
        <f>'Exhibit D,2'!L23</f>
        <v>2.5777778469808337</v>
      </c>
      <c r="BJ47" s="149">
        <f t="shared" si="28"/>
        <v>2.5777778469808337</v>
      </c>
      <c r="BK47" s="69">
        <f>BJ47*'Exhibit D,2'!C23</f>
        <v>4161330.4681595745</v>
      </c>
    </row>
    <row r="48" spans="14:101">
      <c r="N48" s="6"/>
      <c r="X48" s="18"/>
      <c r="Y48" s="18"/>
      <c r="Z48" s="74"/>
      <c r="AA48" s="74"/>
      <c r="AB48" s="2"/>
      <c r="AD48" s="6"/>
      <c r="AF48" s="6"/>
      <c r="AH48" s="6"/>
      <c r="AI48" s="18"/>
      <c r="AJ48" s="6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BA48" s="61">
        <f t="shared" si="29"/>
        <v>2020</v>
      </c>
      <c r="BC48" s="437">
        <v>0.93689150986445713</v>
      </c>
      <c r="BD48" s="259">
        <f t="shared" si="25"/>
        <v>0.96116878123798533</v>
      </c>
      <c r="BE48" s="259">
        <v>2.6710070439747491</v>
      </c>
      <c r="BF48" s="434">
        <f>ROUND(BE48/BE$52,1)</f>
        <v>0.9</v>
      </c>
      <c r="BG48" s="400">
        <f t="shared" si="26"/>
        <v>0.92332131736292122</v>
      </c>
      <c r="BH48" s="259">
        <f t="shared" si="27"/>
        <v>0.88066270856658768</v>
      </c>
      <c r="BI48" s="123">
        <f>'Exhibit D,2'!L$28</f>
        <v>1.3868050314512108</v>
      </c>
      <c r="BJ48" s="123">
        <f>BI48*BH48</f>
        <v>1.2213074752515951</v>
      </c>
      <c r="BK48" s="598">
        <f>BJ48*'Exhibit B,2'!Z24*(1-'Exhibit B,2'!G24)+'Exhibit B,2'!O24</f>
        <v>1983876.3061453947</v>
      </c>
    </row>
    <row r="49" spans="14:63">
      <c r="N49" s="6"/>
      <c r="X49" s="18"/>
      <c r="Y49" s="18"/>
      <c r="Z49" s="74"/>
      <c r="AA49" s="74"/>
      <c r="AB49" s="6"/>
      <c r="AD49" s="6"/>
      <c r="AF49" s="6"/>
      <c r="AH49" s="6"/>
      <c r="AI49" s="18"/>
      <c r="AJ49" s="6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BA49" s="61">
        <f t="shared" si="29"/>
        <v>2021</v>
      </c>
      <c r="BC49" s="437">
        <v>1.0015817241657758</v>
      </c>
      <c r="BD49" s="259">
        <f t="shared" si="25"/>
        <v>0.98039215686274506</v>
      </c>
      <c r="BE49" s="259">
        <v>1.8408853548017758</v>
      </c>
      <c r="BF49" s="434">
        <f t="shared" ref="BF49:BF50" si="30">ROUND(BE49/BE$52,1)</f>
        <v>0.6</v>
      </c>
      <c r="BG49" s="400">
        <f t="shared" si="26"/>
        <v>0.58730633749092431</v>
      </c>
      <c r="BH49" s="259">
        <f t="shared" si="27"/>
        <v>0.56017204434345536</v>
      </c>
      <c r="BI49" s="123">
        <f>'Exhibit D,2'!L$28</f>
        <v>1.3868050314512108</v>
      </c>
      <c r="BJ49" s="123">
        <f t="shared" ref="BJ49:BJ50" si="31">BI49*BH49</f>
        <v>0.77684940957381465</v>
      </c>
      <c r="BK49" s="598">
        <f>BJ49*'Exhibit B,2'!Z25*(1-'Exhibit B,2'!G25)+'Exhibit B,2'!O25</f>
        <v>4457723.3520909734</v>
      </c>
    </row>
    <row r="50" spans="14:63">
      <c r="N50" s="6"/>
      <c r="X50" s="18"/>
      <c r="Y50" s="18"/>
      <c r="Z50" s="74"/>
      <c r="AA50" s="74"/>
      <c r="AL50" s="18"/>
      <c r="AM50" s="18"/>
      <c r="AN50" s="18"/>
      <c r="AO50" s="18"/>
      <c r="AP50" s="18"/>
      <c r="AQ50" s="18"/>
      <c r="AR50" s="18"/>
      <c r="AS50" s="18"/>
      <c r="AT50" s="18"/>
      <c r="BA50" s="61">
        <f t="shared" si="29"/>
        <v>2022</v>
      </c>
      <c r="BC50" s="437">
        <v>1</v>
      </c>
      <c r="BD50" s="259">
        <v>1</v>
      </c>
      <c r="BE50" s="259">
        <v>2.3961299345055904</v>
      </c>
      <c r="BF50" s="434">
        <f t="shared" si="30"/>
        <v>0.8</v>
      </c>
      <c r="BG50" s="400">
        <f t="shared" si="26"/>
        <v>0.8</v>
      </c>
      <c r="BH50" s="259">
        <f>BG50/BG$21</f>
        <v>0.76303899152406029</v>
      </c>
      <c r="BI50" s="123">
        <f>'Exhibit D,2'!L$28</f>
        <v>1.3868050314512108</v>
      </c>
      <c r="BJ50" s="123">
        <f t="shared" si="31"/>
        <v>1.0581863126390245</v>
      </c>
      <c r="BK50" s="598">
        <f>BJ50*'Exhibit B,2'!Z26*(1-'Exhibit B,2'!G26)+'Exhibit B,2'!O26</f>
        <v>3676214.6681850632</v>
      </c>
    </row>
    <row r="51" spans="14:63">
      <c r="N51" s="6"/>
      <c r="X51" s="18"/>
      <c r="Y51" s="18"/>
      <c r="Z51" s="74"/>
      <c r="AA51" s="74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BA51" s="63"/>
      <c r="BC51" s="63"/>
      <c r="BD51" s="63"/>
    </row>
    <row r="52" spans="14:63">
      <c r="N52" s="6"/>
      <c r="X52" s="18"/>
      <c r="Y52" s="18"/>
      <c r="Z52" s="74"/>
      <c r="AA52" s="74"/>
      <c r="AB52" s="6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BA52" s="61"/>
      <c r="BC52" s="147"/>
      <c r="BD52" s="376"/>
      <c r="BE52" s="259">
        <v>3.0707262007670471</v>
      </c>
      <c r="BK52" s="23"/>
    </row>
    <row r="53" spans="14:63">
      <c r="N53" s="6"/>
      <c r="X53" s="18"/>
      <c r="Y53" s="18"/>
      <c r="Z53" s="74"/>
      <c r="AA53" s="74"/>
      <c r="AB53" s="6"/>
      <c r="AD53" s="370"/>
      <c r="AF53" s="74"/>
      <c r="AH53" s="74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BA53" s="61"/>
      <c r="BD53" s="61" t="s">
        <v>1697</v>
      </c>
      <c r="BE53" s="137">
        <v>4</v>
      </c>
    </row>
    <row r="54" spans="14:63">
      <c r="N54" s="6"/>
      <c r="X54" s="18"/>
      <c r="Y54" s="18"/>
      <c r="Z54" s="74"/>
      <c r="AA54" s="74"/>
      <c r="AB54" s="6"/>
      <c r="AD54" s="370"/>
      <c r="AF54" s="74"/>
      <c r="AH54" s="74"/>
      <c r="AI54" s="18"/>
      <c r="AJ54" s="73"/>
      <c r="AK54" s="18"/>
      <c r="AL54" s="18"/>
      <c r="AM54" s="18"/>
      <c r="AN54" s="18"/>
      <c r="AO54" s="18"/>
      <c r="AP54" s="18"/>
      <c r="AQ54" s="18"/>
      <c r="AR54" s="18"/>
      <c r="AS54" s="18"/>
      <c r="AT54" s="18"/>
    </row>
    <row r="55" spans="14:63">
      <c r="N55" s="6"/>
      <c r="X55" s="63"/>
      <c r="AB55" s="6"/>
      <c r="AD55" s="370"/>
      <c r="AF55" s="74"/>
      <c r="AH55" s="74"/>
      <c r="AI55" s="26"/>
      <c r="AJ55" s="73"/>
      <c r="AL55" s="26"/>
      <c r="AM55" s="26"/>
      <c r="AN55" s="26"/>
      <c r="AP55" s="26"/>
      <c r="AR55" s="26"/>
      <c r="AS55" s="26"/>
      <c r="AT55" s="26"/>
    </row>
    <row r="56" spans="14:63">
      <c r="N56" s="2"/>
      <c r="X56" s="26"/>
      <c r="Y56" s="26"/>
      <c r="Z56" s="26"/>
      <c r="AA56" s="26"/>
      <c r="AB56" s="6"/>
      <c r="AD56" s="370"/>
      <c r="AF56" s="74"/>
      <c r="AH56" s="74"/>
      <c r="AI56" s="26"/>
      <c r="AJ56" s="73"/>
      <c r="AL56" s="26"/>
      <c r="AM56" s="26"/>
      <c r="AN56" s="26"/>
      <c r="AP56" s="26"/>
      <c r="AR56" s="26"/>
      <c r="AS56" s="26"/>
      <c r="AT56" s="26"/>
    </row>
    <row r="57" spans="14:63">
      <c r="N57" s="6"/>
      <c r="W57" s="26"/>
      <c r="AB57" s="6"/>
      <c r="AD57" s="370"/>
      <c r="AF57" s="74"/>
      <c r="AH57" s="74"/>
      <c r="AJ57" s="73"/>
    </row>
    <row r="58" spans="14:63">
      <c r="N58" s="3"/>
      <c r="AB58" s="6"/>
      <c r="AD58" s="370"/>
      <c r="AF58" s="74"/>
      <c r="AH58" s="74"/>
      <c r="AJ58" s="73"/>
    </row>
    <row r="59" spans="14:63">
      <c r="N59" s="6"/>
      <c r="P59" s="26"/>
      <c r="Q59" s="26"/>
      <c r="R59" s="26"/>
      <c r="S59" s="26"/>
      <c r="T59" s="26"/>
      <c r="X59" s="26"/>
      <c r="Y59" s="26"/>
      <c r="Z59" s="26"/>
      <c r="AA59" s="26"/>
      <c r="AB59" s="6"/>
      <c r="AD59" s="370"/>
      <c r="AF59" s="74"/>
      <c r="AH59" s="74"/>
      <c r="AI59" s="26"/>
      <c r="AJ59" s="73"/>
      <c r="AL59" s="26"/>
      <c r="AM59" s="26"/>
      <c r="AN59" s="26"/>
      <c r="AP59" s="26"/>
      <c r="AR59" s="26"/>
      <c r="AS59" s="26"/>
      <c r="AT59" s="26"/>
    </row>
    <row r="60" spans="14:63">
      <c r="N60" s="6"/>
      <c r="P60" s="18"/>
      <c r="Q60" s="18"/>
      <c r="R60" s="18"/>
      <c r="S60" s="18"/>
      <c r="T60" s="18"/>
      <c r="U60" s="26"/>
      <c r="X60" s="18"/>
      <c r="Y60" s="18"/>
      <c r="Z60" s="18"/>
      <c r="AA60" s="18"/>
      <c r="AB60" s="6"/>
      <c r="AD60" s="370"/>
      <c r="AF60" s="74"/>
      <c r="AH60" s="74"/>
      <c r="AI60" s="18"/>
      <c r="AJ60" s="73"/>
      <c r="AK60" s="18"/>
      <c r="AL60" s="73"/>
      <c r="AM60" s="18"/>
      <c r="AN60" s="18"/>
      <c r="AO60" s="18"/>
      <c r="AP60" s="18"/>
      <c r="AQ60" s="18"/>
      <c r="AR60" s="18"/>
      <c r="AS60" s="18"/>
      <c r="AT60" s="18"/>
    </row>
    <row r="61" spans="14:63">
      <c r="N61" s="6"/>
      <c r="P61" s="18"/>
      <c r="Q61" s="18"/>
      <c r="R61" s="18"/>
      <c r="S61" s="18"/>
      <c r="T61" s="18"/>
      <c r="X61" s="18"/>
      <c r="Y61" s="18"/>
      <c r="Z61" s="18"/>
      <c r="AA61" s="18"/>
      <c r="AB61" s="6"/>
      <c r="AD61" s="370"/>
      <c r="AF61" s="74"/>
      <c r="AH61" s="74"/>
      <c r="AI61" s="18"/>
      <c r="AJ61" s="73"/>
      <c r="AK61" s="18"/>
      <c r="AL61" s="73"/>
      <c r="AM61" s="18"/>
      <c r="AO61" s="18"/>
      <c r="AP61" s="18"/>
      <c r="AQ61" s="18"/>
      <c r="AR61" s="18"/>
      <c r="AS61" s="18"/>
      <c r="AT61" s="18"/>
    </row>
    <row r="62" spans="14:63">
      <c r="N62" s="6"/>
      <c r="P62" s="18"/>
      <c r="Q62" s="18"/>
      <c r="R62" s="18"/>
      <c r="S62" s="18"/>
      <c r="T62" s="18"/>
      <c r="X62" s="18"/>
      <c r="Y62" s="18"/>
      <c r="Z62" s="18"/>
      <c r="AA62" s="18"/>
      <c r="AC62" s="140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</row>
    <row r="63" spans="14:63">
      <c r="N63" s="6"/>
      <c r="P63" s="18"/>
      <c r="Q63" s="18"/>
      <c r="R63" s="18"/>
      <c r="S63" s="18"/>
      <c r="T63" s="18"/>
      <c r="X63" s="18"/>
      <c r="Y63" s="18"/>
      <c r="Z63" s="18"/>
      <c r="AA63" s="18"/>
      <c r="AB63" s="140"/>
      <c r="AE63" s="55"/>
      <c r="AH63" s="18"/>
      <c r="AI63" s="18"/>
      <c r="AJ63" s="73"/>
      <c r="AK63" s="18"/>
      <c r="AL63" s="18"/>
      <c r="AM63" s="18"/>
      <c r="AN63" s="18"/>
      <c r="AO63" s="18"/>
      <c r="AP63" s="18"/>
      <c r="AQ63" s="18"/>
      <c r="AR63" s="18"/>
      <c r="AS63" s="18"/>
      <c r="AT63" s="18"/>
    </row>
    <row r="64" spans="14:63">
      <c r="N64" s="6"/>
      <c r="P64" s="18"/>
      <c r="Q64" s="18"/>
      <c r="R64" s="18"/>
      <c r="S64" s="18"/>
      <c r="T64" s="18"/>
      <c r="X64" s="18"/>
      <c r="Y64" s="18"/>
      <c r="Z64" s="18"/>
      <c r="AA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</row>
    <row r="65" spans="14:46">
      <c r="N65" s="6"/>
      <c r="P65" s="18"/>
      <c r="Q65" s="18"/>
      <c r="R65" s="18"/>
      <c r="S65" s="18"/>
      <c r="T65" s="18"/>
      <c r="X65" s="18"/>
      <c r="Y65" s="18"/>
      <c r="Z65" s="18"/>
      <c r="AA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</row>
    <row r="66" spans="14:46">
      <c r="N66" s="6"/>
      <c r="P66" s="18"/>
      <c r="Q66" s="18"/>
      <c r="R66" s="18"/>
      <c r="S66" s="18"/>
      <c r="T66" s="18"/>
      <c r="X66" s="18"/>
      <c r="Y66" s="18"/>
      <c r="Z66" s="18"/>
      <c r="AA66" s="18"/>
      <c r="AB66" s="23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</row>
    <row r="67" spans="14:46">
      <c r="N67" s="6"/>
      <c r="P67" s="18"/>
      <c r="Q67" s="18"/>
      <c r="R67" s="18"/>
      <c r="S67" s="18"/>
      <c r="T67" s="18"/>
      <c r="X67" s="18"/>
      <c r="Y67" s="18"/>
      <c r="Z67" s="18"/>
      <c r="AA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</row>
    <row r="68" spans="14:46">
      <c r="N68" s="6"/>
      <c r="P68" s="63"/>
      <c r="X68" s="63"/>
      <c r="AH68" s="26"/>
      <c r="AI68" s="26"/>
      <c r="AJ68" s="26"/>
      <c r="AL68" s="26"/>
      <c r="AM68" s="26"/>
      <c r="AN68" s="26"/>
      <c r="AP68" s="26"/>
      <c r="AR68" s="26"/>
      <c r="AS68" s="26"/>
      <c r="AT68" s="26"/>
    </row>
    <row r="69" spans="14:46">
      <c r="N69" s="2"/>
      <c r="P69" s="26"/>
      <c r="Q69" s="26"/>
      <c r="R69" s="26"/>
      <c r="S69" s="26"/>
      <c r="T69" s="26"/>
      <c r="X69" s="26"/>
      <c r="Y69" s="26"/>
      <c r="Z69" s="26"/>
      <c r="AA69" s="26"/>
      <c r="AH69" s="26"/>
      <c r="AI69" s="26"/>
      <c r="AJ69" s="26"/>
      <c r="AL69" s="26"/>
      <c r="AM69" s="26"/>
      <c r="AN69" s="26"/>
      <c r="AP69" s="26"/>
      <c r="AR69" s="26"/>
      <c r="AS69" s="26"/>
      <c r="AT69" s="26"/>
    </row>
    <row r="70" spans="14:46">
      <c r="N70" s="6"/>
    </row>
    <row r="71" spans="14:46">
      <c r="N71" s="3"/>
      <c r="AR71" s="19"/>
      <c r="AS71" s="19"/>
      <c r="AT71" s="19"/>
    </row>
    <row r="72" spans="14:46">
      <c r="N72" s="6"/>
    </row>
    <row r="73" spans="14:46">
      <c r="N73" s="64"/>
      <c r="P73" s="3"/>
      <c r="Q73" s="3"/>
      <c r="R73" s="3"/>
      <c r="S73" s="3"/>
      <c r="T73" s="3"/>
    </row>
    <row r="74" spans="14:46">
      <c r="N74" s="52"/>
      <c r="P74" s="3"/>
      <c r="Q74" s="3"/>
      <c r="R74" s="3"/>
      <c r="S74" s="3"/>
      <c r="T74" s="3"/>
    </row>
    <row r="75" spans="14:46">
      <c r="N75" s="52"/>
      <c r="P75" s="3"/>
      <c r="Q75" s="3"/>
      <c r="R75" s="3"/>
      <c r="S75" s="3"/>
      <c r="T75" s="3"/>
    </row>
    <row r="76" spans="14:46">
      <c r="N76" s="52"/>
      <c r="P76" s="3"/>
      <c r="Q76" s="3"/>
      <c r="R76" s="3"/>
      <c r="S76" s="3"/>
      <c r="T76" s="3"/>
    </row>
    <row r="77" spans="14:46">
      <c r="N77" s="64"/>
      <c r="P77" s="3"/>
      <c r="Q77" s="3"/>
      <c r="R77" s="3"/>
      <c r="S77" s="3"/>
      <c r="T77" s="3"/>
    </row>
    <row r="78" spans="14:46">
      <c r="P78" s="3"/>
      <c r="R78" s="3"/>
      <c r="S78" s="3"/>
      <c r="T78" s="3"/>
    </row>
    <row r="79" spans="14:46">
      <c r="N79" s="64"/>
      <c r="P79" s="3"/>
      <c r="Q79" s="3"/>
      <c r="R79" s="3"/>
      <c r="S79" s="3"/>
      <c r="T79" s="3"/>
    </row>
    <row r="80" spans="14:46">
      <c r="P80" s="3"/>
      <c r="R80" s="3"/>
      <c r="S80" s="3"/>
      <c r="T80" s="3"/>
    </row>
    <row r="81" spans="14:20">
      <c r="N81" s="64"/>
      <c r="P81" s="3"/>
      <c r="Q81" s="3"/>
      <c r="R81" s="3"/>
      <c r="S81" s="3"/>
      <c r="T81" s="3"/>
    </row>
    <row r="82" spans="14:20">
      <c r="N82" s="64"/>
      <c r="P82" s="3"/>
      <c r="Q82" s="3"/>
      <c r="R82" s="3"/>
      <c r="S82" s="3"/>
      <c r="T82" s="3"/>
    </row>
    <row r="83" spans="14:20">
      <c r="N83" s="64"/>
      <c r="P83" s="3"/>
      <c r="Q83" s="3"/>
      <c r="R83" s="3"/>
      <c r="S83" s="3"/>
      <c r="T83" s="3"/>
    </row>
    <row r="84" spans="14:20">
      <c r="N84" s="64"/>
      <c r="P84" s="3"/>
      <c r="Q84" s="3"/>
    </row>
    <row r="85" spans="14:20">
      <c r="N85" s="64"/>
      <c r="P85" s="3"/>
      <c r="Q85" s="3"/>
    </row>
  </sheetData>
  <printOptions horizontalCentered="1"/>
  <pageMargins left="0.7" right="0.7" top="0.75" bottom="0.75" header="0.3" footer="0.3"/>
  <pageSetup scale="42" orientation="landscape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7"/>
  <dimension ref="A1:BM114"/>
  <sheetViews>
    <sheetView zoomScale="70" zoomScaleNormal="70" workbookViewId="0"/>
  </sheetViews>
  <sheetFormatPr baseColWidth="10" defaultColWidth="8.7109375" defaultRowHeight="15"/>
  <cols>
    <col min="1" max="1" width="12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1" style="1" bestFit="1" customWidth="1"/>
    <col min="12" max="13" width="11" style="1" customWidth="1"/>
    <col min="14" max="14" width="1.5703125" style="1" customWidth="1"/>
    <col min="15" max="15" width="12.7109375" style="1" customWidth="1"/>
    <col min="16" max="16" width="1.7109375" style="1" customWidth="1"/>
    <col min="17" max="17" width="12.7109375" style="1" customWidth="1"/>
    <col min="18" max="18" width="1.7109375" style="1" customWidth="1"/>
    <col min="19" max="19" width="12.7109375" style="1" customWidth="1"/>
    <col min="20" max="20" width="1.7109375" style="1" customWidth="1"/>
    <col min="21" max="21" width="12.7109375" style="1" customWidth="1"/>
    <col min="22" max="22" width="1.7109375" style="1" customWidth="1"/>
    <col min="23" max="23" width="12.7109375" style="1" customWidth="1"/>
    <col min="24" max="24" width="1.7109375" style="1" customWidth="1"/>
    <col min="25" max="25" width="12.7109375" style="1" customWidth="1"/>
    <col min="26" max="26" width="1.7109375" style="1" customWidth="1"/>
    <col min="27" max="27" width="12.7109375" style="1" customWidth="1"/>
    <col min="28" max="28" width="1.7109375" style="1" customWidth="1"/>
    <col min="29" max="29" width="12.7109375" style="1" customWidth="1"/>
    <col min="30" max="30" width="1.7109375" style="1" customWidth="1"/>
    <col min="31" max="31" width="12.7109375" style="1" customWidth="1"/>
    <col min="32" max="32" width="1.7109375" style="1" customWidth="1"/>
    <col min="33" max="33" width="12.7109375" style="1" customWidth="1"/>
    <col min="34" max="34" width="1.7109375" style="1" customWidth="1"/>
    <col min="35" max="35" width="9.28515625" style="1" bestFit="1" customWidth="1"/>
    <col min="36" max="36" width="8.7109375" style="1" bestFit="1" customWidth="1"/>
    <col min="37" max="37" width="1.7109375" style="1" customWidth="1"/>
    <col min="38" max="43" width="12.7109375" style="1" customWidth="1"/>
    <col min="44" max="44" width="13.7109375" style="1" bestFit="1" customWidth="1"/>
    <col min="45" max="45" width="12.7109375" style="1" customWidth="1"/>
    <col min="46" max="47" width="8.7109375" style="1"/>
    <col min="48" max="51" width="13.7109375" style="1" customWidth="1"/>
    <col min="52" max="67" width="12.7109375" style="1" customWidth="1"/>
    <col min="68" max="16384" width="8.7109375" style="1"/>
  </cols>
  <sheetData>
    <row r="1" spans="1:62">
      <c r="A1" s="132"/>
      <c r="B1" s="132"/>
      <c r="C1" s="132"/>
      <c r="D1" s="132"/>
      <c r="E1" s="132"/>
      <c r="F1" s="132"/>
      <c r="G1" s="132"/>
      <c r="H1" s="132"/>
      <c r="I1" s="132"/>
      <c r="J1" s="132"/>
      <c r="L1" s="576"/>
      <c r="M1" s="576" t="s">
        <v>107</v>
      </c>
      <c r="AG1" s="64" t="s">
        <v>107</v>
      </c>
      <c r="BH1" s="6"/>
      <c r="BJ1" s="6"/>
    </row>
    <row r="2" spans="1:62">
      <c r="A2" s="132"/>
      <c r="B2" s="132"/>
      <c r="C2" s="577"/>
      <c r="D2" s="132"/>
      <c r="E2" s="132"/>
      <c r="F2" s="132"/>
      <c r="G2" s="132"/>
      <c r="H2" s="132"/>
      <c r="I2" s="132"/>
      <c r="J2" s="132"/>
      <c r="L2" s="576"/>
      <c r="M2" s="576" t="s">
        <v>45</v>
      </c>
      <c r="AG2" s="64" t="s">
        <v>66</v>
      </c>
      <c r="BH2" s="6"/>
      <c r="BJ2" s="6"/>
    </row>
    <row r="3" spans="1:62">
      <c r="A3" s="132"/>
      <c r="B3" s="132"/>
      <c r="C3" s="132"/>
      <c r="D3" s="132"/>
      <c r="E3" s="132"/>
      <c r="F3" s="132"/>
      <c r="G3" s="132"/>
      <c r="H3" s="132"/>
      <c r="I3" s="132"/>
      <c r="J3" s="132"/>
      <c r="K3" s="132"/>
      <c r="L3" s="132"/>
      <c r="M3" s="132"/>
      <c r="BF3" s="6"/>
      <c r="BH3" s="6"/>
      <c r="BJ3" s="6"/>
    </row>
    <row r="4" spans="1:62" ht="16">
      <c r="A4" s="578" t="s">
        <v>1550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"/>
      <c r="O4" s="4" t="str">
        <f>A4</f>
        <v>INTEGRIS RISK RETENTION GROUP, INC.</v>
      </c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BF4" s="6"/>
      <c r="BH4" s="6"/>
      <c r="BJ4" s="6"/>
    </row>
    <row r="5" spans="1:62">
      <c r="A5" s="538"/>
      <c r="B5" s="538"/>
      <c r="C5" s="538"/>
      <c r="D5" s="538"/>
      <c r="E5" s="538"/>
      <c r="F5" s="538"/>
      <c r="G5" s="538"/>
      <c r="H5" s="538"/>
      <c r="I5" s="538"/>
      <c r="J5" s="538"/>
      <c r="K5" s="538"/>
      <c r="L5" s="538"/>
      <c r="M5" s="538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BD5" s="2"/>
      <c r="BF5" s="6"/>
      <c r="BH5" s="6"/>
      <c r="BJ5" s="6"/>
    </row>
    <row r="6" spans="1:62">
      <c r="A6" s="538" t="s">
        <v>584</v>
      </c>
      <c r="B6" s="538"/>
      <c r="C6" s="538"/>
      <c r="D6" s="538"/>
      <c r="E6" s="538"/>
      <c r="F6" s="538"/>
      <c r="G6" s="538"/>
      <c r="H6" s="538"/>
      <c r="I6" s="538"/>
      <c r="J6" s="538"/>
      <c r="K6" s="538"/>
      <c r="L6" s="589"/>
      <c r="M6" s="538"/>
      <c r="O6" s="5" t="s">
        <v>584</v>
      </c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BD6" s="6"/>
      <c r="BF6" s="6"/>
      <c r="BH6" s="6"/>
      <c r="BJ6" s="6"/>
    </row>
    <row r="7" spans="1:62">
      <c r="A7" s="538" t="s">
        <v>77</v>
      </c>
      <c r="B7" s="538"/>
      <c r="C7" s="538"/>
      <c r="D7" s="538"/>
      <c r="E7" s="538"/>
      <c r="F7" s="538"/>
      <c r="G7" s="538"/>
      <c r="H7" s="538"/>
      <c r="I7" s="538"/>
      <c r="J7" s="538"/>
      <c r="K7" s="538"/>
      <c r="L7" s="538"/>
      <c r="M7" s="538"/>
      <c r="O7" s="5" t="s">
        <v>77</v>
      </c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</row>
    <row r="8" spans="1:62">
      <c r="A8" s="538" t="s">
        <v>5</v>
      </c>
      <c r="B8" s="538"/>
      <c r="C8" s="538"/>
      <c r="D8" s="538"/>
      <c r="E8" s="538"/>
      <c r="F8" s="538"/>
      <c r="G8" s="538"/>
      <c r="H8" s="538"/>
      <c r="I8" s="538"/>
      <c r="J8" s="538"/>
      <c r="K8" s="538"/>
      <c r="L8" s="538"/>
      <c r="M8" s="538"/>
      <c r="O8" s="5" t="s">
        <v>395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L8" s="61"/>
      <c r="AM8" s="61"/>
      <c r="AN8" s="61"/>
      <c r="AO8" s="61"/>
      <c r="AP8" s="61"/>
      <c r="AQ8" s="61"/>
      <c r="AR8" s="61"/>
    </row>
    <row r="9" spans="1:62">
      <c r="A9" s="538"/>
      <c r="B9" s="538"/>
      <c r="C9" s="538"/>
      <c r="D9" s="538"/>
      <c r="E9" s="538"/>
      <c r="F9" s="538"/>
      <c r="G9" s="538"/>
      <c r="H9" s="538"/>
      <c r="I9" s="538"/>
      <c r="J9" s="538"/>
      <c r="K9" s="538"/>
      <c r="L9" s="99" t="s">
        <v>564</v>
      </c>
      <c r="M9" s="538"/>
      <c r="O9" s="5"/>
      <c r="P9" s="5"/>
      <c r="Q9" s="5"/>
      <c r="R9" s="5"/>
      <c r="S9" s="5"/>
      <c r="T9" s="5"/>
      <c r="U9" s="5"/>
      <c r="V9" s="5"/>
      <c r="W9" s="5"/>
      <c r="X9" s="5"/>
      <c r="Y9" s="6" t="s">
        <v>563</v>
      </c>
      <c r="Z9" s="5"/>
      <c r="AA9" s="5"/>
      <c r="AE9" s="5"/>
      <c r="AL9" s="61"/>
      <c r="AM9" s="61"/>
      <c r="AN9" s="61"/>
      <c r="AO9" s="61"/>
      <c r="AP9" s="61"/>
      <c r="AQ9" s="61"/>
      <c r="AR9" s="61"/>
      <c r="AS9" s="177"/>
      <c r="AV9" s="6"/>
      <c r="AW9" s="370"/>
      <c r="AY9" s="74"/>
      <c r="BA9" s="74"/>
      <c r="BD9" s="25"/>
    </row>
    <row r="10" spans="1:62">
      <c r="A10" s="132"/>
      <c r="B10" s="132"/>
      <c r="C10" s="132"/>
      <c r="D10" s="132"/>
      <c r="E10" s="580">
        <v>2021</v>
      </c>
      <c r="F10" s="573"/>
      <c r="G10" s="581">
        <v>2022</v>
      </c>
      <c r="H10" s="132"/>
      <c r="I10" s="99" t="s">
        <v>563</v>
      </c>
      <c r="J10" s="132"/>
      <c r="K10" s="99" t="s">
        <v>564</v>
      </c>
      <c r="L10" s="99" t="s">
        <v>1</v>
      </c>
      <c r="M10" s="132"/>
      <c r="S10" s="6">
        <v>2021</v>
      </c>
      <c r="U10" s="2">
        <v>2022</v>
      </c>
      <c r="W10" s="6" t="s">
        <v>563</v>
      </c>
      <c r="Y10" s="2" t="s">
        <v>321</v>
      </c>
      <c r="AA10" s="6" t="s">
        <v>561</v>
      </c>
      <c r="AC10" s="6" t="s">
        <v>562</v>
      </c>
      <c r="AE10" s="6"/>
      <c r="AG10" s="6"/>
      <c r="AJ10" s="97"/>
      <c r="AL10" s="61"/>
      <c r="AM10" s="61"/>
      <c r="AN10" s="25"/>
      <c r="AO10" s="25"/>
      <c r="AP10" s="25"/>
      <c r="AQ10" s="25"/>
      <c r="AR10" s="61"/>
      <c r="AS10" s="6"/>
      <c r="AU10" s="61"/>
      <c r="AV10" s="25"/>
      <c r="AW10" s="97"/>
      <c r="AX10" s="25"/>
      <c r="AY10" s="61"/>
      <c r="AZ10" s="61"/>
      <c r="BA10" s="25"/>
      <c r="BB10" s="25"/>
      <c r="BC10" s="25"/>
      <c r="BD10" s="25"/>
      <c r="BE10" s="61"/>
    </row>
    <row r="11" spans="1:62">
      <c r="A11" s="132"/>
      <c r="B11" s="132"/>
      <c r="C11" s="132"/>
      <c r="D11" s="132"/>
      <c r="E11" s="579" t="s">
        <v>1</v>
      </c>
      <c r="F11" s="132"/>
      <c r="G11" s="99" t="s">
        <v>563</v>
      </c>
      <c r="H11" s="132"/>
      <c r="I11" s="579" t="s">
        <v>321</v>
      </c>
      <c r="J11" s="579"/>
      <c r="K11" s="99" t="s">
        <v>1</v>
      </c>
      <c r="L11" s="99" t="s">
        <v>7</v>
      </c>
      <c r="M11" s="99" t="s">
        <v>1</v>
      </c>
      <c r="S11" s="2" t="s">
        <v>1</v>
      </c>
      <c r="U11" s="6" t="s">
        <v>563</v>
      </c>
      <c r="W11" s="2" t="s">
        <v>321</v>
      </c>
      <c r="X11" s="2"/>
      <c r="Y11" s="2" t="s">
        <v>586</v>
      </c>
      <c r="Z11" s="2"/>
      <c r="AA11" s="2" t="s">
        <v>565</v>
      </c>
      <c r="AC11" s="2" t="s">
        <v>565</v>
      </c>
      <c r="AE11" s="2" t="s">
        <v>1</v>
      </c>
      <c r="AG11" s="2" t="s">
        <v>586</v>
      </c>
      <c r="AJ11" s="97"/>
      <c r="AL11" s="61"/>
      <c r="AM11" s="61"/>
      <c r="AN11" s="44"/>
      <c r="AO11" s="44"/>
      <c r="AP11" s="44"/>
      <c r="AQ11" s="44"/>
      <c r="AR11" s="44"/>
      <c r="AS11" s="2"/>
      <c r="AU11" s="61"/>
      <c r="AV11" s="285"/>
      <c r="AW11" s="25"/>
      <c r="AX11" s="285"/>
      <c r="AY11" s="285"/>
      <c r="AZ11" s="61"/>
      <c r="BA11" s="285"/>
      <c r="BB11" s="285"/>
      <c r="BC11" s="25"/>
      <c r="BD11" s="25"/>
    </row>
    <row r="12" spans="1:62">
      <c r="A12" s="579" t="s">
        <v>6</v>
      </c>
      <c r="B12" s="132"/>
      <c r="C12" s="579" t="s">
        <v>177</v>
      </c>
      <c r="D12" s="132"/>
      <c r="E12" s="579" t="s">
        <v>67</v>
      </c>
      <c r="F12" s="132"/>
      <c r="G12" s="579" t="s">
        <v>7</v>
      </c>
      <c r="H12" s="579"/>
      <c r="I12" s="579" t="s">
        <v>7</v>
      </c>
      <c r="J12" s="579"/>
      <c r="K12" s="99" t="s">
        <v>7</v>
      </c>
      <c r="L12" s="6" t="s">
        <v>284</v>
      </c>
      <c r="M12" s="99" t="s">
        <v>7</v>
      </c>
      <c r="O12" s="2" t="s">
        <v>6</v>
      </c>
      <c r="Q12" s="2" t="s">
        <v>177</v>
      </c>
      <c r="S12" s="2" t="s">
        <v>67</v>
      </c>
      <c r="U12" s="2" t="s">
        <v>7</v>
      </c>
      <c r="V12" s="2"/>
      <c r="W12" s="2" t="s">
        <v>7</v>
      </c>
      <c r="X12" s="2"/>
      <c r="Y12" s="2" t="s">
        <v>284</v>
      </c>
      <c r="Z12" s="2"/>
      <c r="AA12" s="2" t="s">
        <v>7</v>
      </c>
      <c r="AC12" s="2" t="s">
        <v>7</v>
      </c>
      <c r="AE12" s="2" t="s">
        <v>7</v>
      </c>
      <c r="AG12" s="2" t="s">
        <v>284</v>
      </c>
      <c r="AI12" s="25"/>
      <c r="AJ12" s="25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</row>
    <row r="13" spans="1:62">
      <c r="A13" s="579" t="s">
        <v>4</v>
      </c>
      <c r="B13" s="132"/>
      <c r="C13" s="579" t="s">
        <v>16</v>
      </c>
      <c r="D13" s="132"/>
      <c r="E13" s="579" t="s">
        <v>55</v>
      </c>
      <c r="F13" s="132"/>
      <c r="G13" s="579" t="s">
        <v>492</v>
      </c>
      <c r="H13" s="579"/>
      <c r="I13" s="579" t="s">
        <v>55</v>
      </c>
      <c r="J13" s="579"/>
      <c r="K13" s="579" t="s">
        <v>55</v>
      </c>
      <c r="L13" s="6" t="s">
        <v>109</v>
      </c>
      <c r="M13" s="579" t="s">
        <v>55</v>
      </c>
      <c r="O13" s="2" t="s">
        <v>4</v>
      </c>
      <c r="Q13" s="2" t="s">
        <v>16</v>
      </c>
      <c r="S13" s="2" t="s">
        <v>55</v>
      </c>
      <c r="U13" s="2" t="s">
        <v>492</v>
      </c>
      <c r="V13" s="2"/>
      <c r="W13" s="2" t="s">
        <v>55</v>
      </c>
      <c r="X13" s="2"/>
      <c r="Y13" s="2" t="s">
        <v>109</v>
      </c>
      <c r="Z13" s="2"/>
      <c r="AA13" s="2" t="s">
        <v>55</v>
      </c>
      <c r="AC13" s="2" t="s">
        <v>55</v>
      </c>
      <c r="AE13" s="2" t="s">
        <v>55</v>
      </c>
      <c r="AG13" s="2" t="s">
        <v>109</v>
      </c>
      <c r="AI13" s="25"/>
      <c r="AJ13" s="25"/>
      <c r="AL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</row>
    <row r="14" spans="1:62">
      <c r="A14" s="10">
        <v>-1</v>
      </c>
      <c r="C14" s="10">
        <v>-2</v>
      </c>
      <c r="D14" s="132"/>
      <c r="E14" s="10">
        <f>C14-1</f>
        <v>-3</v>
      </c>
      <c r="F14" s="10">
        <v>-2</v>
      </c>
      <c r="G14" s="10">
        <f>E14-1</f>
        <v>-4</v>
      </c>
      <c r="H14" s="10">
        <v>-2</v>
      </c>
      <c r="I14" s="10">
        <f>G14-1</f>
        <v>-5</v>
      </c>
      <c r="J14" s="10">
        <v>-2</v>
      </c>
      <c r="K14" s="10">
        <f>I14-1</f>
        <v>-6</v>
      </c>
      <c r="L14" s="10">
        <f>K14-1</f>
        <v>-7</v>
      </c>
      <c r="M14" s="10">
        <f>L14-1</f>
        <v>-8</v>
      </c>
      <c r="O14" s="10">
        <v>-1</v>
      </c>
      <c r="Q14" s="10">
        <v>-2</v>
      </c>
      <c r="S14" s="10">
        <v>-3</v>
      </c>
      <c r="U14" s="10">
        <v>-4</v>
      </c>
      <c r="V14" s="11"/>
      <c r="W14" s="10">
        <v>-5</v>
      </c>
      <c r="X14" s="11"/>
      <c r="Y14" s="10">
        <v>-6</v>
      </c>
      <c r="AA14" s="10">
        <v>-7</v>
      </c>
      <c r="AC14" s="9">
        <v>-8</v>
      </c>
      <c r="AE14" s="10">
        <v>-9</v>
      </c>
      <c r="AF14" s="10"/>
      <c r="AG14" s="10">
        <v>-10</v>
      </c>
      <c r="AH14" s="10"/>
      <c r="AJ14" s="61"/>
      <c r="AK14" s="473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</row>
    <row r="15" spans="1:62">
      <c r="A15" s="132"/>
      <c r="B15" s="132"/>
      <c r="C15" s="132"/>
      <c r="D15" s="132"/>
      <c r="E15" s="132"/>
      <c r="F15" s="132"/>
      <c r="G15" s="132"/>
      <c r="H15" s="132"/>
      <c r="I15" s="132"/>
      <c r="J15" s="132"/>
      <c r="K15" s="132"/>
      <c r="L15" s="132"/>
      <c r="M15" s="132"/>
      <c r="AJ15" s="61"/>
      <c r="AL15" s="61"/>
      <c r="AM15" s="61"/>
      <c r="AN15" s="61"/>
      <c r="AO15" s="61"/>
      <c r="AP15" s="61"/>
      <c r="AQ15" s="61"/>
      <c r="AR15" s="61"/>
      <c r="AS15" s="61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</row>
    <row r="16" spans="1:62">
      <c r="A16" s="577" t="s">
        <v>587</v>
      </c>
      <c r="B16" s="132"/>
      <c r="C16" s="132"/>
      <c r="D16" s="132"/>
      <c r="E16" s="132"/>
      <c r="F16" s="132"/>
      <c r="G16" s="228"/>
      <c r="H16" s="132"/>
      <c r="I16" s="132"/>
      <c r="J16" s="132"/>
      <c r="K16" s="132"/>
      <c r="L16" s="132"/>
      <c r="M16" s="132"/>
      <c r="O16" s="3" t="s">
        <v>588</v>
      </c>
      <c r="AJ16" s="61"/>
      <c r="AL16" s="61"/>
      <c r="AM16" s="61"/>
      <c r="AN16" s="61"/>
      <c r="AO16" s="61"/>
      <c r="AP16" s="61"/>
      <c r="AQ16" s="61"/>
      <c r="AR16" s="61"/>
      <c r="AS16" s="61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</row>
    <row r="17" spans="1:65">
      <c r="A17" s="6">
        <v>2013</v>
      </c>
      <c r="C17" s="497">
        <f>'Exhibit B,2'!Z17</f>
        <v>1079445.3898708611</v>
      </c>
      <c r="D17" s="147"/>
      <c r="E17" s="497">
        <f>'Exhibit B,2'!AF17</f>
        <v>8866.2892850427543</v>
      </c>
      <c r="F17" s="147"/>
      <c r="G17" s="497">
        <v>-5.0292850427540543</v>
      </c>
      <c r="H17" s="147"/>
      <c r="I17" s="497">
        <f>E17+G17</f>
        <v>8861.26</v>
      </c>
      <c r="J17" s="147"/>
      <c r="K17" s="496">
        <f>I17</f>
        <v>8861.26</v>
      </c>
      <c r="L17" s="128">
        <f>K17/C17</f>
        <v>8.2090859650251619E-3</v>
      </c>
      <c r="M17" s="496">
        <f>'Exhibit D, 1'!BK41</f>
        <v>8861.26</v>
      </c>
      <c r="O17" s="6">
        <f>A17</f>
        <v>2013</v>
      </c>
      <c r="Q17" s="497">
        <f>'Exhibit B,3'!AP17</f>
        <v>38585.950000000004</v>
      </c>
      <c r="R17" s="497"/>
      <c r="S17" s="497">
        <v>0</v>
      </c>
      <c r="T17" s="147"/>
      <c r="U17" s="147">
        <v>0</v>
      </c>
      <c r="V17" s="147"/>
      <c r="W17" s="497">
        <f>S17+U17</f>
        <v>0</v>
      </c>
      <c r="X17" s="74"/>
      <c r="Y17" s="74">
        <f>IF(Q17=0,0,W17/Q17)</f>
        <v>0</v>
      </c>
      <c r="Z17" s="74"/>
      <c r="AA17" s="575">
        <f>'Exhibit B,3'!M17+'Exhibit B,3'!U17</f>
        <v>0</v>
      </c>
      <c r="AB17" s="147"/>
      <c r="AC17" s="147">
        <f>'Exhibit D, 1'!AV17</f>
        <v>0</v>
      </c>
      <c r="AD17" s="147"/>
      <c r="AE17" s="505">
        <f>AA17+AC17</f>
        <v>0</v>
      </c>
      <c r="AG17" s="55">
        <f>AE17/Q17</f>
        <v>0</v>
      </c>
      <c r="AJ17" s="153"/>
      <c r="AL17" s="61"/>
      <c r="AM17" s="61"/>
      <c r="AN17" s="61"/>
      <c r="AO17" s="61"/>
      <c r="AP17" s="61"/>
      <c r="AQ17" s="61"/>
      <c r="AR17" s="61"/>
      <c r="AS17" s="61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</row>
    <row r="18" spans="1:65">
      <c r="A18" s="6">
        <f>A17+1</f>
        <v>2014</v>
      </c>
      <c r="C18" s="494">
        <f>'Exhibit B,2'!Z18</f>
        <v>1242835.5200000005</v>
      </c>
      <c r="D18" s="187"/>
      <c r="E18" s="20">
        <f>'Exhibit B,2'!AF18</f>
        <v>4020463.1526151467</v>
      </c>
      <c r="F18" s="187"/>
      <c r="G18" s="20">
        <v>-17702.584175491422</v>
      </c>
      <c r="H18" s="187"/>
      <c r="I18" s="494">
        <f t="shared" ref="I18:I23" si="0">E18+G18</f>
        <v>4002760.5684396555</v>
      </c>
      <c r="J18" s="187"/>
      <c r="K18" s="499">
        <f>I18</f>
        <v>4002760.5684396555</v>
      </c>
      <c r="L18" s="128">
        <f t="shared" ref="L18:L25" si="1">K18/C18</f>
        <v>3.2206679838371968</v>
      </c>
      <c r="M18" s="130">
        <f>'Exhibit D, 1'!BK42</f>
        <v>4002760.5684396555</v>
      </c>
      <c r="O18" s="6">
        <f>O17+1</f>
        <v>2014</v>
      </c>
      <c r="Q18" s="494">
        <f>'Exhibit B,3'!AP18</f>
        <v>46751.11</v>
      </c>
      <c r="R18" s="187"/>
      <c r="S18" s="20">
        <v>182148.68272903192</v>
      </c>
      <c r="T18" s="187"/>
      <c r="U18" s="17">
        <v>921346.92356965365</v>
      </c>
      <c r="V18" s="187"/>
      <c r="W18" s="494">
        <f>S18+U18</f>
        <v>1103495.6062986855</v>
      </c>
      <c r="X18" s="74"/>
      <c r="Y18" s="74">
        <f t="shared" ref="Y18:Y28" si="2">IF(Q18=0,0,W18/Q18)</f>
        <v>23.603623663666713</v>
      </c>
      <c r="Z18" s="74"/>
      <c r="AA18" s="20">
        <f>'Exhibit B,3'!M18+'Exhibit B,3'!U18</f>
        <v>0</v>
      </c>
      <c r="AB18" s="187"/>
      <c r="AC18" s="501">
        <f>'Exhibit D, 1'!AV18</f>
        <v>1121132.3176245776</v>
      </c>
      <c r="AD18" s="187"/>
      <c r="AE18" s="501">
        <f t="shared" ref="AE18:AE26" si="3">AA18+AC18</f>
        <v>1121132.3176245776</v>
      </c>
      <c r="AG18" s="55">
        <f t="shared" ref="AG18:AG28" si="4">AE18/Q18</f>
        <v>23.980870563812871</v>
      </c>
      <c r="AJ18" s="153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</row>
    <row r="19" spans="1:65">
      <c r="A19" s="6">
        <f t="shared" ref="A19:A26" si="5">A18+1</f>
        <v>2015</v>
      </c>
      <c r="C19" s="494">
        <f>'Exhibit B,2'!Z19</f>
        <v>1936056.34</v>
      </c>
      <c r="D19" s="187"/>
      <c r="E19" s="20">
        <f>'Exhibit B,2'!AF19</f>
        <v>2632211.8077422585</v>
      </c>
      <c r="F19" s="187"/>
      <c r="G19" s="20">
        <v>-34951.483701407786</v>
      </c>
      <c r="H19" s="187"/>
      <c r="I19" s="494">
        <f t="shared" si="0"/>
        <v>2597260.3240408506</v>
      </c>
      <c r="J19" s="187"/>
      <c r="K19" s="499">
        <f>I19</f>
        <v>2597260.3240408506</v>
      </c>
      <c r="L19" s="128">
        <f t="shared" si="1"/>
        <v>1.3415210448063979</v>
      </c>
      <c r="M19" s="130">
        <f>'Exhibit D, 1'!BK43</f>
        <v>2597260.3240408506</v>
      </c>
      <c r="O19" s="6">
        <f t="shared" ref="O19:O24" si="6">O18+1</f>
        <v>2015</v>
      </c>
      <c r="Q19" s="494">
        <f>'Exhibit B,3'!AP19</f>
        <v>233663.86</v>
      </c>
      <c r="R19" s="187"/>
      <c r="S19" s="20">
        <v>356282.32190050301</v>
      </c>
      <c r="T19" s="187"/>
      <c r="U19" s="17">
        <v>-7581.0639336623753</v>
      </c>
      <c r="V19" s="187"/>
      <c r="W19" s="494">
        <f t="shared" ref="W19:W25" si="7">S19+U19</f>
        <v>348701.25796684064</v>
      </c>
      <c r="X19" s="74"/>
      <c r="Y19" s="74">
        <f t="shared" si="2"/>
        <v>1.4923200274395907</v>
      </c>
      <c r="Z19" s="74"/>
      <c r="AA19" s="20">
        <f>'Exhibit B,3'!M19+'Exhibit B,3'!U19</f>
        <v>0</v>
      </c>
      <c r="AB19" s="187"/>
      <c r="AC19" s="501">
        <f>'Exhibit D, 1'!AV19</f>
        <v>348242.16293173609</v>
      </c>
      <c r="AD19" s="187"/>
      <c r="AE19" s="501">
        <f t="shared" si="3"/>
        <v>348242.16293173609</v>
      </c>
      <c r="AG19" s="55">
        <f t="shared" si="4"/>
        <v>1.4903552604657653</v>
      </c>
      <c r="AJ19" s="153"/>
      <c r="AL19" s="61"/>
      <c r="AM19" s="61"/>
      <c r="AN19" s="61"/>
      <c r="AO19" s="61"/>
      <c r="AP19" s="61"/>
      <c r="AQ19" s="61"/>
      <c r="AR19" s="61"/>
      <c r="AS19" s="61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</row>
    <row r="20" spans="1:65">
      <c r="A20" s="6">
        <f t="shared" si="5"/>
        <v>2016</v>
      </c>
      <c r="C20" s="494">
        <f>'Exhibit B,2'!Z20</f>
        <v>1052800.8200000003</v>
      </c>
      <c r="D20" s="187"/>
      <c r="E20" s="20">
        <f>'Exhibit B,2'!AF20</f>
        <v>3015431.2386069647</v>
      </c>
      <c r="F20" s="187"/>
      <c r="G20" s="20">
        <v>-77313.084013075175</v>
      </c>
      <c r="H20" s="187"/>
      <c r="I20" s="494">
        <f>E20+G20</f>
        <v>2938118.1545938896</v>
      </c>
      <c r="J20" s="187"/>
      <c r="K20" s="499">
        <f>I20</f>
        <v>2938118.1545938896</v>
      </c>
      <c r="L20" s="128">
        <f t="shared" si="1"/>
        <v>2.7907635506912776</v>
      </c>
      <c r="M20" s="130">
        <f>'Exhibit D, 1'!BK44</f>
        <v>2938118.1545938896</v>
      </c>
      <c r="O20" s="6">
        <f t="shared" si="6"/>
        <v>2016</v>
      </c>
      <c r="Q20" s="494">
        <f>'Exhibit B,3'!AP20</f>
        <v>1519405.8900000046</v>
      </c>
      <c r="R20" s="187"/>
      <c r="S20" s="20">
        <v>12960417.284026548</v>
      </c>
      <c r="T20" s="187"/>
      <c r="U20" s="17">
        <v>-18276.444837635267</v>
      </c>
      <c r="V20" s="187"/>
      <c r="W20" s="494">
        <f t="shared" si="7"/>
        <v>12942140.839188913</v>
      </c>
      <c r="X20" s="74"/>
      <c r="Y20" s="74">
        <f t="shared" si="2"/>
        <v>8.5178956619609227</v>
      </c>
      <c r="Z20" s="74"/>
      <c r="AA20" s="20">
        <f>'Exhibit B,3'!M20+'Exhibit B,3'!U20</f>
        <v>11104770.789999999</v>
      </c>
      <c r="AB20" s="187"/>
      <c r="AC20" s="501">
        <f>'Exhibit D, 1'!AV20</f>
        <v>1427844.3328704594</v>
      </c>
      <c r="AD20" s="187"/>
      <c r="AE20" s="501">
        <f t="shared" si="3"/>
        <v>12532615.122870458</v>
      </c>
      <c r="AG20" s="55">
        <f t="shared" si="4"/>
        <v>8.2483654995377318</v>
      </c>
      <c r="AJ20" s="153"/>
      <c r="AL20" s="61"/>
      <c r="AM20" s="61"/>
      <c r="AN20" s="61"/>
      <c r="AO20" s="61"/>
      <c r="AP20" s="61"/>
      <c r="AQ20" s="61"/>
      <c r="AR20" s="61"/>
      <c r="AS20" s="61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</row>
    <row r="21" spans="1:65">
      <c r="A21" s="6">
        <f t="shared" si="5"/>
        <v>2017</v>
      </c>
      <c r="C21" s="494">
        <f>'Exhibit B,2'!Z21</f>
        <v>1472534.7200000007</v>
      </c>
      <c r="D21" s="187"/>
      <c r="E21" s="20">
        <f>'Exhibit B,2'!AF21</f>
        <v>2403451.655210434</v>
      </c>
      <c r="F21" s="187"/>
      <c r="G21" s="20">
        <v>-354454.24674139416</v>
      </c>
      <c r="H21" s="187"/>
      <c r="I21" s="494">
        <f t="shared" si="0"/>
        <v>2048997.4084690399</v>
      </c>
      <c r="J21" s="187"/>
      <c r="K21" s="499">
        <f t="shared" ref="K21:K25" si="8">I21</f>
        <v>2048997.4084690399</v>
      </c>
      <c r="L21" s="128">
        <f t="shared" si="1"/>
        <v>1.3914764661501762</v>
      </c>
      <c r="M21" s="130">
        <f>'Exhibit D, 1'!BK45</f>
        <v>2048997.4084690402</v>
      </c>
      <c r="O21" s="6">
        <f t="shared" si="6"/>
        <v>2017</v>
      </c>
      <c r="Q21" s="494">
        <f>'Exhibit B,3'!AP21</f>
        <v>4287862.9699999793</v>
      </c>
      <c r="R21" s="187"/>
      <c r="S21" s="20">
        <v>9035731.2583028004</v>
      </c>
      <c r="T21" s="187"/>
      <c r="U21" s="17">
        <v>461067.14926988236</v>
      </c>
      <c r="V21" s="187"/>
      <c r="W21" s="494">
        <f t="shared" si="7"/>
        <v>9496798.4075726829</v>
      </c>
      <c r="X21" s="74"/>
      <c r="Y21" s="74">
        <f t="shared" si="2"/>
        <v>2.2148092124251648</v>
      </c>
      <c r="Z21" s="74"/>
      <c r="AA21" s="20">
        <f>'Exhibit B,3'!M21+'Exhibit B,3'!U21</f>
        <v>6733089.5800000001</v>
      </c>
      <c r="AB21" s="187"/>
      <c r="AC21" s="501">
        <f>'Exhibit D, 1'!AV21</f>
        <v>1512736.4350139704</v>
      </c>
      <c r="AD21" s="187"/>
      <c r="AE21" s="501">
        <f t="shared" si="3"/>
        <v>8245826.0150139704</v>
      </c>
      <c r="AG21" s="55">
        <f t="shared" si="4"/>
        <v>1.9230619244844969</v>
      </c>
      <c r="AJ21" s="153"/>
      <c r="AL21" s="61"/>
      <c r="AM21" s="61"/>
      <c r="AN21" s="61"/>
      <c r="AO21" s="61"/>
      <c r="AP21" s="61"/>
      <c r="AQ21" s="61"/>
      <c r="AR21" s="61"/>
      <c r="AS21" s="61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</row>
    <row r="22" spans="1:65">
      <c r="A22" s="6">
        <f t="shared" si="5"/>
        <v>2018</v>
      </c>
      <c r="C22" s="494">
        <f>'Exhibit B,2'!Z22</f>
        <v>1530113.3899999987</v>
      </c>
      <c r="D22" s="187"/>
      <c r="E22" s="20">
        <f>'Exhibit B,2'!AF22</f>
        <v>961621.02801306639</v>
      </c>
      <c r="F22" s="187"/>
      <c r="G22" s="20">
        <v>-460306.71644300636</v>
      </c>
      <c r="H22" s="187"/>
      <c r="I22" s="494">
        <f t="shared" si="0"/>
        <v>501314.31157006003</v>
      </c>
      <c r="J22" s="187"/>
      <c r="K22" s="499">
        <f t="shared" si="8"/>
        <v>501314.31157006003</v>
      </c>
      <c r="L22" s="128">
        <f t="shared" si="1"/>
        <v>0.32763213160957988</v>
      </c>
      <c r="M22" s="130">
        <f>'Exhibit D, 1'!BK46</f>
        <v>501314.31157006003</v>
      </c>
      <c r="O22" s="6">
        <f t="shared" si="6"/>
        <v>2018</v>
      </c>
      <c r="Q22" s="494">
        <f>'Exhibit B,3'!AP22</f>
        <v>3938984.8300000061</v>
      </c>
      <c r="R22" s="187"/>
      <c r="S22" s="20">
        <v>13183565.019573843</v>
      </c>
      <c r="T22" s="187"/>
      <c r="U22" s="17">
        <v>2153019.6802920718</v>
      </c>
      <c r="V22" s="187"/>
      <c r="W22" s="494">
        <f t="shared" si="7"/>
        <v>15336584.699865915</v>
      </c>
      <c r="X22" s="74"/>
      <c r="Y22" s="74">
        <f t="shared" si="2"/>
        <v>3.8935373863488301</v>
      </c>
      <c r="Z22" s="74"/>
      <c r="AA22" s="20">
        <f>'Exhibit B,3'!M22+'Exhibit B,3'!U22</f>
        <v>11054425.375412874</v>
      </c>
      <c r="AB22" s="187"/>
      <c r="AC22" s="501">
        <f>'Exhibit D, 1'!AV22</f>
        <v>6893090.8200000003</v>
      </c>
      <c r="AD22" s="187"/>
      <c r="AE22" s="501">
        <f t="shared" si="3"/>
        <v>17947516.195412874</v>
      </c>
      <c r="AG22" s="55">
        <f t="shared" si="4"/>
        <v>4.5563811413340343</v>
      </c>
      <c r="AI22" s="69"/>
      <c r="AJ22" s="153"/>
      <c r="AL22" s="61"/>
      <c r="AM22" s="61"/>
      <c r="AN22" s="61"/>
      <c r="AO22" s="61"/>
      <c r="AP22" s="61"/>
      <c r="AQ22" s="61"/>
      <c r="AR22" s="61"/>
      <c r="AS22" s="61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</row>
    <row r="23" spans="1:65">
      <c r="A23" s="6">
        <f t="shared" si="5"/>
        <v>2019</v>
      </c>
      <c r="C23" s="494">
        <f>'Exhibit B,2'!Z23</f>
        <v>1614309.1900000004</v>
      </c>
      <c r="D23" s="187"/>
      <c r="E23" s="20">
        <f>'Exhibit B,2'!AF23</f>
        <v>4920387.3289706726</v>
      </c>
      <c r="F23" s="187"/>
      <c r="G23" s="20">
        <v>-759056.86081109813</v>
      </c>
      <c r="H23" s="187"/>
      <c r="I23" s="494">
        <f t="shared" si="0"/>
        <v>4161330.4681595745</v>
      </c>
      <c r="J23" s="187"/>
      <c r="K23" s="499">
        <f t="shared" si="8"/>
        <v>4161330.4681595745</v>
      </c>
      <c r="L23" s="128">
        <f t="shared" si="1"/>
        <v>2.5777778469808337</v>
      </c>
      <c r="M23" s="130">
        <f>'Exhibit D, 1'!BK47</f>
        <v>4161330.4681595745</v>
      </c>
      <c r="O23" s="6">
        <f t="shared" si="6"/>
        <v>2019</v>
      </c>
      <c r="Q23" s="494">
        <f>'Exhibit B,3'!AP23</f>
        <v>3941354.6599999946</v>
      </c>
      <c r="R23" s="187"/>
      <c r="S23" s="20">
        <v>16690675.721208621</v>
      </c>
      <c r="T23" s="187"/>
      <c r="U23" s="17">
        <v>-1419014.115424538</v>
      </c>
      <c r="V23" s="187"/>
      <c r="W23" s="494">
        <f t="shared" si="7"/>
        <v>15271661.605784083</v>
      </c>
      <c r="X23" s="74"/>
      <c r="Y23" s="74">
        <f t="shared" si="2"/>
        <v>3.8747240284598248</v>
      </c>
      <c r="Z23" s="74"/>
      <c r="AA23" s="20">
        <f>'Exhibit B,3'!M23+'Exhibit B,3'!U23</f>
        <v>11053537.050000001</v>
      </c>
      <c r="AB23" s="187"/>
      <c r="AC23" s="501">
        <f>'Exhibit D, 1'!AV23</f>
        <v>4106591.9098892291</v>
      </c>
      <c r="AD23" s="187"/>
      <c r="AE23" s="501">
        <f t="shared" si="3"/>
        <v>15160128.959889229</v>
      </c>
      <c r="AG23" s="55">
        <f t="shared" si="4"/>
        <v>3.8464259798150846</v>
      </c>
      <c r="AJ23" s="153"/>
      <c r="AL23" s="61"/>
      <c r="AM23" s="61"/>
      <c r="AN23" s="61"/>
      <c r="AO23" s="61"/>
      <c r="AP23" s="61"/>
      <c r="AQ23" s="61"/>
      <c r="AR23" s="61"/>
      <c r="AS23" s="61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</row>
    <row r="24" spans="1:65">
      <c r="A24" s="6">
        <f t="shared" si="5"/>
        <v>2020</v>
      </c>
      <c r="C24" s="494">
        <f>'Exhibit B,2'!Z24</f>
        <v>1527213.8199999996</v>
      </c>
      <c r="D24" s="187"/>
      <c r="E24" s="20">
        <f>'Exhibit B,2'!AF24</f>
        <v>1550558.5877638003</v>
      </c>
      <c r="F24" s="187"/>
      <c r="G24" s="20">
        <v>434235.51150682336</v>
      </c>
      <c r="H24" s="187"/>
      <c r="I24" s="494">
        <f>E24+G24</f>
        <v>1984794.0992706236</v>
      </c>
      <c r="J24" s="187"/>
      <c r="K24" s="499">
        <f t="shared" si="8"/>
        <v>1984794.0992706236</v>
      </c>
      <c r="L24" s="128">
        <f t="shared" si="1"/>
        <v>1.2996176915624194</v>
      </c>
      <c r="M24" s="130">
        <f>'Exhibit D, 1'!BK48</f>
        <v>1983876.3061453947</v>
      </c>
      <c r="O24" s="6">
        <f t="shared" si="6"/>
        <v>2020</v>
      </c>
      <c r="Q24" s="494">
        <f>'Exhibit B,3'!AP24</f>
        <v>1465858.29</v>
      </c>
      <c r="R24" s="187"/>
      <c r="S24" s="20">
        <v>2260501.0443770569</v>
      </c>
      <c r="T24" s="187"/>
      <c r="U24" s="17">
        <v>-213735.12930893345</v>
      </c>
      <c r="V24" s="187"/>
      <c r="W24" s="494">
        <f t="shared" si="7"/>
        <v>2046765.9150681235</v>
      </c>
      <c r="X24" s="74"/>
      <c r="Y24" s="74">
        <f t="shared" si="2"/>
        <v>1.3962918032602751</v>
      </c>
      <c r="Z24" s="74"/>
      <c r="AA24" s="20">
        <f>'Exhibit B,3'!M24+'Exhibit B,3'!U24</f>
        <v>0</v>
      </c>
      <c r="AB24" s="187"/>
      <c r="AC24" s="501">
        <f>'Exhibit D, 1'!AV24</f>
        <v>3252608.1310567926</v>
      </c>
      <c r="AD24" s="187"/>
      <c r="AE24" s="501">
        <f t="shared" si="3"/>
        <v>3252608.1310567926</v>
      </c>
      <c r="AG24" s="55">
        <f t="shared" si="4"/>
        <v>2.2189103498243288</v>
      </c>
      <c r="AJ24" s="153"/>
      <c r="AL24" s="61"/>
      <c r="AM24" s="61"/>
      <c r="AN24" s="61"/>
      <c r="AO24" s="61"/>
      <c r="AP24" s="61"/>
      <c r="AQ24" s="61"/>
      <c r="AR24" s="61"/>
      <c r="AS24" s="61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</row>
    <row r="25" spans="1:65">
      <c r="A25" s="6">
        <f t="shared" si="5"/>
        <v>2021</v>
      </c>
      <c r="C25" s="494">
        <f>'Exhibit B,2'!Z25</f>
        <v>1819557.4099999997</v>
      </c>
      <c r="D25" s="187"/>
      <c r="E25" s="20">
        <f>'Exhibit B,2'!AF25</f>
        <v>2505391.4652727419</v>
      </c>
      <c r="F25" s="187"/>
      <c r="G25" s="20">
        <v>2629698.0937554063</v>
      </c>
      <c r="H25" s="187"/>
      <c r="I25" s="494">
        <f>E25+G25</f>
        <v>5135089.5590281487</v>
      </c>
      <c r="J25" s="187"/>
      <c r="K25" s="499">
        <f t="shared" si="8"/>
        <v>5135089.5590281487</v>
      </c>
      <c r="L25" s="128">
        <f t="shared" si="1"/>
        <v>2.8221640772676415</v>
      </c>
      <c r="M25" s="130">
        <f>'Exhibit D, 1'!BK49</f>
        <v>4457723.3520909734</v>
      </c>
      <c r="O25" s="6">
        <f>O24+1</f>
        <v>2021</v>
      </c>
      <c r="Q25" s="494">
        <f>'Exhibit B,3'!AP25</f>
        <v>1789742.2800000007</v>
      </c>
      <c r="R25" s="187"/>
      <c r="S25" s="20">
        <v>2300940.6533118859</v>
      </c>
      <c r="T25" s="187"/>
      <c r="U25" s="17">
        <v>-18358.933465346432</v>
      </c>
      <c r="V25" s="187"/>
      <c r="W25" s="494">
        <f t="shared" si="7"/>
        <v>2282581.7198465397</v>
      </c>
      <c r="X25" s="74"/>
      <c r="Y25" s="74"/>
      <c r="Z25" s="74"/>
      <c r="AA25" s="20">
        <f>'Exhibit B,3'!M25+'Exhibit B,3'!U25</f>
        <v>0</v>
      </c>
      <c r="AB25" s="187"/>
      <c r="AC25" s="501">
        <f>'Exhibit D, 1'!AV25</f>
        <v>4375562.7607689556</v>
      </c>
      <c r="AD25" s="187"/>
      <c r="AE25" s="501">
        <f t="shared" si="3"/>
        <v>4375562.7607689556</v>
      </c>
      <c r="AG25" s="55">
        <f t="shared" si="4"/>
        <v>2.4448004663380662</v>
      </c>
      <c r="AJ25" s="153"/>
      <c r="AL25" s="61"/>
      <c r="AM25" s="61"/>
      <c r="AN25" s="61"/>
      <c r="AO25" s="61"/>
      <c r="AP25" s="61"/>
      <c r="AQ25" s="61"/>
      <c r="AR25" s="61"/>
      <c r="AS25" s="61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</row>
    <row r="26" spans="1:65">
      <c r="A26" s="6">
        <f t="shared" si="5"/>
        <v>2022</v>
      </c>
      <c r="C26" s="494">
        <f>'Exhibit B,2'!Z26</f>
        <v>3582965.3400000003</v>
      </c>
      <c r="D26" s="494"/>
      <c r="E26" s="494"/>
      <c r="F26" s="187"/>
      <c r="G26" s="494"/>
      <c r="H26" s="187"/>
      <c r="I26" s="494"/>
      <c r="J26" s="187"/>
      <c r="K26" s="499"/>
      <c r="L26" s="128"/>
      <c r="M26" s="130">
        <f>'Exhibit D, 1'!BK50</f>
        <v>3676214.6681850632</v>
      </c>
      <c r="O26" s="6">
        <f>O25+1</f>
        <v>2022</v>
      </c>
      <c r="Q26" s="494">
        <f>'Exhibit B,3'!AP26</f>
        <v>2047913.3699999996</v>
      </c>
      <c r="R26" s="187"/>
      <c r="S26" s="494"/>
      <c r="T26" s="187"/>
      <c r="U26" s="187"/>
      <c r="V26" s="187"/>
      <c r="W26" s="494"/>
      <c r="X26" s="74"/>
      <c r="Y26" s="74"/>
      <c r="Z26" s="74"/>
      <c r="AA26" s="20">
        <f>'Exhibit B,3'!M26+'Exhibit B,3'!U26</f>
        <v>0</v>
      </c>
      <c r="AB26" s="187"/>
      <c r="AC26" s="501">
        <f>'Exhibit D, 1'!AV26</f>
        <v>3329708.8823695709</v>
      </c>
      <c r="AD26" s="187"/>
      <c r="AE26" s="501">
        <f t="shared" si="3"/>
        <v>3329708.8823695709</v>
      </c>
      <c r="AG26" s="55">
        <f t="shared" si="4"/>
        <v>1.6259031906069208</v>
      </c>
      <c r="AJ26" s="153"/>
      <c r="AL26" s="61"/>
      <c r="AM26" s="61"/>
      <c r="AN26" s="61"/>
      <c r="AO26" s="61"/>
      <c r="AP26" s="61"/>
      <c r="AQ26" s="61"/>
      <c r="AR26" s="61"/>
      <c r="AS26" s="61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</row>
    <row r="27" spans="1:65">
      <c r="A27" s="6"/>
      <c r="C27" s="63"/>
      <c r="E27" s="63"/>
      <c r="G27" s="63"/>
      <c r="I27" s="63"/>
      <c r="K27" s="63"/>
      <c r="L27" s="63"/>
      <c r="M27" s="63"/>
      <c r="O27" s="6"/>
      <c r="Q27" s="63"/>
      <c r="S27" s="63"/>
      <c r="U27" s="63"/>
      <c r="W27" s="63"/>
      <c r="Y27" s="63"/>
      <c r="AA27" s="63"/>
      <c r="AC27" s="63"/>
      <c r="AE27" s="63"/>
      <c r="AG27" s="63"/>
      <c r="AJ27" s="61"/>
      <c r="AL27" s="61"/>
      <c r="AM27" s="61"/>
      <c r="AN27" s="61"/>
      <c r="AO27" s="61"/>
      <c r="AP27" s="61"/>
      <c r="AQ27" s="61"/>
      <c r="AR27" s="61"/>
      <c r="AS27" s="61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</row>
    <row r="28" spans="1:65">
      <c r="A28" s="2" t="s">
        <v>0</v>
      </c>
      <c r="C28" s="497">
        <f>SUM(C17:C27)</f>
        <v>16857831.939870864</v>
      </c>
      <c r="D28" s="497"/>
      <c r="E28" s="497">
        <f>SUM(E17:E27)</f>
        <v>22018382.55348013</v>
      </c>
      <c r="F28" s="147"/>
      <c r="G28" s="497">
        <f>SUM(G17:G27)</f>
        <v>1360143.6000917139</v>
      </c>
      <c r="H28" s="147"/>
      <c r="I28" s="147">
        <f>SUM(I17:I27)</f>
        <v>23378526.15357184</v>
      </c>
      <c r="J28" s="147"/>
      <c r="K28" s="147">
        <f>SUM(K17:K27)</f>
        <v>23378526.15357184</v>
      </c>
      <c r="L28" s="128">
        <f t="shared" ref="L28" si="9">K28/C28</f>
        <v>1.3868050314512108</v>
      </c>
      <c r="M28" s="147">
        <f>SUM(M17:M27)</f>
        <v>26376456.821694501</v>
      </c>
      <c r="O28" s="2" t="s">
        <v>0</v>
      </c>
      <c r="Q28" s="497">
        <f>SUM(Q17:Q27)</f>
        <v>19310123.209999986</v>
      </c>
      <c r="R28" s="497"/>
      <c r="S28" s="497">
        <f>SUM(S17:S27)</f>
        <v>56970261.985430293</v>
      </c>
      <c r="T28" s="497"/>
      <c r="U28" s="497">
        <f>SUM(U17:U27)</f>
        <v>1858468.0661614921</v>
      </c>
      <c r="V28" s="497"/>
      <c r="W28" s="497">
        <f>SUM(W17:W27)</f>
        <v>58828730.051591776</v>
      </c>
      <c r="X28" s="26"/>
      <c r="Y28" s="74">
        <f t="shared" si="2"/>
        <v>3.0465227700425337</v>
      </c>
      <c r="Z28" s="26"/>
      <c r="AA28" s="497">
        <f>SUM(AA17:AA27)</f>
        <v>39945822.795412868</v>
      </c>
      <c r="AB28" s="147"/>
      <c r="AC28" s="497">
        <f>SUM(AC17:AC27)</f>
        <v>26367517.752525292</v>
      </c>
      <c r="AD28" s="147"/>
      <c r="AE28" s="497">
        <f>SUM(AE17:AE27)</f>
        <v>66313340.547938161</v>
      </c>
      <c r="AG28" s="55">
        <f t="shared" si="4"/>
        <v>3.4341231190900419</v>
      </c>
      <c r="AJ28" s="153"/>
      <c r="AL28" s="61"/>
      <c r="AM28" s="61"/>
      <c r="AN28" s="61"/>
      <c r="AO28" s="61"/>
      <c r="AP28" s="61"/>
      <c r="AQ28" s="61"/>
      <c r="AR28" s="61"/>
      <c r="AS28" s="61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</row>
    <row r="29" spans="1:65">
      <c r="A29" s="6"/>
      <c r="C29" s="21"/>
      <c r="E29" s="21"/>
      <c r="I29" s="21"/>
      <c r="L29" s="147"/>
      <c r="AL29" s="61"/>
      <c r="AM29" s="61"/>
      <c r="AN29" s="61"/>
      <c r="AO29" s="61"/>
      <c r="AP29" s="61"/>
      <c r="AQ29" s="61"/>
      <c r="AR29" s="61"/>
      <c r="AS29" s="61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</row>
    <row r="30" spans="1:65">
      <c r="A30" s="3" t="s">
        <v>295</v>
      </c>
      <c r="G30" s="22"/>
      <c r="I30" s="22"/>
      <c r="O30" s="3" t="s">
        <v>393</v>
      </c>
      <c r="Q30" s="3"/>
      <c r="AL30" s="61"/>
      <c r="AM30" s="61"/>
      <c r="AN30" s="61"/>
      <c r="AO30" s="61"/>
      <c r="AP30" s="61"/>
      <c r="AQ30" s="61"/>
      <c r="AR30" s="61"/>
      <c r="AS30" s="61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</row>
    <row r="31" spans="1:65">
      <c r="A31" s="6">
        <f>A17</f>
        <v>2013</v>
      </c>
      <c r="C31" s="497">
        <f>'Exhibit B,2'!Z31</f>
        <v>261275</v>
      </c>
      <c r="D31" s="147"/>
      <c r="E31" s="497">
        <v>0</v>
      </c>
      <c r="F31" s="147"/>
      <c r="G31" s="147"/>
      <c r="H31" s="147"/>
      <c r="I31" s="496">
        <f>E31+G31</f>
        <v>0</v>
      </c>
      <c r="J31" s="74"/>
      <c r="K31" s="496">
        <f>'Exhibit B,2'!O31</f>
        <v>0</v>
      </c>
      <c r="L31" s="496"/>
      <c r="M31" s="496">
        <f>K31</f>
        <v>0</v>
      </c>
      <c r="N31" s="26"/>
      <c r="O31" s="6">
        <f>A17</f>
        <v>2013</v>
      </c>
      <c r="Q31" s="66"/>
      <c r="R31" s="66"/>
      <c r="S31" s="66"/>
      <c r="U31" s="26"/>
      <c r="V31" s="26"/>
      <c r="W31" s="66"/>
      <c r="X31" s="74"/>
      <c r="Y31" s="74"/>
      <c r="Z31" s="74"/>
      <c r="AA31" s="74"/>
      <c r="AB31" s="74"/>
      <c r="AL31" s="61"/>
      <c r="AM31" s="61"/>
      <c r="AN31" s="61"/>
      <c r="AO31" s="61"/>
      <c r="AP31" s="61"/>
      <c r="AQ31" s="61"/>
      <c r="AR31" s="61"/>
      <c r="AS31" s="61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9"/>
      <c r="BL31" s="206"/>
      <c r="BM31" s="259"/>
    </row>
    <row r="32" spans="1:65">
      <c r="A32" s="6">
        <f>A31+1</f>
        <v>2014</v>
      </c>
      <c r="C32" s="494">
        <f>'Exhibit B,2'!Z32</f>
        <v>227776</v>
      </c>
      <c r="D32" s="187"/>
      <c r="E32" s="20">
        <v>420</v>
      </c>
      <c r="F32" s="187"/>
      <c r="G32" s="187"/>
      <c r="H32" s="187"/>
      <c r="I32" s="130">
        <f t="shared" ref="I32:I39" si="10">E32+G32</f>
        <v>420</v>
      </c>
      <c r="J32" s="17"/>
      <c r="K32" s="130">
        <f>'Exhibit B,2'!O32</f>
        <v>420</v>
      </c>
      <c r="L32" s="130"/>
      <c r="M32" s="130">
        <f t="shared" ref="M32:M40" si="11">K32</f>
        <v>420</v>
      </c>
      <c r="N32" s="18"/>
      <c r="O32" s="6">
        <f>O31+1</f>
        <v>2014</v>
      </c>
      <c r="Q32" s="20"/>
      <c r="R32" s="26"/>
      <c r="S32" s="20"/>
      <c r="U32" s="18"/>
      <c r="V32" s="18"/>
      <c r="W32" s="20"/>
      <c r="X32" s="74"/>
      <c r="Y32" s="74"/>
      <c r="Z32" s="74"/>
      <c r="AA32" s="74"/>
      <c r="AB32" s="74"/>
      <c r="AL32" s="61"/>
      <c r="AM32" s="61"/>
      <c r="AN32" s="61"/>
      <c r="AO32" s="61"/>
      <c r="AP32" s="61"/>
      <c r="AQ32" s="61"/>
      <c r="AR32" s="61"/>
      <c r="AS32" s="61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401"/>
      <c r="BI32" s="61"/>
      <c r="BJ32" s="61"/>
      <c r="BK32" s="69"/>
      <c r="BL32" s="206"/>
      <c r="BM32" s="259"/>
    </row>
    <row r="33" spans="1:65">
      <c r="A33" s="6">
        <f t="shared" ref="A33:A40" si="12">A32+1</f>
        <v>2015</v>
      </c>
      <c r="C33" s="494">
        <f>'Exhibit B,2'!Z33</f>
        <v>170820.55</v>
      </c>
      <c r="D33" s="187"/>
      <c r="E33" s="20">
        <v>104375</v>
      </c>
      <c r="F33" s="187"/>
      <c r="G33" s="187"/>
      <c r="H33" s="187"/>
      <c r="I33" s="130">
        <f t="shared" si="10"/>
        <v>104375</v>
      </c>
      <c r="J33" s="17"/>
      <c r="K33" s="130">
        <f>'Exhibit B,2'!O33</f>
        <v>104375</v>
      </c>
      <c r="L33" s="130"/>
      <c r="M33" s="130">
        <f t="shared" si="11"/>
        <v>104375</v>
      </c>
      <c r="N33" s="18"/>
      <c r="O33" s="6">
        <f t="shared" ref="O33:O40" si="13">O32+1</f>
        <v>2015</v>
      </c>
      <c r="Q33" s="20"/>
      <c r="S33" s="20"/>
      <c r="U33" s="18"/>
      <c r="V33" s="18"/>
      <c r="W33" s="20"/>
      <c r="X33" s="74"/>
      <c r="Y33" s="74"/>
      <c r="Z33" s="74"/>
      <c r="AA33" s="74"/>
      <c r="AB33" s="74"/>
      <c r="AL33" s="25"/>
      <c r="AM33" s="18"/>
      <c r="AN33" s="18"/>
      <c r="AO33" s="18"/>
      <c r="AP33" s="18"/>
      <c r="AQ33" s="18"/>
      <c r="AR33" s="18"/>
      <c r="AS33" s="20"/>
      <c r="BD33" s="25"/>
      <c r="BE33" s="25"/>
      <c r="BF33" s="25"/>
      <c r="BG33" s="25"/>
      <c r="BH33" s="61"/>
      <c r="BI33" s="61"/>
      <c r="BJ33" s="61"/>
      <c r="BK33" s="25"/>
      <c r="BL33" s="61"/>
      <c r="BM33" s="61"/>
    </row>
    <row r="34" spans="1:65">
      <c r="A34" s="6">
        <f t="shared" si="12"/>
        <v>2016</v>
      </c>
      <c r="C34" s="494">
        <f>'Exhibit B,2'!Z34</f>
        <v>173029</v>
      </c>
      <c r="D34" s="187"/>
      <c r="E34" s="20">
        <v>114230.56999999999</v>
      </c>
      <c r="F34" s="187"/>
      <c r="G34" s="187"/>
      <c r="H34" s="187"/>
      <c r="I34" s="130">
        <f t="shared" si="10"/>
        <v>114230.56999999999</v>
      </c>
      <c r="J34" s="17"/>
      <c r="K34" s="130">
        <f>'Exhibit B,2'!O34</f>
        <v>114230.56999999999</v>
      </c>
      <c r="L34" s="130"/>
      <c r="M34" s="130">
        <f t="shared" si="11"/>
        <v>114230.56999999999</v>
      </c>
      <c r="N34" s="18"/>
      <c r="O34" s="6">
        <f t="shared" si="13"/>
        <v>2016</v>
      </c>
      <c r="Q34" s="20"/>
      <c r="S34" s="20"/>
      <c r="U34" s="18"/>
      <c r="V34" s="18"/>
      <c r="W34" s="20"/>
      <c r="X34" s="74"/>
      <c r="Y34" s="74"/>
      <c r="Z34" s="74"/>
      <c r="AA34" s="74"/>
      <c r="AB34" s="74"/>
      <c r="AL34" s="25"/>
      <c r="AM34" s="18"/>
      <c r="AN34" s="18"/>
      <c r="AO34" s="18"/>
      <c r="AP34" s="18"/>
      <c r="AQ34" s="18"/>
      <c r="AR34" s="18"/>
      <c r="AS34" s="66"/>
      <c r="BD34" s="223"/>
      <c r="BE34" s="259"/>
      <c r="BF34" s="376"/>
      <c r="BG34" s="376"/>
      <c r="BH34" s="61"/>
      <c r="BI34" s="61"/>
      <c r="BJ34" s="137"/>
      <c r="BK34" s="223"/>
      <c r="BL34" s="206"/>
      <c r="BM34" s="61"/>
    </row>
    <row r="35" spans="1:65">
      <c r="A35" s="6">
        <f t="shared" si="12"/>
        <v>2017</v>
      </c>
      <c r="C35" s="494">
        <f>'Exhibit B,2'!Z35</f>
        <v>175683.42</v>
      </c>
      <c r="D35" s="187"/>
      <c r="E35" s="20">
        <v>72455.05</v>
      </c>
      <c r="F35" s="187"/>
      <c r="G35" s="187"/>
      <c r="H35" s="187"/>
      <c r="I35" s="130">
        <f t="shared" si="10"/>
        <v>72455.05</v>
      </c>
      <c r="J35" s="17"/>
      <c r="K35" s="130">
        <f>'Exhibit B,2'!O35</f>
        <v>72455.05</v>
      </c>
      <c r="L35" s="130"/>
      <c r="M35" s="130">
        <f t="shared" si="11"/>
        <v>72455.05</v>
      </c>
      <c r="N35" s="18"/>
      <c r="O35" s="6">
        <f t="shared" si="13"/>
        <v>2017</v>
      </c>
      <c r="Q35" s="20"/>
      <c r="S35" s="20"/>
      <c r="U35" s="18"/>
      <c r="V35" s="18"/>
      <c r="W35" s="20"/>
      <c r="X35" s="74"/>
      <c r="Y35" s="74"/>
      <c r="Z35" s="74"/>
      <c r="AA35" s="74"/>
      <c r="AB35" s="74"/>
      <c r="AL35" s="25"/>
      <c r="AM35" s="18"/>
      <c r="AN35" s="18"/>
      <c r="AO35" s="18"/>
      <c r="AP35" s="18"/>
      <c r="AQ35" s="18"/>
      <c r="AR35" s="18"/>
      <c r="AS35" s="20"/>
      <c r="BD35" s="61"/>
      <c r="BE35" s="61"/>
      <c r="BF35" s="61"/>
      <c r="BG35" s="376"/>
      <c r="BH35" s="61"/>
      <c r="BI35" s="61"/>
      <c r="BJ35" s="84"/>
      <c r="BK35" s="84"/>
      <c r="BL35" s="206"/>
      <c r="BM35" s="61"/>
    </row>
    <row r="36" spans="1:65">
      <c r="A36" s="6">
        <f t="shared" si="12"/>
        <v>2018</v>
      </c>
      <c r="C36" s="494">
        <f>'Exhibit B,2'!Z36</f>
        <v>135959</v>
      </c>
      <c r="D36" s="187"/>
      <c r="E36" s="20">
        <v>0</v>
      </c>
      <c r="F36" s="187"/>
      <c r="G36" s="187"/>
      <c r="H36" s="187"/>
      <c r="I36" s="130">
        <f t="shared" si="10"/>
        <v>0</v>
      </c>
      <c r="J36" s="17"/>
      <c r="K36" s="130">
        <f>'Exhibit B,2'!O36</f>
        <v>0</v>
      </c>
      <c r="L36" s="130"/>
      <c r="M36" s="130">
        <f t="shared" si="11"/>
        <v>0</v>
      </c>
      <c r="N36" s="18"/>
      <c r="O36" s="6">
        <f t="shared" si="13"/>
        <v>2018</v>
      </c>
      <c r="Q36" s="20"/>
      <c r="S36" s="20"/>
      <c r="U36" s="18"/>
      <c r="V36" s="18"/>
      <c r="W36" s="20"/>
      <c r="X36" s="74"/>
      <c r="Y36" s="74"/>
      <c r="Z36" s="74"/>
      <c r="AA36" s="74"/>
      <c r="AB36" s="74"/>
      <c r="AL36" s="25"/>
      <c r="AM36" s="18"/>
      <c r="AN36" s="18"/>
      <c r="AO36" s="18"/>
      <c r="AP36" s="18"/>
      <c r="AQ36" s="18"/>
      <c r="AR36" s="18"/>
      <c r="AS36" s="20"/>
      <c r="BD36" s="61"/>
      <c r="BE36" s="61"/>
      <c r="BF36" s="61"/>
      <c r="BG36" s="205"/>
      <c r="BH36" s="61"/>
      <c r="BI36" s="61"/>
      <c r="BJ36" s="61"/>
      <c r="BK36" s="69"/>
      <c r="BL36" s="206"/>
      <c r="BM36" s="61"/>
    </row>
    <row r="37" spans="1:65">
      <c r="A37" s="6">
        <f t="shared" si="12"/>
        <v>2019</v>
      </c>
      <c r="C37" s="494">
        <f>'Exhibit B,2'!Z37</f>
        <v>148828</v>
      </c>
      <c r="D37" s="187"/>
      <c r="E37" s="20">
        <v>0</v>
      </c>
      <c r="F37" s="187"/>
      <c r="G37" s="187"/>
      <c r="H37" s="187"/>
      <c r="I37" s="130">
        <f t="shared" si="10"/>
        <v>0</v>
      </c>
      <c r="J37" s="17"/>
      <c r="K37" s="130">
        <f>'Exhibit B,2'!O37</f>
        <v>0</v>
      </c>
      <c r="L37" s="130"/>
      <c r="M37" s="130">
        <f t="shared" si="11"/>
        <v>0</v>
      </c>
      <c r="N37" s="18"/>
      <c r="O37" s="6">
        <f t="shared" si="13"/>
        <v>2019</v>
      </c>
      <c r="Q37" s="20"/>
      <c r="S37" s="20"/>
      <c r="U37" s="18"/>
      <c r="V37" s="18"/>
      <c r="W37" s="20"/>
      <c r="X37" s="74"/>
      <c r="Y37" s="74"/>
      <c r="Z37" s="74"/>
      <c r="AA37" s="74"/>
      <c r="AB37" s="74"/>
      <c r="AL37" s="25"/>
      <c r="AM37" s="18"/>
      <c r="AN37" s="18"/>
      <c r="AO37" s="18"/>
      <c r="AP37" s="18"/>
      <c r="AQ37" s="18"/>
      <c r="AR37" s="18"/>
      <c r="AS37" s="20"/>
    </row>
    <row r="38" spans="1:65">
      <c r="A38" s="6">
        <f t="shared" si="12"/>
        <v>2020</v>
      </c>
      <c r="C38" s="494">
        <f>'Exhibit B,2'!Z38</f>
        <v>141777</v>
      </c>
      <c r="D38" s="187"/>
      <c r="E38" s="20">
        <v>2002</v>
      </c>
      <c r="F38" s="187"/>
      <c r="G38" s="187"/>
      <c r="H38" s="187"/>
      <c r="I38" s="130">
        <f t="shared" si="10"/>
        <v>2002</v>
      </c>
      <c r="J38" s="17"/>
      <c r="K38" s="130">
        <f>'Exhibit B,2'!O38</f>
        <v>2002</v>
      </c>
      <c r="L38" s="130"/>
      <c r="M38" s="130">
        <f t="shared" si="11"/>
        <v>2002</v>
      </c>
      <c r="N38" s="18"/>
      <c r="O38" s="6">
        <f t="shared" si="13"/>
        <v>2020</v>
      </c>
      <c r="Q38" s="20"/>
      <c r="S38" s="20"/>
      <c r="U38" s="18"/>
      <c r="V38" s="18"/>
      <c r="W38" s="20"/>
      <c r="X38" s="74"/>
      <c r="Y38" s="74"/>
      <c r="Z38" s="74"/>
      <c r="AA38" s="74"/>
      <c r="AB38" s="74"/>
      <c r="AL38" s="25"/>
      <c r="AM38" s="18"/>
      <c r="AN38" s="18"/>
      <c r="AO38" s="18"/>
      <c r="AP38" s="18"/>
      <c r="AQ38" s="18"/>
      <c r="AR38" s="18"/>
      <c r="AS38" s="20"/>
    </row>
    <row r="39" spans="1:65">
      <c r="A39" s="6">
        <f t="shared" si="12"/>
        <v>2021</v>
      </c>
      <c r="C39" s="494">
        <f>'Exhibit B,2'!Z39</f>
        <v>0</v>
      </c>
      <c r="D39" s="187"/>
      <c r="E39" s="542">
        <v>0</v>
      </c>
      <c r="F39" s="573"/>
      <c r="G39" s="573"/>
      <c r="H39" s="573"/>
      <c r="I39" s="572">
        <f t="shared" si="10"/>
        <v>0</v>
      </c>
      <c r="J39" s="573"/>
      <c r="K39" s="572">
        <f>'Exhibit B,2'!O39</f>
        <v>0</v>
      </c>
      <c r="L39" s="572"/>
      <c r="M39" s="130">
        <f t="shared" si="11"/>
        <v>0</v>
      </c>
      <c r="N39" s="18"/>
      <c r="O39" s="6">
        <f t="shared" si="13"/>
        <v>2021</v>
      </c>
      <c r="Q39" s="20"/>
      <c r="S39" s="20"/>
      <c r="U39" s="18"/>
      <c r="V39" s="18"/>
      <c r="W39" s="20"/>
      <c r="X39" s="74"/>
      <c r="Y39" s="74"/>
      <c r="Z39" s="74"/>
      <c r="AA39" s="74"/>
      <c r="AB39" s="74"/>
      <c r="AL39" s="25"/>
      <c r="AM39" s="18"/>
      <c r="AN39" s="18"/>
      <c r="AO39" s="18"/>
      <c r="AP39" s="18"/>
      <c r="AQ39" s="18"/>
      <c r="AR39" s="18"/>
      <c r="AS39" s="20"/>
    </row>
    <row r="40" spans="1:65">
      <c r="A40" s="6">
        <f t="shared" si="12"/>
        <v>2022</v>
      </c>
      <c r="C40" s="494">
        <f>'Exhibit B,2'!Z40</f>
        <v>0</v>
      </c>
      <c r="D40" s="187"/>
      <c r="E40" s="573"/>
      <c r="F40" s="573"/>
      <c r="G40" s="573"/>
      <c r="H40" s="573"/>
      <c r="I40" s="542"/>
      <c r="J40" s="573"/>
      <c r="K40" s="572">
        <f>'Exhibit B,2'!O40</f>
        <v>0</v>
      </c>
      <c r="L40" s="572"/>
      <c r="M40" s="130">
        <f t="shared" si="11"/>
        <v>0</v>
      </c>
      <c r="N40" s="18"/>
      <c r="O40" s="6">
        <f t="shared" si="13"/>
        <v>2022</v>
      </c>
      <c r="Q40" s="20"/>
      <c r="S40" s="20"/>
      <c r="U40" s="18"/>
      <c r="V40" s="18"/>
      <c r="W40" s="20"/>
      <c r="X40" s="74"/>
      <c r="Y40" s="74"/>
      <c r="Z40" s="74"/>
      <c r="AA40" s="74"/>
      <c r="AB40" s="74"/>
      <c r="AL40" s="25"/>
      <c r="AM40" s="18"/>
      <c r="AN40" s="18"/>
      <c r="AO40" s="18"/>
      <c r="AP40" s="18"/>
      <c r="AQ40" s="18"/>
      <c r="AR40" s="18"/>
      <c r="AS40" s="20"/>
    </row>
    <row r="41" spans="1:65">
      <c r="A41" s="6"/>
      <c r="C41" s="63"/>
      <c r="E41" s="63"/>
      <c r="G41" s="63"/>
      <c r="I41" s="63"/>
      <c r="K41" s="63"/>
      <c r="M41" s="63"/>
      <c r="O41" s="6"/>
      <c r="Q41" s="66"/>
      <c r="R41" s="66"/>
      <c r="S41" s="66"/>
      <c r="T41" s="66"/>
      <c r="U41" s="66"/>
      <c r="V41" s="66"/>
      <c r="W41" s="66"/>
      <c r="AL41" s="25"/>
      <c r="AM41" s="70"/>
      <c r="AN41" s="70"/>
      <c r="AO41" s="70"/>
      <c r="AP41" s="70"/>
      <c r="AQ41" s="70"/>
      <c r="AR41" s="70"/>
      <c r="AS41" s="20"/>
    </row>
    <row r="42" spans="1:65">
      <c r="A42" s="2" t="s">
        <v>0</v>
      </c>
      <c r="C42" s="497">
        <f>SUM(C31:C41)</f>
        <v>1435147.9700000002</v>
      </c>
      <c r="D42" s="497"/>
      <c r="E42" s="497">
        <f>SUM(E31:E41)</f>
        <v>293482.62</v>
      </c>
      <c r="F42" s="147"/>
      <c r="G42" s="147"/>
      <c r="H42" s="147"/>
      <c r="I42" s="147">
        <f>SUM(I31:I41)</f>
        <v>293482.62</v>
      </c>
      <c r="J42" s="26"/>
      <c r="K42" s="147">
        <f>SUM(K31:K41)</f>
        <v>293482.62</v>
      </c>
      <c r="L42" s="147"/>
      <c r="M42" s="147">
        <f>SUM(M31:M41)</f>
        <v>293482.62</v>
      </c>
      <c r="O42" s="2" t="s">
        <v>0</v>
      </c>
      <c r="Q42" s="66"/>
      <c r="R42" s="66"/>
      <c r="S42" s="66"/>
      <c r="T42" s="66"/>
      <c r="U42" s="66"/>
      <c r="V42" s="66"/>
      <c r="W42" s="66"/>
      <c r="X42" s="26"/>
      <c r="Y42" s="26"/>
      <c r="Z42" s="26"/>
      <c r="AL42" s="97"/>
      <c r="AM42" s="68"/>
      <c r="AN42" s="68"/>
      <c r="AO42" s="68"/>
      <c r="AP42" s="68"/>
      <c r="AQ42" s="68"/>
      <c r="AR42" s="68"/>
      <c r="AS42" s="20"/>
    </row>
    <row r="43" spans="1:65">
      <c r="A43" s="6"/>
      <c r="H43" s="26"/>
      <c r="AL43" s="25"/>
      <c r="AS43" s="20"/>
    </row>
    <row r="44" spans="1:65">
      <c r="A44" s="3" t="s">
        <v>589</v>
      </c>
      <c r="O44" s="3" t="s">
        <v>590</v>
      </c>
      <c r="Q44" s="3"/>
      <c r="AL44" s="115"/>
      <c r="AN44" s="18"/>
      <c r="AO44" s="18"/>
      <c r="AS44" s="66"/>
    </row>
    <row r="45" spans="1:65">
      <c r="A45" s="6">
        <f>A17</f>
        <v>2013</v>
      </c>
      <c r="C45" s="147"/>
      <c r="E45" s="497">
        <v>0</v>
      </c>
      <c r="G45" s="26"/>
      <c r="H45" s="26"/>
      <c r="I45" s="497">
        <f>E45+G45</f>
        <v>0</v>
      </c>
      <c r="J45" s="74"/>
      <c r="K45" s="497">
        <v>0</v>
      </c>
      <c r="L45" s="497"/>
      <c r="M45" s="496">
        <f>K45</f>
        <v>0</v>
      </c>
      <c r="N45" s="26"/>
      <c r="O45" s="6">
        <f>A17</f>
        <v>2013</v>
      </c>
      <c r="P45" s="19"/>
      <c r="Q45" s="19"/>
      <c r="S45" s="495">
        <v>1721</v>
      </c>
      <c r="T45" s="19"/>
      <c r="U45" s="19"/>
      <c r="W45" s="497">
        <f>S45+U45</f>
        <v>1721</v>
      </c>
      <c r="Y45" s="497"/>
      <c r="AA45" s="74"/>
      <c r="AC45" s="497">
        <f t="shared" ref="AC45" si="14">AC17*(0.025/0.975)</f>
        <v>0</v>
      </c>
      <c r="AE45" s="497">
        <f>AC45</f>
        <v>0</v>
      </c>
      <c r="AG45" s="21"/>
      <c r="AL45" s="25"/>
      <c r="AM45" s="18"/>
      <c r="AN45" s="18"/>
      <c r="AO45" s="18"/>
      <c r="AP45" s="18"/>
      <c r="AQ45" s="18"/>
      <c r="AR45" s="18"/>
      <c r="AS45" s="20"/>
    </row>
    <row r="46" spans="1:65">
      <c r="A46" s="6">
        <f>A45+1</f>
        <v>2014</v>
      </c>
      <c r="C46" s="17"/>
      <c r="E46" s="20">
        <v>77600.820000000007</v>
      </c>
      <c r="G46" s="20"/>
      <c r="H46" s="18"/>
      <c r="I46" s="494">
        <f>E46+G46</f>
        <v>77600.820000000007</v>
      </c>
      <c r="J46" s="74"/>
      <c r="K46" s="20">
        <f t="shared" ref="K46" si="15">K18*(0.025/0.975)</f>
        <v>102634.88637024759</v>
      </c>
      <c r="L46" s="20"/>
      <c r="M46" s="130">
        <f t="shared" ref="M46:M53" si="16">K46</f>
        <v>102634.88637024759</v>
      </c>
      <c r="N46" s="18"/>
      <c r="O46" s="6">
        <f>O45+1</f>
        <v>2014</v>
      </c>
      <c r="P46" s="18"/>
      <c r="Q46" s="18"/>
      <c r="R46" s="18"/>
      <c r="S46" s="20">
        <v>0</v>
      </c>
      <c r="T46" s="20"/>
      <c r="U46" s="20"/>
      <c r="V46" s="18"/>
      <c r="W46" s="494">
        <f>S46+U46</f>
        <v>0</v>
      </c>
      <c r="X46" s="18"/>
      <c r="Y46" s="20"/>
      <c r="Z46" s="18"/>
      <c r="AA46" s="74"/>
      <c r="AC46" s="20">
        <f t="shared" ref="AC46" si="17">AC18*(0.025/0.975)</f>
        <v>28746.9825031943</v>
      </c>
      <c r="AE46" s="20">
        <f t="shared" ref="AE46:AE54" si="18">AC46</f>
        <v>28746.9825031943</v>
      </c>
      <c r="AG46" s="21"/>
      <c r="AL46" s="25"/>
      <c r="AM46" s="18"/>
      <c r="AN46" s="18"/>
      <c r="AO46" s="18"/>
      <c r="AP46" s="18"/>
      <c r="AQ46" s="18"/>
      <c r="AR46" s="18"/>
      <c r="AS46" s="20"/>
    </row>
    <row r="47" spans="1:65">
      <c r="A47" s="6">
        <f t="shared" ref="A47:A54" si="19">A46+1</f>
        <v>2015</v>
      </c>
      <c r="C47" s="17"/>
      <c r="E47" s="20">
        <v>21919.61</v>
      </c>
      <c r="G47" s="20"/>
      <c r="H47" s="18"/>
      <c r="I47" s="494">
        <f t="shared" ref="I47:I54" si="20">E47+G47</f>
        <v>21919.61</v>
      </c>
      <c r="J47" s="74"/>
      <c r="K47" s="20">
        <f t="shared" ref="K47" si="21">K19*(0.025/0.975)</f>
        <v>66596.418565150016</v>
      </c>
      <c r="L47" s="20"/>
      <c r="M47" s="130">
        <f t="shared" si="16"/>
        <v>66596.418565150016</v>
      </c>
      <c r="N47" s="18"/>
      <c r="O47" s="6">
        <f t="shared" ref="O47:O54" si="22">O46+1</f>
        <v>2015</v>
      </c>
      <c r="P47" s="18"/>
      <c r="Q47" s="18"/>
      <c r="R47" s="18"/>
      <c r="S47" s="20">
        <v>63767.69</v>
      </c>
      <c r="T47" s="20"/>
      <c r="U47" s="20"/>
      <c r="V47" s="18"/>
      <c r="W47" s="494">
        <f t="shared" ref="W47:W54" si="23">S47+U47</f>
        <v>63767.69</v>
      </c>
      <c r="X47" s="18"/>
      <c r="Y47" s="20"/>
      <c r="Z47" s="18"/>
      <c r="AA47" s="74"/>
      <c r="AC47" s="20">
        <f t="shared" ref="AC47" si="24">AC19*(0.025/0.975)</f>
        <v>8929.286229018875</v>
      </c>
      <c r="AE47" s="20">
        <f t="shared" si="18"/>
        <v>8929.286229018875</v>
      </c>
      <c r="AG47" s="21"/>
      <c r="AL47" s="25"/>
      <c r="AM47" s="18"/>
      <c r="AN47" s="18"/>
      <c r="AO47" s="18"/>
      <c r="AP47" s="18"/>
      <c r="AQ47" s="18"/>
      <c r="AR47" s="18"/>
      <c r="AS47" s="20"/>
    </row>
    <row r="48" spans="1:65">
      <c r="A48" s="6">
        <f t="shared" si="19"/>
        <v>2016</v>
      </c>
      <c r="C48" s="17"/>
      <c r="E48" s="20">
        <v>16148.550000000001</v>
      </c>
      <c r="G48" s="20"/>
      <c r="H48" s="18"/>
      <c r="I48" s="494">
        <f t="shared" si="20"/>
        <v>16148.550000000001</v>
      </c>
      <c r="J48" s="74"/>
      <c r="K48" s="20">
        <f t="shared" ref="K48" si="25">K20*(0.025/0.975)</f>
        <v>75336.362938304868</v>
      </c>
      <c r="L48" s="20"/>
      <c r="M48" s="130">
        <f t="shared" si="16"/>
        <v>75336.362938304868</v>
      </c>
      <c r="N48" s="18"/>
      <c r="O48" s="6">
        <f t="shared" si="22"/>
        <v>2016</v>
      </c>
      <c r="P48" s="18"/>
      <c r="Q48" s="18"/>
      <c r="R48" s="18"/>
      <c r="S48" s="20">
        <v>21230.730000000003</v>
      </c>
      <c r="T48" s="20"/>
      <c r="U48" s="20"/>
      <c r="V48" s="18"/>
      <c r="W48" s="494">
        <f t="shared" si="23"/>
        <v>21230.730000000003</v>
      </c>
      <c r="X48" s="18"/>
      <c r="Y48" s="20"/>
      <c r="Z48" s="18"/>
      <c r="AA48" s="74"/>
      <c r="AC48" s="20">
        <f t="shared" ref="AC48" si="26">AC20*(0.025/0.975)</f>
        <v>36611.393150524607</v>
      </c>
      <c r="AE48" s="20">
        <f t="shared" si="18"/>
        <v>36611.393150524607</v>
      </c>
      <c r="AG48" s="21"/>
      <c r="AL48" s="25"/>
      <c r="AM48" s="18"/>
      <c r="AN48" s="18"/>
      <c r="AO48" s="18"/>
      <c r="AP48" s="18"/>
      <c r="AQ48" s="18"/>
      <c r="AR48" s="18"/>
      <c r="AS48" s="20"/>
    </row>
    <row r="49" spans="1:45">
      <c r="A49" s="6">
        <f t="shared" si="19"/>
        <v>2017</v>
      </c>
      <c r="C49" s="17"/>
      <c r="E49" s="20">
        <v>21420.760000000002</v>
      </c>
      <c r="G49" s="20"/>
      <c r="H49" s="18"/>
      <c r="I49" s="494">
        <f t="shared" si="20"/>
        <v>21420.760000000002</v>
      </c>
      <c r="J49" s="74"/>
      <c r="K49" s="20">
        <f t="shared" ref="K49" si="27">K21*(0.025/0.975)</f>
        <v>52538.39508894975</v>
      </c>
      <c r="L49" s="20"/>
      <c r="M49" s="130">
        <f t="shared" si="16"/>
        <v>52538.39508894975</v>
      </c>
      <c r="N49" s="18"/>
      <c r="O49" s="6">
        <f t="shared" si="22"/>
        <v>2017</v>
      </c>
      <c r="P49" s="18"/>
      <c r="Q49" s="18"/>
      <c r="R49" s="18"/>
      <c r="S49" s="20">
        <v>251377.12999999998</v>
      </c>
      <c r="T49" s="20"/>
      <c r="U49" s="20"/>
      <c r="V49" s="18"/>
      <c r="W49" s="494">
        <f t="shared" si="23"/>
        <v>251377.12999999998</v>
      </c>
      <c r="X49" s="18"/>
      <c r="Y49" s="20"/>
      <c r="Z49" s="18"/>
      <c r="AA49" s="74"/>
      <c r="AC49" s="20">
        <f t="shared" ref="AC49" si="28">AC21*(0.025/0.975)</f>
        <v>38788.113718306937</v>
      </c>
      <c r="AE49" s="20">
        <f t="shared" si="18"/>
        <v>38788.113718306937</v>
      </c>
      <c r="AG49" s="21"/>
      <c r="AL49" s="25"/>
      <c r="AM49" s="18"/>
      <c r="AN49" s="18"/>
      <c r="AO49" s="18"/>
      <c r="AP49" s="18"/>
      <c r="AQ49" s="18"/>
      <c r="AR49" s="18"/>
      <c r="AS49" s="20"/>
    </row>
    <row r="50" spans="1:45">
      <c r="A50" s="6">
        <f t="shared" si="19"/>
        <v>2018</v>
      </c>
      <c r="C50" s="17"/>
      <c r="E50" s="20">
        <v>8200.94</v>
      </c>
      <c r="G50" s="20"/>
      <c r="H50" s="18"/>
      <c r="I50" s="494">
        <f t="shared" si="20"/>
        <v>8200.94</v>
      </c>
      <c r="J50" s="74"/>
      <c r="K50" s="20">
        <f t="shared" ref="K50" si="29">K22*(0.025/0.975)</f>
        <v>12854.213117181027</v>
      </c>
      <c r="L50" s="20"/>
      <c r="M50" s="130">
        <f t="shared" si="16"/>
        <v>12854.213117181027</v>
      </c>
      <c r="N50" s="18"/>
      <c r="O50" s="6">
        <f t="shared" si="22"/>
        <v>2018</v>
      </c>
      <c r="P50" s="18"/>
      <c r="Q50" s="18"/>
      <c r="R50" s="18"/>
      <c r="S50" s="20">
        <v>153361.25241654456</v>
      </c>
      <c r="T50" s="20"/>
      <c r="U50" s="20"/>
      <c r="V50" s="18"/>
      <c r="W50" s="494">
        <f t="shared" si="23"/>
        <v>153361.25241654456</v>
      </c>
      <c r="X50" s="18"/>
      <c r="Y50" s="20"/>
      <c r="Z50" s="18"/>
      <c r="AA50" s="74"/>
      <c r="AC50" s="20">
        <f t="shared" ref="AC50" si="30">AC22*(0.025/0.975)</f>
        <v>176745.91846153847</v>
      </c>
      <c r="AE50" s="20">
        <f t="shared" si="18"/>
        <v>176745.91846153847</v>
      </c>
      <c r="AG50" s="21"/>
      <c r="AL50" s="25"/>
      <c r="AM50" s="18"/>
      <c r="AN50" s="18"/>
      <c r="AO50" s="18"/>
      <c r="AP50" s="18"/>
      <c r="AQ50" s="18"/>
      <c r="AR50" s="18"/>
      <c r="AS50" s="20"/>
    </row>
    <row r="51" spans="1:45">
      <c r="A51" s="6">
        <f t="shared" si="19"/>
        <v>2019</v>
      </c>
      <c r="C51" s="17"/>
      <c r="E51" s="20">
        <v>121995.91</v>
      </c>
      <c r="G51" s="20"/>
      <c r="H51" s="18"/>
      <c r="I51" s="494">
        <f t="shared" si="20"/>
        <v>121995.91</v>
      </c>
      <c r="J51" s="74"/>
      <c r="K51" s="20">
        <f t="shared" ref="K51" si="31">K23*(0.025/0.975)</f>
        <v>106700.7812348609</v>
      </c>
      <c r="L51" s="20"/>
      <c r="M51" s="130">
        <f t="shared" si="16"/>
        <v>106700.7812348609</v>
      </c>
      <c r="N51" s="18"/>
      <c r="O51" s="6">
        <f t="shared" si="22"/>
        <v>2019</v>
      </c>
      <c r="P51" s="18"/>
      <c r="Q51" s="18"/>
      <c r="R51" s="18"/>
      <c r="S51" s="20">
        <v>267572.19983568869</v>
      </c>
      <c r="T51" s="20"/>
      <c r="U51" s="20"/>
      <c r="V51" s="18"/>
      <c r="W51" s="494">
        <f t="shared" si="23"/>
        <v>267572.19983568869</v>
      </c>
      <c r="X51" s="18"/>
      <c r="Y51" s="20"/>
      <c r="Z51" s="18"/>
      <c r="AA51" s="74"/>
      <c r="AC51" s="20">
        <f t="shared" ref="AC51" si="32">AC23*(0.025/0.975)</f>
        <v>105297.2284586982</v>
      </c>
      <c r="AE51" s="20">
        <f t="shared" si="18"/>
        <v>105297.2284586982</v>
      </c>
      <c r="AG51" s="21"/>
      <c r="AL51" s="25"/>
      <c r="AM51" s="18"/>
      <c r="AN51" s="18"/>
      <c r="AO51" s="18"/>
      <c r="AP51" s="18"/>
      <c r="AQ51" s="18"/>
      <c r="AR51" s="18"/>
    </row>
    <row r="52" spans="1:45">
      <c r="A52" s="6">
        <f t="shared" si="19"/>
        <v>2020</v>
      </c>
      <c r="C52" s="17"/>
      <c r="E52" s="20">
        <v>249929.2</v>
      </c>
      <c r="G52" s="20"/>
      <c r="H52" s="18"/>
      <c r="I52" s="494">
        <f t="shared" si="20"/>
        <v>249929.2</v>
      </c>
      <c r="J52" s="74"/>
      <c r="K52" s="20">
        <f t="shared" ref="K52" si="33">K24*(0.025/0.975)</f>
        <v>50892.156391554454</v>
      </c>
      <c r="L52" s="20"/>
      <c r="M52" s="130">
        <f t="shared" si="16"/>
        <v>50892.156391554454</v>
      </c>
      <c r="N52" s="18"/>
      <c r="O52" s="6">
        <f t="shared" si="22"/>
        <v>2020</v>
      </c>
      <c r="P52" s="18"/>
      <c r="Q52" s="18"/>
      <c r="R52" s="18"/>
      <c r="S52" s="20">
        <v>102892.23386617636</v>
      </c>
      <c r="T52" s="20"/>
      <c r="U52" s="20"/>
      <c r="V52" s="18"/>
      <c r="W52" s="494">
        <f t="shared" si="23"/>
        <v>102892.23386617636</v>
      </c>
      <c r="X52" s="18"/>
      <c r="Y52" s="20"/>
      <c r="Z52" s="18"/>
      <c r="AA52" s="74"/>
      <c r="AC52" s="20">
        <f t="shared" ref="AC52" si="34">AC24*(0.025/0.975)</f>
        <v>83400.208488635719</v>
      </c>
      <c r="AE52" s="20">
        <f t="shared" si="18"/>
        <v>83400.208488635719</v>
      </c>
      <c r="AG52" s="21"/>
      <c r="AL52" s="25"/>
      <c r="AM52" s="18"/>
      <c r="AN52" s="18"/>
      <c r="AO52" s="18"/>
      <c r="AP52" s="18"/>
      <c r="AQ52" s="18"/>
      <c r="AR52" s="18"/>
    </row>
    <row r="53" spans="1:45">
      <c r="A53" s="6">
        <f t="shared" si="19"/>
        <v>2021</v>
      </c>
      <c r="C53" s="17"/>
      <c r="E53" s="20">
        <v>16920</v>
      </c>
      <c r="G53" s="20"/>
      <c r="H53" s="18"/>
      <c r="I53" s="494">
        <f t="shared" si="20"/>
        <v>16920</v>
      </c>
      <c r="J53" s="74"/>
      <c r="K53" s="20">
        <f t="shared" ref="K53:M54" si="35">K25*(0.025/0.975)</f>
        <v>131668.96305200382</v>
      </c>
      <c r="L53" s="20"/>
      <c r="M53" s="130">
        <f t="shared" si="16"/>
        <v>131668.96305200382</v>
      </c>
      <c r="N53" s="18"/>
      <c r="O53" s="6">
        <f t="shared" si="22"/>
        <v>2021</v>
      </c>
      <c r="P53" s="18"/>
      <c r="Q53" s="18"/>
      <c r="R53" s="18"/>
      <c r="S53" s="20">
        <v>54945.042765563689</v>
      </c>
      <c r="T53" s="20"/>
      <c r="U53" s="20"/>
      <c r="V53" s="18"/>
      <c r="W53" s="494">
        <f t="shared" si="23"/>
        <v>54945.042765563689</v>
      </c>
      <c r="X53" s="18"/>
      <c r="Y53" s="20"/>
      <c r="Z53" s="18"/>
      <c r="AA53" s="74"/>
      <c r="AC53" s="20">
        <f t="shared" ref="AC53" si="36">AC25*(0.025/0.975)</f>
        <v>112193.91694279374</v>
      </c>
      <c r="AE53" s="20">
        <f t="shared" si="18"/>
        <v>112193.91694279374</v>
      </c>
      <c r="AG53" s="21"/>
      <c r="AL53" s="25"/>
      <c r="AM53" s="18"/>
      <c r="AN53" s="18"/>
      <c r="AO53" s="18"/>
      <c r="AP53" s="18"/>
      <c r="AQ53" s="18"/>
      <c r="AR53" s="18"/>
      <c r="AS53" s="6"/>
    </row>
    <row r="54" spans="1:45">
      <c r="A54" s="6">
        <f t="shared" si="19"/>
        <v>2022</v>
      </c>
      <c r="C54" s="17"/>
      <c r="E54" s="187"/>
      <c r="G54" s="20"/>
      <c r="H54" s="18"/>
      <c r="I54" s="494">
        <f t="shared" si="20"/>
        <v>0</v>
      </c>
      <c r="J54" s="74"/>
      <c r="K54" s="542">
        <f t="shared" ref="K54" si="37">K26*(0.025/0.975)</f>
        <v>0</v>
      </c>
      <c r="L54" s="542"/>
      <c r="M54" s="20">
        <f t="shared" si="35"/>
        <v>94261.914568847787</v>
      </c>
      <c r="N54" s="18"/>
      <c r="O54" s="6">
        <f t="shared" si="22"/>
        <v>2022</v>
      </c>
      <c r="P54" s="18"/>
      <c r="Q54" s="18"/>
      <c r="R54" s="18"/>
      <c r="S54" s="494"/>
      <c r="T54" s="20"/>
      <c r="U54" s="20"/>
      <c r="V54" s="18"/>
      <c r="W54" s="494">
        <f t="shared" si="23"/>
        <v>0</v>
      </c>
      <c r="X54" s="18"/>
      <c r="Y54" s="20"/>
      <c r="Z54" s="18"/>
      <c r="AA54" s="74"/>
      <c r="AC54" s="20">
        <f t="shared" ref="AC54" si="38">AC26*(0.025/0.975)</f>
        <v>85377.150829989012</v>
      </c>
      <c r="AE54" s="20">
        <f t="shared" si="18"/>
        <v>85377.150829989012</v>
      </c>
      <c r="AG54" s="21"/>
      <c r="AL54" s="25"/>
      <c r="AM54" s="18"/>
      <c r="AN54" s="18"/>
      <c r="AO54" s="18"/>
      <c r="AP54" s="18"/>
      <c r="AQ54" s="18"/>
      <c r="AR54" s="18"/>
      <c r="AS54" s="6"/>
    </row>
    <row r="55" spans="1:45">
      <c r="A55" s="6"/>
      <c r="E55" s="63"/>
      <c r="G55" s="20"/>
      <c r="I55" s="63"/>
      <c r="K55" s="63"/>
      <c r="M55" s="63"/>
      <c r="O55" s="6"/>
      <c r="Q55" s="26"/>
      <c r="S55" s="63"/>
      <c r="U55" s="20"/>
      <c r="W55" s="63"/>
      <c r="Y55" s="20"/>
      <c r="AA55" s="26"/>
      <c r="AC55" s="63"/>
      <c r="AE55" s="63"/>
      <c r="AL55" s="25"/>
      <c r="AM55" s="70"/>
      <c r="AN55" s="70"/>
      <c r="AO55" s="70"/>
      <c r="AP55" s="70"/>
      <c r="AQ55" s="70"/>
      <c r="AR55" s="70"/>
      <c r="AS55" s="6"/>
    </row>
    <row r="56" spans="1:45">
      <c r="A56" s="2" t="s">
        <v>0</v>
      </c>
      <c r="E56" s="497">
        <f>SUM(E45:E55)</f>
        <v>534135.79</v>
      </c>
      <c r="I56" s="147">
        <f>SUM(I45:I55)</f>
        <v>534135.79</v>
      </c>
      <c r="K56" s="147">
        <f>SUM(K45:K55)</f>
        <v>599222.17675825243</v>
      </c>
      <c r="L56" s="147"/>
      <c r="M56" s="147">
        <f>SUM(M45:M55)</f>
        <v>693484.09132710018</v>
      </c>
      <c r="N56" s="26"/>
      <c r="O56" s="2" t="s">
        <v>0</v>
      </c>
      <c r="Q56" s="26"/>
      <c r="S56" s="147">
        <f>SUM(S45:S55)</f>
        <v>916867.27888397325</v>
      </c>
      <c r="U56" s="26"/>
      <c r="W56" s="147">
        <f>SUM(W45:W55)</f>
        <v>916867.27888397325</v>
      </c>
      <c r="Y56" s="147"/>
      <c r="AA56" s="26"/>
      <c r="AC56" s="147">
        <f>SUM(AC45:AC55)</f>
        <v>676090.19878269988</v>
      </c>
      <c r="AE56" s="147">
        <f>SUM(AE45:AE55)</f>
        <v>676090.19878269988</v>
      </c>
      <c r="AL56" s="97"/>
      <c r="AM56" s="68"/>
      <c r="AN56" s="68"/>
      <c r="AO56" s="68"/>
      <c r="AP56" s="68"/>
      <c r="AQ56" s="68"/>
      <c r="AR56" s="68"/>
      <c r="AS56" s="2"/>
    </row>
    <row r="57" spans="1:45">
      <c r="A57" s="6"/>
      <c r="F57" s="26"/>
      <c r="AL57" s="25"/>
      <c r="AS57" s="2"/>
    </row>
    <row r="58" spans="1:45">
      <c r="A58" s="3"/>
      <c r="C58" s="21"/>
      <c r="E58" s="76"/>
      <c r="Q58" s="21"/>
      <c r="S58" s="76"/>
      <c r="U58" s="18"/>
      <c r="AL58" s="115"/>
      <c r="AS58" s="6"/>
    </row>
    <row r="59" spans="1:45">
      <c r="A59" s="6"/>
      <c r="C59" s="21"/>
      <c r="E59" s="21"/>
      <c r="G59" s="26"/>
      <c r="H59" s="26"/>
      <c r="I59" s="18"/>
      <c r="J59" s="26"/>
      <c r="K59" s="26"/>
      <c r="L59" s="26"/>
      <c r="M59" s="26"/>
      <c r="N59" s="26"/>
      <c r="O59" s="26"/>
      <c r="Q59" s="21"/>
      <c r="S59" s="21"/>
      <c r="T59" s="26"/>
      <c r="U59" s="18"/>
      <c r="W59" s="26"/>
      <c r="AA59" s="26"/>
      <c r="AL59" s="25"/>
      <c r="AM59" s="17"/>
      <c r="AN59" s="17"/>
      <c r="AO59" s="17"/>
      <c r="AP59" s="17"/>
      <c r="AQ59" s="17"/>
      <c r="AR59" s="17"/>
      <c r="AS59" s="6"/>
    </row>
    <row r="60" spans="1:45">
      <c r="A60" s="64"/>
      <c r="C60" s="3"/>
      <c r="E60" s="21"/>
      <c r="G60" s="18"/>
      <c r="H60" s="18"/>
      <c r="I60" s="18"/>
      <c r="J60" s="18"/>
      <c r="K60" s="18"/>
      <c r="L60" s="18"/>
      <c r="M60" s="18"/>
      <c r="N60" s="18"/>
      <c r="O60" s="18"/>
      <c r="Q60" s="21"/>
      <c r="S60" s="21"/>
      <c r="T60" s="18"/>
      <c r="U60" s="18"/>
      <c r="V60" s="18"/>
      <c r="W60" s="20"/>
      <c r="X60" s="18"/>
      <c r="Y60" s="18"/>
      <c r="Z60" s="18"/>
      <c r="AA60" s="20"/>
      <c r="AL60" s="25"/>
      <c r="AM60" s="17"/>
      <c r="AN60" s="17"/>
      <c r="AO60" s="17"/>
      <c r="AP60" s="17"/>
      <c r="AQ60" s="17"/>
      <c r="AR60" s="17"/>
      <c r="AS60" s="6"/>
    </row>
    <row r="61" spans="1:45">
      <c r="A61" s="64" t="s">
        <v>104</v>
      </c>
      <c r="C61" s="3" t="s">
        <v>1639</v>
      </c>
      <c r="E61" s="21"/>
      <c r="G61" s="18"/>
      <c r="H61" s="18"/>
      <c r="I61" s="18"/>
      <c r="J61" s="18"/>
      <c r="K61" s="18"/>
      <c r="L61" s="18"/>
      <c r="M61" s="18"/>
      <c r="N61" s="18"/>
      <c r="O61" s="64" t="s">
        <v>104</v>
      </c>
      <c r="Q61" s="3" t="s">
        <v>1004</v>
      </c>
      <c r="S61" s="21"/>
      <c r="T61" s="18"/>
      <c r="U61" s="18"/>
      <c r="V61" s="18"/>
      <c r="W61" s="20"/>
      <c r="X61" s="18"/>
      <c r="Y61" s="18"/>
      <c r="Z61" s="18"/>
      <c r="AA61" s="20"/>
      <c r="AL61" s="25"/>
      <c r="AM61" s="17"/>
      <c r="AN61" s="17"/>
      <c r="AO61" s="17"/>
      <c r="AP61" s="17"/>
      <c r="AQ61" s="17"/>
      <c r="AR61" s="17"/>
      <c r="AS61" s="6"/>
    </row>
    <row r="62" spans="1:45">
      <c r="A62" s="52" t="s">
        <v>36</v>
      </c>
      <c r="C62" s="140" t="s">
        <v>1586</v>
      </c>
      <c r="E62" s="21"/>
      <c r="G62" s="18"/>
      <c r="H62" s="18"/>
      <c r="I62" s="18"/>
      <c r="J62" s="18"/>
      <c r="K62" s="18"/>
      <c r="L62" s="18"/>
      <c r="M62" s="18"/>
      <c r="N62" s="18"/>
      <c r="O62" s="52" t="s">
        <v>36</v>
      </c>
      <c r="Q62" s="140" t="s">
        <v>1356</v>
      </c>
      <c r="S62" s="21"/>
      <c r="T62" s="18"/>
      <c r="U62" s="18"/>
      <c r="V62" s="18"/>
      <c r="W62" s="20"/>
      <c r="X62" s="18"/>
      <c r="Y62" s="18"/>
      <c r="Z62" s="18"/>
      <c r="AA62" s="20"/>
      <c r="AL62" s="25"/>
      <c r="AM62" s="17"/>
      <c r="AN62" s="17"/>
      <c r="AO62" s="17"/>
      <c r="AP62" s="17"/>
      <c r="AQ62" s="17"/>
      <c r="AR62" s="17"/>
    </row>
    <row r="63" spans="1:45">
      <c r="A63" s="52" t="s">
        <v>38</v>
      </c>
      <c r="C63" s="3" t="s">
        <v>1587</v>
      </c>
      <c r="E63" s="21"/>
      <c r="G63" s="18"/>
      <c r="H63" s="18"/>
      <c r="I63" s="18"/>
      <c r="J63" s="18"/>
      <c r="K63" s="18"/>
      <c r="L63" s="18"/>
      <c r="M63" s="18"/>
      <c r="N63" s="18"/>
      <c r="O63" s="52" t="s">
        <v>38</v>
      </c>
      <c r="Q63" s="3" t="s">
        <v>1587</v>
      </c>
      <c r="S63" s="21"/>
      <c r="T63" s="18"/>
      <c r="U63" s="18"/>
      <c r="V63" s="18"/>
      <c r="W63" s="20"/>
      <c r="X63" s="18"/>
      <c r="Y63" s="18"/>
      <c r="Z63" s="18"/>
      <c r="AA63" s="20"/>
      <c r="AL63" s="25"/>
      <c r="AM63" s="17"/>
      <c r="AN63" s="17"/>
      <c r="AO63" s="17"/>
      <c r="AP63" s="17"/>
      <c r="AQ63" s="17"/>
      <c r="AR63" s="17"/>
    </row>
    <row r="64" spans="1:45">
      <c r="A64" s="52" t="s">
        <v>40</v>
      </c>
      <c r="C64" s="3" t="s">
        <v>1624</v>
      </c>
      <c r="E64" s="21"/>
      <c r="G64" s="18"/>
      <c r="H64" s="18"/>
      <c r="I64" s="18"/>
      <c r="J64" s="18"/>
      <c r="K64" s="18"/>
      <c r="L64" s="18"/>
      <c r="M64" s="18"/>
      <c r="N64" s="18"/>
      <c r="O64" s="52" t="s">
        <v>40</v>
      </c>
      <c r="Q64" s="3" t="s">
        <v>691</v>
      </c>
      <c r="S64" s="21"/>
      <c r="T64" s="18"/>
      <c r="U64" s="18"/>
      <c r="V64" s="18"/>
      <c r="W64" s="20"/>
      <c r="X64" s="18"/>
      <c r="Y64" s="18"/>
      <c r="Z64" s="18"/>
      <c r="AA64" s="20"/>
      <c r="AL64" s="25"/>
      <c r="AM64" s="17"/>
      <c r="AN64" s="17"/>
      <c r="AO64" s="17"/>
      <c r="AP64" s="17"/>
      <c r="AQ64" s="17"/>
      <c r="AR64" s="17"/>
    </row>
    <row r="65" spans="1:56">
      <c r="A65" s="64" t="s">
        <v>42</v>
      </c>
      <c r="C65" s="3" t="s">
        <v>1625</v>
      </c>
      <c r="E65" s="21"/>
      <c r="G65" s="18"/>
      <c r="I65" s="73"/>
      <c r="J65" s="18"/>
      <c r="K65" s="18"/>
      <c r="L65" s="18"/>
      <c r="M65" s="18"/>
      <c r="N65" s="18"/>
      <c r="O65" s="64" t="s">
        <v>42</v>
      </c>
      <c r="Q65" s="3" t="s">
        <v>1487</v>
      </c>
      <c r="S65" s="21"/>
      <c r="T65" s="18"/>
      <c r="U65" s="18"/>
      <c r="V65" s="18"/>
      <c r="W65" s="20"/>
      <c r="X65" s="18"/>
      <c r="Y65" s="18"/>
      <c r="Z65" s="18"/>
      <c r="AA65" s="20"/>
      <c r="AL65" s="25"/>
      <c r="AM65" s="17"/>
      <c r="AN65" s="17"/>
      <c r="AO65" s="17"/>
      <c r="AP65" s="17"/>
      <c r="AQ65" s="17"/>
      <c r="AR65" s="17"/>
      <c r="AS65" s="20"/>
      <c r="BD65" s="32"/>
    </row>
    <row r="66" spans="1:56">
      <c r="A66" s="64"/>
      <c r="E66" s="21"/>
      <c r="G66" s="18"/>
      <c r="I66" s="73"/>
      <c r="J66" s="18"/>
      <c r="K66" s="18"/>
      <c r="L66" s="18"/>
      <c r="M66" s="18"/>
      <c r="N66" s="18"/>
      <c r="O66" s="64" t="s">
        <v>30</v>
      </c>
      <c r="Q66" s="3" t="s">
        <v>1489</v>
      </c>
      <c r="S66" s="21"/>
      <c r="T66" s="18"/>
      <c r="U66" s="18"/>
      <c r="V66" s="18"/>
      <c r="W66" s="20"/>
      <c r="X66" s="18"/>
      <c r="Y66" s="18"/>
      <c r="Z66" s="18"/>
      <c r="AA66" s="20"/>
      <c r="AL66" s="25"/>
      <c r="AM66" s="17"/>
      <c r="AN66" s="17"/>
      <c r="AO66" s="17"/>
      <c r="AP66" s="17"/>
      <c r="AQ66" s="17"/>
      <c r="AR66" s="17"/>
      <c r="AS66" s="20"/>
      <c r="BD66" s="32"/>
    </row>
    <row r="67" spans="1:56">
      <c r="A67" s="64"/>
      <c r="E67" s="21"/>
      <c r="G67" s="18"/>
      <c r="I67" s="73"/>
      <c r="J67" s="18"/>
      <c r="K67" s="18"/>
      <c r="L67" s="18"/>
      <c r="M67" s="18"/>
      <c r="N67" s="18"/>
      <c r="O67" s="64" t="s">
        <v>31</v>
      </c>
      <c r="Q67" s="3" t="s">
        <v>992</v>
      </c>
      <c r="S67" s="21"/>
      <c r="T67" s="18"/>
      <c r="U67" s="18"/>
      <c r="V67" s="18"/>
      <c r="W67" s="20"/>
      <c r="X67" s="18"/>
      <c r="Y67" s="18"/>
      <c r="Z67" s="18"/>
      <c r="AA67" s="20"/>
      <c r="AL67" s="25"/>
      <c r="AM67" s="17"/>
      <c r="AN67" s="17"/>
      <c r="AO67" s="17"/>
      <c r="AP67" s="17"/>
      <c r="AQ67" s="17"/>
      <c r="AR67" s="17"/>
      <c r="AS67" s="20"/>
      <c r="BD67" s="32"/>
    </row>
    <row r="68" spans="1:56">
      <c r="A68" s="64"/>
      <c r="C68" s="3" t="s">
        <v>1559</v>
      </c>
      <c r="E68" s="21"/>
      <c r="G68" s="18"/>
      <c r="H68" s="18"/>
      <c r="J68" s="18"/>
      <c r="K68" s="18"/>
      <c r="L68" s="18"/>
      <c r="M68" s="18"/>
      <c r="N68" s="18"/>
      <c r="O68" s="64" t="s">
        <v>103</v>
      </c>
      <c r="Q68" s="23" t="s">
        <v>690</v>
      </c>
      <c r="S68" s="21"/>
      <c r="T68" s="18"/>
      <c r="X68" s="18"/>
      <c r="Y68" s="18"/>
      <c r="Z68" s="18"/>
      <c r="AA68" s="20"/>
      <c r="AL68" s="25"/>
      <c r="AM68" s="191"/>
      <c r="AN68" s="191"/>
      <c r="AO68" s="191"/>
      <c r="AP68" s="191"/>
      <c r="AQ68" s="191"/>
      <c r="AR68" s="191"/>
      <c r="AS68" s="20"/>
      <c r="BD68" s="32"/>
    </row>
    <row r="69" spans="1:56">
      <c r="A69" s="64"/>
      <c r="C69" s="3" t="s">
        <v>1560</v>
      </c>
      <c r="E69" s="21"/>
      <c r="G69" s="18"/>
      <c r="H69" s="18"/>
      <c r="I69" s="73"/>
      <c r="J69" s="18"/>
      <c r="K69" s="18"/>
      <c r="L69" s="18"/>
      <c r="M69" s="18"/>
      <c r="N69" s="18"/>
      <c r="O69" s="64" t="s">
        <v>106</v>
      </c>
      <c r="Q69" s="1" t="s">
        <v>1486</v>
      </c>
      <c r="S69" s="21"/>
      <c r="T69" s="18"/>
      <c r="X69" s="18"/>
      <c r="Y69" s="18"/>
      <c r="Z69" s="18"/>
      <c r="AA69" s="20"/>
      <c r="AL69" s="25"/>
      <c r="AM69" s="70"/>
      <c r="AN69" s="70"/>
      <c r="AO69" s="70"/>
      <c r="AP69" s="70"/>
      <c r="AQ69" s="70"/>
      <c r="AR69" s="70"/>
      <c r="AS69" s="20"/>
      <c r="BD69" s="32"/>
    </row>
    <row r="70" spans="1:56">
      <c r="A70" s="64"/>
      <c r="C70" s="1" t="s">
        <v>1558</v>
      </c>
      <c r="E70" s="21"/>
      <c r="G70" s="18"/>
      <c r="H70" s="18"/>
      <c r="I70" s="18"/>
      <c r="J70" s="18"/>
      <c r="K70" s="18"/>
      <c r="L70" s="18"/>
      <c r="M70" s="18"/>
      <c r="N70" s="18"/>
      <c r="O70" s="64"/>
      <c r="Q70" s="3"/>
      <c r="S70" s="21"/>
      <c r="T70" s="18"/>
      <c r="X70" s="18"/>
      <c r="Y70" s="18"/>
      <c r="Z70" s="18"/>
      <c r="AA70" s="20"/>
      <c r="AL70" s="97"/>
      <c r="AM70" s="68"/>
      <c r="AN70" s="68"/>
      <c r="AO70" s="68"/>
      <c r="AP70" s="68"/>
      <c r="AQ70" s="68"/>
      <c r="AR70" s="68"/>
      <c r="AS70" s="20"/>
      <c r="BD70" s="32"/>
    </row>
    <row r="71" spans="1:56">
      <c r="A71" s="64"/>
      <c r="C71" s="3"/>
      <c r="E71" s="21"/>
      <c r="O71" s="64"/>
      <c r="S71" s="21"/>
      <c r="AS71" s="20"/>
      <c r="BD71" s="32"/>
    </row>
    <row r="72" spans="1:56">
      <c r="A72" s="64"/>
      <c r="E72" s="21"/>
      <c r="G72" s="26"/>
      <c r="I72" s="26"/>
      <c r="J72" s="26"/>
      <c r="O72" s="64"/>
      <c r="Q72" s="3"/>
      <c r="U72" s="26"/>
      <c r="W72" s="26"/>
      <c r="AA72" s="26"/>
      <c r="AN72" s="26"/>
      <c r="AO72" s="26"/>
      <c r="AS72" s="20"/>
      <c r="BD72" s="32"/>
    </row>
    <row r="73" spans="1:56">
      <c r="A73" s="64"/>
      <c r="C73" s="3"/>
      <c r="O73" s="64"/>
      <c r="AL73" s="6"/>
      <c r="AM73" s="20"/>
      <c r="AN73" s="20"/>
      <c r="AO73" s="20"/>
      <c r="AP73" s="20"/>
      <c r="AQ73" s="20"/>
      <c r="AR73" s="20"/>
      <c r="AS73" s="20"/>
    </row>
    <row r="74" spans="1:56">
      <c r="A74" s="64"/>
      <c r="AL74" s="2"/>
      <c r="AM74" s="63"/>
      <c r="AN74" s="63"/>
      <c r="AO74" s="63"/>
      <c r="AP74" s="63"/>
      <c r="AQ74" s="63"/>
      <c r="AR74" s="63"/>
      <c r="AS74" s="63"/>
    </row>
    <row r="75" spans="1:56">
      <c r="A75" s="64"/>
      <c r="AL75" s="2"/>
      <c r="AM75" s="66"/>
      <c r="AN75" s="66"/>
      <c r="AO75" s="66"/>
      <c r="AP75" s="66"/>
      <c r="AQ75" s="66"/>
      <c r="AR75" s="66"/>
      <c r="AS75" s="66"/>
    </row>
    <row r="79" spans="1:56">
      <c r="AS79" s="6"/>
    </row>
    <row r="80" spans="1:56">
      <c r="AS80" s="2"/>
    </row>
    <row r="81" spans="15:45">
      <c r="AL81" s="2"/>
      <c r="AM81" s="2"/>
      <c r="AN81" s="2"/>
      <c r="AO81" s="2"/>
      <c r="AP81" s="2"/>
      <c r="AQ81" s="2"/>
      <c r="AR81" s="2"/>
      <c r="AS81" s="2"/>
    </row>
    <row r="82" spans="15:45">
      <c r="AL82" s="6"/>
      <c r="AM82" s="2"/>
      <c r="AN82" s="2"/>
      <c r="AO82" s="2"/>
      <c r="AP82" s="2"/>
      <c r="AQ82" s="2"/>
      <c r="AR82" s="2"/>
      <c r="AS82" s="2"/>
    </row>
    <row r="83" spans="15:45">
      <c r="AL83" s="10"/>
      <c r="AM83" s="10"/>
      <c r="AN83" s="10"/>
      <c r="AO83" s="10"/>
      <c r="AP83" s="10"/>
      <c r="AQ83" s="10"/>
      <c r="AR83" s="10"/>
      <c r="AS83" s="10"/>
    </row>
    <row r="85" spans="15:45">
      <c r="AL85" s="6"/>
      <c r="AP85" s="31"/>
      <c r="AQ85" s="32"/>
    </row>
    <row r="86" spans="15:45">
      <c r="AL86" s="6"/>
      <c r="AP86" s="31"/>
      <c r="AQ86" s="32"/>
    </row>
    <row r="87" spans="15:45">
      <c r="AL87" s="6"/>
      <c r="AM87" s="66"/>
      <c r="AN87" s="43"/>
      <c r="AO87" s="43"/>
      <c r="AP87" s="43"/>
      <c r="AQ87" s="43"/>
      <c r="AR87" s="66"/>
      <c r="AS87" s="66"/>
    </row>
    <row r="88" spans="15:45">
      <c r="AL88" s="6"/>
      <c r="AM88" s="20"/>
      <c r="AN88" s="182"/>
      <c r="AO88" s="182"/>
      <c r="AP88" s="182"/>
      <c r="AQ88" s="182"/>
      <c r="AR88" s="20"/>
      <c r="AS88" s="20"/>
    </row>
    <row r="89" spans="15:45">
      <c r="AL89" s="6"/>
      <c r="AM89" s="20"/>
      <c r="AN89" s="182"/>
      <c r="AO89" s="182"/>
      <c r="AP89" s="182"/>
      <c r="AQ89" s="182"/>
      <c r="AR89" s="20"/>
      <c r="AS89" s="20"/>
    </row>
    <row r="90" spans="15:45">
      <c r="AL90" s="6"/>
      <c r="AM90" s="20"/>
      <c r="AN90" s="182"/>
      <c r="AO90" s="182"/>
      <c r="AP90" s="182"/>
      <c r="AQ90" s="182"/>
      <c r="AR90" s="20"/>
      <c r="AS90" s="20"/>
    </row>
    <row r="91" spans="15:45">
      <c r="AL91" s="6"/>
      <c r="AM91" s="20"/>
      <c r="AN91" s="182"/>
      <c r="AO91" s="182"/>
      <c r="AP91" s="182"/>
      <c r="AQ91" s="182"/>
      <c r="AR91" s="20"/>
      <c r="AS91" s="20"/>
    </row>
    <row r="92" spans="15:45">
      <c r="AL92" s="6"/>
      <c r="AM92" s="20"/>
      <c r="AN92" s="182"/>
      <c r="AO92" s="182"/>
      <c r="AP92" s="182"/>
      <c r="AQ92" s="182"/>
      <c r="AR92" s="20"/>
      <c r="AS92" s="20"/>
    </row>
    <row r="93" spans="15:45">
      <c r="AL93" s="6"/>
      <c r="AM93" s="20"/>
      <c r="AN93" s="182"/>
      <c r="AO93" s="182"/>
      <c r="AP93" s="182"/>
      <c r="AQ93" s="182"/>
      <c r="AR93" s="20"/>
      <c r="AS93" s="20"/>
    </row>
    <row r="94" spans="15:45">
      <c r="O94" s="1" t="s">
        <v>1394</v>
      </c>
      <c r="AL94" s="6"/>
      <c r="AM94" s="20"/>
      <c r="AN94" s="182"/>
      <c r="AO94" s="182"/>
      <c r="AP94" s="182"/>
      <c r="AQ94" s="182"/>
      <c r="AR94" s="20"/>
      <c r="AS94" s="20"/>
    </row>
    <row r="95" spans="15:45">
      <c r="AL95" s="6"/>
      <c r="AN95" s="182"/>
      <c r="AO95" s="182"/>
      <c r="AP95" s="182"/>
      <c r="AQ95" s="182"/>
      <c r="AR95" s="20"/>
      <c r="AS95" s="20"/>
    </row>
    <row r="96" spans="15:45">
      <c r="AL96" s="2"/>
      <c r="AM96" s="63"/>
      <c r="AN96" s="63"/>
      <c r="AO96" s="63"/>
      <c r="AP96" s="63"/>
      <c r="AQ96" s="63"/>
      <c r="AR96" s="63"/>
      <c r="AS96" s="63"/>
    </row>
    <row r="97" spans="3:45">
      <c r="AL97" s="2"/>
      <c r="AM97" s="66"/>
      <c r="AN97" s="66"/>
      <c r="AO97" s="66"/>
      <c r="AP97" s="66"/>
      <c r="AQ97" s="66"/>
      <c r="AR97" s="66"/>
      <c r="AS97" s="66"/>
    </row>
    <row r="99" spans="3:45">
      <c r="AN99" s="177"/>
      <c r="AO99" s="177"/>
    </row>
    <row r="100" spans="3:45">
      <c r="AL100" s="2"/>
      <c r="AN100" s="6"/>
      <c r="AO100" s="6"/>
    </row>
    <row r="101" spans="3:45">
      <c r="E101" s="6"/>
      <c r="AL101" s="6"/>
      <c r="AN101" s="6"/>
      <c r="AO101" s="6"/>
      <c r="AP101" s="6"/>
    </row>
    <row r="102" spans="3:45" ht="20" customHeight="1">
      <c r="C102" s="17"/>
      <c r="E102" s="22"/>
      <c r="G102" s="22"/>
      <c r="I102" s="22"/>
      <c r="K102" s="22"/>
      <c r="L102" s="22"/>
      <c r="M102" s="22"/>
    </row>
    <row r="103" spans="3:45">
      <c r="C103" s="6"/>
      <c r="D103" s="6"/>
      <c r="E103" s="6"/>
      <c r="F103" s="6"/>
      <c r="G103" s="6"/>
      <c r="H103" s="6"/>
      <c r="I103" s="6"/>
      <c r="AL103" s="6"/>
      <c r="AN103" s="16"/>
      <c r="AO103" s="16"/>
      <c r="AP103" s="16"/>
    </row>
    <row r="104" spans="3:45">
      <c r="C104" s="6"/>
      <c r="D104" s="6"/>
      <c r="E104" s="6"/>
      <c r="F104" s="6"/>
      <c r="G104" s="6"/>
      <c r="H104" s="6"/>
      <c r="I104" s="6"/>
      <c r="K104" s="6"/>
      <c r="L104" s="6"/>
      <c r="M104" s="6"/>
      <c r="AL104" s="6"/>
      <c r="AN104" s="18"/>
      <c r="AO104" s="18"/>
      <c r="AP104" s="18"/>
    </row>
    <row r="105" spans="3:45">
      <c r="C105" s="385"/>
      <c r="D105" s="6"/>
      <c r="E105" s="386"/>
      <c r="F105" s="6"/>
      <c r="G105" s="386"/>
      <c r="H105" s="6"/>
      <c r="I105" s="6"/>
      <c r="K105" s="6"/>
      <c r="L105" s="6"/>
      <c r="M105" s="6"/>
      <c r="AL105" s="6"/>
      <c r="AN105" s="18"/>
      <c r="AO105" s="18"/>
      <c r="AP105" s="18"/>
    </row>
    <row r="106" spans="3:45">
      <c r="AL106" s="6"/>
      <c r="AN106" s="18"/>
      <c r="AO106" s="18"/>
      <c r="AP106" s="18"/>
    </row>
    <row r="107" spans="3:45">
      <c r="C107" s="387"/>
      <c r="E107" s="387"/>
      <c r="G107" s="387"/>
      <c r="I107" s="22"/>
      <c r="K107" s="53"/>
      <c r="L107" s="53"/>
      <c r="M107" s="53"/>
      <c r="AL107" s="6">
        <f t="shared" ref="AL107:AL111" si="39">AL106+1</f>
        <v>1</v>
      </c>
      <c r="AN107" s="18">
        <v>256234.15999999997</v>
      </c>
      <c r="AO107" s="18">
        <f>'Exhibit B,3'!AV49</f>
        <v>0</v>
      </c>
      <c r="AP107" s="18">
        <f t="shared" ref="AP107:AP110" si="40">AO107-AN107</f>
        <v>-256234.15999999997</v>
      </c>
    </row>
    <row r="108" spans="3:45">
      <c r="C108" s="387"/>
      <c r="E108" s="387"/>
      <c r="G108" s="387"/>
      <c r="I108" s="22"/>
      <c r="K108" s="53"/>
      <c r="L108" s="53"/>
      <c r="M108" s="53"/>
      <c r="AL108" s="6">
        <f t="shared" si="39"/>
        <v>2</v>
      </c>
      <c r="AN108" s="18">
        <v>39368.729999999996</v>
      </c>
      <c r="AO108" s="18">
        <f>'Exhibit B,3'!AV50</f>
        <v>0</v>
      </c>
      <c r="AP108" s="18">
        <f t="shared" si="40"/>
        <v>-39368.729999999996</v>
      </c>
    </row>
    <row r="109" spans="3:45">
      <c r="C109" s="387"/>
      <c r="E109" s="387"/>
      <c r="G109" s="387"/>
      <c r="I109" s="22"/>
      <c r="K109" s="53"/>
      <c r="L109" s="53"/>
      <c r="M109" s="53"/>
      <c r="AL109" s="6">
        <f t="shared" si="39"/>
        <v>3</v>
      </c>
      <c r="AN109" s="18">
        <v>29712.34</v>
      </c>
      <c r="AO109" s="18">
        <f>'Exhibit B,3'!AV51</f>
        <v>0</v>
      </c>
      <c r="AP109" s="18">
        <f t="shared" si="40"/>
        <v>-29712.34</v>
      </c>
    </row>
    <row r="110" spans="3:45">
      <c r="C110" s="387"/>
      <c r="E110" s="387"/>
      <c r="G110" s="387"/>
      <c r="I110" s="22"/>
      <c r="K110" s="53"/>
      <c r="L110" s="53"/>
      <c r="M110" s="53"/>
      <c r="AL110" s="6">
        <f t="shared" si="39"/>
        <v>4</v>
      </c>
      <c r="AN110" s="18">
        <v>70000</v>
      </c>
      <c r="AO110" s="18">
        <f>'Exhibit B,3'!AV52</f>
        <v>0</v>
      </c>
      <c r="AP110" s="18">
        <f t="shared" si="40"/>
        <v>-70000</v>
      </c>
    </row>
    <row r="111" spans="3:45">
      <c r="C111" s="387"/>
      <c r="E111" s="387"/>
      <c r="G111" s="387"/>
      <c r="I111" s="22"/>
      <c r="K111" s="53"/>
      <c r="L111" s="53"/>
      <c r="M111" s="53"/>
      <c r="AL111" s="6">
        <f t="shared" si="39"/>
        <v>5</v>
      </c>
      <c r="AO111" s="18">
        <f>'Exhibit B,3'!AV53</f>
        <v>0</v>
      </c>
    </row>
    <row r="112" spans="3:45">
      <c r="C112" s="387"/>
      <c r="E112" s="387"/>
      <c r="G112" s="387"/>
      <c r="I112" s="22"/>
      <c r="K112" s="53"/>
      <c r="L112" s="53"/>
      <c r="M112" s="53"/>
      <c r="AL112" s="2"/>
    </row>
    <row r="113" spans="3:42">
      <c r="C113" s="387"/>
      <c r="E113" s="387"/>
      <c r="G113" s="387"/>
      <c r="I113" s="22"/>
      <c r="K113" s="53"/>
      <c r="L113" s="53"/>
      <c r="M113" s="53"/>
      <c r="AL113" s="2" t="s">
        <v>0</v>
      </c>
      <c r="AN113" s="66">
        <f>SUM(AN103:AN112)</f>
        <v>395315.23</v>
      </c>
      <c r="AO113" s="66">
        <f>SUM(AO103:AO112)</f>
        <v>0</v>
      </c>
      <c r="AP113" s="66">
        <f>SUM(AP103:AP112)</f>
        <v>-395315.23</v>
      </c>
    </row>
    <row r="114" spans="3:42">
      <c r="C114" s="387"/>
      <c r="E114" s="387"/>
      <c r="G114" s="387"/>
      <c r="I114" s="22"/>
      <c r="K114" s="53"/>
      <c r="L114" s="53"/>
      <c r="M114" s="53"/>
    </row>
  </sheetData>
  <printOptions horizontalCentered="1"/>
  <pageMargins left="0.7" right="0.7" top="0.75" bottom="0.75" header="0.3" footer="0.3"/>
  <pageSetup scale="53" fitToWidth="2" orientation="portrait" r:id="rId1"/>
  <colBreaks count="1" manualBreakCount="1">
    <brk id="14" max="65" man="1"/>
  </colBreak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dimension ref="A1"/>
  <sheetViews>
    <sheetView topLeftCell="A1048538" zoomScale="85" zoomScaleNormal="85" workbookViewId="0">
      <selection activeCell="A1048576" sqref="A1048576"/>
    </sheetView>
  </sheetViews>
  <sheetFormatPr baseColWidth="10" defaultColWidth="8.7109375" defaultRowHeight="16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88">
    <pageSetUpPr fitToPage="1"/>
  </sheetPr>
  <dimension ref="A1:BN85"/>
  <sheetViews>
    <sheetView zoomScale="70" zoomScaleNormal="70" workbookViewId="0"/>
  </sheetViews>
  <sheetFormatPr baseColWidth="10" defaultColWidth="8.7109375" defaultRowHeight="15"/>
  <cols>
    <col min="1" max="1" width="15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2.7109375" style="1" customWidth="1"/>
    <col min="10" max="12" width="1.7109375" style="1" customWidth="1"/>
    <col min="13" max="13" width="12.7109375" style="1" customWidth="1"/>
    <col min="14" max="14" width="1.7109375" style="1" customWidth="1"/>
    <col min="15" max="15" width="12.7109375" style="1" bestFit="1" customWidth="1"/>
    <col min="16" max="16" width="1.7109375" style="1" customWidth="1"/>
    <col min="17" max="17" width="11.7109375" style="1" customWidth="1"/>
    <col min="18" max="18" width="1.7109375" style="1" customWidth="1"/>
    <col min="19" max="19" width="12.7109375" style="1" customWidth="1"/>
    <col min="20" max="20" width="1.7109375" style="1" customWidth="1"/>
    <col min="21" max="21" width="12.7109375" style="1" customWidth="1"/>
    <col min="22" max="22" width="1.7109375" style="1" customWidth="1"/>
    <col min="23" max="23" width="12.7109375" style="1" customWidth="1"/>
    <col min="24" max="24" width="1.7109375" style="1" customWidth="1"/>
    <col min="25" max="25" width="12.7109375" style="1" bestFit="1" customWidth="1"/>
    <col min="26" max="26" width="1.7109375" style="1" customWidth="1"/>
    <col min="27" max="27" width="12.7109375" style="1" customWidth="1"/>
    <col min="28" max="28" width="1.7109375" style="1" customWidth="1"/>
    <col min="29" max="29" width="12.7109375" style="1" customWidth="1"/>
    <col min="30" max="31" width="8.7109375" style="1"/>
    <col min="32" max="40" width="10.7109375" style="1" customWidth="1"/>
    <col min="41" max="41" width="8.7109375" style="1"/>
    <col min="42" max="65" width="10.7109375" style="1" customWidth="1"/>
    <col min="66" max="16384" width="8.7109375" style="1"/>
  </cols>
  <sheetData>
    <row r="1" spans="1:66">
      <c r="AC1" s="52" t="s">
        <v>107</v>
      </c>
    </row>
    <row r="2" spans="1:66">
      <c r="C2" s="3"/>
      <c r="AC2" s="52" t="s">
        <v>96</v>
      </c>
    </row>
    <row r="4" spans="1:66" ht="16">
      <c r="A4" s="4" t="s">
        <v>1550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66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66">
      <c r="A6" s="5" t="s">
        <v>584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66">
      <c r="A7" s="5" t="s">
        <v>118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66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6" t="s">
        <v>562</v>
      </c>
      <c r="T8" s="5"/>
      <c r="U8" s="6" t="s">
        <v>562</v>
      </c>
      <c r="AF8" s="61" t="s">
        <v>560</v>
      </c>
      <c r="AG8" s="61" t="s">
        <v>0</v>
      </c>
      <c r="AH8" s="61"/>
      <c r="AI8" s="61"/>
      <c r="AJ8" s="61"/>
      <c r="AK8" s="61"/>
      <c r="AL8" s="61"/>
      <c r="AO8" s="61" t="s">
        <v>560</v>
      </c>
      <c r="AP8" s="61" t="s">
        <v>585</v>
      </c>
      <c r="AQ8" s="61"/>
      <c r="AR8" s="61"/>
      <c r="AS8" s="61"/>
      <c r="AT8" s="61"/>
      <c r="AU8" s="61"/>
      <c r="AX8" s="61" t="s">
        <v>560</v>
      </c>
      <c r="AY8" s="61" t="s">
        <v>1613</v>
      </c>
      <c r="AZ8" s="61"/>
      <c r="BA8" s="61"/>
      <c r="BB8" s="61"/>
      <c r="BC8" s="61"/>
      <c r="BD8" s="61"/>
      <c r="BG8" s="61" t="s">
        <v>560</v>
      </c>
      <c r="BH8" s="61" t="s">
        <v>1640</v>
      </c>
      <c r="BI8" s="61"/>
      <c r="BJ8" s="61"/>
      <c r="BK8" s="61"/>
      <c r="BL8" s="61"/>
      <c r="BM8" s="61"/>
    </row>
    <row r="9" spans="1:66">
      <c r="A9" s="6"/>
      <c r="B9" s="6"/>
      <c r="C9" s="6"/>
      <c r="D9" s="6"/>
      <c r="E9" s="6"/>
      <c r="F9" s="6"/>
      <c r="G9" s="6" t="s">
        <v>86</v>
      </c>
      <c r="H9" s="6"/>
      <c r="I9" s="6" t="s">
        <v>1</v>
      </c>
      <c r="J9" s="6"/>
      <c r="K9" s="6"/>
      <c r="L9" s="6"/>
      <c r="M9" s="6"/>
      <c r="N9" s="6"/>
      <c r="O9" s="6" t="s">
        <v>562</v>
      </c>
      <c r="P9" s="5"/>
      <c r="Q9" s="5"/>
      <c r="R9" s="5"/>
      <c r="S9" s="6" t="s">
        <v>86</v>
      </c>
      <c r="T9" s="6"/>
      <c r="U9" s="6" t="s">
        <v>1</v>
      </c>
      <c r="W9" s="6" t="s">
        <v>9</v>
      </c>
      <c r="X9" s="6"/>
      <c r="Y9" s="6" t="s">
        <v>17</v>
      </c>
      <c r="Z9" s="6"/>
      <c r="AA9" s="6" t="s">
        <v>17</v>
      </c>
      <c r="AC9" s="6" t="s">
        <v>17</v>
      </c>
      <c r="AF9" s="61"/>
      <c r="AG9" s="61"/>
      <c r="AH9" s="61"/>
      <c r="AI9" s="61"/>
      <c r="AJ9" s="61"/>
      <c r="AK9" s="61"/>
      <c r="AL9" s="61"/>
      <c r="AM9" s="177"/>
      <c r="AO9" s="61"/>
      <c r="AP9" s="61"/>
      <c r="AQ9" s="61"/>
      <c r="AR9" s="61"/>
      <c r="AS9" s="61"/>
      <c r="AT9" s="61"/>
      <c r="AU9" s="61"/>
      <c r="AV9" s="177"/>
      <c r="AX9" s="61"/>
      <c r="AY9" s="61"/>
      <c r="AZ9" s="61"/>
      <c r="BA9" s="61"/>
      <c r="BB9" s="61"/>
      <c r="BC9" s="61"/>
      <c r="BD9" s="61"/>
      <c r="BE9" s="177"/>
      <c r="BG9" s="61"/>
      <c r="BH9" s="61"/>
      <c r="BI9" s="61"/>
      <c r="BJ9" s="61"/>
      <c r="BK9" s="61"/>
      <c r="BL9" s="61"/>
      <c r="BM9" s="61"/>
      <c r="BN9" s="177"/>
    </row>
    <row r="10" spans="1:66">
      <c r="C10" s="2" t="s">
        <v>1</v>
      </c>
      <c r="E10" s="71"/>
      <c r="G10" s="2" t="s">
        <v>586</v>
      </c>
      <c r="I10" s="2" t="s">
        <v>586</v>
      </c>
      <c r="O10" s="2" t="s">
        <v>1</v>
      </c>
      <c r="Q10" s="71"/>
      <c r="S10" s="2" t="s">
        <v>586</v>
      </c>
      <c r="U10" s="2" t="s">
        <v>586</v>
      </c>
      <c r="W10" s="6" t="s">
        <v>561</v>
      </c>
      <c r="Y10" s="6" t="s">
        <v>561</v>
      </c>
      <c r="AA10" s="6" t="s">
        <v>561</v>
      </c>
      <c r="AC10" s="6" t="s">
        <v>561</v>
      </c>
      <c r="AF10" s="61"/>
      <c r="AG10" s="61" t="s">
        <v>1596</v>
      </c>
      <c r="AH10" s="25">
        <v>2022</v>
      </c>
      <c r="AI10" s="25">
        <v>2022</v>
      </c>
      <c r="AJ10" s="25" t="s">
        <v>2</v>
      </c>
      <c r="AK10" s="25" t="s">
        <v>2</v>
      </c>
      <c r="AL10" s="61"/>
      <c r="AM10" s="6"/>
      <c r="AO10" s="61"/>
      <c r="AP10" s="61" t="s">
        <v>1596</v>
      </c>
      <c r="AQ10" s="25">
        <v>2022</v>
      </c>
      <c r="AR10" s="25">
        <v>2022</v>
      </c>
      <c r="AS10" s="25" t="s">
        <v>2</v>
      </c>
      <c r="AT10" s="25" t="s">
        <v>2</v>
      </c>
      <c r="AU10" s="61"/>
      <c r="AV10" s="6"/>
      <c r="AX10" s="61"/>
      <c r="AY10" s="61" t="s">
        <v>1596</v>
      </c>
      <c r="AZ10" s="25">
        <v>2022</v>
      </c>
      <c r="BA10" s="25">
        <v>2022</v>
      </c>
      <c r="BB10" s="25" t="s">
        <v>2</v>
      </c>
      <c r="BC10" s="25" t="s">
        <v>2</v>
      </c>
      <c r="BD10" s="61"/>
      <c r="BE10" s="6"/>
      <c r="BG10" s="61"/>
      <c r="BH10" s="61" t="s">
        <v>1596</v>
      </c>
      <c r="BI10" s="25">
        <v>2022</v>
      </c>
      <c r="BJ10" s="25">
        <v>2022</v>
      </c>
      <c r="BK10" s="25" t="s">
        <v>2</v>
      </c>
      <c r="BL10" s="25" t="s">
        <v>2</v>
      </c>
      <c r="BM10" s="61"/>
      <c r="BN10" s="6"/>
    </row>
    <row r="11" spans="1:66">
      <c r="C11" s="2" t="s">
        <v>67</v>
      </c>
      <c r="E11" s="6" t="s">
        <v>572</v>
      </c>
      <c r="G11" s="2" t="s">
        <v>67</v>
      </c>
      <c r="I11" s="2" t="s">
        <v>67</v>
      </c>
      <c r="J11" s="2"/>
      <c r="K11" s="2"/>
      <c r="L11" s="2"/>
      <c r="O11" s="2" t="s">
        <v>7</v>
      </c>
      <c r="Q11" s="6" t="s">
        <v>572</v>
      </c>
      <c r="S11" s="2" t="s">
        <v>67</v>
      </c>
      <c r="U11" s="2" t="s">
        <v>67</v>
      </c>
      <c r="W11" s="2" t="s">
        <v>565</v>
      </c>
      <c r="Y11" s="2" t="s">
        <v>565</v>
      </c>
      <c r="Z11" s="5"/>
      <c r="AA11" s="2" t="s">
        <v>565</v>
      </c>
      <c r="AC11" s="2" t="s">
        <v>565</v>
      </c>
      <c r="AF11" s="61"/>
      <c r="AG11" s="61"/>
      <c r="AH11" s="44" t="s">
        <v>17</v>
      </c>
      <c r="AI11" s="44" t="s">
        <v>17</v>
      </c>
      <c r="AJ11" s="44" t="s">
        <v>17</v>
      </c>
      <c r="AK11" s="44" t="s">
        <v>17</v>
      </c>
      <c r="AL11" s="44" t="s">
        <v>1606</v>
      </c>
      <c r="AM11" s="2"/>
      <c r="AO11" s="61"/>
      <c r="AP11" s="61"/>
      <c r="AQ11" s="44" t="s">
        <v>17</v>
      </c>
      <c r="AR11" s="44" t="s">
        <v>17</v>
      </c>
      <c r="AS11" s="44" t="s">
        <v>17</v>
      </c>
      <c r="AT11" s="44" t="s">
        <v>17</v>
      </c>
      <c r="AU11" s="44" t="s">
        <v>1606</v>
      </c>
      <c r="AV11" s="2"/>
      <c r="AX11" s="61"/>
      <c r="AY11" s="61"/>
      <c r="AZ11" s="44" t="s">
        <v>17</v>
      </c>
      <c r="BA11" s="44" t="s">
        <v>17</v>
      </c>
      <c r="BB11" s="44" t="s">
        <v>17</v>
      </c>
      <c r="BC11" s="44" t="s">
        <v>17</v>
      </c>
      <c r="BD11" s="44" t="s">
        <v>1606</v>
      </c>
      <c r="BE11" s="2"/>
      <c r="BG11" s="61"/>
      <c r="BH11" s="61"/>
      <c r="BI11" s="44" t="s">
        <v>17</v>
      </c>
      <c r="BJ11" s="44" t="s">
        <v>17</v>
      </c>
      <c r="BK11" s="44" t="s">
        <v>17</v>
      </c>
      <c r="BL11" s="44" t="s">
        <v>17</v>
      </c>
      <c r="BM11" s="44" t="s">
        <v>1606</v>
      </c>
      <c r="BN11" s="2"/>
    </row>
    <row r="12" spans="1:66">
      <c r="A12" s="2" t="s">
        <v>6</v>
      </c>
      <c r="C12" s="2" t="s">
        <v>9</v>
      </c>
      <c r="E12" s="2" t="s">
        <v>9</v>
      </c>
      <c r="G12" s="2" t="s">
        <v>17</v>
      </c>
      <c r="H12" s="2"/>
      <c r="I12" s="2" t="s">
        <v>17</v>
      </c>
      <c r="J12" s="2"/>
      <c r="K12" s="2"/>
      <c r="L12" s="2"/>
      <c r="M12" s="2" t="s">
        <v>6</v>
      </c>
      <c r="O12" s="2" t="s">
        <v>9</v>
      </c>
      <c r="Q12" s="2" t="s">
        <v>9</v>
      </c>
      <c r="R12" s="2"/>
      <c r="S12" s="2" t="s">
        <v>17</v>
      </c>
      <c r="T12" s="2"/>
      <c r="U12" s="2" t="s">
        <v>17</v>
      </c>
      <c r="W12" s="2" t="s">
        <v>7</v>
      </c>
      <c r="Y12" s="2" t="s">
        <v>12</v>
      </c>
      <c r="Z12" s="20"/>
      <c r="AA12" s="2" t="s">
        <v>381</v>
      </c>
      <c r="AC12" s="2" t="s">
        <v>7</v>
      </c>
      <c r="AF12" s="97" t="s">
        <v>203</v>
      </c>
      <c r="AG12" s="97" t="s">
        <v>177</v>
      </c>
      <c r="AH12" s="44" t="s">
        <v>14</v>
      </c>
      <c r="AI12" s="44" t="s">
        <v>12</v>
      </c>
      <c r="AJ12" s="44" t="s">
        <v>14</v>
      </c>
      <c r="AK12" s="44" t="s">
        <v>12</v>
      </c>
      <c r="AL12" s="44" t="s">
        <v>12</v>
      </c>
      <c r="AM12" s="2"/>
      <c r="AO12" s="97" t="s">
        <v>203</v>
      </c>
      <c r="AP12" s="97" t="s">
        <v>177</v>
      </c>
      <c r="AQ12" s="44" t="s">
        <v>14</v>
      </c>
      <c r="AR12" s="44" t="s">
        <v>12</v>
      </c>
      <c r="AS12" s="44" t="s">
        <v>14</v>
      </c>
      <c r="AT12" s="44" t="s">
        <v>12</v>
      </c>
      <c r="AU12" s="44" t="s">
        <v>12</v>
      </c>
      <c r="AX12" s="97" t="s">
        <v>203</v>
      </c>
      <c r="AY12" s="97" t="s">
        <v>177</v>
      </c>
      <c r="AZ12" s="44" t="s">
        <v>14</v>
      </c>
      <c r="BA12" s="44" t="s">
        <v>12</v>
      </c>
      <c r="BB12" s="44" t="s">
        <v>14</v>
      </c>
      <c r="BC12" s="44" t="s">
        <v>12</v>
      </c>
      <c r="BD12" s="44" t="s">
        <v>12</v>
      </c>
      <c r="BG12" s="97" t="s">
        <v>203</v>
      </c>
      <c r="BH12" s="97" t="s">
        <v>177</v>
      </c>
      <c r="BI12" s="44" t="s">
        <v>14</v>
      </c>
      <c r="BJ12" s="44" t="s">
        <v>12</v>
      </c>
      <c r="BK12" s="44" t="s">
        <v>14</v>
      </c>
      <c r="BL12" s="44" t="s">
        <v>12</v>
      </c>
      <c r="BM12" s="44" t="s">
        <v>12</v>
      </c>
    </row>
    <row r="13" spans="1:66">
      <c r="A13" s="2" t="s">
        <v>4</v>
      </c>
      <c r="C13" s="2" t="s">
        <v>55</v>
      </c>
      <c r="E13" s="2" t="s">
        <v>109</v>
      </c>
      <c r="G13" s="2" t="s">
        <v>55</v>
      </c>
      <c r="H13" s="2"/>
      <c r="I13" s="2" t="s">
        <v>55</v>
      </c>
      <c r="J13" s="2"/>
      <c r="K13" s="2"/>
      <c r="L13" s="2"/>
      <c r="M13" s="2" t="s">
        <v>4</v>
      </c>
      <c r="O13" s="2" t="s">
        <v>55</v>
      </c>
      <c r="Q13" s="2" t="s">
        <v>109</v>
      </c>
      <c r="R13" s="2"/>
      <c r="S13" s="2" t="s">
        <v>55</v>
      </c>
      <c r="T13" s="2"/>
      <c r="U13" s="2" t="s">
        <v>55</v>
      </c>
      <c r="W13" s="2" t="s">
        <v>55</v>
      </c>
      <c r="Y13" s="2" t="s">
        <v>55</v>
      </c>
      <c r="Z13" s="20"/>
      <c r="AA13" s="2" t="s">
        <v>55</v>
      </c>
      <c r="AC13" s="2" t="s">
        <v>55</v>
      </c>
      <c r="AF13" s="25" t="s">
        <v>4</v>
      </c>
      <c r="AG13" s="97" t="s">
        <v>16</v>
      </c>
      <c r="AH13" s="45" t="s">
        <v>662</v>
      </c>
      <c r="AI13" s="45" t="s">
        <v>662</v>
      </c>
      <c r="AJ13" s="45" t="s">
        <v>662</v>
      </c>
      <c r="AK13" s="45" t="s">
        <v>662</v>
      </c>
      <c r="AL13" s="568" t="s">
        <v>1619</v>
      </c>
      <c r="AM13" s="97" t="s">
        <v>381</v>
      </c>
      <c r="AO13" s="25" t="s">
        <v>4</v>
      </c>
      <c r="AP13" s="97" t="s">
        <v>16</v>
      </c>
      <c r="AQ13" s="45" t="s">
        <v>662</v>
      </c>
      <c r="AR13" s="45" t="s">
        <v>662</v>
      </c>
      <c r="AS13" s="45" t="s">
        <v>662</v>
      </c>
      <c r="AT13" s="45" t="s">
        <v>662</v>
      </c>
      <c r="AU13" s="568" t="s">
        <v>1619</v>
      </c>
      <c r="AX13" s="25" t="s">
        <v>4</v>
      </c>
      <c r="AY13" s="97" t="s">
        <v>16</v>
      </c>
      <c r="AZ13" s="45" t="s">
        <v>662</v>
      </c>
      <c r="BA13" s="45" t="s">
        <v>662</v>
      </c>
      <c r="BB13" s="45" t="s">
        <v>662</v>
      </c>
      <c r="BC13" s="45" t="s">
        <v>662</v>
      </c>
      <c r="BD13" s="568" t="s">
        <v>1619</v>
      </c>
      <c r="BG13" s="25" t="s">
        <v>4</v>
      </c>
      <c r="BH13" s="97" t="s">
        <v>16</v>
      </c>
      <c r="BI13" s="45" t="s">
        <v>662</v>
      </c>
      <c r="BJ13" s="45" t="s">
        <v>662</v>
      </c>
      <c r="BK13" s="45" t="s">
        <v>662</v>
      </c>
      <c r="BL13" s="45" t="s">
        <v>662</v>
      </c>
      <c r="BM13" s="568" t="s">
        <v>1619</v>
      </c>
    </row>
    <row r="14" spans="1:66">
      <c r="A14" s="10">
        <v>-1</v>
      </c>
      <c r="C14" s="10">
        <v>-2</v>
      </c>
      <c r="E14" s="10">
        <v>-3</v>
      </c>
      <c r="G14" s="10">
        <v>-4</v>
      </c>
      <c r="H14" s="11"/>
      <c r="I14" s="10">
        <v>-5</v>
      </c>
      <c r="J14" s="11"/>
      <c r="K14" s="11"/>
      <c r="L14" s="11"/>
      <c r="M14" s="10">
        <v>-6</v>
      </c>
      <c r="O14" s="10">
        <f>M14-1</f>
        <v>-7</v>
      </c>
      <c r="Q14" s="10">
        <f>O14-1</f>
        <v>-8</v>
      </c>
      <c r="R14" s="11"/>
      <c r="S14" s="10">
        <f>Q14-1</f>
        <v>-9</v>
      </c>
      <c r="T14" s="10"/>
      <c r="U14" s="10">
        <f>S14-1</f>
        <v>-10</v>
      </c>
      <c r="W14" s="9">
        <f>U14-1</f>
        <v>-11</v>
      </c>
      <c r="Y14" s="9">
        <f>W14-1</f>
        <v>-12</v>
      </c>
      <c r="Z14" s="20"/>
      <c r="AA14" s="9">
        <f>Y14-1</f>
        <v>-13</v>
      </c>
      <c r="AC14" s="9">
        <f>AA14-1</f>
        <v>-14</v>
      </c>
      <c r="AF14" s="143">
        <v>-11</v>
      </c>
      <c r="AG14" s="143">
        <f>AF14-1</f>
        <v>-12</v>
      </c>
      <c r="AH14" s="143">
        <f t="shared" ref="AH14:AM14" si="0">AG14-1</f>
        <v>-13</v>
      </c>
      <c r="AI14" s="143">
        <f t="shared" si="0"/>
        <v>-14</v>
      </c>
      <c r="AJ14" s="143">
        <f t="shared" si="0"/>
        <v>-15</v>
      </c>
      <c r="AK14" s="143">
        <f t="shared" si="0"/>
        <v>-16</v>
      </c>
      <c r="AL14" s="143">
        <f t="shared" si="0"/>
        <v>-17</v>
      </c>
      <c r="AM14" s="143">
        <f t="shared" si="0"/>
        <v>-18</v>
      </c>
      <c r="AO14" s="143">
        <v>-11</v>
      </c>
      <c r="AP14" s="143">
        <f>AO14-1</f>
        <v>-12</v>
      </c>
      <c r="AQ14" s="143">
        <f t="shared" ref="AQ14" si="1">AP14-1</f>
        <v>-13</v>
      </c>
      <c r="AR14" s="143">
        <f t="shared" ref="AR14" si="2">AQ14-1</f>
        <v>-14</v>
      </c>
      <c r="AS14" s="143">
        <f t="shared" ref="AS14" si="3">AR14-1</f>
        <v>-15</v>
      </c>
      <c r="AT14" s="143">
        <f t="shared" ref="AT14" si="4">AS14-1</f>
        <v>-16</v>
      </c>
      <c r="AU14" s="143">
        <f t="shared" ref="AU14" si="5">AT14-1</f>
        <v>-17</v>
      </c>
      <c r="AX14" s="143">
        <v>-11</v>
      </c>
      <c r="AY14" s="143">
        <f>AX14-1</f>
        <v>-12</v>
      </c>
      <c r="AZ14" s="143">
        <f t="shared" ref="AZ14" si="6">AY14-1</f>
        <v>-13</v>
      </c>
      <c r="BA14" s="143">
        <f t="shared" ref="BA14" si="7">AZ14-1</f>
        <v>-14</v>
      </c>
      <c r="BB14" s="143">
        <f t="shared" ref="BB14" si="8">BA14-1</f>
        <v>-15</v>
      </c>
      <c r="BC14" s="143">
        <f t="shared" ref="BC14" si="9">BB14-1</f>
        <v>-16</v>
      </c>
      <c r="BD14" s="143">
        <f t="shared" ref="BD14" si="10">BC14-1</f>
        <v>-17</v>
      </c>
      <c r="BG14" s="143">
        <v>-11</v>
      </c>
      <c r="BH14" s="143">
        <f>BG14-1</f>
        <v>-12</v>
      </c>
      <c r="BI14" s="143">
        <f t="shared" ref="BI14" si="11">BH14-1</f>
        <v>-13</v>
      </c>
      <c r="BJ14" s="143">
        <f t="shared" ref="BJ14" si="12">BI14-1</f>
        <v>-14</v>
      </c>
      <c r="BK14" s="143">
        <f t="shared" ref="BK14" si="13">BJ14-1</f>
        <v>-15</v>
      </c>
      <c r="BL14" s="143">
        <f t="shared" ref="BL14" si="14">BK14-1</f>
        <v>-16</v>
      </c>
      <c r="BM14" s="143">
        <f t="shared" ref="BM14" si="15">BL14-1</f>
        <v>-17</v>
      </c>
    </row>
    <row r="16" spans="1:66" ht="16">
      <c r="A16" s="3" t="s">
        <v>587</v>
      </c>
      <c r="M16" s="3" t="s">
        <v>588</v>
      </c>
      <c r="AF16" s="115" t="s">
        <v>392</v>
      </c>
      <c r="AH16" s="18"/>
      <c r="AI16" s="18"/>
      <c r="AJ16" s="364"/>
      <c r="AO16" s="115" t="s">
        <v>392</v>
      </c>
      <c r="AQ16" s="18"/>
      <c r="AR16" s="18"/>
      <c r="AS16" s="364"/>
      <c r="AX16" s="115" t="s">
        <v>392</v>
      </c>
      <c r="AZ16" s="18"/>
      <c r="BA16" s="18"/>
      <c r="BB16" s="364"/>
      <c r="BG16" s="115" t="s">
        <v>392</v>
      </c>
      <c r="BI16" s="18"/>
      <c r="BJ16" s="18"/>
      <c r="BK16" s="364"/>
    </row>
    <row r="17" spans="1:66">
      <c r="A17" s="6">
        <v>2013</v>
      </c>
      <c r="C17" s="497">
        <f>'Exhibit B,2'!U17</f>
        <v>8861.26</v>
      </c>
      <c r="E17" s="73">
        <v>0.99981092607483679</v>
      </c>
      <c r="G17" s="497">
        <f>C17*E17</f>
        <v>8859.5845667899084</v>
      </c>
      <c r="H17" s="147"/>
      <c r="I17" s="497">
        <f>G17</f>
        <v>8859.5845667899084</v>
      </c>
      <c r="J17" s="74"/>
      <c r="K17" s="74"/>
      <c r="L17" s="74"/>
      <c r="M17" s="6">
        <f>A17</f>
        <v>2013</v>
      </c>
      <c r="O17" s="497">
        <f>'Exhibit B,3'!C17</f>
        <v>0</v>
      </c>
      <c r="P17" s="66"/>
      <c r="Q17" s="73">
        <v>0</v>
      </c>
      <c r="R17" s="26"/>
      <c r="S17" s="495">
        <f>O17*Q17</f>
        <v>0</v>
      </c>
      <c r="T17" s="147"/>
      <c r="U17" s="495">
        <f>S17</f>
        <v>0</v>
      </c>
      <c r="V17" s="147"/>
      <c r="W17" s="497">
        <f>'Exhibit D,2'!AA17</f>
        <v>0</v>
      </c>
      <c r="X17" s="147"/>
      <c r="Y17" s="147">
        <f>'Exhibit A,3'!U17</f>
        <v>0</v>
      </c>
      <c r="Z17" s="147"/>
      <c r="AA17" s="21">
        <f>AM17</f>
        <v>0</v>
      </c>
      <c r="AB17" s="147"/>
      <c r="AC17" s="505">
        <f>Y17+AA17</f>
        <v>0</v>
      </c>
      <c r="AF17" s="25">
        <v>2013</v>
      </c>
      <c r="AG17" s="18">
        <f>AP17+AY17+BH17</f>
        <v>0</v>
      </c>
      <c r="AH17" s="18">
        <f>AQ17+AZ17+BI17</f>
        <v>0</v>
      </c>
      <c r="AI17" s="18">
        <f>AR17+BA17+BJ17</f>
        <v>0</v>
      </c>
      <c r="AJ17" s="18"/>
      <c r="AK17" s="18"/>
      <c r="AL17" s="18"/>
      <c r="AM17" s="66"/>
      <c r="AO17" s="25">
        <v>2013</v>
      </c>
      <c r="AP17" s="18">
        <f>'Exhibit B,3'!AX17*0.5</f>
        <v>0</v>
      </c>
      <c r="AQ17" s="18">
        <f>'Exhibit B,3'!AY17*0.5</f>
        <v>0</v>
      </c>
      <c r="AR17" s="18">
        <f>'Exhibit B,3'!AZ17*0.5</f>
        <v>0</v>
      </c>
      <c r="AS17" s="18"/>
      <c r="AT17" s="18"/>
      <c r="AU17" s="18"/>
      <c r="AX17" s="25">
        <v>2013</v>
      </c>
      <c r="AY17" s="18">
        <f>'Exhibit B,3'!BF17*0.5</f>
        <v>0</v>
      </c>
      <c r="AZ17" s="18">
        <f>'Exhibit B,3'!BG17*0.5</f>
        <v>0</v>
      </c>
      <c r="BA17" s="18">
        <f>'Exhibit B,3'!BH17*0.5</f>
        <v>0</v>
      </c>
      <c r="BB17" s="18"/>
      <c r="BC17" s="18"/>
      <c r="BD17" s="18"/>
      <c r="BG17" s="25">
        <v>2013</v>
      </c>
      <c r="BH17" s="18">
        <f>'Exhibit B,3'!BN17</f>
        <v>0</v>
      </c>
      <c r="BI17" s="18">
        <f>'Exhibit B,3'!BO17</f>
        <v>0</v>
      </c>
      <c r="BJ17" s="18">
        <f>'Exhibit B,3'!BP17</f>
        <v>0</v>
      </c>
      <c r="BK17" s="18"/>
      <c r="BL17" s="18"/>
      <c r="BM17" s="18"/>
    </row>
    <row r="18" spans="1:66">
      <c r="A18" s="6">
        <f>A17+1</f>
        <v>2014</v>
      </c>
      <c r="C18" s="494">
        <f>'Exhibit B,2'!U18</f>
        <v>4002750.5828141933</v>
      </c>
      <c r="D18" s="26"/>
      <c r="E18" s="73">
        <v>0.29368673863275591</v>
      </c>
      <c r="G18" s="494">
        <f t="shared" ref="G18:G24" si="16">C18*E18</f>
        <v>1175554.7642270634</v>
      </c>
      <c r="H18" s="187"/>
      <c r="I18" s="494">
        <f t="shared" ref="I18:I26" si="17">G18</f>
        <v>1175554.7642270634</v>
      </c>
      <c r="J18" s="74"/>
      <c r="K18" s="74"/>
      <c r="L18" s="74"/>
      <c r="M18" s="6">
        <f>M17+1</f>
        <v>2014</v>
      </c>
      <c r="O18" s="228">
        <f>'Exhibit B,3'!C18</f>
        <v>1121132.3176245776</v>
      </c>
      <c r="P18" s="26"/>
      <c r="Q18" s="73">
        <v>0.99619360064610918</v>
      </c>
      <c r="R18" s="18"/>
      <c r="S18" s="494">
        <f t="shared" ref="S18:S26" si="18">O18*Q18</f>
        <v>1116864.8402951453</v>
      </c>
      <c r="T18" s="187"/>
      <c r="U18" s="494">
        <f t="shared" ref="U18:U26" si="19">S18</f>
        <v>1116864.8402951453</v>
      </c>
      <c r="V18" s="187"/>
      <c r="W18" s="546">
        <f>'Exhibit D,2'!AA18</f>
        <v>0</v>
      </c>
      <c r="X18" s="187"/>
      <c r="Y18" s="17">
        <f>'Exhibit A,3'!U18</f>
        <v>0</v>
      </c>
      <c r="Z18" s="187"/>
      <c r="AA18" s="17">
        <f t="shared" ref="AA18:AA26" si="20">AM18</f>
        <v>0</v>
      </c>
      <c r="AB18" s="187"/>
      <c r="AC18" s="17">
        <f t="shared" ref="AC18:AC26" si="21">Y18+AA18</f>
        <v>0</v>
      </c>
      <c r="AF18" s="25">
        <f>AF17+1</f>
        <v>2014</v>
      </c>
      <c r="AG18" s="18">
        <f t="shared" ref="AG18:AI26" si="22">AP18+AY18+BH18</f>
        <v>0</v>
      </c>
      <c r="AH18" s="18">
        <f t="shared" si="22"/>
        <v>0</v>
      </c>
      <c r="AI18" s="18">
        <f t="shared" si="22"/>
        <v>0</v>
      </c>
      <c r="AJ18" s="18"/>
      <c r="AK18" s="18"/>
      <c r="AL18" s="18"/>
      <c r="AM18" s="20"/>
      <c r="AO18" s="25">
        <f>AO17+1</f>
        <v>2014</v>
      </c>
      <c r="AP18" s="18">
        <f>'Exhibit B,3'!AX18*0.5</f>
        <v>0</v>
      </c>
      <c r="AQ18" s="18">
        <f>'Exhibit B,3'!AY18*0.5</f>
        <v>0</v>
      </c>
      <c r="AR18" s="18">
        <f>'Exhibit B,3'!AZ18*0.5</f>
        <v>0</v>
      </c>
      <c r="AS18" s="18"/>
      <c r="AT18" s="18"/>
      <c r="AU18" s="18"/>
      <c r="AX18" s="25">
        <f>AX17+1</f>
        <v>2014</v>
      </c>
      <c r="AY18" s="18">
        <f>'Exhibit B,3'!BF18*0.5</f>
        <v>0</v>
      </c>
      <c r="AZ18" s="18">
        <f>'Exhibit B,3'!BG18*0.5</f>
        <v>0</v>
      </c>
      <c r="BA18" s="18">
        <f>'Exhibit B,3'!BH18*0.5</f>
        <v>0</v>
      </c>
      <c r="BB18" s="18"/>
      <c r="BC18" s="18"/>
      <c r="BD18" s="18"/>
      <c r="BG18" s="25">
        <f>BG17+1</f>
        <v>2014</v>
      </c>
      <c r="BH18" s="18">
        <f>'Exhibit B,3'!BN18</f>
        <v>0</v>
      </c>
      <c r="BI18" s="18">
        <f>'Exhibit B,3'!BO18</f>
        <v>0</v>
      </c>
      <c r="BJ18" s="18">
        <f>'Exhibit B,3'!BP18</f>
        <v>0</v>
      </c>
      <c r="BK18" s="18"/>
      <c r="BL18" s="18"/>
      <c r="BM18" s="18"/>
    </row>
    <row r="19" spans="1:66">
      <c r="A19" s="6">
        <f t="shared" ref="A19:A26" si="23">A18+1</f>
        <v>2015</v>
      </c>
      <c r="C19" s="494">
        <f>'Exhibit B,2'!U19</f>
        <v>2597142.3725217641</v>
      </c>
      <c r="E19" s="73">
        <v>0.9605732097889047</v>
      </c>
      <c r="G19" s="494">
        <f t="shared" si="16"/>
        <v>2494745.385052002</v>
      </c>
      <c r="H19" s="187"/>
      <c r="I19" s="494">
        <f t="shared" si="17"/>
        <v>2494745.385052002</v>
      </c>
      <c r="J19" s="74"/>
      <c r="K19" s="74"/>
      <c r="L19" s="74"/>
      <c r="M19" s="6">
        <f t="shared" ref="M19:M26" si="24">M18+1</f>
        <v>2015</v>
      </c>
      <c r="O19" s="228">
        <f>'Exhibit B,3'!C19</f>
        <v>348242.16293173609</v>
      </c>
      <c r="Q19" s="73">
        <v>0.99125056488245011</v>
      </c>
      <c r="R19" s="18"/>
      <c r="S19" s="494">
        <f t="shared" si="18"/>
        <v>345195.24072196963</v>
      </c>
      <c r="T19" s="187"/>
      <c r="U19" s="494">
        <f t="shared" si="19"/>
        <v>345195.24072196963</v>
      </c>
      <c r="V19" s="187"/>
      <c r="W19" s="546">
        <f>'Exhibit D,2'!AA19</f>
        <v>0</v>
      </c>
      <c r="X19" s="187"/>
      <c r="Y19" s="17">
        <f>'Exhibit A,3'!U19</f>
        <v>-257086.32999999996</v>
      </c>
      <c r="Z19" s="187"/>
      <c r="AA19" s="17">
        <f t="shared" si="20"/>
        <v>0</v>
      </c>
      <c r="AB19" s="187"/>
      <c r="AC19" s="17">
        <f t="shared" si="21"/>
        <v>-257086.32999999996</v>
      </c>
      <c r="AF19" s="25">
        <f t="shared" ref="AF19:AF26" si="25">AF18+1</f>
        <v>2015</v>
      </c>
      <c r="AG19" s="18">
        <f t="shared" si="22"/>
        <v>0</v>
      </c>
      <c r="AH19" s="18">
        <f t="shared" si="22"/>
        <v>0</v>
      </c>
      <c r="AI19" s="18">
        <f t="shared" si="22"/>
        <v>0</v>
      </c>
      <c r="AJ19" s="18"/>
      <c r="AK19" s="18"/>
      <c r="AL19" s="18"/>
      <c r="AM19" s="20"/>
      <c r="AO19" s="25">
        <f t="shared" ref="AO19:AO26" si="26">AO18+1</f>
        <v>2015</v>
      </c>
      <c r="AP19" s="18">
        <f>'Exhibit B,3'!AX19*0.5</f>
        <v>0</v>
      </c>
      <c r="AQ19" s="18">
        <f>'Exhibit B,3'!AY19*0.5</f>
        <v>0</v>
      </c>
      <c r="AR19" s="18">
        <f>'Exhibit B,3'!AZ19*0.5</f>
        <v>0</v>
      </c>
      <c r="AS19" s="18"/>
      <c r="AT19" s="18"/>
      <c r="AU19" s="18"/>
      <c r="AX19" s="25">
        <f t="shared" ref="AX19:AX26" si="27">AX18+1</f>
        <v>2015</v>
      </c>
      <c r="AY19" s="18">
        <f>'Exhibit B,3'!BF19*0.5</f>
        <v>0</v>
      </c>
      <c r="AZ19" s="18">
        <f>'Exhibit B,3'!BG19*0.5</f>
        <v>0</v>
      </c>
      <c r="BA19" s="18">
        <f>'Exhibit B,3'!BH19*0.5</f>
        <v>0</v>
      </c>
      <c r="BB19" s="18"/>
      <c r="BC19" s="18"/>
      <c r="BD19" s="18"/>
      <c r="BG19" s="25">
        <f t="shared" ref="BG19:BG26" si="28">BG18+1</f>
        <v>2015</v>
      </c>
      <c r="BH19" s="18">
        <f>'Exhibit B,3'!BN19</f>
        <v>0</v>
      </c>
      <c r="BI19" s="18">
        <f>'Exhibit B,3'!BO19</f>
        <v>0</v>
      </c>
      <c r="BJ19" s="18">
        <f>'Exhibit B,3'!BP19</f>
        <v>0</v>
      </c>
      <c r="BK19" s="18"/>
      <c r="BL19" s="18"/>
      <c r="BM19" s="18"/>
    </row>
    <row r="20" spans="1:66">
      <c r="A20" s="6">
        <f t="shared" si="23"/>
        <v>2016</v>
      </c>
      <c r="C20" s="494">
        <f>'Exhibit B,2'!U20</f>
        <v>2937656.9738219422</v>
      </c>
      <c r="E20" s="73">
        <v>0.65639341645423166</v>
      </c>
      <c r="G20" s="494">
        <f t="shared" si="16"/>
        <v>1928258.697417584</v>
      </c>
      <c r="H20" s="187"/>
      <c r="I20" s="494">
        <f t="shared" si="17"/>
        <v>1928258.697417584</v>
      </c>
      <c r="J20" s="74"/>
      <c r="K20" s="74"/>
      <c r="L20" s="74"/>
      <c r="M20" s="6">
        <f t="shared" si="24"/>
        <v>2016</v>
      </c>
      <c r="O20" s="228">
        <f>'Exhibit B,3'!C20</f>
        <v>1427844.3328704594</v>
      </c>
      <c r="Q20" s="73">
        <v>0.93207930855526866</v>
      </c>
      <c r="R20" s="18"/>
      <c r="S20" s="494">
        <f t="shared" si="18"/>
        <v>1330864.1585064568</v>
      </c>
      <c r="T20" s="187"/>
      <c r="U20" s="494">
        <f t="shared" si="19"/>
        <v>1330864.1585064568</v>
      </c>
      <c r="V20" s="187"/>
      <c r="W20" s="546">
        <f>'Exhibit D,2'!AA20</f>
        <v>11104770.789999999</v>
      </c>
      <c r="X20" s="187"/>
      <c r="Y20" s="17">
        <f>'Exhibit A,3'!U20</f>
        <v>9123642.7981142849</v>
      </c>
      <c r="Z20" s="187"/>
      <c r="AA20" s="17">
        <f t="shared" si="20"/>
        <v>0</v>
      </c>
      <c r="AB20" s="187"/>
      <c r="AC20" s="17">
        <f t="shared" si="21"/>
        <v>9123642.7981142849</v>
      </c>
      <c r="AF20" s="25">
        <f t="shared" si="25"/>
        <v>2016</v>
      </c>
      <c r="AG20" s="18">
        <f t="shared" si="22"/>
        <v>180636.55499999982</v>
      </c>
      <c r="AH20" s="18">
        <f t="shared" si="22"/>
        <v>5552385.3949999996</v>
      </c>
      <c r="AI20" s="18">
        <f t="shared" si="22"/>
        <v>5552385.3949999996</v>
      </c>
      <c r="AJ20" s="18"/>
      <c r="AK20" s="18"/>
      <c r="AL20" s="18"/>
      <c r="AM20" s="20">
        <v>0</v>
      </c>
      <c r="AO20" s="25">
        <f t="shared" si="26"/>
        <v>2016</v>
      </c>
      <c r="AP20" s="18">
        <f>'Exhibit B,3'!AX20*0.5</f>
        <v>104819.8199999998</v>
      </c>
      <c r="AQ20" s="18">
        <f>'Exhibit B,3'!AY20*0.5</f>
        <v>2612124.64</v>
      </c>
      <c r="AR20" s="18">
        <f>'Exhibit B,3'!AZ20*0.5</f>
        <v>2612124.64</v>
      </c>
      <c r="AS20" s="18"/>
      <c r="AT20" s="18"/>
      <c r="AU20" s="18"/>
      <c r="AX20" s="25">
        <f t="shared" si="27"/>
        <v>2016</v>
      </c>
      <c r="AY20" s="18">
        <f>'Exhibit B,3'!BF20*0.5</f>
        <v>75816.735000000001</v>
      </c>
      <c r="AZ20" s="18">
        <f>'Exhibit B,3'!BG20*0.5</f>
        <v>2940260.7549999999</v>
      </c>
      <c r="BA20" s="18">
        <f>'Exhibit B,3'!BH20*0.5</f>
        <v>2940260.7549999999</v>
      </c>
      <c r="BB20" s="18"/>
      <c r="BC20" s="18"/>
      <c r="BD20" s="18"/>
      <c r="BG20" s="25">
        <f t="shared" si="28"/>
        <v>2016</v>
      </c>
      <c r="BH20" s="18">
        <f>'Exhibit B,3'!BN20</f>
        <v>0</v>
      </c>
      <c r="BI20" s="18">
        <f>'Exhibit B,3'!BO20</f>
        <v>0</v>
      </c>
      <c r="BJ20" s="18">
        <f>'Exhibit B,3'!BP20</f>
        <v>0</v>
      </c>
      <c r="BK20" s="18"/>
      <c r="BL20" s="18"/>
      <c r="BM20" s="18"/>
    </row>
    <row r="21" spans="1:66">
      <c r="A21" s="6">
        <f t="shared" si="23"/>
        <v>2017</v>
      </c>
      <c r="C21" s="494">
        <f>'Exhibit B,2'!U21</f>
        <v>2034573.3255892221</v>
      </c>
      <c r="E21" s="73">
        <v>0.9470341579093341</v>
      </c>
      <c r="G21" s="494">
        <f t="shared" si="16"/>
        <v>1926810.4361041824</v>
      </c>
      <c r="H21" s="187"/>
      <c r="I21" s="494">
        <f t="shared" si="17"/>
        <v>1926810.4361041824</v>
      </c>
      <c r="J21" s="74"/>
      <c r="K21" s="74"/>
      <c r="L21" s="74"/>
      <c r="M21" s="6">
        <f t="shared" si="24"/>
        <v>2017</v>
      </c>
      <c r="O21" s="228">
        <f>'Exhibit B,3'!C21</f>
        <v>1512736.4350139704</v>
      </c>
      <c r="Q21" s="73">
        <v>0.85634571691262984</v>
      </c>
      <c r="R21" s="18"/>
      <c r="S21" s="494">
        <f t="shared" si="18"/>
        <v>1295425.3669418944</v>
      </c>
      <c r="T21" s="187"/>
      <c r="U21" s="494">
        <f t="shared" si="19"/>
        <v>1295425.3669418944</v>
      </c>
      <c r="V21" s="187"/>
      <c r="W21" s="546">
        <f>'Exhibit D,2'!AA21</f>
        <v>6733089.5800000001</v>
      </c>
      <c r="X21" s="187"/>
      <c r="Y21" s="17">
        <f>'Exhibit A,3'!U21</f>
        <v>6206365.6400000006</v>
      </c>
      <c r="Z21" s="187"/>
      <c r="AA21" s="17">
        <f t="shared" si="20"/>
        <v>-301749.95</v>
      </c>
      <c r="AB21" s="187"/>
      <c r="AC21" s="17">
        <f t="shared" si="21"/>
        <v>5904615.6900000004</v>
      </c>
      <c r="AF21" s="25">
        <f t="shared" si="25"/>
        <v>2017</v>
      </c>
      <c r="AG21" s="18">
        <f t="shared" si="22"/>
        <v>1362036.905000001</v>
      </c>
      <c r="AH21" s="18">
        <f t="shared" si="22"/>
        <v>3028329.5449999999</v>
      </c>
      <c r="AI21" s="18">
        <f t="shared" si="22"/>
        <v>3517419.7650000001</v>
      </c>
      <c r="AJ21" s="18"/>
      <c r="AK21" s="18"/>
      <c r="AL21" s="18"/>
      <c r="AM21" s="20">
        <v>-301749.95</v>
      </c>
      <c r="AO21" s="25">
        <f t="shared" si="26"/>
        <v>2017</v>
      </c>
      <c r="AP21" s="18">
        <f>'Exhibit B,3'!AX21*0.5</f>
        <v>1245754.4600000009</v>
      </c>
      <c r="AQ21" s="18">
        <f>'Exhibit B,3'!AY21*0.5</f>
        <v>3028329.5449999999</v>
      </c>
      <c r="AR21" s="18">
        <f>'Exhibit B,3'!AZ21*0.5</f>
        <v>3517419.7650000001</v>
      </c>
      <c r="AS21" s="18"/>
      <c r="AT21" s="18"/>
      <c r="AU21" s="18"/>
      <c r="AX21" s="25">
        <f t="shared" si="27"/>
        <v>2017</v>
      </c>
      <c r="AY21" s="18">
        <f>'Exhibit B,3'!BF21*0.5</f>
        <v>116282.44500000004</v>
      </c>
      <c r="AZ21" s="18">
        <f>'Exhibit B,3'!BG21*0.5</f>
        <v>0</v>
      </c>
      <c r="BA21" s="18">
        <f>'Exhibit B,3'!BH21*0.5</f>
        <v>0</v>
      </c>
      <c r="BB21" s="18"/>
      <c r="BC21" s="18"/>
      <c r="BD21" s="18"/>
      <c r="BG21" s="25">
        <f t="shared" si="28"/>
        <v>2017</v>
      </c>
      <c r="BH21" s="18">
        <f>'Exhibit B,3'!BN21</f>
        <v>0</v>
      </c>
      <c r="BI21" s="18">
        <f>'Exhibit B,3'!BO21</f>
        <v>0</v>
      </c>
      <c r="BJ21" s="18">
        <f>'Exhibit B,3'!BP21</f>
        <v>0</v>
      </c>
      <c r="BK21" s="18"/>
      <c r="BL21" s="18"/>
      <c r="BM21" s="18"/>
    </row>
    <row r="22" spans="1:66">
      <c r="A22" s="6">
        <f t="shared" si="23"/>
        <v>2018</v>
      </c>
      <c r="C22" s="494">
        <f>'Exhibit B,2'!U22</f>
        <v>631061.54168837261</v>
      </c>
      <c r="E22" s="73">
        <v>0.90450194052693722</v>
      </c>
      <c r="G22" s="494">
        <f t="shared" si="16"/>
        <v>570796.38904905377</v>
      </c>
      <c r="H22" s="187"/>
      <c r="I22" s="494">
        <f t="shared" si="17"/>
        <v>570796.38904905377</v>
      </c>
      <c r="J22" s="74"/>
      <c r="K22" s="74"/>
      <c r="L22" s="74"/>
      <c r="M22" s="6">
        <f t="shared" si="24"/>
        <v>2018</v>
      </c>
      <c r="O22" s="228">
        <f>'Exhibit B,3'!C22</f>
        <v>6893090.8200000003</v>
      </c>
      <c r="Q22" s="73">
        <v>0.83547983657204627</v>
      </c>
      <c r="R22" s="18"/>
      <c r="S22" s="494">
        <f t="shared" si="18"/>
        <v>5759038.391769873</v>
      </c>
      <c r="T22" s="187"/>
      <c r="U22" s="494">
        <f t="shared" si="19"/>
        <v>5759038.391769873</v>
      </c>
      <c r="V22" s="187"/>
      <c r="W22" s="494">
        <f>'Exhibit D,2'!AA22</f>
        <v>11054425.375412874</v>
      </c>
      <c r="X22" s="187"/>
      <c r="Y22" s="17">
        <f>'Exhibit A,3'!U22</f>
        <v>6183828.3699999973</v>
      </c>
      <c r="Z22" s="187"/>
      <c r="AA22" s="17">
        <f t="shared" si="20"/>
        <v>4779456.2636480285</v>
      </c>
      <c r="AB22" s="187"/>
      <c r="AC22" s="17">
        <f t="shared" si="21"/>
        <v>10963284.633648027</v>
      </c>
      <c r="AF22" s="25">
        <f t="shared" si="25"/>
        <v>2018</v>
      </c>
      <c r="AG22" s="18">
        <f t="shared" si="22"/>
        <v>1888846.2049999994</v>
      </c>
      <c r="AH22" s="18">
        <f t="shared" si="22"/>
        <v>4267721.24</v>
      </c>
      <c r="AI22" s="18">
        <f t="shared" si="22"/>
        <v>4564644.7799999993</v>
      </c>
      <c r="AJ22" s="18"/>
      <c r="AK22" s="18"/>
      <c r="AL22" s="18"/>
      <c r="AM22" s="20">
        <v>4779456.2636480285</v>
      </c>
      <c r="AO22" s="25">
        <f t="shared" si="26"/>
        <v>2018</v>
      </c>
      <c r="AP22" s="18">
        <f>'Exhibit B,3'!AX22*0.5</f>
        <v>1314161.8449999993</v>
      </c>
      <c r="AQ22" s="18">
        <f>'Exhibit B,3'!AY22*0.5</f>
        <v>1397212.24</v>
      </c>
      <c r="AR22" s="18">
        <f>'Exhibit B,3'!AZ22*0.5</f>
        <v>1694135.7799999993</v>
      </c>
      <c r="AS22" s="18"/>
      <c r="AT22" s="18"/>
      <c r="AU22" s="18"/>
      <c r="AX22" s="25">
        <f t="shared" si="27"/>
        <v>2018</v>
      </c>
      <c r="AY22" s="18">
        <f>'Exhibit B,3'!BF22*0.5</f>
        <v>2042.04</v>
      </c>
      <c r="AZ22" s="18">
        <f>'Exhibit B,3'!BG22*0.5</f>
        <v>0</v>
      </c>
      <c r="BA22" s="18">
        <f>'Exhibit B,3'!BH22*0.5</f>
        <v>0</v>
      </c>
      <c r="BB22" s="18"/>
      <c r="BC22" s="18"/>
      <c r="BD22" s="18"/>
      <c r="BG22" s="25">
        <f t="shared" si="28"/>
        <v>2018</v>
      </c>
      <c r="BH22" s="18">
        <f>'Exhibit B,3'!BN22</f>
        <v>572642.32000000007</v>
      </c>
      <c r="BI22" s="18">
        <f>'Exhibit B,3'!BO22</f>
        <v>2870509</v>
      </c>
      <c r="BJ22" s="18">
        <f>'Exhibit B,3'!BP22</f>
        <v>2870509</v>
      </c>
      <c r="BK22" s="18"/>
      <c r="BL22" s="18"/>
      <c r="BM22" s="18"/>
    </row>
    <row r="23" spans="1:66">
      <c r="A23" s="6">
        <f t="shared" si="23"/>
        <v>2019</v>
      </c>
      <c r="C23" s="494">
        <f>'Exhibit B,2'!U23</f>
        <v>3841492.4821127155</v>
      </c>
      <c r="E23" s="73">
        <v>0.89739017859274783</v>
      </c>
      <c r="G23" s="494">
        <f t="shared" si="16"/>
        <v>3447317.6245858278</v>
      </c>
      <c r="H23" s="187"/>
      <c r="I23" s="494">
        <f t="shared" si="17"/>
        <v>3447317.6245858278</v>
      </c>
      <c r="J23" s="74"/>
      <c r="K23" s="74"/>
      <c r="L23" s="74"/>
      <c r="M23" s="6">
        <f t="shared" si="24"/>
        <v>2019</v>
      </c>
      <c r="O23" s="228">
        <f>'Exhibit B,3'!C23</f>
        <v>4106591.9098892291</v>
      </c>
      <c r="Q23" s="73">
        <v>0.82878462672457021</v>
      </c>
      <c r="R23" s="18"/>
      <c r="S23" s="494">
        <f t="shared" si="18"/>
        <v>3403480.2431476847</v>
      </c>
      <c r="T23" s="187"/>
      <c r="U23" s="494">
        <f t="shared" si="19"/>
        <v>3403480.2431476847</v>
      </c>
      <c r="V23" s="187"/>
      <c r="W23" s="494">
        <f>'Exhibit D,2'!AA23</f>
        <v>11053537.050000001</v>
      </c>
      <c r="X23" s="187"/>
      <c r="Y23" s="17">
        <f>'Exhibit A,3'!U23</f>
        <v>4551614.6100000003</v>
      </c>
      <c r="Z23" s="187"/>
      <c r="AA23" s="17">
        <f t="shared" si="20"/>
        <v>5576260.3524782406</v>
      </c>
      <c r="AB23" s="187"/>
      <c r="AC23" s="17">
        <f t="shared" si="21"/>
        <v>10127874.962478241</v>
      </c>
      <c r="AF23" s="25">
        <f t="shared" si="25"/>
        <v>2019</v>
      </c>
      <c r="AG23" s="18">
        <f t="shared" si="22"/>
        <v>1314805.9750000001</v>
      </c>
      <c r="AH23" s="18">
        <f t="shared" si="22"/>
        <v>2325748.7749999999</v>
      </c>
      <c r="AI23" s="18">
        <f t="shared" si="22"/>
        <v>2617593.7000000002</v>
      </c>
      <c r="AJ23" s="18"/>
      <c r="AK23" s="18"/>
      <c r="AL23" s="18"/>
      <c r="AM23" s="20">
        <v>5576260.3524782406</v>
      </c>
      <c r="AO23" s="25">
        <f t="shared" si="26"/>
        <v>2019</v>
      </c>
      <c r="AP23" s="18">
        <f>'Exhibit B,3'!AX23*0.5</f>
        <v>1314805.9750000001</v>
      </c>
      <c r="AQ23" s="18">
        <f>'Exhibit B,3'!AY23*0.5</f>
        <v>2325748.7749999999</v>
      </c>
      <c r="AR23" s="18">
        <f>'Exhibit B,3'!AZ23*0.5</f>
        <v>2617593.7000000002</v>
      </c>
      <c r="AS23" s="18"/>
      <c r="AT23" s="18"/>
      <c r="AU23" s="18"/>
      <c r="AX23" s="25">
        <f t="shared" si="27"/>
        <v>2019</v>
      </c>
      <c r="AY23" s="18">
        <f>'Exhibit B,3'!BF23*0.5</f>
        <v>0</v>
      </c>
      <c r="AZ23" s="18">
        <f>'Exhibit B,3'!BG23*0.5</f>
        <v>0</v>
      </c>
      <c r="BA23" s="18">
        <f>'Exhibit B,3'!BH23*0.5</f>
        <v>0</v>
      </c>
      <c r="BB23" s="18"/>
      <c r="BC23" s="18"/>
      <c r="BD23" s="18"/>
      <c r="BG23" s="25">
        <f t="shared" si="28"/>
        <v>2019</v>
      </c>
      <c r="BH23" s="18">
        <f>'Exhibit B,3'!BN23</f>
        <v>0</v>
      </c>
      <c r="BI23" s="18">
        <f>'Exhibit B,3'!BO23</f>
        <v>0</v>
      </c>
      <c r="BJ23" s="18">
        <f>'Exhibit B,3'!BP23</f>
        <v>0</v>
      </c>
      <c r="BK23" s="18"/>
      <c r="BL23" s="18"/>
      <c r="BM23" s="18"/>
    </row>
    <row r="24" spans="1:66">
      <c r="A24" s="6">
        <f t="shared" si="23"/>
        <v>2020</v>
      </c>
      <c r="C24" s="494">
        <f>'Exhibit B,2'!U24</f>
        <v>1710614.4417516314</v>
      </c>
      <c r="E24" s="73">
        <v>0.80049301936903428</v>
      </c>
      <c r="G24" s="494">
        <f t="shared" si="16"/>
        <v>1369334.9194540384</v>
      </c>
      <c r="H24" s="187"/>
      <c r="I24" s="494">
        <f t="shared" si="17"/>
        <v>1369334.9194540384</v>
      </c>
      <c r="J24" s="74"/>
      <c r="K24" s="74"/>
      <c r="L24" s="74"/>
      <c r="M24" s="6">
        <f t="shared" si="24"/>
        <v>2020</v>
      </c>
      <c r="O24" s="228">
        <f>'Exhibit B,3'!C24</f>
        <v>3252608.1310567926</v>
      </c>
      <c r="Q24" s="73">
        <v>0.81792621102397878</v>
      </c>
      <c r="R24" s="18"/>
      <c r="S24" s="494">
        <f t="shared" si="18"/>
        <v>2660393.4445810672</v>
      </c>
      <c r="T24" s="187"/>
      <c r="U24" s="494">
        <f t="shared" si="19"/>
        <v>2660393.4445810672</v>
      </c>
      <c r="V24" s="187"/>
      <c r="W24" s="494">
        <f>'Exhibit D,2'!AA24</f>
        <v>0</v>
      </c>
      <c r="X24" s="187"/>
      <c r="Y24" s="17">
        <f>'Exhibit A,3'!U24</f>
        <v>0</v>
      </c>
      <c r="Z24" s="187"/>
      <c r="AA24" s="17">
        <f t="shared" si="20"/>
        <v>0</v>
      </c>
      <c r="AB24" s="187"/>
      <c r="AC24" s="17">
        <f t="shared" si="21"/>
        <v>0</v>
      </c>
      <c r="AF24" s="25">
        <f t="shared" si="25"/>
        <v>2020</v>
      </c>
      <c r="AG24" s="18">
        <f t="shared" si="22"/>
        <v>0</v>
      </c>
      <c r="AH24" s="18">
        <f t="shared" si="22"/>
        <v>0</v>
      </c>
      <c r="AI24" s="18">
        <f t="shared" si="22"/>
        <v>0</v>
      </c>
      <c r="AJ24" s="18"/>
      <c r="AK24" s="18"/>
      <c r="AL24" s="18"/>
      <c r="AM24" s="20"/>
      <c r="AO24" s="25">
        <f t="shared" si="26"/>
        <v>2020</v>
      </c>
      <c r="AP24" s="18">
        <f>'Exhibit B,3'!AX24*0.5</f>
        <v>0</v>
      </c>
      <c r="AQ24" s="18">
        <f>'Exhibit B,3'!AY24*0.5</f>
        <v>0</v>
      </c>
      <c r="AR24" s="18">
        <f>'Exhibit B,3'!AZ24*0.5</f>
        <v>0</v>
      </c>
      <c r="AS24" s="18"/>
      <c r="AT24" s="18"/>
      <c r="AU24" s="18"/>
      <c r="AX24" s="25">
        <f t="shared" si="27"/>
        <v>2020</v>
      </c>
      <c r="AY24" s="18">
        <f>'Exhibit B,3'!BF24*0.5</f>
        <v>0</v>
      </c>
      <c r="AZ24" s="18">
        <f>'Exhibit B,3'!BG24*0.5</f>
        <v>0</v>
      </c>
      <c r="BA24" s="18">
        <f>'Exhibit B,3'!BH24*0.5</f>
        <v>0</v>
      </c>
      <c r="BB24" s="18"/>
      <c r="BC24" s="18"/>
      <c r="BD24" s="18"/>
      <c r="BG24" s="25">
        <f t="shared" si="28"/>
        <v>2020</v>
      </c>
      <c r="BH24" s="18">
        <f>'Exhibit B,3'!BN24</f>
        <v>0</v>
      </c>
      <c r="BI24" s="18">
        <f>'Exhibit B,3'!BO24</f>
        <v>0</v>
      </c>
      <c r="BJ24" s="18">
        <f>'Exhibit B,3'!BP24</f>
        <v>0</v>
      </c>
      <c r="BK24" s="18"/>
      <c r="BL24" s="18"/>
      <c r="BM24" s="18"/>
    </row>
    <row r="25" spans="1:66">
      <c r="A25" s="6">
        <f t="shared" si="23"/>
        <v>2021</v>
      </c>
      <c r="C25" s="494">
        <f>'Exhibit B,2'!U25</f>
        <v>5712832.575143653</v>
      </c>
      <c r="E25" s="73">
        <v>0.80049301936903428</v>
      </c>
      <c r="G25" s="494">
        <f>C25*E25</f>
        <v>4573082.5972265182</v>
      </c>
      <c r="H25" s="187"/>
      <c r="I25" s="494">
        <f t="shared" si="17"/>
        <v>4573082.5972265182</v>
      </c>
      <c r="J25" s="74"/>
      <c r="K25" s="74"/>
      <c r="L25" s="74"/>
      <c r="M25" s="6">
        <f t="shared" si="24"/>
        <v>2021</v>
      </c>
      <c r="O25" s="228">
        <f>'Exhibit B,3'!C25</f>
        <v>4375562.7607689556</v>
      </c>
      <c r="Q25" s="73">
        <v>0.81792621102397878</v>
      </c>
      <c r="R25" s="18"/>
      <c r="S25" s="494">
        <f t="shared" si="18"/>
        <v>3578887.4700133721</v>
      </c>
      <c r="T25" s="187"/>
      <c r="U25" s="494">
        <f t="shared" si="19"/>
        <v>3578887.4700133721</v>
      </c>
      <c r="V25" s="187"/>
      <c r="W25" s="494">
        <f>'Exhibit D,2'!AA25</f>
        <v>0</v>
      </c>
      <c r="X25" s="187"/>
      <c r="Y25" s="17">
        <f>'Exhibit A,3'!U25</f>
        <v>0</v>
      </c>
      <c r="Z25" s="187"/>
      <c r="AA25" s="17">
        <f t="shared" si="20"/>
        <v>0</v>
      </c>
      <c r="AB25" s="187"/>
      <c r="AC25" s="17">
        <f t="shared" si="21"/>
        <v>0</v>
      </c>
      <c r="AF25" s="25">
        <f t="shared" si="25"/>
        <v>2021</v>
      </c>
      <c r="AG25" s="18">
        <f t="shared" si="22"/>
        <v>0</v>
      </c>
      <c r="AH25" s="18">
        <f t="shared" si="22"/>
        <v>0</v>
      </c>
      <c r="AI25" s="18">
        <f t="shared" si="22"/>
        <v>0</v>
      </c>
      <c r="AJ25" s="18"/>
      <c r="AK25" s="18"/>
      <c r="AL25" s="18"/>
      <c r="AM25" s="20"/>
      <c r="AO25" s="25">
        <f t="shared" si="26"/>
        <v>2021</v>
      </c>
      <c r="AP25" s="18">
        <f>'Exhibit B,3'!AX25*0.5</f>
        <v>0</v>
      </c>
      <c r="AQ25" s="18">
        <f>'Exhibit B,3'!AY25*0.5</f>
        <v>0</v>
      </c>
      <c r="AR25" s="18">
        <f>'Exhibit B,3'!AZ25*0.5</f>
        <v>0</v>
      </c>
      <c r="AS25" s="18"/>
      <c r="AT25" s="18"/>
      <c r="AU25" s="18"/>
      <c r="AX25" s="25">
        <f t="shared" si="27"/>
        <v>2021</v>
      </c>
      <c r="AY25" s="18">
        <f>'Exhibit B,3'!BF25*0.5</f>
        <v>0</v>
      </c>
      <c r="AZ25" s="18">
        <f>'Exhibit B,3'!BG25*0.5</f>
        <v>0</v>
      </c>
      <c r="BA25" s="18">
        <f>'Exhibit B,3'!BH25*0.5</f>
        <v>0</v>
      </c>
      <c r="BB25" s="18"/>
      <c r="BC25" s="18"/>
      <c r="BD25" s="18"/>
      <c r="BG25" s="25">
        <f t="shared" si="28"/>
        <v>2021</v>
      </c>
      <c r="BH25" s="18">
        <f>'Exhibit B,3'!BN25</f>
        <v>0</v>
      </c>
      <c r="BI25" s="18">
        <f>'Exhibit B,3'!BO25</f>
        <v>0</v>
      </c>
      <c r="BJ25" s="18">
        <f>'Exhibit B,3'!BP25</f>
        <v>0</v>
      </c>
      <c r="BK25" s="18"/>
      <c r="BL25" s="18"/>
      <c r="BM25" s="18"/>
    </row>
    <row r="26" spans="1:66">
      <c r="A26" s="6">
        <f t="shared" si="23"/>
        <v>2022</v>
      </c>
      <c r="C26" s="494">
        <f>'Exhibit B,2'!U26</f>
        <v>2375708.2699326677</v>
      </c>
      <c r="E26" s="73">
        <v>0.80049301936903428</v>
      </c>
      <c r="G26" s="494">
        <f>C26*E26</f>
        <v>1901737.8861383859</v>
      </c>
      <c r="H26" s="187"/>
      <c r="I26" s="494">
        <f t="shared" si="17"/>
        <v>1901737.8861383859</v>
      </c>
      <c r="J26" s="74"/>
      <c r="K26" s="74"/>
      <c r="L26" s="74"/>
      <c r="M26" s="6">
        <f t="shared" si="24"/>
        <v>2022</v>
      </c>
      <c r="O26" s="228">
        <f>'Exhibit B,3'!C26</f>
        <v>3329708.8823695709</v>
      </c>
      <c r="Q26" s="73">
        <v>0.81792621102397878</v>
      </c>
      <c r="R26" s="18"/>
      <c r="S26" s="494">
        <f t="shared" si="18"/>
        <v>2723456.1699694302</v>
      </c>
      <c r="T26" s="187"/>
      <c r="U26" s="494">
        <f t="shared" si="19"/>
        <v>2723456.1699694302</v>
      </c>
      <c r="V26" s="187"/>
      <c r="W26" s="494">
        <f>'Exhibit D,2'!AA27</f>
        <v>0</v>
      </c>
      <c r="X26" s="187"/>
      <c r="Y26" s="17">
        <f>'Exhibit A,3'!U26</f>
        <v>0</v>
      </c>
      <c r="Z26" s="187"/>
      <c r="AA26" s="17">
        <f t="shared" si="20"/>
        <v>0</v>
      </c>
      <c r="AB26" s="187"/>
      <c r="AC26" s="17">
        <f t="shared" si="21"/>
        <v>0</v>
      </c>
      <c r="AF26" s="25">
        <f t="shared" si="25"/>
        <v>2022</v>
      </c>
      <c r="AG26" s="18">
        <f t="shared" si="22"/>
        <v>0</v>
      </c>
      <c r="AH26" s="18">
        <f t="shared" si="22"/>
        <v>0</v>
      </c>
      <c r="AI26" s="18">
        <f t="shared" si="22"/>
        <v>0</v>
      </c>
      <c r="AJ26" s="18"/>
      <c r="AK26" s="18"/>
      <c r="AL26" s="18"/>
      <c r="AM26" s="20"/>
      <c r="AO26" s="25">
        <f t="shared" si="26"/>
        <v>2022</v>
      </c>
      <c r="AP26" s="18">
        <f>'Exhibit B,3'!AX26*0.5</f>
        <v>0</v>
      </c>
      <c r="AQ26" s="18">
        <f>'Exhibit B,3'!AY26*0.5</f>
        <v>0</v>
      </c>
      <c r="AR26" s="18">
        <f>'Exhibit B,3'!AZ26*0.5</f>
        <v>0</v>
      </c>
      <c r="AS26" s="18"/>
      <c r="AT26" s="18"/>
      <c r="AU26" s="18"/>
      <c r="AX26" s="25">
        <f t="shared" si="27"/>
        <v>2022</v>
      </c>
      <c r="AY26" s="18">
        <f>'Exhibit B,3'!BF26*0.5</f>
        <v>0</v>
      </c>
      <c r="AZ26" s="18">
        <f>'Exhibit B,3'!BG26*0.5</f>
        <v>0</v>
      </c>
      <c r="BA26" s="18">
        <f>'Exhibit B,3'!BH26*0.5</f>
        <v>0</v>
      </c>
      <c r="BB26" s="18"/>
      <c r="BC26" s="18"/>
      <c r="BD26" s="18"/>
      <c r="BG26" s="25">
        <f t="shared" si="28"/>
        <v>2022</v>
      </c>
      <c r="BH26" s="18">
        <f>'Exhibit B,3'!BN26</f>
        <v>0</v>
      </c>
      <c r="BI26" s="18">
        <f>'Exhibit B,3'!BO26</f>
        <v>0</v>
      </c>
      <c r="BJ26" s="18">
        <f>'Exhibit B,3'!BP26</f>
        <v>0</v>
      </c>
      <c r="BK26" s="18"/>
      <c r="BL26" s="18"/>
      <c r="BM26" s="18"/>
    </row>
    <row r="27" spans="1:66">
      <c r="A27" s="6"/>
      <c r="C27" s="63"/>
      <c r="G27" s="63"/>
      <c r="I27" s="63"/>
      <c r="M27" s="6"/>
      <c r="U27" s="70"/>
      <c r="W27" s="63"/>
      <c r="Y27" s="63"/>
      <c r="AA27" s="63"/>
      <c r="AC27" s="63"/>
      <c r="AF27" s="25"/>
      <c r="AG27" s="70"/>
      <c r="AH27" s="70"/>
      <c r="AI27" s="70"/>
      <c r="AJ27" s="70"/>
      <c r="AK27" s="70"/>
      <c r="AL27" s="70"/>
      <c r="AM27" s="63"/>
      <c r="AO27" s="25"/>
      <c r="AP27" s="70"/>
      <c r="AQ27" s="70"/>
      <c r="AR27" s="70"/>
      <c r="AS27" s="70"/>
      <c r="AT27" s="70"/>
      <c r="AU27" s="70"/>
      <c r="AX27" s="25"/>
      <c r="AY27" s="70"/>
      <c r="AZ27" s="70"/>
      <c r="BA27" s="70"/>
      <c r="BB27" s="70"/>
      <c r="BC27" s="70"/>
      <c r="BD27" s="70"/>
      <c r="BG27" s="25"/>
      <c r="BH27" s="70"/>
      <c r="BI27" s="70"/>
      <c r="BJ27" s="70"/>
      <c r="BK27" s="70"/>
      <c r="BL27" s="70"/>
      <c r="BM27" s="70"/>
    </row>
    <row r="28" spans="1:66">
      <c r="A28" s="2" t="s">
        <v>0</v>
      </c>
      <c r="C28" s="497">
        <f>SUM(C17:C27)</f>
        <v>25852693.825376164</v>
      </c>
      <c r="D28" s="66"/>
      <c r="G28" s="497">
        <f>SUM(G17:G27)</f>
        <v>19396498.283821449</v>
      </c>
      <c r="H28" s="147"/>
      <c r="I28" s="147">
        <f>SUM(I17:I27)</f>
        <v>19396498.283821449</v>
      </c>
      <c r="J28" s="26"/>
      <c r="K28" s="26"/>
      <c r="L28" s="26"/>
      <c r="M28" s="2" t="s">
        <v>0</v>
      </c>
      <c r="O28" s="497">
        <f>SUM(O17:O27)</f>
        <v>26367517.752525292</v>
      </c>
      <c r="P28" s="66"/>
      <c r="R28" s="66"/>
      <c r="S28" s="497">
        <f>SUM(S17:S27)</f>
        <v>22213605.32594689</v>
      </c>
      <c r="T28" s="147"/>
      <c r="U28" s="147">
        <f>SUM(U17:U27)</f>
        <v>22213605.32594689</v>
      </c>
      <c r="V28" s="147"/>
      <c r="W28" s="147">
        <f>SUM(W17:W27)</f>
        <v>39945822.795412868</v>
      </c>
      <c r="X28" s="147"/>
      <c r="Y28" s="147">
        <f>SUM(Y17:Y27)</f>
        <v>25808365.088114284</v>
      </c>
      <c r="Z28" s="147"/>
      <c r="AA28" s="147">
        <f>SUM(AA17:AA27)</f>
        <v>10053966.66612627</v>
      </c>
      <c r="AB28" s="147"/>
      <c r="AC28" s="147">
        <f>SUM(AC17:AC27)</f>
        <v>35862331.75424055</v>
      </c>
      <c r="AF28" s="97" t="s">
        <v>0</v>
      </c>
      <c r="AG28" s="68">
        <f t="shared" ref="AG28:AM28" si="29">SUM(AG17:AG27)</f>
        <v>4746325.6400000006</v>
      </c>
      <c r="AH28" s="68">
        <f t="shared" si="29"/>
        <v>15174184.955</v>
      </c>
      <c r="AI28" s="68">
        <f t="shared" si="29"/>
        <v>16252043.640000001</v>
      </c>
      <c r="AJ28" s="68"/>
      <c r="AK28" s="68"/>
      <c r="AL28" s="68"/>
      <c r="AM28" s="68">
        <f t="shared" si="29"/>
        <v>10053966.66612627</v>
      </c>
      <c r="AO28" s="97" t="s">
        <v>0</v>
      </c>
      <c r="AP28" s="68">
        <f t="shared" ref="AP28:AR28" si="30">SUM(AP17:AP27)</f>
        <v>3979542.1</v>
      </c>
      <c r="AQ28" s="68">
        <f t="shared" si="30"/>
        <v>9363415.2000000011</v>
      </c>
      <c r="AR28" s="69">
        <f t="shared" si="30"/>
        <v>10441273.885</v>
      </c>
      <c r="AS28" s="68"/>
      <c r="AT28" s="68"/>
      <c r="AU28" s="68"/>
      <c r="AX28" s="97" t="s">
        <v>0</v>
      </c>
      <c r="AY28" s="68">
        <f t="shared" ref="AY28:BA28" si="31">SUM(AY17:AY27)</f>
        <v>194141.22000000006</v>
      </c>
      <c r="AZ28" s="68">
        <f t="shared" si="31"/>
        <v>2940260.7549999999</v>
      </c>
      <c r="BA28" s="68">
        <f t="shared" si="31"/>
        <v>2940260.7549999999</v>
      </c>
      <c r="BB28" s="68"/>
      <c r="BC28" s="68"/>
      <c r="BD28" s="68"/>
      <c r="BG28" s="97" t="s">
        <v>0</v>
      </c>
      <c r="BH28" s="68">
        <f t="shared" ref="BH28:BJ28" si="32">SUM(BH17:BH27)</f>
        <v>572642.32000000007</v>
      </c>
      <c r="BI28" s="68">
        <f t="shared" si="32"/>
        <v>2870509</v>
      </c>
      <c r="BJ28" s="68">
        <f t="shared" si="32"/>
        <v>2870509</v>
      </c>
      <c r="BK28" s="68"/>
      <c r="BL28" s="68"/>
      <c r="BM28" s="68"/>
    </row>
    <row r="29" spans="1:66">
      <c r="A29" s="6"/>
      <c r="AF29" s="25"/>
      <c r="AO29" s="25"/>
      <c r="AX29" s="25"/>
      <c r="BG29" s="25"/>
    </row>
    <row r="30" spans="1:66">
      <c r="A30" s="3" t="s">
        <v>295</v>
      </c>
      <c r="M30" s="3" t="s">
        <v>393</v>
      </c>
      <c r="O30" s="3"/>
      <c r="AF30" s="115" t="s">
        <v>393</v>
      </c>
      <c r="AH30" s="18"/>
      <c r="AI30" s="18"/>
      <c r="AO30" s="115" t="s">
        <v>393</v>
      </c>
      <c r="AQ30" s="18"/>
      <c r="AR30" s="18"/>
      <c r="AX30" s="115" t="s">
        <v>393</v>
      </c>
      <c r="AZ30" s="18"/>
      <c r="BA30" s="18"/>
      <c r="BG30" s="115" t="s">
        <v>393</v>
      </c>
      <c r="BI30" s="18"/>
      <c r="BJ30" s="18"/>
    </row>
    <row r="31" spans="1:66">
      <c r="A31" s="6">
        <f>A17</f>
        <v>2013</v>
      </c>
      <c r="C31" s="497">
        <f>'Exhibit B,2'!U31</f>
        <v>0</v>
      </c>
      <c r="E31" s="73">
        <v>0</v>
      </c>
      <c r="G31" s="497">
        <f>C31*E31</f>
        <v>0</v>
      </c>
      <c r="H31" s="147"/>
      <c r="I31" s="497">
        <f>G31</f>
        <v>0</v>
      </c>
      <c r="J31" s="74"/>
      <c r="K31" s="74"/>
      <c r="L31" s="74"/>
      <c r="M31" s="6">
        <f>M17</f>
        <v>2013</v>
      </c>
      <c r="O31" s="497"/>
      <c r="P31" s="66"/>
      <c r="Q31" s="73"/>
      <c r="S31" s="497"/>
      <c r="T31" s="147"/>
      <c r="U31" s="497"/>
      <c r="V31" s="74"/>
      <c r="W31" s="74"/>
      <c r="AF31" s="25">
        <f>AF17</f>
        <v>2013</v>
      </c>
      <c r="AG31" s="18">
        <f>AP31+AY31+BH31</f>
        <v>0</v>
      </c>
      <c r="AH31" s="18">
        <f>AQ31+AZ31+BI31</f>
        <v>0</v>
      </c>
      <c r="AI31" s="18">
        <f>AR31+BA31+BJ31</f>
        <v>0</v>
      </c>
      <c r="AJ31" s="18"/>
      <c r="AK31" s="18"/>
      <c r="AL31" s="18"/>
      <c r="AM31" s="66"/>
      <c r="AO31" s="25">
        <f>AO17</f>
        <v>2013</v>
      </c>
      <c r="AP31" s="18">
        <f>'Exhibit B,3'!AX31*0.5</f>
        <v>0</v>
      </c>
      <c r="AQ31" s="18">
        <f>'Exhibit B,3'!AY31*0.5</f>
        <v>0</v>
      </c>
      <c r="AR31" s="18">
        <f>'Exhibit B,3'!AZ31*0.5</f>
        <v>0</v>
      </c>
      <c r="AS31" s="18"/>
      <c r="AT31" s="18"/>
      <c r="AU31" s="18"/>
      <c r="AV31" s="66"/>
      <c r="AX31" s="25">
        <f>AX17</f>
        <v>2013</v>
      </c>
      <c r="AY31" s="18">
        <f>'Exhibit B,3'!BF31*0.5</f>
        <v>0</v>
      </c>
      <c r="AZ31" s="18">
        <f>'Exhibit B,3'!BG31*0.5</f>
        <v>0</v>
      </c>
      <c r="BA31" s="18">
        <f>'Exhibit B,3'!BH31*0.5</f>
        <v>0</v>
      </c>
      <c r="BB31" s="18"/>
      <c r="BC31" s="18"/>
      <c r="BD31" s="18"/>
      <c r="BE31" s="66"/>
      <c r="BG31" s="25">
        <f>BG17</f>
        <v>2013</v>
      </c>
      <c r="BH31" s="18">
        <f>'Exhibit B,3'!BN31</f>
        <v>0</v>
      </c>
      <c r="BI31" s="18">
        <f>'Exhibit B,3'!BO31</f>
        <v>0</v>
      </c>
      <c r="BJ31" s="18">
        <f>'Exhibit B,3'!BP31</f>
        <v>0</v>
      </c>
      <c r="BK31" s="18"/>
      <c r="BL31" s="18"/>
      <c r="BM31" s="18"/>
      <c r="BN31" s="66"/>
    </row>
    <row r="32" spans="1:66">
      <c r="A32" s="6">
        <f>A31+1</f>
        <v>2014</v>
      </c>
      <c r="C32" s="494">
        <f>'Exhibit B,2'!U32</f>
        <v>420</v>
      </c>
      <c r="D32" s="26"/>
      <c r="E32" s="73">
        <v>0</v>
      </c>
      <c r="G32" s="494">
        <f t="shared" ref="G32:G37" si="33">C32*E32</f>
        <v>0</v>
      </c>
      <c r="H32" s="187"/>
      <c r="I32" s="494">
        <f t="shared" ref="I32:I38" si="34">G32</f>
        <v>0</v>
      </c>
      <c r="J32" s="74"/>
      <c r="K32" s="74"/>
      <c r="L32" s="74"/>
      <c r="M32" s="6">
        <f>M31+1</f>
        <v>2014</v>
      </c>
      <c r="O32" s="494"/>
      <c r="P32" s="26"/>
      <c r="Q32" s="73"/>
      <c r="S32" s="494"/>
      <c r="T32" s="187"/>
      <c r="U32" s="494"/>
      <c r="V32" s="74"/>
      <c r="W32" s="74"/>
      <c r="AF32" s="25">
        <f>AF31+1</f>
        <v>2014</v>
      </c>
      <c r="AG32" s="18">
        <f t="shared" ref="AG32:AG40" si="35">AP32+AY32+BH32</f>
        <v>0</v>
      </c>
      <c r="AH32" s="18">
        <f t="shared" ref="AH32:AH40" si="36">AQ32+AZ32+BI32</f>
        <v>0</v>
      </c>
      <c r="AI32" s="18">
        <f t="shared" ref="AI32:AI40" si="37">AR32+BA32+BJ32</f>
        <v>0</v>
      </c>
      <c r="AJ32" s="18"/>
      <c r="AK32" s="18"/>
      <c r="AL32" s="18"/>
      <c r="AM32" s="20"/>
      <c r="AO32" s="25">
        <f>AO31+1</f>
        <v>2014</v>
      </c>
      <c r="AP32" s="18">
        <f>'Exhibit B,3'!AX32*0.5</f>
        <v>0</v>
      </c>
      <c r="AQ32" s="18">
        <f>'Exhibit B,3'!AY32*0.5</f>
        <v>0</v>
      </c>
      <c r="AR32" s="18">
        <f>'Exhibit B,3'!AZ32*0.5</f>
        <v>0</v>
      </c>
      <c r="AS32" s="18"/>
      <c r="AT32" s="18"/>
      <c r="AU32" s="18"/>
      <c r="AV32" s="20"/>
      <c r="AX32" s="25">
        <f>AX31+1</f>
        <v>2014</v>
      </c>
      <c r="AY32" s="18">
        <f>'Exhibit B,3'!BF32*0.5</f>
        <v>0</v>
      </c>
      <c r="AZ32" s="18">
        <f>'Exhibit B,3'!BG32*0.5</f>
        <v>0</v>
      </c>
      <c r="BA32" s="18">
        <f>'Exhibit B,3'!BH32*0.5</f>
        <v>0</v>
      </c>
      <c r="BB32" s="18"/>
      <c r="BC32" s="18"/>
      <c r="BD32" s="18"/>
      <c r="BE32" s="20"/>
      <c r="BG32" s="25">
        <f>BG31+1</f>
        <v>2014</v>
      </c>
      <c r="BH32" s="18">
        <f>'Exhibit B,3'!BN32</f>
        <v>0</v>
      </c>
      <c r="BI32" s="18">
        <f>'Exhibit B,3'!BO32</f>
        <v>0</v>
      </c>
      <c r="BJ32" s="18">
        <f>'Exhibit B,3'!BP32</f>
        <v>0</v>
      </c>
      <c r="BK32" s="18"/>
      <c r="BL32" s="18"/>
      <c r="BM32" s="18"/>
      <c r="BN32" s="20"/>
    </row>
    <row r="33" spans="1:66">
      <c r="A33" s="6">
        <f t="shared" ref="A33:A38" si="38">A32+1</f>
        <v>2015</v>
      </c>
      <c r="C33" s="494">
        <f>'Exhibit B,2'!U33</f>
        <v>104375</v>
      </c>
      <c r="E33" s="73">
        <v>0</v>
      </c>
      <c r="G33" s="494">
        <f t="shared" si="33"/>
        <v>0</v>
      </c>
      <c r="H33" s="187"/>
      <c r="I33" s="494">
        <f t="shared" si="34"/>
        <v>0</v>
      </c>
      <c r="J33" s="74"/>
      <c r="K33" s="74"/>
      <c r="L33" s="74"/>
      <c r="M33" s="6">
        <f t="shared" ref="M33:M39" si="39">M32+1</f>
        <v>2015</v>
      </c>
      <c r="O33" s="494"/>
      <c r="Q33" s="73"/>
      <c r="S33" s="494"/>
      <c r="T33" s="187"/>
      <c r="U33" s="494"/>
      <c r="V33" s="74"/>
      <c r="W33" s="74"/>
      <c r="AF33" s="25">
        <f t="shared" ref="AF33:AF40" si="40">AF32+1</f>
        <v>2015</v>
      </c>
      <c r="AG33" s="18">
        <f t="shared" si="35"/>
        <v>0</v>
      </c>
      <c r="AH33" s="18">
        <f t="shared" si="36"/>
        <v>0</v>
      </c>
      <c r="AI33" s="18">
        <f t="shared" si="37"/>
        <v>0</v>
      </c>
      <c r="AJ33" s="18"/>
      <c r="AK33" s="18"/>
      <c r="AL33" s="18"/>
      <c r="AM33" s="20"/>
      <c r="AO33" s="25">
        <f t="shared" ref="AO33:AO40" si="41">AO32+1</f>
        <v>2015</v>
      </c>
      <c r="AP33" s="18">
        <f>'Exhibit B,3'!AX33*0.5</f>
        <v>0</v>
      </c>
      <c r="AQ33" s="18">
        <f>'Exhibit B,3'!AY33*0.5</f>
        <v>0</v>
      </c>
      <c r="AR33" s="18">
        <f>'Exhibit B,3'!AZ33*0.5</f>
        <v>0</v>
      </c>
      <c r="AS33" s="18"/>
      <c r="AT33" s="18"/>
      <c r="AU33" s="18"/>
      <c r="AV33" s="20"/>
      <c r="AX33" s="25">
        <f t="shared" ref="AX33:AX40" si="42">AX32+1</f>
        <v>2015</v>
      </c>
      <c r="AY33" s="18">
        <f>'Exhibit B,3'!BF33*0.5</f>
        <v>0</v>
      </c>
      <c r="AZ33" s="18">
        <f>'Exhibit B,3'!BG33*0.5</f>
        <v>0</v>
      </c>
      <c r="BA33" s="18">
        <f>'Exhibit B,3'!BH33*0.5</f>
        <v>0</v>
      </c>
      <c r="BB33" s="18"/>
      <c r="BC33" s="18"/>
      <c r="BD33" s="18"/>
      <c r="BE33" s="20"/>
      <c r="BG33" s="25">
        <f t="shared" ref="BG33:BG40" si="43">BG32+1</f>
        <v>2015</v>
      </c>
      <c r="BH33" s="18">
        <f>'Exhibit B,3'!BN33</f>
        <v>0</v>
      </c>
      <c r="BI33" s="18">
        <f>'Exhibit B,3'!BO33</f>
        <v>0</v>
      </c>
      <c r="BJ33" s="18">
        <f>'Exhibit B,3'!BP33</f>
        <v>0</v>
      </c>
      <c r="BK33" s="18"/>
      <c r="BL33" s="18"/>
      <c r="BM33" s="18"/>
      <c r="BN33" s="20"/>
    </row>
    <row r="34" spans="1:66">
      <c r="A34" s="6">
        <f t="shared" si="38"/>
        <v>2016</v>
      </c>
      <c r="C34" s="494">
        <f>'Exhibit B,2'!U34</f>
        <v>114230.56999999999</v>
      </c>
      <c r="E34" s="73">
        <v>0</v>
      </c>
      <c r="G34" s="494">
        <f t="shared" si="33"/>
        <v>0</v>
      </c>
      <c r="H34" s="187"/>
      <c r="I34" s="494">
        <f t="shared" si="34"/>
        <v>0</v>
      </c>
      <c r="J34" s="74"/>
      <c r="K34" s="74"/>
      <c r="L34" s="74"/>
      <c r="M34" s="6">
        <f t="shared" si="39"/>
        <v>2016</v>
      </c>
      <c r="O34" s="494"/>
      <c r="Q34" s="73"/>
      <c r="S34" s="494"/>
      <c r="T34" s="187"/>
      <c r="U34" s="494"/>
      <c r="V34" s="74"/>
      <c r="W34" s="74"/>
      <c r="AF34" s="25">
        <f t="shared" si="40"/>
        <v>2016</v>
      </c>
      <c r="AG34" s="18">
        <f t="shared" si="35"/>
        <v>0</v>
      </c>
      <c r="AH34" s="18">
        <f t="shared" si="36"/>
        <v>0</v>
      </c>
      <c r="AI34" s="18">
        <f t="shared" si="37"/>
        <v>0</v>
      </c>
      <c r="AJ34" s="18"/>
      <c r="AK34" s="18"/>
      <c r="AL34" s="18"/>
      <c r="AM34" s="20"/>
      <c r="AO34" s="25">
        <f t="shared" si="41"/>
        <v>2016</v>
      </c>
      <c r="AP34" s="18">
        <f>'Exhibit B,3'!AX34*0.5</f>
        <v>0</v>
      </c>
      <c r="AQ34" s="18">
        <f>'Exhibit B,3'!AY34*0.5</f>
        <v>0</v>
      </c>
      <c r="AR34" s="18">
        <f>'Exhibit B,3'!AZ34*0.5</f>
        <v>0</v>
      </c>
      <c r="AS34" s="18"/>
      <c r="AT34" s="18"/>
      <c r="AU34" s="18"/>
      <c r="AV34" s="66"/>
      <c r="AX34" s="25">
        <f t="shared" si="42"/>
        <v>2016</v>
      </c>
      <c r="AY34" s="18">
        <f>'Exhibit B,3'!BF34*0.5</f>
        <v>0</v>
      </c>
      <c r="AZ34" s="18">
        <f>'Exhibit B,3'!BG34*0.5</f>
        <v>0</v>
      </c>
      <c r="BA34" s="18">
        <f>'Exhibit B,3'!BH34*0.5</f>
        <v>0</v>
      </c>
      <c r="BB34" s="18"/>
      <c r="BC34" s="18"/>
      <c r="BD34" s="18"/>
      <c r="BE34" s="66"/>
      <c r="BG34" s="25">
        <f t="shared" si="43"/>
        <v>2016</v>
      </c>
      <c r="BH34" s="18">
        <f>'Exhibit B,3'!BN34</f>
        <v>0</v>
      </c>
      <c r="BI34" s="18">
        <f>'Exhibit B,3'!BO34</f>
        <v>0</v>
      </c>
      <c r="BJ34" s="18">
        <f>'Exhibit B,3'!BP34</f>
        <v>0</v>
      </c>
      <c r="BK34" s="18"/>
      <c r="BL34" s="18"/>
      <c r="BM34" s="18"/>
      <c r="BN34" s="66"/>
    </row>
    <row r="35" spans="1:66">
      <c r="A35" s="6">
        <f t="shared" si="38"/>
        <v>2017</v>
      </c>
      <c r="C35" s="494">
        <f>'Exhibit B,2'!U35</f>
        <v>72455.05</v>
      </c>
      <c r="E35" s="73">
        <v>0</v>
      </c>
      <c r="G35" s="494">
        <f t="shared" si="33"/>
        <v>0</v>
      </c>
      <c r="H35" s="187"/>
      <c r="I35" s="494">
        <f t="shared" si="34"/>
        <v>0</v>
      </c>
      <c r="J35" s="74"/>
      <c r="K35" s="74"/>
      <c r="L35" s="74"/>
      <c r="M35" s="6">
        <f t="shared" si="39"/>
        <v>2017</v>
      </c>
      <c r="O35" s="494"/>
      <c r="Q35" s="73"/>
      <c r="S35" s="494"/>
      <c r="T35" s="187"/>
      <c r="U35" s="494"/>
      <c r="V35" s="74"/>
      <c r="W35" s="74"/>
      <c r="AF35" s="25">
        <f t="shared" si="40"/>
        <v>2017</v>
      </c>
      <c r="AG35" s="18">
        <f t="shared" si="35"/>
        <v>0</v>
      </c>
      <c r="AH35" s="18">
        <f t="shared" si="36"/>
        <v>0</v>
      </c>
      <c r="AI35" s="18">
        <f t="shared" si="37"/>
        <v>0</v>
      </c>
      <c r="AJ35" s="18"/>
      <c r="AK35" s="18"/>
      <c r="AL35" s="18"/>
      <c r="AM35" s="20"/>
      <c r="AO35" s="25">
        <f t="shared" si="41"/>
        <v>2017</v>
      </c>
      <c r="AP35" s="18">
        <f>'Exhibit B,3'!AX35*0.5</f>
        <v>0</v>
      </c>
      <c r="AQ35" s="18">
        <f>'Exhibit B,3'!AY35*0.5</f>
        <v>0</v>
      </c>
      <c r="AR35" s="18">
        <f>'Exhibit B,3'!AZ35*0.5</f>
        <v>0</v>
      </c>
      <c r="AS35" s="18"/>
      <c r="AT35" s="18"/>
      <c r="AU35" s="18"/>
      <c r="AV35" s="20"/>
      <c r="AX35" s="25">
        <f t="shared" si="42"/>
        <v>2017</v>
      </c>
      <c r="AY35" s="18">
        <f>'Exhibit B,3'!BF35*0.5</f>
        <v>0</v>
      </c>
      <c r="AZ35" s="18">
        <f>'Exhibit B,3'!BG35*0.5</f>
        <v>0</v>
      </c>
      <c r="BA35" s="18">
        <f>'Exhibit B,3'!BH35*0.5</f>
        <v>0</v>
      </c>
      <c r="BB35" s="18"/>
      <c r="BC35" s="18"/>
      <c r="BD35" s="18"/>
      <c r="BE35" s="20"/>
      <c r="BG35" s="25">
        <f t="shared" si="43"/>
        <v>2017</v>
      </c>
      <c r="BH35" s="18">
        <f>'Exhibit B,3'!BN35</f>
        <v>0</v>
      </c>
      <c r="BI35" s="18">
        <f>'Exhibit B,3'!BO35</f>
        <v>0</v>
      </c>
      <c r="BJ35" s="18">
        <f>'Exhibit B,3'!BP35</f>
        <v>0</v>
      </c>
      <c r="BK35" s="18"/>
      <c r="BL35" s="18"/>
      <c r="BM35" s="18"/>
      <c r="BN35" s="20"/>
    </row>
    <row r="36" spans="1:66">
      <c r="A36" s="6">
        <f t="shared" si="38"/>
        <v>2018</v>
      </c>
      <c r="C36" s="494">
        <f>'Exhibit B,2'!U36</f>
        <v>0</v>
      </c>
      <c r="E36" s="73">
        <v>0</v>
      </c>
      <c r="G36" s="494">
        <f t="shared" si="33"/>
        <v>0</v>
      </c>
      <c r="H36" s="187"/>
      <c r="I36" s="494">
        <f t="shared" si="34"/>
        <v>0</v>
      </c>
      <c r="J36" s="74"/>
      <c r="K36" s="74"/>
      <c r="L36" s="74"/>
      <c r="M36" s="6">
        <f t="shared" si="39"/>
        <v>2018</v>
      </c>
      <c r="O36" s="494"/>
      <c r="Q36" s="73"/>
      <c r="S36" s="494"/>
      <c r="T36" s="187"/>
      <c r="U36" s="494"/>
      <c r="V36" s="74"/>
      <c r="W36" s="74"/>
      <c r="AF36" s="25">
        <f t="shared" si="40"/>
        <v>2018</v>
      </c>
      <c r="AG36" s="18">
        <f t="shared" si="35"/>
        <v>0</v>
      </c>
      <c r="AH36" s="18">
        <f t="shared" si="36"/>
        <v>0</v>
      </c>
      <c r="AI36" s="18">
        <f t="shared" si="37"/>
        <v>0</v>
      </c>
      <c r="AJ36" s="18"/>
      <c r="AK36" s="18"/>
      <c r="AL36" s="18"/>
      <c r="AM36" s="20"/>
      <c r="AO36" s="25">
        <f t="shared" si="41"/>
        <v>2018</v>
      </c>
      <c r="AP36" s="18">
        <f>'Exhibit B,3'!AX36*0.5</f>
        <v>0</v>
      </c>
      <c r="AQ36" s="18">
        <f>'Exhibit B,3'!AY36*0.5</f>
        <v>0</v>
      </c>
      <c r="AR36" s="18">
        <f>'Exhibit B,3'!AZ36*0.5</f>
        <v>0</v>
      </c>
      <c r="AS36" s="18"/>
      <c r="AT36" s="18"/>
      <c r="AU36" s="18"/>
      <c r="AV36" s="20"/>
      <c r="AX36" s="25">
        <f t="shared" si="42"/>
        <v>2018</v>
      </c>
      <c r="AY36" s="18">
        <f>'Exhibit B,3'!BF36*0.5</f>
        <v>0</v>
      </c>
      <c r="AZ36" s="18">
        <f>'Exhibit B,3'!BG36*0.5</f>
        <v>0</v>
      </c>
      <c r="BA36" s="18">
        <f>'Exhibit B,3'!BH36*0.5</f>
        <v>0</v>
      </c>
      <c r="BB36" s="18"/>
      <c r="BC36" s="18"/>
      <c r="BD36" s="18"/>
      <c r="BE36" s="20"/>
      <c r="BG36" s="25">
        <f t="shared" si="43"/>
        <v>2018</v>
      </c>
      <c r="BH36" s="18">
        <f>'Exhibit B,3'!BN36</f>
        <v>0</v>
      </c>
      <c r="BI36" s="18">
        <f>'Exhibit B,3'!BO36</f>
        <v>0</v>
      </c>
      <c r="BJ36" s="18">
        <f>'Exhibit B,3'!BP36</f>
        <v>0</v>
      </c>
      <c r="BK36" s="18"/>
      <c r="BL36" s="18"/>
      <c r="BM36" s="18"/>
      <c r="BN36" s="20"/>
    </row>
    <row r="37" spans="1:66">
      <c r="A37" s="6">
        <f t="shared" si="38"/>
        <v>2019</v>
      </c>
      <c r="C37" s="494">
        <f>'Exhibit B,2'!U37</f>
        <v>0</v>
      </c>
      <c r="E37" s="73">
        <v>0</v>
      </c>
      <c r="G37" s="494">
        <f t="shared" si="33"/>
        <v>0</v>
      </c>
      <c r="H37" s="187"/>
      <c r="I37" s="494">
        <f t="shared" si="34"/>
        <v>0</v>
      </c>
      <c r="J37" s="74"/>
      <c r="K37" s="74"/>
      <c r="L37" s="74"/>
      <c r="M37" s="6">
        <f t="shared" si="39"/>
        <v>2019</v>
      </c>
      <c r="O37" s="494"/>
      <c r="Q37" s="73"/>
      <c r="S37" s="494"/>
      <c r="T37" s="187"/>
      <c r="U37" s="494"/>
      <c r="V37" s="74"/>
      <c r="W37" s="74"/>
      <c r="AF37" s="25">
        <f t="shared" si="40"/>
        <v>2019</v>
      </c>
      <c r="AG37" s="18">
        <f t="shared" si="35"/>
        <v>0</v>
      </c>
      <c r="AH37" s="18">
        <f t="shared" si="36"/>
        <v>0</v>
      </c>
      <c r="AI37" s="18">
        <f t="shared" si="37"/>
        <v>0</v>
      </c>
      <c r="AJ37" s="18"/>
      <c r="AK37" s="18"/>
      <c r="AL37" s="18"/>
      <c r="AM37" s="20"/>
      <c r="AO37" s="25">
        <f t="shared" si="41"/>
        <v>2019</v>
      </c>
      <c r="AP37" s="18">
        <f>'Exhibit B,3'!AX37*0.5</f>
        <v>0</v>
      </c>
      <c r="AQ37" s="18">
        <f>'Exhibit B,3'!AY37*0.5</f>
        <v>0</v>
      </c>
      <c r="AR37" s="18">
        <f>'Exhibit B,3'!AZ37*0.5</f>
        <v>0</v>
      </c>
      <c r="AS37" s="18"/>
      <c r="AT37" s="18"/>
      <c r="AU37" s="18"/>
      <c r="AV37" s="20"/>
      <c r="AX37" s="25">
        <f t="shared" si="42"/>
        <v>2019</v>
      </c>
      <c r="AY37" s="18">
        <f>'Exhibit B,3'!BF37*0.5</f>
        <v>0</v>
      </c>
      <c r="AZ37" s="18">
        <f>'Exhibit B,3'!BG37*0.5</f>
        <v>0</v>
      </c>
      <c r="BA37" s="18">
        <f>'Exhibit B,3'!BH37*0.5</f>
        <v>0</v>
      </c>
      <c r="BB37" s="18"/>
      <c r="BC37" s="18"/>
      <c r="BD37" s="18"/>
      <c r="BE37" s="20"/>
      <c r="BG37" s="25">
        <f t="shared" si="43"/>
        <v>2019</v>
      </c>
      <c r="BH37" s="18">
        <f>'Exhibit B,3'!BN37</f>
        <v>0</v>
      </c>
      <c r="BI37" s="18">
        <f>'Exhibit B,3'!BO37</f>
        <v>0</v>
      </c>
      <c r="BJ37" s="18">
        <f>'Exhibit B,3'!BP37</f>
        <v>0</v>
      </c>
      <c r="BK37" s="18"/>
      <c r="BL37" s="18"/>
      <c r="BM37" s="18"/>
      <c r="BN37" s="20"/>
    </row>
    <row r="38" spans="1:66">
      <c r="A38" s="6">
        <f t="shared" si="38"/>
        <v>2020</v>
      </c>
      <c r="C38" s="494">
        <f>'Exhibit B,2'!U38</f>
        <v>2002</v>
      </c>
      <c r="E38" s="73">
        <v>0</v>
      </c>
      <c r="G38" s="494">
        <f>C38*E38</f>
        <v>0</v>
      </c>
      <c r="H38" s="187"/>
      <c r="I38" s="494">
        <f t="shared" si="34"/>
        <v>0</v>
      </c>
      <c r="J38" s="74"/>
      <c r="K38" s="74"/>
      <c r="L38" s="74"/>
      <c r="M38" s="6">
        <f t="shared" si="39"/>
        <v>2020</v>
      </c>
      <c r="O38" s="494"/>
      <c r="Q38" s="73"/>
      <c r="S38" s="494"/>
      <c r="T38" s="187"/>
      <c r="U38" s="494"/>
      <c r="V38" s="74"/>
      <c r="W38" s="74"/>
      <c r="AF38" s="25">
        <f t="shared" si="40"/>
        <v>2020</v>
      </c>
      <c r="AG38" s="18">
        <f t="shared" si="35"/>
        <v>0</v>
      </c>
      <c r="AH38" s="18">
        <f t="shared" si="36"/>
        <v>0</v>
      </c>
      <c r="AI38" s="18">
        <f t="shared" si="37"/>
        <v>0</v>
      </c>
      <c r="AJ38" s="18"/>
      <c r="AK38" s="18"/>
      <c r="AL38" s="18"/>
      <c r="AM38" s="20"/>
      <c r="AO38" s="25">
        <f t="shared" si="41"/>
        <v>2020</v>
      </c>
      <c r="AP38" s="18">
        <f>'Exhibit B,3'!AX38*0.5</f>
        <v>0</v>
      </c>
      <c r="AQ38" s="18">
        <f>'Exhibit B,3'!AY38*0.5</f>
        <v>0</v>
      </c>
      <c r="AR38" s="18">
        <f>'Exhibit B,3'!AZ38*0.5</f>
        <v>0</v>
      </c>
      <c r="AS38" s="18"/>
      <c r="AT38" s="18"/>
      <c r="AU38" s="18"/>
      <c r="AV38" s="20"/>
      <c r="AX38" s="25">
        <f t="shared" si="42"/>
        <v>2020</v>
      </c>
      <c r="AY38" s="18">
        <f>'Exhibit B,3'!BF38*0.5</f>
        <v>0</v>
      </c>
      <c r="AZ38" s="18">
        <f>'Exhibit B,3'!BG38*0.5</f>
        <v>0</v>
      </c>
      <c r="BA38" s="18">
        <f>'Exhibit B,3'!BH38*0.5</f>
        <v>0</v>
      </c>
      <c r="BB38" s="18"/>
      <c r="BC38" s="18"/>
      <c r="BD38" s="18"/>
      <c r="BE38" s="20"/>
      <c r="BG38" s="25">
        <f t="shared" si="43"/>
        <v>2020</v>
      </c>
      <c r="BH38" s="18">
        <f>'Exhibit B,3'!BN38</f>
        <v>0</v>
      </c>
      <c r="BI38" s="18">
        <f>'Exhibit B,3'!BO38</f>
        <v>0</v>
      </c>
      <c r="BJ38" s="18">
        <f>'Exhibit B,3'!BP38</f>
        <v>0</v>
      </c>
      <c r="BK38" s="18"/>
      <c r="BL38" s="18"/>
      <c r="BM38" s="18"/>
      <c r="BN38" s="20"/>
    </row>
    <row r="39" spans="1:66">
      <c r="A39" s="6">
        <f>A38+1</f>
        <v>2021</v>
      </c>
      <c r="C39" s="494">
        <f>'Exhibit B,2'!U39</f>
        <v>0</v>
      </c>
      <c r="E39" s="73">
        <v>0</v>
      </c>
      <c r="G39" s="494">
        <f t="shared" ref="G39:G40" si="44">C39*E39</f>
        <v>0</v>
      </c>
      <c r="H39" s="187"/>
      <c r="I39" s="494">
        <f t="shared" ref="I39:I40" si="45">G39</f>
        <v>0</v>
      </c>
      <c r="J39" s="74"/>
      <c r="K39" s="74"/>
      <c r="L39" s="74"/>
      <c r="M39" s="6">
        <f t="shared" si="39"/>
        <v>2021</v>
      </c>
      <c r="O39" s="494"/>
      <c r="P39" s="494"/>
      <c r="Q39" s="494"/>
      <c r="R39" s="494"/>
      <c r="S39" s="494"/>
      <c r="T39" s="494"/>
      <c r="U39" s="494"/>
      <c r="V39" s="74"/>
      <c r="W39" s="74"/>
      <c r="AF39" s="25">
        <f t="shared" si="40"/>
        <v>2021</v>
      </c>
      <c r="AG39" s="18">
        <f t="shared" si="35"/>
        <v>0</v>
      </c>
      <c r="AH39" s="18">
        <f t="shared" si="36"/>
        <v>0</v>
      </c>
      <c r="AI39" s="18">
        <f t="shared" si="37"/>
        <v>0</v>
      </c>
      <c r="AJ39" s="18"/>
      <c r="AK39" s="18"/>
      <c r="AL39" s="18"/>
      <c r="AM39" s="20"/>
      <c r="AO39" s="25">
        <f t="shared" si="41"/>
        <v>2021</v>
      </c>
      <c r="AP39" s="18">
        <f>'Exhibit B,3'!AX39*0.5</f>
        <v>0</v>
      </c>
      <c r="AQ39" s="18">
        <f>'Exhibit B,3'!AY39*0.5</f>
        <v>0</v>
      </c>
      <c r="AR39" s="18">
        <f>'Exhibit B,3'!AZ39*0.5</f>
        <v>0</v>
      </c>
      <c r="AS39" s="18"/>
      <c r="AT39" s="18"/>
      <c r="AU39" s="18"/>
      <c r="AV39" s="20"/>
      <c r="AX39" s="25">
        <f t="shared" si="42"/>
        <v>2021</v>
      </c>
      <c r="AY39" s="18">
        <f>'Exhibit B,3'!BF39*0.5</f>
        <v>0</v>
      </c>
      <c r="AZ39" s="18">
        <f>'Exhibit B,3'!BG39*0.5</f>
        <v>0</v>
      </c>
      <c r="BA39" s="18">
        <f>'Exhibit B,3'!BH39*0.5</f>
        <v>0</v>
      </c>
      <c r="BB39" s="18"/>
      <c r="BC39" s="18"/>
      <c r="BD39" s="18"/>
      <c r="BE39" s="20"/>
      <c r="BG39" s="25">
        <f t="shared" si="43"/>
        <v>2021</v>
      </c>
      <c r="BH39" s="18">
        <f>'Exhibit B,3'!BN39</f>
        <v>0</v>
      </c>
      <c r="BI39" s="18">
        <f>'Exhibit B,3'!BO39</f>
        <v>0</v>
      </c>
      <c r="BJ39" s="18">
        <f>'Exhibit B,3'!BP39</f>
        <v>0</v>
      </c>
      <c r="BK39" s="18"/>
      <c r="BL39" s="18"/>
      <c r="BM39" s="18"/>
      <c r="BN39" s="20"/>
    </row>
    <row r="40" spans="1:66">
      <c r="A40" s="6">
        <f>A39+1</f>
        <v>2022</v>
      </c>
      <c r="C40" s="494">
        <f>'Exhibit B,2'!U40</f>
        <v>0</v>
      </c>
      <c r="E40" s="73">
        <v>0</v>
      </c>
      <c r="G40" s="494">
        <f t="shared" si="44"/>
        <v>0</v>
      </c>
      <c r="H40" s="187"/>
      <c r="I40" s="494">
        <f t="shared" si="45"/>
        <v>0</v>
      </c>
      <c r="M40" s="6">
        <v>2022</v>
      </c>
      <c r="O40" s="494"/>
      <c r="P40" s="494"/>
      <c r="Q40" s="494"/>
      <c r="R40" s="494"/>
      <c r="S40" s="494"/>
      <c r="T40" s="494"/>
      <c r="U40" s="494"/>
      <c r="AF40" s="25">
        <f t="shared" si="40"/>
        <v>2022</v>
      </c>
      <c r="AG40" s="18">
        <f t="shared" si="35"/>
        <v>0</v>
      </c>
      <c r="AH40" s="18">
        <f t="shared" si="36"/>
        <v>0</v>
      </c>
      <c r="AI40" s="18">
        <f t="shared" si="37"/>
        <v>0</v>
      </c>
      <c r="AJ40" s="18"/>
      <c r="AK40" s="18"/>
      <c r="AL40" s="18"/>
      <c r="AM40" s="20"/>
      <c r="AO40" s="25">
        <f t="shared" si="41"/>
        <v>2022</v>
      </c>
      <c r="AP40" s="18">
        <f>'Exhibit B,3'!AX40*0.5</f>
        <v>0</v>
      </c>
      <c r="AQ40" s="18">
        <f>'Exhibit B,3'!AY40*0.5</f>
        <v>0</v>
      </c>
      <c r="AR40" s="18">
        <f>'Exhibit B,3'!AZ40*0.5</f>
        <v>0</v>
      </c>
      <c r="AS40" s="18"/>
      <c r="AT40" s="18"/>
      <c r="AU40" s="18"/>
      <c r="AV40" s="20"/>
      <c r="AX40" s="25">
        <f t="shared" si="42"/>
        <v>2022</v>
      </c>
      <c r="AY40" s="18">
        <f>'Exhibit B,3'!BF40*0.5</f>
        <v>0</v>
      </c>
      <c r="AZ40" s="18">
        <f>'Exhibit B,3'!BG40*0.5</f>
        <v>0</v>
      </c>
      <c r="BA40" s="18">
        <f>'Exhibit B,3'!BH40*0.5</f>
        <v>0</v>
      </c>
      <c r="BB40" s="18"/>
      <c r="BC40" s="18"/>
      <c r="BD40" s="18"/>
      <c r="BE40" s="20"/>
      <c r="BG40" s="25">
        <f t="shared" si="43"/>
        <v>2022</v>
      </c>
      <c r="BH40" s="18">
        <f>'Exhibit B,3'!BN40</f>
        <v>0</v>
      </c>
      <c r="BI40" s="18">
        <f>'Exhibit B,3'!BO40</f>
        <v>0</v>
      </c>
      <c r="BJ40" s="18">
        <f>'Exhibit B,3'!BP40</f>
        <v>0</v>
      </c>
      <c r="BK40" s="18"/>
      <c r="BL40" s="18"/>
      <c r="BM40" s="18"/>
      <c r="BN40" s="20"/>
    </row>
    <row r="41" spans="1:66">
      <c r="A41" s="6"/>
      <c r="C41" s="63"/>
      <c r="G41" s="63"/>
      <c r="I41" s="63"/>
      <c r="J41" s="26"/>
      <c r="K41" s="26"/>
      <c r="L41" s="26"/>
      <c r="O41" s="497"/>
      <c r="P41" s="66"/>
      <c r="Q41" s="66"/>
      <c r="R41" s="66"/>
      <c r="S41" s="497"/>
      <c r="T41" s="497"/>
      <c r="U41" s="497"/>
      <c r="V41" s="26"/>
      <c r="W41" s="26"/>
      <c r="AF41" s="25"/>
      <c r="AG41" s="70"/>
      <c r="AH41" s="70"/>
      <c r="AI41" s="70"/>
      <c r="AJ41" s="70"/>
      <c r="AK41" s="70"/>
      <c r="AL41" s="70"/>
      <c r="AM41" s="70"/>
      <c r="AO41" s="25"/>
      <c r="AP41" s="70"/>
      <c r="AQ41" s="70"/>
      <c r="AR41" s="70"/>
      <c r="AS41" s="70"/>
      <c r="AT41" s="70"/>
      <c r="AU41" s="70"/>
      <c r="AV41" s="20"/>
      <c r="AX41" s="25"/>
      <c r="AY41" s="70"/>
      <c r="AZ41" s="70"/>
      <c r="BA41" s="70"/>
      <c r="BB41" s="70"/>
      <c r="BC41" s="70"/>
      <c r="BD41" s="70"/>
      <c r="BE41" s="20"/>
      <c r="BG41" s="25"/>
      <c r="BH41" s="70"/>
      <c r="BI41" s="70"/>
      <c r="BJ41" s="70"/>
      <c r="BK41" s="70"/>
      <c r="BL41" s="70"/>
      <c r="BM41" s="70"/>
      <c r="BN41" s="20"/>
    </row>
    <row r="42" spans="1:66">
      <c r="A42" s="2" t="s">
        <v>0</v>
      </c>
      <c r="C42" s="497">
        <f>SUM(C32:C41)</f>
        <v>293482.62</v>
      </c>
      <c r="D42" s="66"/>
      <c r="G42" s="147"/>
      <c r="H42" s="147"/>
      <c r="I42" s="147">
        <f>SUM(I32:I41)</f>
        <v>0</v>
      </c>
      <c r="M42" s="2" t="s">
        <v>0</v>
      </c>
      <c r="AF42" s="97" t="s">
        <v>0</v>
      </c>
      <c r="AG42" s="68">
        <f t="shared" ref="AG42:AL42" si="46">SUM(AG31:AG41)</f>
        <v>0</v>
      </c>
      <c r="AH42" s="68">
        <f t="shared" si="46"/>
        <v>0</v>
      </c>
      <c r="AI42" s="68">
        <f t="shared" si="46"/>
        <v>0</v>
      </c>
      <c r="AJ42" s="68">
        <f t="shared" si="46"/>
        <v>0</v>
      </c>
      <c r="AK42" s="68">
        <f t="shared" si="46"/>
        <v>0</v>
      </c>
      <c r="AL42" s="68">
        <f t="shared" si="46"/>
        <v>0</v>
      </c>
      <c r="AM42" s="68">
        <f t="shared" ref="AM42" si="47">SUM(AM31:AM41)</f>
        <v>0</v>
      </c>
      <c r="AO42" s="97" t="s">
        <v>0</v>
      </c>
      <c r="AP42" s="68">
        <f t="shared" ref="AP42:AU42" si="48">SUM(AP31:AP41)</f>
        <v>0</v>
      </c>
      <c r="AQ42" s="68">
        <f t="shared" si="48"/>
        <v>0</v>
      </c>
      <c r="AR42" s="68">
        <f t="shared" si="48"/>
        <v>0</v>
      </c>
      <c r="AS42" s="68">
        <f t="shared" si="48"/>
        <v>0</v>
      </c>
      <c r="AT42" s="68">
        <f t="shared" si="48"/>
        <v>0</v>
      </c>
      <c r="AU42" s="68">
        <f t="shared" si="48"/>
        <v>0</v>
      </c>
      <c r="AV42" s="20"/>
      <c r="AX42" s="97" t="s">
        <v>0</v>
      </c>
      <c r="AY42" s="68">
        <f t="shared" ref="AY42:BD42" si="49">SUM(AY31:AY41)</f>
        <v>0</v>
      </c>
      <c r="AZ42" s="68">
        <f t="shared" si="49"/>
        <v>0</v>
      </c>
      <c r="BA42" s="68">
        <f t="shared" si="49"/>
        <v>0</v>
      </c>
      <c r="BB42" s="68">
        <f t="shared" si="49"/>
        <v>0</v>
      </c>
      <c r="BC42" s="68">
        <f t="shared" si="49"/>
        <v>0</v>
      </c>
      <c r="BD42" s="68">
        <f t="shared" si="49"/>
        <v>0</v>
      </c>
      <c r="BE42" s="20"/>
      <c r="BG42" s="97" t="s">
        <v>0</v>
      </c>
      <c r="BH42" s="68">
        <f t="shared" ref="BH42:BM42" si="50">SUM(BH31:BH41)</f>
        <v>0</v>
      </c>
      <c r="BI42" s="68">
        <f t="shared" si="50"/>
        <v>0</v>
      </c>
      <c r="BJ42" s="68">
        <f t="shared" si="50"/>
        <v>0</v>
      </c>
      <c r="BK42" s="68">
        <f t="shared" si="50"/>
        <v>0</v>
      </c>
      <c r="BL42" s="68">
        <f t="shared" si="50"/>
        <v>0</v>
      </c>
      <c r="BM42" s="68">
        <f t="shared" si="50"/>
        <v>0</v>
      </c>
      <c r="BN42" s="20"/>
    </row>
    <row r="43" spans="1:66">
      <c r="A43" s="6"/>
      <c r="H43" s="26"/>
      <c r="M43" s="2"/>
      <c r="AF43" s="97"/>
      <c r="AG43" s="68"/>
      <c r="AH43" s="68"/>
      <c r="AI43" s="68"/>
      <c r="AJ43" s="68"/>
      <c r="AK43" s="68"/>
      <c r="AL43" s="68"/>
      <c r="AM43" s="20"/>
      <c r="AO43" s="97"/>
      <c r="AP43" s="68"/>
      <c r="AQ43" s="68"/>
      <c r="AR43" s="68"/>
      <c r="AS43" s="68"/>
      <c r="AT43" s="68"/>
      <c r="AU43" s="68"/>
      <c r="AV43" s="20"/>
      <c r="AX43" s="97"/>
      <c r="AY43" s="68"/>
      <c r="AZ43" s="68"/>
      <c r="BA43" s="68"/>
      <c r="BB43" s="68"/>
      <c r="BC43" s="68"/>
      <c r="BD43" s="68"/>
      <c r="BE43" s="20"/>
      <c r="BG43" s="97"/>
      <c r="BH43" s="68"/>
      <c r="BI43" s="68"/>
      <c r="BJ43" s="68"/>
      <c r="BK43" s="68"/>
      <c r="BL43" s="68"/>
      <c r="BM43" s="68"/>
      <c r="BN43" s="20"/>
    </row>
    <row r="44" spans="1:66">
      <c r="A44" s="3" t="s">
        <v>589</v>
      </c>
      <c r="M44" s="3" t="s">
        <v>590</v>
      </c>
      <c r="O44" s="3"/>
      <c r="AF44" s="115" t="s">
        <v>296</v>
      </c>
      <c r="AH44" s="18"/>
      <c r="AI44" s="18"/>
      <c r="AM44" s="20"/>
      <c r="AO44" s="115" t="s">
        <v>296</v>
      </c>
      <c r="AQ44" s="18"/>
      <c r="AR44" s="18"/>
      <c r="AV44" s="20"/>
      <c r="AX44" s="115" t="s">
        <v>296</v>
      </c>
      <c r="AZ44" s="18"/>
      <c r="BA44" s="18"/>
      <c r="BE44" s="20"/>
      <c r="BG44" s="115" t="s">
        <v>296</v>
      </c>
      <c r="BI44" s="18"/>
      <c r="BJ44" s="18"/>
      <c r="BN44" s="20"/>
    </row>
    <row r="45" spans="1:66">
      <c r="A45" s="6">
        <f>A31</f>
        <v>2013</v>
      </c>
      <c r="C45" s="497">
        <f>'Exhibit B,2'!U45</f>
        <v>0</v>
      </c>
      <c r="E45" s="73">
        <v>1</v>
      </c>
      <c r="G45" s="497">
        <f>C45*E45</f>
        <v>0</v>
      </c>
      <c r="H45" s="147"/>
      <c r="I45" s="497">
        <f>G45</f>
        <v>0</v>
      </c>
      <c r="J45" s="74"/>
      <c r="K45" s="74"/>
      <c r="L45" s="74"/>
      <c r="M45" s="6">
        <f>M31</f>
        <v>2013</v>
      </c>
      <c r="N45" s="19"/>
      <c r="O45" s="497">
        <f>'Exhibit B,3'!C45</f>
        <v>0</v>
      </c>
      <c r="Q45" s="73">
        <v>1</v>
      </c>
      <c r="R45" s="19"/>
      <c r="S45" s="497">
        <f>O45*Q45</f>
        <v>0</v>
      </c>
      <c r="T45" s="147"/>
      <c r="U45" s="497">
        <f>S45</f>
        <v>0</v>
      </c>
      <c r="W45" s="147">
        <f>'Exhibit B,3'!M45+'Exhibit B,3'!U45</f>
        <v>0</v>
      </c>
      <c r="Y45" s="147">
        <f>AI45</f>
        <v>0</v>
      </c>
      <c r="Z45" s="147"/>
      <c r="AA45" s="147"/>
      <c r="AB45" s="147"/>
      <c r="AC45" s="505">
        <f>Y45+AA45</f>
        <v>0</v>
      </c>
      <c r="AF45" s="25">
        <f>AF31</f>
        <v>2013</v>
      </c>
      <c r="AG45" s="18">
        <f t="shared" ref="AG45" si="51">AP45+AY45+BH45</f>
        <v>0</v>
      </c>
      <c r="AH45" s="18">
        <f t="shared" ref="AH45:AH54" si="52">AQ45+AZ45+BI45</f>
        <v>0</v>
      </c>
      <c r="AI45" s="18">
        <f t="shared" ref="AI45:AI54" si="53">AR45+BA45+BJ45</f>
        <v>0</v>
      </c>
      <c r="AJ45" s="18"/>
      <c r="AK45" s="18"/>
      <c r="AL45" s="18"/>
      <c r="AM45" s="66"/>
      <c r="AO45" s="25">
        <f>AO31</f>
        <v>2013</v>
      </c>
      <c r="AP45" s="18">
        <f>'Exhibit B,3'!AX45*0.5</f>
        <v>0</v>
      </c>
      <c r="AQ45" s="18">
        <f>'Exhibit B,3'!AY45*0.5</f>
        <v>0</v>
      </c>
      <c r="AR45" s="18">
        <f>'Exhibit B,3'!AZ45*0.5</f>
        <v>0</v>
      </c>
      <c r="AS45" s="18"/>
      <c r="AT45" s="18"/>
      <c r="AU45" s="18"/>
      <c r="AV45" s="66"/>
      <c r="AX45" s="25">
        <f>AX31</f>
        <v>2013</v>
      </c>
      <c r="AY45" s="18">
        <f>'Exhibit B,3'!BF45*0.5</f>
        <v>0</v>
      </c>
      <c r="AZ45" s="18">
        <f>'Exhibit B,3'!BG45*0.5</f>
        <v>0</v>
      </c>
      <c r="BA45" s="18">
        <f>'Exhibit B,3'!BH45*0.5</f>
        <v>0</v>
      </c>
      <c r="BB45" s="18"/>
      <c r="BC45" s="18"/>
      <c r="BD45" s="18"/>
      <c r="BE45" s="66"/>
      <c r="BG45" s="25">
        <f>BG31</f>
        <v>2013</v>
      </c>
      <c r="BH45" s="18">
        <f>'Exhibit B,3'!BN45</f>
        <v>0</v>
      </c>
      <c r="BI45" s="18">
        <f>'Exhibit B,3'!BO45</f>
        <v>0</v>
      </c>
      <c r="BJ45" s="18">
        <f>'Exhibit B,3'!BP45</f>
        <v>0</v>
      </c>
      <c r="BK45" s="18"/>
      <c r="BL45" s="18"/>
      <c r="BM45" s="18"/>
      <c r="BN45" s="66"/>
    </row>
    <row r="46" spans="1:66">
      <c r="A46" s="6">
        <f>A45+1</f>
        <v>2014</v>
      </c>
      <c r="C46" s="494">
        <f>'Exhibit B,2'!U46</f>
        <v>77600.820000000007</v>
      </c>
      <c r="E46" s="73">
        <v>1</v>
      </c>
      <c r="G46" s="494">
        <f t="shared" ref="G46:G52" si="54">C46*E46</f>
        <v>77600.820000000007</v>
      </c>
      <c r="H46" s="187"/>
      <c r="I46" s="494">
        <f t="shared" ref="I46:I54" si="55">G46</f>
        <v>77600.820000000007</v>
      </c>
      <c r="J46" s="74"/>
      <c r="K46" s="74"/>
      <c r="L46" s="74"/>
      <c r="M46" s="6">
        <f>M45+1</f>
        <v>2014</v>
      </c>
      <c r="N46" s="18"/>
      <c r="O46" s="494">
        <f>'Exhibit B,3'!C46</f>
        <v>28746.9825031943</v>
      </c>
      <c r="P46" s="18"/>
      <c r="Q46" s="73">
        <v>1</v>
      </c>
      <c r="R46" s="20"/>
      <c r="S46" s="494">
        <f t="shared" ref="S46:S52" si="56">O46*Q46</f>
        <v>28746.9825031943</v>
      </c>
      <c r="T46" s="187"/>
      <c r="U46" s="494">
        <f t="shared" ref="U46:U52" si="57">S46</f>
        <v>28746.9825031943</v>
      </c>
      <c r="V46" s="18"/>
      <c r="W46" s="17">
        <f>'Exhibit B,3'!M46+'Exhibit B,3'!U46</f>
        <v>0</v>
      </c>
      <c r="Y46" s="17">
        <f t="shared" ref="Y46:Y54" si="58">AI46</f>
        <v>0</v>
      </c>
      <c r="Z46" s="187"/>
      <c r="AA46" s="187"/>
      <c r="AB46" s="187"/>
      <c r="AC46" s="17">
        <f t="shared" ref="AC46:AC54" si="59">Y46+AA46</f>
        <v>0</v>
      </c>
      <c r="AF46" s="25">
        <f>AF45+1</f>
        <v>2014</v>
      </c>
      <c r="AG46" s="18">
        <f>'Exhibit A,3'!AU46+'Exhibit A,3'!BB46+'Exhibit A,3'!BJ46</f>
        <v>0</v>
      </c>
      <c r="AH46" s="18">
        <f t="shared" si="52"/>
        <v>0</v>
      </c>
      <c r="AI46" s="18">
        <f t="shared" si="53"/>
        <v>0</v>
      </c>
      <c r="AJ46" s="18"/>
      <c r="AK46" s="18"/>
      <c r="AL46" s="18"/>
      <c r="AM46" s="20"/>
      <c r="AO46" s="25">
        <f>AO45+1</f>
        <v>2014</v>
      </c>
      <c r="AP46" s="18">
        <f>'Exhibit B,3'!AX46*0.5</f>
        <v>0</v>
      </c>
      <c r="AQ46" s="18">
        <f>'Exhibit B,3'!AY46*0.5</f>
        <v>0</v>
      </c>
      <c r="AR46" s="18">
        <f>'Exhibit B,3'!AZ46*0.5</f>
        <v>0</v>
      </c>
      <c r="AS46" s="18"/>
      <c r="AT46" s="18"/>
      <c r="AU46" s="18"/>
      <c r="AV46" s="20"/>
      <c r="AX46" s="25">
        <f>AX45+1</f>
        <v>2014</v>
      </c>
      <c r="AY46" s="18">
        <f>'Exhibit B,3'!BF46*0.5</f>
        <v>0</v>
      </c>
      <c r="AZ46" s="18">
        <f>'Exhibit B,3'!BG46*0.5</f>
        <v>0</v>
      </c>
      <c r="BA46" s="18">
        <f>'Exhibit B,3'!BH46*0.5</f>
        <v>0</v>
      </c>
      <c r="BB46" s="18"/>
      <c r="BC46" s="18"/>
      <c r="BD46" s="18"/>
      <c r="BE46" s="20"/>
      <c r="BG46" s="25">
        <f>BG45+1</f>
        <v>2014</v>
      </c>
      <c r="BH46" s="18">
        <f>'Exhibit B,3'!BN46</f>
        <v>0</v>
      </c>
      <c r="BI46" s="18">
        <f>'Exhibit B,3'!BO46</f>
        <v>0</v>
      </c>
      <c r="BJ46" s="18">
        <f>'Exhibit B,3'!BP46</f>
        <v>0</v>
      </c>
      <c r="BK46" s="18"/>
      <c r="BL46" s="18"/>
      <c r="BM46" s="18"/>
      <c r="BN46" s="20"/>
    </row>
    <row r="47" spans="1:66">
      <c r="A47" s="6">
        <f t="shared" ref="A47:A54" si="60">A46+1</f>
        <v>2015</v>
      </c>
      <c r="C47" s="494">
        <f>'Exhibit B,2'!U47</f>
        <v>21957.386433798303</v>
      </c>
      <c r="E47" s="73">
        <v>1</v>
      </c>
      <c r="G47" s="494">
        <f t="shared" si="54"/>
        <v>21957.386433798303</v>
      </c>
      <c r="H47" s="187"/>
      <c r="I47" s="494">
        <f t="shared" si="55"/>
        <v>21957.386433798303</v>
      </c>
      <c r="J47" s="74"/>
      <c r="K47" s="74"/>
      <c r="L47" s="74"/>
      <c r="M47" s="6">
        <f t="shared" ref="M47:M54" si="61">M46+1</f>
        <v>2015</v>
      </c>
      <c r="N47" s="18"/>
      <c r="O47" s="494">
        <f>'Exhibit B,3'!C47</f>
        <v>8929.286229018875</v>
      </c>
      <c r="P47" s="18"/>
      <c r="Q47" s="73">
        <v>1</v>
      </c>
      <c r="R47" s="20"/>
      <c r="S47" s="494">
        <f t="shared" si="56"/>
        <v>8929.286229018875</v>
      </c>
      <c r="T47" s="187"/>
      <c r="U47" s="494">
        <f t="shared" si="57"/>
        <v>8929.286229018875</v>
      </c>
      <c r="V47" s="18"/>
      <c r="W47" s="17">
        <f>'Exhibit B,3'!M47+'Exhibit B,3'!U47</f>
        <v>0</v>
      </c>
      <c r="Y47" s="17">
        <f t="shared" si="58"/>
        <v>0</v>
      </c>
      <c r="Z47" s="187"/>
      <c r="AA47" s="187"/>
      <c r="AB47" s="187"/>
      <c r="AC47" s="17">
        <f t="shared" si="59"/>
        <v>0</v>
      </c>
      <c r="AF47" s="25">
        <f t="shared" ref="AF47:AF54" si="62">AF46+1</f>
        <v>2015</v>
      </c>
      <c r="AG47" s="18">
        <f>'Exhibit A,3'!AU47+'Exhibit A,3'!BB47+'Exhibit A,3'!BJ47</f>
        <v>0</v>
      </c>
      <c r="AH47" s="18">
        <f t="shared" si="52"/>
        <v>0</v>
      </c>
      <c r="AI47" s="18">
        <f t="shared" si="53"/>
        <v>0</v>
      </c>
      <c r="AJ47" s="18"/>
      <c r="AK47" s="18"/>
      <c r="AL47" s="18"/>
      <c r="AM47" s="20"/>
      <c r="AO47" s="25">
        <f t="shared" ref="AO47:AO54" si="63">AO46+1</f>
        <v>2015</v>
      </c>
      <c r="AP47" s="18">
        <f>'Exhibit B,3'!AX47*0.5</f>
        <v>0</v>
      </c>
      <c r="AQ47" s="18">
        <f>'Exhibit B,3'!AY47*0.5</f>
        <v>0</v>
      </c>
      <c r="AR47" s="18">
        <f>'Exhibit B,3'!AZ47*0.5</f>
        <v>0</v>
      </c>
      <c r="AS47" s="18"/>
      <c r="AT47" s="18"/>
      <c r="AU47" s="18"/>
      <c r="AV47" s="20"/>
      <c r="AX47" s="25">
        <f t="shared" ref="AX47:AX54" si="64">AX46+1</f>
        <v>2015</v>
      </c>
      <c r="AY47" s="18">
        <f>'Exhibit B,3'!BF47*0.5</f>
        <v>0</v>
      </c>
      <c r="AZ47" s="18">
        <f>'Exhibit B,3'!BG47*0.5</f>
        <v>0</v>
      </c>
      <c r="BA47" s="18">
        <f>'Exhibit B,3'!BH47*0.5</f>
        <v>0</v>
      </c>
      <c r="BB47" s="18"/>
      <c r="BC47" s="18"/>
      <c r="BD47" s="18"/>
      <c r="BE47" s="20"/>
      <c r="BG47" s="25">
        <f t="shared" ref="BG47:BG54" si="65">BG46+1</f>
        <v>2015</v>
      </c>
      <c r="BH47" s="18">
        <f>'Exhibit B,3'!BN47</f>
        <v>0</v>
      </c>
      <c r="BI47" s="18">
        <f>'Exhibit B,3'!BO47</f>
        <v>0</v>
      </c>
      <c r="BJ47" s="18">
        <f>'Exhibit B,3'!BP47</f>
        <v>0</v>
      </c>
      <c r="BK47" s="18"/>
      <c r="BL47" s="18"/>
      <c r="BM47" s="18"/>
      <c r="BN47" s="20"/>
    </row>
    <row r="48" spans="1:66">
      <c r="A48" s="6">
        <f t="shared" si="60"/>
        <v>2016</v>
      </c>
      <c r="C48" s="494">
        <f>'Exhibit B,2'!U48</f>
        <v>16523.007363911602</v>
      </c>
      <c r="E48" s="73">
        <v>1</v>
      </c>
      <c r="G48" s="494">
        <f t="shared" si="54"/>
        <v>16523.007363911602</v>
      </c>
      <c r="H48" s="187"/>
      <c r="I48" s="494">
        <f t="shared" si="55"/>
        <v>16523.007363911602</v>
      </c>
      <c r="J48" s="74"/>
      <c r="K48" s="74"/>
      <c r="L48" s="74"/>
      <c r="M48" s="6">
        <f t="shared" si="61"/>
        <v>2016</v>
      </c>
      <c r="N48" s="18"/>
      <c r="O48" s="494">
        <f>'Exhibit B,3'!C48</f>
        <v>36611.393150524607</v>
      </c>
      <c r="P48" s="18"/>
      <c r="Q48" s="73">
        <v>1</v>
      </c>
      <c r="R48" s="20"/>
      <c r="S48" s="494">
        <f t="shared" si="56"/>
        <v>36611.393150524607</v>
      </c>
      <c r="T48" s="187"/>
      <c r="U48" s="494">
        <f t="shared" si="57"/>
        <v>36611.393150524607</v>
      </c>
      <c r="V48" s="18"/>
      <c r="W48" s="17">
        <f>'Exhibit B,3'!M48+'Exhibit B,3'!U48</f>
        <v>13502.420000000004</v>
      </c>
      <c r="Y48" s="17">
        <f t="shared" si="58"/>
        <v>6751.2100000000019</v>
      </c>
      <c r="Z48" s="187"/>
      <c r="AA48" s="187"/>
      <c r="AB48" s="187"/>
      <c r="AC48" s="17">
        <f t="shared" si="59"/>
        <v>6751.2100000000019</v>
      </c>
      <c r="AF48" s="25">
        <f t="shared" si="62"/>
        <v>2016</v>
      </c>
      <c r="AG48" s="18">
        <f>'Exhibit A,3'!AU48+'Exhibit A,3'!BB48+'Exhibit A,3'!BJ48</f>
        <v>0</v>
      </c>
      <c r="AH48" s="18">
        <f t="shared" si="52"/>
        <v>6751.2100000000019</v>
      </c>
      <c r="AI48" s="18">
        <f t="shared" si="53"/>
        <v>6751.2100000000019</v>
      </c>
      <c r="AJ48" s="18"/>
      <c r="AK48" s="18"/>
      <c r="AL48" s="18"/>
      <c r="AM48" s="20"/>
      <c r="AO48" s="25">
        <f t="shared" si="63"/>
        <v>2016</v>
      </c>
      <c r="AP48" s="18">
        <f>'Exhibit B,3'!AX48*0.5</f>
        <v>0</v>
      </c>
      <c r="AQ48" s="18">
        <f>'Exhibit B,3'!AY48*0.5</f>
        <v>5502.4600000000019</v>
      </c>
      <c r="AR48" s="18">
        <f>'Exhibit B,3'!AZ48*0.5</f>
        <v>5502.4600000000019</v>
      </c>
      <c r="AS48" s="18"/>
      <c r="AT48" s="18"/>
      <c r="AU48" s="18"/>
      <c r="AV48" s="20"/>
      <c r="AX48" s="25">
        <f t="shared" si="64"/>
        <v>2016</v>
      </c>
      <c r="AY48" s="18">
        <f>'Exhibit B,3'!BF48*0.5</f>
        <v>0</v>
      </c>
      <c r="AZ48" s="18">
        <f>'Exhibit B,3'!BG48*0.5</f>
        <v>1248.75</v>
      </c>
      <c r="BA48" s="18">
        <f>'Exhibit B,3'!BH48*0.5</f>
        <v>1248.75</v>
      </c>
      <c r="BB48" s="18"/>
      <c r="BC48" s="18"/>
      <c r="BD48" s="18"/>
      <c r="BE48" s="20"/>
      <c r="BG48" s="25">
        <f t="shared" si="65"/>
        <v>2016</v>
      </c>
      <c r="BH48" s="18">
        <f>'Exhibit B,3'!BN48</f>
        <v>0</v>
      </c>
      <c r="BI48" s="18">
        <f>'Exhibit B,3'!BO48</f>
        <v>0</v>
      </c>
      <c r="BJ48" s="18">
        <f>'Exhibit B,3'!BP48</f>
        <v>0</v>
      </c>
      <c r="BK48" s="18"/>
      <c r="BL48" s="18"/>
      <c r="BM48" s="18"/>
      <c r="BN48" s="20"/>
    </row>
    <row r="49" spans="1:66">
      <c r="A49" s="6">
        <f t="shared" si="60"/>
        <v>2017</v>
      </c>
      <c r="C49" s="494">
        <f>'Exhibit B,2'!U49</f>
        <v>22382.511639768196</v>
      </c>
      <c r="E49" s="73">
        <v>1</v>
      </c>
      <c r="G49" s="494">
        <f t="shared" si="54"/>
        <v>22382.511639768196</v>
      </c>
      <c r="H49" s="187"/>
      <c r="I49" s="494">
        <f t="shared" si="55"/>
        <v>22382.511639768196</v>
      </c>
      <c r="J49" s="74"/>
      <c r="K49" s="74"/>
      <c r="L49" s="74"/>
      <c r="M49" s="6">
        <f t="shared" si="61"/>
        <v>2017</v>
      </c>
      <c r="N49" s="18"/>
      <c r="O49" s="494">
        <f>'Exhibit B,3'!C49</f>
        <v>38788.113718306937</v>
      </c>
      <c r="P49" s="18"/>
      <c r="Q49" s="73">
        <v>1</v>
      </c>
      <c r="R49" s="20"/>
      <c r="S49" s="494">
        <f t="shared" si="56"/>
        <v>38788.113718306937</v>
      </c>
      <c r="T49" s="187"/>
      <c r="U49" s="494">
        <f t="shared" si="57"/>
        <v>38788.113718306937</v>
      </c>
      <c r="V49" s="18"/>
      <c r="W49" s="17">
        <f>'Exhibit B,3'!M49+'Exhibit B,3'!U49</f>
        <v>12309.309999999998</v>
      </c>
      <c r="Y49" s="17">
        <f t="shared" si="58"/>
        <v>6154.6549999999988</v>
      </c>
      <c r="Z49" s="187"/>
      <c r="AA49" s="187"/>
      <c r="AB49" s="187"/>
      <c r="AC49" s="17">
        <f t="shared" si="59"/>
        <v>6154.6549999999988</v>
      </c>
      <c r="AF49" s="25">
        <f t="shared" si="62"/>
        <v>2017</v>
      </c>
      <c r="AG49" s="18">
        <f>'Exhibit A,3'!AU49+'Exhibit A,3'!BB49+'Exhibit A,3'!BJ49</f>
        <v>0</v>
      </c>
      <c r="AH49" s="18">
        <f t="shared" si="52"/>
        <v>6154.6549999999988</v>
      </c>
      <c r="AI49" s="18">
        <f t="shared" si="53"/>
        <v>6154.6549999999988</v>
      </c>
      <c r="AJ49" s="18"/>
      <c r="AK49" s="18"/>
      <c r="AL49" s="18"/>
      <c r="AM49" s="20"/>
      <c r="AO49" s="25">
        <f t="shared" si="63"/>
        <v>2017</v>
      </c>
      <c r="AP49" s="18">
        <f>'Exhibit B,3'!AX49*0.5</f>
        <v>0</v>
      </c>
      <c r="AQ49" s="18">
        <f>'Exhibit B,3'!AY49*0.5</f>
        <v>6154.6549999999988</v>
      </c>
      <c r="AR49" s="18">
        <f>'Exhibit B,3'!AZ49*0.5</f>
        <v>6154.6549999999988</v>
      </c>
      <c r="AS49" s="18"/>
      <c r="AT49" s="18"/>
      <c r="AU49" s="18"/>
      <c r="AV49" s="20"/>
      <c r="AX49" s="25">
        <f t="shared" si="64"/>
        <v>2017</v>
      </c>
      <c r="AY49" s="18">
        <f>'Exhibit B,3'!BF49*0.5</f>
        <v>0</v>
      </c>
      <c r="AZ49" s="18">
        <f>'Exhibit B,3'!BG49*0.5</f>
        <v>0</v>
      </c>
      <c r="BA49" s="18">
        <f>'Exhibit B,3'!BH49*0.5</f>
        <v>0</v>
      </c>
      <c r="BB49" s="18"/>
      <c r="BC49" s="18"/>
      <c r="BD49" s="18"/>
      <c r="BE49" s="20"/>
      <c r="BG49" s="25">
        <f t="shared" si="65"/>
        <v>2017</v>
      </c>
      <c r="BH49" s="18">
        <f>'Exhibit B,3'!BN49</f>
        <v>0</v>
      </c>
      <c r="BI49" s="18">
        <f>'Exhibit B,3'!BO49</f>
        <v>0</v>
      </c>
      <c r="BJ49" s="18">
        <f>'Exhibit B,3'!BP49</f>
        <v>0</v>
      </c>
      <c r="BK49" s="18"/>
      <c r="BL49" s="18"/>
      <c r="BM49" s="18"/>
      <c r="BN49" s="20"/>
    </row>
    <row r="50" spans="1:66">
      <c r="A50" s="6">
        <f t="shared" si="60"/>
        <v>2018</v>
      </c>
      <c r="C50" s="494">
        <f>'Exhibit B,2'!U50</f>
        <v>8771.6129269205703</v>
      </c>
      <c r="E50" s="73">
        <v>1</v>
      </c>
      <c r="G50" s="494">
        <f t="shared" si="54"/>
        <v>8771.6129269205703</v>
      </c>
      <c r="H50" s="187"/>
      <c r="I50" s="494">
        <f t="shared" si="55"/>
        <v>8771.6129269205703</v>
      </c>
      <c r="J50" s="74"/>
      <c r="K50" s="74"/>
      <c r="L50" s="74"/>
      <c r="M50" s="6">
        <f t="shared" si="61"/>
        <v>2018</v>
      </c>
      <c r="N50" s="18"/>
      <c r="O50" s="494">
        <f>'Exhibit B,3'!C50</f>
        <v>176745.91846153847</v>
      </c>
      <c r="P50" s="18"/>
      <c r="Q50" s="73">
        <v>1</v>
      </c>
      <c r="R50" s="20"/>
      <c r="S50" s="494">
        <f t="shared" si="56"/>
        <v>176745.91846153847</v>
      </c>
      <c r="T50" s="187"/>
      <c r="U50" s="494">
        <f t="shared" si="57"/>
        <v>176745.91846153847</v>
      </c>
      <c r="V50" s="18"/>
      <c r="W50" s="17">
        <f>'Exhibit B,3'!M50+'Exhibit B,3'!U50</f>
        <v>14368.73</v>
      </c>
      <c r="Y50" s="17">
        <f t="shared" si="58"/>
        <v>7184.3649999999998</v>
      </c>
      <c r="Z50" s="187"/>
      <c r="AA50" s="501"/>
      <c r="AB50" s="187"/>
      <c r="AC50" s="17">
        <f t="shared" si="59"/>
        <v>7184.3649999999998</v>
      </c>
      <c r="AF50" s="25">
        <f t="shared" si="62"/>
        <v>2018</v>
      </c>
      <c r="AG50" s="18">
        <f>'Exhibit A,3'!AU50+'Exhibit A,3'!BB50+'Exhibit A,3'!BJ50</f>
        <v>0</v>
      </c>
      <c r="AH50" s="18">
        <f t="shared" si="52"/>
        <v>7184.3649999999998</v>
      </c>
      <c r="AI50" s="18">
        <f t="shared" si="53"/>
        <v>7184.3649999999998</v>
      </c>
      <c r="AJ50" s="18"/>
      <c r="AK50" s="18"/>
      <c r="AL50" s="18"/>
      <c r="AM50" s="20"/>
      <c r="AO50" s="25">
        <f t="shared" si="63"/>
        <v>2018</v>
      </c>
      <c r="AP50" s="18">
        <f>'Exhibit B,3'!AX50*0.5</f>
        <v>0</v>
      </c>
      <c r="AQ50" s="18">
        <f>'Exhibit B,3'!AY50*0.5</f>
        <v>7184.3649999999998</v>
      </c>
      <c r="AR50" s="18">
        <f>'Exhibit B,3'!AZ50*0.5</f>
        <v>7184.3649999999998</v>
      </c>
      <c r="AS50" s="18"/>
      <c r="AT50" s="18"/>
      <c r="AU50" s="18"/>
      <c r="AV50" s="20"/>
      <c r="AX50" s="25">
        <f t="shared" si="64"/>
        <v>2018</v>
      </c>
      <c r="AY50" s="18">
        <f>'Exhibit B,3'!BF50*0.5</f>
        <v>0</v>
      </c>
      <c r="AZ50" s="18">
        <f>'Exhibit B,3'!BG50*0.5</f>
        <v>0</v>
      </c>
      <c r="BA50" s="18">
        <f>'Exhibit B,3'!BH50*0.5</f>
        <v>0</v>
      </c>
      <c r="BB50" s="18"/>
      <c r="BC50" s="18"/>
      <c r="BD50" s="18"/>
      <c r="BE50" s="20"/>
      <c r="BG50" s="25">
        <f t="shared" si="65"/>
        <v>2018</v>
      </c>
      <c r="BH50" s="18">
        <f>'Exhibit B,3'!BN50</f>
        <v>0</v>
      </c>
      <c r="BI50" s="18">
        <f>'Exhibit B,3'!BO50</f>
        <v>0</v>
      </c>
      <c r="BJ50" s="18">
        <f>'Exhibit B,3'!BP50</f>
        <v>0</v>
      </c>
      <c r="BK50" s="18"/>
      <c r="BL50" s="18"/>
      <c r="BM50" s="18"/>
      <c r="BN50" s="20"/>
    </row>
    <row r="51" spans="1:66">
      <c r="A51" s="6">
        <f t="shared" si="60"/>
        <v>2019</v>
      </c>
      <c r="C51" s="494">
        <f>'Exhibit B,2'!U51</f>
        <v>123140.28187426257</v>
      </c>
      <c r="E51" s="73">
        <v>1</v>
      </c>
      <c r="G51" s="494">
        <f t="shared" si="54"/>
        <v>123140.28187426257</v>
      </c>
      <c r="H51" s="187"/>
      <c r="I51" s="494">
        <f t="shared" si="55"/>
        <v>123140.28187426257</v>
      </c>
      <c r="J51" s="74"/>
      <c r="K51" s="74"/>
      <c r="L51" s="74"/>
      <c r="M51" s="6">
        <f t="shared" si="61"/>
        <v>2019</v>
      </c>
      <c r="N51" s="18"/>
      <c r="O51" s="494">
        <f>'Exhibit B,3'!C51</f>
        <v>105297.2284586982</v>
      </c>
      <c r="P51" s="18"/>
      <c r="Q51" s="73">
        <v>1</v>
      </c>
      <c r="R51" s="20"/>
      <c r="S51" s="494">
        <f t="shared" si="56"/>
        <v>105297.2284586982</v>
      </c>
      <c r="T51" s="187"/>
      <c r="U51" s="494">
        <f t="shared" si="57"/>
        <v>105297.2284586982</v>
      </c>
      <c r="V51" s="18"/>
      <c r="W51" s="17">
        <f>'Exhibit B,3'!M51+'Exhibit B,3'!U51</f>
        <v>23925.500000000004</v>
      </c>
      <c r="Y51" s="17">
        <f t="shared" si="58"/>
        <v>11962.750000000002</v>
      </c>
      <c r="Z51" s="187"/>
      <c r="AA51" s="501"/>
      <c r="AB51" s="187"/>
      <c r="AC51" s="17">
        <f t="shared" si="59"/>
        <v>11962.750000000002</v>
      </c>
      <c r="AF51" s="25">
        <f t="shared" si="62"/>
        <v>2019</v>
      </c>
      <c r="AG51" s="18">
        <f>'Exhibit A,3'!AU51+'Exhibit A,3'!BB51+'Exhibit A,3'!BJ51</f>
        <v>0</v>
      </c>
      <c r="AH51" s="18">
        <f t="shared" si="52"/>
        <v>11962.750000000002</v>
      </c>
      <c r="AI51" s="18">
        <f t="shared" si="53"/>
        <v>11962.750000000002</v>
      </c>
      <c r="AJ51" s="18"/>
      <c r="AK51" s="18"/>
      <c r="AL51" s="18"/>
      <c r="AM51" s="20"/>
      <c r="AO51" s="25">
        <f t="shared" si="63"/>
        <v>2019</v>
      </c>
      <c r="AP51" s="18">
        <f>'Exhibit B,3'!AX51*0.5</f>
        <v>0</v>
      </c>
      <c r="AQ51" s="18">
        <f>'Exhibit B,3'!AY51*0.5</f>
        <v>11962.750000000002</v>
      </c>
      <c r="AR51" s="18">
        <f>'Exhibit B,3'!AZ51*0.5</f>
        <v>11962.750000000002</v>
      </c>
      <c r="AS51" s="18"/>
      <c r="AT51" s="18"/>
      <c r="AU51" s="18"/>
      <c r="AV51" s="20"/>
      <c r="AX51" s="25">
        <f t="shared" si="64"/>
        <v>2019</v>
      </c>
      <c r="AY51" s="18">
        <f>'Exhibit B,3'!BF51*0.5</f>
        <v>0</v>
      </c>
      <c r="AZ51" s="18">
        <f>'Exhibit B,3'!BG51*0.5</f>
        <v>0</v>
      </c>
      <c r="BA51" s="18">
        <f>'Exhibit B,3'!BH51*0.5</f>
        <v>0</v>
      </c>
      <c r="BB51" s="18"/>
      <c r="BC51" s="18"/>
      <c r="BD51" s="18"/>
      <c r="BE51" s="20"/>
      <c r="BG51" s="25">
        <f t="shared" si="65"/>
        <v>2019</v>
      </c>
      <c r="BH51" s="18">
        <f>'Exhibit B,3'!BN51</f>
        <v>0</v>
      </c>
      <c r="BI51" s="18">
        <f>'Exhibit B,3'!BO51</f>
        <v>0</v>
      </c>
      <c r="BJ51" s="18">
        <f>'Exhibit B,3'!BP51</f>
        <v>0</v>
      </c>
      <c r="BK51" s="18"/>
      <c r="BL51" s="18"/>
      <c r="BM51" s="18"/>
      <c r="BN51" s="20"/>
    </row>
    <row r="52" spans="1:66">
      <c r="A52" s="6">
        <f t="shared" si="60"/>
        <v>2020</v>
      </c>
      <c r="C52" s="494">
        <f>'Exhibit B,2'!U52</f>
        <v>255952.10511944495</v>
      </c>
      <c r="E52" s="73">
        <v>1</v>
      </c>
      <c r="G52" s="494">
        <f t="shared" si="54"/>
        <v>255952.10511944495</v>
      </c>
      <c r="H52" s="187"/>
      <c r="I52" s="494">
        <f t="shared" si="55"/>
        <v>255952.10511944495</v>
      </c>
      <c r="J52" s="74"/>
      <c r="K52" s="74"/>
      <c r="L52" s="74"/>
      <c r="M52" s="6">
        <f t="shared" si="61"/>
        <v>2020</v>
      </c>
      <c r="N52" s="18"/>
      <c r="O52" s="494">
        <f>'Exhibit B,3'!C52</f>
        <v>83400.208488635719</v>
      </c>
      <c r="P52" s="18"/>
      <c r="Q52" s="73">
        <v>1</v>
      </c>
      <c r="R52" s="20"/>
      <c r="S52" s="494">
        <f t="shared" si="56"/>
        <v>83400.208488635719</v>
      </c>
      <c r="T52" s="187"/>
      <c r="U52" s="494">
        <f t="shared" si="57"/>
        <v>83400.208488635719</v>
      </c>
      <c r="V52" s="18"/>
      <c r="W52" s="17">
        <f>'Exhibit B,3'!M52+'Exhibit B,3'!U52</f>
        <v>0</v>
      </c>
      <c r="Y52" s="17">
        <f t="shared" si="58"/>
        <v>0</v>
      </c>
      <c r="Z52" s="187"/>
      <c r="AA52" s="501"/>
      <c r="AB52" s="187"/>
      <c r="AC52" s="17">
        <f t="shared" si="59"/>
        <v>0</v>
      </c>
      <c r="AF52" s="25">
        <f t="shared" si="62"/>
        <v>2020</v>
      </c>
      <c r="AG52" s="18">
        <f>'Exhibit A,3'!AU52+'Exhibit A,3'!BB52+'Exhibit A,3'!BJ52</f>
        <v>0</v>
      </c>
      <c r="AH52" s="18">
        <f t="shared" si="52"/>
        <v>0</v>
      </c>
      <c r="AI52" s="18">
        <f t="shared" si="53"/>
        <v>0</v>
      </c>
      <c r="AJ52" s="18"/>
      <c r="AK52" s="18"/>
      <c r="AL52" s="18"/>
      <c r="AO52" s="25">
        <f t="shared" si="63"/>
        <v>2020</v>
      </c>
      <c r="AP52" s="18">
        <f>'Exhibit B,3'!AX52*0.5</f>
        <v>0</v>
      </c>
      <c r="AQ52" s="18">
        <f>'Exhibit B,3'!AY52*0.5</f>
        <v>0</v>
      </c>
      <c r="AR52" s="18">
        <f>'Exhibit B,3'!AZ52*0.5</f>
        <v>0</v>
      </c>
      <c r="AS52" s="18"/>
      <c r="AT52" s="18"/>
      <c r="AU52" s="18"/>
      <c r="AX52" s="25">
        <f t="shared" si="64"/>
        <v>2020</v>
      </c>
      <c r="AY52" s="18">
        <f>'Exhibit B,3'!BF52*0.5</f>
        <v>0</v>
      </c>
      <c r="AZ52" s="18">
        <f>'Exhibit B,3'!BG52*0.5</f>
        <v>0</v>
      </c>
      <c r="BA52" s="18">
        <f>'Exhibit B,3'!BH52*0.5</f>
        <v>0</v>
      </c>
      <c r="BB52" s="18"/>
      <c r="BC52" s="18"/>
      <c r="BD52" s="18"/>
      <c r="BG52" s="25">
        <f t="shared" si="65"/>
        <v>2020</v>
      </c>
      <c r="BH52" s="18">
        <f>'Exhibit B,3'!BN52</f>
        <v>0</v>
      </c>
      <c r="BI52" s="18">
        <f>'Exhibit B,3'!BO52</f>
        <v>0</v>
      </c>
      <c r="BJ52" s="18">
        <f>'Exhibit B,3'!BP52</f>
        <v>0</v>
      </c>
      <c r="BK52" s="18"/>
      <c r="BL52" s="18"/>
      <c r="BM52" s="18"/>
    </row>
    <row r="53" spans="1:66">
      <c r="A53" s="6">
        <f t="shared" si="60"/>
        <v>2021</v>
      </c>
      <c r="C53" s="494">
        <f>'Exhibit B,2'!U53</f>
        <v>62533.30878149021</v>
      </c>
      <c r="E53" s="73">
        <v>1</v>
      </c>
      <c r="G53" s="494">
        <f t="shared" ref="G53:G54" si="66">C53*E53</f>
        <v>62533.30878149021</v>
      </c>
      <c r="H53" s="187"/>
      <c r="I53" s="494">
        <f t="shared" si="55"/>
        <v>62533.30878149021</v>
      </c>
      <c r="J53" s="21"/>
      <c r="K53" s="21"/>
      <c r="L53" s="21"/>
      <c r="M53" s="6">
        <f t="shared" si="61"/>
        <v>2021</v>
      </c>
      <c r="N53" s="21"/>
      <c r="O53" s="494">
        <f>'Exhibit B,3'!C53</f>
        <v>112193.91694279374</v>
      </c>
      <c r="P53" s="18"/>
      <c r="Q53" s="73">
        <v>1</v>
      </c>
      <c r="R53" s="20"/>
      <c r="S53" s="494">
        <f t="shared" ref="S53:S54" si="67">O53*Q53</f>
        <v>112193.91694279374</v>
      </c>
      <c r="T53" s="187"/>
      <c r="U53" s="494">
        <f t="shared" ref="U53:U54" si="68">S53</f>
        <v>112193.91694279374</v>
      </c>
      <c r="V53" s="18"/>
      <c r="W53" s="17">
        <f>'Exhibit B,3'!M53+'Exhibit B,3'!U53</f>
        <v>0</v>
      </c>
      <c r="Y53" s="17">
        <f t="shared" si="58"/>
        <v>0</v>
      </c>
      <c r="Z53" s="187"/>
      <c r="AA53" s="501"/>
      <c r="AB53" s="187"/>
      <c r="AC53" s="17">
        <f t="shared" si="59"/>
        <v>0</v>
      </c>
      <c r="AD53" s="21"/>
      <c r="AF53" s="25">
        <f t="shared" si="62"/>
        <v>2021</v>
      </c>
      <c r="AG53" s="18">
        <f>'Exhibit A,3'!AU53+'Exhibit A,3'!BB53+'Exhibit A,3'!BJ53</f>
        <v>0</v>
      </c>
      <c r="AH53" s="18">
        <f t="shared" si="52"/>
        <v>0</v>
      </c>
      <c r="AI53" s="18">
        <f t="shared" si="53"/>
        <v>0</v>
      </c>
      <c r="AJ53" s="18"/>
      <c r="AK53" s="18"/>
      <c r="AL53" s="18"/>
      <c r="AO53" s="25">
        <f t="shared" si="63"/>
        <v>2021</v>
      </c>
      <c r="AP53" s="18">
        <f>'Exhibit B,3'!AX53*0.5</f>
        <v>0</v>
      </c>
      <c r="AQ53" s="18">
        <f>'Exhibit B,3'!AY53*0.5</f>
        <v>0</v>
      </c>
      <c r="AR53" s="18">
        <f>'Exhibit B,3'!AZ53*0.5</f>
        <v>0</v>
      </c>
      <c r="AS53" s="18"/>
      <c r="AT53" s="18"/>
      <c r="AU53" s="18"/>
      <c r="AX53" s="25">
        <f t="shared" si="64"/>
        <v>2021</v>
      </c>
      <c r="AY53" s="18">
        <f>'Exhibit B,3'!BF53*0.5</f>
        <v>0</v>
      </c>
      <c r="AZ53" s="18">
        <f>'Exhibit B,3'!BG53*0.5</f>
        <v>0</v>
      </c>
      <c r="BA53" s="18">
        <f>'Exhibit B,3'!BH53*0.5</f>
        <v>0</v>
      </c>
      <c r="BB53" s="18"/>
      <c r="BC53" s="18"/>
      <c r="BD53" s="18"/>
      <c r="BG53" s="25">
        <f t="shared" si="65"/>
        <v>2021</v>
      </c>
      <c r="BH53" s="18">
        <f>'Exhibit B,3'!BN53</f>
        <v>0</v>
      </c>
      <c r="BI53" s="18">
        <f>'Exhibit B,3'!BO53</f>
        <v>0</v>
      </c>
      <c r="BJ53" s="18">
        <f>'Exhibit B,3'!BP53</f>
        <v>0</v>
      </c>
      <c r="BK53" s="18"/>
      <c r="BL53" s="18"/>
      <c r="BM53" s="18"/>
    </row>
    <row r="54" spans="1:66">
      <c r="A54" s="6">
        <f t="shared" si="60"/>
        <v>2022</v>
      </c>
      <c r="C54" s="494">
        <f>'Exhibit B,2'!U54</f>
        <v>65262.188298020905</v>
      </c>
      <c r="E54" s="73">
        <v>1</v>
      </c>
      <c r="G54" s="494">
        <f t="shared" si="66"/>
        <v>65262.188298020905</v>
      </c>
      <c r="H54" s="187"/>
      <c r="I54" s="494">
        <f t="shared" si="55"/>
        <v>65262.188298020905</v>
      </c>
      <c r="J54" s="21"/>
      <c r="K54" s="21"/>
      <c r="L54" s="21"/>
      <c r="M54" s="6">
        <f t="shared" si="61"/>
        <v>2022</v>
      </c>
      <c r="N54" s="21"/>
      <c r="O54" s="494">
        <f>'Exhibit B,3'!C54</f>
        <v>85377.150829989012</v>
      </c>
      <c r="P54" s="18"/>
      <c r="Q54" s="73">
        <v>1</v>
      </c>
      <c r="R54" s="20"/>
      <c r="S54" s="494">
        <f t="shared" si="67"/>
        <v>85377.150829989012</v>
      </c>
      <c r="T54" s="187"/>
      <c r="U54" s="494">
        <f t="shared" si="68"/>
        <v>85377.150829989012</v>
      </c>
      <c r="V54" s="18"/>
      <c r="W54" s="17">
        <f>'Exhibit B,3'!M54+'Exhibit B,3'!U54</f>
        <v>0</v>
      </c>
      <c r="Y54" s="17">
        <f t="shared" si="58"/>
        <v>0</v>
      </c>
      <c r="Z54" s="187"/>
      <c r="AA54" s="501"/>
      <c r="AB54" s="187"/>
      <c r="AC54" s="17">
        <f t="shared" si="59"/>
        <v>0</v>
      </c>
      <c r="AD54" s="21"/>
      <c r="AF54" s="25">
        <f t="shared" si="62"/>
        <v>2022</v>
      </c>
      <c r="AG54" s="18">
        <f>'Exhibit A,3'!AU54+'Exhibit A,3'!BB54+'Exhibit A,3'!BJ54</f>
        <v>0</v>
      </c>
      <c r="AH54" s="18">
        <f t="shared" si="52"/>
        <v>0</v>
      </c>
      <c r="AI54" s="18">
        <f t="shared" si="53"/>
        <v>0</v>
      </c>
      <c r="AJ54" s="18"/>
      <c r="AK54" s="18"/>
      <c r="AL54" s="18"/>
      <c r="AM54" s="6"/>
      <c r="AO54" s="25">
        <f t="shared" si="63"/>
        <v>2022</v>
      </c>
      <c r="AP54" s="18">
        <f>'Exhibit B,3'!AX54*0.5</f>
        <v>0</v>
      </c>
      <c r="AQ54" s="18">
        <f>'Exhibit B,3'!AY54*0.5</f>
        <v>0</v>
      </c>
      <c r="AR54" s="18">
        <f>'Exhibit B,3'!AZ54*0.5</f>
        <v>0</v>
      </c>
      <c r="AS54" s="18"/>
      <c r="AT54" s="18"/>
      <c r="AU54" s="18"/>
      <c r="AV54" s="6"/>
      <c r="AX54" s="25">
        <f t="shared" si="64"/>
        <v>2022</v>
      </c>
      <c r="AY54" s="18">
        <f>'Exhibit B,3'!BF54*0.5</f>
        <v>0</v>
      </c>
      <c r="AZ54" s="18">
        <f>'Exhibit B,3'!BG54*0.5</f>
        <v>0</v>
      </c>
      <c r="BA54" s="18">
        <f>'Exhibit B,3'!BH54*0.5</f>
        <v>0</v>
      </c>
      <c r="BB54" s="18"/>
      <c r="BC54" s="18"/>
      <c r="BD54" s="18"/>
      <c r="BE54" s="6"/>
      <c r="BG54" s="25">
        <f t="shared" si="65"/>
        <v>2022</v>
      </c>
      <c r="BH54" s="18">
        <f>'Exhibit B,3'!BN54</f>
        <v>0</v>
      </c>
      <c r="BI54" s="18">
        <f>'Exhibit B,3'!BO54</f>
        <v>0</v>
      </c>
      <c r="BJ54" s="18">
        <f>'Exhibit B,3'!BP54</f>
        <v>0</v>
      </c>
      <c r="BK54" s="18"/>
      <c r="BL54" s="18"/>
      <c r="BM54" s="18"/>
      <c r="BN54" s="6"/>
    </row>
    <row r="55" spans="1:66">
      <c r="A55" s="6"/>
      <c r="C55" s="63"/>
      <c r="G55" s="63"/>
      <c r="I55" s="63"/>
      <c r="M55" s="2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AA55" s="63"/>
      <c r="AC55" s="63"/>
      <c r="AF55" s="25"/>
      <c r="AG55" s="70"/>
      <c r="AH55" s="70"/>
      <c r="AI55" s="70"/>
      <c r="AJ55" s="70"/>
      <c r="AK55" s="70"/>
      <c r="AL55" s="70"/>
      <c r="AM55" s="70"/>
      <c r="AO55" s="25"/>
      <c r="AP55" s="70"/>
      <c r="AQ55" s="70"/>
      <c r="AR55" s="70"/>
      <c r="AS55" s="70"/>
      <c r="AT55" s="70"/>
      <c r="AU55" s="70"/>
      <c r="AV55" s="6"/>
      <c r="AX55" s="25"/>
      <c r="AY55" s="70"/>
      <c r="AZ55" s="70"/>
      <c r="BA55" s="70"/>
      <c r="BB55" s="70"/>
      <c r="BC55" s="70"/>
      <c r="BD55" s="70"/>
      <c r="BE55" s="6"/>
      <c r="BG55" s="25"/>
      <c r="BH55" s="70"/>
      <c r="BI55" s="70"/>
      <c r="BJ55" s="70"/>
      <c r="BK55" s="70"/>
      <c r="BL55" s="70"/>
      <c r="BM55" s="70"/>
      <c r="BN55" s="6"/>
    </row>
    <row r="56" spans="1:66">
      <c r="A56" s="2" t="s">
        <v>0</v>
      </c>
      <c r="C56" s="497">
        <f>SUM(C46:C55)</f>
        <v>654123.22243761725</v>
      </c>
      <c r="D56" s="66"/>
      <c r="G56" s="497">
        <f>SUM(G46:G55)</f>
        <v>654123.22243761725</v>
      </c>
      <c r="H56" s="147"/>
      <c r="I56" s="147">
        <f>SUM(I46:I55)</f>
        <v>654123.22243761725</v>
      </c>
      <c r="O56" s="147">
        <f t="shared" ref="O56:X56" si="69">SUM(O46:O55)</f>
        <v>676090.19878269988</v>
      </c>
      <c r="P56" s="147"/>
      <c r="Q56" s="147">
        <f t="shared" si="69"/>
        <v>9</v>
      </c>
      <c r="R56" s="147"/>
      <c r="S56" s="147">
        <f t="shared" si="69"/>
        <v>676090.19878269988</v>
      </c>
      <c r="T56" s="147"/>
      <c r="U56" s="147">
        <f t="shared" si="69"/>
        <v>676090.19878269988</v>
      </c>
      <c r="V56" s="147"/>
      <c r="W56" s="147">
        <f t="shared" si="69"/>
        <v>64105.960000000006</v>
      </c>
      <c r="X56" s="147">
        <f t="shared" si="69"/>
        <v>0</v>
      </c>
      <c r="Y56" s="147">
        <f>SUM(Y45:Y55)</f>
        <v>32052.980000000003</v>
      </c>
      <c r="Z56" s="147"/>
      <c r="AA56" s="147">
        <f>SUM(AA45:AA55)</f>
        <v>0</v>
      </c>
      <c r="AB56" s="147"/>
      <c r="AC56" s="147">
        <f>SUM(AC45:AC55)</f>
        <v>32052.980000000003</v>
      </c>
      <c r="AF56" s="97" t="s">
        <v>0</v>
      </c>
      <c r="AG56" s="68">
        <f t="shared" ref="AG56:AL56" si="70">SUM(AG45:AG55)</f>
        <v>0</v>
      </c>
      <c r="AH56" s="68">
        <f t="shared" si="70"/>
        <v>32052.980000000003</v>
      </c>
      <c r="AI56" s="68">
        <f t="shared" si="70"/>
        <v>32052.980000000003</v>
      </c>
      <c r="AJ56" s="68">
        <f t="shared" si="70"/>
        <v>0</v>
      </c>
      <c r="AK56" s="68">
        <f t="shared" si="70"/>
        <v>0</v>
      </c>
      <c r="AL56" s="68">
        <f t="shared" si="70"/>
        <v>0</v>
      </c>
      <c r="AM56" s="68">
        <f t="shared" ref="AM56" si="71">SUM(AM45:AM55)</f>
        <v>0</v>
      </c>
      <c r="AO56" s="97" t="s">
        <v>0</v>
      </c>
      <c r="AP56" s="68">
        <f t="shared" ref="AP56:AU56" si="72">SUM(AP45:AP55)</f>
        <v>0</v>
      </c>
      <c r="AQ56" s="68">
        <f t="shared" si="72"/>
        <v>30804.230000000003</v>
      </c>
      <c r="AR56" s="68">
        <f t="shared" si="72"/>
        <v>30804.230000000003</v>
      </c>
      <c r="AS56" s="68">
        <f t="shared" si="72"/>
        <v>0</v>
      </c>
      <c r="AT56" s="68">
        <f t="shared" si="72"/>
        <v>0</v>
      </c>
      <c r="AU56" s="68">
        <f t="shared" si="72"/>
        <v>0</v>
      </c>
      <c r="AV56" s="6"/>
      <c r="AX56" s="97" t="s">
        <v>0</v>
      </c>
      <c r="AY56" s="68">
        <f t="shared" ref="AY56:BD56" si="73">SUM(AY45:AY55)</f>
        <v>0</v>
      </c>
      <c r="AZ56" s="68">
        <f t="shared" si="73"/>
        <v>1248.75</v>
      </c>
      <c r="BA56" s="68">
        <f t="shared" si="73"/>
        <v>1248.75</v>
      </c>
      <c r="BB56" s="68">
        <f t="shared" si="73"/>
        <v>0</v>
      </c>
      <c r="BC56" s="68">
        <f t="shared" si="73"/>
        <v>0</v>
      </c>
      <c r="BD56" s="68">
        <f t="shared" si="73"/>
        <v>0</v>
      </c>
      <c r="BE56" s="6"/>
      <c r="BG56" s="97" t="s">
        <v>0</v>
      </c>
      <c r="BH56" s="68">
        <f t="shared" ref="BH56:BM56" si="74">SUM(BH45:BH55)</f>
        <v>0</v>
      </c>
      <c r="BI56" s="68">
        <f t="shared" si="74"/>
        <v>0</v>
      </c>
      <c r="BJ56" s="68">
        <f t="shared" si="74"/>
        <v>0</v>
      </c>
      <c r="BK56" s="68">
        <f t="shared" si="74"/>
        <v>0</v>
      </c>
      <c r="BL56" s="68">
        <f t="shared" si="74"/>
        <v>0</v>
      </c>
      <c r="BM56" s="68">
        <f t="shared" si="74"/>
        <v>0</v>
      </c>
      <c r="BN56" s="6"/>
    </row>
    <row r="57" spans="1:66">
      <c r="A57" s="3"/>
      <c r="C57" s="21"/>
      <c r="E57" s="76"/>
      <c r="AM57" s="2"/>
      <c r="AV57" s="2"/>
      <c r="BE57" s="2"/>
      <c r="BN57" s="2"/>
    </row>
    <row r="58" spans="1:66">
      <c r="A58" s="6"/>
      <c r="C58" s="21"/>
      <c r="E58" s="21"/>
      <c r="G58" s="26"/>
      <c r="H58" s="26"/>
      <c r="I58" s="18"/>
      <c r="J58" s="26"/>
      <c r="K58" s="26"/>
      <c r="L58" s="26"/>
      <c r="U58" s="26"/>
      <c r="AF58" s="115" t="s">
        <v>297</v>
      </c>
      <c r="AO58" s="115" t="s">
        <v>297</v>
      </c>
      <c r="AX58" s="115" t="s">
        <v>297</v>
      </c>
      <c r="BG58" s="115" t="s">
        <v>297</v>
      </c>
    </row>
    <row r="59" spans="1:66">
      <c r="A59" s="64" t="s">
        <v>104</v>
      </c>
      <c r="C59" s="3" t="s">
        <v>1515</v>
      </c>
      <c r="E59" s="21"/>
      <c r="G59" s="18"/>
      <c r="H59" s="18"/>
      <c r="I59" s="18"/>
      <c r="J59" s="18"/>
      <c r="K59" s="18"/>
      <c r="L59" s="18"/>
      <c r="T59" s="18"/>
      <c r="U59" s="20"/>
      <c r="V59" s="18"/>
      <c r="W59" s="18"/>
      <c r="AF59" s="25">
        <f>X60</f>
        <v>0</v>
      </c>
      <c r="AG59" s="17">
        <f t="shared" ref="AG59:AL67" si="75">AG17+AG31+AG45</f>
        <v>0</v>
      </c>
      <c r="AH59" s="17">
        <f t="shared" si="75"/>
        <v>0</v>
      </c>
      <c r="AI59" s="17">
        <f t="shared" si="75"/>
        <v>0</v>
      </c>
      <c r="AJ59" s="17">
        <f t="shared" si="75"/>
        <v>0</v>
      </c>
      <c r="AK59" s="17">
        <f t="shared" si="75"/>
        <v>0</v>
      </c>
      <c r="AL59" s="17">
        <f t="shared" si="75"/>
        <v>0</v>
      </c>
      <c r="AO59" s="25">
        <f>AG60</f>
        <v>0</v>
      </c>
      <c r="AP59" s="17">
        <f t="shared" ref="AP59:AU67" si="76">AP17+AP31+AP45</f>
        <v>0</v>
      </c>
      <c r="AQ59" s="17">
        <f t="shared" si="76"/>
        <v>0</v>
      </c>
      <c r="AR59" s="17">
        <f t="shared" si="76"/>
        <v>0</v>
      </c>
      <c r="AS59" s="17">
        <f t="shared" si="76"/>
        <v>0</v>
      </c>
      <c r="AT59" s="17">
        <f t="shared" si="76"/>
        <v>0</v>
      </c>
      <c r="AU59" s="17">
        <f t="shared" si="76"/>
        <v>0</v>
      </c>
      <c r="AX59" s="25">
        <f>AQ60</f>
        <v>0</v>
      </c>
      <c r="AY59" s="17">
        <f t="shared" ref="AY59:BD67" si="77">AY17+AY31+AY45</f>
        <v>0</v>
      </c>
      <c r="AZ59" s="17">
        <f t="shared" si="77"/>
        <v>0</v>
      </c>
      <c r="BA59" s="17">
        <f t="shared" si="77"/>
        <v>0</v>
      </c>
      <c r="BB59" s="17">
        <f t="shared" si="77"/>
        <v>0</v>
      </c>
      <c r="BC59" s="17">
        <f t="shared" si="77"/>
        <v>0</v>
      </c>
      <c r="BD59" s="17">
        <f t="shared" si="77"/>
        <v>0</v>
      </c>
      <c r="BG59" s="25">
        <f>AZ60</f>
        <v>0</v>
      </c>
      <c r="BH59" s="17">
        <f t="shared" ref="BH59:BM67" si="78">BH17+BH31+BH45</f>
        <v>0</v>
      </c>
      <c r="BI59" s="17">
        <f t="shared" si="78"/>
        <v>0</v>
      </c>
      <c r="BJ59" s="17">
        <f t="shared" si="78"/>
        <v>0</v>
      </c>
      <c r="BK59" s="17">
        <f t="shared" si="78"/>
        <v>0</v>
      </c>
      <c r="BL59" s="17">
        <f t="shared" si="78"/>
        <v>0</v>
      </c>
      <c r="BM59" s="17">
        <f t="shared" si="78"/>
        <v>0</v>
      </c>
    </row>
    <row r="60" spans="1:66">
      <c r="A60" s="52" t="s">
        <v>36</v>
      </c>
      <c r="C60" s="3" t="s">
        <v>913</v>
      </c>
      <c r="E60" s="3"/>
      <c r="G60" s="18"/>
      <c r="H60" s="18"/>
      <c r="I60" s="18"/>
      <c r="J60" s="18"/>
      <c r="K60" s="18"/>
      <c r="L60" s="18"/>
      <c r="T60" s="18"/>
      <c r="U60" s="20"/>
      <c r="V60" s="18"/>
      <c r="W60" s="18"/>
      <c r="AF60" s="25">
        <f>AF59+1</f>
        <v>1</v>
      </c>
      <c r="AG60" s="17">
        <f t="shared" si="75"/>
        <v>0</v>
      </c>
      <c r="AH60" s="17">
        <f t="shared" si="75"/>
        <v>0</v>
      </c>
      <c r="AI60" s="17">
        <f t="shared" si="75"/>
        <v>0</v>
      </c>
      <c r="AJ60" s="17">
        <f t="shared" si="75"/>
        <v>0</v>
      </c>
      <c r="AK60" s="17">
        <f t="shared" si="75"/>
        <v>0</v>
      </c>
      <c r="AL60" s="17">
        <f t="shared" si="75"/>
        <v>0</v>
      </c>
      <c r="AO60" s="25">
        <f>AO59+1</f>
        <v>1</v>
      </c>
      <c r="AP60" s="17">
        <f t="shared" si="76"/>
        <v>0</v>
      </c>
      <c r="AQ60" s="17">
        <f t="shared" si="76"/>
        <v>0</v>
      </c>
      <c r="AR60" s="17">
        <f t="shared" si="76"/>
        <v>0</v>
      </c>
      <c r="AS60" s="17">
        <f t="shared" si="76"/>
        <v>0</v>
      </c>
      <c r="AT60" s="17">
        <f t="shared" si="76"/>
        <v>0</v>
      </c>
      <c r="AU60" s="17">
        <f t="shared" si="76"/>
        <v>0</v>
      </c>
      <c r="AX60" s="25">
        <f>AX59+1</f>
        <v>1</v>
      </c>
      <c r="AY60" s="17">
        <f t="shared" si="77"/>
        <v>0</v>
      </c>
      <c r="AZ60" s="17">
        <f t="shared" si="77"/>
        <v>0</v>
      </c>
      <c r="BA60" s="17">
        <f t="shared" si="77"/>
        <v>0</v>
      </c>
      <c r="BB60" s="17">
        <f t="shared" si="77"/>
        <v>0</v>
      </c>
      <c r="BC60" s="17">
        <f t="shared" si="77"/>
        <v>0</v>
      </c>
      <c r="BD60" s="17">
        <f t="shared" si="77"/>
        <v>0</v>
      </c>
      <c r="BG60" s="25">
        <f>BG59+1</f>
        <v>1</v>
      </c>
      <c r="BH60" s="17">
        <f t="shared" si="78"/>
        <v>0</v>
      </c>
      <c r="BI60" s="17">
        <f t="shared" si="78"/>
        <v>0</v>
      </c>
      <c r="BJ60" s="17">
        <f t="shared" si="78"/>
        <v>0</v>
      </c>
      <c r="BK60" s="17">
        <f t="shared" si="78"/>
        <v>0</v>
      </c>
      <c r="BL60" s="17">
        <f t="shared" si="78"/>
        <v>0</v>
      </c>
      <c r="BM60" s="17">
        <f t="shared" si="78"/>
        <v>0</v>
      </c>
    </row>
    <row r="61" spans="1:66">
      <c r="A61" s="52" t="s">
        <v>38</v>
      </c>
      <c r="C61" s="3" t="s">
        <v>615</v>
      </c>
      <c r="E61" s="21"/>
      <c r="G61" s="18"/>
      <c r="H61" s="18"/>
      <c r="I61" s="18"/>
      <c r="J61" s="18"/>
      <c r="K61" s="18"/>
      <c r="L61" s="18"/>
      <c r="T61" s="18"/>
      <c r="U61" s="20"/>
      <c r="V61" s="18"/>
      <c r="W61" s="18"/>
      <c r="AF61" s="25">
        <f t="shared" ref="AF61:AF67" si="79">AF60+1</f>
        <v>2</v>
      </c>
      <c r="AG61" s="17">
        <f t="shared" si="75"/>
        <v>0</v>
      </c>
      <c r="AH61" s="17">
        <f t="shared" si="75"/>
        <v>0</v>
      </c>
      <c r="AI61" s="17">
        <f t="shared" si="75"/>
        <v>0</v>
      </c>
      <c r="AJ61" s="17">
        <f t="shared" si="75"/>
        <v>0</v>
      </c>
      <c r="AK61" s="17">
        <f t="shared" si="75"/>
        <v>0</v>
      </c>
      <c r="AL61" s="17">
        <f t="shared" si="75"/>
        <v>0</v>
      </c>
      <c r="AO61" s="25">
        <f t="shared" ref="AO61:AO67" si="80">AO60+1</f>
        <v>2</v>
      </c>
      <c r="AP61" s="17">
        <f t="shared" si="76"/>
        <v>0</v>
      </c>
      <c r="AQ61" s="17">
        <f t="shared" si="76"/>
        <v>0</v>
      </c>
      <c r="AR61" s="17">
        <f t="shared" si="76"/>
        <v>0</v>
      </c>
      <c r="AS61" s="17">
        <f t="shared" si="76"/>
        <v>0</v>
      </c>
      <c r="AT61" s="17">
        <f t="shared" si="76"/>
        <v>0</v>
      </c>
      <c r="AU61" s="17">
        <f t="shared" si="76"/>
        <v>0</v>
      </c>
      <c r="AX61" s="25">
        <f t="shared" ref="AX61:AX67" si="81">AX60+1</f>
        <v>2</v>
      </c>
      <c r="AY61" s="17">
        <f t="shared" si="77"/>
        <v>0</v>
      </c>
      <c r="AZ61" s="17">
        <f t="shared" si="77"/>
        <v>0</v>
      </c>
      <c r="BA61" s="17">
        <f t="shared" si="77"/>
        <v>0</v>
      </c>
      <c r="BB61" s="17">
        <f t="shared" si="77"/>
        <v>0</v>
      </c>
      <c r="BC61" s="17">
        <f t="shared" si="77"/>
        <v>0</v>
      </c>
      <c r="BD61" s="17">
        <f t="shared" si="77"/>
        <v>0</v>
      </c>
      <c r="BG61" s="25">
        <f t="shared" ref="BG61:BG67" si="82">BG60+1</f>
        <v>2</v>
      </c>
      <c r="BH61" s="17">
        <f t="shared" si="78"/>
        <v>0</v>
      </c>
      <c r="BI61" s="17">
        <f t="shared" si="78"/>
        <v>0</v>
      </c>
      <c r="BJ61" s="17">
        <f t="shared" si="78"/>
        <v>0</v>
      </c>
      <c r="BK61" s="17">
        <f t="shared" si="78"/>
        <v>0</v>
      </c>
      <c r="BL61" s="17">
        <f t="shared" si="78"/>
        <v>0</v>
      </c>
      <c r="BM61" s="17">
        <f t="shared" si="78"/>
        <v>0</v>
      </c>
    </row>
    <row r="62" spans="1:66">
      <c r="A62" s="64" t="s">
        <v>30</v>
      </c>
      <c r="C62" s="3" t="s">
        <v>1488</v>
      </c>
      <c r="E62" s="21"/>
      <c r="G62" s="18"/>
      <c r="I62" s="73"/>
      <c r="J62" s="18"/>
      <c r="K62" s="18"/>
      <c r="L62" s="18"/>
      <c r="T62" s="18"/>
      <c r="U62" s="20"/>
      <c r="V62" s="18"/>
      <c r="W62" s="18"/>
      <c r="AF62" s="25">
        <f t="shared" si="79"/>
        <v>3</v>
      </c>
      <c r="AG62" s="17">
        <f t="shared" si="75"/>
        <v>180636.55499999982</v>
      </c>
      <c r="AH62" s="17">
        <f t="shared" si="75"/>
        <v>5559136.6049999995</v>
      </c>
      <c r="AI62" s="17">
        <f t="shared" si="75"/>
        <v>5559136.6049999995</v>
      </c>
      <c r="AJ62" s="17">
        <f t="shared" si="75"/>
        <v>0</v>
      </c>
      <c r="AK62" s="17">
        <f t="shared" si="75"/>
        <v>0</v>
      </c>
      <c r="AL62" s="17">
        <f t="shared" si="75"/>
        <v>0</v>
      </c>
      <c r="AO62" s="25">
        <f t="shared" si="80"/>
        <v>3</v>
      </c>
      <c r="AP62" s="17">
        <f t="shared" si="76"/>
        <v>104819.8199999998</v>
      </c>
      <c r="AQ62" s="17">
        <f t="shared" si="76"/>
        <v>2617627.1</v>
      </c>
      <c r="AR62" s="17">
        <f t="shared" si="76"/>
        <v>2617627.1</v>
      </c>
      <c r="AS62" s="17">
        <f t="shared" si="76"/>
        <v>0</v>
      </c>
      <c r="AT62" s="17">
        <f t="shared" si="76"/>
        <v>0</v>
      </c>
      <c r="AU62" s="17">
        <f t="shared" si="76"/>
        <v>0</v>
      </c>
      <c r="AX62" s="25">
        <f t="shared" si="81"/>
        <v>3</v>
      </c>
      <c r="AY62" s="17">
        <f t="shared" si="77"/>
        <v>75816.735000000001</v>
      </c>
      <c r="AZ62" s="17">
        <f t="shared" si="77"/>
        <v>2941509.5049999999</v>
      </c>
      <c r="BA62" s="17">
        <f t="shared" si="77"/>
        <v>2941509.5049999999</v>
      </c>
      <c r="BB62" s="17">
        <f t="shared" si="77"/>
        <v>0</v>
      </c>
      <c r="BC62" s="17">
        <f t="shared" si="77"/>
        <v>0</v>
      </c>
      <c r="BD62" s="17">
        <f t="shared" si="77"/>
        <v>0</v>
      </c>
      <c r="BG62" s="25">
        <f t="shared" si="82"/>
        <v>3</v>
      </c>
      <c r="BH62" s="17">
        <f t="shared" si="78"/>
        <v>0</v>
      </c>
      <c r="BI62" s="17">
        <f t="shared" si="78"/>
        <v>0</v>
      </c>
      <c r="BJ62" s="17">
        <f t="shared" si="78"/>
        <v>0</v>
      </c>
      <c r="BK62" s="17">
        <f t="shared" si="78"/>
        <v>0</v>
      </c>
      <c r="BL62" s="17">
        <f t="shared" si="78"/>
        <v>0</v>
      </c>
      <c r="BM62" s="17">
        <f t="shared" si="78"/>
        <v>0</v>
      </c>
    </row>
    <row r="63" spans="1:66">
      <c r="A63" s="64" t="s">
        <v>31</v>
      </c>
      <c r="C63" s="3" t="s">
        <v>913</v>
      </c>
      <c r="E63" s="21"/>
      <c r="G63" s="18"/>
      <c r="H63" s="18"/>
      <c r="I63" s="73"/>
      <c r="J63" s="18"/>
      <c r="K63" s="18"/>
      <c r="L63" s="18"/>
      <c r="T63" s="18"/>
      <c r="U63" s="20"/>
      <c r="V63" s="18"/>
      <c r="W63" s="18"/>
      <c r="AF63" s="25">
        <f t="shared" si="79"/>
        <v>4</v>
      </c>
      <c r="AG63" s="17">
        <f t="shared" si="75"/>
        <v>1362036.905000001</v>
      </c>
      <c r="AH63" s="17">
        <f t="shared" si="75"/>
        <v>3034484.1999999997</v>
      </c>
      <c r="AI63" s="17">
        <f t="shared" si="75"/>
        <v>3523574.42</v>
      </c>
      <c r="AJ63" s="17">
        <f t="shared" si="75"/>
        <v>0</v>
      </c>
      <c r="AK63" s="17">
        <f t="shared" si="75"/>
        <v>0</v>
      </c>
      <c r="AL63" s="17">
        <f t="shared" si="75"/>
        <v>0</v>
      </c>
      <c r="AO63" s="25">
        <f t="shared" si="80"/>
        <v>4</v>
      </c>
      <c r="AP63" s="17">
        <f t="shared" si="76"/>
        <v>1245754.4600000009</v>
      </c>
      <c r="AQ63" s="17">
        <f t="shared" si="76"/>
        <v>3034484.1999999997</v>
      </c>
      <c r="AR63" s="17">
        <f t="shared" si="76"/>
        <v>3523574.42</v>
      </c>
      <c r="AS63" s="17">
        <f t="shared" si="76"/>
        <v>0</v>
      </c>
      <c r="AT63" s="17">
        <f t="shared" si="76"/>
        <v>0</v>
      </c>
      <c r="AU63" s="17">
        <f t="shared" si="76"/>
        <v>0</v>
      </c>
      <c r="AX63" s="25">
        <f t="shared" si="81"/>
        <v>4</v>
      </c>
      <c r="AY63" s="17">
        <f t="shared" si="77"/>
        <v>116282.44500000004</v>
      </c>
      <c r="AZ63" s="17">
        <f t="shared" si="77"/>
        <v>0</v>
      </c>
      <c r="BA63" s="17">
        <f t="shared" si="77"/>
        <v>0</v>
      </c>
      <c r="BB63" s="17">
        <f t="shared" si="77"/>
        <v>0</v>
      </c>
      <c r="BC63" s="17">
        <f t="shared" si="77"/>
        <v>0</v>
      </c>
      <c r="BD63" s="17">
        <f t="shared" si="77"/>
        <v>0</v>
      </c>
      <c r="BG63" s="25">
        <f t="shared" si="82"/>
        <v>4</v>
      </c>
      <c r="BH63" s="17">
        <f t="shared" si="78"/>
        <v>0</v>
      </c>
      <c r="BI63" s="17">
        <f t="shared" si="78"/>
        <v>0</v>
      </c>
      <c r="BJ63" s="17">
        <f t="shared" si="78"/>
        <v>0</v>
      </c>
      <c r="BK63" s="17">
        <f t="shared" si="78"/>
        <v>0</v>
      </c>
      <c r="BL63" s="17">
        <f t="shared" si="78"/>
        <v>0</v>
      </c>
      <c r="BM63" s="17">
        <f t="shared" si="78"/>
        <v>0</v>
      </c>
    </row>
    <row r="64" spans="1:66">
      <c r="A64" s="64" t="s">
        <v>103</v>
      </c>
      <c r="C64" s="3" t="s">
        <v>692</v>
      </c>
      <c r="E64" s="21"/>
      <c r="G64" s="18"/>
      <c r="H64" s="18"/>
      <c r="I64" s="18"/>
      <c r="J64" s="18"/>
      <c r="K64" s="18"/>
      <c r="L64" s="18"/>
      <c r="V64" s="18"/>
      <c r="W64" s="18"/>
      <c r="AF64" s="25">
        <f t="shared" si="79"/>
        <v>5</v>
      </c>
      <c r="AG64" s="17">
        <f t="shared" si="75"/>
        <v>1888846.2049999994</v>
      </c>
      <c r="AH64" s="17">
        <f t="shared" si="75"/>
        <v>4274905.6050000004</v>
      </c>
      <c r="AI64" s="17">
        <f t="shared" si="75"/>
        <v>4571829.1449999996</v>
      </c>
      <c r="AJ64" s="17">
        <f t="shared" si="75"/>
        <v>0</v>
      </c>
      <c r="AK64" s="17">
        <f t="shared" si="75"/>
        <v>0</v>
      </c>
      <c r="AL64" s="17">
        <f t="shared" si="75"/>
        <v>0</v>
      </c>
      <c r="AO64" s="25">
        <f t="shared" si="80"/>
        <v>5</v>
      </c>
      <c r="AP64" s="17">
        <f t="shared" si="76"/>
        <v>1314161.8449999993</v>
      </c>
      <c r="AQ64" s="17">
        <f t="shared" si="76"/>
        <v>1404396.605</v>
      </c>
      <c r="AR64" s="17">
        <f t="shared" si="76"/>
        <v>1701320.1449999993</v>
      </c>
      <c r="AS64" s="17">
        <f t="shared" si="76"/>
        <v>0</v>
      </c>
      <c r="AT64" s="17">
        <f t="shared" si="76"/>
        <v>0</v>
      </c>
      <c r="AU64" s="17">
        <f t="shared" si="76"/>
        <v>0</v>
      </c>
      <c r="AX64" s="25">
        <f t="shared" si="81"/>
        <v>5</v>
      </c>
      <c r="AY64" s="17">
        <f t="shared" si="77"/>
        <v>2042.04</v>
      </c>
      <c r="AZ64" s="17">
        <f t="shared" si="77"/>
        <v>0</v>
      </c>
      <c r="BA64" s="17">
        <f t="shared" si="77"/>
        <v>0</v>
      </c>
      <c r="BB64" s="17">
        <f t="shared" si="77"/>
        <v>0</v>
      </c>
      <c r="BC64" s="17">
        <f t="shared" si="77"/>
        <v>0</v>
      </c>
      <c r="BD64" s="17">
        <f t="shared" si="77"/>
        <v>0</v>
      </c>
      <c r="BG64" s="25">
        <f t="shared" si="82"/>
        <v>5</v>
      </c>
      <c r="BH64" s="17">
        <f t="shared" si="78"/>
        <v>572642.32000000007</v>
      </c>
      <c r="BI64" s="17">
        <f t="shared" si="78"/>
        <v>2870509</v>
      </c>
      <c r="BJ64" s="17">
        <f t="shared" si="78"/>
        <v>2870509</v>
      </c>
      <c r="BK64" s="17">
        <f t="shared" si="78"/>
        <v>0</v>
      </c>
      <c r="BL64" s="17">
        <f t="shared" si="78"/>
        <v>0</v>
      </c>
      <c r="BM64" s="17">
        <f t="shared" si="78"/>
        <v>0</v>
      </c>
    </row>
    <row r="65" spans="1:65">
      <c r="A65" s="64" t="s">
        <v>108</v>
      </c>
      <c r="C65" s="3" t="s">
        <v>989</v>
      </c>
      <c r="E65" s="21"/>
      <c r="G65" s="18"/>
      <c r="H65" s="18"/>
      <c r="I65" s="18"/>
      <c r="J65" s="18"/>
      <c r="K65" s="18"/>
      <c r="L65" s="18"/>
      <c r="V65" s="18"/>
      <c r="W65" s="18"/>
      <c r="AF65" s="25">
        <f t="shared" si="79"/>
        <v>6</v>
      </c>
      <c r="AG65" s="17">
        <f t="shared" si="75"/>
        <v>1314805.9750000001</v>
      </c>
      <c r="AH65" s="17">
        <f t="shared" si="75"/>
        <v>2337711.5249999999</v>
      </c>
      <c r="AI65" s="17">
        <f t="shared" si="75"/>
        <v>2629556.4500000002</v>
      </c>
      <c r="AJ65" s="17">
        <f t="shared" si="75"/>
        <v>0</v>
      </c>
      <c r="AK65" s="17">
        <f t="shared" si="75"/>
        <v>0</v>
      </c>
      <c r="AL65" s="17">
        <f t="shared" si="75"/>
        <v>0</v>
      </c>
      <c r="AO65" s="25">
        <f t="shared" si="80"/>
        <v>6</v>
      </c>
      <c r="AP65" s="17">
        <f t="shared" si="76"/>
        <v>1314805.9750000001</v>
      </c>
      <c r="AQ65" s="17">
        <f t="shared" si="76"/>
        <v>2337711.5249999999</v>
      </c>
      <c r="AR65" s="17">
        <f t="shared" si="76"/>
        <v>2629556.4500000002</v>
      </c>
      <c r="AS65" s="17">
        <f t="shared" si="76"/>
        <v>0</v>
      </c>
      <c r="AT65" s="17">
        <f t="shared" si="76"/>
        <v>0</v>
      </c>
      <c r="AU65" s="17">
        <f t="shared" si="76"/>
        <v>0</v>
      </c>
      <c r="AX65" s="25">
        <f t="shared" si="81"/>
        <v>6</v>
      </c>
      <c r="AY65" s="17">
        <f t="shared" si="77"/>
        <v>0</v>
      </c>
      <c r="AZ65" s="17">
        <f t="shared" si="77"/>
        <v>0</v>
      </c>
      <c r="BA65" s="17">
        <f t="shared" si="77"/>
        <v>0</v>
      </c>
      <c r="BB65" s="17">
        <f t="shared" si="77"/>
        <v>0</v>
      </c>
      <c r="BC65" s="17">
        <f t="shared" si="77"/>
        <v>0</v>
      </c>
      <c r="BD65" s="17">
        <f t="shared" si="77"/>
        <v>0</v>
      </c>
      <c r="BG65" s="25">
        <f t="shared" si="82"/>
        <v>6</v>
      </c>
      <c r="BH65" s="17">
        <f t="shared" si="78"/>
        <v>0</v>
      </c>
      <c r="BI65" s="17">
        <f t="shared" si="78"/>
        <v>0</v>
      </c>
      <c r="BJ65" s="17">
        <f t="shared" si="78"/>
        <v>0</v>
      </c>
      <c r="BK65" s="17">
        <f t="shared" si="78"/>
        <v>0</v>
      </c>
      <c r="BL65" s="17">
        <f t="shared" si="78"/>
        <v>0</v>
      </c>
      <c r="BM65" s="17">
        <f t="shared" si="78"/>
        <v>0</v>
      </c>
    </row>
    <row r="66" spans="1:65">
      <c r="A66" s="64" t="s">
        <v>134</v>
      </c>
      <c r="C66" s="3" t="s">
        <v>618</v>
      </c>
      <c r="E66" s="21"/>
      <c r="G66" s="18"/>
      <c r="H66" s="18"/>
      <c r="I66" s="18"/>
      <c r="J66" s="18"/>
      <c r="K66" s="18"/>
      <c r="L66" s="18"/>
      <c r="V66" s="18"/>
      <c r="W66" s="18"/>
      <c r="AF66" s="25">
        <f t="shared" si="79"/>
        <v>7</v>
      </c>
      <c r="AG66" s="17">
        <f t="shared" si="75"/>
        <v>0</v>
      </c>
      <c r="AH66" s="17">
        <f t="shared" si="75"/>
        <v>0</v>
      </c>
      <c r="AI66" s="17">
        <f t="shared" si="75"/>
        <v>0</v>
      </c>
      <c r="AJ66" s="17">
        <f t="shared" si="75"/>
        <v>0</v>
      </c>
      <c r="AK66" s="17">
        <f t="shared" si="75"/>
        <v>0</v>
      </c>
      <c r="AL66" s="17">
        <f t="shared" si="75"/>
        <v>0</v>
      </c>
      <c r="AO66" s="25">
        <f t="shared" si="80"/>
        <v>7</v>
      </c>
      <c r="AP66" s="17">
        <f t="shared" si="76"/>
        <v>0</v>
      </c>
      <c r="AQ66" s="17">
        <f t="shared" si="76"/>
        <v>0</v>
      </c>
      <c r="AR66" s="17">
        <f t="shared" si="76"/>
        <v>0</v>
      </c>
      <c r="AS66" s="17">
        <f t="shared" si="76"/>
        <v>0</v>
      </c>
      <c r="AT66" s="17">
        <f t="shared" si="76"/>
        <v>0</v>
      </c>
      <c r="AU66" s="17">
        <f t="shared" si="76"/>
        <v>0</v>
      </c>
      <c r="AX66" s="25">
        <f t="shared" si="81"/>
        <v>7</v>
      </c>
      <c r="AY66" s="17">
        <f t="shared" si="77"/>
        <v>0</v>
      </c>
      <c r="AZ66" s="17">
        <f t="shared" si="77"/>
        <v>0</v>
      </c>
      <c r="BA66" s="17">
        <f t="shared" si="77"/>
        <v>0</v>
      </c>
      <c r="BB66" s="17">
        <f t="shared" si="77"/>
        <v>0</v>
      </c>
      <c r="BC66" s="17">
        <f t="shared" si="77"/>
        <v>0</v>
      </c>
      <c r="BD66" s="17">
        <f t="shared" si="77"/>
        <v>0</v>
      </c>
      <c r="BG66" s="25">
        <f t="shared" si="82"/>
        <v>7</v>
      </c>
      <c r="BH66" s="17">
        <f t="shared" si="78"/>
        <v>0</v>
      </c>
      <c r="BI66" s="17">
        <f t="shared" si="78"/>
        <v>0</v>
      </c>
      <c r="BJ66" s="17">
        <f t="shared" si="78"/>
        <v>0</v>
      </c>
      <c r="BK66" s="17">
        <f t="shared" si="78"/>
        <v>0</v>
      </c>
      <c r="BL66" s="17">
        <f t="shared" si="78"/>
        <v>0</v>
      </c>
      <c r="BM66" s="17">
        <f t="shared" si="78"/>
        <v>0</v>
      </c>
    </row>
    <row r="67" spans="1:65">
      <c r="A67" s="64" t="s">
        <v>137</v>
      </c>
      <c r="C67" s="3" t="s">
        <v>989</v>
      </c>
      <c r="E67" s="21"/>
      <c r="AF67" s="25">
        <f t="shared" si="79"/>
        <v>8</v>
      </c>
      <c r="AG67" s="17">
        <f t="shared" si="75"/>
        <v>0</v>
      </c>
      <c r="AH67" s="17">
        <f t="shared" si="75"/>
        <v>0</v>
      </c>
      <c r="AI67" s="17">
        <f t="shared" si="75"/>
        <v>0</v>
      </c>
      <c r="AJ67" s="17">
        <f t="shared" si="75"/>
        <v>0</v>
      </c>
      <c r="AK67" s="17">
        <f t="shared" si="75"/>
        <v>0</v>
      </c>
      <c r="AL67" s="17">
        <f t="shared" si="75"/>
        <v>0</v>
      </c>
      <c r="AO67" s="25">
        <f t="shared" si="80"/>
        <v>8</v>
      </c>
      <c r="AP67" s="17">
        <f t="shared" si="76"/>
        <v>0</v>
      </c>
      <c r="AQ67" s="17">
        <f t="shared" si="76"/>
        <v>0</v>
      </c>
      <c r="AR67" s="17">
        <f t="shared" si="76"/>
        <v>0</v>
      </c>
      <c r="AS67" s="17">
        <f t="shared" si="76"/>
        <v>0</v>
      </c>
      <c r="AT67" s="17">
        <f t="shared" si="76"/>
        <v>0</v>
      </c>
      <c r="AU67" s="17">
        <f t="shared" si="76"/>
        <v>0</v>
      </c>
      <c r="AX67" s="25">
        <f t="shared" si="81"/>
        <v>8</v>
      </c>
      <c r="AY67" s="17">
        <f t="shared" si="77"/>
        <v>0</v>
      </c>
      <c r="AZ67" s="17">
        <f t="shared" si="77"/>
        <v>0</v>
      </c>
      <c r="BA67" s="17">
        <f t="shared" si="77"/>
        <v>0</v>
      </c>
      <c r="BB67" s="17">
        <f t="shared" si="77"/>
        <v>0</v>
      </c>
      <c r="BC67" s="17">
        <f t="shared" si="77"/>
        <v>0</v>
      </c>
      <c r="BD67" s="17">
        <f t="shared" si="77"/>
        <v>0</v>
      </c>
      <c r="BG67" s="25">
        <f t="shared" si="82"/>
        <v>8</v>
      </c>
      <c r="BH67" s="17">
        <f t="shared" si="78"/>
        <v>0</v>
      </c>
      <c r="BI67" s="17">
        <f t="shared" si="78"/>
        <v>0</v>
      </c>
      <c r="BJ67" s="17">
        <f t="shared" si="78"/>
        <v>0</v>
      </c>
      <c r="BK67" s="17">
        <f t="shared" si="78"/>
        <v>0</v>
      </c>
      <c r="BL67" s="17">
        <f t="shared" si="78"/>
        <v>0</v>
      </c>
      <c r="BM67" s="17">
        <f t="shared" si="78"/>
        <v>0</v>
      </c>
    </row>
    <row r="68" spans="1:65">
      <c r="A68" s="64" t="s">
        <v>345</v>
      </c>
      <c r="C68" s="3" t="s">
        <v>693</v>
      </c>
      <c r="E68" s="21"/>
      <c r="G68" s="26"/>
      <c r="I68" s="26"/>
      <c r="J68" s="26"/>
      <c r="K68" s="26"/>
      <c r="L68" s="26"/>
      <c r="U68" s="26"/>
      <c r="AF68" s="25"/>
      <c r="AG68" s="191"/>
      <c r="AH68" s="191"/>
      <c r="AI68" s="191"/>
      <c r="AJ68" s="191"/>
      <c r="AK68" s="191"/>
      <c r="AL68" s="191"/>
      <c r="AO68" s="25"/>
      <c r="AP68" s="191"/>
      <c r="AQ68" s="191"/>
      <c r="AR68" s="191"/>
      <c r="AS68" s="191"/>
      <c r="AT68" s="191"/>
      <c r="AU68" s="191"/>
      <c r="AX68" s="25"/>
      <c r="AY68" s="191"/>
      <c r="AZ68" s="191"/>
      <c r="BA68" s="191"/>
      <c r="BB68" s="191"/>
      <c r="BC68" s="191"/>
      <c r="BD68" s="191"/>
      <c r="BG68" s="25"/>
      <c r="BH68" s="191"/>
      <c r="BI68" s="191"/>
      <c r="BJ68" s="191"/>
      <c r="BK68" s="191"/>
      <c r="BL68" s="191"/>
      <c r="BM68" s="191"/>
    </row>
    <row r="69" spans="1:65">
      <c r="AF69" s="25"/>
      <c r="AG69" s="70"/>
      <c r="AH69" s="70"/>
      <c r="AI69" s="70"/>
      <c r="AJ69" s="70"/>
      <c r="AK69" s="70"/>
      <c r="AL69" s="70"/>
      <c r="AO69" s="25"/>
      <c r="AP69" s="70"/>
      <c r="AQ69" s="70"/>
      <c r="AR69" s="70"/>
      <c r="AS69" s="70"/>
      <c r="AT69" s="70"/>
      <c r="AU69" s="70"/>
      <c r="AX69" s="25"/>
      <c r="AY69" s="70"/>
      <c r="AZ69" s="70"/>
      <c r="BA69" s="70"/>
      <c r="BB69" s="70"/>
      <c r="BC69" s="70"/>
      <c r="BD69" s="70"/>
      <c r="BG69" s="25"/>
      <c r="BH69" s="70"/>
      <c r="BI69" s="70"/>
      <c r="BJ69" s="70"/>
      <c r="BK69" s="70"/>
      <c r="BL69" s="70"/>
      <c r="BM69" s="70"/>
    </row>
    <row r="70" spans="1:65">
      <c r="AF70" s="97" t="s">
        <v>0</v>
      </c>
      <c r="AG70" s="68">
        <v>18354506.740000002</v>
      </c>
      <c r="AH70" s="68">
        <f t="shared" ref="AH70:AL70" si="83">SUM(AH59:AH69)</f>
        <v>15206237.935000001</v>
      </c>
      <c r="AI70" s="68">
        <f t="shared" si="83"/>
        <v>16284096.619999997</v>
      </c>
      <c r="AJ70" s="68">
        <f t="shared" si="83"/>
        <v>0</v>
      </c>
      <c r="AK70" s="68">
        <f t="shared" si="83"/>
        <v>0</v>
      </c>
      <c r="AL70" s="68">
        <f t="shared" si="83"/>
        <v>0</v>
      </c>
      <c r="AO70" s="97" t="s">
        <v>0</v>
      </c>
      <c r="AP70" s="68">
        <v>17587723.200000003</v>
      </c>
      <c r="AQ70" s="68">
        <f t="shared" ref="AQ70:AU70" si="84">SUM(AQ59:AQ69)</f>
        <v>9394219.4299999997</v>
      </c>
      <c r="AR70" s="68">
        <f t="shared" si="84"/>
        <v>10472078.114999998</v>
      </c>
      <c r="AS70" s="68">
        <f t="shared" si="84"/>
        <v>0</v>
      </c>
      <c r="AT70" s="68">
        <f t="shared" si="84"/>
        <v>0</v>
      </c>
      <c r="AU70" s="68">
        <f t="shared" si="84"/>
        <v>0</v>
      </c>
      <c r="AX70" s="97" t="s">
        <v>0</v>
      </c>
      <c r="AY70" s="220">
        <v>13802322.320000002</v>
      </c>
      <c r="AZ70" s="68">
        <f t="shared" ref="AZ70:BD70" si="85">SUM(AZ59:AZ69)</f>
        <v>2941509.5049999999</v>
      </c>
      <c r="BA70" s="68">
        <f t="shared" si="85"/>
        <v>2941509.5049999999</v>
      </c>
      <c r="BB70" s="68">
        <f t="shared" si="85"/>
        <v>0</v>
      </c>
      <c r="BC70" s="68">
        <f t="shared" si="85"/>
        <v>0</v>
      </c>
      <c r="BD70" s="68">
        <f t="shared" si="85"/>
        <v>0</v>
      </c>
      <c r="BG70" s="97" t="s">
        <v>0</v>
      </c>
      <c r="BH70" s="220">
        <v>14180823.420000002</v>
      </c>
      <c r="BI70" s="68">
        <f t="shared" ref="BI70:BM70" si="86">SUM(BI59:BI69)</f>
        <v>2870509</v>
      </c>
      <c r="BJ70" s="68">
        <f t="shared" si="86"/>
        <v>2870509</v>
      </c>
      <c r="BK70" s="68">
        <f t="shared" si="86"/>
        <v>0</v>
      </c>
      <c r="BL70" s="68">
        <f t="shared" si="86"/>
        <v>0</v>
      </c>
      <c r="BM70" s="68">
        <f t="shared" si="86"/>
        <v>0</v>
      </c>
    </row>
    <row r="72" spans="1:65">
      <c r="C72" s="61"/>
      <c r="D72" s="61"/>
      <c r="E72" s="160"/>
      <c r="F72" s="61"/>
      <c r="G72" s="235"/>
      <c r="H72" s="61"/>
      <c r="I72" s="160" t="s">
        <v>7</v>
      </c>
    </row>
    <row r="73" spans="1:65">
      <c r="C73" s="68"/>
      <c r="D73" s="61"/>
      <c r="E73" s="160" t="s">
        <v>7</v>
      </c>
      <c r="F73" s="61"/>
      <c r="G73" s="160" t="s">
        <v>7</v>
      </c>
      <c r="H73" s="68"/>
      <c r="I73" s="61" t="s">
        <v>562</v>
      </c>
    </row>
    <row r="74" spans="1:65">
      <c r="C74" s="172"/>
      <c r="D74" s="61"/>
      <c r="E74" s="61" t="s">
        <v>562</v>
      </c>
      <c r="F74" s="61"/>
      <c r="G74" s="160" t="s">
        <v>492</v>
      </c>
      <c r="H74" s="172"/>
      <c r="I74" s="61" t="s">
        <v>330</v>
      </c>
    </row>
    <row r="75" spans="1:65">
      <c r="C75" s="25">
        <v>2012</v>
      </c>
      <c r="D75" s="61"/>
      <c r="E75" s="160" t="s">
        <v>13</v>
      </c>
      <c r="F75" s="61"/>
      <c r="G75" s="160" t="s">
        <v>22</v>
      </c>
      <c r="H75" s="172"/>
      <c r="I75" s="160" t="s">
        <v>13</v>
      </c>
    </row>
    <row r="76" spans="1:65">
      <c r="C76" s="25">
        <f>C75+1</f>
        <v>2013</v>
      </c>
      <c r="D76" s="61"/>
      <c r="E76" s="160"/>
      <c r="F76" s="61"/>
      <c r="G76" s="160"/>
      <c r="H76" s="172"/>
      <c r="I76" s="172"/>
    </row>
    <row r="77" spans="1:65">
      <c r="C77" s="25">
        <f t="shared" ref="C77:C82" si="87">C76+1</f>
        <v>2014</v>
      </c>
      <c r="D77" s="61"/>
      <c r="E77" s="160">
        <f t="shared" ref="E77:E82" si="88">(1-Q18)*O18</f>
        <v>4267.4773294323113</v>
      </c>
      <c r="F77" s="61"/>
      <c r="G77" s="72">
        <v>1</v>
      </c>
      <c r="H77" s="172"/>
      <c r="I77" s="172"/>
    </row>
    <row r="78" spans="1:65">
      <c r="C78" s="25">
        <f t="shared" si="87"/>
        <v>2015</v>
      </c>
      <c r="D78" s="61"/>
      <c r="E78" s="137">
        <f t="shared" si="88"/>
        <v>3046.922209766461</v>
      </c>
      <c r="F78" s="61"/>
      <c r="G78" s="72">
        <v>1</v>
      </c>
      <c r="H78" s="172"/>
      <c r="I78" s="172"/>
    </row>
    <row r="79" spans="1:65">
      <c r="C79" s="25">
        <f t="shared" si="87"/>
        <v>2016</v>
      </c>
      <c r="D79" s="61"/>
      <c r="E79" s="137">
        <f t="shared" si="88"/>
        <v>96980.174364002742</v>
      </c>
      <c r="F79" s="61"/>
      <c r="G79" s="72">
        <v>1</v>
      </c>
      <c r="H79" s="172"/>
      <c r="I79" s="414">
        <f>(1-G79)*E79</f>
        <v>0</v>
      </c>
    </row>
    <row r="80" spans="1:65">
      <c r="C80" s="25">
        <f t="shared" si="87"/>
        <v>2017</v>
      </c>
      <c r="D80" s="61"/>
      <c r="E80" s="137">
        <f t="shared" si="88"/>
        <v>217311.06807207604</v>
      </c>
      <c r="F80" s="61"/>
      <c r="G80" s="72">
        <v>1</v>
      </c>
      <c r="H80" s="172"/>
      <c r="I80" s="414">
        <f>(1-G80)*E80</f>
        <v>0</v>
      </c>
    </row>
    <row r="81" spans="3:9">
      <c r="C81" s="25">
        <f t="shared" si="87"/>
        <v>2018</v>
      </c>
      <c r="D81" s="61"/>
      <c r="E81" s="137">
        <f t="shared" si="88"/>
        <v>1134052.4282301276</v>
      </c>
      <c r="F81" s="61"/>
      <c r="G81" s="72">
        <v>0.93</v>
      </c>
      <c r="H81" s="172"/>
      <c r="I81" s="84">
        <f>(1-G81)*E81</f>
        <v>79383.669976108868</v>
      </c>
    </row>
    <row r="82" spans="3:9">
      <c r="C82" s="25">
        <f t="shared" si="87"/>
        <v>2019</v>
      </c>
      <c r="D82" s="61"/>
      <c r="E82" s="137">
        <f t="shared" si="88"/>
        <v>703111.6667415445</v>
      </c>
      <c r="F82" s="61"/>
      <c r="G82" s="72">
        <v>0.85</v>
      </c>
      <c r="H82" s="61"/>
      <c r="I82" s="84">
        <f>(1-G82)*E82</f>
        <v>105466.75001123169</v>
      </c>
    </row>
    <row r="83" spans="3:9">
      <c r="C83" s="25"/>
      <c r="D83" s="68"/>
      <c r="E83" s="137"/>
      <c r="F83" s="61"/>
      <c r="G83" s="68"/>
      <c r="H83" s="61"/>
      <c r="I83" s="68"/>
    </row>
    <row r="84" spans="3:9">
      <c r="C84" s="25"/>
      <c r="D84" s="61"/>
      <c r="E84" s="61"/>
      <c r="F84" s="61"/>
      <c r="G84" s="61"/>
      <c r="H84" s="61"/>
      <c r="I84" s="61"/>
    </row>
    <row r="85" spans="3:9">
      <c r="C85" s="97" t="s">
        <v>0</v>
      </c>
      <c r="D85" s="61"/>
      <c r="E85" s="68">
        <f>SUM(E75:E84)</f>
        <v>2158769.7369469497</v>
      </c>
      <c r="F85" s="61"/>
      <c r="G85" s="61"/>
      <c r="H85" s="61"/>
      <c r="I85" s="68">
        <f>SUM(I75:I84)</f>
        <v>184850.41998734057</v>
      </c>
    </row>
  </sheetData>
  <printOptions horizontalCentered="1"/>
  <pageMargins left="0.7" right="0.7" top="0.75" bottom="0.75" header="0.3" footer="0.3"/>
  <pageSetup scale="48" orientation="landscape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89">
    <pageSetUpPr fitToPage="1"/>
  </sheetPr>
  <dimension ref="A1:Y186"/>
  <sheetViews>
    <sheetView zoomScale="70" zoomScaleNormal="70" workbookViewId="0"/>
  </sheetViews>
  <sheetFormatPr baseColWidth="10" defaultColWidth="8.7109375" defaultRowHeight="15"/>
  <cols>
    <col min="1" max="4" width="8.7109375" style="1" customWidth="1"/>
    <col min="5" max="5" width="12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2.7109375" style="1" customWidth="1"/>
    <col min="12" max="12" width="1.7109375" style="1" customWidth="1"/>
    <col min="13" max="13" width="12.7109375" style="1" customWidth="1"/>
    <col min="14" max="14" width="1.7109375" style="1" customWidth="1"/>
    <col min="15" max="15" width="12.7109375" style="1" customWidth="1"/>
    <col min="16" max="16" width="1.7109375" style="1" customWidth="1"/>
    <col min="17" max="17" width="12.7109375" style="1" customWidth="1"/>
    <col min="18" max="18" width="1.7109375" style="1" customWidth="1"/>
    <col min="19" max="19" width="12.7109375" style="1" customWidth="1"/>
    <col min="20" max="20" width="1.7109375" style="1" customWidth="1"/>
    <col min="21" max="21" width="12.7109375" style="1" customWidth="1"/>
    <col min="22" max="16384" width="8.7109375" style="1"/>
  </cols>
  <sheetData>
    <row r="1" spans="1:25">
      <c r="S1" s="52" t="s">
        <v>105</v>
      </c>
    </row>
    <row r="2" spans="1:25">
      <c r="S2" s="52" t="s">
        <v>56</v>
      </c>
    </row>
    <row r="4" spans="1:25" ht="16">
      <c r="A4" s="4" t="s">
        <v>886</v>
      </c>
      <c r="B4" s="4"/>
      <c r="C4" s="4"/>
      <c r="D4" s="4"/>
      <c r="E4" s="4"/>
      <c r="F4" s="4"/>
      <c r="G4" s="5"/>
      <c r="H4" s="4"/>
      <c r="I4" s="4"/>
      <c r="J4" s="5"/>
      <c r="K4" s="5"/>
      <c r="L4" s="5"/>
      <c r="M4" s="5"/>
      <c r="N4" s="5"/>
      <c r="O4" s="5"/>
      <c r="P4" s="5"/>
      <c r="Q4" s="5"/>
      <c r="R4" s="5"/>
      <c r="S4" s="5"/>
      <c r="T4" s="140"/>
      <c r="U4" s="140"/>
      <c r="V4" s="140"/>
      <c r="W4" s="140"/>
      <c r="X4" s="140"/>
      <c r="Y4" s="140"/>
    </row>
    <row r="5" spans="1: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140"/>
      <c r="U5" s="140"/>
      <c r="V5" s="140"/>
      <c r="W5" s="140"/>
      <c r="X5" s="140"/>
      <c r="Y5" s="140"/>
    </row>
    <row r="6" spans="1:25">
      <c r="A6" s="5" t="s">
        <v>1570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140"/>
      <c r="U6" s="140"/>
      <c r="V6" s="140"/>
      <c r="W6" s="140"/>
      <c r="X6" s="140"/>
      <c r="Y6" s="140"/>
    </row>
    <row r="7" spans="1:25">
      <c r="B7" s="5"/>
      <c r="C7" s="5"/>
      <c r="D7" s="5"/>
      <c r="E7" s="5"/>
      <c r="F7" s="5"/>
      <c r="H7" s="5"/>
      <c r="I7" s="5"/>
      <c r="K7" s="5"/>
      <c r="L7" s="5"/>
      <c r="M7" s="5"/>
      <c r="N7" s="5"/>
      <c r="O7" s="5"/>
      <c r="P7" s="5"/>
      <c r="R7" s="5"/>
      <c r="S7" s="5"/>
      <c r="T7" s="5"/>
      <c r="U7" s="5"/>
    </row>
    <row r="8" spans="1:25">
      <c r="G8" s="2"/>
    </row>
    <row r="9" spans="1:25">
      <c r="A9" s="132"/>
      <c r="B9" s="132"/>
      <c r="C9" s="132"/>
      <c r="D9" s="132"/>
      <c r="G9" s="6"/>
    </row>
    <row r="12" spans="1:25">
      <c r="E12" s="6" t="s">
        <v>718</v>
      </c>
      <c r="G12" s="6" t="s">
        <v>718</v>
      </c>
      <c r="I12" s="6" t="s">
        <v>279</v>
      </c>
      <c r="K12" s="6" t="s">
        <v>279</v>
      </c>
      <c r="M12" s="6" t="s">
        <v>1385</v>
      </c>
      <c r="O12" s="6" t="s">
        <v>703</v>
      </c>
      <c r="Q12" s="6" t="s">
        <v>703</v>
      </c>
      <c r="S12" s="6" t="s">
        <v>703</v>
      </c>
    </row>
    <row r="13" spans="1:25">
      <c r="E13" s="6" t="s">
        <v>5</v>
      </c>
      <c r="G13" s="6" t="s">
        <v>719</v>
      </c>
      <c r="I13" s="6" t="s">
        <v>5</v>
      </c>
      <c r="K13" s="6" t="s">
        <v>395</v>
      </c>
      <c r="M13" s="6" t="s">
        <v>0</v>
      </c>
      <c r="O13" s="6" t="s">
        <v>5</v>
      </c>
      <c r="P13" s="6"/>
      <c r="Q13" s="6" t="s">
        <v>395</v>
      </c>
      <c r="S13" s="6" t="s">
        <v>0</v>
      </c>
    </row>
    <row r="15" spans="1:25">
      <c r="A15" s="1" t="s">
        <v>1571</v>
      </c>
      <c r="E15" s="548">
        <f>'Exhibit F,1'!M44</f>
        <v>12462424.428943126</v>
      </c>
      <c r="F15" s="147"/>
      <c r="G15" s="548">
        <f>'Exhibit F,1'!O44</f>
        <v>2938754.5803482933</v>
      </c>
      <c r="H15" s="147"/>
      <c r="I15" s="548">
        <f>'Exhibit U,1'!C50</f>
        <v>1315092.6956908247</v>
      </c>
      <c r="J15" s="147"/>
      <c r="K15" s="548">
        <f>'Exhibit U,1'!E50</f>
        <v>3038384.4169053682</v>
      </c>
      <c r="L15" s="147"/>
      <c r="M15" s="147">
        <f>SUM(E15:K15)</f>
        <v>19754656.121887613</v>
      </c>
      <c r="N15" s="147"/>
      <c r="O15" s="505">
        <f>'Exhibit A,2'!U68</f>
        <v>2440970.4582306887</v>
      </c>
      <c r="P15" s="505"/>
      <c r="Q15" s="505">
        <f>'Exhibit A,3'!AI68</f>
        <v>1980906.362590614</v>
      </c>
      <c r="R15" s="147"/>
      <c r="S15" s="548">
        <f>O15+Q15</f>
        <v>4421876.8208213029</v>
      </c>
      <c r="U15" s="17"/>
    </row>
    <row r="16" spans="1:25">
      <c r="U16" s="61" t="s">
        <v>685</v>
      </c>
      <c r="V16" s="84">
        <f>M15-'Summary Exhibit 3'!Q35</f>
        <v>0</v>
      </c>
    </row>
    <row r="17" spans="1:22">
      <c r="A17" s="1" t="s">
        <v>777</v>
      </c>
      <c r="D17" s="55">
        <v>0.05</v>
      </c>
      <c r="U17" s="61"/>
      <c r="V17" s="61"/>
    </row>
    <row r="18" spans="1:22">
      <c r="U18" s="61"/>
      <c r="V18" s="61"/>
    </row>
    <row r="19" spans="1:22">
      <c r="A19" s="1" t="s">
        <v>778</v>
      </c>
      <c r="D19" s="55">
        <f>'Exhibit C,1'!I34</f>
        <v>3.6999999999999998E-2</v>
      </c>
      <c r="U19" s="61"/>
      <c r="V19" s="61"/>
    </row>
    <row r="20" spans="1:22">
      <c r="U20" s="61"/>
      <c r="V20" s="61"/>
    </row>
    <row r="21" spans="1:22">
      <c r="A21" s="1" t="s">
        <v>1572</v>
      </c>
      <c r="E21" s="17">
        <f>E15*(1+$D17)*(1+$D19)</f>
        <v>13569710.839454722</v>
      </c>
      <c r="G21" s="17">
        <f>G15*(1+$D17)*(1+$D19)</f>
        <v>3199862.9248122387</v>
      </c>
      <c r="I21" s="17">
        <f>I15*(1+$D17)*(1+$D19)</f>
        <v>1431938.6817029545</v>
      </c>
      <c r="K21" s="17">
        <f>K15*(1+$D17)*(1+$D19)</f>
        <v>3308344.8723474103</v>
      </c>
      <c r="M21" s="22"/>
      <c r="O21" s="17">
        <f>O15*(1+$D17)*(1+$D19)</f>
        <v>2657850.6834444855</v>
      </c>
      <c r="Q21" s="17">
        <f>Q15*(1+$D17)*(1+$D19)</f>
        <v>2156909.8929067901</v>
      </c>
      <c r="S21" s="17"/>
      <c r="U21" s="69"/>
      <c r="V21" s="61"/>
    </row>
    <row r="22" spans="1:22">
      <c r="U22" s="61"/>
      <c r="V22" s="61"/>
    </row>
    <row r="23" spans="1:22">
      <c r="A23" s="1" t="s">
        <v>1573</v>
      </c>
      <c r="E23" s="17">
        <f>'Summary Exhibit 3'!C34</f>
        <v>15890167.78097108</v>
      </c>
      <c r="G23" s="17">
        <f>'Summary Exhibit 3'!E34</f>
        <v>1134600.3793432082</v>
      </c>
      <c r="I23" s="17">
        <f>'Summary Exhibit 3'!G34</f>
        <v>1998886.0042928304</v>
      </c>
      <c r="K23" s="17">
        <f>'Summary Exhibit 3'!I34</f>
        <v>3388129.2289063614</v>
      </c>
      <c r="M23" s="22">
        <f>SUM(E23:K23)</f>
        <v>22411783.393513478</v>
      </c>
      <c r="O23" s="17">
        <f>'Exhibit A,2'!AB68</f>
        <v>3129720.2244899999</v>
      </c>
      <c r="P23" s="17"/>
      <c r="Q23" s="17">
        <f>'Exhibit A,3'!AN68</f>
        <v>1788852.3286949997</v>
      </c>
      <c r="S23" s="17">
        <f>O23+Q23</f>
        <v>4918572.5531849992</v>
      </c>
      <c r="U23" s="61"/>
      <c r="V23" s="61"/>
    </row>
    <row r="24" spans="1:22">
      <c r="U24" s="61" t="s">
        <v>685</v>
      </c>
      <c r="V24" s="84">
        <f>M23-'Summary Exhibit 3'!Q34</f>
        <v>0</v>
      </c>
    </row>
    <row r="25" spans="1:22">
      <c r="A25" s="1" t="s">
        <v>779</v>
      </c>
      <c r="E25" s="55">
        <f>E21/E23</f>
        <v>0.85396900942133724</v>
      </c>
      <c r="G25" s="55">
        <f>G21/G23</f>
        <v>2.8202554688590529</v>
      </c>
      <c r="I25" s="55">
        <f>I21/I23</f>
        <v>0.71636835648841735</v>
      </c>
      <c r="K25" s="55">
        <f>K21/K23</f>
        <v>0.97645179650225311</v>
      </c>
      <c r="O25" s="55">
        <f>O21/O23</f>
        <v>0.84922948148746835</v>
      </c>
      <c r="Q25" s="55">
        <f>Q21/Q23</f>
        <v>1.2057506694699025</v>
      </c>
      <c r="S25" s="55"/>
      <c r="U25" s="84"/>
      <c r="V25" s="61"/>
    </row>
    <row r="26" spans="1:22">
      <c r="U26" s="61"/>
      <c r="V26" s="61"/>
    </row>
    <row r="27" spans="1:22">
      <c r="A27" s="1" t="s">
        <v>785</v>
      </c>
      <c r="D27" s="55">
        <v>0.03</v>
      </c>
      <c r="E27" s="74">
        <f>E25*D186</f>
        <v>0.74189054492353679</v>
      </c>
      <c r="G27" s="55">
        <f>G25*D161</f>
        <v>2.3129797817724613</v>
      </c>
      <c r="I27" s="74">
        <f>I25*D111</f>
        <v>0.6369044189412657</v>
      </c>
      <c r="K27" s="55">
        <f>K25*D134</f>
        <v>0.79315372333499534</v>
      </c>
      <c r="O27" s="55">
        <f>O25*D64</f>
        <v>0.76349682880589842</v>
      </c>
      <c r="Q27" s="55">
        <f>Q25*D88</f>
        <v>0.97424671226475101</v>
      </c>
      <c r="S27" s="55"/>
    </row>
    <row r="29" spans="1:22">
      <c r="A29" s="1" t="s">
        <v>1574</v>
      </c>
      <c r="E29" s="17">
        <v>2732958.7300000004</v>
      </c>
      <c r="G29" s="17">
        <v>37110.6</v>
      </c>
      <c r="I29" s="17">
        <v>1057576.7100000004</v>
      </c>
      <c r="K29" s="17">
        <v>535041.01</v>
      </c>
      <c r="O29" s="17">
        <v>706510.75000000012</v>
      </c>
      <c r="P29" s="17">
        <v>67612.530000001192</v>
      </c>
      <c r="Q29" s="17">
        <v>1162935.5100000007</v>
      </c>
      <c r="S29" s="17"/>
      <c r="U29" s="22"/>
    </row>
    <row r="31" spans="1:22">
      <c r="A31" s="1" t="s">
        <v>786</v>
      </c>
      <c r="E31" s="548">
        <f>IF(E27&lt;1,0,(E27-1)*E29)</f>
        <v>0</v>
      </c>
      <c r="F31" s="147"/>
      <c r="G31" s="548">
        <f>IF(G27&lt;1,0,(G27-1)*G29)</f>
        <v>48725.467489445102</v>
      </c>
      <c r="H31" s="147"/>
      <c r="I31" s="548">
        <f>IF(I27&lt;1,0,(I27-1)*I29)</f>
        <v>0</v>
      </c>
      <c r="J31" s="147"/>
      <c r="K31" s="548">
        <f>IF(K27&lt;1,0,(K27-1)*K29)</f>
        <v>0</v>
      </c>
      <c r="L31" s="147"/>
      <c r="M31" s="147">
        <f>SUM(E31:K31)</f>
        <v>48725.467489445102</v>
      </c>
      <c r="N31" s="147"/>
      <c r="O31" s="548">
        <f>IF(O27&lt;1,0,(O27-1)*O29)</f>
        <v>0</v>
      </c>
      <c r="P31" s="147"/>
      <c r="Q31" s="548">
        <f>IF(Q27&lt;1,0,(Q27-1)*Q29)</f>
        <v>0</v>
      </c>
      <c r="R31" s="147"/>
      <c r="S31" s="548">
        <f>O31+Q31</f>
        <v>0</v>
      </c>
      <c r="U31" s="22"/>
    </row>
    <row r="33" spans="1:19">
      <c r="E33" s="22"/>
      <c r="G33" s="22"/>
      <c r="I33" s="22"/>
      <c r="K33" s="22"/>
      <c r="M33" s="22"/>
      <c r="O33" s="22"/>
      <c r="Q33" s="22"/>
      <c r="S33" s="20"/>
    </row>
    <row r="35" spans="1:19">
      <c r="A35" s="1" t="s">
        <v>141</v>
      </c>
      <c r="B35" s="1" t="s">
        <v>1512</v>
      </c>
    </row>
    <row r="36" spans="1:19">
      <c r="A36" s="64" t="s">
        <v>33</v>
      </c>
      <c r="B36" s="1" t="s">
        <v>1568</v>
      </c>
    </row>
    <row r="37" spans="1:19">
      <c r="A37" s="64" t="s">
        <v>36</v>
      </c>
      <c r="B37" s="1" t="s">
        <v>1513</v>
      </c>
    </row>
    <row r="38" spans="1:19">
      <c r="A38" s="64" t="s">
        <v>38</v>
      </c>
      <c r="B38" s="23" t="s">
        <v>1024</v>
      </c>
      <c r="I38" s="6"/>
      <c r="J38" s="6"/>
      <c r="K38" s="6"/>
    </row>
    <row r="39" spans="1:19">
      <c r="A39" s="64" t="s">
        <v>40</v>
      </c>
      <c r="B39" s="1" t="s">
        <v>995</v>
      </c>
      <c r="I39" s="186"/>
      <c r="J39" s="81"/>
      <c r="K39" s="186"/>
    </row>
    <row r="40" spans="1:19">
      <c r="A40" s="64" t="s">
        <v>42</v>
      </c>
      <c r="B40" s="23" t="s">
        <v>143</v>
      </c>
      <c r="I40" s="6"/>
      <c r="J40" s="6"/>
      <c r="K40" s="6"/>
    </row>
    <row r="41" spans="1:19">
      <c r="A41" s="64" t="s">
        <v>30</v>
      </c>
      <c r="B41" s="1" t="s">
        <v>1514</v>
      </c>
    </row>
    <row r="42" spans="1:19">
      <c r="A42" s="64" t="s">
        <v>31</v>
      </c>
      <c r="B42" s="1" t="s">
        <v>995</v>
      </c>
    </row>
    <row r="43" spans="1:19">
      <c r="A43" s="64" t="s">
        <v>103</v>
      </c>
      <c r="B43" s="1" t="s">
        <v>1025</v>
      </c>
    </row>
    <row r="47" spans="1:19">
      <c r="D47" s="6" t="s">
        <v>703</v>
      </c>
    </row>
    <row r="48" spans="1:19">
      <c r="A48" s="6"/>
      <c r="B48" s="6" t="s">
        <v>703</v>
      </c>
      <c r="C48" s="6" t="s">
        <v>703</v>
      </c>
      <c r="D48" s="6" t="s">
        <v>5</v>
      </c>
    </row>
    <row r="49" spans="1:4">
      <c r="A49" s="6"/>
      <c r="B49" s="6" t="s">
        <v>5</v>
      </c>
      <c r="C49" s="6" t="s">
        <v>5</v>
      </c>
      <c r="D49" s="6" t="s">
        <v>784</v>
      </c>
    </row>
    <row r="50" spans="1:4">
      <c r="A50" s="6"/>
      <c r="B50" s="6" t="s">
        <v>780</v>
      </c>
      <c r="C50" s="6" t="s">
        <v>782</v>
      </c>
      <c r="D50" s="6" t="s">
        <v>725</v>
      </c>
    </row>
    <row r="51" spans="1:4">
      <c r="A51" s="6" t="s">
        <v>4</v>
      </c>
      <c r="B51" s="6" t="s">
        <v>781</v>
      </c>
      <c r="C51" s="6" t="s">
        <v>783</v>
      </c>
      <c r="D51" s="85">
        <f>D$27</f>
        <v>0.03</v>
      </c>
    </row>
    <row r="53" spans="1:4">
      <c r="A53" s="1">
        <v>10</v>
      </c>
      <c r="B53" s="55">
        <v>1</v>
      </c>
      <c r="C53" s="74">
        <f t="shared" ref="C53:C61" si="0">B53-B54</f>
        <v>1.2846724710074753E-2</v>
      </c>
      <c r="D53" s="55">
        <f t="shared" ref="D53:D62" si="1">C53/(1+D$51)^(A53-0.5)</f>
        <v>9.7014976566301998E-3</v>
      </c>
    </row>
    <row r="54" spans="1:4">
      <c r="A54" s="1">
        <v>9</v>
      </c>
      <c r="B54" s="55">
        <f>'Exhibit A,2'!E17</f>
        <v>0.98715327528992525</v>
      </c>
      <c r="C54" s="74">
        <f t="shared" si="0"/>
        <v>8.2282840321595829E-3</v>
      </c>
      <c r="D54" s="55">
        <f t="shared" si="1"/>
        <v>6.4001899674308478E-3</v>
      </c>
    </row>
    <row r="55" spans="1:4">
      <c r="A55" s="1">
        <v>8</v>
      </c>
      <c r="B55" s="55">
        <f>'Exhibit A,2'!E18</f>
        <v>0.97892499125776566</v>
      </c>
      <c r="C55" s="74">
        <f t="shared" si="0"/>
        <v>2.7330289318689749E-2</v>
      </c>
      <c r="D55" s="55">
        <f t="shared" si="1"/>
        <v>2.1896013081880474E-2</v>
      </c>
    </row>
    <row r="56" spans="1:4">
      <c r="A56" s="1">
        <v>7</v>
      </c>
      <c r="B56" s="55">
        <f>'Exhibit A,2'!E19</f>
        <v>0.95159470193907592</v>
      </c>
      <c r="C56" s="74">
        <f t="shared" si="0"/>
        <v>7.3212467542978055E-2</v>
      </c>
      <c r="D56" s="55">
        <f t="shared" si="1"/>
        <v>6.041476408231778E-2</v>
      </c>
    </row>
    <row r="57" spans="1:4">
      <c r="A57" s="1">
        <v>6</v>
      </c>
      <c r="B57" s="55">
        <f>'Exhibit A,2'!E20</f>
        <v>0.87838223439609786</v>
      </c>
      <c r="C57" s="74">
        <f t="shared" si="0"/>
        <v>0.12333664214777817</v>
      </c>
      <c r="D57" s="55">
        <f t="shared" si="1"/>
        <v>0.10483043421121901</v>
      </c>
    </row>
    <row r="58" spans="1:4">
      <c r="A58" s="1">
        <v>5</v>
      </c>
      <c r="B58" s="55">
        <f>'Exhibit A,2'!E21</f>
        <v>0.75504559224831969</v>
      </c>
      <c r="C58" s="74">
        <f t="shared" si="0"/>
        <v>0.16792405614039574</v>
      </c>
      <c r="D58" s="55">
        <f t="shared" si="1"/>
        <v>0.14700950143894151</v>
      </c>
    </row>
    <row r="59" spans="1:4">
      <c r="A59" s="1">
        <v>4</v>
      </c>
      <c r="B59" s="55">
        <f>'Exhibit A,2'!E22</f>
        <v>0.58712153610792395</v>
      </c>
      <c r="C59" s="74">
        <f t="shared" si="0"/>
        <v>0.19359418104151782</v>
      </c>
      <c r="D59" s="55">
        <f t="shared" si="1"/>
        <v>0.17456694550646798</v>
      </c>
    </row>
    <row r="60" spans="1:4">
      <c r="A60" s="1">
        <v>3</v>
      </c>
      <c r="B60" s="55">
        <f>'Exhibit A,2'!E23</f>
        <v>0.39352735506640613</v>
      </c>
      <c r="C60" s="74">
        <f t="shared" si="0"/>
        <v>0.16957673252976951</v>
      </c>
      <c r="D60" s="55">
        <f t="shared" si="1"/>
        <v>0.1574973319417638</v>
      </c>
    </row>
    <row r="61" spans="1:4">
      <c r="A61" s="1">
        <v>2</v>
      </c>
      <c r="B61" s="55">
        <f>'Exhibit A,2'!E24</f>
        <v>0.22395062253663661</v>
      </c>
      <c r="C61" s="74">
        <f t="shared" si="0"/>
        <v>0.13712161424668756</v>
      </c>
      <c r="D61" s="55">
        <f t="shared" si="1"/>
        <v>0.13117470018098185</v>
      </c>
    </row>
    <row r="62" spans="1:4">
      <c r="A62" s="1">
        <v>1</v>
      </c>
      <c r="B62" s="55">
        <f>'Exhibit A,2'!E25</f>
        <v>8.6829008289949064E-2</v>
      </c>
      <c r="C62" s="74">
        <f>B62-B63</f>
        <v>8.6829008289949064E-2</v>
      </c>
      <c r="D62" s="55">
        <f t="shared" si="1"/>
        <v>8.5555164062056932E-2</v>
      </c>
    </row>
    <row r="63" spans="1:4">
      <c r="D63" s="55"/>
    </row>
    <row r="64" spans="1:4">
      <c r="A64" s="1" t="s">
        <v>0</v>
      </c>
      <c r="C64" s="55">
        <f>SUM(C53:C63)</f>
        <v>1</v>
      </c>
      <c r="D64" s="55">
        <f>SUM(D53:D63)</f>
        <v>0.89904654212969048</v>
      </c>
    </row>
    <row r="67" spans="1:4">
      <c r="D67" s="6" t="s">
        <v>703</v>
      </c>
    </row>
    <row r="68" spans="1:4">
      <c r="D68" s="6" t="s">
        <v>395</v>
      </c>
    </row>
    <row r="69" spans="1:4">
      <c r="A69" s="6"/>
      <c r="B69" s="6" t="s">
        <v>703</v>
      </c>
      <c r="C69" s="6" t="s">
        <v>703</v>
      </c>
      <c r="D69" s="6" t="s">
        <v>287</v>
      </c>
    </row>
    <row r="70" spans="1:4">
      <c r="A70" s="6"/>
      <c r="B70" s="6" t="s">
        <v>395</v>
      </c>
      <c r="C70" s="6" t="s">
        <v>395</v>
      </c>
      <c r="D70" s="6" t="s">
        <v>784</v>
      </c>
    </row>
    <row r="71" spans="1:4">
      <c r="A71" s="6"/>
      <c r="B71" s="6" t="s">
        <v>780</v>
      </c>
      <c r="C71" s="6" t="s">
        <v>782</v>
      </c>
      <c r="D71" s="6" t="s">
        <v>725</v>
      </c>
    </row>
    <row r="72" spans="1:4">
      <c r="A72" s="6" t="s">
        <v>4</v>
      </c>
      <c r="B72" s="6" t="s">
        <v>781</v>
      </c>
      <c r="C72" s="6" t="s">
        <v>783</v>
      </c>
      <c r="D72" s="85">
        <f>D$27</f>
        <v>0.03</v>
      </c>
    </row>
    <row r="73" spans="1:4">
      <c r="A73" s="6"/>
      <c r="B73" s="6"/>
      <c r="C73" s="6"/>
      <c r="D73" s="6"/>
    </row>
    <row r="74" spans="1:4">
      <c r="A74" s="1">
        <v>13</v>
      </c>
      <c r="B74" s="176">
        <v>1</v>
      </c>
      <c r="C74" s="74">
        <f t="shared" ref="C74:C86" si="2">B74-B75</f>
        <v>2.0000000000000018E-2</v>
      </c>
      <c r="D74" s="55">
        <f t="shared" ref="D74:D86" si="3">C74/(1+D$72)^(A74-0.5)</f>
        <v>1.3821802621390019E-2</v>
      </c>
    </row>
    <row r="75" spans="1:4">
      <c r="A75" s="1">
        <v>12</v>
      </c>
      <c r="B75" s="176">
        <v>0.98</v>
      </c>
      <c r="C75" s="74">
        <f t="shared" si="2"/>
        <v>2.0000000000000018E-2</v>
      </c>
      <c r="D75" s="55">
        <f t="shared" si="3"/>
        <v>1.423645670003172E-2</v>
      </c>
    </row>
    <row r="76" spans="1:4">
      <c r="A76" s="1">
        <v>11</v>
      </c>
      <c r="B76" s="55">
        <v>0.96</v>
      </c>
      <c r="C76" s="74">
        <f t="shared" si="2"/>
        <v>2.9999999999999916E-2</v>
      </c>
      <c r="D76" s="55">
        <f t="shared" si="3"/>
        <v>2.1995325601548925E-2</v>
      </c>
    </row>
    <row r="77" spans="1:4">
      <c r="A77" s="1">
        <v>10</v>
      </c>
      <c r="B77" s="55">
        <v>0.93</v>
      </c>
      <c r="C77" s="74">
        <f t="shared" si="2"/>
        <v>-1.8010512867249528E-2</v>
      </c>
      <c r="D77" s="55">
        <f t="shared" si="3"/>
        <v>-1.3601050253634074E-2</v>
      </c>
    </row>
    <row r="78" spans="1:4">
      <c r="A78" s="1">
        <v>9</v>
      </c>
      <c r="B78" s="55">
        <f>'Exhibit A,3'!E17</f>
        <v>0.94801051286724958</v>
      </c>
      <c r="C78" s="74">
        <f t="shared" si="2"/>
        <v>5.7554894954422564E-2</v>
      </c>
      <c r="D78" s="55">
        <f t="shared" si="3"/>
        <v>4.4767810618121288E-2</v>
      </c>
    </row>
    <row r="79" spans="1:4">
      <c r="A79" s="1">
        <v>8</v>
      </c>
      <c r="B79" s="55">
        <f>'Exhibit A,3'!E18</f>
        <v>0.89045561791282701</v>
      </c>
      <c r="C79" s="74">
        <f t="shared" si="2"/>
        <v>9.7568059281593733E-2</v>
      </c>
      <c r="D79" s="55">
        <f t="shared" si="3"/>
        <v>7.8167906584967153E-2</v>
      </c>
    </row>
    <row r="80" spans="1:4">
      <c r="A80" s="1">
        <v>7</v>
      </c>
      <c r="B80" s="55">
        <f>'Exhibit A,3'!E19</f>
        <v>0.79288755863123328</v>
      </c>
      <c r="C80" s="74">
        <f t="shared" si="2"/>
        <v>0.13916537410121055</v>
      </c>
      <c r="D80" s="55">
        <f t="shared" si="3"/>
        <v>0.11483895471514571</v>
      </c>
    </row>
    <row r="81" spans="1:4">
      <c r="A81" s="1">
        <v>6</v>
      </c>
      <c r="B81" s="55">
        <f>'Exhibit A,3'!E20</f>
        <v>0.65372218453002273</v>
      </c>
      <c r="C81" s="74">
        <f t="shared" si="2"/>
        <v>0.16710495558886079</v>
      </c>
      <c r="D81" s="55">
        <f t="shared" si="3"/>
        <v>0.14203147376298436</v>
      </c>
    </row>
    <row r="82" spans="1:4">
      <c r="A82" s="1">
        <v>5</v>
      </c>
      <c r="B82" s="55">
        <f>'Exhibit A,3'!E21</f>
        <v>0.48661722894116194</v>
      </c>
      <c r="C82" s="74">
        <f t="shared" si="2"/>
        <v>0.16671566819852413</v>
      </c>
      <c r="D82" s="55">
        <f t="shared" si="3"/>
        <v>0.14595161543402718</v>
      </c>
    </row>
    <row r="83" spans="1:4">
      <c r="A83" s="1">
        <v>4</v>
      </c>
      <c r="B83" s="55">
        <f>'Exhibit A,3'!E22</f>
        <v>0.31990156074263781</v>
      </c>
      <c r="C83" s="74">
        <f t="shared" si="2"/>
        <v>0.14593721229802126</v>
      </c>
      <c r="D83" s="55">
        <f t="shared" si="3"/>
        <v>0.13159390044440972</v>
      </c>
    </row>
    <row r="84" spans="1:4">
      <c r="A84" s="1">
        <v>3</v>
      </c>
      <c r="B84" s="55">
        <f>'Exhibit A,3'!E23</f>
        <v>0.17396434844461656</v>
      </c>
      <c r="C84" s="74">
        <f t="shared" si="2"/>
        <v>0.10036179204344636</v>
      </c>
      <c r="D84" s="55">
        <f t="shared" si="3"/>
        <v>9.3212755311003773E-2</v>
      </c>
    </row>
    <row r="85" spans="1:4">
      <c r="A85" s="1">
        <v>2</v>
      </c>
      <c r="B85" s="55">
        <f>'Exhibit A,3'!E24</f>
        <v>7.3602556401170194E-2</v>
      </c>
      <c r="C85" s="74">
        <f t="shared" si="2"/>
        <v>5.1778211705911667E-2</v>
      </c>
      <c r="D85" s="55">
        <f t="shared" si="3"/>
        <v>4.9532609674586302E-2</v>
      </c>
    </row>
    <row r="86" spans="1:4">
      <c r="A86" s="1">
        <v>1</v>
      </c>
      <c r="B86" s="55">
        <f>'Exhibit A,3'!E25</f>
        <v>2.1824344695258523E-2</v>
      </c>
      <c r="C86" s="74">
        <f t="shared" si="2"/>
        <v>2.1824344695258523E-2</v>
      </c>
      <c r="D86" s="55">
        <f t="shared" si="3"/>
        <v>2.1504165804987801E-2</v>
      </c>
    </row>
    <row r="87" spans="1:4">
      <c r="D87" s="55"/>
    </row>
    <row r="88" spans="1:4">
      <c r="B88" s="1" t="s">
        <v>0</v>
      </c>
      <c r="C88" s="55">
        <f>SUM(C74:C87)</f>
        <v>1</v>
      </c>
      <c r="D88" s="55">
        <f>SUM(D77:D87)</f>
        <v>0.80800014209659932</v>
      </c>
    </row>
    <row r="89" spans="1:4">
      <c r="D89" s="55"/>
    </row>
    <row r="90" spans="1:4">
      <c r="D90" s="6"/>
    </row>
    <row r="91" spans="1:4">
      <c r="D91" s="6" t="s">
        <v>279</v>
      </c>
    </row>
    <row r="92" spans="1:4">
      <c r="A92" s="6"/>
      <c r="B92" s="6" t="s">
        <v>279</v>
      </c>
      <c r="C92" s="6" t="s">
        <v>279</v>
      </c>
      <c r="D92" s="6" t="s">
        <v>5</v>
      </c>
    </row>
    <row r="93" spans="1:4">
      <c r="A93" s="6"/>
      <c r="B93" s="6" t="s">
        <v>5</v>
      </c>
      <c r="C93" s="6" t="s">
        <v>5</v>
      </c>
      <c r="D93" s="6" t="s">
        <v>784</v>
      </c>
    </row>
    <row r="94" spans="1:4">
      <c r="A94" s="6"/>
      <c r="B94" s="6" t="s">
        <v>780</v>
      </c>
      <c r="C94" s="6" t="s">
        <v>782</v>
      </c>
      <c r="D94" s="6" t="s">
        <v>725</v>
      </c>
    </row>
    <row r="95" spans="1:4">
      <c r="A95" s="6" t="s">
        <v>4</v>
      </c>
      <c r="B95" s="6" t="s">
        <v>781</v>
      </c>
      <c r="C95" s="6" t="s">
        <v>783</v>
      </c>
      <c r="D95" s="85">
        <f>D$27</f>
        <v>0.03</v>
      </c>
    </row>
    <row r="96" spans="1:4">
      <c r="A96" s="6"/>
      <c r="B96" s="6"/>
      <c r="C96" s="6"/>
      <c r="D96" s="6"/>
    </row>
    <row r="97" spans="1:4">
      <c r="A97" s="1">
        <v>13</v>
      </c>
      <c r="B97" s="55">
        <f>'Exhibit U,5'!E38</f>
        <v>1</v>
      </c>
      <c r="C97" s="74">
        <f t="shared" ref="C97:C109" si="4">B97-B98</f>
        <v>0</v>
      </c>
      <c r="D97" s="55">
        <f t="shared" ref="D97:D109" si="5">C97/(1+D$72)^(A97-0.5)</f>
        <v>0</v>
      </c>
    </row>
    <row r="98" spans="1:4">
      <c r="A98" s="1">
        <v>12</v>
      </c>
      <c r="B98" s="55">
        <f>'Exhibit U,5'!E39</f>
        <v>1</v>
      </c>
      <c r="C98" s="74">
        <f t="shared" si="4"/>
        <v>0</v>
      </c>
      <c r="D98" s="55">
        <f t="shared" si="5"/>
        <v>0</v>
      </c>
    </row>
    <row r="99" spans="1:4">
      <c r="A99" s="1">
        <v>11</v>
      </c>
      <c r="B99" s="55">
        <f>'Exhibit U,5'!E40</f>
        <v>1</v>
      </c>
      <c r="C99" s="74">
        <f t="shared" si="4"/>
        <v>0</v>
      </c>
      <c r="D99" s="55">
        <f t="shared" si="5"/>
        <v>0</v>
      </c>
    </row>
    <row r="100" spans="1:4">
      <c r="A100" s="1">
        <v>10</v>
      </c>
      <c r="B100" s="55">
        <f>'Exhibit U,5'!E41</f>
        <v>1</v>
      </c>
      <c r="C100" s="74">
        <f t="shared" si="4"/>
        <v>2.098595848595286E-4</v>
      </c>
      <c r="D100" s="55">
        <f t="shared" si="5"/>
        <v>1.5848025988596563E-4</v>
      </c>
    </row>
    <row r="101" spans="1:4">
      <c r="A101" s="1">
        <v>9</v>
      </c>
      <c r="B101" s="55">
        <f>'Exhibit U,5'!E42</f>
        <v>0.99979014041514047</v>
      </c>
      <c r="C101" s="74">
        <f t="shared" si="4"/>
        <v>1.0661048607477186E-2</v>
      </c>
      <c r="D101" s="55">
        <f t="shared" si="5"/>
        <v>8.2924624469921018E-3</v>
      </c>
    </row>
    <row r="102" spans="1:4">
      <c r="A102" s="1">
        <v>8</v>
      </c>
      <c r="B102" s="55">
        <f>'Exhibit U,5'!E43</f>
        <v>0.98912909180766329</v>
      </c>
      <c r="C102" s="74">
        <f t="shared" si="4"/>
        <v>4.4988473580763411E-2</v>
      </c>
      <c r="D102" s="55">
        <f t="shared" si="5"/>
        <v>3.6043094698766806E-2</v>
      </c>
    </row>
    <row r="103" spans="1:4">
      <c r="A103" s="1">
        <v>7</v>
      </c>
      <c r="B103" s="55">
        <f>'Exhibit U,5'!E44</f>
        <v>0.94414061822689987</v>
      </c>
      <c r="C103" s="74">
        <f t="shared" si="4"/>
        <v>7.5635648561626079E-2</v>
      </c>
      <c r="D103" s="55">
        <f t="shared" si="5"/>
        <v>6.2414367626405842E-2</v>
      </c>
    </row>
    <row r="104" spans="1:4">
      <c r="A104" s="1">
        <v>6</v>
      </c>
      <c r="B104" s="55">
        <f>'Exhibit U,5'!E45</f>
        <v>0.8685049696652738</v>
      </c>
      <c r="C104" s="74">
        <f t="shared" si="4"/>
        <v>0.15091486500163231</v>
      </c>
      <c r="D104" s="55">
        <f t="shared" si="5"/>
        <v>0.12827064651308581</v>
      </c>
    </row>
    <row r="105" spans="1:4">
      <c r="A105" s="1">
        <v>5</v>
      </c>
      <c r="B105" s="55">
        <f>'Exhibit U,5'!E46</f>
        <v>0.71759010466364148</v>
      </c>
      <c r="C105" s="74">
        <f t="shared" si="4"/>
        <v>0.23089567806859834</v>
      </c>
      <c r="D105" s="55">
        <f t="shared" si="5"/>
        <v>0.20213815279028069</v>
      </c>
    </row>
    <row r="106" spans="1:4">
      <c r="A106" s="1">
        <v>4</v>
      </c>
      <c r="B106" s="55">
        <f>'Exhibit U,5'!E47</f>
        <v>0.48669442659504314</v>
      </c>
      <c r="C106" s="74">
        <f t="shared" si="4"/>
        <v>0.20114620760218949</v>
      </c>
      <c r="D106" s="55">
        <f t="shared" si="5"/>
        <v>0.18137672771163374</v>
      </c>
    </row>
    <row r="107" spans="1:4">
      <c r="A107" s="1">
        <v>3</v>
      </c>
      <c r="B107" s="55">
        <f>'Exhibit U,5'!E48</f>
        <v>0.28554821899285365</v>
      </c>
      <c r="C107" s="74">
        <f t="shared" si="4"/>
        <v>0.12929648309516589</v>
      </c>
      <c r="D107" s="55">
        <f t="shared" si="5"/>
        <v>0.12008635154806442</v>
      </c>
    </row>
    <row r="108" spans="1:4">
      <c r="A108" s="1">
        <v>2</v>
      </c>
      <c r="B108" s="55">
        <f>'Exhibit U,5'!E49</f>
        <v>0.15625173589768776</v>
      </c>
      <c r="C108" s="74">
        <f t="shared" si="4"/>
        <v>0.12773234557438146</v>
      </c>
      <c r="D108" s="55">
        <f t="shared" si="5"/>
        <v>0.12219264064372555</v>
      </c>
    </row>
    <row r="109" spans="1:4">
      <c r="A109" s="1">
        <v>1</v>
      </c>
      <c r="B109" s="55">
        <f>'Exhibit U,5'!E50</f>
        <v>2.8519390323306318E-2</v>
      </c>
      <c r="C109" s="74">
        <f t="shared" si="4"/>
        <v>2.8519390323306318E-2</v>
      </c>
      <c r="D109" s="55">
        <f t="shared" si="5"/>
        <v>2.8100990280949142E-2</v>
      </c>
    </row>
    <row r="110" spans="1:4">
      <c r="D110" s="55"/>
    </row>
    <row r="111" spans="1:4">
      <c r="B111" s="1" t="s">
        <v>0</v>
      </c>
      <c r="C111" s="55">
        <f>SUM(C97:C110)</f>
        <v>1</v>
      </c>
      <c r="D111" s="55">
        <f>SUM(D100:D110)</f>
        <v>0.88907391451979012</v>
      </c>
    </row>
    <row r="113" spans="1:4">
      <c r="D113" s="6" t="s">
        <v>279</v>
      </c>
    </row>
    <row r="114" spans="1:4">
      <c r="D114" s="6" t="s">
        <v>395</v>
      </c>
    </row>
    <row r="115" spans="1:4">
      <c r="A115" s="6"/>
      <c r="B115" s="6" t="s">
        <v>279</v>
      </c>
      <c r="C115" s="6" t="s">
        <v>279</v>
      </c>
      <c r="D115" s="6" t="s">
        <v>287</v>
      </c>
    </row>
    <row r="116" spans="1:4">
      <c r="A116" s="6"/>
      <c r="B116" s="6" t="s">
        <v>395</v>
      </c>
      <c r="C116" s="6" t="s">
        <v>395</v>
      </c>
      <c r="D116" s="6" t="s">
        <v>784</v>
      </c>
    </row>
    <row r="117" spans="1:4">
      <c r="A117" s="6"/>
      <c r="B117" s="6" t="s">
        <v>780</v>
      </c>
      <c r="C117" s="6" t="s">
        <v>782</v>
      </c>
      <c r="D117" s="6" t="s">
        <v>725</v>
      </c>
    </row>
    <row r="118" spans="1:4">
      <c r="A118" s="6" t="s">
        <v>4</v>
      </c>
      <c r="B118" s="6" t="s">
        <v>781</v>
      </c>
      <c r="C118" s="6" t="s">
        <v>783</v>
      </c>
      <c r="D118" s="85">
        <f>D$27</f>
        <v>0.03</v>
      </c>
    </row>
    <row r="119" spans="1:4">
      <c r="A119" s="6"/>
      <c r="B119" s="6"/>
      <c r="C119" s="6"/>
      <c r="D119" s="6"/>
    </row>
    <row r="120" spans="1:4">
      <c r="A120" s="1">
        <v>13</v>
      </c>
      <c r="B120" s="55">
        <f>'Exhibit U,8'!E38</f>
        <v>0.99965679588825274</v>
      </c>
      <c r="C120" s="74">
        <f t="shared" ref="C120:C132" si="6">B120-B121</f>
        <v>2.7012990836855488E-3</v>
      </c>
      <c r="D120" s="55">
        <f t="shared" ref="D120:D132" si="7">C120/(1+D$118)^(A120-0.5)</f>
        <v>1.866841137802167E-3</v>
      </c>
    </row>
    <row r="121" spans="1:4">
      <c r="A121" s="1">
        <v>12</v>
      </c>
      <c r="B121" s="55">
        <f>'Exhibit U,8'!E39</f>
        <v>0.99695549680456719</v>
      </c>
      <c r="C121" s="74">
        <f t="shared" si="6"/>
        <v>1.0025516818382263E-2</v>
      </c>
      <c r="D121" s="55">
        <f t="shared" si="7"/>
        <v>7.1363918040169361E-3</v>
      </c>
    </row>
    <row r="122" spans="1:4">
      <c r="A122" s="1">
        <v>11</v>
      </c>
      <c r="B122" s="55">
        <f>'Exhibit U,8'!E40</f>
        <v>0.98692997998618492</v>
      </c>
      <c r="C122" s="74">
        <f t="shared" si="6"/>
        <v>2.5248052692851353E-2</v>
      </c>
      <c r="D122" s="55">
        <f t="shared" si="7"/>
        <v>1.8511304659477708E-2</v>
      </c>
    </row>
    <row r="123" spans="1:4">
      <c r="A123" s="1">
        <v>10</v>
      </c>
      <c r="B123" s="55">
        <f>'Exhibit U,8'!E41</f>
        <v>0.96168192729333357</v>
      </c>
      <c r="C123" s="74">
        <f t="shared" si="6"/>
        <v>5.3654207330996351E-2</v>
      </c>
      <c r="D123" s="55">
        <f t="shared" si="7"/>
        <v>4.0518200431414325E-2</v>
      </c>
    </row>
    <row r="124" spans="1:4">
      <c r="A124" s="1">
        <v>9</v>
      </c>
      <c r="B124" s="55">
        <f>'Exhibit U,8'!E42</f>
        <v>0.90802771996233722</v>
      </c>
      <c r="C124" s="74">
        <f t="shared" si="6"/>
        <v>9.5025561856913576E-2</v>
      </c>
      <c r="D124" s="55">
        <f t="shared" si="7"/>
        <v>7.3913545675996215E-2</v>
      </c>
    </row>
    <row r="125" spans="1:4">
      <c r="A125" s="1">
        <v>8</v>
      </c>
      <c r="B125" s="55">
        <f>'Exhibit U,8'!E43</f>
        <v>0.81300215810542364</v>
      </c>
      <c r="C125" s="74">
        <f t="shared" si="6"/>
        <v>0.13555206115945806</v>
      </c>
      <c r="D125" s="55">
        <f t="shared" si="7"/>
        <v>0.10859927861772257</v>
      </c>
    </row>
    <row r="126" spans="1:4">
      <c r="A126" s="1">
        <v>7</v>
      </c>
      <c r="B126" s="55">
        <f>'Exhibit U,8'!E44</f>
        <v>0.67745009694596559</v>
      </c>
      <c r="C126" s="74">
        <f t="shared" si="6"/>
        <v>0.16310272502342937</v>
      </c>
      <c r="D126" s="55">
        <f t="shared" si="7"/>
        <v>0.13459200303130245</v>
      </c>
    </row>
    <row r="127" spans="1:4">
      <c r="A127" s="1">
        <v>6</v>
      </c>
      <c r="B127" s="55">
        <f>'Exhibit U,8'!E45</f>
        <v>0.51434737192253621</v>
      </c>
      <c r="C127" s="74">
        <f t="shared" si="6"/>
        <v>0.1718403582937591</v>
      </c>
      <c r="D127" s="55">
        <f t="shared" si="7"/>
        <v>0.14605634676969945</v>
      </c>
    </row>
    <row r="128" spans="1:4">
      <c r="A128" s="1">
        <v>5</v>
      </c>
      <c r="B128" s="55">
        <f>'Exhibit U,8'!E46</f>
        <v>0.34250701362877711</v>
      </c>
      <c r="C128" s="74">
        <f t="shared" si="6"/>
        <v>0.1474079894958204</v>
      </c>
      <c r="D128" s="55">
        <f t="shared" si="7"/>
        <v>0.12904866367555701</v>
      </c>
    </row>
    <row r="129" spans="1:4">
      <c r="A129" s="1">
        <v>4</v>
      </c>
      <c r="B129" s="55">
        <f>'Exhibit U,8'!E47</f>
        <v>0.19509902413295671</v>
      </c>
      <c r="C129" s="74">
        <f t="shared" si="6"/>
        <v>0.10110273785662191</v>
      </c>
      <c r="D129" s="55">
        <f t="shared" si="7"/>
        <v>9.1165943289311074E-2</v>
      </c>
    </row>
    <row r="130" spans="1:4">
      <c r="A130" s="1">
        <v>3</v>
      </c>
      <c r="B130" s="55">
        <f>'Exhibit U,8'!E48</f>
        <v>9.3996286276334801E-2</v>
      </c>
      <c r="C130" s="74">
        <f t="shared" si="6"/>
        <v>6.0297997563076584E-2</v>
      </c>
      <c r="D130" s="55">
        <f t="shared" si="7"/>
        <v>5.6002811210838492E-2</v>
      </c>
    </row>
    <row r="131" spans="1:4">
      <c r="A131" s="1">
        <v>2</v>
      </c>
      <c r="B131" s="55">
        <f>'Exhibit U,8'!E49</f>
        <v>3.3698288713258216E-2</v>
      </c>
      <c r="C131" s="74">
        <f t="shared" si="6"/>
        <v>2.8544984145358915E-2</v>
      </c>
      <c r="D131" s="55">
        <f t="shared" si="7"/>
        <v>2.7306998663259894E-2</v>
      </c>
    </row>
    <row r="132" spans="1:4">
      <c r="A132" s="1">
        <v>1</v>
      </c>
      <c r="B132" s="55">
        <f>'Exhibit U,8'!E50</f>
        <v>5.1533045678993005E-3</v>
      </c>
      <c r="C132" s="74">
        <f t="shared" si="6"/>
        <v>5.1533045678993005E-3</v>
      </c>
      <c r="D132" s="55">
        <f t="shared" si="7"/>
        <v>5.0777018700489725E-3</v>
      </c>
    </row>
    <row r="133" spans="1:4">
      <c r="D133" s="55"/>
    </row>
    <row r="134" spans="1:4">
      <c r="B134" s="1" t="s">
        <v>0</v>
      </c>
      <c r="C134" s="55">
        <f>SUM(C120:C133)</f>
        <v>0.99965679588825285</v>
      </c>
      <c r="D134" s="55">
        <f>SUM(D123:D133)</f>
        <v>0.81228149323515042</v>
      </c>
    </row>
    <row r="137" spans="1:4">
      <c r="D137" s="6" t="s">
        <v>718</v>
      </c>
    </row>
    <row r="138" spans="1:4">
      <c r="D138" s="6" t="s">
        <v>719</v>
      </c>
    </row>
    <row r="139" spans="1:4">
      <c r="A139" s="6"/>
      <c r="B139" s="6" t="s">
        <v>718</v>
      </c>
      <c r="C139" s="6" t="s">
        <v>718</v>
      </c>
      <c r="D139" s="6" t="s">
        <v>287</v>
      </c>
    </row>
    <row r="140" spans="1:4">
      <c r="A140" s="6"/>
      <c r="B140" s="6" t="s">
        <v>719</v>
      </c>
      <c r="C140" s="6" t="s">
        <v>719</v>
      </c>
      <c r="D140" s="6" t="s">
        <v>784</v>
      </c>
    </row>
    <row r="141" spans="1:4">
      <c r="A141" s="6"/>
      <c r="B141" s="6" t="s">
        <v>780</v>
      </c>
      <c r="C141" s="6" t="s">
        <v>782</v>
      </c>
      <c r="D141" s="6" t="s">
        <v>725</v>
      </c>
    </row>
    <row r="142" spans="1:4">
      <c r="A142" s="6" t="s">
        <v>4</v>
      </c>
      <c r="B142" s="6" t="s">
        <v>781</v>
      </c>
      <c r="C142" s="6" t="s">
        <v>783</v>
      </c>
      <c r="D142" s="85">
        <f>D$27</f>
        <v>0.03</v>
      </c>
    </row>
    <row r="143" spans="1:4">
      <c r="A143" s="6"/>
      <c r="B143" s="6"/>
      <c r="C143" s="6"/>
      <c r="D143" s="85"/>
    </row>
    <row r="144" spans="1:4">
      <c r="A144" s="52">
        <v>16</v>
      </c>
      <c r="B144" s="55">
        <f>1-'Exhibit M,3'!E29</f>
        <v>0.99971414822939286</v>
      </c>
      <c r="C144" s="74">
        <f>B144-B145</f>
        <v>2.3321322998938188E-3</v>
      </c>
      <c r="D144" s="55">
        <f t="shared" ref="D144:D159" si="8">C144/(1+D$142)^(A144-0.5)</f>
        <v>1.4749462736850414E-3</v>
      </c>
    </row>
    <row r="145" spans="1:4">
      <c r="A145" s="52">
        <v>15</v>
      </c>
      <c r="B145" s="55">
        <f>1-'Exhibit M,3'!E30</f>
        <v>0.99738201592949904</v>
      </c>
      <c r="C145" s="74">
        <f>B145-B146</f>
        <v>2.3499977744871892E-3</v>
      </c>
      <c r="D145" s="55">
        <f t="shared" si="8"/>
        <v>1.530832566673E-3</v>
      </c>
    </row>
    <row r="146" spans="1:4">
      <c r="A146" s="52">
        <v>14</v>
      </c>
      <c r="B146" s="55">
        <f>1-'Exhibit M,3'!E31</f>
        <v>0.99503201815501185</v>
      </c>
      <c r="C146" s="74">
        <f>B146-B147</f>
        <v>2.4114614246663058E-3</v>
      </c>
      <c r="D146" s="55">
        <f t="shared" si="8"/>
        <v>1.6179972738268749E-3</v>
      </c>
    </row>
    <row r="147" spans="1:4">
      <c r="A147" s="1">
        <v>13</v>
      </c>
      <c r="B147" s="55">
        <f>1-'Exhibit M,3'!E32</f>
        <v>0.99262055673034555</v>
      </c>
      <c r="C147" s="74">
        <f t="shared" ref="C147:C159" si="9">B147-B148</f>
        <v>3.394580145010595E-3</v>
      </c>
      <c r="D147" s="55">
        <f t="shared" si="8"/>
        <v>2.3459608373412955E-3</v>
      </c>
    </row>
    <row r="148" spans="1:4">
      <c r="A148" s="1">
        <v>12</v>
      </c>
      <c r="B148" s="55">
        <f>1-'Exhibit M,3'!E33</f>
        <v>0.98922597658533495</v>
      </c>
      <c r="C148" s="74">
        <f t="shared" si="9"/>
        <v>7.2152336361607228E-3</v>
      </c>
      <c r="D148" s="55">
        <f t="shared" si="8"/>
        <v>5.1359680620907226E-3</v>
      </c>
    </row>
    <row r="149" spans="1:4">
      <c r="A149" s="1">
        <v>11</v>
      </c>
      <c r="B149" s="55">
        <f>1-'Exhibit M,3'!E34</f>
        <v>0.98201074294917423</v>
      </c>
      <c r="C149" s="74">
        <f t="shared" si="9"/>
        <v>1.5567507587205043E-2</v>
      </c>
      <c r="D149" s="55">
        <f t="shared" si="8"/>
        <v>1.1413746606171973E-2</v>
      </c>
    </row>
    <row r="150" spans="1:4">
      <c r="A150" s="1">
        <v>10</v>
      </c>
      <c r="B150" s="55">
        <f>1-'Exhibit M,3'!E35</f>
        <v>0.96644323536196919</v>
      </c>
      <c r="C150" s="74">
        <f t="shared" si="9"/>
        <v>3.9596361300041849E-2</v>
      </c>
      <c r="D150" s="55">
        <f t="shared" si="8"/>
        <v>2.9902096840464128E-2</v>
      </c>
    </row>
    <row r="151" spans="1:4">
      <c r="A151" s="1">
        <v>9</v>
      </c>
      <c r="B151" s="55">
        <f>1-'Exhibit M,3'!E36</f>
        <v>0.92684687406192734</v>
      </c>
      <c r="C151" s="74">
        <f t="shared" si="9"/>
        <v>7.4736914164572177E-2</v>
      </c>
      <c r="D151" s="55">
        <f t="shared" si="8"/>
        <v>5.8132466789347498E-2</v>
      </c>
    </row>
    <row r="152" spans="1:4">
      <c r="A152" s="1">
        <v>8</v>
      </c>
      <c r="B152" s="55">
        <f>1-'Exhibit M,3'!E37</f>
        <v>0.85210995989735516</v>
      </c>
      <c r="C152" s="74">
        <f t="shared" si="9"/>
        <v>0.15122923471088479</v>
      </c>
      <c r="D152" s="55">
        <f t="shared" si="8"/>
        <v>0.12115924800429645</v>
      </c>
    </row>
    <row r="153" spans="1:4">
      <c r="A153" s="1">
        <v>7</v>
      </c>
      <c r="B153" s="55">
        <f>1-'Exhibit M,3'!E38</f>
        <v>0.70088072518647038</v>
      </c>
      <c r="C153" s="74">
        <f t="shared" si="9"/>
        <v>0.16138695073391207</v>
      </c>
      <c r="D153" s="55">
        <f t="shared" si="8"/>
        <v>0.13317614993416646</v>
      </c>
    </row>
    <row r="154" spans="1:4">
      <c r="A154" s="1">
        <v>6</v>
      </c>
      <c r="B154" s="55">
        <f>1-'Exhibit M,3'!E39</f>
        <v>0.53949377445255831</v>
      </c>
      <c r="C154" s="74">
        <f t="shared" si="9"/>
        <v>0.17022350525546937</v>
      </c>
      <c r="D154" s="55">
        <f t="shared" si="8"/>
        <v>0.14468209656223427</v>
      </c>
    </row>
    <row r="155" spans="1:4">
      <c r="A155" s="1">
        <v>5</v>
      </c>
      <c r="B155" s="55">
        <f>1-'Exhibit M,3'!E40</f>
        <v>0.36927026919708894</v>
      </c>
      <c r="C155" s="74">
        <f t="shared" si="9"/>
        <v>0.14094452539474578</v>
      </c>
      <c r="D155" s="55">
        <f t="shared" si="8"/>
        <v>0.12339020915208448</v>
      </c>
    </row>
    <row r="156" spans="1:4">
      <c r="A156" s="1">
        <v>4</v>
      </c>
      <c r="B156" s="55">
        <f>1-'Exhibit M,3'!E41</f>
        <v>0.22832574380234316</v>
      </c>
      <c r="C156" s="74">
        <f t="shared" si="9"/>
        <v>0.12372555316954104</v>
      </c>
      <c r="D156" s="55">
        <f t="shared" si="8"/>
        <v>0.1115652948952682</v>
      </c>
    </row>
    <row r="157" spans="1:4">
      <c r="A157" s="1">
        <v>3</v>
      </c>
      <c r="B157" s="55">
        <f>1-'Exhibit M,3'!E42</f>
        <v>0.10460019063280213</v>
      </c>
      <c r="C157" s="74">
        <f t="shared" si="9"/>
        <v>7.3678971782190184E-2</v>
      </c>
      <c r="D157" s="55">
        <f t="shared" si="8"/>
        <v>6.8430623133219695E-2</v>
      </c>
    </row>
    <row r="158" spans="1:4">
      <c r="A158" s="1">
        <v>2</v>
      </c>
      <c r="B158" s="55">
        <f>1-'Exhibit M,3'!E43</f>
        <v>3.0921218850611942E-2</v>
      </c>
      <c r="C158" s="74">
        <f t="shared" si="9"/>
        <v>2.698598400522545E-2</v>
      </c>
      <c r="D158" s="55">
        <f t="shared" si="8"/>
        <v>2.5815611786817429E-2</v>
      </c>
    </row>
    <row r="159" spans="1:4">
      <c r="A159" s="1">
        <v>1</v>
      </c>
      <c r="B159" s="55">
        <f>1-'Exhibit M,3'!E44</f>
        <v>3.9352348453864927E-3</v>
      </c>
      <c r="C159" s="74">
        <f t="shared" si="9"/>
        <v>3.9352348453864927E-3</v>
      </c>
      <c r="D159" s="55">
        <f t="shared" si="8"/>
        <v>3.8775021096116467E-3</v>
      </c>
    </row>
    <row r="160" spans="1:4">
      <c r="D160" s="55"/>
    </row>
    <row r="161" spans="1:4">
      <c r="B161" s="1" t="s">
        <v>0</v>
      </c>
      <c r="C161" s="55">
        <f>SUM(C144:C160)</f>
        <v>0.99971414822939286</v>
      </c>
      <c r="D161" s="55">
        <f>SUM(D150:D160)</f>
        <v>0.82013129920751038</v>
      </c>
    </row>
    <row r="163" spans="1:4">
      <c r="D163" s="6" t="s">
        <v>718</v>
      </c>
    </row>
    <row r="164" spans="1:4">
      <c r="A164" s="6"/>
      <c r="B164" s="6" t="s">
        <v>718</v>
      </c>
      <c r="C164" s="6" t="s">
        <v>718</v>
      </c>
      <c r="D164" s="6" t="s">
        <v>5</v>
      </c>
    </row>
    <row r="165" spans="1:4">
      <c r="A165" s="6"/>
      <c r="B165" s="6" t="s">
        <v>5</v>
      </c>
      <c r="C165" s="6" t="s">
        <v>5</v>
      </c>
      <c r="D165" s="6" t="s">
        <v>784</v>
      </c>
    </row>
    <row r="166" spans="1:4">
      <c r="A166" s="6"/>
      <c r="B166" s="6" t="s">
        <v>780</v>
      </c>
      <c r="C166" s="6" t="s">
        <v>782</v>
      </c>
      <c r="D166" s="6" t="s">
        <v>725</v>
      </c>
    </row>
    <row r="167" spans="1:4">
      <c r="A167" s="6" t="s">
        <v>4</v>
      </c>
      <c r="B167" s="6" t="s">
        <v>781</v>
      </c>
      <c r="C167" s="6" t="s">
        <v>783</v>
      </c>
      <c r="D167" s="85">
        <f>D$27</f>
        <v>0.03</v>
      </c>
    </row>
    <row r="168" spans="1:4">
      <c r="A168" s="6"/>
      <c r="B168" s="6"/>
      <c r="C168" s="6"/>
      <c r="D168" s="85"/>
    </row>
    <row r="169" spans="1:4">
      <c r="A169" s="52">
        <v>16</v>
      </c>
      <c r="B169" s="55">
        <f>1-'Exhibit O,3'!E29</f>
        <v>1</v>
      </c>
      <c r="C169" s="74">
        <f t="shared" ref="C169:C184" si="10">B169-B170</f>
        <v>0</v>
      </c>
      <c r="D169" s="55">
        <f t="shared" ref="D169:D184" si="11">C169/(1+D$142)^(A169-0.5)</f>
        <v>0</v>
      </c>
    </row>
    <row r="170" spans="1:4">
      <c r="A170" s="52">
        <v>15</v>
      </c>
      <c r="B170" s="55">
        <f>1-'Exhibit O,3'!E30</f>
        <v>1</v>
      </c>
      <c r="C170" s="74">
        <f t="shared" si="10"/>
        <v>1.1401326699833625E-3</v>
      </c>
      <c r="D170" s="55">
        <f t="shared" si="11"/>
        <v>7.427037763553788E-4</v>
      </c>
    </row>
    <row r="171" spans="1:4">
      <c r="A171" s="52">
        <v>14</v>
      </c>
      <c r="B171" s="55">
        <f>1-'Exhibit O,3'!E31</f>
        <v>0.99885986733001664</v>
      </c>
      <c r="C171" s="74">
        <f t="shared" si="10"/>
        <v>3.7518451697555744E-3</v>
      </c>
      <c r="D171" s="55">
        <f t="shared" si="11"/>
        <v>2.5173428836105355E-3</v>
      </c>
    </row>
    <row r="172" spans="1:4">
      <c r="A172" s="1">
        <v>13</v>
      </c>
      <c r="B172" s="55">
        <f>1-'Exhibit O,3'!E32</f>
        <v>0.99510802216026106</v>
      </c>
      <c r="C172" s="74">
        <f t="shared" si="10"/>
        <v>1.4697385496831306E-3</v>
      </c>
      <c r="D172" s="55">
        <f t="shared" si="11"/>
        <v>1.015721806938412E-3</v>
      </c>
    </row>
    <row r="173" spans="1:4">
      <c r="A173" s="1">
        <v>12</v>
      </c>
      <c r="B173" s="55">
        <f>1-'Exhibit O,3'!E33</f>
        <v>0.99363828361057793</v>
      </c>
      <c r="C173" s="74">
        <f t="shared" si="10"/>
        <v>2.1475186571104921E-3</v>
      </c>
      <c r="D173" s="55">
        <f t="shared" si="11"/>
        <v>1.5286528187231879E-3</v>
      </c>
    </row>
    <row r="174" spans="1:4">
      <c r="A174" s="1">
        <v>11</v>
      </c>
      <c r="B174" s="55">
        <f>1-'Exhibit O,3'!E34</f>
        <v>0.99149076495346744</v>
      </c>
      <c r="C174" s="74">
        <f t="shared" si="10"/>
        <v>3.3534816741558338E-3</v>
      </c>
      <c r="D174" s="55">
        <f t="shared" si="11"/>
        <v>2.4586973773961722E-3</v>
      </c>
    </row>
    <row r="175" spans="1:4">
      <c r="A175" s="1">
        <v>10</v>
      </c>
      <c r="B175" s="55">
        <f>1-'Exhibit O,3'!E35</f>
        <v>0.98813728327931161</v>
      </c>
      <c r="C175" s="74">
        <f t="shared" si="10"/>
        <v>5.9040479363179355E-3</v>
      </c>
      <c r="D175" s="55">
        <f t="shared" si="11"/>
        <v>4.4585766809420117E-3</v>
      </c>
    </row>
    <row r="176" spans="1:4">
      <c r="A176" s="1">
        <v>9</v>
      </c>
      <c r="B176" s="55">
        <f>1-'Exhibit O,3'!E36</f>
        <v>0.98223323534299367</v>
      </c>
      <c r="C176" s="74">
        <f t="shared" si="10"/>
        <v>1.9849464511368264E-2</v>
      </c>
      <c r="D176" s="55">
        <f t="shared" si="11"/>
        <v>1.5439469897734072E-2</v>
      </c>
    </row>
    <row r="177" spans="1:4">
      <c r="A177" s="1">
        <v>8</v>
      </c>
      <c r="B177" s="55">
        <f>1-'Exhibit O,3'!E37</f>
        <v>0.96238377083162541</v>
      </c>
      <c r="C177" s="74">
        <f t="shared" si="10"/>
        <v>6.4734413355296727E-2</v>
      </c>
      <c r="D177" s="55">
        <f t="shared" si="11"/>
        <v>5.186280851795199E-2</v>
      </c>
    </row>
    <row r="178" spans="1:4">
      <c r="A178" s="1">
        <v>7</v>
      </c>
      <c r="B178" s="55">
        <f>1-'Exhibit O,3'!E38</f>
        <v>0.89764935747632868</v>
      </c>
      <c r="C178" s="74">
        <f t="shared" si="10"/>
        <v>0.11560273848138514</v>
      </c>
      <c r="D178" s="55">
        <f t="shared" si="11"/>
        <v>9.5395120626454305E-2</v>
      </c>
    </row>
    <row r="179" spans="1:4">
      <c r="A179" s="1">
        <v>6</v>
      </c>
      <c r="B179" s="55">
        <f>1-'Exhibit O,3'!E39</f>
        <v>0.78204661899494354</v>
      </c>
      <c r="C179" s="74">
        <f t="shared" si="10"/>
        <v>0.16200616047974348</v>
      </c>
      <c r="D179" s="55">
        <f t="shared" si="11"/>
        <v>0.13769773404107449</v>
      </c>
    </row>
    <row r="180" spans="1:4">
      <c r="A180" s="1">
        <v>5</v>
      </c>
      <c r="B180" s="55">
        <f>1-'Exhibit O,3'!E40</f>
        <v>0.62004045851520007</v>
      </c>
      <c r="C180" s="74">
        <f t="shared" si="10"/>
        <v>0.19751353444365727</v>
      </c>
      <c r="D180" s="55">
        <f t="shared" si="11"/>
        <v>0.17291367832211552</v>
      </c>
    </row>
    <row r="181" spans="1:4">
      <c r="A181" s="1">
        <v>4</v>
      </c>
      <c r="B181" s="55">
        <f>1-'Exhibit O,3'!E41</f>
        <v>0.4225269240715428</v>
      </c>
      <c r="C181" s="74">
        <f t="shared" si="10"/>
        <v>0.17399741403082025</v>
      </c>
      <c r="D181" s="55">
        <f t="shared" si="11"/>
        <v>0.15689622967991251</v>
      </c>
    </row>
    <row r="182" spans="1:4">
      <c r="A182" s="1">
        <v>3</v>
      </c>
      <c r="B182" s="55">
        <f>1-'Exhibit O,3'!E42</f>
        <v>0.24852951004072255</v>
      </c>
      <c r="C182" s="74">
        <f t="shared" si="10"/>
        <v>0.14747332502451593</v>
      </c>
      <c r="D182" s="55">
        <f t="shared" si="11"/>
        <v>0.13696840879903335</v>
      </c>
    </row>
    <row r="183" spans="1:4">
      <c r="A183" s="1">
        <v>2</v>
      </c>
      <c r="B183" s="55">
        <f>1-'Exhibit O,3'!E43</f>
        <v>0.10105618501620661</v>
      </c>
      <c r="C183" s="74">
        <f t="shared" si="10"/>
        <v>8.5363060357545484E-2</v>
      </c>
      <c r="D183" s="55">
        <f t="shared" si="11"/>
        <v>8.1660895770869199E-2</v>
      </c>
    </row>
    <row r="184" spans="1:4">
      <c r="A184" s="1">
        <v>1</v>
      </c>
      <c r="B184" s="55">
        <f>1-'Exhibit O,3'!E44</f>
        <v>1.5693124658661128E-2</v>
      </c>
      <c r="C184" s="74">
        <f t="shared" si="10"/>
        <v>1.5693124658661128E-2</v>
      </c>
      <c r="D184" s="55">
        <f t="shared" si="11"/>
        <v>1.5462895192060839E-2</v>
      </c>
    </row>
    <row r="185" spans="1:4">
      <c r="D185" s="55"/>
    </row>
    <row r="186" spans="1:4">
      <c r="B186" s="1" t="s">
        <v>0</v>
      </c>
      <c r="C186" s="55">
        <f>SUM(C169:C185)</f>
        <v>1</v>
      </c>
      <c r="D186" s="55">
        <f>SUM(D175:D185)</f>
        <v>0.86875581752814823</v>
      </c>
    </row>
  </sheetData>
  <printOptions horizontalCentered="1"/>
  <pageMargins left="0.7" right="0.7" top="0.75" bottom="0.75" header="0.3" footer="0.3"/>
  <pageSetup scale="51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117">
    <tabColor rgb="FF92D050"/>
    <pageSetUpPr fitToPage="1"/>
  </sheetPr>
  <dimension ref="A1:AM137"/>
  <sheetViews>
    <sheetView zoomScaleNormal="100" workbookViewId="0"/>
  </sheetViews>
  <sheetFormatPr baseColWidth="10" defaultColWidth="7.42578125" defaultRowHeight="15"/>
  <cols>
    <col min="1" max="1" width="11.7109375" style="444" customWidth="1"/>
    <col min="2" max="20" width="9.140625" style="444" customWidth="1"/>
    <col min="21" max="39" width="9.5703125" style="316" customWidth="1"/>
    <col min="40" max="16384" width="7.42578125" style="316"/>
  </cols>
  <sheetData>
    <row r="1" spans="1:39">
      <c r="A1" s="443" t="s">
        <v>1026</v>
      </c>
      <c r="T1" s="549" t="s">
        <v>1063</v>
      </c>
    </row>
    <row r="2" spans="1:39">
      <c r="A2" s="445" t="s">
        <v>1027</v>
      </c>
      <c r="T2" s="549" t="s">
        <v>56</v>
      </c>
    </row>
    <row r="3" spans="1:39">
      <c r="A3" s="445" t="s">
        <v>1028</v>
      </c>
    </row>
    <row r="4" spans="1:39">
      <c r="A4" s="445" t="s">
        <v>1029</v>
      </c>
    </row>
    <row r="5" spans="1:39">
      <c r="A5" s="445" t="s">
        <v>59</v>
      </c>
    </row>
    <row r="6" spans="1:39">
      <c r="A6" s="445" t="s">
        <v>261</v>
      </c>
    </row>
    <row r="7" spans="1:39">
      <c r="A7" s="445" t="s">
        <v>1569</v>
      </c>
    </row>
    <row r="9" spans="1:39">
      <c r="B9" s="446" t="s">
        <v>1030</v>
      </c>
    </row>
    <row r="10" spans="1:39" ht="16">
      <c r="A10" s="447" t="s">
        <v>170</v>
      </c>
      <c r="B10" s="448">
        <v>11</v>
      </c>
      <c r="C10" s="448">
        <v>23</v>
      </c>
      <c r="D10" s="448">
        <v>35</v>
      </c>
      <c r="E10" s="448">
        <v>47</v>
      </c>
      <c r="F10" s="448">
        <v>59</v>
      </c>
      <c r="G10" s="448">
        <v>71</v>
      </c>
      <c r="H10" s="448">
        <v>83</v>
      </c>
      <c r="I10" s="448">
        <v>95</v>
      </c>
      <c r="J10" s="448">
        <v>107</v>
      </c>
      <c r="K10" s="448">
        <v>119</v>
      </c>
      <c r="L10" s="448">
        <v>131</v>
      </c>
      <c r="M10" s="448">
        <v>143</v>
      </c>
      <c r="N10" s="448">
        <v>155</v>
      </c>
      <c r="O10" s="448">
        <v>167</v>
      </c>
      <c r="P10" s="448">
        <v>179</v>
      </c>
      <c r="Q10" s="448">
        <v>191</v>
      </c>
      <c r="R10" s="448">
        <v>203</v>
      </c>
      <c r="S10" s="448">
        <v>215</v>
      </c>
      <c r="T10" s="448">
        <v>227</v>
      </c>
      <c r="U10" s="329"/>
      <c r="V10" s="329"/>
      <c r="W10" s="329"/>
      <c r="X10" s="329"/>
      <c r="Y10" s="329"/>
      <c r="Z10" s="329"/>
      <c r="AA10" s="329"/>
      <c r="AB10" s="329"/>
      <c r="AC10" s="329"/>
      <c r="AD10" s="329"/>
      <c r="AE10" s="329"/>
      <c r="AF10" s="329"/>
      <c r="AG10" s="329"/>
      <c r="AH10" s="329"/>
      <c r="AI10" s="329"/>
      <c r="AJ10" s="329"/>
      <c r="AK10" s="329"/>
      <c r="AL10" s="329"/>
      <c r="AM10" s="329"/>
    </row>
    <row r="11" spans="1:39">
      <c r="A11" s="449"/>
      <c r="B11" s="449"/>
      <c r="C11" s="449"/>
      <c r="D11" s="449"/>
      <c r="E11" s="449"/>
      <c r="F11" s="449"/>
      <c r="G11" s="449"/>
      <c r="H11" s="449"/>
      <c r="I11" s="449"/>
      <c r="J11" s="449"/>
      <c r="K11" s="449"/>
      <c r="L11" s="449"/>
      <c r="M11" s="449"/>
      <c r="N11" s="449"/>
      <c r="O11" s="449"/>
      <c r="P11" s="449"/>
      <c r="Q11" s="449"/>
      <c r="R11" s="449"/>
      <c r="S11" s="449"/>
      <c r="T11" s="449"/>
      <c r="U11" s="318"/>
      <c r="V11" s="318"/>
      <c r="W11" s="318"/>
      <c r="X11" s="318"/>
      <c r="Y11" s="318"/>
      <c r="Z11" s="318"/>
      <c r="AA11" s="318"/>
      <c r="AB11" s="318"/>
      <c r="AC11" s="318"/>
      <c r="AD11" s="318"/>
      <c r="AE11" s="318"/>
      <c r="AF11" s="318"/>
      <c r="AG11" s="318"/>
      <c r="AH11" s="318"/>
      <c r="AI11" s="318"/>
      <c r="AJ11" s="318"/>
      <c r="AK11" s="318"/>
      <c r="AL11" s="318"/>
      <c r="AM11" s="318"/>
    </row>
    <row r="12" spans="1:39">
      <c r="A12" s="449"/>
      <c r="B12" s="450"/>
      <c r="C12" s="450"/>
      <c r="D12" s="450"/>
      <c r="E12" s="450"/>
      <c r="F12" s="450"/>
      <c r="G12" s="450"/>
      <c r="H12" s="450"/>
      <c r="I12" s="450"/>
      <c r="J12" s="450"/>
      <c r="K12" s="450"/>
      <c r="L12" s="450"/>
      <c r="M12" s="450"/>
      <c r="N12" s="450"/>
      <c r="O12" s="450"/>
      <c r="P12" s="450"/>
      <c r="Q12" s="450"/>
      <c r="R12" s="450"/>
      <c r="S12" s="450"/>
      <c r="T12" s="450"/>
    </row>
    <row r="13" spans="1:39">
      <c r="A13" s="449">
        <v>1985</v>
      </c>
      <c r="B13" s="450" t="s">
        <v>1031</v>
      </c>
      <c r="C13" s="450" t="s">
        <v>1031</v>
      </c>
      <c r="D13" s="450" t="s">
        <v>1031</v>
      </c>
      <c r="E13" s="450" t="s">
        <v>1031</v>
      </c>
      <c r="F13" s="450" t="s">
        <v>1031</v>
      </c>
      <c r="G13" s="450" t="s">
        <v>1031</v>
      </c>
      <c r="H13" s="450" t="s">
        <v>1031</v>
      </c>
      <c r="I13" s="450" t="s">
        <v>1031</v>
      </c>
      <c r="J13" s="450" t="s">
        <v>1031</v>
      </c>
      <c r="K13" s="450" t="s">
        <v>1031</v>
      </c>
      <c r="L13" s="450" t="s">
        <v>1031</v>
      </c>
      <c r="M13" s="450" t="s">
        <v>1031</v>
      </c>
      <c r="N13" s="450" t="s">
        <v>1031</v>
      </c>
      <c r="O13" s="450" t="s">
        <v>1031</v>
      </c>
      <c r="P13" s="450" t="s">
        <v>1031</v>
      </c>
      <c r="Q13" s="450" t="s">
        <v>1031</v>
      </c>
      <c r="R13" s="450" t="s">
        <v>1031</v>
      </c>
      <c r="S13" s="450" t="s">
        <v>1031</v>
      </c>
      <c r="T13" s="450" t="s">
        <v>1031</v>
      </c>
      <c r="U13" s="324"/>
      <c r="V13" s="324"/>
      <c r="W13" s="324"/>
      <c r="X13" s="324"/>
      <c r="Y13" s="324"/>
      <c r="Z13" s="324"/>
      <c r="AA13" s="324"/>
      <c r="AB13" s="324"/>
      <c r="AC13" s="324"/>
      <c r="AD13" s="324"/>
      <c r="AE13" s="324"/>
      <c r="AF13" s="324"/>
      <c r="AG13" s="324"/>
      <c r="AH13" s="324"/>
      <c r="AI13" s="324"/>
      <c r="AJ13" s="324"/>
      <c r="AK13" s="324"/>
      <c r="AL13" s="324"/>
      <c r="AM13" s="324"/>
    </row>
    <row r="14" spans="1:39">
      <c r="A14" s="449">
        <f>A13+1</f>
        <v>1986</v>
      </c>
      <c r="B14" s="450" t="s">
        <v>1031</v>
      </c>
      <c r="C14" s="450" t="s">
        <v>1031</v>
      </c>
      <c r="D14" s="450" t="s">
        <v>1031</v>
      </c>
      <c r="E14" s="450" t="s">
        <v>1031</v>
      </c>
      <c r="F14" s="450" t="s">
        <v>1031</v>
      </c>
      <c r="G14" s="450" t="s">
        <v>1031</v>
      </c>
      <c r="H14" s="450" t="s">
        <v>1031</v>
      </c>
      <c r="I14" s="450" t="s">
        <v>1031</v>
      </c>
      <c r="J14" s="450" t="s">
        <v>1031</v>
      </c>
      <c r="K14" s="450" t="s">
        <v>1031</v>
      </c>
      <c r="L14" s="450" t="s">
        <v>1031</v>
      </c>
      <c r="M14" s="450" t="s">
        <v>1031</v>
      </c>
      <c r="N14" s="450" t="s">
        <v>1031</v>
      </c>
      <c r="O14" s="450" t="s">
        <v>1031</v>
      </c>
      <c r="P14" s="450" t="s">
        <v>1031</v>
      </c>
      <c r="Q14" s="450" t="s">
        <v>1031</v>
      </c>
      <c r="R14" s="450" t="s">
        <v>1031</v>
      </c>
      <c r="S14" s="450" t="s">
        <v>1031</v>
      </c>
      <c r="T14" s="450" t="s">
        <v>1031</v>
      </c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324"/>
      <c r="AF14" s="324"/>
      <c r="AG14" s="324"/>
      <c r="AH14" s="324"/>
      <c r="AI14" s="324"/>
      <c r="AJ14" s="324"/>
      <c r="AK14" s="324"/>
      <c r="AL14" s="324"/>
      <c r="AM14" s="324"/>
    </row>
    <row r="15" spans="1:39">
      <c r="A15" s="449">
        <f t="shared" ref="A15:A50" si="0">A14+1</f>
        <v>1987</v>
      </c>
      <c r="B15" s="450" t="s">
        <v>1031</v>
      </c>
      <c r="C15" s="450" t="s">
        <v>1031</v>
      </c>
      <c r="D15" s="450" t="s">
        <v>1031</v>
      </c>
      <c r="E15" s="450" t="s">
        <v>1031</v>
      </c>
      <c r="F15" s="450" t="s">
        <v>1031</v>
      </c>
      <c r="G15" s="450" t="s">
        <v>1031</v>
      </c>
      <c r="H15" s="450" t="s">
        <v>1031</v>
      </c>
      <c r="I15" s="450" t="s">
        <v>1031</v>
      </c>
      <c r="J15" s="450" t="s">
        <v>1031</v>
      </c>
      <c r="K15" s="450" t="s">
        <v>1031</v>
      </c>
      <c r="L15" s="450" t="s">
        <v>1031</v>
      </c>
      <c r="M15" s="450" t="s">
        <v>1031</v>
      </c>
      <c r="N15" s="450" t="s">
        <v>1031</v>
      </c>
      <c r="O15" s="450" t="s">
        <v>1031</v>
      </c>
      <c r="P15" s="450" t="s">
        <v>1031</v>
      </c>
      <c r="Q15" s="450" t="s">
        <v>1031</v>
      </c>
      <c r="R15" s="450" t="s">
        <v>1031</v>
      </c>
      <c r="S15" s="450" t="s">
        <v>1031</v>
      </c>
      <c r="T15" s="450" t="s">
        <v>1031</v>
      </c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324"/>
      <c r="AF15" s="324"/>
      <c r="AG15" s="324"/>
      <c r="AH15" s="324"/>
      <c r="AI15" s="324"/>
      <c r="AJ15" s="324"/>
      <c r="AK15" s="324"/>
      <c r="AL15" s="324"/>
      <c r="AM15" s="324"/>
    </row>
    <row r="16" spans="1:39">
      <c r="A16" s="449">
        <f t="shared" si="0"/>
        <v>1988</v>
      </c>
      <c r="B16" s="450" t="s">
        <v>1031</v>
      </c>
      <c r="C16" s="450" t="s">
        <v>1031</v>
      </c>
      <c r="D16" s="450" t="s">
        <v>1031</v>
      </c>
      <c r="E16" s="450" t="s">
        <v>1031</v>
      </c>
      <c r="F16" s="450" t="s">
        <v>1031</v>
      </c>
      <c r="G16" s="450" t="s">
        <v>1031</v>
      </c>
      <c r="H16" s="450" t="s">
        <v>1031</v>
      </c>
      <c r="I16" s="450" t="s">
        <v>1031</v>
      </c>
      <c r="J16" s="450" t="s">
        <v>1031</v>
      </c>
      <c r="K16" s="450" t="s">
        <v>1031</v>
      </c>
      <c r="L16" s="450" t="s">
        <v>1031</v>
      </c>
      <c r="M16" s="450" t="s">
        <v>1031</v>
      </c>
      <c r="N16" s="450" t="s">
        <v>1031</v>
      </c>
      <c r="O16" s="450" t="s">
        <v>1031</v>
      </c>
      <c r="P16" s="450" t="s">
        <v>1031</v>
      </c>
      <c r="Q16" s="450" t="s">
        <v>1031</v>
      </c>
      <c r="R16" s="450" t="s">
        <v>1031</v>
      </c>
      <c r="S16" s="450" t="s">
        <v>1031</v>
      </c>
      <c r="T16" s="450" t="s">
        <v>1031</v>
      </c>
      <c r="U16" s="324"/>
      <c r="V16" s="324"/>
      <c r="W16" s="324"/>
      <c r="X16" s="324"/>
      <c r="Y16" s="324"/>
      <c r="Z16" s="324"/>
      <c r="AA16" s="324"/>
      <c r="AB16" s="324"/>
      <c r="AC16" s="324"/>
      <c r="AD16" s="324"/>
      <c r="AE16" s="324"/>
      <c r="AF16" s="324"/>
      <c r="AG16" s="324"/>
      <c r="AH16" s="324"/>
      <c r="AI16" s="324"/>
      <c r="AJ16" s="324"/>
      <c r="AK16" s="324"/>
      <c r="AL16" s="324"/>
      <c r="AM16" s="324"/>
    </row>
    <row r="17" spans="1:39">
      <c r="A17" s="449">
        <f t="shared" si="0"/>
        <v>1989</v>
      </c>
      <c r="B17" s="450" t="s">
        <v>1031</v>
      </c>
      <c r="C17" s="450" t="s">
        <v>1031</v>
      </c>
      <c r="D17" s="450" t="s">
        <v>1031</v>
      </c>
      <c r="E17" s="450" t="s">
        <v>1031</v>
      </c>
      <c r="F17" s="450" t="s">
        <v>1031</v>
      </c>
      <c r="G17" s="450" t="s">
        <v>1031</v>
      </c>
      <c r="H17" s="450" t="s">
        <v>1031</v>
      </c>
      <c r="I17" s="450" t="s">
        <v>1031</v>
      </c>
      <c r="J17" s="450" t="s">
        <v>1031</v>
      </c>
      <c r="K17" s="450" t="s">
        <v>1031</v>
      </c>
      <c r="L17" s="450" t="s">
        <v>1031</v>
      </c>
      <c r="M17" s="450" t="s">
        <v>1031</v>
      </c>
      <c r="N17" s="450" t="s">
        <v>1031</v>
      </c>
      <c r="O17" s="450" t="s">
        <v>1031</v>
      </c>
      <c r="P17" s="450" t="s">
        <v>1031</v>
      </c>
      <c r="Q17" s="450" t="s">
        <v>1031</v>
      </c>
      <c r="R17" s="450" t="s">
        <v>1031</v>
      </c>
      <c r="S17" s="450" t="s">
        <v>1031</v>
      </c>
      <c r="T17" s="450" t="s">
        <v>1031</v>
      </c>
      <c r="U17" s="324"/>
      <c r="V17" s="324"/>
      <c r="W17" s="324"/>
      <c r="X17" s="324"/>
      <c r="Y17" s="324"/>
      <c r="Z17" s="324"/>
      <c r="AA17" s="324"/>
      <c r="AB17" s="324"/>
      <c r="AC17" s="324"/>
      <c r="AD17" s="324"/>
      <c r="AE17" s="324"/>
      <c r="AF17" s="324"/>
      <c r="AG17" s="324"/>
      <c r="AH17" s="324"/>
      <c r="AI17" s="324"/>
      <c r="AJ17" s="324"/>
      <c r="AK17" s="324"/>
      <c r="AL17" s="324"/>
      <c r="AM17" s="324"/>
    </row>
    <row r="18" spans="1:39">
      <c r="A18" s="449">
        <f t="shared" si="0"/>
        <v>1990</v>
      </c>
      <c r="B18" s="450" t="s">
        <v>1031</v>
      </c>
      <c r="C18" s="450" t="s">
        <v>1031</v>
      </c>
      <c r="D18" s="450" t="s">
        <v>1031</v>
      </c>
      <c r="E18" s="450" t="s">
        <v>1031</v>
      </c>
      <c r="F18" s="450" t="s">
        <v>1031</v>
      </c>
      <c r="G18" s="450" t="s">
        <v>1031</v>
      </c>
      <c r="H18" s="450" t="s">
        <v>1031</v>
      </c>
      <c r="I18" s="450" t="s">
        <v>1031</v>
      </c>
      <c r="J18" s="450" t="s">
        <v>1031</v>
      </c>
      <c r="K18" s="450" t="s">
        <v>1031</v>
      </c>
      <c r="L18" s="450" t="s">
        <v>1031</v>
      </c>
      <c r="M18" s="450" t="s">
        <v>1031</v>
      </c>
      <c r="N18" s="450" t="s">
        <v>1031</v>
      </c>
      <c r="O18" s="450" t="s">
        <v>1031</v>
      </c>
      <c r="P18" s="450" t="s">
        <v>1031</v>
      </c>
      <c r="Q18" s="450" t="s">
        <v>1031</v>
      </c>
      <c r="R18" s="450" t="s">
        <v>1031</v>
      </c>
      <c r="S18" s="450" t="s">
        <v>1031</v>
      </c>
      <c r="T18" s="450" t="s">
        <v>1031</v>
      </c>
      <c r="U18" s="324"/>
      <c r="V18" s="324"/>
      <c r="W18" s="324"/>
      <c r="X18" s="324"/>
      <c r="Y18" s="324"/>
      <c r="Z18" s="324"/>
      <c r="AA18" s="324"/>
      <c r="AB18" s="324"/>
      <c r="AC18" s="324"/>
      <c r="AD18" s="324"/>
      <c r="AE18" s="324"/>
      <c r="AF18" s="324"/>
      <c r="AG18" s="324"/>
      <c r="AH18" s="324"/>
      <c r="AI18" s="324"/>
      <c r="AJ18" s="324"/>
      <c r="AK18" s="324"/>
      <c r="AL18" s="324"/>
      <c r="AM18" s="324"/>
    </row>
    <row r="19" spans="1:39">
      <c r="A19" s="449">
        <f t="shared" si="0"/>
        <v>1991</v>
      </c>
      <c r="B19" s="450" t="s">
        <v>1031</v>
      </c>
      <c r="C19" s="450" t="s">
        <v>1031</v>
      </c>
      <c r="D19" s="450" t="s">
        <v>1031</v>
      </c>
      <c r="E19" s="450" t="s">
        <v>1031</v>
      </c>
      <c r="F19" s="450" t="s">
        <v>1031</v>
      </c>
      <c r="G19" s="450" t="s">
        <v>1031</v>
      </c>
      <c r="H19" s="450" t="s">
        <v>1031</v>
      </c>
      <c r="I19" s="450" t="s">
        <v>1031</v>
      </c>
      <c r="J19" s="450" t="s">
        <v>1031</v>
      </c>
      <c r="K19" s="450" t="s">
        <v>1031</v>
      </c>
      <c r="L19" s="450" t="s">
        <v>1031</v>
      </c>
      <c r="M19" s="450" t="s">
        <v>1031</v>
      </c>
      <c r="N19" s="450" t="s">
        <v>1031</v>
      </c>
      <c r="O19" s="450" t="s">
        <v>1031</v>
      </c>
      <c r="P19" s="450" t="s">
        <v>1031</v>
      </c>
      <c r="Q19" s="450" t="s">
        <v>1031</v>
      </c>
      <c r="R19" s="450" t="s">
        <v>1031</v>
      </c>
      <c r="S19" s="450" t="s">
        <v>1031</v>
      </c>
      <c r="T19" s="450" t="s">
        <v>1031</v>
      </c>
      <c r="U19" s="324"/>
      <c r="V19" s="324"/>
      <c r="W19" s="324"/>
      <c r="X19" s="324"/>
      <c r="Y19" s="324"/>
      <c r="Z19" s="324"/>
      <c r="AA19" s="324"/>
      <c r="AB19" s="324"/>
      <c r="AC19" s="324"/>
      <c r="AD19" s="324"/>
      <c r="AE19" s="324"/>
      <c r="AF19" s="324"/>
      <c r="AG19" s="324"/>
      <c r="AH19" s="324"/>
      <c r="AI19" s="324"/>
      <c r="AJ19" s="324"/>
      <c r="AK19" s="324"/>
      <c r="AL19" s="324"/>
      <c r="AM19" s="324"/>
    </row>
    <row r="20" spans="1:39">
      <c r="A20" s="449">
        <f t="shared" si="0"/>
        <v>1992</v>
      </c>
      <c r="B20" s="450" t="s">
        <v>1031</v>
      </c>
      <c r="C20" s="450" t="s">
        <v>1031</v>
      </c>
      <c r="D20" s="450" t="s">
        <v>1031</v>
      </c>
      <c r="E20" s="450" t="s">
        <v>1031</v>
      </c>
      <c r="F20" s="450" t="s">
        <v>1031</v>
      </c>
      <c r="G20" s="450" t="s">
        <v>1031</v>
      </c>
      <c r="H20" s="450" t="s">
        <v>1031</v>
      </c>
      <c r="I20" s="450" t="s">
        <v>1031</v>
      </c>
      <c r="J20" s="450" t="s">
        <v>1031</v>
      </c>
      <c r="K20" s="450" t="s">
        <v>1031</v>
      </c>
      <c r="L20" s="450" t="s">
        <v>1031</v>
      </c>
      <c r="M20" s="450" t="s">
        <v>1031</v>
      </c>
      <c r="N20" s="450" t="s">
        <v>1031</v>
      </c>
      <c r="O20" s="450" t="s">
        <v>1031</v>
      </c>
      <c r="P20" s="450" t="s">
        <v>1031</v>
      </c>
      <c r="Q20" s="450" t="s">
        <v>1031</v>
      </c>
      <c r="R20" s="450" t="s">
        <v>1031</v>
      </c>
      <c r="S20" s="450" t="s">
        <v>1031</v>
      </c>
      <c r="T20" s="450">
        <v>20065644.219999999</v>
      </c>
      <c r="U20" s="324"/>
      <c r="V20" s="324"/>
      <c r="W20" s="324"/>
      <c r="X20" s="324"/>
      <c r="Y20" s="324"/>
      <c r="Z20" s="324"/>
      <c r="AA20" s="324"/>
      <c r="AB20" s="324"/>
      <c r="AC20" s="324"/>
      <c r="AD20" s="324"/>
      <c r="AE20" s="324"/>
      <c r="AF20" s="324"/>
      <c r="AG20" s="324"/>
      <c r="AH20" s="324"/>
      <c r="AI20" s="324"/>
      <c r="AJ20" s="324"/>
      <c r="AK20" s="324"/>
      <c r="AL20" s="324"/>
      <c r="AM20" s="324"/>
    </row>
    <row r="21" spans="1:39">
      <c r="A21" s="449">
        <f t="shared" si="0"/>
        <v>1993</v>
      </c>
      <c r="B21" s="450" t="s">
        <v>1031</v>
      </c>
      <c r="C21" s="450" t="s">
        <v>1031</v>
      </c>
      <c r="D21" s="450" t="s">
        <v>1031</v>
      </c>
      <c r="E21" s="450" t="s">
        <v>1031</v>
      </c>
      <c r="F21" s="450" t="s">
        <v>1031</v>
      </c>
      <c r="G21" s="450" t="s">
        <v>1031</v>
      </c>
      <c r="H21" s="450" t="s">
        <v>1031</v>
      </c>
      <c r="I21" s="450" t="s">
        <v>1031</v>
      </c>
      <c r="J21" s="450" t="s">
        <v>1031</v>
      </c>
      <c r="K21" s="450" t="s">
        <v>1031</v>
      </c>
      <c r="L21" s="450" t="s">
        <v>1031</v>
      </c>
      <c r="M21" s="450" t="s">
        <v>1031</v>
      </c>
      <c r="N21" s="450" t="s">
        <v>1031</v>
      </c>
      <c r="O21" s="450" t="s">
        <v>1031</v>
      </c>
      <c r="P21" s="450" t="s">
        <v>1031</v>
      </c>
      <c r="Q21" s="450" t="s">
        <v>1031</v>
      </c>
      <c r="R21" s="450" t="s">
        <v>1031</v>
      </c>
      <c r="S21" s="450">
        <v>22156898.129999999</v>
      </c>
      <c r="T21" s="450">
        <v>22156898.129999999</v>
      </c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324"/>
      <c r="AF21" s="324"/>
      <c r="AG21" s="324"/>
      <c r="AH21" s="324"/>
      <c r="AI21" s="324"/>
      <c r="AJ21" s="324"/>
      <c r="AK21" s="324"/>
      <c r="AL21" s="324"/>
      <c r="AM21" s="324"/>
    </row>
    <row r="22" spans="1:39">
      <c r="A22" s="449">
        <f t="shared" si="0"/>
        <v>1994</v>
      </c>
      <c r="B22" s="450" t="s">
        <v>1031</v>
      </c>
      <c r="C22" s="450" t="s">
        <v>1031</v>
      </c>
      <c r="D22" s="450" t="s">
        <v>1031</v>
      </c>
      <c r="E22" s="450" t="s">
        <v>1031</v>
      </c>
      <c r="F22" s="450" t="s">
        <v>1031</v>
      </c>
      <c r="G22" s="450" t="s">
        <v>1031</v>
      </c>
      <c r="H22" s="450" t="s">
        <v>1031</v>
      </c>
      <c r="I22" s="450" t="s">
        <v>1031</v>
      </c>
      <c r="J22" s="450" t="s">
        <v>1031</v>
      </c>
      <c r="K22" s="450" t="s">
        <v>1031</v>
      </c>
      <c r="L22" s="450" t="s">
        <v>1031</v>
      </c>
      <c r="M22" s="450" t="s">
        <v>1031</v>
      </c>
      <c r="N22" s="450" t="s">
        <v>1031</v>
      </c>
      <c r="O22" s="450" t="s">
        <v>1031</v>
      </c>
      <c r="P22" s="450" t="s">
        <v>1031</v>
      </c>
      <c r="Q22" s="450" t="s">
        <v>1031</v>
      </c>
      <c r="R22" s="450">
        <v>25659084.629999999</v>
      </c>
      <c r="S22" s="450">
        <v>25659084.629999999</v>
      </c>
      <c r="T22" s="450">
        <v>25659084.629999999</v>
      </c>
      <c r="U22" s="324"/>
      <c r="V22" s="324"/>
      <c r="W22" s="324"/>
      <c r="X22" s="324"/>
      <c r="Y22" s="324"/>
      <c r="Z22" s="324"/>
      <c r="AA22" s="324"/>
      <c r="AB22" s="324"/>
      <c r="AC22" s="324"/>
      <c r="AD22" s="324"/>
      <c r="AE22" s="324"/>
      <c r="AF22" s="324"/>
      <c r="AG22" s="324"/>
      <c r="AH22" s="324"/>
      <c r="AI22" s="324"/>
      <c r="AJ22" s="324"/>
      <c r="AK22" s="324"/>
      <c r="AL22" s="324"/>
      <c r="AM22" s="324"/>
    </row>
    <row r="23" spans="1:39">
      <c r="A23" s="449">
        <f t="shared" si="0"/>
        <v>1995</v>
      </c>
      <c r="B23" s="450" t="s">
        <v>1031</v>
      </c>
      <c r="C23" s="450" t="s">
        <v>1031</v>
      </c>
      <c r="D23" s="450" t="s">
        <v>1031</v>
      </c>
      <c r="E23" s="450" t="s">
        <v>1031</v>
      </c>
      <c r="F23" s="450" t="s">
        <v>1031</v>
      </c>
      <c r="G23" s="450" t="s">
        <v>1031</v>
      </c>
      <c r="H23" s="450" t="s">
        <v>1031</v>
      </c>
      <c r="I23" s="450" t="s">
        <v>1031</v>
      </c>
      <c r="J23" s="450" t="s">
        <v>1031</v>
      </c>
      <c r="K23" s="450" t="s">
        <v>1031</v>
      </c>
      <c r="L23" s="450" t="s">
        <v>1031</v>
      </c>
      <c r="M23" s="450" t="s">
        <v>1031</v>
      </c>
      <c r="N23" s="450" t="s">
        <v>1031</v>
      </c>
      <c r="O23" s="450" t="s">
        <v>1031</v>
      </c>
      <c r="P23" s="450" t="s">
        <v>1031</v>
      </c>
      <c r="Q23" s="450">
        <v>28479344.77</v>
      </c>
      <c r="R23" s="450">
        <v>28479344.77</v>
      </c>
      <c r="S23" s="450">
        <v>28479344.77</v>
      </c>
      <c r="T23" s="450">
        <v>28479344.77</v>
      </c>
      <c r="U23" s="324"/>
      <c r="V23" s="324"/>
      <c r="W23" s="324"/>
      <c r="X23" s="324"/>
      <c r="Y23" s="324"/>
      <c r="Z23" s="324"/>
      <c r="AA23" s="324"/>
      <c r="AB23" s="324"/>
      <c r="AC23" s="324"/>
      <c r="AD23" s="324"/>
      <c r="AE23" s="324"/>
      <c r="AF23" s="324"/>
      <c r="AG23" s="324"/>
      <c r="AH23" s="324"/>
      <c r="AI23" s="324"/>
      <c r="AJ23" s="324"/>
      <c r="AK23" s="324"/>
      <c r="AL23" s="324"/>
      <c r="AM23" s="324"/>
    </row>
    <row r="24" spans="1:39">
      <c r="A24" s="449">
        <f t="shared" si="0"/>
        <v>1996</v>
      </c>
      <c r="B24" s="450" t="s">
        <v>1031</v>
      </c>
      <c r="C24" s="450" t="s">
        <v>1031</v>
      </c>
      <c r="D24" s="450" t="s">
        <v>1031</v>
      </c>
      <c r="E24" s="450" t="s">
        <v>1031</v>
      </c>
      <c r="F24" s="450" t="s">
        <v>1031</v>
      </c>
      <c r="G24" s="450" t="s">
        <v>1031</v>
      </c>
      <c r="H24" s="450" t="s">
        <v>1031</v>
      </c>
      <c r="I24" s="450" t="s">
        <v>1031</v>
      </c>
      <c r="J24" s="450" t="s">
        <v>1031</v>
      </c>
      <c r="K24" s="450" t="s">
        <v>1031</v>
      </c>
      <c r="L24" s="450" t="s">
        <v>1031</v>
      </c>
      <c r="M24" s="450" t="s">
        <v>1031</v>
      </c>
      <c r="N24" s="450" t="s">
        <v>1031</v>
      </c>
      <c r="O24" s="450" t="s">
        <v>1031</v>
      </c>
      <c r="P24" s="450">
        <v>31299722.880000003</v>
      </c>
      <c r="Q24" s="450">
        <v>31299722.880000003</v>
      </c>
      <c r="R24" s="450">
        <v>31299722.880000003</v>
      </c>
      <c r="S24" s="450">
        <v>31299722.880000003</v>
      </c>
      <c r="T24" s="450">
        <v>31299722.880000003</v>
      </c>
      <c r="U24" s="324"/>
      <c r="V24" s="324"/>
      <c r="W24" s="324"/>
      <c r="X24" s="324"/>
      <c r="Y24" s="324"/>
      <c r="Z24" s="324"/>
      <c r="AA24" s="324"/>
      <c r="AB24" s="324"/>
      <c r="AC24" s="324"/>
      <c r="AD24" s="324"/>
      <c r="AE24" s="324"/>
      <c r="AF24" s="324"/>
      <c r="AG24" s="324"/>
      <c r="AH24" s="324"/>
      <c r="AI24" s="324"/>
      <c r="AJ24" s="324"/>
      <c r="AK24" s="324"/>
      <c r="AL24" s="324"/>
      <c r="AM24" s="324"/>
    </row>
    <row r="25" spans="1:39">
      <c r="A25" s="449">
        <f t="shared" si="0"/>
        <v>1997</v>
      </c>
      <c r="B25" s="450" t="s">
        <v>1031</v>
      </c>
      <c r="C25" s="450" t="s">
        <v>1031</v>
      </c>
      <c r="D25" s="450" t="s">
        <v>1031</v>
      </c>
      <c r="E25" s="450" t="s">
        <v>1031</v>
      </c>
      <c r="F25" s="450" t="s">
        <v>1031</v>
      </c>
      <c r="G25" s="450" t="s">
        <v>1031</v>
      </c>
      <c r="H25" s="450" t="s">
        <v>1031</v>
      </c>
      <c r="I25" s="450" t="s">
        <v>1031</v>
      </c>
      <c r="J25" s="450" t="s">
        <v>1031</v>
      </c>
      <c r="K25" s="450" t="s">
        <v>1031</v>
      </c>
      <c r="L25" s="450" t="s">
        <v>1031</v>
      </c>
      <c r="M25" s="450" t="s">
        <v>1031</v>
      </c>
      <c r="N25" s="450" t="s">
        <v>1031</v>
      </c>
      <c r="O25" s="450">
        <v>27182636.030000001</v>
      </c>
      <c r="P25" s="450">
        <v>27182636.030000001</v>
      </c>
      <c r="Q25" s="450">
        <v>27182636.030000001</v>
      </c>
      <c r="R25" s="450">
        <v>27182636.030000001</v>
      </c>
      <c r="S25" s="450">
        <v>27182636.030000001</v>
      </c>
      <c r="T25" s="450">
        <v>27182636.030000001</v>
      </c>
      <c r="U25" s="324"/>
      <c r="V25" s="324"/>
      <c r="W25" s="324"/>
      <c r="X25" s="324"/>
      <c r="Y25" s="324"/>
      <c r="Z25" s="324"/>
      <c r="AA25" s="324"/>
      <c r="AB25" s="324"/>
      <c r="AC25" s="324"/>
      <c r="AD25" s="324"/>
      <c r="AE25" s="324"/>
      <c r="AF25" s="324"/>
      <c r="AG25" s="324"/>
      <c r="AH25" s="324"/>
      <c r="AI25" s="324"/>
      <c r="AJ25" s="324"/>
      <c r="AK25" s="324"/>
      <c r="AL25" s="324"/>
      <c r="AM25" s="324"/>
    </row>
    <row r="26" spans="1:39">
      <c r="A26" s="449">
        <f t="shared" si="0"/>
        <v>1998</v>
      </c>
      <c r="B26" s="450" t="s">
        <v>1031</v>
      </c>
      <c r="C26" s="450" t="s">
        <v>1031</v>
      </c>
      <c r="D26" s="450" t="s">
        <v>1031</v>
      </c>
      <c r="E26" s="450" t="s">
        <v>1031</v>
      </c>
      <c r="F26" s="450" t="s">
        <v>1031</v>
      </c>
      <c r="G26" s="450" t="s">
        <v>1031</v>
      </c>
      <c r="H26" s="450" t="s">
        <v>1031</v>
      </c>
      <c r="I26" s="450" t="s">
        <v>1031</v>
      </c>
      <c r="J26" s="450" t="s">
        <v>1031</v>
      </c>
      <c r="K26" s="450" t="s">
        <v>1031</v>
      </c>
      <c r="L26" s="450" t="s">
        <v>1031</v>
      </c>
      <c r="M26" s="450" t="s">
        <v>1031</v>
      </c>
      <c r="N26" s="450">
        <v>29674464.829999998</v>
      </c>
      <c r="O26" s="450">
        <v>29674464.829999998</v>
      </c>
      <c r="P26" s="450">
        <v>29674464.829999998</v>
      </c>
      <c r="Q26" s="450">
        <v>29674464.829999998</v>
      </c>
      <c r="R26" s="450">
        <v>29674464.829999998</v>
      </c>
      <c r="S26" s="450">
        <v>29674464.829999998</v>
      </c>
      <c r="T26" s="450">
        <v>29674464.829999998</v>
      </c>
      <c r="U26" s="324"/>
      <c r="V26" s="324"/>
      <c r="W26" s="324"/>
      <c r="X26" s="324"/>
      <c r="Y26" s="324"/>
      <c r="Z26" s="324"/>
      <c r="AA26" s="324"/>
      <c r="AB26" s="324"/>
      <c r="AC26" s="324"/>
      <c r="AD26" s="324"/>
      <c r="AE26" s="324"/>
      <c r="AF26" s="324"/>
      <c r="AG26" s="324"/>
      <c r="AH26" s="324"/>
      <c r="AI26" s="324"/>
      <c r="AJ26" s="324"/>
      <c r="AK26" s="324"/>
      <c r="AL26" s="324"/>
      <c r="AM26" s="324"/>
    </row>
    <row r="27" spans="1:39">
      <c r="A27" s="449">
        <f t="shared" si="0"/>
        <v>1999</v>
      </c>
      <c r="B27" s="450" t="s">
        <v>1031</v>
      </c>
      <c r="C27" s="450" t="s">
        <v>1031</v>
      </c>
      <c r="D27" s="450" t="s">
        <v>1031</v>
      </c>
      <c r="E27" s="450" t="s">
        <v>1031</v>
      </c>
      <c r="F27" s="450" t="s">
        <v>1031</v>
      </c>
      <c r="G27" s="450" t="s">
        <v>1031</v>
      </c>
      <c r="H27" s="450" t="s">
        <v>1031</v>
      </c>
      <c r="I27" s="450" t="s">
        <v>1031</v>
      </c>
      <c r="J27" s="450" t="s">
        <v>1031</v>
      </c>
      <c r="K27" s="450" t="s">
        <v>1031</v>
      </c>
      <c r="L27" s="450" t="s">
        <v>1031</v>
      </c>
      <c r="M27" s="450">
        <v>35708087.969999999</v>
      </c>
      <c r="N27" s="450">
        <v>35712327.369999997</v>
      </c>
      <c r="O27" s="450">
        <v>35714196.369999997</v>
      </c>
      <c r="P27" s="450">
        <v>35715736.869999997</v>
      </c>
      <c r="Q27" s="450">
        <v>35706421.369999997</v>
      </c>
      <c r="R27" s="450">
        <v>35706421.369999997</v>
      </c>
      <c r="S27" s="450">
        <v>35706421.369999997</v>
      </c>
      <c r="T27" s="450">
        <v>35706421.369999997</v>
      </c>
      <c r="U27" s="324"/>
      <c r="V27" s="324"/>
      <c r="W27" s="324"/>
      <c r="X27" s="324"/>
      <c r="Y27" s="324"/>
      <c r="Z27" s="324"/>
      <c r="AA27" s="324"/>
      <c r="AB27" s="324"/>
      <c r="AC27" s="324"/>
      <c r="AD27" s="324"/>
      <c r="AE27" s="324"/>
      <c r="AF27" s="324"/>
      <c r="AG27" s="324"/>
      <c r="AH27" s="324"/>
      <c r="AI27" s="324"/>
      <c r="AJ27" s="324"/>
      <c r="AK27" s="324"/>
      <c r="AL27" s="324"/>
      <c r="AM27" s="324"/>
    </row>
    <row r="28" spans="1:39">
      <c r="A28" s="449">
        <f t="shared" si="0"/>
        <v>2000</v>
      </c>
      <c r="B28" s="450" t="s">
        <v>1031</v>
      </c>
      <c r="C28" s="450" t="s">
        <v>1031</v>
      </c>
      <c r="D28" s="450" t="s">
        <v>1031</v>
      </c>
      <c r="E28" s="450" t="s">
        <v>1031</v>
      </c>
      <c r="F28" s="450" t="s">
        <v>1031</v>
      </c>
      <c r="G28" s="450" t="s">
        <v>1031</v>
      </c>
      <c r="H28" s="450" t="s">
        <v>1031</v>
      </c>
      <c r="I28" s="450" t="s">
        <v>1031</v>
      </c>
      <c r="J28" s="450" t="s">
        <v>1031</v>
      </c>
      <c r="K28" s="450" t="s">
        <v>1031</v>
      </c>
      <c r="L28" s="450">
        <v>28661734.640000001</v>
      </c>
      <c r="M28" s="450">
        <v>28661734.640000001</v>
      </c>
      <c r="N28" s="450">
        <v>28661734.640000001</v>
      </c>
      <c r="O28" s="450">
        <v>28661734.640000001</v>
      </c>
      <c r="P28" s="450">
        <v>28661734.640000001</v>
      </c>
      <c r="Q28" s="450">
        <v>28661734.640000001</v>
      </c>
      <c r="R28" s="450">
        <v>28661734.640000001</v>
      </c>
      <c r="S28" s="450">
        <v>28661734.640000001</v>
      </c>
      <c r="T28" s="450">
        <v>28661734.640000001</v>
      </c>
      <c r="U28" s="324"/>
      <c r="V28" s="324"/>
      <c r="W28" s="324"/>
      <c r="X28" s="324"/>
      <c r="Y28" s="324"/>
      <c r="Z28" s="324"/>
      <c r="AA28" s="324"/>
      <c r="AB28" s="324"/>
      <c r="AC28" s="324"/>
      <c r="AD28" s="324"/>
      <c r="AE28" s="324"/>
      <c r="AF28" s="324"/>
      <c r="AG28" s="324"/>
      <c r="AH28" s="324"/>
      <c r="AI28" s="324"/>
      <c r="AJ28" s="324"/>
      <c r="AK28" s="324"/>
      <c r="AL28" s="324"/>
      <c r="AM28" s="324"/>
    </row>
    <row r="29" spans="1:39">
      <c r="A29" s="449">
        <f t="shared" si="0"/>
        <v>2001</v>
      </c>
      <c r="B29" s="450" t="s">
        <v>1031</v>
      </c>
      <c r="C29" s="450" t="s">
        <v>1031</v>
      </c>
      <c r="D29" s="450" t="s">
        <v>1031</v>
      </c>
      <c r="E29" s="450" t="s">
        <v>1031</v>
      </c>
      <c r="F29" s="450" t="s">
        <v>1031</v>
      </c>
      <c r="G29" s="450" t="s">
        <v>1031</v>
      </c>
      <c r="H29" s="450" t="s">
        <v>1031</v>
      </c>
      <c r="I29" s="450" t="s">
        <v>1031</v>
      </c>
      <c r="J29" s="450" t="s">
        <v>1031</v>
      </c>
      <c r="K29" s="450">
        <v>23439738.200000003</v>
      </c>
      <c r="L29" s="450">
        <v>23439738.200000003</v>
      </c>
      <c r="M29" s="450">
        <v>23439738.200000003</v>
      </c>
      <c r="N29" s="450">
        <v>23439738.200000003</v>
      </c>
      <c r="O29" s="450">
        <v>23439738.200000003</v>
      </c>
      <c r="P29" s="450">
        <v>23439738.200000003</v>
      </c>
      <c r="Q29" s="450">
        <v>23439738.200000003</v>
      </c>
      <c r="R29" s="450">
        <v>23439738.200000003</v>
      </c>
      <c r="S29" s="450">
        <v>23439738.200000003</v>
      </c>
      <c r="T29" s="450">
        <v>23439738.200000003</v>
      </c>
      <c r="U29" s="324"/>
      <c r="V29" s="324"/>
      <c r="W29" s="324"/>
      <c r="X29" s="324"/>
      <c r="Y29" s="324"/>
      <c r="Z29" s="324"/>
      <c r="AA29" s="324"/>
      <c r="AB29" s="324"/>
      <c r="AC29" s="324"/>
      <c r="AD29" s="324"/>
      <c r="AE29" s="324"/>
      <c r="AF29" s="324"/>
      <c r="AG29" s="324"/>
      <c r="AH29" s="324"/>
      <c r="AI29" s="324"/>
      <c r="AJ29" s="324"/>
      <c r="AK29" s="324"/>
      <c r="AL29" s="324"/>
      <c r="AM29" s="324"/>
    </row>
    <row r="30" spans="1:39">
      <c r="A30" s="449">
        <f t="shared" si="0"/>
        <v>2002</v>
      </c>
      <c r="B30" s="450" t="s">
        <v>1031</v>
      </c>
      <c r="C30" s="450" t="s">
        <v>1031</v>
      </c>
      <c r="D30" s="450" t="s">
        <v>1031</v>
      </c>
      <c r="E30" s="450" t="s">
        <v>1031</v>
      </c>
      <c r="F30" s="450" t="s">
        <v>1031</v>
      </c>
      <c r="G30" s="450" t="s">
        <v>1031</v>
      </c>
      <c r="H30" s="450" t="s">
        <v>1031</v>
      </c>
      <c r="I30" s="450" t="s">
        <v>1031</v>
      </c>
      <c r="J30" s="450">
        <v>28338636.310000002</v>
      </c>
      <c r="K30" s="450">
        <v>28344925.130000003</v>
      </c>
      <c r="L30" s="450">
        <v>28344925.130000003</v>
      </c>
      <c r="M30" s="450">
        <v>28344925.130000003</v>
      </c>
      <c r="N30" s="450">
        <v>28644925.130000003</v>
      </c>
      <c r="O30" s="450">
        <v>28676828.880000003</v>
      </c>
      <c r="P30" s="450">
        <v>28676828.880000003</v>
      </c>
      <c r="Q30" s="450">
        <v>28348241.370000001</v>
      </c>
      <c r="R30" s="450">
        <v>28348241.370000001</v>
      </c>
      <c r="S30" s="450">
        <v>28348241.370000001</v>
      </c>
      <c r="T30" s="450">
        <v>28348241.370000001</v>
      </c>
      <c r="U30" s="324"/>
      <c r="V30" s="324"/>
      <c r="W30" s="324"/>
      <c r="X30" s="324"/>
      <c r="Y30" s="324"/>
      <c r="Z30" s="324"/>
      <c r="AA30" s="324"/>
      <c r="AB30" s="324"/>
      <c r="AC30" s="324"/>
      <c r="AD30" s="324"/>
      <c r="AE30" s="324"/>
      <c r="AF30" s="324"/>
      <c r="AG30" s="324"/>
      <c r="AH30" s="324"/>
      <c r="AI30" s="324"/>
      <c r="AJ30" s="324"/>
      <c r="AK30" s="324"/>
      <c r="AL30" s="324"/>
      <c r="AM30" s="324"/>
    </row>
    <row r="31" spans="1:39">
      <c r="A31" s="449">
        <f t="shared" si="0"/>
        <v>2003</v>
      </c>
      <c r="B31" s="450" t="s">
        <v>1031</v>
      </c>
      <c r="C31" s="450" t="s">
        <v>1031</v>
      </c>
      <c r="D31" s="450" t="s">
        <v>1031</v>
      </c>
      <c r="E31" s="450" t="s">
        <v>1031</v>
      </c>
      <c r="F31" s="450" t="s">
        <v>1031</v>
      </c>
      <c r="G31" s="450" t="s">
        <v>1031</v>
      </c>
      <c r="H31" s="450" t="s">
        <v>1031</v>
      </c>
      <c r="I31" s="450">
        <v>22737349.289999999</v>
      </c>
      <c r="J31" s="450">
        <v>22290642.329999998</v>
      </c>
      <c r="K31" s="450">
        <v>21576865.77</v>
      </c>
      <c r="L31" s="450">
        <v>21576865.77</v>
      </c>
      <c r="M31" s="450">
        <v>21576865.77</v>
      </c>
      <c r="N31" s="450">
        <v>21576865.77</v>
      </c>
      <c r="O31" s="450">
        <v>21576865.77</v>
      </c>
      <c r="P31" s="450">
        <v>21576865.77</v>
      </c>
      <c r="Q31" s="450">
        <v>21576865.77</v>
      </c>
      <c r="R31" s="450">
        <v>21576865.77</v>
      </c>
      <c r="S31" s="450">
        <v>21576865.77</v>
      </c>
      <c r="T31" s="450">
        <v>21576865.77</v>
      </c>
      <c r="U31" s="324"/>
      <c r="V31" s="324"/>
      <c r="W31" s="324"/>
      <c r="X31" s="324"/>
      <c r="Y31" s="324"/>
      <c r="Z31" s="324"/>
      <c r="AA31" s="324"/>
      <c r="AB31" s="324"/>
      <c r="AC31" s="324"/>
      <c r="AD31" s="324"/>
      <c r="AE31" s="324"/>
      <c r="AF31" s="324"/>
      <c r="AG31" s="324"/>
      <c r="AH31" s="324"/>
      <c r="AI31" s="324"/>
      <c r="AJ31" s="324"/>
      <c r="AK31" s="324"/>
      <c r="AL31" s="324"/>
      <c r="AM31" s="324"/>
    </row>
    <row r="32" spans="1:39">
      <c r="A32" s="449">
        <f t="shared" si="0"/>
        <v>2004</v>
      </c>
      <c r="B32" s="450" t="s">
        <v>1031</v>
      </c>
      <c r="C32" s="450" t="s">
        <v>1031</v>
      </c>
      <c r="D32" s="450" t="s">
        <v>1031</v>
      </c>
      <c r="E32" s="450" t="s">
        <v>1031</v>
      </c>
      <c r="F32" s="450" t="s">
        <v>1031</v>
      </c>
      <c r="G32" s="450" t="s">
        <v>1031</v>
      </c>
      <c r="H32" s="450">
        <v>16084723</v>
      </c>
      <c r="I32" s="450">
        <v>15874578</v>
      </c>
      <c r="J32" s="450">
        <v>15892094</v>
      </c>
      <c r="K32" s="450">
        <v>15886906</v>
      </c>
      <c r="L32" s="450">
        <v>15937536</v>
      </c>
      <c r="M32" s="450">
        <v>15937536</v>
      </c>
      <c r="N32" s="450">
        <v>15937536</v>
      </c>
      <c r="O32" s="450">
        <v>16266124</v>
      </c>
      <c r="P32" s="450">
        <v>16266124</v>
      </c>
      <c r="Q32" s="450">
        <v>16266124</v>
      </c>
      <c r="R32" s="450">
        <v>16266124</v>
      </c>
      <c r="S32" s="450">
        <v>16266123.970000001</v>
      </c>
      <c r="T32" s="557">
        <v>16266123.970000001</v>
      </c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324"/>
      <c r="AF32" s="324"/>
      <c r="AG32" s="324"/>
      <c r="AH32" s="324"/>
      <c r="AI32" s="324"/>
      <c r="AJ32" s="324"/>
      <c r="AK32" s="324"/>
      <c r="AL32" s="324"/>
      <c r="AM32" s="324"/>
    </row>
    <row r="33" spans="1:39">
      <c r="A33" s="449">
        <f t="shared" si="0"/>
        <v>2005</v>
      </c>
      <c r="B33" s="450" t="s">
        <v>1031</v>
      </c>
      <c r="C33" s="450" t="s">
        <v>1031</v>
      </c>
      <c r="D33" s="450" t="s">
        <v>1031</v>
      </c>
      <c r="E33" s="450" t="s">
        <v>1031</v>
      </c>
      <c r="F33" s="450" t="s">
        <v>1031</v>
      </c>
      <c r="G33" s="450">
        <v>20173097</v>
      </c>
      <c r="H33" s="450">
        <v>18978804</v>
      </c>
      <c r="I33" s="450">
        <v>19017275</v>
      </c>
      <c r="J33" s="450">
        <v>18674853</v>
      </c>
      <c r="K33" s="450">
        <v>18674853</v>
      </c>
      <c r="L33" s="450">
        <v>18674853</v>
      </c>
      <c r="M33" s="450">
        <v>18674853</v>
      </c>
      <c r="N33" s="450">
        <v>18674853</v>
      </c>
      <c r="O33" s="450">
        <v>18674853</v>
      </c>
      <c r="P33" s="450">
        <v>18674853</v>
      </c>
      <c r="Q33" s="450">
        <v>18674853</v>
      </c>
      <c r="R33" s="450">
        <v>18674852.98</v>
      </c>
      <c r="S33" s="557">
        <v>18674852.98</v>
      </c>
      <c r="T33" s="450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324"/>
      <c r="AF33" s="324"/>
      <c r="AG33" s="324"/>
      <c r="AH33" s="324"/>
      <c r="AI33" s="324"/>
      <c r="AJ33" s="324"/>
      <c r="AK33" s="324"/>
      <c r="AL33" s="324"/>
      <c r="AM33" s="324"/>
    </row>
    <row r="34" spans="1:39">
      <c r="A34" s="449">
        <f t="shared" si="0"/>
        <v>2006</v>
      </c>
      <c r="B34" s="450" t="s">
        <v>1031</v>
      </c>
      <c r="C34" s="450" t="s">
        <v>1031</v>
      </c>
      <c r="D34" s="450" t="s">
        <v>1031</v>
      </c>
      <c r="E34" s="450" t="s">
        <v>1031</v>
      </c>
      <c r="F34" s="450">
        <v>16198002</v>
      </c>
      <c r="G34" s="450">
        <v>16844994</v>
      </c>
      <c r="H34" s="450">
        <v>16208178</v>
      </c>
      <c r="I34" s="450">
        <v>15893920</v>
      </c>
      <c r="J34" s="450">
        <v>15958636</v>
      </c>
      <c r="K34" s="450">
        <v>15429846</v>
      </c>
      <c r="L34" s="450">
        <v>15429846</v>
      </c>
      <c r="M34" s="450">
        <v>15454846</v>
      </c>
      <c r="N34" s="450">
        <v>15479846</v>
      </c>
      <c r="O34" s="450">
        <v>15479846</v>
      </c>
      <c r="P34" s="450">
        <v>15479846</v>
      </c>
      <c r="Q34" s="450">
        <v>15479845.699999999</v>
      </c>
      <c r="R34" s="557">
        <v>15273359.4</v>
      </c>
      <c r="S34" s="450"/>
      <c r="T34" s="450"/>
      <c r="U34" s="324"/>
      <c r="V34" s="324"/>
      <c r="W34" s="324"/>
      <c r="X34" s="324"/>
      <c r="Y34" s="324"/>
      <c r="Z34" s="324"/>
      <c r="AA34" s="324"/>
      <c r="AB34" s="324"/>
      <c r="AC34" s="324"/>
      <c r="AD34" s="324"/>
      <c r="AE34" s="324"/>
      <c r="AF34" s="324"/>
      <c r="AG34" s="324"/>
      <c r="AH34" s="324"/>
      <c r="AI34" s="324"/>
      <c r="AJ34" s="324"/>
      <c r="AK34" s="324"/>
      <c r="AL34" s="324"/>
      <c r="AM34" s="324"/>
    </row>
    <row r="35" spans="1:39">
      <c r="A35" s="449">
        <f t="shared" si="0"/>
        <v>2007</v>
      </c>
      <c r="B35" s="450" t="s">
        <v>1031</v>
      </c>
      <c r="C35" s="450" t="s">
        <v>1031</v>
      </c>
      <c r="D35" s="450" t="s">
        <v>1031</v>
      </c>
      <c r="E35" s="450">
        <v>20896520</v>
      </c>
      <c r="F35" s="450">
        <v>20384807</v>
      </c>
      <c r="G35" s="450">
        <v>19969113</v>
      </c>
      <c r="H35" s="450">
        <v>19134169</v>
      </c>
      <c r="I35" s="450">
        <v>17768051</v>
      </c>
      <c r="J35" s="450">
        <v>17768933</v>
      </c>
      <c r="K35" s="450">
        <v>17662792</v>
      </c>
      <c r="L35" s="450">
        <v>17662918</v>
      </c>
      <c r="M35" s="450">
        <v>17662918</v>
      </c>
      <c r="N35" s="450">
        <v>17662918</v>
      </c>
      <c r="O35" s="450">
        <v>17662918</v>
      </c>
      <c r="P35" s="450">
        <v>17662917.93</v>
      </c>
      <c r="Q35" s="557">
        <v>17662917.93</v>
      </c>
      <c r="R35" s="450"/>
      <c r="S35" s="450"/>
      <c r="T35" s="450"/>
      <c r="U35" s="324"/>
      <c r="V35" s="324"/>
      <c r="W35" s="324"/>
      <c r="X35" s="324"/>
      <c r="Y35" s="324"/>
      <c r="Z35" s="324"/>
      <c r="AA35" s="324"/>
      <c r="AB35" s="324"/>
      <c r="AC35" s="324"/>
      <c r="AD35" s="324"/>
      <c r="AE35" s="324"/>
      <c r="AF35" s="324"/>
      <c r="AG35" s="324"/>
      <c r="AH35" s="324"/>
      <c r="AI35" s="324"/>
      <c r="AJ35" s="324"/>
      <c r="AK35" s="324"/>
      <c r="AL35" s="324"/>
      <c r="AM35" s="324"/>
    </row>
    <row r="36" spans="1:39">
      <c r="A36" s="449">
        <f t="shared" si="0"/>
        <v>2008</v>
      </c>
      <c r="B36" s="450" t="s">
        <v>1031</v>
      </c>
      <c r="C36" s="450" t="s">
        <v>1031</v>
      </c>
      <c r="D36" s="450">
        <v>15037458</v>
      </c>
      <c r="E36" s="450">
        <v>16042047</v>
      </c>
      <c r="F36" s="450">
        <v>17130001</v>
      </c>
      <c r="G36" s="450">
        <v>16377826</v>
      </c>
      <c r="H36" s="450">
        <v>15967357</v>
      </c>
      <c r="I36" s="450">
        <v>16017357</v>
      </c>
      <c r="J36" s="450">
        <v>16017357</v>
      </c>
      <c r="K36" s="450">
        <v>16017357</v>
      </c>
      <c r="L36" s="450">
        <v>16042357</v>
      </c>
      <c r="M36" s="450">
        <v>16099118</v>
      </c>
      <c r="N36" s="450">
        <v>16099118</v>
      </c>
      <c r="O36" s="450">
        <v>16099117.880000001</v>
      </c>
      <c r="P36" s="557">
        <v>16099117.880000001</v>
      </c>
      <c r="Q36" s="450"/>
      <c r="R36" s="450"/>
      <c r="S36" s="450"/>
      <c r="T36" s="450"/>
      <c r="U36" s="324"/>
      <c r="V36" s="324"/>
      <c r="W36" s="324"/>
      <c r="X36" s="324"/>
      <c r="Y36" s="324"/>
      <c r="Z36" s="324"/>
      <c r="AA36" s="324"/>
      <c r="AB36" s="324"/>
      <c r="AC36" s="324"/>
      <c r="AD36" s="324"/>
      <c r="AE36" s="324"/>
      <c r="AF36" s="324"/>
      <c r="AG36" s="324"/>
      <c r="AH36" s="324"/>
      <c r="AI36" s="324"/>
      <c r="AJ36" s="324"/>
      <c r="AK36" s="324"/>
      <c r="AL36" s="324"/>
      <c r="AM36" s="324"/>
    </row>
    <row r="37" spans="1:39">
      <c r="A37" s="449">
        <f t="shared" si="0"/>
        <v>2009</v>
      </c>
      <c r="B37" s="450" t="s">
        <v>1031</v>
      </c>
      <c r="C37" s="450">
        <v>7529282</v>
      </c>
      <c r="D37" s="450">
        <v>10228357</v>
      </c>
      <c r="E37" s="450">
        <v>11275613</v>
      </c>
      <c r="F37" s="450">
        <v>12382833</v>
      </c>
      <c r="G37" s="450">
        <v>12970516</v>
      </c>
      <c r="H37" s="450">
        <v>13034157</v>
      </c>
      <c r="I37" s="450">
        <v>12604047</v>
      </c>
      <c r="J37" s="450">
        <v>12638589</v>
      </c>
      <c r="K37" s="450">
        <v>12638589</v>
      </c>
      <c r="L37" s="450">
        <v>12638589</v>
      </c>
      <c r="M37" s="450">
        <v>12638589</v>
      </c>
      <c r="N37" s="450">
        <v>12638589.1</v>
      </c>
      <c r="O37" s="557">
        <v>12638589.1</v>
      </c>
      <c r="P37" s="450"/>
      <c r="Q37" s="450"/>
      <c r="R37" s="450"/>
      <c r="S37" s="558"/>
      <c r="U37" s="324"/>
      <c r="V37" s="324"/>
      <c r="W37" s="324"/>
      <c r="X37" s="324"/>
      <c r="Y37" s="324"/>
      <c r="Z37" s="324"/>
      <c r="AA37" s="324"/>
      <c r="AB37" s="324"/>
      <c r="AC37" s="324"/>
      <c r="AD37" s="324"/>
      <c r="AE37" s="324"/>
      <c r="AF37" s="324"/>
      <c r="AG37" s="324"/>
      <c r="AH37" s="324"/>
      <c r="AI37" s="324"/>
      <c r="AJ37" s="324"/>
      <c r="AK37" s="324"/>
      <c r="AL37" s="324"/>
      <c r="AM37" s="324"/>
    </row>
    <row r="38" spans="1:39">
      <c r="A38" s="449">
        <f t="shared" si="0"/>
        <v>2010</v>
      </c>
      <c r="B38" s="450">
        <v>4595533</v>
      </c>
      <c r="C38" s="450">
        <v>8785820</v>
      </c>
      <c r="D38" s="450">
        <v>15322662</v>
      </c>
      <c r="E38" s="450">
        <v>15528263</v>
      </c>
      <c r="F38" s="450">
        <v>16992072</v>
      </c>
      <c r="G38" s="450">
        <v>16760401</v>
      </c>
      <c r="H38" s="450">
        <v>16120785</v>
      </c>
      <c r="I38" s="450">
        <v>16484496</v>
      </c>
      <c r="J38" s="450">
        <v>16674603</v>
      </c>
      <c r="K38" s="450">
        <v>16674603</v>
      </c>
      <c r="L38" s="450">
        <v>16674603</v>
      </c>
      <c r="M38" s="450">
        <v>16674602.52</v>
      </c>
      <c r="N38" s="557">
        <v>16674602.52</v>
      </c>
      <c r="O38" s="450"/>
      <c r="P38" s="450"/>
      <c r="Q38" s="450"/>
      <c r="R38" s="450"/>
      <c r="S38" s="558"/>
      <c r="U38" s="324"/>
      <c r="V38" s="324"/>
      <c r="W38" s="324"/>
      <c r="X38" s="324"/>
      <c r="Y38" s="324"/>
      <c r="Z38" s="324"/>
      <c r="AA38" s="324"/>
      <c r="AB38" s="324"/>
      <c r="AC38" s="324"/>
      <c r="AD38" s="324"/>
      <c r="AE38" s="324"/>
      <c r="AF38" s="324"/>
      <c r="AG38" s="324"/>
      <c r="AH38" s="324"/>
      <c r="AI38" s="324"/>
      <c r="AJ38" s="324"/>
      <c r="AK38" s="324"/>
      <c r="AL38" s="324"/>
      <c r="AM38" s="324"/>
    </row>
    <row r="39" spans="1:39">
      <c r="A39" s="449">
        <f t="shared" si="0"/>
        <v>2011</v>
      </c>
      <c r="B39" s="450">
        <v>2120963</v>
      </c>
      <c r="C39" s="450">
        <v>5570499</v>
      </c>
      <c r="D39" s="450">
        <v>7902092</v>
      </c>
      <c r="E39" s="450">
        <v>7969720</v>
      </c>
      <c r="F39" s="450">
        <v>9511531</v>
      </c>
      <c r="G39" s="450">
        <v>9542949</v>
      </c>
      <c r="H39" s="450">
        <v>9974950</v>
      </c>
      <c r="I39" s="450">
        <v>9974950</v>
      </c>
      <c r="J39" s="450">
        <v>9981531</v>
      </c>
      <c r="K39" s="450">
        <v>9981531</v>
      </c>
      <c r="L39" s="450">
        <v>9667891.1300000008</v>
      </c>
      <c r="M39" s="557">
        <v>9667891.1300000008</v>
      </c>
      <c r="N39" s="450"/>
      <c r="O39" s="450"/>
      <c r="P39" s="450"/>
      <c r="Q39" s="450"/>
      <c r="R39" s="450"/>
      <c r="S39" s="450"/>
      <c r="T39" s="450"/>
      <c r="U39" s="324"/>
      <c r="V39" s="324"/>
      <c r="W39" s="324"/>
      <c r="X39" s="324"/>
      <c r="Y39" s="324"/>
      <c r="Z39" s="324"/>
      <c r="AA39" s="324"/>
      <c r="AB39" s="324"/>
      <c r="AC39" s="324"/>
      <c r="AD39" s="324"/>
      <c r="AE39" s="324"/>
      <c r="AF39" s="324"/>
      <c r="AG39" s="324"/>
      <c r="AH39" s="324"/>
      <c r="AI39" s="324"/>
      <c r="AJ39" s="324"/>
      <c r="AK39" s="324"/>
      <c r="AL39" s="324"/>
      <c r="AM39" s="324"/>
    </row>
    <row r="40" spans="1:39">
      <c r="A40" s="449">
        <f t="shared" si="0"/>
        <v>2012</v>
      </c>
      <c r="B40" s="450">
        <v>3136785</v>
      </c>
      <c r="C40" s="450">
        <v>4465776</v>
      </c>
      <c r="D40" s="450">
        <v>11016631</v>
      </c>
      <c r="E40" s="450">
        <v>12382812</v>
      </c>
      <c r="F40" s="450">
        <v>13046954</v>
      </c>
      <c r="G40" s="450">
        <v>12687877</v>
      </c>
      <c r="H40" s="450">
        <v>12681813</v>
      </c>
      <c r="I40" s="450">
        <v>13038606</v>
      </c>
      <c r="J40" s="450">
        <v>13131856</v>
      </c>
      <c r="K40" s="450">
        <v>14362371.359999999</v>
      </c>
      <c r="L40" s="557">
        <v>14379171.359999999</v>
      </c>
      <c r="M40" s="450"/>
      <c r="N40" s="450"/>
      <c r="O40" s="450"/>
      <c r="P40" s="450"/>
      <c r="Q40" s="450"/>
      <c r="R40" s="450"/>
      <c r="S40" s="450"/>
      <c r="T40" s="450"/>
      <c r="U40" s="324"/>
      <c r="V40" s="324"/>
      <c r="W40" s="324"/>
      <c r="X40" s="324"/>
      <c r="Y40" s="324"/>
      <c r="Z40" s="324"/>
      <c r="AA40" s="324"/>
      <c r="AB40" s="324"/>
      <c r="AC40" s="324"/>
      <c r="AD40" s="324"/>
      <c r="AE40" s="324"/>
      <c r="AF40" s="324"/>
      <c r="AG40" s="324"/>
      <c r="AH40" s="324"/>
      <c r="AI40" s="324"/>
      <c r="AJ40" s="324"/>
      <c r="AK40" s="324"/>
      <c r="AL40" s="324"/>
      <c r="AM40" s="324"/>
    </row>
    <row r="41" spans="1:39">
      <c r="A41" s="449">
        <f t="shared" si="0"/>
        <v>2013</v>
      </c>
      <c r="B41" s="450">
        <v>2651596</v>
      </c>
      <c r="C41" s="450">
        <v>4702868</v>
      </c>
      <c r="D41" s="450">
        <v>11949421</v>
      </c>
      <c r="E41" s="450">
        <v>12966326</v>
      </c>
      <c r="F41" s="450">
        <v>12624234</v>
      </c>
      <c r="G41" s="450">
        <v>13022679</v>
      </c>
      <c r="H41" s="450">
        <v>13572075</v>
      </c>
      <c r="I41" s="450">
        <v>13710977</v>
      </c>
      <c r="J41" s="450">
        <v>13456008.529999999</v>
      </c>
      <c r="K41" s="557">
        <v>13456008.529999999</v>
      </c>
      <c r="L41" s="450"/>
      <c r="M41" s="450"/>
      <c r="N41" s="450"/>
      <c r="O41" s="450"/>
      <c r="P41" s="450"/>
      <c r="Q41" s="450"/>
      <c r="R41" s="450"/>
      <c r="S41" s="450"/>
      <c r="T41" s="450"/>
      <c r="U41" s="324"/>
      <c r="V41" s="324"/>
      <c r="W41" s="324"/>
      <c r="X41" s="324"/>
      <c r="Y41" s="324"/>
      <c r="Z41" s="324"/>
      <c r="AA41" s="324"/>
      <c r="AB41" s="324"/>
      <c r="AC41" s="324"/>
      <c r="AD41" s="324"/>
      <c r="AE41" s="324"/>
      <c r="AF41" s="324"/>
      <c r="AG41" s="324"/>
      <c r="AH41" s="324"/>
      <c r="AI41" s="324"/>
      <c r="AJ41" s="324"/>
      <c r="AK41" s="324"/>
      <c r="AL41" s="324"/>
      <c r="AM41" s="324"/>
    </row>
    <row r="42" spans="1:39">
      <c r="A42" s="449">
        <f t="shared" si="0"/>
        <v>2014</v>
      </c>
      <c r="B42" s="450">
        <v>1114655</v>
      </c>
      <c r="C42" s="450">
        <v>3893406</v>
      </c>
      <c r="D42" s="450">
        <v>7057619</v>
      </c>
      <c r="E42" s="450">
        <v>9391787</v>
      </c>
      <c r="F42" s="450">
        <v>11127967</v>
      </c>
      <c r="G42" s="450">
        <v>13135767</v>
      </c>
      <c r="H42" s="450">
        <v>12699871</v>
      </c>
      <c r="I42" s="450">
        <v>12685883.6</v>
      </c>
      <c r="J42" s="557">
        <v>12685883.6</v>
      </c>
      <c r="K42" s="450"/>
      <c r="L42" s="450"/>
      <c r="M42" s="450"/>
      <c r="N42" s="450"/>
      <c r="O42" s="450"/>
      <c r="P42" s="450"/>
      <c r="Q42" s="450"/>
      <c r="R42" s="450"/>
      <c r="S42" s="450"/>
      <c r="T42" s="450"/>
      <c r="U42" s="324"/>
      <c r="V42" s="324"/>
      <c r="W42" s="324"/>
      <c r="X42" s="324"/>
      <c r="Y42" s="324"/>
      <c r="Z42" s="324"/>
      <c r="AA42" s="324"/>
      <c r="AB42" s="324"/>
      <c r="AC42" s="324"/>
      <c r="AD42" s="324"/>
      <c r="AE42" s="324"/>
      <c r="AF42" s="324"/>
      <c r="AG42" s="324"/>
      <c r="AH42" s="324"/>
      <c r="AI42" s="324"/>
      <c r="AJ42" s="324"/>
      <c r="AK42" s="324"/>
      <c r="AL42" s="324"/>
      <c r="AM42" s="324"/>
    </row>
    <row r="43" spans="1:39">
      <c r="A43" s="449">
        <f t="shared" si="0"/>
        <v>2015</v>
      </c>
      <c r="B43" s="450">
        <v>2631221</v>
      </c>
      <c r="C43" s="450">
        <v>6098675</v>
      </c>
      <c r="D43" s="450">
        <v>11024217</v>
      </c>
      <c r="E43" s="450">
        <v>12566792</v>
      </c>
      <c r="F43" s="450">
        <v>13259873</v>
      </c>
      <c r="G43" s="450">
        <v>13728234</v>
      </c>
      <c r="H43" s="450">
        <v>13714959.25</v>
      </c>
      <c r="I43" s="557">
        <v>13724959.25</v>
      </c>
      <c r="J43" s="450"/>
      <c r="K43" s="450"/>
      <c r="L43" s="450"/>
      <c r="M43" s="450"/>
      <c r="N43" s="450"/>
      <c r="O43" s="450"/>
      <c r="P43" s="450"/>
      <c r="Q43" s="450"/>
      <c r="R43" s="450"/>
      <c r="S43" s="450"/>
      <c r="T43" s="450"/>
      <c r="U43" s="324"/>
      <c r="V43" s="324"/>
      <c r="W43" s="324"/>
      <c r="X43" s="324"/>
      <c r="Y43" s="324"/>
      <c r="Z43" s="324"/>
      <c r="AA43" s="324"/>
      <c r="AB43" s="324"/>
      <c r="AC43" s="324"/>
      <c r="AD43" s="324"/>
      <c r="AE43" s="324"/>
      <c r="AF43" s="324"/>
      <c r="AG43" s="324"/>
      <c r="AH43" s="324"/>
      <c r="AI43" s="324"/>
      <c r="AJ43" s="324"/>
      <c r="AK43" s="324"/>
      <c r="AL43" s="324"/>
      <c r="AM43" s="324"/>
    </row>
    <row r="44" spans="1:39">
      <c r="A44" s="449">
        <f t="shared" si="0"/>
        <v>2016</v>
      </c>
      <c r="B44" s="450">
        <v>2001762</v>
      </c>
      <c r="C44" s="450">
        <v>4725230</v>
      </c>
      <c r="D44" s="450">
        <v>7403027</v>
      </c>
      <c r="E44" s="450">
        <v>9353857</v>
      </c>
      <c r="F44" s="450">
        <v>11009449</v>
      </c>
      <c r="G44" s="450">
        <v>11354234.939999999</v>
      </c>
      <c r="H44" s="557">
        <v>10867710.6</v>
      </c>
      <c r="I44" s="450"/>
      <c r="J44" s="450"/>
      <c r="K44" s="450"/>
      <c r="L44" s="450"/>
      <c r="M44" s="450"/>
      <c r="N44" s="450"/>
      <c r="O44" s="450"/>
      <c r="P44" s="450"/>
      <c r="Q44" s="450"/>
      <c r="R44" s="450"/>
      <c r="S44" s="450"/>
      <c r="T44" s="450"/>
      <c r="U44" s="324"/>
      <c r="V44" s="324"/>
      <c r="W44" s="324"/>
      <c r="X44" s="324"/>
      <c r="Y44" s="324"/>
      <c r="Z44" s="324"/>
      <c r="AA44" s="324"/>
      <c r="AB44" s="324"/>
      <c r="AC44" s="324"/>
      <c r="AD44" s="324"/>
      <c r="AE44" s="324"/>
      <c r="AF44" s="324"/>
      <c r="AG44" s="324"/>
      <c r="AH44" s="324"/>
      <c r="AI44" s="324"/>
      <c r="AJ44" s="324"/>
      <c r="AK44" s="324"/>
      <c r="AL44" s="324"/>
      <c r="AM44" s="324"/>
    </row>
    <row r="45" spans="1:39">
      <c r="A45" s="449">
        <f t="shared" si="0"/>
        <v>2017</v>
      </c>
      <c r="B45" s="450">
        <v>1065917</v>
      </c>
      <c r="C45" s="450">
        <v>3339421</v>
      </c>
      <c r="D45" s="450">
        <v>6054126</v>
      </c>
      <c r="E45" s="450">
        <v>6217447</v>
      </c>
      <c r="F45" s="450">
        <v>7057782.0099999998</v>
      </c>
      <c r="G45" s="557">
        <v>6990083.1399999997</v>
      </c>
      <c r="H45" s="450"/>
      <c r="I45" s="450"/>
      <c r="J45" s="450"/>
      <c r="K45" s="450"/>
      <c r="L45" s="450"/>
      <c r="M45" s="450"/>
      <c r="N45" s="450"/>
      <c r="O45" s="450"/>
      <c r="P45" s="450"/>
      <c r="Q45" s="450"/>
      <c r="R45" s="450"/>
      <c r="S45" s="450"/>
      <c r="T45" s="450"/>
      <c r="U45" s="324"/>
      <c r="V45" s="324"/>
      <c r="W45" s="324"/>
      <c r="X45" s="324"/>
      <c r="Y45" s="324"/>
      <c r="Z45" s="324"/>
      <c r="AA45" s="324"/>
      <c r="AB45" s="324"/>
      <c r="AC45" s="324"/>
      <c r="AD45" s="324"/>
      <c r="AE45" s="324"/>
      <c r="AF45" s="324"/>
      <c r="AG45" s="324"/>
      <c r="AH45" s="324"/>
      <c r="AI45" s="324"/>
      <c r="AJ45" s="324"/>
      <c r="AK45" s="324"/>
      <c r="AL45" s="324"/>
      <c r="AM45" s="324"/>
    </row>
    <row r="46" spans="1:39">
      <c r="A46" s="449">
        <f t="shared" si="0"/>
        <v>2018</v>
      </c>
      <c r="B46" s="450">
        <v>1963199</v>
      </c>
      <c r="C46" s="450">
        <v>4036510</v>
      </c>
      <c r="D46" s="450">
        <v>6299116</v>
      </c>
      <c r="E46" s="450">
        <v>8138551.2800000003</v>
      </c>
      <c r="F46" s="557">
        <v>10323534.949999999</v>
      </c>
      <c r="G46" s="450"/>
      <c r="H46" s="450"/>
      <c r="I46" s="450"/>
      <c r="J46" s="450"/>
      <c r="K46" s="450"/>
      <c r="L46" s="450"/>
      <c r="M46" s="450"/>
      <c r="N46" s="450"/>
      <c r="O46" s="450"/>
      <c r="P46" s="450"/>
      <c r="Q46" s="450"/>
      <c r="R46" s="450"/>
      <c r="S46" s="450"/>
      <c r="T46" s="450"/>
      <c r="U46" s="324"/>
      <c r="V46" s="324"/>
      <c r="W46" s="324"/>
      <c r="X46" s="324"/>
      <c r="Y46" s="324"/>
      <c r="Z46" s="324"/>
      <c r="AA46" s="324"/>
      <c r="AB46" s="324"/>
      <c r="AC46" s="324"/>
      <c r="AD46" s="324"/>
      <c r="AE46" s="324"/>
      <c r="AF46" s="324"/>
      <c r="AG46" s="324"/>
      <c r="AH46" s="324"/>
      <c r="AI46" s="324"/>
      <c r="AJ46" s="324"/>
      <c r="AK46" s="324"/>
      <c r="AL46" s="324"/>
      <c r="AM46" s="324"/>
    </row>
    <row r="47" spans="1:39">
      <c r="A47" s="449">
        <f t="shared" si="0"/>
        <v>2019</v>
      </c>
      <c r="B47" s="450">
        <v>1867625</v>
      </c>
      <c r="C47" s="450">
        <v>4499491</v>
      </c>
      <c r="D47" s="450">
        <v>8230579.4199999999</v>
      </c>
      <c r="E47" s="557">
        <v>11164276.460000001</v>
      </c>
      <c r="F47" s="450"/>
      <c r="G47" s="450"/>
      <c r="H47" s="450"/>
      <c r="I47" s="450"/>
      <c r="J47" s="450"/>
      <c r="K47" s="450"/>
      <c r="L47" s="450"/>
      <c r="M47" s="450"/>
      <c r="N47" s="450"/>
      <c r="O47" s="450"/>
      <c r="P47" s="450"/>
      <c r="Q47" s="450"/>
      <c r="R47" s="450"/>
      <c r="S47" s="450"/>
      <c r="T47" s="450"/>
      <c r="U47" s="324"/>
      <c r="V47" s="324"/>
      <c r="W47" s="324"/>
      <c r="X47" s="324"/>
      <c r="Y47" s="324"/>
      <c r="Z47" s="324"/>
      <c r="AA47" s="324"/>
      <c r="AB47" s="324"/>
      <c r="AC47" s="324"/>
      <c r="AD47" s="324"/>
      <c r="AE47" s="324"/>
      <c r="AF47" s="324"/>
      <c r="AG47" s="324"/>
      <c r="AH47" s="324"/>
      <c r="AI47" s="324"/>
      <c r="AJ47" s="324"/>
      <c r="AK47" s="324"/>
      <c r="AL47" s="324"/>
      <c r="AM47" s="324"/>
    </row>
    <row r="48" spans="1:39">
      <c r="A48" s="449">
        <f t="shared" si="0"/>
        <v>2020</v>
      </c>
      <c r="B48" s="451">
        <v>1352778</v>
      </c>
      <c r="C48" s="450">
        <v>2764575.5</v>
      </c>
      <c r="D48" s="557">
        <v>7237598.46</v>
      </c>
      <c r="E48" s="451"/>
      <c r="F48" s="451"/>
      <c r="G48" s="451"/>
      <c r="H48" s="451"/>
      <c r="I48" s="451"/>
      <c r="J48" s="451"/>
      <c r="K48" s="451"/>
      <c r="L48" s="451"/>
      <c r="M48" s="451"/>
      <c r="N48" s="451"/>
      <c r="O48" s="451"/>
      <c r="P48" s="451"/>
      <c r="Q48" s="451"/>
      <c r="R48" s="451"/>
      <c r="S48" s="451"/>
      <c r="T48" s="451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/>
      <c r="AL48" s="324"/>
      <c r="AM48" s="324"/>
    </row>
    <row r="49" spans="1:39">
      <c r="A49" s="449">
        <f t="shared" si="0"/>
        <v>2021</v>
      </c>
      <c r="B49" s="450">
        <v>1090843</v>
      </c>
      <c r="C49" s="557">
        <v>2202795.4500000002</v>
      </c>
      <c r="D49" s="451"/>
      <c r="E49" s="451"/>
      <c r="F49" s="451"/>
      <c r="G49" s="451"/>
      <c r="H49" s="451"/>
      <c r="I49" s="451"/>
      <c r="J49" s="451"/>
      <c r="K49" s="451"/>
      <c r="L49" s="451"/>
      <c r="M49" s="451"/>
      <c r="N49" s="451"/>
      <c r="O49" s="451"/>
      <c r="P49" s="451"/>
      <c r="Q49" s="451"/>
      <c r="R49" s="451"/>
      <c r="S49" s="451"/>
      <c r="T49" s="451"/>
      <c r="U49" s="324"/>
      <c r="V49" s="324"/>
      <c r="W49" s="324"/>
      <c r="X49" s="324"/>
      <c r="Y49" s="324"/>
      <c r="Z49" s="324"/>
      <c r="AA49" s="324"/>
      <c r="AB49" s="324"/>
      <c r="AC49" s="324"/>
      <c r="AD49" s="324"/>
      <c r="AE49" s="324"/>
      <c r="AF49" s="324"/>
      <c r="AG49" s="324"/>
      <c r="AH49" s="324"/>
      <c r="AI49" s="324"/>
      <c r="AJ49" s="324"/>
      <c r="AK49" s="324"/>
      <c r="AL49" s="324"/>
      <c r="AM49" s="324"/>
    </row>
    <row r="50" spans="1:39">
      <c r="A50" s="449">
        <f t="shared" si="0"/>
        <v>2022</v>
      </c>
      <c r="B50" s="557">
        <v>2117063.09</v>
      </c>
      <c r="U50" s="324"/>
      <c r="V50" s="324"/>
      <c r="W50" s="324"/>
      <c r="X50" s="324"/>
      <c r="Y50" s="324"/>
      <c r="Z50" s="324"/>
      <c r="AA50" s="324"/>
      <c r="AB50" s="324"/>
      <c r="AC50" s="324"/>
      <c r="AD50" s="324"/>
      <c r="AE50" s="324"/>
      <c r="AF50" s="324"/>
      <c r="AG50" s="324"/>
      <c r="AH50" s="324"/>
      <c r="AI50" s="324"/>
      <c r="AJ50" s="324"/>
      <c r="AK50" s="324"/>
      <c r="AL50" s="324"/>
      <c r="AM50" s="324"/>
    </row>
    <row r="51" spans="1:39">
      <c r="B51" s="451"/>
      <c r="C51" s="451"/>
      <c r="D51" s="451"/>
      <c r="E51" s="451"/>
      <c r="F51" s="451"/>
      <c r="G51" s="451"/>
      <c r="H51" s="451"/>
      <c r="I51" s="451"/>
      <c r="J51" s="451"/>
      <c r="K51" s="451"/>
      <c r="L51" s="451"/>
      <c r="M51" s="451"/>
      <c r="N51" s="451"/>
      <c r="O51" s="451"/>
      <c r="P51" s="451"/>
      <c r="Q51" s="451"/>
      <c r="R51" s="451"/>
      <c r="S51" s="451"/>
      <c r="T51" s="451"/>
      <c r="U51" s="319"/>
      <c r="V51" s="319"/>
      <c r="W51" s="319"/>
      <c r="X51" s="319"/>
      <c r="Y51" s="319"/>
      <c r="Z51" s="319"/>
      <c r="AA51" s="319"/>
      <c r="AB51" s="319"/>
      <c r="AC51" s="319"/>
      <c r="AD51" s="319"/>
      <c r="AE51" s="319"/>
      <c r="AF51" s="319"/>
      <c r="AG51" s="319"/>
      <c r="AH51" s="319"/>
      <c r="AI51" s="319"/>
      <c r="AJ51" s="319"/>
      <c r="AK51" s="319"/>
      <c r="AL51" s="319"/>
      <c r="AM51" s="319"/>
    </row>
    <row r="52" spans="1:39" ht="16">
      <c r="A52" s="446"/>
      <c r="B52" s="452"/>
      <c r="C52" s="452"/>
      <c r="D52" s="452"/>
      <c r="E52" s="452"/>
      <c r="F52" s="452"/>
      <c r="G52" s="452"/>
      <c r="H52" s="452"/>
      <c r="I52" s="452"/>
      <c r="J52" s="452"/>
      <c r="K52" s="452"/>
      <c r="L52" s="452"/>
      <c r="M52" s="452"/>
      <c r="N52" s="452"/>
      <c r="O52" s="452"/>
      <c r="P52" s="452"/>
      <c r="Q52" s="452"/>
      <c r="R52" s="452"/>
      <c r="S52" s="452"/>
      <c r="T52" s="452"/>
      <c r="U52" s="320"/>
      <c r="V52" s="320"/>
      <c r="W52" s="320"/>
      <c r="X52" s="320"/>
      <c r="Y52" s="320"/>
      <c r="Z52" s="320"/>
      <c r="AA52" s="320"/>
      <c r="AB52" s="320"/>
      <c r="AC52" s="320"/>
      <c r="AD52" s="320"/>
      <c r="AE52" s="320"/>
      <c r="AF52" s="320"/>
      <c r="AG52" s="320"/>
      <c r="AH52" s="320"/>
      <c r="AI52" s="320"/>
      <c r="AJ52" s="320"/>
      <c r="AK52" s="320"/>
      <c r="AL52" s="320"/>
      <c r="AM52" s="320"/>
    </row>
    <row r="53" spans="1:39">
      <c r="B53" s="446" t="s">
        <v>1032</v>
      </c>
    </row>
    <row r="54" spans="1:39" ht="16">
      <c r="A54" s="447" t="s">
        <v>170</v>
      </c>
      <c r="B54" s="453" t="s">
        <v>1033</v>
      </c>
      <c r="C54" s="453" t="s">
        <v>1034</v>
      </c>
      <c r="D54" s="453" t="s">
        <v>1035</v>
      </c>
      <c r="E54" s="453" t="s">
        <v>1036</v>
      </c>
      <c r="F54" s="453" t="s">
        <v>1037</v>
      </c>
      <c r="G54" s="453" t="s">
        <v>1038</v>
      </c>
      <c r="H54" s="453" t="s">
        <v>1039</v>
      </c>
      <c r="I54" s="453" t="s">
        <v>1040</v>
      </c>
      <c r="J54" s="453" t="s">
        <v>1041</v>
      </c>
      <c r="K54" s="453" t="s">
        <v>1042</v>
      </c>
      <c r="L54" s="453" t="s">
        <v>1043</v>
      </c>
      <c r="M54" s="453" t="s">
        <v>1044</v>
      </c>
      <c r="N54" s="453" t="s">
        <v>1045</v>
      </c>
      <c r="O54" s="453" t="s">
        <v>1046</v>
      </c>
      <c r="P54" s="453" t="s">
        <v>1047</v>
      </c>
      <c r="Q54" s="453" t="s">
        <v>1048</v>
      </c>
      <c r="R54" s="453" t="s">
        <v>1049</v>
      </c>
      <c r="S54" s="453" t="s">
        <v>1050</v>
      </c>
      <c r="T54" s="453" t="s">
        <v>1051</v>
      </c>
      <c r="U54" s="330"/>
      <c r="V54" s="330"/>
      <c r="W54" s="330"/>
      <c r="X54" s="330"/>
      <c r="Y54" s="330"/>
      <c r="Z54" s="330"/>
      <c r="AA54" s="330"/>
      <c r="AB54" s="330"/>
      <c r="AC54" s="330"/>
      <c r="AD54" s="330"/>
      <c r="AE54" s="330"/>
      <c r="AF54" s="330"/>
      <c r="AG54" s="330"/>
      <c r="AH54" s="330"/>
      <c r="AI54" s="330"/>
      <c r="AJ54" s="330"/>
      <c r="AK54" s="330"/>
      <c r="AL54" s="330"/>
      <c r="AM54" s="330"/>
    </row>
    <row r="55" spans="1:39">
      <c r="A55" s="449"/>
      <c r="B55" s="449"/>
      <c r="C55" s="449"/>
      <c r="D55" s="449"/>
      <c r="E55" s="449"/>
      <c r="F55" s="449"/>
      <c r="G55" s="449"/>
      <c r="H55" s="449"/>
      <c r="I55" s="449"/>
      <c r="J55" s="449"/>
      <c r="K55" s="449"/>
      <c r="L55" s="449"/>
      <c r="M55" s="449"/>
      <c r="N55" s="449"/>
      <c r="O55" s="449"/>
      <c r="P55" s="449"/>
      <c r="Q55" s="449"/>
      <c r="R55" s="449"/>
      <c r="S55" s="449"/>
      <c r="T55" s="449"/>
      <c r="U55" s="318"/>
      <c r="V55" s="318"/>
      <c r="W55" s="318"/>
      <c r="X55" s="318"/>
      <c r="Y55" s="318"/>
      <c r="Z55" s="318"/>
      <c r="AA55" s="318"/>
      <c r="AB55" s="318"/>
      <c r="AC55" s="318"/>
      <c r="AD55" s="318"/>
      <c r="AE55" s="318"/>
      <c r="AF55" s="318"/>
      <c r="AG55" s="318"/>
      <c r="AH55" s="318"/>
      <c r="AI55" s="318"/>
      <c r="AJ55" s="318"/>
      <c r="AK55" s="318"/>
      <c r="AL55" s="318"/>
      <c r="AM55" s="318"/>
    </row>
    <row r="57" spans="1:39">
      <c r="A57" s="449">
        <f>A13</f>
        <v>1985</v>
      </c>
      <c r="B57" s="454">
        <v>0</v>
      </c>
      <c r="C57" s="454">
        <v>0</v>
      </c>
      <c r="D57" s="454">
        <v>0</v>
      </c>
      <c r="E57" s="454">
        <v>0</v>
      </c>
      <c r="F57" s="454">
        <v>0</v>
      </c>
      <c r="G57" s="454">
        <v>0</v>
      </c>
      <c r="H57" s="454">
        <v>0</v>
      </c>
      <c r="I57" s="454">
        <v>0</v>
      </c>
      <c r="J57" s="454">
        <v>0</v>
      </c>
      <c r="K57" s="454">
        <v>0</v>
      </c>
      <c r="L57" s="454">
        <v>0</v>
      </c>
      <c r="M57" s="454">
        <v>0</v>
      </c>
      <c r="N57" s="454">
        <v>0</v>
      </c>
      <c r="O57" s="454">
        <v>0</v>
      </c>
      <c r="P57" s="454">
        <v>0</v>
      </c>
      <c r="Q57" s="454">
        <v>0</v>
      </c>
      <c r="R57" s="454">
        <v>0</v>
      </c>
      <c r="S57" s="454">
        <v>0</v>
      </c>
      <c r="T57" s="454">
        <v>0</v>
      </c>
      <c r="U57" s="322"/>
      <c r="W57" s="322"/>
      <c r="X57" s="322" t="s">
        <v>1052</v>
      </c>
      <c r="Y57" s="322"/>
      <c r="Z57" s="322"/>
      <c r="AA57" s="322"/>
      <c r="AB57" s="322"/>
      <c r="AC57" s="322"/>
      <c r="AD57" s="322"/>
      <c r="AE57" s="322"/>
      <c r="AF57" s="322"/>
      <c r="AG57" s="322"/>
      <c r="AH57" s="322"/>
      <c r="AI57" s="322"/>
      <c r="AJ57" s="322"/>
      <c r="AK57" s="322"/>
      <c r="AL57" s="322"/>
      <c r="AM57" s="323"/>
    </row>
    <row r="58" spans="1:39">
      <c r="A58" s="449">
        <f>A57+1</f>
        <v>1986</v>
      </c>
      <c r="B58" s="454">
        <v>0</v>
      </c>
      <c r="C58" s="454">
        <v>0</v>
      </c>
      <c r="D58" s="454">
        <v>0</v>
      </c>
      <c r="E58" s="454">
        <v>0</v>
      </c>
      <c r="F58" s="454">
        <v>0</v>
      </c>
      <c r="G58" s="454">
        <v>0</v>
      </c>
      <c r="H58" s="454">
        <v>0</v>
      </c>
      <c r="I58" s="454">
        <v>0</v>
      </c>
      <c r="J58" s="454">
        <v>0</v>
      </c>
      <c r="K58" s="454">
        <v>0</v>
      </c>
      <c r="L58" s="454">
        <v>0</v>
      </c>
      <c r="M58" s="454">
        <v>0</v>
      </c>
      <c r="N58" s="454">
        <v>0</v>
      </c>
      <c r="O58" s="454">
        <v>0</v>
      </c>
      <c r="P58" s="454">
        <v>0</v>
      </c>
      <c r="Q58" s="454">
        <v>0</v>
      </c>
      <c r="R58" s="454">
        <v>0</v>
      </c>
      <c r="S58" s="454">
        <v>0</v>
      </c>
      <c r="T58" s="454">
        <v>0</v>
      </c>
      <c r="U58" s="322"/>
      <c r="V58" s="322"/>
      <c r="W58" s="322"/>
      <c r="X58" s="322"/>
      <c r="Y58" s="322"/>
      <c r="Z58" s="322"/>
      <c r="AA58" s="322"/>
      <c r="AB58" s="322"/>
      <c r="AC58" s="322"/>
      <c r="AD58" s="322"/>
      <c r="AE58" s="322"/>
      <c r="AF58" s="322"/>
      <c r="AG58" s="322"/>
      <c r="AH58" s="322"/>
      <c r="AI58" s="322"/>
      <c r="AJ58" s="322"/>
      <c r="AK58" s="322"/>
      <c r="AL58" s="322"/>
      <c r="AM58" s="323"/>
    </row>
    <row r="59" spans="1:39">
      <c r="A59" s="449">
        <f t="shared" ref="A59:A94" si="1">A58+1</f>
        <v>1987</v>
      </c>
      <c r="B59" s="454">
        <v>0</v>
      </c>
      <c r="C59" s="454">
        <v>0</v>
      </c>
      <c r="D59" s="454">
        <v>0</v>
      </c>
      <c r="E59" s="454">
        <v>0</v>
      </c>
      <c r="F59" s="454">
        <v>0</v>
      </c>
      <c r="G59" s="454">
        <v>0</v>
      </c>
      <c r="H59" s="454">
        <v>0</v>
      </c>
      <c r="I59" s="454">
        <v>0</v>
      </c>
      <c r="J59" s="454">
        <v>0</v>
      </c>
      <c r="K59" s="454">
        <v>0</v>
      </c>
      <c r="L59" s="454">
        <v>0</v>
      </c>
      <c r="M59" s="454">
        <v>0</v>
      </c>
      <c r="N59" s="454">
        <v>0</v>
      </c>
      <c r="O59" s="454">
        <v>0</v>
      </c>
      <c r="P59" s="454">
        <v>0</v>
      </c>
      <c r="Q59" s="454">
        <v>0</v>
      </c>
      <c r="R59" s="454">
        <v>0</v>
      </c>
      <c r="S59" s="454">
        <v>0</v>
      </c>
      <c r="T59" s="454">
        <v>0</v>
      </c>
      <c r="U59" s="322"/>
      <c r="V59" s="322"/>
      <c r="W59" s="322"/>
      <c r="X59" s="322"/>
      <c r="Y59" s="322"/>
      <c r="Z59" s="322"/>
      <c r="AA59" s="322"/>
      <c r="AB59" s="322"/>
      <c r="AC59" s="322"/>
      <c r="AD59" s="322"/>
      <c r="AE59" s="322"/>
      <c r="AF59" s="322"/>
      <c r="AG59" s="322"/>
      <c r="AH59" s="322"/>
      <c r="AI59" s="322"/>
      <c r="AJ59" s="322"/>
      <c r="AK59" s="322"/>
      <c r="AL59" s="322"/>
      <c r="AM59" s="323"/>
    </row>
    <row r="60" spans="1:39">
      <c r="A60" s="449">
        <f t="shared" si="1"/>
        <v>1988</v>
      </c>
      <c r="B60" s="454">
        <v>0</v>
      </c>
      <c r="C60" s="454">
        <v>0</v>
      </c>
      <c r="D60" s="454">
        <v>0</v>
      </c>
      <c r="E60" s="454">
        <v>0</v>
      </c>
      <c r="F60" s="454">
        <v>0</v>
      </c>
      <c r="G60" s="454">
        <v>0</v>
      </c>
      <c r="H60" s="454">
        <v>0</v>
      </c>
      <c r="I60" s="454">
        <v>0</v>
      </c>
      <c r="J60" s="454">
        <v>0</v>
      </c>
      <c r="K60" s="454">
        <v>0</v>
      </c>
      <c r="L60" s="454">
        <v>0</v>
      </c>
      <c r="M60" s="454">
        <v>0</v>
      </c>
      <c r="N60" s="454">
        <v>0</v>
      </c>
      <c r="O60" s="454">
        <v>0</v>
      </c>
      <c r="P60" s="454">
        <v>0</v>
      </c>
      <c r="Q60" s="454">
        <v>0</v>
      </c>
      <c r="R60" s="454">
        <v>0</v>
      </c>
      <c r="S60" s="454">
        <v>0</v>
      </c>
      <c r="T60" s="454">
        <v>0</v>
      </c>
      <c r="U60" s="322"/>
      <c r="V60" s="322"/>
      <c r="W60" s="322"/>
      <c r="X60" s="322"/>
      <c r="Y60" s="322"/>
      <c r="Z60" s="322"/>
      <c r="AA60" s="322"/>
      <c r="AB60" s="322"/>
      <c r="AC60" s="322"/>
      <c r="AD60" s="322"/>
      <c r="AE60" s="322"/>
      <c r="AF60" s="322"/>
      <c r="AG60" s="322"/>
      <c r="AH60" s="322"/>
      <c r="AI60" s="322"/>
      <c r="AJ60" s="322"/>
      <c r="AK60" s="322"/>
      <c r="AL60" s="322"/>
      <c r="AM60" s="323"/>
    </row>
    <row r="61" spans="1:39">
      <c r="A61" s="449">
        <f t="shared" si="1"/>
        <v>1989</v>
      </c>
      <c r="B61" s="454">
        <v>0</v>
      </c>
      <c r="C61" s="454">
        <v>0</v>
      </c>
      <c r="D61" s="454">
        <v>0</v>
      </c>
      <c r="E61" s="454">
        <v>0</v>
      </c>
      <c r="F61" s="454">
        <v>0</v>
      </c>
      <c r="G61" s="454">
        <v>0</v>
      </c>
      <c r="H61" s="454">
        <v>0</v>
      </c>
      <c r="I61" s="454">
        <v>0</v>
      </c>
      <c r="J61" s="454">
        <v>0</v>
      </c>
      <c r="K61" s="454">
        <v>0</v>
      </c>
      <c r="L61" s="454">
        <v>0</v>
      </c>
      <c r="M61" s="454">
        <v>0</v>
      </c>
      <c r="N61" s="454">
        <v>0</v>
      </c>
      <c r="O61" s="454">
        <v>0</v>
      </c>
      <c r="P61" s="454">
        <v>0</v>
      </c>
      <c r="Q61" s="454">
        <v>0</v>
      </c>
      <c r="R61" s="454">
        <v>0</v>
      </c>
      <c r="S61" s="454">
        <v>0</v>
      </c>
      <c r="T61" s="454">
        <v>0</v>
      </c>
      <c r="U61" s="322"/>
      <c r="V61" s="322"/>
      <c r="W61" s="322"/>
      <c r="X61" s="322"/>
      <c r="Y61" s="322"/>
      <c r="Z61" s="322"/>
      <c r="AA61" s="322"/>
      <c r="AB61" s="322"/>
      <c r="AC61" s="322"/>
      <c r="AD61" s="322"/>
      <c r="AE61" s="322"/>
      <c r="AF61" s="322"/>
      <c r="AG61" s="322"/>
      <c r="AH61" s="322"/>
      <c r="AI61" s="322"/>
      <c r="AJ61" s="322"/>
      <c r="AK61" s="322"/>
      <c r="AL61" s="322"/>
      <c r="AM61" s="323"/>
    </row>
    <row r="62" spans="1:39">
      <c r="A62" s="449">
        <f t="shared" si="1"/>
        <v>1990</v>
      </c>
      <c r="B62" s="454">
        <v>0</v>
      </c>
      <c r="C62" s="454">
        <v>0</v>
      </c>
      <c r="D62" s="454">
        <v>0</v>
      </c>
      <c r="E62" s="454">
        <v>0</v>
      </c>
      <c r="F62" s="454">
        <v>0</v>
      </c>
      <c r="G62" s="454">
        <v>0</v>
      </c>
      <c r="H62" s="454">
        <v>0</v>
      </c>
      <c r="I62" s="454">
        <v>0</v>
      </c>
      <c r="J62" s="454">
        <v>0</v>
      </c>
      <c r="K62" s="454">
        <v>0</v>
      </c>
      <c r="L62" s="454">
        <v>0</v>
      </c>
      <c r="M62" s="454">
        <v>0</v>
      </c>
      <c r="N62" s="454">
        <v>0</v>
      </c>
      <c r="O62" s="454">
        <v>0</v>
      </c>
      <c r="P62" s="454">
        <v>0</v>
      </c>
      <c r="Q62" s="454">
        <v>0</v>
      </c>
      <c r="R62" s="454">
        <v>0</v>
      </c>
      <c r="S62" s="454">
        <v>0</v>
      </c>
      <c r="T62" s="454">
        <v>0</v>
      </c>
      <c r="U62" s="322"/>
      <c r="V62" s="322"/>
      <c r="W62" s="322"/>
      <c r="X62" s="322"/>
      <c r="Y62" s="322"/>
      <c r="Z62" s="322"/>
      <c r="AA62" s="322"/>
      <c r="AB62" s="322"/>
      <c r="AC62" s="322"/>
      <c r="AD62" s="322"/>
      <c r="AE62" s="322"/>
      <c r="AF62" s="322"/>
      <c r="AG62" s="322"/>
      <c r="AH62" s="322"/>
      <c r="AI62" s="322"/>
      <c r="AJ62" s="322"/>
      <c r="AK62" s="322"/>
      <c r="AL62" s="322"/>
      <c r="AM62" s="323"/>
    </row>
    <row r="63" spans="1:39">
      <c r="A63" s="449">
        <f t="shared" si="1"/>
        <v>1991</v>
      </c>
      <c r="B63" s="454">
        <v>0</v>
      </c>
      <c r="C63" s="454">
        <v>0</v>
      </c>
      <c r="D63" s="454">
        <v>0</v>
      </c>
      <c r="E63" s="454">
        <v>0</v>
      </c>
      <c r="F63" s="454">
        <v>0</v>
      </c>
      <c r="G63" s="454">
        <v>0</v>
      </c>
      <c r="H63" s="454">
        <v>0</v>
      </c>
      <c r="I63" s="454">
        <v>0</v>
      </c>
      <c r="J63" s="454">
        <v>0</v>
      </c>
      <c r="K63" s="454">
        <v>0</v>
      </c>
      <c r="L63" s="454">
        <v>0</v>
      </c>
      <c r="M63" s="454">
        <v>0</v>
      </c>
      <c r="N63" s="454">
        <v>0</v>
      </c>
      <c r="O63" s="454">
        <v>0</v>
      </c>
      <c r="P63" s="454">
        <v>0</v>
      </c>
      <c r="Q63" s="454">
        <v>0</v>
      </c>
      <c r="R63" s="454">
        <v>0</v>
      </c>
      <c r="S63" s="454">
        <v>0</v>
      </c>
      <c r="T63" s="454">
        <v>0</v>
      </c>
      <c r="U63" s="322"/>
      <c r="V63" s="322"/>
      <c r="W63" s="322"/>
      <c r="X63" s="322"/>
      <c r="Y63" s="322"/>
      <c r="Z63" s="322"/>
      <c r="AA63" s="322"/>
      <c r="AB63" s="322"/>
      <c r="AC63" s="322"/>
      <c r="AD63" s="322"/>
      <c r="AE63" s="322"/>
      <c r="AF63" s="322"/>
      <c r="AG63" s="322"/>
      <c r="AH63" s="322"/>
      <c r="AI63" s="322"/>
      <c r="AJ63" s="322"/>
      <c r="AK63" s="322"/>
      <c r="AL63" s="322"/>
      <c r="AM63" s="323"/>
    </row>
    <row r="64" spans="1:39">
      <c r="A64" s="449">
        <f t="shared" si="1"/>
        <v>1992</v>
      </c>
      <c r="B64" s="454">
        <v>0</v>
      </c>
      <c r="C64" s="454">
        <v>0</v>
      </c>
      <c r="D64" s="454">
        <v>0</v>
      </c>
      <c r="E64" s="454">
        <v>0</v>
      </c>
      <c r="F64" s="454">
        <v>0</v>
      </c>
      <c r="G64" s="454">
        <v>0</v>
      </c>
      <c r="H64" s="454">
        <v>0</v>
      </c>
      <c r="I64" s="454">
        <v>0</v>
      </c>
      <c r="J64" s="454">
        <v>0</v>
      </c>
      <c r="K64" s="454">
        <v>0</v>
      </c>
      <c r="L64" s="454">
        <v>0</v>
      </c>
      <c r="M64" s="454">
        <v>0</v>
      </c>
      <c r="N64" s="454">
        <v>0</v>
      </c>
      <c r="O64" s="454">
        <v>0</v>
      </c>
      <c r="P64" s="454">
        <v>0</v>
      </c>
      <c r="Q64" s="454">
        <v>0</v>
      </c>
      <c r="R64" s="454">
        <v>0</v>
      </c>
      <c r="S64" s="454">
        <v>0</v>
      </c>
      <c r="T64" s="454">
        <v>0</v>
      </c>
      <c r="U64" s="322"/>
      <c r="V64" s="322"/>
      <c r="W64" s="322"/>
      <c r="X64" s="322"/>
      <c r="Y64" s="322"/>
      <c r="Z64" s="322"/>
      <c r="AA64" s="322"/>
      <c r="AB64" s="322"/>
      <c r="AC64" s="322"/>
      <c r="AD64" s="322"/>
      <c r="AE64" s="322"/>
      <c r="AF64" s="322"/>
      <c r="AG64" s="322"/>
      <c r="AH64" s="322"/>
      <c r="AI64" s="322"/>
      <c r="AJ64" s="322"/>
      <c r="AK64" s="322"/>
      <c r="AL64" s="322"/>
      <c r="AM64" s="323"/>
    </row>
    <row r="65" spans="1:39">
      <c r="A65" s="449">
        <f t="shared" si="1"/>
        <v>1993</v>
      </c>
      <c r="B65" s="454">
        <v>0</v>
      </c>
      <c r="C65" s="454">
        <v>0</v>
      </c>
      <c r="D65" s="454">
        <v>0</v>
      </c>
      <c r="E65" s="454">
        <v>0</v>
      </c>
      <c r="F65" s="454">
        <v>0</v>
      </c>
      <c r="G65" s="454">
        <v>0</v>
      </c>
      <c r="H65" s="454">
        <v>0</v>
      </c>
      <c r="I65" s="454">
        <v>0</v>
      </c>
      <c r="J65" s="454">
        <v>0</v>
      </c>
      <c r="K65" s="454">
        <v>0</v>
      </c>
      <c r="L65" s="454">
        <v>0</v>
      </c>
      <c r="M65" s="454">
        <v>0</v>
      </c>
      <c r="N65" s="454">
        <v>0</v>
      </c>
      <c r="O65" s="454">
        <v>0</v>
      </c>
      <c r="P65" s="454">
        <v>0</v>
      </c>
      <c r="Q65" s="454">
        <v>0</v>
      </c>
      <c r="R65" s="454">
        <v>0</v>
      </c>
      <c r="S65" s="454">
        <v>0</v>
      </c>
      <c r="T65" s="454">
        <v>0</v>
      </c>
      <c r="U65" s="322"/>
      <c r="V65" s="322"/>
      <c r="W65" s="322"/>
      <c r="X65" s="322"/>
      <c r="Y65" s="322"/>
      <c r="Z65" s="322"/>
      <c r="AA65" s="322"/>
      <c r="AB65" s="322"/>
      <c r="AC65" s="322"/>
      <c r="AD65" s="322"/>
      <c r="AE65" s="322"/>
      <c r="AF65" s="322"/>
      <c r="AG65" s="322"/>
      <c r="AH65" s="322"/>
      <c r="AI65" s="322"/>
      <c r="AJ65" s="322"/>
      <c r="AK65" s="322"/>
      <c r="AL65" s="322"/>
      <c r="AM65" s="323"/>
    </row>
    <row r="66" spans="1:39">
      <c r="A66" s="449">
        <f t="shared" si="1"/>
        <v>1994</v>
      </c>
      <c r="B66" s="454">
        <v>0</v>
      </c>
      <c r="C66" s="454">
        <v>0</v>
      </c>
      <c r="D66" s="454">
        <v>0</v>
      </c>
      <c r="E66" s="454">
        <v>0</v>
      </c>
      <c r="F66" s="454">
        <v>0</v>
      </c>
      <c r="G66" s="454">
        <v>0</v>
      </c>
      <c r="H66" s="454">
        <v>0</v>
      </c>
      <c r="I66" s="454">
        <v>0</v>
      </c>
      <c r="J66" s="454">
        <v>0</v>
      </c>
      <c r="K66" s="454">
        <v>0</v>
      </c>
      <c r="L66" s="454">
        <v>0</v>
      </c>
      <c r="M66" s="454">
        <v>0</v>
      </c>
      <c r="N66" s="454">
        <v>0</v>
      </c>
      <c r="O66" s="454">
        <v>0</v>
      </c>
      <c r="P66" s="454">
        <v>0</v>
      </c>
      <c r="Q66" s="454">
        <v>0</v>
      </c>
      <c r="R66" s="454">
        <v>0</v>
      </c>
      <c r="S66" s="454">
        <v>0</v>
      </c>
      <c r="T66" s="454">
        <v>1</v>
      </c>
      <c r="U66" s="322"/>
      <c r="V66" s="322"/>
      <c r="W66" s="322"/>
      <c r="X66" s="322"/>
      <c r="Y66" s="322"/>
      <c r="Z66" s="322"/>
      <c r="AA66" s="322"/>
      <c r="AB66" s="322"/>
      <c r="AC66" s="322"/>
      <c r="AD66" s="322"/>
      <c r="AE66" s="322"/>
      <c r="AF66" s="322"/>
      <c r="AG66" s="322"/>
      <c r="AH66" s="322"/>
      <c r="AI66" s="322"/>
      <c r="AJ66" s="322"/>
      <c r="AK66" s="322"/>
      <c r="AL66" s="322"/>
      <c r="AM66" s="323"/>
    </row>
    <row r="67" spans="1:39">
      <c r="A67" s="449">
        <f t="shared" si="1"/>
        <v>1995</v>
      </c>
      <c r="B67" s="454">
        <v>0</v>
      </c>
      <c r="C67" s="454">
        <v>0</v>
      </c>
      <c r="D67" s="454">
        <v>0</v>
      </c>
      <c r="E67" s="454">
        <v>0</v>
      </c>
      <c r="F67" s="454">
        <v>0</v>
      </c>
      <c r="G67" s="454">
        <v>0</v>
      </c>
      <c r="H67" s="454">
        <v>0</v>
      </c>
      <c r="I67" s="454">
        <v>0</v>
      </c>
      <c r="J67" s="454">
        <v>0</v>
      </c>
      <c r="K67" s="454">
        <v>0</v>
      </c>
      <c r="L67" s="454">
        <v>0</v>
      </c>
      <c r="M67" s="454">
        <v>0</v>
      </c>
      <c r="N67" s="454">
        <v>0</v>
      </c>
      <c r="O67" s="454">
        <v>0</v>
      </c>
      <c r="P67" s="454">
        <v>0</v>
      </c>
      <c r="Q67" s="454">
        <v>0</v>
      </c>
      <c r="R67" s="454">
        <v>0</v>
      </c>
      <c r="S67" s="454">
        <v>1</v>
      </c>
      <c r="T67" s="454">
        <v>1</v>
      </c>
      <c r="U67" s="322"/>
      <c r="V67" s="322"/>
      <c r="W67" s="322"/>
      <c r="X67" s="322"/>
      <c r="Y67" s="322"/>
      <c r="Z67" s="322"/>
      <c r="AA67" s="322"/>
      <c r="AB67" s="322"/>
      <c r="AC67" s="322"/>
      <c r="AD67" s="322"/>
      <c r="AE67" s="322"/>
      <c r="AF67" s="322"/>
      <c r="AG67" s="322"/>
      <c r="AH67" s="322"/>
      <c r="AI67" s="322"/>
      <c r="AJ67" s="322"/>
      <c r="AK67" s="322"/>
      <c r="AL67" s="322"/>
      <c r="AM67" s="323"/>
    </row>
    <row r="68" spans="1:39">
      <c r="A68" s="449">
        <f t="shared" si="1"/>
        <v>1996</v>
      </c>
      <c r="B68" s="454">
        <v>0</v>
      </c>
      <c r="C68" s="454">
        <v>0</v>
      </c>
      <c r="D68" s="454">
        <v>0</v>
      </c>
      <c r="E68" s="454">
        <v>0</v>
      </c>
      <c r="F68" s="454">
        <v>0</v>
      </c>
      <c r="G68" s="454">
        <v>0</v>
      </c>
      <c r="H68" s="454">
        <v>0</v>
      </c>
      <c r="I68" s="454">
        <v>0</v>
      </c>
      <c r="J68" s="454">
        <v>0</v>
      </c>
      <c r="K68" s="454">
        <v>0</v>
      </c>
      <c r="L68" s="454">
        <v>0</v>
      </c>
      <c r="M68" s="454">
        <v>0</v>
      </c>
      <c r="N68" s="454">
        <v>0</v>
      </c>
      <c r="O68" s="454">
        <v>0</v>
      </c>
      <c r="P68" s="454">
        <v>0</v>
      </c>
      <c r="Q68" s="454">
        <v>0</v>
      </c>
      <c r="R68" s="454">
        <f t="shared" ref="R68:R77" si="2">IF(R24=0,0,S24/R24)</f>
        <v>1</v>
      </c>
      <c r="S68" s="454">
        <v>1</v>
      </c>
      <c r="T68" s="454">
        <v>1</v>
      </c>
      <c r="U68" s="322"/>
      <c r="V68" s="322"/>
      <c r="W68" s="322"/>
      <c r="X68" s="322"/>
      <c r="Y68" s="322"/>
      <c r="Z68" s="322"/>
      <c r="AA68" s="322"/>
      <c r="AB68" s="322"/>
      <c r="AC68" s="322"/>
      <c r="AD68" s="322"/>
      <c r="AE68" s="322"/>
      <c r="AF68" s="322"/>
      <c r="AG68" s="322"/>
      <c r="AH68" s="322"/>
      <c r="AI68" s="322"/>
      <c r="AJ68" s="322"/>
      <c r="AK68" s="322"/>
      <c r="AL68" s="322"/>
      <c r="AM68" s="323"/>
    </row>
    <row r="69" spans="1:39">
      <c r="A69" s="449">
        <f t="shared" si="1"/>
        <v>1997</v>
      </c>
      <c r="B69" s="454">
        <v>0</v>
      </c>
      <c r="C69" s="454">
        <v>0</v>
      </c>
      <c r="D69" s="454">
        <v>0</v>
      </c>
      <c r="E69" s="454">
        <v>0</v>
      </c>
      <c r="F69" s="454">
        <v>0</v>
      </c>
      <c r="G69" s="454">
        <v>0</v>
      </c>
      <c r="H69" s="454">
        <v>0</v>
      </c>
      <c r="I69" s="454">
        <v>0</v>
      </c>
      <c r="J69" s="454">
        <v>0</v>
      </c>
      <c r="K69" s="454">
        <v>0</v>
      </c>
      <c r="L69" s="454">
        <v>0</v>
      </c>
      <c r="M69" s="454">
        <v>0</v>
      </c>
      <c r="N69" s="454">
        <v>0</v>
      </c>
      <c r="O69" s="454">
        <v>0</v>
      </c>
      <c r="P69" s="454">
        <v>0</v>
      </c>
      <c r="Q69" s="454">
        <f t="shared" ref="Q69:Q78" si="3">IF(Q25=0,0,R25/Q25)</f>
        <v>1</v>
      </c>
      <c r="R69" s="454">
        <f t="shared" si="2"/>
        <v>1</v>
      </c>
      <c r="S69" s="454">
        <v>1</v>
      </c>
      <c r="T69" s="454">
        <v>1</v>
      </c>
      <c r="U69" s="322"/>
      <c r="V69" s="322"/>
      <c r="W69" s="322"/>
      <c r="X69" s="322"/>
      <c r="Y69" s="322"/>
      <c r="Z69" s="322"/>
      <c r="AA69" s="322"/>
      <c r="AB69" s="322"/>
      <c r="AC69" s="322"/>
      <c r="AD69" s="322"/>
      <c r="AE69" s="322"/>
      <c r="AF69" s="322"/>
      <c r="AG69" s="322"/>
      <c r="AH69" s="322"/>
      <c r="AI69" s="322"/>
      <c r="AJ69" s="322"/>
      <c r="AK69" s="322"/>
      <c r="AL69" s="322"/>
      <c r="AM69" s="323"/>
    </row>
    <row r="70" spans="1:39">
      <c r="A70" s="449">
        <f t="shared" si="1"/>
        <v>1998</v>
      </c>
      <c r="B70" s="454">
        <v>0</v>
      </c>
      <c r="C70" s="454">
        <v>0</v>
      </c>
      <c r="D70" s="454">
        <v>0</v>
      </c>
      <c r="E70" s="454">
        <v>0</v>
      </c>
      <c r="F70" s="454">
        <v>0</v>
      </c>
      <c r="G70" s="454">
        <v>0</v>
      </c>
      <c r="H70" s="454">
        <v>0</v>
      </c>
      <c r="I70" s="454">
        <v>0</v>
      </c>
      <c r="J70" s="454">
        <v>0</v>
      </c>
      <c r="K70" s="454">
        <v>0</v>
      </c>
      <c r="L70" s="454">
        <v>0</v>
      </c>
      <c r="M70" s="454">
        <v>0</v>
      </c>
      <c r="N70" s="454">
        <v>0</v>
      </c>
      <c r="O70" s="454">
        <v>0</v>
      </c>
      <c r="P70" s="454">
        <f t="shared" ref="P70:P79" si="4">IF(P26=0,0,Q26/P26)</f>
        <v>1</v>
      </c>
      <c r="Q70" s="454">
        <f t="shared" si="3"/>
        <v>1</v>
      </c>
      <c r="R70" s="454">
        <f t="shared" si="2"/>
        <v>1</v>
      </c>
      <c r="S70" s="454">
        <v>1</v>
      </c>
      <c r="T70" s="454">
        <v>1</v>
      </c>
      <c r="U70" s="322"/>
      <c r="V70" s="322"/>
      <c r="W70" s="322"/>
      <c r="X70" s="322"/>
      <c r="Y70" s="322"/>
      <c r="Z70" s="322"/>
      <c r="AA70" s="322"/>
      <c r="AB70" s="322"/>
      <c r="AC70" s="322"/>
      <c r="AD70" s="322"/>
      <c r="AE70" s="322"/>
      <c r="AF70" s="322"/>
      <c r="AG70" s="322"/>
      <c r="AH70" s="322"/>
      <c r="AI70" s="322"/>
      <c r="AJ70" s="322"/>
      <c r="AK70" s="322"/>
      <c r="AL70" s="322"/>
      <c r="AM70" s="323"/>
    </row>
    <row r="71" spans="1:39">
      <c r="A71" s="449">
        <f t="shared" si="1"/>
        <v>1999</v>
      </c>
      <c r="B71" s="454">
        <v>0</v>
      </c>
      <c r="C71" s="454">
        <v>0</v>
      </c>
      <c r="D71" s="454">
        <v>0</v>
      </c>
      <c r="E71" s="454">
        <v>0</v>
      </c>
      <c r="F71" s="454">
        <v>0</v>
      </c>
      <c r="G71" s="454">
        <v>0</v>
      </c>
      <c r="H71" s="454">
        <v>0</v>
      </c>
      <c r="I71" s="454">
        <v>0</v>
      </c>
      <c r="J71" s="454">
        <v>0</v>
      </c>
      <c r="K71" s="454">
        <v>0</v>
      </c>
      <c r="L71" s="454">
        <v>0</v>
      </c>
      <c r="M71" s="454">
        <v>0</v>
      </c>
      <c r="N71" s="454">
        <v>0</v>
      </c>
      <c r="O71" s="454">
        <f t="shared" ref="O71:O80" si="5">IF(O27=0,0,P27/O27)</f>
        <v>1.0000431341079059</v>
      </c>
      <c r="P71" s="454">
        <f t="shared" si="4"/>
        <v>0.99973917659787037</v>
      </c>
      <c r="Q71" s="454">
        <f t="shared" si="3"/>
        <v>1</v>
      </c>
      <c r="R71" s="454">
        <f t="shared" si="2"/>
        <v>1</v>
      </c>
      <c r="S71" s="454">
        <v>1</v>
      </c>
      <c r="T71" s="454">
        <v>1</v>
      </c>
      <c r="U71" s="322"/>
      <c r="V71" s="322"/>
      <c r="W71" s="322"/>
      <c r="X71" s="322"/>
      <c r="Y71" s="322"/>
      <c r="Z71" s="322"/>
      <c r="AA71" s="322"/>
      <c r="AB71" s="322"/>
      <c r="AC71" s="322"/>
      <c r="AD71" s="322"/>
      <c r="AE71" s="322"/>
      <c r="AF71" s="322"/>
      <c r="AG71" s="322"/>
      <c r="AH71" s="322"/>
      <c r="AI71" s="322"/>
      <c r="AJ71" s="322"/>
      <c r="AK71" s="322"/>
      <c r="AL71" s="322"/>
      <c r="AM71" s="323"/>
    </row>
    <row r="72" spans="1:39">
      <c r="A72" s="449">
        <f t="shared" si="1"/>
        <v>2000</v>
      </c>
      <c r="B72" s="454">
        <v>0</v>
      </c>
      <c r="C72" s="454">
        <v>0</v>
      </c>
      <c r="D72" s="454">
        <v>0</v>
      </c>
      <c r="E72" s="454">
        <v>0</v>
      </c>
      <c r="F72" s="454">
        <v>0</v>
      </c>
      <c r="G72" s="454">
        <v>0</v>
      </c>
      <c r="H72" s="454">
        <v>0</v>
      </c>
      <c r="I72" s="454">
        <v>0</v>
      </c>
      <c r="J72" s="454">
        <v>0</v>
      </c>
      <c r="K72" s="454">
        <v>0</v>
      </c>
      <c r="L72" s="454">
        <v>0</v>
      </c>
      <c r="M72" s="454">
        <v>0</v>
      </c>
      <c r="N72" s="454">
        <f t="shared" ref="N72:N81" si="6">IF(N28=0,0,O28/N28)</f>
        <v>1</v>
      </c>
      <c r="O72" s="454">
        <f t="shared" si="5"/>
        <v>1</v>
      </c>
      <c r="P72" s="454">
        <f t="shared" si="4"/>
        <v>1</v>
      </c>
      <c r="Q72" s="454">
        <f t="shared" si="3"/>
        <v>1</v>
      </c>
      <c r="R72" s="454">
        <f t="shared" si="2"/>
        <v>1</v>
      </c>
      <c r="S72" s="454">
        <v>1</v>
      </c>
      <c r="T72" s="454">
        <v>1</v>
      </c>
      <c r="U72" s="322"/>
      <c r="V72" s="322"/>
      <c r="W72" s="322"/>
      <c r="X72" s="322"/>
      <c r="Y72" s="322"/>
      <c r="Z72" s="322"/>
      <c r="AA72" s="322"/>
      <c r="AB72" s="322"/>
      <c r="AC72" s="322"/>
      <c r="AD72" s="322"/>
      <c r="AE72" s="322"/>
      <c r="AF72" s="322"/>
      <c r="AG72" s="322"/>
      <c r="AH72" s="322"/>
      <c r="AI72" s="322"/>
      <c r="AJ72" s="322"/>
      <c r="AK72" s="322"/>
      <c r="AL72" s="322"/>
      <c r="AM72" s="323"/>
    </row>
    <row r="73" spans="1:39">
      <c r="A73" s="449">
        <f t="shared" si="1"/>
        <v>2001</v>
      </c>
      <c r="B73" s="454">
        <v>0</v>
      </c>
      <c r="C73" s="454">
        <v>0</v>
      </c>
      <c r="D73" s="454">
        <v>0</v>
      </c>
      <c r="E73" s="454">
        <v>0</v>
      </c>
      <c r="F73" s="454">
        <v>0</v>
      </c>
      <c r="G73" s="454">
        <v>0</v>
      </c>
      <c r="H73" s="454">
        <v>0</v>
      </c>
      <c r="I73" s="454">
        <v>0</v>
      </c>
      <c r="J73" s="454">
        <v>0</v>
      </c>
      <c r="K73" s="454">
        <v>0</v>
      </c>
      <c r="L73" s="454">
        <v>0</v>
      </c>
      <c r="M73" s="454">
        <f t="shared" ref="M73:M82" si="7">IF(M29=0,0,N29/M29)</f>
        <v>1</v>
      </c>
      <c r="N73" s="454">
        <f t="shared" si="6"/>
        <v>1</v>
      </c>
      <c r="O73" s="454">
        <f t="shared" si="5"/>
        <v>1</v>
      </c>
      <c r="P73" s="454">
        <f t="shared" si="4"/>
        <v>1</v>
      </c>
      <c r="Q73" s="454">
        <f t="shared" si="3"/>
        <v>1</v>
      </c>
      <c r="R73" s="454">
        <f t="shared" si="2"/>
        <v>1</v>
      </c>
      <c r="S73" s="454">
        <v>1</v>
      </c>
      <c r="T73" s="454">
        <v>1</v>
      </c>
      <c r="U73" s="322"/>
      <c r="V73" s="322"/>
      <c r="W73" s="322"/>
      <c r="X73" s="322"/>
      <c r="Y73" s="322"/>
      <c r="Z73" s="322"/>
      <c r="AA73" s="322"/>
      <c r="AB73" s="322"/>
      <c r="AC73" s="322"/>
      <c r="AD73" s="322"/>
      <c r="AE73" s="322"/>
      <c r="AF73" s="322"/>
      <c r="AG73" s="322"/>
      <c r="AH73" s="322"/>
      <c r="AI73" s="322"/>
      <c r="AJ73" s="322"/>
      <c r="AK73" s="322"/>
      <c r="AL73" s="322"/>
      <c r="AM73" s="323"/>
    </row>
    <row r="74" spans="1:39">
      <c r="A74" s="449">
        <f t="shared" si="1"/>
        <v>2002</v>
      </c>
      <c r="B74" s="454">
        <v>0</v>
      </c>
      <c r="C74" s="454">
        <v>0</v>
      </c>
      <c r="D74" s="454">
        <v>0</v>
      </c>
      <c r="E74" s="454">
        <v>0</v>
      </c>
      <c r="F74" s="454">
        <v>0</v>
      </c>
      <c r="G74" s="454">
        <v>0</v>
      </c>
      <c r="H74" s="454">
        <v>0</v>
      </c>
      <c r="I74" s="454">
        <v>0</v>
      </c>
      <c r="J74" s="454">
        <v>0</v>
      </c>
      <c r="K74" s="454">
        <v>0</v>
      </c>
      <c r="L74" s="454">
        <f t="shared" ref="L74:L83" si="8">IF(L30=0,0,M30/L30)</f>
        <v>1</v>
      </c>
      <c r="M74" s="454">
        <f t="shared" si="7"/>
        <v>1.0105839051831709</v>
      </c>
      <c r="N74" s="454">
        <f t="shared" si="6"/>
        <v>1.0011137662205507</v>
      </c>
      <c r="O74" s="454">
        <f t="shared" si="5"/>
        <v>1</v>
      </c>
      <c r="P74" s="454">
        <f t="shared" si="4"/>
        <v>0.98854170691693299</v>
      </c>
      <c r="Q74" s="454">
        <f t="shared" si="3"/>
        <v>1</v>
      </c>
      <c r="R74" s="454">
        <f t="shared" si="2"/>
        <v>1</v>
      </c>
      <c r="S74" s="454">
        <v>1</v>
      </c>
      <c r="T74" s="454">
        <v>1</v>
      </c>
      <c r="U74" s="322"/>
      <c r="V74" s="322"/>
      <c r="W74" s="322"/>
      <c r="X74" s="322"/>
      <c r="Y74" s="322"/>
      <c r="Z74" s="322"/>
      <c r="AA74" s="322"/>
      <c r="AB74" s="322"/>
      <c r="AC74" s="322"/>
      <c r="AD74" s="322"/>
      <c r="AE74" s="322"/>
      <c r="AF74" s="322"/>
      <c r="AG74" s="322"/>
      <c r="AH74" s="322"/>
      <c r="AI74" s="322"/>
      <c r="AJ74" s="322"/>
      <c r="AK74" s="322"/>
      <c r="AL74" s="322"/>
      <c r="AM74" s="323"/>
    </row>
    <row r="75" spans="1:39">
      <c r="A75" s="449">
        <f t="shared" si="1"/>
        <v>2003</v>
      </c>
      <c r="B75" s="454">
        <v>0</v>
      </c>
      <c r="C75" s="454">
        <v>0</v>
      </c>
      <c r="D75" s="454">
        <v>0</v>
      </c>
      <c r="E75" s="454">
        <v>0</v>
      </c>
      <c r="F75" s="454">
        <v>0</v>
      </c>
      <c r="G75" s="454">
        <v>0</v>
      </c>
      <c r="H75" s="454">
        <v>0</v>
      </c>
      <c r="I75" s="454">
        <v>0</v>
      </c>
      <c r="J75" s="454">
        <v>0</v>
      </c>
      <c r="K75" s="454">
        <f t="shared" ref="K75:K84" si="9">IF(K31=0,0,L31/K31)</f>
        <v>1</v>
      </c>
      <c r="L75" s="454">
        <f t="shared" si="8"/>
        <v>1</v>
      </c>
      <c r="M75" s="454">
        <f t="shared" si="7"/>
        <v>1</v>
      </c>
      <c r="N75" s="454">
        <f t="shared" si="6"/>
        <v>1</v>
      </c>
      <c r="O75" s="454">
        <f t="shared" si="5"/>
        <v>1</v>
      </c>
      <c r="P75" s="454">
        <f t="shared" si="4"/>
        <v>1</v>
      </c>
      <c r="Q75" s="454">
        <f t="shared" si="3"/>
        <v>1</v>
      </c>
      <c r="R75" s="454">
        <f t="shared" si="2"/>
        <v>1</v>
      </c>
      <c r="S75" s="454">
        <v>1</v>
      </c>
      <c r="T75" s="454">
        <v>1</v>
      </c>
      <c r="U75" s="322"/>
      <c r="V75" s="322"/>
      <c r="W75" s="322"/>
      <c r="X75" s="322"/>
      <c r="Y75" s="322"/>
      <c r="Z75" s="322"/>
      <c r="AA75" s="322"/>
      <c r="AB75" s="322"/>
      <c r="AC75" s="322"/>
      <c r="AD75" s="322"/>
      <c r="AE75" s="322"/>
      <c r="AF75" s="322"/>
      <c r="AG75" s="322"/>
      <c r="AH75" s="322"/>
      <c r="AI75" s="322"/>
      <c r="AJ75" s="322"/>
      <c r="AK75" s="322"/>
      <c r="AL75" s="322"/>
      <c r="AM75" s="323"/>
    </row>
    <row r="76" spans="1:39">
      <c r="A76" s="449">
        <f t="shared" si="1"/>
        <v>2004</v>
      </c>
      <c r="B76" s="454">
        <v>0</v>
      </c>
      <c r="C76" s="454">
        <v>0</v>
      </c>
      <c r="D76" s="454">
        <v>0</v>
      </c>
      <c r="E76" s="454">
        <v>0</v>
      </c>
      <c r="F76" s="454">
        <v>0</v>
      </c>
      <c r="G76" s="454">
        <v>0</v>
      </c>
      <c r="H76" s="454">
        <v>0</v>
      </c>
      <c r="I76" s="454">
        <v>0</v>
      </c>
      <c r="J76" s="454">
        <f t="shared" ref="J76:J85" si="10">IF(J32=0,0,K32/J32)</f>
        <v>0.9996735483693967</v>
      </c>
      <c r="K76" s="454">
        <f t="shared" si="9"/>
        <v>1.0031869012128605</v>
      </c>
      <c r="L76" s="454">
        <f t="shared" si="8"/>
        <v>1</v>
      </c>
      <c r="M76" s="454">
        <f t="shared" si="7"/>
        <v>1</v>
      </c>
      <c r="N76" s="454">
        <f t="shared" si="6"/>
        <v>1.0206172397038036</v>
      </c>
      <c r="O76" s="454">
        <f t="shared" si="5"/>
        <v>1</v>
      </c>
      <c r="P76" s="454">
        <f t="shared" si="4"/>
        <v>1</v>
      </c>
      <c r="Q76" s="454">
        <f t="shared" si="3"/>
        <v>1</v>
      </c>
      <c r="R76" s="454">
        <f t="shared" si="2"/>
        <v>0.9999999981556762</v>
      </c>
      <c r="S76" s="454">
        <v>1</v>
      </c>
      <c r="T76" s="454"/>
      <c r="U76" s="322"/>
      <c r="V76" s="322"/>
      <c r="W76" s="322"/>
      <c r="X76" s="322"/>
      <c r="Y76" s="322"/>
      <c r="Z76" s="322"/>
      <c r="AA76" s="322"/>
      <c r="AB76" s="322"/>
      <c r="AC76" s="322"/>
      <c r="AD76" s="322"/>
      <c r="AE76" s="322"/>
      <c r="AF76" s="322"/>
      <c r="AG76" s="322"/>
      <c r="AH76" s="322"/>
      <c r="AI76" s="322"/>
      <c r="AJ76" s="322"/>
      <c r="AK76" s="322"/>
      <c r="AL76" s="322"/>
      <c r="AM76" s="323"/>
    </row>
    <row r="77" spans="1:39">
      <c r="A77" s="449">
        <f t="shared" si="1"/>
        <v>2005</v>
      </c>
      <c r="B77" s="454">
        <v>0</v>
      </c>
      <c r="C77" s="454">
        <v>0</v>
      </c>
      <c r="D77" s="454">
        <v>0</v>
      </c>
      <c r="E77" s="454">
        <v>0</v>
      </c>
      <c r="F77" s="454">
        <v>0</v>
      </c>
      <c r="G77" s="454">
        <v>0</v>
      </c>
      <c r="H77" s="454">
        <v>0</v>
      </c>
      <c r="I77" s="454">
        <f t="shared" ref="I77:I86" si="11">IF(I33=0,0,J33/I33)</f>
        <v>0.98199416057242694</v>
      </c>
      <c r="J77" s="454">
        <f t="shared" si="10"/>
        <v>1</v>
      </c>
      <c r="K77" s="454">
        <f t="shared" si="9"/>
        <v>1</v>
      </c>
      <c r="L77" s="454">
        <f t="shared" si="8"/>
        <v>1</v>
      </c>
      <c r="M77" s="454">
        <f t="shared" si="7"/>
        <v>1</v>
      </c>
      <c r="N77" s="454">
        <f t="shared" si="6"/>
        <v>1</v>
      </c>
      <c r="O77" s="454">
        <f t="shared" si="5"/>
        <v>1</v>
      </c>
      <c r="P77" s="454">
        <f t="shared" si="4"/>
        <v>1</v>
      </c>
      <c r="Q77" s="454">
        <f t="shared" si="3"/>
        <v>0.99999999892904112</v>
      </c>
      <c r="R77" s="454">
        <f t="shared" si="2"/>
        <v>1</v>
      </c>
      <c r="S77" s="454"/>
      <c r="T77" s="454"/>
      <c r="U77" s="322"/>
      <c r="V77" s="322"/>
      <c r="W77" s="322"/>
      <c r="X77" s="322"/>
      <c r="Y77" s="322"/>
      <c r="Z77" s="322"/>
      <c r="AA77" s="322"/>
      <c r="AB77" s="322"/>
      <c r="AC77" s="322"/>
      <c r="AD77" s="322"/>
      <c r="AE77" s="322"/>
      <c r="AF77" s="322"/>
      <c r="AG77" s="322"/>
      <c r="AH77" s="322"/>
      <c r="AI77" s="322"/>
      <c r="AJ77" s="322"/>
      <c r="AK77" s="322"/>
      <c r="AL77" s="322"/>
      <c r="AM77" s="323"/>
    </row>
    <row r="78" spans="1:39">
      <c r="A78" s="449">
        <f t="shared" si="1"/>
        <v>2006</v>
      </c>
      <c r="B78" s="454">
        <v>0</v>
      </c>
      <c r="C78" s="454">
        <v>0</v>
      </c>
      <c r="D78" s="454">
        <v>0</v>
      </c>
      <c r="E78" s="454">
        <v>0</v>
      </c>
      <c r="F78" s="454">
        <v>0</v>
      </c>
      <c r="G78" s="454">
        <v>0</v>
      </c>
      <c r="H78" s="454">
        <f t="shared" ref="H78:H87" si="12">IF(H34=0,0,I34/H34)</f>
        <v>0.98061114580553099</v>
      </c>
      <c r="I78" s="454">
        <f t="shared" si="11"/>
        <v>1.0040717456738175</v>
      </c>
      <c r="J78" s="454">
        <f t="shared" si="10"/>
        <v>0.96686496264467714</v>
      </c>
      <c r="K78" s="454">
        <f t="shared" si="9"/>
        <v>1</v>
      </c>
      <c r="L78" s="454">
        <f t="shared" si="8"/>
        <v>1.0016202365208311</v>
      </c>
      <c r="M78" s="454">
        <f t="shared" si="7"/>
        <v>1.0016176156009577</v>
      </c>
      <c r="N78" s="454">
        <f t="shared" si="6"/>
        <v>1</v>
      </c>
      <c r="O78" s="454">
        <f t="shared" si="5"/>
        <v>1</v>
      </c>
      <c r="P78" s="454">
        <f t="shared" si="4"/>
        <v>0.9999999806199622</v>
      </c>
      <c r="Q78" s="454">
        <f t="shared" si="3"/>
        <v>0.98666095877170157</v>
      </c>
      <c r="R78" s="454"/>
      <c r="S78" s="454"/>
      <c r="T78" s="454"/>
      <c r="U78" s="322"/>
      <c r="V78" s="322"/>
      <c r="W78" s="322"/>
      <c r="X78" s="322"/>
      <c r="Y78" s="322"/>
      <c r="Z78" s="322"/>
      <c r="AA78" s="322"/>
      <c r="AB78" s="322"/>
      <c r="AC78" s="322"/>
      <c r="AD78" s="322"/>
      <c r="AE78" s="322"/>
      <c r="AF78" s="322"/>
      <c r="AG78" s="322"/>
      <c r="AH78" s="322"/>
      <c r="AI78" s="322"/>
      <c r="AJ78" s="322"/>
      <c r="AK78" s="322"/>
      <c r="AL78" s="322"/>
      <c r="AM78" s="323"/>
    </row>
    <row r="79" spans="1:39">
      <c r="A79" s="449">
        <f t="shared" si="1"/>
        <v>2007</v>
      </c>
      <c r="B79" s="454">
        <v>0</v>
      </c>
      <c r="C79" s="454">
        <v>0</v>
      </c>
      <c r="D79" s="454">
        <v>0</v>
      </c>
      <c r="E79" s="454">
        <v>0</v>
      </c>
      <c r="F79" s="454">
        <v>0</v>
      </c>
      <c r="G79" s="454">
        <f t="shared" ref="G79:G88" si="13">IF(G35=0,0,H35/G35)</f>
        <v>0.95818822798989622</v>
      </c>
      <c r="H79" s="454">
        <f t="shared" si="12"/>
        <v>0.92860322285227015</v>
      </c>
      <c r="I79" s="454">
        <f t="shared" si="11"/>
        <v>1.000049639659409</v>
      </c>
      <c r="J79" s="454">
        <f t="shared" si="10"/>
        <v>0.99402659686994144</v>
      </c>
      <c r="K79" s="454">
        <f t="shared" si="9"/>
        <v>1.0000071336400269</v>
      </c>
      <c r="L79" s="454">
        <f t="shared" si="8"/>
        <v>1</v>
      </c>
      <c r="M79" s="454">
        <f t="shared" si="7"/>
        <v>1</v>
      </c>
      <c r="N79" s="454">
        <f t="shared" si="6"/>
        <v>1</v>
      </c>
      <c r="O79" s="454">
        <f t="shared" si="5"/>
        <v>0.99999999603689493</v>
      </c>
      <c r="P79" s="454">
        <f t="shared" si="4"/>
        <v>1</v>
      </c>
      <c r="Q79" s="454"/>
      <c r="R79" s="454"/>
      <c r="S79" s="454"/>
      <c r="T79" s="454"/>
      <c r="U79" s="322"/>
      <c r="V79" s="322"/>
      <c r="W79" s="322"/>
      <c r="X79" s="322"/>
      <c r="Y79" s="322"/>
      <c r="Z79" s="322"/>
      <c r="AA79" s="322"/>
      <c r="AB79" s="322"/>
      <c r="AC79" s="322"/>
      <c r="AD79" s="322"/>
      <c r="AE79" s="322"/>
      <c r="AF79" s="322"/>
      <c r="AG79" s="322"/>
      <c r="AH79" s="322"/>
      <c r="AI79" s="322"/>
      <c r="AJ79" s="322"/>
      <c r="AK79" s="322"/>
      <c r="AL79" s="322"/>
      <c r="AM79" s="323"/>
    </row>
    <row r="80" spans="1:39">
      <c r="A80" s="449">
        <f t="shared" si="1"/>
        <v>2008</v>
      </c>
      <c r="B80" s="454">
        <v>0</v>
      </c>
      <c r="C80" s="454">
        <v>0</v>
      </c>
      <c r="D80" s="454">
        <v>0</v>
      </c>
      <c r="E80" s="454">
        <v>0</v>
      </c>
      <c r="F80" s="454">
        <f t="shared" ref="F80:F89" si="14">IF(F36=0,0,G36/F36)</f>
        <v>0.95609019520781113</v>
      </c>
      <c r="G80" s="454">
        <f t="shared" si="13"/>
        <v>0.97493751612698776</v>
      </c>
      <c r="H80" s="454">
        <f t="shared" si="12"/>
        <v>1.00313138861992</v>
      </c>
      <c r="I80" s="454">
        <f t="shared" si="11"/>
        <v>1</v>
      </c>
      <c r="J80" s="454">
        <f t="shared" si="10"/>
        <v>1</v>
      </c>
      <c r="K80" s="454">
        <f t="shared" si="9"/>
        <v>1.0015608068172546</v>
      </c>
      <c r="L80" s="454">
        <f t="shared" si="8"/>
        <v>1.0035381957900575</v>
      </c>
      <c r="M80" s="454">
        <f t="shared" si="7"/>
        <v>1</v>
      </c>
      <c r="N80" s="454">
        <f t="shared" si="6"/>
        <v>0.99999999254617555</v>
      </c>
      <c r="O80" s="454">
        <f t="shared" si="5"/>
        <v>1</v>
      </c>
      <c r="P80" s="454"/>
      <c r="Q80" s="454"/>
      <c r="R80" s="454"/>
      <c r="S80" s="454"/>
      <c r="T80" s="454"/>
      <c r="U80" s="322"/>
      <c r="V80" s="322"/>
      <c r="W80" s="322"/>
      <c r="X80" s="322"/>
      <c r="Y80" s="322"/>
      <c r="Z80" s="322"/>
      <c r="AA80" s="322"/>
      <c r="AB80" s="322"/>
      <c r="AC80" s="322"/>
      <c r="AD80" s="322"/>
      <c r="AE80" s="322"/>
      <c r="AF80" s="322"/>
      <c r="AG80" s="322"/>
      <c r="AH80" s="322"/>
      <c r="AI80" s="322"/>
      <c r="AJ80" s="322"/>
      <c r="AK80" s="322"/>
      <c r="AL80" s="322"/>
      <c r="AM80" s="323"/>
    </row>
    <row r="81" spans="1:39">
      <c r="A81" s="449">
        <f t="shared" si="1"/>
        <v>2009</v>
      </c>
      <c r="B81" s="454">
        <v>0</v>
      </c>
      <c r="C81" s="454">
        <v>0</v>
      </c>
      <c r="D81" s="454">
        <v>0</v>
      </c>
      <c r="E81" s="454">
        <f t="shared" ref="E81:E90" si="15">IF(E37=0,0,F37/E37)</f>
        <v>1.0981959916502988</v>
      </c>
      <c r="F81" s="454">
        <f t="shared" si="14"/>
        <v>1.0474594949314102</v>
      </c>
      <c r="G81" s="454">
        <f t="shared" si="13"/>
        <v>1.0049065896838645</v>
      </c>
      <c r="H81" s="454">
        <f t="shared" si="12"/>
        <v>0.96700131815199097</v>
      </c>
      <c r="I81" s="454">
        <f t="shared" si="11"/>
        <v>1.0027405483334044</v>
      </c>
      <c r="J81" s="454">
        <f t="shared" si="10"/>
        <v>1</v>
      </c>
      <c r="K81" s="454">
        <f t="shared" si="9"/>
        <v>1</v>
      </c>
      <c r="L81" s="454">
        <f t="shared" si="8"/>
        <v>1</v>
      </c>
      <c r="M81" s="454">
        <f t="shared" si="7"/>
        <v>1.0000000079122757</v>
      </c>
      <c r="N81" s="454">
        <f t="shared" si="6"/>
        <v>1</v>
      </c>
      <c r="O81" s="454"/>
      <c r="P81" s="454"/>
      <c r="Q81" s="454"/>
      <c r="R81" s="454"/>
      <c r="S81" s="454"/>
      <c r="T81" s="454"/>
      <c r="U81" s="322"/>
      <c r="V81" s="322"/>
      <c r="W81" s="322"/>
      <c r="X81" s="322"/>
      <c r="Y81" s="322"/>
      <c r="Z81" s="322"/>
      <c r="AA81" s="322"/>
      <c r="AB81" s="322"/>
      <c r="AC81" s="322"/>
      <c r="AD81" s="322"/>
      <c r="AE81" s="322"/>
      <c r="AF81" s="322"/>
      <c r="AG81" s="322"/>
      <c r="AH81" s="322"/>
      <c r="AI81" s="322"/>
      <c r="AJ81" s="322"/>
      <c r="AK81" s="322"/>
      <c r="AL81" s="322"/>
      <c r="AM81" s="323"/>
    </row>
    <row r="82" spans="1:39">
      <c r="A82" s="449">
        <f t="shared" si="1"/>
        <v>2010</v>
      </c>
      <c r="B82" s="454">
        <v>0</v>
      </c>
      <c r="C82" s="454">
        <v>0</v>
      </c>
      <c r="D82" s="454">
        <f t="shared" ref="D82:D91" si="16">IF(D38=0,0,E38/D38)</f>
        <v>1.0134180992832706</v>
      </c>
      <c r="E82" s="454">
        <f t="shared" si="15"/>
        <v>1.0942674013184861</v>
      </c>
      <c r="F82" s="454">
        <f t="shared" si="14"/>
        <v>0.98636593583172194</v>
      </c>
      <c r="G82" s="454">
        <f t="shared" si="13"/>
        <v>0.96183766724913089</v>
      </c>
      <c r="H82" s="454">
        <f t="shared" si="12"/>
        <v>1.0225616184323529</v>
      </c>
      <c r="I82" s="454">
        <f t="shared" si="11"/>
        <v>1.0115324726943427</v>
      </c>
      <c r="J82" s="454">
        <f t="shared" si="10"/>
        <v>1</v>
      </c>
      <c r="K82" s="454">
        <f t="shared" si="9"/>
        <v>1</v>
      </c>
      <c r="L82" s="454">
        <f t="shared" si="8"/>
        <v>0.99999997121370743</v>
      </c>
      <c r="M82" s="454">
        <f t="shared" si="7"/>
        <v>1</v>
      </c>
      <c r="N82" s="454"/>
      <c r="O82" s="454"/>
      <c r="P82" s="454"/>
      <c r="Q82" s="454"/>
      <c r="R82" s="454"/>
      <c r="S82" s="454"/>
      <c r="T82" s="454"/>
      <c r="U82" s="322"/>
      <c r="V82" s="322"/>
      <c r="W82" s="322"/>
      <c r="X82" s="322"/>
      <c r="Y82" s="322"/>
      <c r="Z82" s="322"/>
      <c r="AA82" s="322"/>
      <c r="AB82" s="322"/>
      <c r="AC82" s="322"/>
      <c r="AD82" s="322"/>
      <c r="AE82" s="322"/>
      <c r="AF82" s="322"/>
      <c r="AG82" s="322"/>
      <c r="AH82" s="322"/>
      <c r="AI82" s="322"/>
      <c r="AJ82" s="322"/>
      <c r="AK82" s="322"/>
      <c r="AL82" s="322"/>
      <c r="AM82" s="323"/>
    </row>
    <row r="83" spans="1:39">
      <c r="A83" s="449">
        <f t="shared" si="1"/>
        <v>2011</v>
      </c>
      <c r="B83" s="454">
        <v>0</v>
      </c>
      <c r="C83" s="454">
        <f t="shared" ref="C83:C92" si="17">IF(C39=0,0,D39/C39)</f>
        <v>1.4185608865561237</v>
      </c>
      <c r="D83" s="454">
        <f t="shared" si="16"/>
        <v>1.0085582400204909</v>
      </c>
      <c r="E83" s="454">
        <f t="shared" si="15"/>
        <v>1.1934586158610341</v>
      </c>
      <c r="F83" s="454">
        <f t="shared" si="14"/>
        <v>1.0033031485677752</v>
      </c>
      <c r="G83" s="454">
        <f t="shared" si="13"/>
        <v>1.045269130119002</v>
      </c>
      <c r="H83" s="454">
        <f t="shared" si="12"/>
        <v>1</v>
      </c>
      <c r="I83" s="454">
        <f t="shared" si="11"/>
        <v>1.0006597526804646</v>
      </c>
      <c r="J83" s="454">
        <f t="shared" si="10"/>
        <v>1</v>
      </c>
      <c r="K83" s="454">
        <f t="shared" si="9"/>
        <v>0.96857797967065384</v>
      </c>
      <c r="L83" s="454">
        <f t="shared" si="8"/>
        <v>1</v>
      </c>
      <c r="M83" s="454"/>
      <c r="N83" s="454"/>
      <c r="O83" s="454"/>
      <c r="P83" s="454"/>
      <c r="Q83" s="454"/>
      <c r="R83" s="454"/>
      <c r="S83" s="454"/>
      <c r="T83" s="454"/>
      <c r="U83" s="322"/>
      <c r="V83" s="322"/>
      <c r="W83" s="322"/>
      <c r="X83" s="322"/>
      <c r="Y83" s="322"/>
      <c r="Z83" s="322"/>
      <c r="AA83" s="322"/>
      <c r="AB83" s="322"/>
      <c r="AC83" s="322"/>
      <c r="AD83" s="322"/>
      <c r="AE83" s="322"/>
      <c r="AF83" s="322"/>
      <c r="AG83" s="322"/>
      <c r="AH83" s="322"/>
      <c r="AI83" s="322"/>
      <c r="AJ83" s="322"/>
      <c r="AK83" s="322"/>
      <c r="AL83" s="322"/>
      <c r="AM83" s="323"/>
    </row>
    <row r="84" spans="1:39">
      <c r="A84" s="449">
        <f t="shared" si="1"/>
        <v>2012</v>
      </c>
      <c r="B84" s="454">
        <f t="shared" ref="B84:B92" si="18">IF(B40=0,0,C40/B40)</f>
        <v>1.4236793404712149</v>
      </c>
      <c r="C84" s="454">
        <f t="shared" si="17"/>
        <v>2.4669018329625132</v>
      </c>
      <c r="D84" s="454">
        <f t="shared" si="16"/>
        <v>1.1240107797020704</v>
      </c>
      <c r="E84" s="454">
        <f t="shared" si="15"/>
        <v>1.0536341826073108</v>
      </c>
      <c r="F84" s="454">
        <f t="shared" si="14"/>
        <v>0.97247809718651568</v>
      </c>
      <c r="G84" s="454">
        <f t="shared" si="13"/>
        <v>0.99952206346262662</v>
      </c>
      <c r="H84" s="454">
        <f t="shared" si="12"/>
        <v>1.0281342265494688</v>
      </c>
      <c r="I84" s="454">
        <f t="shared" si="11"/>
        <v>1.0071518381642945</v>
      </c>
      <c r="J84" s="454">
        <f t="shared" si="10"/>
        <v>1.0937046035229141</v>
      </c>
      <c r="K84" s="454">
        <f t="shared" si="9"/>
        <v>1.001169723270545</v>
      </c>
      <c r="L84" s="454"/>
      <c r="M84" s="454"/>
      <c r="N84" s="454"/>
      <c r="O84" s="454"/>
      <c r="P84" s="454"/>
      <c r="Q84" s="454"/>
      <c r="R84" s="454"/>
      <c r="S84" s="454"/>
      <c r="T84" s="454"/>
      <c r="U84" s="322"/>
      <c r="V84" s="322"/>
      <c r="W84" s="322"/>
      <c r="X84" s="322"/>
      <c r="Y84" s="322"/>
      <c r="Z84" s="322"/>
      <c r="AA84" s="322"/>
      <c r="AB84" s="322"/>
      <c r="AC84" s="322"/>
      <c r="AD84" s="322"/>
      <c r="AE84" s="322"/>
      <c r="AF84" s="322"/>
      <c r="AG84" s="322"/>
      <c r="AH84" s="322"/>
      <c r="AI84" s="322"/>
      <c r="AJ84" s="322"/>
      <c r="AK84" s="322"/>
      <c r="AL84" s="322"/>
      <c r="AM84" s="323"/>
    </row>
    <row r="85" spans="1:39">
      <c r="A85" s="449">
        <f t="shared" si="1"/>
        <v>2013</v>
      </c>
      <c r="B85" s="454">
        <f t="shared" si="18"/>
        <v>1.7735989947186526</v>
      </c>
      <c r="C85" s="454">
        <f t="shared" si="17"/>
        <v>2.5408795228783796</v>
      </c>
      <c r="D85" s="454">
        <f t="shared" si="16"/>
        <v>1.0851007760124947</v>
      </c>
      <c r="E85" s="454">
        <f t="shared" si="15"/>
        <v>0.97361689039748034</v>
      </c>
      <c r="F85" s="454">
        <f t="shared" si="14"/>
        <v>1.0315619149645039</v>
      </c>
      <c r="G85" s="454">
        <f t="shared" si="13"/>
        <v>1.042187632821173</v>
      </c>
      <c r="H85" s="454">
        <f t="shared" si="12"/>
        <v>1.0102343967300504</v>
      </c>
      <c r="I85" s="454">
        <f t="shared" si="11"/>
        <v>0.98140406259889423</v>
      </c>
      <c r="J85" s="454">
        <f t="shared" si="10"/>
        <v>1</v>
      </c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322"/>
      <c r="V85" s="322"/>
      <c r="W85" s="322"/>
      <c r="X85" s="322"/>
      <c r="Y85" s="322"/>
      <c r="Z85" s="322"/>
      <c r="AA85" s="322"/>
      <c r="AB85" s="322"/>
      <c r="AC85" s="322"/>
      <c r="AD85" s="322"/>
      <c r="AE85" s="322"/>
      <c r="AF85" s="322"/>
      <c r="AG85" s="322"/>
      <c r="AH85" s="322"/>
      <c r="AI85" s="322"/>
      <c r="AJ85" s="322"/>
      <c r="AK85" s="322"/>
      <c r="AL85" s="322"/>
      <c r="AM85" s="323"/>
    </row>
    <row r="86" spans="1:39">
      <c r="A86" s="449">
        <f t="shared" si="1"/>
        <v>2014</v>
      </c>
      <c r="B86" s="454">
        <f t="shared" si="18"/>
        <v>3.492924716616352</v>
      </c>
      <c r="C86" s="454">
        <f t="shared" si="17"/>
        <v>1.8127107730352292</v>
      </c>
      <c r="D86" s="454">
        <f t="shared" si="16"/>
        <v>1.3307302363587492</v>
      </c>
      <c r="E86" s="454">
        <f t="shared" si="15"/>
        <v>1.1848615178346784</v>
      </c>
      <c r="F86" s="454">
        <f t="shared" si="14"/>
        <v>1.18042828487899</v>
      </c>
      <c r="G86" s="454">
        <f t="shared" si="13"/>
        <v>0.96681609836715288</v>
      </c>
      <c r="H86" s="454">
        <f t="shared" si="12"/>
        <v>0.99889861873400132</v>
      </c>
      <c r="I86" s="454">
        <f t="shared" si="11"/>
        <v>1</v>
      </c>
      <c r="J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322"/>
      <c r="V86" s="322"/>
      <c r="W86" s="322"/>
      <c r="X86" s="322"/>
      <c r="Y86" s="322"/>
      <c r="Z86" s="322"/>
      <c r="AA86" s="322"/>
      <c r="AB86" s="322"/>
      <c r="AC86" s="322"/>
      <c r="AD86" s="322"/>
      <c r="AE86" s="322"/>
      <c r="AF86" s="322"/>
      <c r="AG86" s="322"/>
      <c r="AH86" s="322"/>
      <c r="AI86" s="322"/>
      <c r="AJ86" s="322"/>
      <c r="AK86" s="322"/>
      <c r="AL86" s="322"/>
      <c r="AM86" s="323"/>
    </row>
    <row r="87" spans="1:39">
      <c r="A87" s="449">
        <f t="shared" si="1"/>
        <v>2015</v>
      </c>
      <c r="B87" s="454">
        <f t="shared" si="18"/>
        <v>2.3178117687567865</v>
      </c>
      <c r="C87" s="454">
        <f t="shared" si="17"/>
        <v>1.8076413319286566</v>
      </c>
      <c r="D87" s="454">
        <f t="shared" si="16"/>
        <v>1.13992603737753</v>
      </c>
      <c r="E87" s="454">
        <f t="shared" si="15"/>
        <v>1.055151784162577</v>
      </c>
      <c r="F87" s="454">
        <f t="shared" si="14"/>
        <v>1.0353216806827636</v>
      </c>
      <c r="G87" s="454">
        <f t="shared" si="13"/>
        <v>0.99903303294509693</v>
      </c>
      <c r="H87" s="454">
        <f t="shared" si="12"/>
        <v>1.0007291308576072</v>
      </c>
      <c r="I87" s="454"/>
      <c r="J87" s="454"/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322"/>
      <c r="V87" s="322"/>
      <c r="W87" s="322"/>
      <c r="X87" s="322"/>
      <c r="Y87" s="322"/>
      <c r="Z87" s="322"/>
      <c r="AA87" s="322"/>
      <c r="AB87" s="322"/>
      <c r="AC87" s="322"/>
      <c r="AD87" s="322"/>
      <c r="AE87" s="322"/>
      <c r="AF87" s="322"/>
      <c r="AG87" s="322"/>
      <c r="AH87" s="322"/>
      <c r="AI87" s="322"/>
      <c r="AJ87" s="322"/>
      <c r="AK87" s="322"/>
      <c r="AL87" s="322"/>
      <c r="AM87" s="323"/>
    </row>
    <row r="88" spans="1:39">
      <c r="A88" s="449">
        <f t="shared" si="1"/>
        <v>2016</v>
      </c>
      <c r="B88" s="454">
        <f t="shared" si="18"/>
        <v>2.3605353683404919</v>
      </c>
      <c r="C88" s="454">
        <f t="shared" si="17"/>
        <v>1.5667019383183465</v>
      </c>
      <c r="D88" s="454">
        <f t="shared" si="16"/>
        <v>1.2635178826174753</v>
      </c>
      <c r="E88" s="454">
        <f t="shared" si="15"/>
        <v>1.176995650029715</v>
      </c>
      <c r="F88" s="454">
        <f t="shared" si="14"/>
        <v>1.031317274824562</v>
      </c>
      <c r="G88" s="454">
        <f t="shared" si="13"/>
        <v>0.95715040752891101</v>
      </c>
      <c r="H88" s="454"/>
      <c r="I88" s="454"/>
      <c r="J88" s="454"/>
      <c r="K88" s="454"/>
      <c r="L88" s="454"/>
      <c r="M88" s="454"/>
      <c r="N88" s="454"/>
      <c r="O88" s="454"/>
      <c r="P88" s="454"/>
      <c r="Q88" s="454"/>
      <c r="R88" s="454"/>
      <c r="S88" s="454"/>
      <c r="T88" s="454"/>
      <c r="U88" s="322"/>
      <c r="V88" s="322"/>
      <c r="W88" s="322"/>
      <c r="X88" s="322"/>
      <c r="Y88" s="322"/>
      <c r="Z88" s="322"/>
      <c r="AA88" s="322"/>
      <c r="AB88" s="322"/>
      <c r="AC88" s="322"/>
      <c r="AD88" s="322"/>
      <c r="AE88" s="322"/>
      <c r="AF88" s="322"/>
      <c r="AG88" s="322"/>
      <c r="AH88" s="322"/>
      <c r="AI88" s="322"/>
      <c r="AJ88" s="322"/>
      <c r="AK88" s="322"/>
      <c r="AL88" s="322"/>
      <c r="AM88" s="323"/>
    </row>
    <row r="89" spans="1:39">
      <c r="A89" s="449">
        <f t="shared" si="1"/>
        <v>2017</v>
      </c>
      <c r="B89" s="454">
        <f t="shared" si="18"/>
        <v>3.1329090351312532</v>
      </c>
      <c r="C89" s="454">
        <f t="shared" si="17"/>
        <v>1.8129268516907571</v>
      </c>
      <c r="D89" s="454">
        <f t="shared" si="16"/>
        <v>1.026976808873816</v>
      </c>
      <c r="E89" s="454">
        <f t="shared" si="15"/>
        <v>1.1351575670850109</v>
      </c>
      <c r="F89" s="454">
        <f t="shared" si="14"/>
        <v>0.99040791145092333</v>
      </c>
      <c r="G89" s="454"/>
      <c r="H89" s="454"/>
      <c r="I89" s="454"/>
      <c r="J89" s="454"/>
      <c r="K89" s="454"/>
      <c r="L89" s="454"/>
      <c r="M89" s="454"/>
      <c r="N89" s="454"/>
      <c r="O89" s="454"/>
      <c r="P89" s="454"/>
      <c r="Q89" s="454"/>
      <c r="R89" s="454"/>
      <c r="S89" s="454"/>
      <c r="T89" s="454"/>
      <c r="U89" s="322"/>
      <c r="V89" s="322"/>
      <c r="W89" s="322"/>
      <c r="X89" s="322"/>
      <c r="Y89" s="322"/>
      <c r="Z89" s="322"/>
      <c r="AA89" s="322"/>
      <c r="AB89" s="322"/>
      <c r="AC89" s="322"/>
      <c r="AD89" s="322"/>
      <c r="AE89" s="322"/>
      <c r="AF89" s="322"/>
      <c r="AG89" s="322"/>
      <c r="AH89" s="322"/>
      <c r="AI89" s="322"/>
      <c r="AJ89" s="322"/>
      <c r="AK89" s="322"/>
      <c r="AL89" s="322"/>
      <c r="AM89" s="323"/>
    </row>
    <row r="90" spans="1:39">
      <c r="A90" s="449">
        <f t="shared" si="1"/>
        <v>2018</v>
      </c>
      <c r="B90" s="454">
        <f t="shared" si="18"/>
        <v>2.0560880481296087</v>
      </c>
      <c r="C90" s="454">
        <f t="shared" si="17"/>
        <v>1.5605352148266696</v>
      </c>
      <c r="D90" s="454">
        <f t="shared" si="16"/>
        <v>1.2920148287473989</v>
      </c>
      <c r="E90" s="454">
        <f t="shared" si="15"/>
        <v>1.2684732939349372</v>
      </c>
      <c r="F90" s="454"/>
      <c r="G90" s="454"/>
      <c r="H90" s="454"/>
      <c r="I90" s="454"/>
      <c r="J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322"/>
      <c r="V90" s="322"/>
      <c r="W90" s="322"/>
      <c r="X90" s="322"/>
      <c r="Y90" s="322"/>
      <c r="Z90" s="322"/>
      <c r="AA90" s="322"/>
      <c r="AB90" s="322"/>
      <c r="AC90" s="322"/>
      <c r="AD90" s="322"/>
      <c r="AE90" s="322"/>
      <c r="AF90" s="322"/>
      <c r="AG90" s="322"/>
      <c r="AH90" s="322"/>
      <c r="AI90" s="322"/>
      <c r="AJ90" s="322"/>
      <c r="AK90" s="322"/>
      <c r="AL90" s="322"/>
      <c r="AM90" s="323"/>
    </row>
    <row r="91" spans="1:39">
      <c r="A91" s="449">
        <f t="shared" si="1"/>
        <v>2019</v>
      </c>
      <c r="B91" s="454">
        <f t="shared" si="18"/>
        <v>2.4092047386386453</v>
      </c>
      <c r="C91" s="454">
        <f t="shared" si="17"/>
        <v>1.8292245545107213</v>
      </c>
      <c r="D91" s="454">
        <f t="shared" si="16"/>
        <v>1.3564387013715251</v>
      </c>
      <c r="E91" s="454"/>
      <c r="F91" s="454"/>
      <c r="G91" s="454"/>
      <c r="H91" s="454"/>
      <c r="I91" s="454"/>
      <c r="J91" s="454"/>
      <c r="K91" s="454"/>
      <c r="L91" s="454"/>
      <c r="M91" s="454"/>
      <c r="N91" s="454"/>
      <c r="O91" s="454"/>
      <c r="P91" s="454"/>
      <c r="Q91" s="454"/>
      <c r="R91" s="454"/>
      <c r="S91" s="454"/>
      <c r="T91" s="454"/>
      <c r="U91" s="322"/>
      <c r="V91" s="322"/>
      <c r="W91" s="322"/>
      <c r="X91" s="322"/>
      <c r="Y91" s="322"/>
      <c r="Z91" s="322"/>
      <c r="AA91" s="322"/>
      <c r="AB91" s="322"/>
      <c r="AC91" s="322"/>
      <c r="AD91" s="322"/>
      <c r="AE91" s="322"/>
      <c r="AF91" s="322"/>
      <c r="AG91" s="322"/>
      <c r="AH91" s="322"/>
      <c r="AI91" s="322"/>
      <c r="AJ91" s="322"/>
      <c r="AK91" s="322"/>
      <c r="AL91" s="322"/>
      <c r="AM91" s="323"/>
    </row>
    <row r="92" spans="1:39">
      <c r="A92" s="449">
        <f t="shared" si="1"/>
        <v>2020</v>
      </c>
      <c r="B92" s="454">
        <f t="shared" si="18"/>
        <v>2.0436283706565304</v>
      </c>
      <c r="C92" s="454">
        <f t="shared" si="17"/>
        <v>2.6179782248667109</v>
      </c>
      <c r="D92" s="454"/>
      <c r="E92" s="454"/>
      <c r="F92" s="454"/>
      <c r="G92" s="454"/>
      <c r="H92" s="454"/>
      <c r="I92" s="454"/>
      <c r="J92" s="454"/>
      <c r="K92" s="454"/>
      <c r="L92" s="454"/>
      <c r="M92" s="454"/>
      <c r="N92" s="454"/>
      <c r="O92" s="454"/>
      <c r="P92" s="454"/>
      <c r="Q92" s="454"/>
      <c r="S92" s="454"/>
      <c r="T92" s="454"/>
      <c r="U92" s="322"/>
      <c r="V92" s="322"/>
      <c r="W92" s="322"/>
      <c r="X92" s="322"/>
      <c r="Y92" s="322"/>
      <c r="Z92" s="322"/>
      <c r="AA92" s="322"/>
      <c r="AB92" s="322"/>
      <c r="AC92" s="322"/>
      <c r="AD92" s="322"/>
      <c r="AE92" s="322"/>
      <c r="AF92" s="322"/>
      <c r="AG92" s="322"/>
      <c r="AH92" s="322"/>
      <c r="AI92" s="322"/>
      <c r="AJ92" s="322"/>
      <c r="AK92" s="322"/>
      <c r="AL92" s="322"/>
      <c r="AM92" s="323"/>
    </row>
    <row r="93" spans="1:39">
      <c r="A93" s="449">
        <f t="shared" si="1"/>
        <v>2021</v>
      </c>
      <c r="B93" s="454">
        <f>IF(B49=0,0,C49/B49)</f>
        <v>2.0193515015451355</v>
      </c>
      <c r="U93" s="322"/>
      <c r="V93" s="322"/>
      <c r="W93" s="322"/>
      <c r="X93" s="322"/>
      <c r="Y93" s="322"/>
      <c r="Z93" s="322"/>
      <c r="AA93" s="322"/>
      <c r="AB93" s="322"/>
      <c r="AC93" s="322"/>
      <c r="AD93" s="322"/>
      <c r="AE93" s="322"/>
      <c r="AF93" s="322"/>
      <c r="AG93" s="322"/>
      <c r="AH93" s="322"/>
      <c r="AI93" s="322"/>
      <c r="AJ93" s="322"/>
      <c r="AK93" s="322"/>
      <c r="AL93" s="322"/>
      <c r="AM93" s="323"/>
    </row>
    <row r="94" spans="1:39">
      <c r="A94" s="449">
        <f t="shared" si="1"/>
        <v>2022</v>
      </c>
      <c r="B94" s="454"/>
      <c r="C94" s="454"/>
      <c r="D94" s="454"/>
      <c r="E94" s="454"/>
      <c r="F94" s="454"/>
      <c r="G94" s="454"/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322"/>
      <c r="V94" s="322"/>
      <c r="W94" s="322"/>
      <c r="X94" s="322"/>
      <c r="Y94" s="322"/>
      <c r="Z94" s="322"/>
      <c r="AA94" s="322"/>
      <c r="AB94" s="322"/>
      <c r="AC94" s="322"/>
      <c r="AD94" s="322"/>
      <c r="AE94" s="322"/>
      <c r="AF94" s="322"/>
      <c r="AG94" s="322"/>
      <c r="AH94" s="322"/>
      <c r="AI94" s="322"/>
      <c r="AJ94" s="322"/>
      <c r="AK94" s="322"/>
      <c r="AL94" s="322"/>
      <c r="AM94" s="323"/>
    </row>
    <row r="95" spans="1:39">
      <c r="B95" s="455"/>
      <c r="C95" s="455"/>
      <c r="D95" s="455"/>
      <c r="E95" s="455"/>
      <c r="F95" s="455"/>
      <c r="G95" s="455"/>
      <c r="H95" s="455"/>
      <c r="I95" s="455"/>
      <c r="J95" s="455"/>
      <c r="K95" s="455"/>
      <c r="L95" s="455"/>
      <c r="M95" s="455"/>
      <c r="N95" s="455"/>
      <c r="O95" s="455"/>
      <c r="P95" s="455"/>
      <c r="Q95" s="455"/>
      <c r="R95" s="455"/>
      <c r="S95" s="455"/>
      <c r="T95" s="455"/>
      <c r="U95" s="323"/>
      <c r="V95" s="323"/>
      <c r="W95" s="323"/>
      <c r="X95" s="323"/>
      <c r="Y95" s="323"/>
      <c r="Z95" s="323"/>
      <c r="AA95" s="323"/>
      <c r="AB95" s="323"/>
      <c r="AC95" s="323"/>
      <c r="AD95" s="323"/>
      <c r="AE95" s="323"/>
      <c r="AF95" s="323"/>
      <c r="AG95" s="323"/>
      <c r="AH95" s="323"/>
      <c r="AI95" s="323"/>
      <c r="AJ95" s="323"/>
      <c r="AK95" s="323"/>
      <c r="AL95" s="323"/>
      <c r="AM95" s="323"/>
    </row>
    <row r="96" spans="1:39">
      <c r="A96" s="446" t="s">
        <v>1053</v>
      </c>
      <c r="B96" s="455"/>
      <c r="C96" s="455"/>
      <c r="D96" s="455"/>
      <c r="E96" s="455"/>
      <c r="F96" s="455"/>
      <c r="G96" s="455"/>
      <c r="H96" s="455"/>
      <c r="I96" s="455"/>
      <c r="J96" s="455"/>
      <c r="K96" s="455"/>
      <c r="L96" s="455"/>
      <c r="M96" s="455"/>
      <c r="N96" s="455"/>
      <c r="O96" s="455"/>
      <c r="P96" s="455"/>
      <c r="Q96" s="455"/>
      <c r="R96" s="455"/>
      <c r="S96" s="455"/>
      <c r="T96" s="455"/>
      <c r="U96" s="323"/>
      <c r="V96" s="323"/>
      <c r="W96" s="323"/>
      <c r="X96" s="323"/>
      <c r="Y96" s="323"/>
      <c r="Z96" s="323"/>
      <c r="AA96" s="323"/>
      <c r="AB96" s="323"/>
      <c r="AC96" s="323"/>
      <c r="AD96" s="323"/>
      <c r="AE96" s="323"/>
      <c r="AF96" s="323"/>
      <c r="AG96" s="323"/>
      <c r="AH96" s="323"/>
      <c r="AI96" s="323"/>
      <c r="AJ96" s="323"/>
      <c r="AK96" s="323"/>
      <c r="AL96" s="323"/>
      <c r="AM96" s="323"/>
    </row>
    <row r="97" spans="1:39">
      <c r="B97" s="456" t="s">
        <v>1054</v>
      </c>
      <c r="C97" s="455"/>
      <c r="D97" s="455"/>
      <c r="E97" s="455"/>
      <c r="F97" s="455"/>
      <c r="G97" s="457"/>
      <c r="H97" s="457"/>
      <c r="I97" s="457"/>
      <c r="J97" s="457"/>
      <c r="K97" s="457"/>
      <c r="L97" s="457"/>
      <c r="M97" s="457"/>
      <c r="N97" s="457"/>
      <c r="O97" s="457"/>
      <c r="P97" s="457"/>
      <c r="Q97" s="457"/>
      <c r="R97" s="455"/>
      <c r="S97" s="455"/>
      <c r="T97" s="455"/>
      <c r="U97" s="323"/>
      <c r="V97" s="323"/>
      <c r="W97" s="323"/>
      <c r="X97" s="323"/>
      <c r="Y97" s="323"/>
      <c r="Z97" s="323"/>
      <c r="AA97" s="323"/>
      <c r="AB97" s="323"/>
      <c r="AC97" s="323"/>
      <c r="AD97" s="323"/>
      <c r="AE97" s="323"/>
      <c r="AF97" s="323"/>
      <c r="AG97" s="323"/>
      <c r="AH97" s="323"/>
      <c r="AI97" s="323"/>
      <c r="AJ97" s="323"/>
      <c r="AK97" s="323"/>
      <c r="AL97" s="323"/>
      <c r="AM97" s="323"/>
    </row>
    <row r="98" spans="1:39">
      <c r="A98" s="458" t="s">
        <v>1055</v>
      </c>
      <c r="B98" s="455">
        <f>SUMPRODUCT(B47:B49,B91:B93)/SUM(B47:B49)</f>
        <v>2.1958528810464535</v>
      </c>
      <c r="C98" s="455">
        <f>SUMPRODUCT(C46:C48,C90:C92)/SUM(C46:C48)</f>
        <v>1.9262109220710995</v>
      </c>
      <c r="D98" s="455">
        <f>SUMPRODUCT(D45:D47,D89:D91)/SUM(D45:D47)</f>
        <v>1.2398220048296551</v>
      </c>
      <c r="E98" s="455">
        <f>SUMPRODUCT(E44:E46,E88:E90)/SUM(E44:E46)</f>
        <v>1.1974246837326117</v>
      </c>
      <c r="F98" s="455">
        <f>SUMPRODUCT(F43:F45,F87:F89)/SUM(F43:F45)</f>
        <v>1.0237956266165569</v>
      </c>
      <c r="G98" s="457">
        <f>SUMPRODUCT(G42:G44,G86:G88)/SUM(G42:G44)</f>
        <v>0.97551705182130921</v>
      </c>
      <c r="H98" s="457">
        <f>SUMPRODUCT(H41:H43,H85:H87)/SUM(H41:H43)</f>
        <v>1.0033739695321884</v>
      </c>
      <c r="I98" s="457">
        <f>SUMPRODUCT(I40:I42,I84:I86)/SUM(I40:I42)</f>
        <v>0.99589916174593962</v>
      </c>
      <c r="J98" s="457">
        <f>SUMPRODUCT(J39:J41,J83:J85)/SUM(J39:J41)</f>
        <v>1.0336487749432592</v>
      </c>
      <c r="K98" s="457">
        <f>SUMPRODUCT(K38:K40,K82:K84)/SUM(K38:K40)</f>
        <v>0.99276326947082116</v>
      </c>
      <c r="L98" s="457">
        <f>SUMPRODUCT(L37:L39,L81:L83)/SUM(L37:L39)</f>
        <v>0.99999998768633491</v>
      </c>
      <c r="M98" s="457">
        <f>SUMPRODUCT(M36:M38,M80:M82)/SUM(M36:M38)</f>
        <v>1.0000000022020463</v>
      </c>
      <c r="N98" s="457">
        <f>SUMPRODUCT(N35:N37,N79:N81)/SUM(N35:N37)</f>
        <v>0.99999999741382806</v>
      </c>
      <c r="O98" s="457">
        <f>SUMPRODUCT(O34:O36,O78:O80)/SUM(O34:O36)</f>
        <v>0.9999999985784459</v>
      </c>
      <c r="P98" s="457">
        <f>SUMPRODUCT(P33:P35,P77:P79)/SUM(P33:P35)</f>
        <v>0.99999999421046326</v>
      </c>
      <c r="Q98" s="457">
        <f>SUMPRODUCT(Q32:Q34,Q76:Q78)/SUM(Q32:Q34)</f>
        <v>0.99590474115766459</v>
      </c>
      <c r="R98" s="455">
        <v>1</v>
      </c>
      <c r="S98" s="455">
        <v>1</v>
      </c>
      <c r="T98" s="455">
        <v>1</v>
      </c>
      <c r="U98" s="323"/>
      <c r="V98" s="323"/>
      <c r="W98" s="323"/>
      <c r="X98" s="323"/>
      <c r="Y98" s="323"/>
      <c r="Z98" s="323"/>
      <c r="AA98" s="323"/>
      <c r="AB98" s="323"/>
      <c r="AC98" s="323"/>
      <c r="AD98" s="323"/>
      <c r="AE98" s="323"/>
      <c r="AF98" s="323"/>
      <c r="AG98" s="323"/>
      <c r="AH98" s="323"/>
      <c r="AI98" s="323"/>
      <c r="AJ98" s="323"/>
      <c r="AK98" s="323"/>
      <c r="AL98" s="323"/>
    </row>
    <row r="99" spans="1:39">
      <c r="B99" s="456" t="s">
        <v>1056</v>
      </c>
      <c r="C99" s="457"/>
      <c r="D99" s="455"/>
      <c r="E99" s="455"/>
      <c r="F99" s="455"/>
      <c r="G99" s="455"/>
      <c r="H99" s="455"/>
      <c r="I99" s="455"/>
      <c r="J99" s="455"/>
      <c r="K99" s="455"/>
      <c r="L99" s="455"/>
      <c r="M99" s="455"/>
      <c r="N99" s="455"/>
      <c r="O99" s="455"/>
      <c r="P99" s="455"/>
      <c r="Q99" s="455"/>
      <c r="R99" s="455"/>
      <c r="S99" s="455"/>
      <c r="T99" s="455"/>
      <c r="U99" s="323"/>
      <c r="V99" s="323"/>
      <c r="W99" s="323"/>
      <c r="X99" s="323"/>
      <c r="Y99" s="323"/>
      <c r="Z99" s="323"/>
      <c r="AA99" s="323"/>
      <c r="AB99" s="323"/>
      <c r="AC99" s="323"/>
      <c r="AD99" s="323"/>
      <c r="AE99" s="323"/>
      <c r="AF99" s="323"/>
      <c r="AG99" s="323"/>
      <c r="AH99" s="323"/>
      <c r="AI99" s="323"/>
      <c r="AJ99" s="323"/>
      <c r="AK99" s="323"/>
      <c r="AL99" s="323"/>
      <c r="AM99" s="323"/>
    </row>
    <row r="100" spans="1:39">
      <c r="A100" s="458" t="s">
        <v>1057</v>
      </c>
      <c r="B100" s="455">
        <f>SUMPRODUCT(B45:B49,B89:B93)/SUM(B45:B49)</f>
        <v>2.2945452758324452</v>
      </c>
      <c r="C100" s="457">
        <f>SUMPRODUCT(C44:C48,C88:C92)/SUM(C44:C48)</f>
        <v>1.8189534246370203</v>
      </c>
      <c r="D100" s="457">
        <f>SUMPRODUCT(D43:D47,D87:D91)/SUM(D43:D47)</f>
        <v>1.2160889027060056</v>
      </c>
      <c r="E100" s="457">
        <f>SUMPRODUCT(E42:E46,E86:E90)/SUM(E42:E46)</f>
        <v>1.1556911637567091</v>
      </c>
      <c r="F100" s="457">
        <f>SUMPRODUCT(F41:F45,F85:F89)/SUM(F41:F45)</f>
        <v>1.0572210028690048</v>
      </c>
      <c r="G100" s="457">
        <f>SUMPRODUCT(G40:G44,G84:G88)/SUM(G40:G44)</f>
        <v>0.99386249797480541</v>
      </c>
      <c r="H100" s="457">
        <f>SUMPRODUCT(H39:H43,H83:H87)/SUM(H39:H43)</f>
        <v>1.0078492785262461</v>
      </c>
      <c r="I100" s="457">
        <f>SUMPRODUCT(I38:I42,I82:I86)/SUM(I38:I42)</f>
        <v>1.0005306863401167</v>
      </c>
      <c r="J100" s="457">
        <f>SUMPRODUCT(J37:J41,J81:J85)/SUM(J37:J41)</f>
        <v>1.0186773987806668</v>
      </c>
      <c r="K100" s="457">
        <f>SUMPRODUCT(K36:K40,K80:K84)/SUM(K36:K40)</f>
        <v>0.99609842826611683</v>
      </c>
      <c r="L100" s="457">
        <f>SUMPRODUCT(L35:L39,L79:L83)/SUM(L35:L39)</f>
        <v>1.0007808964633842</v>
      </c>
      <c r="M100" s="457">
        <f>SUMPRODUCT(M34:M38,M78:M82)/SUM(M34:M38)</f>
        <v>1.0003183506506415</v>
      </c>
      <c r="N100" s="457">
        <f>SUMPRODUCT(N33:N37,N77:N81)/SUM(N33:N37)</f>
        <v>0.99999999851034049</v>
      </c>
      <c r="O100" s="457">
        <f>SUMPRODUCT(O32:O36,O76:O80)/SUM(O32:O36)</f>
        <v>0.99999999916847693</v>
      </c>
      <c r="P100" s="457">
        <f>SUMPRODUCT(P31:P35,P75:P79)/SUM(P31:P35)</f>
        <v>0.99999999665404915</v>
      </c>
      <c r="Q100" s="457">
        <f>SUMPRODUCT(Q30:Q34,Q74:Q78)/SUM(Q30:Q34)</f>
        <v>0.99794225515345536</v>
      </c>
      <c r="R100" s="455">
        <v>1</v>
      </c>
      <c r="S100" s="455">
        <v>1</v>
      </c>
      <c r="T100" s="455">
        <v>1</v>
      </c>
      <c r="U100" s="323"/>
      <c r="V100" s="323"/>
      <c r="W100" s="323"/>
      <c r="X100" s="323"/>
      <c r="Y100" s="323"/>
      <c r="Z100" s="323"/>
      <c r="AA100" s="323"/>
      <c r="AB100" s="323"/>
      <c r="AC100" s="323"/>
      <c r="AD100" s="323"/>
      <c r="AE100" s="323"/>
      <c r="AF100" s="323"/>
      <c r="AG100" s="323"/>
      <c r="AH100" s="323"/>
      <c r="AI100" s="323"/>
      <c r="AJ100" s="323"/>
      <c r="AK100" s="323"/>
      <c r="AL100" s="323"/>
    </row>
    <row r="101" spans="1:39">
      <c r="B101" s="456" t="s">
        <v>1058</v>
      </c>
      <c r="C101" s="455"/>
      <c r="D101" s="455"/>
      <c r="E101" s="455"/>
      <c r="F101" s="455"/>
      <c r="G101" s="455"/>
      <c r="H101" s="455"/>
      <c r="I101" s="455"/>
      <c r="J101" s="455"/>
      <c r="K101" s="455"/>
      <c r="L101" s="455"/>
      <c r="M101" s="455"/>
      <c r="N101" s="455"/>
      <c r="O101" s="455"/>
      <c r="P101" s="455"/>
      <c r="Q101" s="455"/>
      <c r="R101" s="455"/>
      <c r="S101" s="455"/>
      <c r="T101" s="455"/>
      <c r="U101" s="323"/>
      <c r="V101" s="323"/>
      <c r="W101" s="323"/>
      <c r="X101" s="323"/>
      <c r="Y101" s="323"/>
      <c r="Z101" s="323"/>
      <c r="AA101" s="323"/>
      <c r="AB101" s="323"/>
      <c r="AC101" s="323"/>
      <c r="AD101" s="323"/>
      <c r="AE101" s="323"/>
      <c r="AF101" s="323"/>
      <c r="AG101" s="323"/>
      <c r="AH101" s="323"/>
      <c r="AI101" s="323"/>
      <c r="AJ101" s="323"/>
      <c r="AK101" s="323"/>
      <c r="AL101" s="323"/>
      <c r="AM101" s="323"/>
    </row>
    <row r="102" spans="1:39">
      <c r="A102" s="458" t="s">
        <v>1059</v>
      </c>
      <c r="B102" s="455">
        <f>SUMPRODUCT(B43:B49,B87:B93)/SUM(B43:B49)</f>
        <v>2.3106907844048594</v>
      </c>
      <c r="C102" s="455">
        <f>SUMPRODUCT(C42:C48,C86:C92)/SUM(C42:C48)</f>
        <v>1.815775546317538</v>
      </c>
      <c r="D102" s="455">
        <f>SUMPRODUCT(D41:D47,D85:D91)/SUM(D41:D47)</f>
        <v>1.2030561190289899</v>
      </c>
      <c r="E102" s="455">
        <f>SUMPRODUCT(E40:E46,E84:E90)/SUM(E40:E46)</f>
        <v>1.1046532772297128</v>
      </c>
      <c r="F102" s="455">
        <f>SUMPRODUCT(F39:F45,F83:F89)/SUM(F39:F45)</f>
        <v>1.0363744778108219</v>
      </c>
      <c r="G102" s="455">
        <f>SUMPRODUCT(G38:G44,G82:G88)/SUM(G38:G44)</f>
        <v>0.99335072761102183</v>
      </c>
      <c r="H102" s="455">
        <f>SUMPRODUCT(H37:H43,H81:H87)/SUM(H37:H43)</f>
        <v>1.0046330614248051</v>
      </c>
      <c r="I102" s="455">
        <f>SUMPRODUCT(I36:I42,I80:I86)/SUM(I36:I42)</f>
        <v>1.0007354447623491</v>
      </c>
      <c r="J102" s="455">
        <f>SUMPRODUCT(J35:J41,J79:J85)/SUM(J35:J41)</f>
        <v>1.0112810978498434</v>
      </c>
      <c r="K102" s="455">
        <f>SUMPRODUCT(K34:K40,K78:K84)/SUM(K34:K40)</f>
        <v>0.99735602251954247</v>
      </c>
      <c r="L102" s="455">
        <f>SUMPRODUCT(L33:L39,L77:L83)/SUM(L33:L39)</f>
        <v>1.000765612048399</v>
      </c>
      <c r="M102" s="455">
        <f>SUMPRODUCT(M32:M38,M76:M82)/SUM(M32:M38)</f>
        <v>1.0002209612504729</v>
      </c>
      <c r="N102" s="455">
        <f>SUMPRODUCT(N31:N37,N75:N81)/SUM(N31:N37)</f>
        <v>1.0027829985847667</v>
      </c>
      <c r="O102" s="455">
        <f>SUMPRODUCT(O30:O36,O74:O80)/SUM(O30:O36)</f>
        <v>0.99999999947930829</v>
      </c>
      <c r="P102" s="455">
        <f>SUMPRODUCT(P29:P35,P73:P79)/SUM(P29:P35)</f>
        <v>0.99768236450735093</v>
      </c>
      <c r="Q102" s="455">
        <f>SUMPRODUCT(Q28:Q34,Q72:Q78)/SUM(Q28:Q34)</f>
        <v>0.99864552418493202</v>
      </c>
      <c r="R102" s="455">
        <v>1</v>
      </c>
      <c r="S102" s="455">
        <v>1</v>
      </c>
      <c r="T102" s="455">
        <v>1</v>
      </c>
      <c r="U102" s="323"/>
      <c r="V102" s="323"/>
      <c r="W102" s="323"/>
      <c r="X102" s="323"/>
      <c r="Y102" s="323"/>
      <c r="Z102" s="323"/>
      <c r="AA102" s="323"/>
      <c r="AB102" s="323"/>
      <c r="AC102" s="323"/>
      <c r="AD102" s="323"/>
      <c r="AE102" s="323"/>
      <c r="AF102" s="323"/>
      <c r="AG102" s="323"/>
      <c r="AH102" s="323"/>
      <c r="AI102" s="323"/>
      <c r="AJ102" s="323"/>
      <c r="AK102" s="323"/>
      <c r="AL102" s="323"/>
    </row>
    <row r="103" spans="1:39">
      <c r="B103" s="456" t="s">
        <v>1060</v>
      </c>
      <c r="C103" s="455"/>
      <c r="D103" s="455"/>
      <c r="E103" s="455"/>
      <c r="F103" s="455"/>
      <c r="G103" s="455"/>
      <c r="H103" s="455"/>
      <c r="I103" s="455"/>
      <c r="J103" s="455"/>
      <c r="K103" s="455"/>
      <c r="L103" s="455"/>
      <c r="M103" s="455"/>
      <c r="N103" s="455"/>
      <c r="O103" s="455"/>
      <c r="P103" s="455"/>
      <c r="Q103" s="455"/>
      <c r="R103" s="455"/>
      <c r="S103" s="455"/>
      <c r="T103" s="455"/>
      <c r="U103" s="323"/>
      <c r="V103" s="323"/>
      <c r="W103" s="323"/>
      <c r="X103" s="323"/>
      <c r="Y103" s="323"/>
      <c r="Z103" s="323"/>
      <c r="AA103" s="323"/>
      <c r="AB103" s="323"/>
      <c r="AC103" s="323"/>
      <c r="AD103" s="323"/>
      <c r="AE103" s="323"/>
      <c r="AF103" s="323"/>
      <c r="AG103" s="323"/>
      <c r="AH103" s="323"/>
      <c r="AI103" s="323"/>
      <c r="AJ103" s="323"/>
      <c r="AK103" s="323"/>
      <c r="AL103" s="323"/>
      <c r="AM103" s="323"/>
    </row>
    <row r="104" spans="1:39">
      <c r="A104" s="458" t="s">
        <v>1061</v>
      </c>
      <c r="B104" s="455">
        <v>2.4550000000000001</v>
      </c>
      <c r="C104" s="455">
        <v>1.825</v>
      </c>
      <c r="D104" s="455">
        <v>1.2</v>
      </c>
      <c r="E104" s="455">
        <v>1.07</v>
      </c>
      <c r="F104" s="455">
        <v>1.04</v>
      </c>
      <c r="G104" s="455">
        <v>1.0169999999999999</v>
      </c>
      <c r="H104" s="455">
        <v>1.01</v>
      </c>
      <c r="I104" s="455">
        <v>1</v>
      </c>
      <c r="J104" s="455">
        <v>1</v>
      </c>
      <c r="K104" s="455">
        <v>1</v>
      </c>
      <c r="L104" s="455">
        <v>1</v>
      </c>
      <c r="M104" s="455">
        <v>1</v>
      </c>
      <c r="N104" s="455">
        <v>1</v>
      </c>
      <c r="O104" s="455">
        <v>1</v>
      </c>
      <c r="P104" s="455">
        <v>1</v>
      </c>
      <c r="Q104" s="455">
        <v>1</v>
      </c>
      <c r="R104" s="455">
        <v>1</v>
      </c>
      <c r="S104" s="455">
        <v>1</v>
      </c>
      <c r="T104" s="455">
        <v>1</v>
      </c>
      <c r="U104" s="323"/>
      <c r="V104" s="323"/>
      <c r="W104" s="323"/>
      <c r="X104" s="323"/>
      <c r="Y104" s="323"/>
      <c r="Z104" s="323"/>
      <c r="AA104" s="323"/>
      <c r="AB104" s="323"/>
      <c r="AC104" s="323"/>
      <c r="AD104" s="323"/>
      <c r="AE104" s="323"/>
      <c r="AF104" s="323"/>
      <c r="AG104" s="323"/>
      <c r="AH104" s="323"/>
      <c r="AI104" s="323"/>
      <c r="AJ104" s="323"/>
      <c r="AK104" s="323"/>
      <c r="AL104" s="323"/>
    </row>
    <row r="105" spans="1:39">
      <c r="B105" s="455">
        <f>C105*B104</f>
        <v>6.1454693214251996</v>
      </c>
      <c r="C105" s="455">
        <f>D105*C104</f>
        <v>2.5032461594399997</v>
      </c>
      <c r="D105" s="455">
        <f t="shared" ref="D105:O105" si="19">E105*D104</f>
        <v>1.3716417311999998</v>
      </c>
      <c r="E105" s="455">
        <f t="shared" si="19"/>
        <v>1.1430347759999999</v>
      </c>
      <c r="F105" s="455">
        <f t="shared" si="19"/>
        <v>1.0682567999999999</v>
      </c>
      <c r="G105" s="455">
        <f t="shared" si="19"/>
        <v>1.0271699999999999</v>
      </c>
      <c r="H105" s="455">
        <f t="shared" si="19"/>
        <v>1.01</v>
      </c>
      <c r="I105" s="455">
        <f t="shared" si="19"/>
        <v>1</v>
      </c>
      <c r="J105" s="455">
        <f t="shared" si="19"/>
        <v>1</v>
      </c>
      <c r="K105" s="455">
        <f t="shared" si="19"/>
        <v>1</v>
      </c>
      <c r="L105" s="455">
        <f t="shared" si="19"/>
        <v>1</v>
      </c>
      <c r="M105" s="455">
        <f t="shared" si="19"/>
        <v>1</v>
      </c>
      <c r="N105" s="455">
        <f t="shared" si="19"/>
        <v>1</v>
      </c>
      <c r="O105" s="455">
        <f t="shared" si="19"/>
        <v>1</v>
      </c>
      <c r="P105" s="455">
        <f>Q105*P104</f>
        <v>1</v>
      </c>
      <c r="Q105" s="455">
        <f>Q104</f>
        <v>1</v>
      </c>
      <c r="R105" s="455">
        <v>1</v>
      </c>
      <c r="S105" s="455">
        <v>1</v>
      </c>
      <c r="T105" s="455">
        <v>1</v>
      </c>
      <c r="U105" s="323"/>
      <c r="V105" s="323"/>
      <c r="W105" s="323"/>
      <c r="X105" s="323"/>
      <c r="Y105" s="323"/>
      <c r="Z105" s="323"/>
      <c r="AA105" s="323"/>
      <c r="AB105" s="323"/>
      <c r="AC105" s="323"/>
      <c r="AD105" s="323"/>
      <c r="AE105" s="323"/>
      <c r="AF105" s="323"/>
      <c r="AG105" s="323"/>
      <c r="AH105" s="323"/>
      <c r="AI105" s="323"/>
      <c r="AJ105" s="323"/>
      <c r="AK105" s="323"/>
      <c r="AL105" s="323"/>
      <c r="AM105" s="323"/>
    </row>
    <row r="106" spans="1:39">
      <c r="B106" s="455"/>
      <c r="C106" s="455"/>
      <c r="D106" s="455"/>
      <c r="E106" s="455"/>
      <c r="F106" s="455"/>
      <c r="G106" s="455"/>
      <c r="H106" s="455"/>
      <c r="I106" s="455"/>
      <c r="J106" s="455"/>
      <c r="K106" s="455"/>
      <c r="L106" s="455"/>
      <c r="M106" s="455"/>
      <c r="N106" s="455"/>
      <c r="O106" s="455"/>
      <c r="P106" s="455"/>
      <c r="Q106" s="455"/>
      <c r="R106" s="455"/>
      <c r="S106" s="455"/>
      <c r="T106" s="455"/>
      <c r="U106" s="323"/>
      <c r="V106" s="323"/>
      <c r="W106" s="323"/>
      <c r="X106" s="323"/>
      <c r="Y106" s="323"/>
      <c r="Z106" s="323"/>
      <c r="AA106" s="323"/>
      <c r="AB106" s="323"/>
      <c r="AC106" s="323"/>
      <c r="AD106" s="323"/>
      <c r="AE106" s="323"/>
      <c r="AF106" s="323"/>
      <c r="AG106" s="323"/>
      <c r="AH106" s="323"/>
      <c r="AI106" s="323"/>
      <c r="AJ106" s="323"/>
      <c r="AK106" s="323"/>
      <c r="AL106" s="323"/>
      <c r="AM106" s="323"/>
    </row>
    <row r="107" spans="1:39">
      <c r="A107" s="446" t="s">
        <v>1062</v>
      </c>
      <c r="B107" s="455">
        <f>B104</f>
        <v>2.4550000000000001</v>
      </c>
      <c r="C107" s="455">
        <f t="shared" ref="C107:R107" si="20">C104</f>
        <v>1.825</v>
      </c>
      <c r="D107" s="455">
        <f t="shared" si="20"/>
        <v>1.2</v>
      </c>
      <c r="E107" s="455">
        <f t="shared" si="20"/>
        <v>1.07</v>
      </c>
      <c r="F107" s="455">
        <f t="shared" si="20"/>
        <v>1.04</v>
      </c>
      <c r="G107" s="455">
        <f t="shared" si="20"/>
        <v>1.0169999999999999</v>
      </c>
      <c r="H107" s="455">
        <f t="shared" si="20"/>
        <v>1.01</v>
      </c>
      <c r="I107" s="455">
        <f t="shared" si="20"/>
        <v>1</v>
      </c>
      <c r="J107" s="455">
        <f t="shared" si="20"/>
        <v>1</v>
      </c>
      <c r="K107" s="455">
        <f t="shared" si="20"/>
        <v>1</v>
      </c>
      <c r="L107" s="455">
        <f t="shared" si="20"/>
        <v>1</v>
      </c>
      <c r="M107" s="455">
        <f t="shared" si="20"/>
        <v>1</v>
      </c>
      <c r="N107" s="455">
        <f t="shared" si="20"/>
        <v>1</v>
      </c>
      <c r="O107" s="455">
        <f t="shared" si="20"/>
        <v>1</v>
      </c>
      <c r="P107" s="455">
        <f t="shared" si="20"/>
        <v>1</v>
      </c>
      <c r="Q107" s="455">
        <f t="shared" si="20"/>
        <v>1</v>
      </c>
      <c r="R107" s="455">
        <f t="shared" si="20"/>
        <v>1</v>
      </c>
      <c r="S107" s="455">
        <v>1</v>
      </c>
      <c r="T107" s="455">
        <v>1</v>
      </c>
      <c r="U107" s="323"/>
      <c r="V107" s="323"/>
      <c r="W107" s="323"/>
      <c r="X107" s="323"/>
      <c r="Y107" s="323"/>
      <c r="Z107" s="323"/>
      <c r="AA107" s="323"/>
      <c r="AB107" s="323"/>
      <c r="AC107" s="323"/>
      <c r="AD107" s="323"/>
      <c r="AE107" s="323"/>
      <c r="AF107" s="323"/>
      <c r="AG107" s="323"/>
      <c r="AH107" s="323"/>
      <c r="AI107" s="323"/>
      <c r="AJ107" s="323"/>
      <c r="AK107" s="323"/>
      <c r="AL107" s="323"/>
      <c r="AM107" s="323"/>
    </row>
    <row r="108" spans="1:39">
      <c r="A108" s="444" t="s">
        <v>780</v>
      </c>
      <c r="B108" s="455">
        <f>C108*B107</f>
        <v>6.1454693214251996</v>
      </c>
      <c r="C108" s="455">
        <f>D108*C107</f>
        <v>2.5032461594399997</v>
      </c>
      <c r="D108" s="455">
        <f t="shared" ref="D108:O108" si="21">E108*D107</f>
        <v>1.3716417311999998</v>
      </c>
      <c r="E108" s="455">
        <f t="shared" si="21"/>
        <v>1.1430347759999999</v>
      </c>
      <c r="F108" s="455">
        <f t="shared" si="21"/>
        <v>1.0682567999999999</v>
      </c>
      <c r="G108" s="455">
        <f t="shared" si="21"/>
        <v>1.0271699999999999</v>
      </c>
      <c r="H108" s="455">
        <f t="shared" si="21"/>
        <v>1.01</v>
      </c>
      <c r="I108" s="455">
        <f t="shared" si="21"/>
        <v>1</v>
      </c>
      <c r="J108" s="455">
        <f t="shared" si="21"/>
        <v>1</v>
      </c>
      <c r="K108" s="455">
        <f t="shared" si="21"/>
        <v>1</v>
      </c>
      <c r="L108" s="455">
        <f t="shared" si="21"/>
        <v>1</v>
      </c>
      <c r="M108" s="455">
        <f t="shared" si="21"/>
        <v>1</v>
      </c>
      <c r="N108" s="455">
        <f t="shared" si="21"/>
        <v>1</v>
      </c>
      <c r="O108" s="455">
        <f t="shared" si="21"/>
        <v>1</v>
      </c>
      <c r="P108" s="455">
        <f>Q108*P107</f>
        <v>1</v>
      </c>
      <c r="Q108" s="455">
        <f>Q107</f>
        <v>1</v>
      </c>
      <c r="R108" s="455">
        <v>1</v>
      </c>
      <c r="S108" s="455">
        <v>1</v>
      </c>
      <c r="T108" s="455">
        <v>1</v>
      </c>
      <c r="U108" s="323">
        <v>1</v>
      </c>
      <c r="V108" s="323"/>
      <c r="W108" s="323"/>
      <c r="X108" s="323"/>
      <c r="Y108" s="323"/>
      <c r="Z108" s="323"/>
      <c r="AA108" s="323"/>
      <c r="AB108" s="323"/>
      <c r="AC108" s="323"/>
      <c r="AD108" s="323"/>
      <c r="AE108" s="323"/>
      <c r="AF108" s="323"/>
      <c r="AG108" s="323"/>
      <c r="AH108" s="323"/>
      <c r="AI108" s="323"/>
      <c r="AJ108" s="323"/>
      <c r="AK108" s="323"/>
      <c r="AL108" s="323"/>
      <c r="AM108" s="323"/>
    </row>
    <row r="114" spans="1:18">
      <c r="B114" s="6" t="s">
        <v>122</v>
      </c>
      <c r="C114" s="444" t="s">
        <v>1592</v>
      </c>
    </row>
    <row r="115" spans="1:18">
      <c r="A115" s="455"/>
      <c r="B115" s="6" t="s">
        <v>123</v>
      </c>
      <c r="C115" s="6" t="s">
        <v>302</v>
      </c>
      <c r="D115" s="455"/>
      <c r="E115" s="455"/>
      <c r="F115" s="455"/>
      <c r="G115" s="455"/>
      <c r="H115" s="455"/>
      <c r="I115" s="455"/>
      <c r="J115" s="455"/>
      <c r="K115" s="455"/>
      <c r="L115" s="455"/>
      <c r="M115" s="455"/>
      <c r="N115" s="455"/>
      <c r="O115" s="455"/>
      <c r="P115" s="455"/>
      <c r="Q115" s="455"/>
      <c r="R115" s="455"/>
    </row>
    <row r="116" spans="1:18">
      <c r="B116" s="106" t="s">
        <v>27</v>
      </c>
      <c r="C116" s="118" t="s">
        <v>33</v>
      </c>
    </row>
    <row r="117" spans="1:18">
      <c r="B117" s="1"/>
    </row>
    <row r="118" spans="1:18">
      <c r="B118" s="6">
        <v>239</v>
      </c>
      <c r="C118" s="455">
        <f>U108</f>
        <v>1</v>
      </c>
    </row>
    <row r="119" spans="1:18">
      <c r="B119" s="6">
        <v>227</v>
      </c>
      <c r="C119" s="455">
        <f>T108</f>
        <v>1</v>
      </c>
    </row>
    <row r="120" spans="1:18">
      <c r="B120" s="6">
        <v>215</v>
      </c>
      <c r="C120" s="455">
        <f>S108</f>
        <v>1</v>
      </c>
    </row>
    <row r="121" spans="1:18">
      <c r="B121" s="6">
        <v>203</v>
      </c>
      <c r="C121" s="455">
        <f>R108</f>
        <v>1</v>
      </c>
    </row>
    <row r="122" spans="1:18">
      <c r="B122" s="6">
        <v>191</v>
      </c>
      <c r="C122" s="455">
        <f>Q108</f>
        <v>1</v>
      </c>
    </row>
    <row r="123" spans="1:18">
      <c r="B123" s="6">
        <v>179</v>
      </c>
      <c r="C123" s="455">
        <f>P108</f>
        <v>1</v>
      </c>
    </row>
    <row r="124" spans="1:18">
      <c r="B124" s="6">
        <v>167</v>
      </c>
      <c r="C124" s="455">
        <f>O108</f>
        <v>1</v>
      </c>
    </row>
    <row r="125" spans="1:18">
      <c r="B125" s="6">
        <v>155</v>
      </c>
      <c r="C125" s="455">
        <f>N108</f>
        <v>1</v>
      </c>
    </row>
    <row r="126" spans="1:18">
      <c r="B126" s="6">
        <v>143</v>
      </c>
      <c r="C126" s="455">
        <f>M108</f>
        <v>1</v>
      </c>
    </row>
    <row r="127" spans="1:18">
      <c r="B127" s="6">
        <v>131</v>
      </c>
      <c r="C127" s="455">
        <f>L108</f>
        <v>1</v>
      </c>
    </row>
    <row r="128" spans="1:18">
      <c r="B128" s="6">
        <v>119</v>
      </c>
      <c r="C128" s="455">
        <f>K108</f>
        <v>1</v>
      </c>
    </row>
    <row r="129" spans="2:3">
      <c r="B129" s="6">
        <v>107</v>
      </c>
      <c r="C129" s="455">
        <f>J108</f>
        <v>1</v>
      </c>
    </row>
    <row r="130" spans="2:3">
      <c r="B130" s="6">
        <v>95</v>
      </c>
      <c r="C130" s="455">
        <f>I108</f>
        <v>1</v>
      </c>
    </row>
    <row r="131" spans="2:3">
      <c r="B131" s="6">
        <v>83</v>
      </c>
      <c r="C131" s="455">
        <f>H108</f>
        <v>1.01</v>
      </c>
    </row>
    <row r="132" spans="2:3">
      <c r="B132" s="6">
        <v>71</v>
      </c>
      <c r="C132" s="455">
        <f>G108</f>
        <v>1.0271699999999999</v>
      </c>
    </row>
    <row r="133" spans="2:3">
      <c r="B133" s="6">
        <v>59</v>
      </c>
      <c r="C133" s="455">
        <f>F108</f>
        <v>1.0682567999999999</v>
      </c>
    </row>
    <row r="134" spans="2:3">
      <c r="B134" s="6">
        <v>47</v>
      </c>
      <c r="C134" s="455">
        <f>E108</f>
        <v>1.1430347759999999</v>
      </c>
    </row>
    <row r="135" spans="2:3">
      <c r="B135" s="6">
        <v>35</v>
      </c>
      <c r="C135" s="455">
        <f>D108</f>
        <v>1.3716417311999998</v>
      </c>
    </row>
    <row r="136" spans="2:3">
      <c r="B136" s="6">
        <v>23</v>
      </c>
      <c r="C136" s="455">
        <f>C108</f>
        <v>2.5032461594399997</v>
      </c>
    </row>
    <row r="137" spans="2:3">
      <c r="B137" s="6">
        <v>11</v>
      </c>
      <c r="C137" s="455">
        <f>B108</f>
        <v>6.1454693214251996</v>
      </c>
    </row>
  </sheetData>
  <printOptions horizontalCentered="1"/>
  <pageMargins left="0.7" right="0.7" top="0.75" bottom="0.75" header="0.3" footer="0.3"/>
  <pageSetup scale="36" orientation="portrait" r:id="rId1"/>
  <rowBreaks count="1" manualBreakCount="1">
    <brk id="51" max="16383" man="1"/>
  </rowBreaks>
  <colBreaks count="1" manualBreakCount="1">
    <brk id="21" max="1048575" man="1"/>
  </colBreak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118">
    <tabColor rgb="FF92D050"/>
    <pageSetUpPr fitToPage="1"/>
  </sheetPr>
  <dimension ref="A1:AM137"/>
  <sheetViews>
    <sheetView zoomScaleNormal="100" workbookViewId="0"/>
  </sheetViews>
  <sheetFormatPr baseColWidth="10" defaultColWidth="7.42578125" defaultRowHeight="15"/>
  <cols>
    <col min="1" max="1" width="11.7109375" style="444" customWidth="1"/>
    <col min="2" max="20" width="9.140625" style="444" customWidth="1"/>
    <col min="21" max="39" width="9.5703125" style="316" customWidth="1"/>
    <col min="40" max="16384" width="7.42578125" style="316"/>
  </cols>
  <sheetData>
    <row r="1" spans="1:39">
      <c r="A1" s="443" t="s">
        <v>1026</v>
      </c>
      <c r="T1" s="549" t="s">
        <v>1063</v>
      </c>
    </row>
    <row r="2" spans="1:39">
      <c r="A2" s="445" t="s">
        <v>1027</v>
      </c>
      <c r="T2" s="549" t="s">
        <v>45</v>
      </c>
    </row>
    <row r="3" spans="1:39">
      <c r="A3" s="445" t="s">
        <v>1028</v>
      </c>
    </row>
    <row r="4" spans="1:39">
      <c r="A4" s="445" t="s">
        <v>1029</v>
      </c>
    </row>
    <row r="5" spans="1:39">
      <c r="A5" s="445" t="s">
        <v>59</v>
      </c>
    </row>
    <row r="6" spans="1:39">
      <c r="A6" s="445" t="s">
        <v>260</v>
      </c>
    </row>
    <row r="7" spans="1:39">
      <c r="A7" s="445" t="str">
        <f>'Exhibit R,S1'!A7</f>
        <v>Data Evaluated as of 11/30/2022</v>
      </c>
    </row>
    <row r="9" spans="1:39">
      <c r="B9" s="446" t="s">
        <v>1030</v>
      </c>
    </row>
    <row r="10" spans="1:39" ht="16">
      <c r="A10" s="447" t="s">
        <v>170</v>
      </c>
      <c r="B10" s="448">
        <v>11</v>
      </c>
      <c r="C10" s="448">
        <v>23</v>
      </c>
      <c r="D10" s="448">
        <v>35</v>
      </c>
      <c r="E10" s="448">
        <v>47</v>
      </c>
      <c r="F10" s="448">
        <v>59</v>
      </c>
      <c r="G10" s="448">
        <v>71</v>
      </c>
      <c r="H10" s="448">
        <v>83</v>
      </c>
      <c r="I10" s="448">
        <v>95</v>
      </c>
      <c r="J10" s="448">
        <v>107</v>
      </c>
      <c r="K10" s="448">
        <v>119</v>
      </c>
      <c r="L10" s="448">
        <v>131</v>
      </c>
      <c r="M10" s="448">
        <v>143</v>
      </c>
      <c r="N10" s="448">
        <v>155</v>
      </c>
      <c r="O10" s="448">
        <v>167</v>
      </c>
      <c r="P10" s="448">
        <v>179</v>
      </c>
      <c r="Q10" s="448">
        <v>191</v>
      </c>
      <c r="R10" s="448">
        <v>203</v>
      </c>
      <c r="S10" s="448">
        <v>215</v>
      </c>
      <c r="T10" s="448">
        <v>227</v>
      </c>
      <c r="U10" s="329"/>
      <c r="V10" s="329"/>
      <c r="W10" s="329"/>
      <c r="X10" s="329"/>
      <c r="Y10" s="329"/>
      <c r="Z10" s="329"/>
      <c r="AA10" s="329"/>
      <c r="AB10" s="329"/>
      <c r="AC10" s="329"/>
      <c r="AD10" s="329"/>
      <c r="AE10" s="329"/>
      <c r="AF10" s="329"/>
      <c r="AG10" s="329"/>
      <c r="AH10" s="329"/>
      <c r="AI10" s="329"/>
      <c r="AJ10" s="329"/>
      <c r="AK10" s="329"/>
      <c r="AL10" s="329"/>
      <c r="AM10" s="329"/>
    </row>
    <row r="11" spans="1:39">
      <c r="A11" s="449"/>
      <c r="B11" s="449"/>
      <c r="C11" s="449"/>
      <c r="D11" s="449"/>
      <c r="E11" s="449"/>
      <c r="F11" s="449"/>
      <c r="G11" s="449"/>
      <c r="H11" s="449"/>
      <c r="I11" s="449"/>
      <c r="J11" s="449"/>
      <c r="K11" s="449"/>
      <c r="L11" s="449"/>
      <c r="M11" s="449"/>
      <c r="N11" s="449"/>
      <c r="O11" s="449"/>
      <c r="P11" s="449"/>
      <c r="Q11" s="449"/>
      <c r="R11" s="449"/>
      <c r="S11" s="449"/>
      <c r="T11" s="449"/>
      <c r="U11" s="318"/>
      <c r="V11" s="318"/>
      <c r="W11" s="318"/>
      <c r="X11" s="318"/>
      <c r="Y11" s="318"/>
      <c r="Z11" s="318"/>
      <c r="AA11" s="318"/>
      <c r="AB11" s="318"/>
      <c r="AC11" s="318"/>
      <c r="AD11" s="318"/>
      <c r="AE11" s="318"/>
      <c r="AF11" s="318"/>
      <c r="AG11" s="318"/>
      <c r="AH11" s="318"/>
      <c r="AI11" s="318"/>
      <c r="AJ11" s="318"/>
      <c r="AK11" s="318"/>
      <c r="AL11" s="318"/>
      <c r="AM11" s="318"/>
    </row>
    <row r="12" spans="1:39">
      <c r="A12" s="449"/>
      <c r="B12" s="450"/>
      <c r="C12" s="450"/>
      <c r="D12" s="450"/>
      <c r="E12" s="450"/>
      <c r="F12" s="450"/>
      <c r="G12" s="450"/>
      <c r="H12" s="450"/>
      <c r="I12" s="450"/>
      <c r="J12" s="450"/>
      <c r="K12" s="450"/>
      <c r="L12" s="450"/>
      <c r="M12" s="450"/>
      <c r="N12" s="450"/>
      <c r="O12" s="450"/>
      <c r="P12" s="450"/>
      <c r="Q12" s="450"/>
      <c r="R12" s="450"/>
      <c r="S12" s="450"/>
      <c r="T12" s="450"/>
    </row>
    <row r="13" spans="1:39">
      <c r="A13" s="449">
        <f>'Exhibit R,S1'!A13</f>
        <v>1985</v>
      </c>
      <c r="B13" s="450" t="s">
        <v>1031</v>
      </c>
      <c r="C13" s="450" t="s">
        <v>1031</v>
      </c>
      <c r="D13" s="450" t="s">
        <v>1031</v>
      </c>
      <c r="E13" s="450" t="s">
        <v>1031</v>
      </c>
      <c r="F13" s="450" t="s">
        <v>1031</v>
      </c>
      <c r="G13" s="450" t="s">
        <v>1031</v>
      </c>
      <c r="H13" s="450" t="s">
        <v>1031</v>
      </c>
      <c r="I13" s="450" t="s">
        <v>1031</v>
      </c>
      <c r="J13" s="450" t="s">
        <v>1031</v>
      </c>
      <c r="K13" s="450" t="s">
        <v>1031</v>
      </c>
      <c r="L13" s="450" t="s">
        <v>1031</v>
      </c>
      <c r="M13" s="450" t="s">
        <v>1031</v>
      </c>
      <c r="N13" s="450" t="s">
        <v>1031</v>
      </c>
      <c r="O13" s="450" t="s">
        <v>1031</v>
      </c>
      <c r="P13" s="450" t="s">
        <v>1031</v>
      </c>
      <c r="Q13" s="450" t="s">
        <v>1031</v>
      </c>
      <c r="R13" s="450" t="s">
        <v>1031</v>
      </c>
      <c r="S13" s="450" t="s">
        <v>1031</v>
      </c>
      <c r="T13" s="450" t="s">
        <v>1031</v>
      </c>
      <c r="U13" s="324"/>
      <c r="V13" s="324"/>
      <c r="W13" s="324"/>
      <c r="X13" s="324"/>
      <c r="Y13" s="324"/>
      <c r="Z13" s="324"/>
      <c r="AA13" s="324"/>
      <c r="AB13" s="324"/>
      <c r="AC13" s="324"/>
      <c r="AD13" s="324"/>
      <c r="AE13" s="324"/>
      <c r="AF13" s="324"/>
      <c r="AG13" s="324"/>
      <c r="AH13" s="324"/>
      <c r="AI13" s="324"/>
      <c r="AJ13" s="324"/>
      <c r="AK13" s="324"/>
      <c r="AL13" s="324"/>
      <c r="AM13" s="324"/>
    </row>
    <row r="14" spans="1:39">
      <c r="A14" s="449">
        <f>A13+1</f>
        <v>1986</v>
      </c>
      <c r="B14" s="450" t="s">
        <v>1031</v>
      </c>
      <c r="C14" s="450" t="s">
        <v>1031</v>
      </c>
      <c r="D14" s="450" t="s">
        <v>1031</v>
      </c>
      <c r="E14" s="450" t="s">
        <v>1031</v>
      </c>
      <c r="F14" s="450" t="s">
        <v>1031</v>
      </c>
      <c r="G14" s="450" t="s">
        <v>1031</v>
      </c>
      <c r="H14" s="450" t="s">
        <v>1031</v>
      </c>
      <c r="I14" s="450" t="s">
        <v>1031</v>
      </c>
      <c r="J14" s="450" t="s">
        <v>1031</v>
      </c>
      <c r="K14" s="450" t="s">
        <v>1031</v>
      </c>
      <c r="L14" s="450" t="s">
        <v>1031</v>
      </c>
      <c r="M14" s="450" t="s">
        <v>1031</v>
      </c>
      <c r="N14" s="450" t="s">
        <v>1031</v>
      </c>
      <c r="O14" s="450" t="s">
        <v>1031</v>
      </c>
      <c r="P14" s="450" t="s">
        <v>1031</v>
      </c>
      <c r="Q14" s="450" t="s">
        <v>1031</v>
      </c>
      <c r="R14" s="450" t="s">
        <v>1031</v>
      </c>
      <c r="S14" s="450" t="s">
        <v>1031</v>
      </c>
      <c r="T14" s="450" t="s">
        <v>1031</v>
      </c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324"/>
      <c r="AF14" s="324"/>
      <c r="AG14" s="324"/>
      <c r="AH14" s="324"/>
      <c r="AI14" s="324"/>
      <c r="AJ14" s="324"/>
      <c r="AK14" s="324"/>
      <c r="AL14" s="324"/>
      <c r="AM14" s="324"/>
    </row>
    <row r="15" spans="1:39">
      <c r="A15" s="449">
        <f t="shared" ref="A15:A50" si="0">A14+1</f>
        <v>1987</v>
      </c>
      <c r="B15" s="450" t="s">
        <v>1031</v>
      </c>
      <c r="C15" s="450" t="s">
        <v>1031</v>
      </c>
      <c r="D15" s="450" t="s">
        <v>1031</v>
      </c>
      <c r="E15" s="450" t="s">
        <v>1031</v>
      </c>
      <c r="F15" s="450" t="s">
        <v>1031</v>
      </c>
      <c r="G15" s="450" t="s">
        <v>1031</v>
      </c>
      <c r="H15" s="450" t="s">
        <v>1031</v>
      </c>
      <c r="I15" s="450" t="s">
        <v>1031</v>
      </c>
      <c r="J15" s="450" t="s">
        <v>1031</v>
      </c>
      <c r="K15" s="450" t="s">
        <v>1031</v>
      </c>
      <c r="L15" s="450" t="s">
        <v>1031</v>
      </c>
      <c r="M15" s="450" t="s">
        <v>1031</v>
      </c>
      <c r="N15" s="450" t="s">
        <v>1031</v>
      </c>
      <c r="O15" s="450" t="s">
        <v>1031</v>
      </c>
      <c r="P15" s="450" t="s">
        <v>1031</v>
      </c>
      <c r="Q15" s="450" t="s">
        <v>1031</v>
      </c>
      <c r="R15" s="450" t="s">
        <v>1031</v>
      </c>
      <c r="S15" s="450" t="s">
        <v>1031</v>
      </c>
      <c r="T15" s="450" t="s">
        <v>1031</v>
      </c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324"/>
      <c r="AF15" s="324"/>
      <c r="AG15" s="324"/>
      <c r="AH15" s="324"/>
      <c r="AI15" s="324"/>
      <c r="AJ15" s="324"/>
      <c r="AK15" s="324"/>
      <c r="AL15" s="324"/>
      <c r="AM15" s="324"/>
    </row>
    <row r="16" spans="1:39">
      <c r="A16" s="449">
        <f t="shared" si="0"/>
        <v>1988</v>
      </c>
      <c r="B16" s="450" t="s">
        <v>1031</v>
      </c>
      <c r="C16" s="450" t="s">
        <v>1031</v>
      </c>
      <c r="D16" s="450" t="s">
        <v>1031</v>
      </c>
      <c r="E16" s="450" t="s">
        <v>1031</v>
      </c>
      <c r="F16" s="450" t="s">
        <v>1031</v>
      </c>
      <c r="G16" s="450" t="s">
        <v>1031</v>
      </c>
      <c r="H16" s="450" t="s">
        <v>1031</v>
      </c>
      <c r="I16" s="450" t="s">
        <v>1031</v>
      </c>
      <c r="J16" s="450" t="s">
        <v>1031</v>
      </c>
      <c r="K16" s="450" t="s">
        <v>1031</v>
      </c>
      <c r="L16" s="450" t="s">
        <v>1031</v>
      </c>
      <c r="M16" s="450" t="s">
        <v>1031</v>
      </c>
      <c r="N16" s="450" t="s">
        <v>1031</v>
      </c>
      <c r="O16" s="450" t="s">
        <v>1031</v>
      </c>
      <c r="P16" s="450" t="s">
        <v>1031</v>
      </c>
      <c r="Q16" s="450" t="s">
        <v>1031</v>
      </c>
      <c r="R16" s="450" t="s">
        <v>1031</v>
      </c>
      <c r="S16" s="450" t="s">
        <v>1031</v>
      </c>
      <c r="T16" s="450" t="s">
        <v>1031</v>
      </c>
      <c r="U16" s="324"/>
      <c r="V16" s="324"/>
      <c r="W16" s="324"/>
      <c r="X16" s="324"/>
      <c r="Y16" s="324"/>
      <c r="Z16" s="324"/>
      <c r="AA16" s="324"/>
      <c r="AB16" s="324"/>
      <c r="AC16" s="324"/>
      <c r="AD16" s="324"/>
      <c r="AE16" s="324"/>
      <c r="AF16" s="324"/>
      <c r="AG16" s="324"/>
      <c r="AH16" s="324"/>
      <c r="AI16" s="324"/>
      <c r="AJ16" s="324"/>
      <c r="AK16" s="324"/>
      <c r="AL16" s="324"/>
      <c r="AM16" s="324"/>
    </row>
    <row r="17" spans="1:39">
      <c r="A17" s="449">
        <f t="shared" si="0"/>
        <v>1989</v>
      </c>
      <c r="B17" s="450" t="s">
        <v>1031</v>
      </c>
      <c r="C17" s="450" t="s">
        <v>1031</v>
      </c>
      <c r="D17" s="450" t="s">
        <v>1031</v>
      </c>
      <c r="E17" s="450" t="s">
        <v>1031</v>
      </c>
      <c r="F17" s="450" t="s">
        <v>1031</v>
      </c>
      <c r="G17" s="450" t="s">
        <v>1031</v>
      </c>
      <c r="H17" s="450" t="s">
        <v>1031</v>
      </c>
      <c r="I17" s="450" t="s">
        <v>1031</v>
      </c>
      <c r="J17" s="450" t="s">
        <v>1031</v>
      </c>
      <c r="K17" s="450" t="s">
        <v>1031</v>
      </c>
      <c r="L17" s="450" t="s">
        <v>1031</v>
      </c>
      <c r="M17" s="450" t="s">
        <v>1031</v>
      </c>
      <c r="N17" s="450" t="s">
        <v>1031</v>
      </c>
      <c r="O17" s="450" t="s">
        <v>1031</v>
      </c>
      <c r="P17" s="450" t="s">
        <v>1031</v>
      </c>
      <c r="Q17" s="450" t="s">
        <v>1031</v>
      </c>
      <c r="R17" s="450" t="s">
        <v>1031</v>
      </c>
      <c r="S17" s="450" t="s">
        <v>1031</v>
      </c>
      <c r="T17" s="450" t="s">
        <v>1031</v>
      </c>
      <c r="U17" s="324"/>
      <c r="V17" s="324"/>
      <c r="W17" s="324"/>
      <c r="X17" s="324"/>
      <c r="Y17" s="324"/>
      <c r="Z17" s="324"/>
      <c r="AA17" s="324"/>
      <c r="AB17" s="324"/>
      <c r="AC17" s="324"/>
      <c r="AD17" s="324"/>
      <c r="AE17" s="324"/>
      <c r="AF17" s="324"/>
      <c r="AG17" s="324"/>
      <c r="AH17" s="324"/>
      <c r="AI17" s="324"/>
      <c r="AJ17" s="324"/>
      <c r="AK17" s="324"/>
      <c r="AL17" s="324"/>
      <c r="AM17" s="324"/>
    </row>
    <row r="18" spans="1:39">
      <c r="A18" s="449">
        <f t="shared" si="0"/>
        <v>1990</v>
      </c>
      <c r="B18" s="450" t="s">
        <v>1031</v>
      </c>
      <c r="C18" s="450" t="s">
        <v>1031</v>
      </c>
      <c r="D18" s="450" t="s">
        <v>1031</v>
      </c>
      <c r="E18" s="450" t="s">
        <v>1031</v>
      </c>
      <c r="F18" s="450" t="s">
        <v>1031</v>
      </c>
      <c r="G18" s="450" t="s">
        <v>1031</v>
      </c>
      <c r="H18" s="450" t="s">
        <v>1031</v>
      </c>
      <c r="I18" s="450" t="s">
        <v>1031</v>
      </c>
      <c r="J18" s="450" t="s">
        <v>1031</v>
      </c>
      <c r="K18" s="450" t="s">
        <v>1031</v>
      </c>
      <c r="L18" s="450" t="s">
        <v>1031</v>
      </c>
      <c r="M18" s="450" t="s">
        <v>1031</v>
      </c>
      <c r="N18" s="450" t="s">
        <v>1031</v>
      </c>
      <c r="O18" s="450" t="s">
        <v>1031</v>
      </c>
      <c r="P18" s="450" t="s">
        <v>1031</v>
      </c>
      <c r="Q18" s="450" t="s">
        <v>1031</v>
      </c>
      <c r="R18" s="450" t="s">
        <v>1031</v>
      </c>
      <c r="S18" s="450" t="s">
        <v>1031</v>
      </c>
      <c r="T18" s="450" t="s">
        <v>1031</v>
      </c>
      <c r="U18" s="324"/>
      <c r="V18" s="324"/>
      <c r="W18" s="324"/>
      <c r="X18" s="324"/>
      <c r="Y18" s="324"/>
      <c r="Z18" s="324"/>
      <c r="AA18" s="324"/>
      <c r="AB18" s="324"/>
      <c r="AC18" s="324"/>
      <c r="AD18" s="324"/>
      <c r="AE18" s="324"/>
      <c r="AF18" s="324"/>
      <c r="AG18" s="324"/>
      <c r="AH18" s="324"/>
      <c r="AI18" s="324"/>
      <c r="AJ18" s="324"/>
      <c r="AK18" s="324"/>
      <c r="AL18" s="324"/>
      <c r="AM18" s="324"/>
    </row>
    <row r="19" spans="1:39">
      <c r="A19" s="449">
        <f t="shared" si="0"/>
        <v>1991</v>
      </c>
      <c r="B19" s="450" t="s">
        <v>1031</v>
      </c>
      <c r="C19" s="450" t="s">
        <v>1031</v>
      </c>
      <c r="D19" s="450" t="s">
        <v>1031</v>
      </c>
      <c r="E19" s="450" t="s">
        <v>1031</v>
      </c>
      <c r="F19" s="450" t="s">
        <v>1031</v>
      </c>
      <c r="G19" s="450" t="s">
        <v>1031</v>
      </c>
      <c r="H19" s="450" t="s">
        <v>1031</v>
      </c>
      <c r="I19" s="450" t="s">
        <v>1031</v>
      </c>
      <c r="J19" s="450" t="s">
        <v>1031</v>
      </c>
      <c r="K19" s="450" t="s">
        <v>1031</v>
      </c>
      <c r="L19" s="450" t="s">
        <v>1031</v>
      </c>
      <c r="M19" s="450" t="s">
        <v>1031</v>
      </c>
      <c r="N19" s="450" t="s">
        <v>1031</v>
      </c>
      <c r="O19" s="450" t="s">
        <v>1031</v>
      </c>
      <c r="P19" s="450" t="s">
        <v>1031</v>
      </c>
      <c r="Q19" s="450" t="s">
        <v>1031</v>
      </c>
      <c r="R19" s="450" t="s">
        <v>1031</v>
      </c>
      <c r="S19" s="450" t="s">
        <v>1031</v>
      </c>
      <c r="T19" s="450" t="s">
        <v>1031</v>
      </c>
      <c r="U19" s="324"/>
      <c r="V19" s="324"/>
      <c r="W19" s="324"/>
      <c r="X19" s="324"/>
      <c r="Y19" s="324"/>
      <c r="Z19" s="324"/>
      <c r="AA19" s="324"/>
      <c r="AB19" s="324"/>
      <c r="AC19" s="324"/>
      <c r="AD19" s="324"/>
      <c r="AE19" s="324"/>
      <c r="AF19" s="324"/>
      <c r="AG19" s="324"/>
      <c r="AH19" s="324"/>
      <c r="AI19" s="324"/>
      <c r="AJ19" s="324"/>
      <c r="AK19" s="324"/>
      <c r="AL19" s="324"/>
      <c r="AM19" s="324"/>
    </row>
    <row r="20" spans="1:39">
      <c r="A20" s="449">
        <f t="shared" si="0"/>
        <v>1992</v>
      </c>
      <c r="B20" s="450" t="s">
        <v>1031</v>
      </c>
      <c r="C20" s="450" t="s">
        <v>1031</v>
      </c>
      <c r="D20" s="450" t="s">
        <v>1031</v>
      </c>
      <c r="E20" s="450" t="s">
        <v>1031</v>
      </c>
      <c r="F20" s="450" t="s">
        <v>1031</v>
      </c>
      <c r="G20" s="450" t="s">
        <v>1031</v>
      </c>
      <c r="H20" s="450" t="s">
        <v>1031</v>
      </c>
      <c r="I20" s="450" t="s">
        <v>1031</v>
      </c>
      <c r="J20" s="450" t="s">
        <v>1031</v>
      </c>
      <c r="K20" s="450" t="s">
        <v>1031</v>
      </c>
      <c r="L20" s="450" t="s">
        <v>1031</v>
      </c>
      <c r="M20" s="450" t="s">
        <v>1031</v>
      </c>
      <c r="N20" s="450" t="s">
        <v>1031</v>
      </c>
      <c r="O20" s="450" t="s">
        <v>1031</v>
      </c>
      <c r="P20" s="450" t="s">
        <v>1031</v>
      </c>
      <c r="Q20" s="450" t="s">
        <v>1031</v>
      </c>
      <c r="R20" s="450" t="s">
        <v>1031</v>
      </c>
      <c r="S20" s="450" t="s">
        <v>1031</v>
      </c>
      <c r="T20" s="450">
        <v>20065644.219999999</v>
      </c>
      <c r="U20" s="324"/>
      <c r="V20" s="324"/>
      <c r="W20" s="324"/>
      <c r="X20" s="324"/>
      <c r="Y20" s="324"/>
      <c r="Z20" s="324"/>
      <c r="AA20" s="324"/>
      <c r="AB20" s="324"/>
      <c r="AC20" s="324"/>
      <c r="AD20" s="324"/>
      <c r="AE20" s="324"/>
      <c r="AF20" s="324"/>
      <c r="AG20" s="324"/>
      <c r="AH20" s="324"/>
      <c r="AI20" s="324"/>
      <c r="AJ20" s="324"/>
      <c r="AK20" s="324"/>
      <c r="AL20" s="324"/>
      <c r="AM20" s="324"/>
    </row>
    <row r="21" spans="1:39">
      <c r="A21" s="449">
        <f t="shared" si="0"/>
        <v>1993</v>
      </c>
      <c r="B21" s="450" t="s">
        <v>1031</v>
      </c>
      <c r="C21" s="450" t="s">
        <v>1031</v>
      </c>
      <c r="D21" s="450" t="s">
        <v>1031</v>
      </c>
      <c r="E21" s="450" t="s">
        <v>1031</v>
      </c>
      <c r="F21" s="450" t="s">
        <v>1031</v>
      </c>
      <c r="G21" s="450" t="s">
        <v>1031</v>
      </c>
      <c r="H21" s="450" t="s">
        <v>1031</v>
      </c>
      <c r="I21" s="450" t="s">
        <v>1031</v>
      </c>
      <c r="J21" s="450" t="s">
        <v>1031</v>
      </c>
      <c r="K21" s="450" t="s">
        <v>1031</v>
      </c>
      <c r="L21" s="450" t="s">
        <v>1031</v>
      </c>
      <c r="M21" s="450" t="s">
        <v>1031</v>
      </c>
      <c r="N21" s="450" t="s">
        <v>1031</v>
      </c>
      <c r="O21" s="450" t="s">
        <v>1031</v>
      </c>
      <c r="P21" s="450" t="s">
        <v>1031</v>
      </c>
      <c r="Q21" s="450" t="s">
        <v>1031</v>
      </c>
      <c r="R21" s="450" t="s">
        <v>1031</v>
      </c>
      <c r="S21" s="450">
        <v>22156898.129999999</v>
      </c>
      <c r="T21" s="450">
        <v>22156898.129999999</v>
      </c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324"/>
      <c r="AF21" s="324"/>
      <c r="AG21" s="324"/>
      <c r="AH21" s="324"/>
      <c r="AI21" s="324"/>
      <c r="AJ21" s="324"/>
      <c r="AK21" s="324"/>
      <c r="AL21" s="324"/>
      <c r="AM21" s="324"/>
    </row>
    <row r="22" spans="1:39">
      <c r="A22" s="449">
        <f t="shared" si="0"/>
        <v>1994</v>
      </c>
      <c r="B22" s="450" t="s">
        <v>1031</v>
      </c>
      <c r="C22" s="450" t="s">
        <v>1031</v>
      </c>
      <c r="D22" s="450" t="s">
        <v>1031</v>
      </c>
      <c r="E22" s="450" t="s">
        <v>1031</v>
      </c>
      <c r="F22" s="450" t="s">
        <v>1031</v>
      </c>
      <c r="G22" s="450" t="s">
        <v>1031</v>
      </c>
      <c r="H22" s="450" t="s">
        <v>1031</v>
      </c>
      <c r="I22" s="450" t="s">
        <v>1031</v>
      </c>
      <c r="J22" s="450" t="s">
        <v>1031</v>
      </c>
      <c r="K22" s="450" t="s">
        <v>1031</v>
      </c>
      <c r="L22" s="450" t="s">
        <v>1031</v>
      </c>
      <c r="M22" s="450" t="s">
        <v>1031</v>
      </c>
      <c r="N22" s="450" t="s">
        <v>1031</v>
      </c>
      <c r="O22" s="450" t="s">
        <v>1031</v>
      </c>
      <c r="P22" s="450" t="s">
        <v>1031</v>
      </c>
      <c r="Q22" s="450" t="s">
        <v>1031</v>
      </c>
      <c r="R22" s="450">
        <v>25659084.629999999</v>
      </c>
      <c r="S22" s="450">
        <v>25659084.629999999</v>
      </c>
      <c r="T22" s="450">
        <v>25659084.629999999</v>
      </c>
      <c r="U22" s="324"/>
      <c r="V22" s="331"/>
      <c r="W22" s="324"/>
      <c r="X22" s="324"/>
      <c r="Y22" s="324"/>
      <c r="Z22" s="324"/>
      <c r="AA22" s="324"/>
      <c r="AB22" s="324"/>
      <c r="AC22" s="324"/>
      <c r="AD22" s="324"/>
      <c r="AE22" s="324"/>
      <c r="AF22" s="324"/>
      <c r="AG22" s="324"/>
      <c r="AH22" s="324"/>
      <c r="AI22" s="324"/>
      <c r="AJ22" s="324"/>
      <c r="AK22" s="324"/>
      <c r="AL22" s="324"/>
      <c r="AM22" s="324"/>
    </row>
    <row r="23" spans="1:39">
      <c r="A23" s="449">
        <f t="shared" si="0"/>
        <v>1995</v>
      </c>
      <c r="B23" s="450" t="s">
        <v>1031</v>
      </c>
      <c r="C23" s="450" t="s">
        <v>1031</v>
      </c>
      <c r="D23" s="450" t="s">
        <v>1031</v>
      </c>
      <c r="E23" s="450" t="s">
        <v>1031</v>
      </c>
      <c r="F23" s="450" t="s">
        <v>1031</v>
      </c>
      <c r="G23" s="450" t="s">
        <v>1031</v>
      </c>
      <c r="H23" s="450" t="s">
        <v>1031</v>
      </c>
      <c r="I23" s="450" t="s">
        <v>1031</v>
      </c>
      <c r="J23" s="450" t="s">
        <v>1031</v>
      </c>
      <c r="K23" s="450" t="s">
        <v>1031</v>
      </c>
      <c r="L23" s="450" t="s">
        <v>1031</v>
      </c>
      <c r="M23" s="450" t="s">
        <v>1031</v>
      </c>
      <c r="N23" s="450" t="s">
        <v>1031</v>
      </c>
      <c r="O23" s="450" t="s">
        <v>1031</v>
      </c>
      <c r="P23" s="450" t="s">
        <v>1031</v>
      </c>
      <c r="Q23" s="450">
        <v>28479344.77</v>
      </c>
      <c r="R23" s="450">
        <v>28479344.77</v>
      </c>
      <c r="S23" s="450">
        <v>28479344.77</v>
      </c>
      <c r="T23" s="450">
        <v>28479344.77</v>
      </c>
      <c r="U23" s="324"/>
      <c r="V23" s="331"/>
      <c r="W23" s="324"/>
      <c r="X23" s="324"/>
      <c r="Y23" s="324"/>
      <c r="Z23" s="324"/>
      <c r="AA23" s="324"/>
      <c r="AB23" s="324"/>
      <c r="AC23" s="324"/>
      <c r="AD23" s="324"/>
      <c r="AE23" s="324"/>
      <c r="AF23" s="324"/>
      <c r="AG23" s="324"/>
      <c r="AH23" s="324"/>
      <c r="AI23" s="324"/>
      <c r="AJ23" s="324"/>
      <c r="AK23" s="324"/>
      <c r="AL23" s="324"/>
      <c r="AM23" s="324"/>
    </row>
    <row r="24" spans="1:39">
      <c r="A24" s="449">
        <f t="shared" si="0"/>
        <v>1996</v>
      </c>
      <c r="B24" s="450" t="s">
        <v>1031</v>
      </c>
      <c r="C24" s="450" t="s">
        <v>1031</v>
      </c>
      <c r="D24" s="450" t="s">
        <v>1031</v>
      </c>
      <c r="E24" s="450" t="s">
        <v>1031</v>
      </c>
      <c r="F24" s="450" t="s">
        <v>1031</v>
      </c>
      <c r="G24" s="450" t="s">
        <v>1031</v>
      </c>
      <c r="H24" s="450" t="s">
        <v>1031</v>
      </c>
      <c r="I24" s="450" t="s">
        <v>1031</v>
      </c>
      <c r="J24" s="450" t="s">
        <v>1031</v>
      </c>
      <c r="K24" s="450" t="s">
        <v>1031</v>
      </c>
      <c r="L24" s="450" t="s">
        <v>1031</v>
      </c>
      <c r="M24" s="450" t="s">
        <v>1031</v>
      </c>
      <c r="N24" s="450" t="s">
        <v>1031</v>
      </c>
      <c r="O24" s="450" t="s">
        <v>1031</v>
      </c>
      <c r="P24" s="450">
        <v>31299722.879999999</v>
      </c>
      <c r="Q24" s="450">
        <v>31299722.879999999</v>
      </c>
      <c r="R24" s="450">
        <v>31299722.879999999</v>
      </c>
      <c r="S24" s="450">
        <v>31299722.879999999</v>
      </c>
      <c r="T24" s="450">
        <v>31299722.879999999</v>
      </c>
      <c r="U24" s="324"/>
      <c r="V24" s="331"/>
      <c r="W24" s="324"/>
      <c r="X24" s="324"/>
      <c r="Y24" s="324"/>
      <c r="Z24" s="324"/>
      <c r="AA24" s="324"/>
      <c r="AB24" s="324"/>
      <c r="AC24" s="324"/>
      <c r="AD24" s="324"/>
      <c r="AE24" s="324"/>
      <c r="AF24" s="324"/>
      <c r="AG24" s="324"/>
      <c r="AH24" s="324"/>
      <c r="AI24" s="324"/>
      <c r="AJ24" s="324"/>
      <c r="AK24" s="324"/>
      <c r="AL24" s="324"/>
      <c r="AM24" s="324"/>
    </row>
    <row r="25" spans="1:39">
      <c r="A25" s="449">
        <f t="shared" si="0"/>
        <v>1997</v>
      </c>
      <c r="B25" s="450" t="s">
        <v>1031</v>
      </c>
      <c r="C25" s="450" t="s">
        <v>1031</v>
      </c>
      <c r="D25" s="450" t="s">
        <v>1031</v>
      </c>
      <c r="E25" s="450" t="s">
        <v>1031</v>
      </c>
      <c r="F25" s="450" t="s">
        <v>1031</v>
      </c>
      <c r="G25" s="450" t="s">
        <v>1031</v>
      </c>
      <c r="H25" s="450" t="s">
        <v>1031</v>
      </c>
      <c r="I25" s="450" t="s">
        <v>1031</v>
      </c>
      <c r="J25" s="450" t="s">
        <v>1031</v>
      </c>
      <c r="K25" s="450" t="s">
        <v>1031</v>
      </c>
      <c r="L25" s="450" t="s">
        <v>1031</v>
      </c>
      <c r="M25" s="450" t="s">
        <v>1031</v>
      </c>
      <c r="N25" s="450" t="s">
        <v>1031</v>
      </c>
      <c r="O25" s="450">
        <v>27182636.030000001</v>
      </c>
      <c r="P25" s="450">
        <v>27182636.030000001</v>
      </c>
      <c r="Q25" s="450">
        <v>27182636.030000001</v>
      </c>
      <c r="R25" s="450">
        <v>27182636.030000001</v>
      </c>
      <c r="S25" s="450">
        <v>27182636.030000001</v>
      </c>
      <c r="T25" s="450">
        <v>27182636.030000001</v>
      </c>
      <c r="U25" s="324"/>
      <c r="V25" s="331"/>
      <c r="W25" s="324"/>
      <c r="X25" s="324"/>
      <c r="Y25" s="324"/>
      <c r="Z25" s="324"/>
      <c r="AA25" s="324"/>
      <c r="AB25" s="324"/>
      <c r="AC25" s="324"/>
      <c r="AD25" s="324"/>
      <c r="AE25" s="324"/>
      <c r="AF25" s="324"/>
      <c r="AG25" s="324"/>
      <c r="AH25" s="324"/>
      <c r="AI25" s="324"/>
      <c r="AJ25" s="324"/>
      <c r="AK25" s="324"/>
      <c r="AL25" s="324"/>
      <c r="AM25" s="324"/>
    </row>
    <row r="26" spans="1:39">
      <c r="A26" s="449">
        <f t="shared" si="0"/>
        <v>1998</v>
      </c>
      <c r="B26" s="450" t="s">
        <v>1031</v>
      </c>
      <c r="C26" s="450" t="s">
        <v>1031</v>
      </c>
      <c r="D26" s="450" t="s">
        <v>1031</v>
      </c>
      <c r="E26" s="450" t="s">
        <v>1031</v>
      </c>
      <c r="F26" s="450" t="s">
        <v>1031</v>
      </c>
      <c r="G26" s="450" t="s">
        <v>1031</v>
      </c>
      <c r="H26" s="450" t="s">
        <v>1031</v>
      </c>
      <c r="I26" s="450" t="s">
        <v>1031</v>
      </c>
      <c r="J26" s="450" t="s">
        <v>1031</v>
      </c>
      <c r="K26" s="450" t="s">
        <v>1031</v>
      </c>
      <c r="L26" s="450" t="s">
        <v>1031</v>
      </c>
      <c r="M26" s="450" t="s">
        <v>1031</v>
      </c>
      <c r="N26" s="450">
        <v>29674464.829999998</v>
      </c>
      <c r="O26" s="450">
        <v>29674464.829999998</v>
      </c>
      <c r="P26" s="450">
        <v>29674464.829999998</v>
      </c>
      <c r="Q26" s="450">
        <v>29674464.829999998</v>
      </c>
      <c r="R26" s="450">
        <v>29674464.829999998</v>
      </c>
      <c r="S26" s="450">
        <v>29674464.829999998</v>
      </c>
      <c r="T26" s="450">
        <v>29674464.829999998</v>
      </c>
      <c r="U26" s="324"/>
      <c r="V26" s="331"/>
      <c r="W26" s="324"/>
      <c r="X26" s="324"/>
      <c r="Y26" s="324"/>
      <c r="Z26" s="324"/>
      <c r="AA26" s="324"/>
      <c r="AB26" s="324"/>
      <c r="AC26" s="324"/>
      <c r="AD26" s="324"/>
      <c r="AE26" s="324"/>
      <c r="AF26" s="324"/>
      <c r="AG26" s="324"/>
      <c r="AH26" s="324"/>
      <c r="AI26" s="324"/>
      <c r="AJ26" s="324"/>
      <c r="AK26" s="324"/>
      <c r="AL26" s="324"/>
      <c r="AM26" s="324"/>
    </row>
    <row r="27" spans="1:39">
      <c r="A27" s="449">
        <f t="shared" si="0"/>
        <v>1999</v>
      </c>
      <c r="B27" s="450" t="s">
        <v>1031</v>
      </c>
      <c r="C27" s="450" t="s">
        <v>1031</v>
      </c>
      <c r="D27" s="450" t="s">
        <v>1031</v>
      </c>
      <c r="E27" s="450" t="s">
        <v>1031</v>
      </c>
      <c r="F27" s="450" t="s">
        <v>1031</v>
      </c>
      <c r="G27" s="450" t="s">
        <v>1031</v>
      </c>
      <c r="H27" s="450" t="s">
        <v>1031</v>
      </c>
      <c r="I27" s="450" t="s">
        <v>1031</v>
      </c>
      <c r="J27" s="450" t="s">
        <v>1031</v>
      </c>
      <c r="K27" s="450" t="s">
        <v>1031</v>
      </c>
      <c r="L27" s="450" t="s">
        <v>1031</v>
      </c>
      <c r="M27" s="450">
        <v>35708087.969999999</v>
      </c>
      <c r="N27" s="450">
        <v>35712327.369999997</v>
      </c>
      <c r="O27" s="450">
        <v>35714196.369999997</v>
      </c>
      <c r="P27" s="450">
        <v>35715736.869999997</v>
      </c>
      <c r="Q27" s="450">
        <v>35706421.369999997</v>
      </c>
      <c r="R27" s="450">
        <v>35706421.369999997</v>
      </c>
      <c r="S27" s="450">
        <v>35706421.369999997</v>
      </c>
      <c r="T27" s="450">
        <v>35706421.369999997</v>
      </c>
      <c r="U27" s="324"/>
      <c r="V27" s="331"/>
      <c r="W27" s="324"/>
      <c r="X27" s="324"/>
      <c r="Y27" s="324"/>
      <c r="Z27" s="324"/>
      <c r="AA27" s="324"/>
      <c r="AB27" s="324"/>
      <c r="AC27" s="324"/>
      <c r="AD27" s="324"/>
      <c r="AE27" s="324"/>
      <c r="AF27" s="324"/>
      <c r="AG27" s="324"/>
      <c r="AH27" s="324"/>
      <c r="AI27" s="324"/>
      <c r="AJ27" s="324"/>
      <c r="AK27" s="324"/>
      <c r="AL27" s="324"/>
      <c r="AM27" s="324"/>
    </row>
    <row r="28" spans="1:39">
      <c r="A28" s="449">
        <f t="shared" si="0"/>
        <v>2000</v>
      </c>
      <c r="B28" s="450" t="s">
        <v>1031</v>
      </c>
      <c r="C28" s="450" t="s">
        <v>1031</v>
      </c>
      <c r="D28" s="450" t="s">
        <v>1031</v>
      </c>
      <c r="E28" s="450" t="s">
        <v>1031</v>
      </c>
      <c r="F28" s="450" t="s">
        <v>1031</v>
      </c>
      <c r="G28" s="450" t="s">
        <v>1031</v>
      </c>
      <c r="H28" s="450" t="s">
        <v>1031</v>
      </c>
      <c r="I28" s="450" t="s">
        <v>1031</v>
      </c>
      <c r="J28" s="450" t="s">
        <v>1031</v>
      </c>
      <c r="K28" s="450" t="s">
        <v>1031</v>
      </c>
      <c r="L28" s="450">
        <v>28661734.640000001</v>
      </c>
      <c r="M28" s="450">
        <v>28661734.640000001</v>
      </c>
      <c r="N28" s="450">
        <v>28661734.640000001</v>
      </c>
      <c r="O28" s="450">
        <v>28661734.640000001</v>
      </c>
      <c r="P28" s="450">
        <v>28661734.640000001</v>
      </c>
      <c r="Q28" s="450">
        <v>28661734.640000001</v>
      </c>
      <c r="R28" s="450">
        <v>28661734.640000001</v>
      </c>
      <c r="S28" s="450">
        <v>28661734.640000001</v>
      </c>
      <c r="T28" s="450">
        <v>28661734.640000001</v>
      </c>
      <c r="U28" s="324"/>
      <c r="V28" s="331"/>
      <c r="W28" s="324"/>
      <c r="X28" s="324"/>
      <c r="Y28" s="324"/>
      <c r="Z28" s="324"/>
      <c r="AA28" s="324"/>
      <c r="AB28" s="324"/>
      <c r="AC28" s="324"/>
      <c r="AD28" s="324"/>
      <c r="AE28" s="324"/>
      <c r="AF28" s="324"/>
      <c r="AG28" s="324"/>
      <c r="AH28" s="324"/>
      <c r="AI28" s="324"/>
      <c r="AJ28" s="324"/>
      <c r="AK28" s="324"/>
      <c r="AL28" s="324"/>
      <c r="AM28" s="324"/>
    </row>
    <row r="29" spans="1:39">
      <c r="A29" s="449">
        <f t="shared" si="0"/>
        <v>2001</v>
      </c>
      <c r="B29" s="450" t="s">
        <v>1031</v>
      </c>
      <c r="C29" s="450" t="s">
        <v>1031</v>
      </c>
      <c r="D29" s="450" t="s">
        <v>1031</v>
      </c>
      <c r="E29" s="450" t="s">
        <v>1031</v>
      </c>
      <c r="F29" s="450" t="s">
        <v>1031</v>
      </c>
      <c r="G29" s="450" t="s">
        <v>1031</v>
      </c>
      <c r="H29" s="450" t="s">
        <v>1031</v>
      </c>
      <c r="I29" s="450" t="s">
        <v>1031</v>
      </c>
      <c r="J29" s="450" t="s">
        <v>1031</v>
      </c>
      <c r="K29" s="450">
        <v>23439738.199999999</v>
      </c>
      <c r="L29" s="450">
        <v>23439738.199999999</v>
      </c>
      <c r="M29" s="450">
        <v>23439738.199999999</v>
      </c>
      <c r="N29" s="450">
        <v>23439738.199999999</v>
      </c>
      <c r="O29" s="450">
        <v>23439738.199999999</v>
      </c>
      <c r="P29" s="450">
        <v>23439738.199999999</v>
      </c>
      <c r="Q29" s="450">
        <v>23439738.199999999</v>
      </c>
      <c r="R29" s="450">
        <v>23439738.199999999</v>
      </c>
      <c r="S29" s="450">
        <v>23439738.199999999</v>
      </c>
      <c r="T29" s="450">
        <v>23439738.199999999</v>
      </c>
      <c r="U29" s="324"/>
      <c r="V29" s="331"/>
      <c r="W29" s="324"/>
      <c r="X29" s="324"/>
      <c r="Y29" s="324"/>
      <c r="Z29" s="324"/>
      <c r="AA29" s="324"/>
      <c r="AB29" s="324"/>
      <c r="AC29" s="324"/>
      <c r="AD29" s="324"/>
      <c r="AE29" s="324"/>
      <c r="AF29" s="324"/>
      <c r="AG29" s="324"/>
      <c r="AH29" s="324"/>
      <c r="AI29" s="324"/>
      <c r="AJ29" s="324"/>
      <c r="AK29" s="324"/>
      <c r="AL29" s="324"/>
      <c r="AM29" s="324"/>
    </row>
    <row r="30" spans="1:39">
      <c r="A30" s="449">
        <f t="shared" si="0"/>
        <v>2002</v>
      </c>
      <c r="B30" s="450" t="s">
        <v>1031</v>
      </c>
      <c r="C30" s="450" t="s">
        <v>1031</v>
      </c>
      <c r="D30" s="450" t="s">
        <v>1031</v>
      </c>
      <c r="E30" s="450" t="s">
        <v>1031</v>
      </c>
      <c r="F30" s="450" t="s">
        <v>1031</v>
      </c>
      <c r="G30" s="450" t="s">
        <v>1031</v>
      </c>
      <c r="H30" s="450" t="s">
        <v>1031</v>
      </c>
      <c r="I30" s="450" t="s">
        <v>1031</v>
      </c>
      <c r="J30" s="450">
        <v>27727214.440000001</v>
      </c>
      <c r="K30" s="450">
        <v>27746572.120000001</v>
      </c>
      <c r="L30" s="450">
        <v>27747143.629999999</v>
      </c>
      <c r="M30" s="450">
        <v>27774742.579999998</v>
      </c>
      <c r="N30" s="450">
        <v>28085781.960000001</v>
      </c>
      <c r="O30" s="450">
        <v>28676828.879999999</v>
      </c>
      <c r="P30" s="450">
        <v>28676828.879999999</v>
      </c>
      <c r="Q30" s="450">
        <v>28348241.370000001</v>
      </c>
      <c r="R30" s="450">
        <v>28348241.370000001</v>
      </c>
      <c r="S30" s="450">
        <v>28348241.370000001</v>
      </c>
      <c r="T30" s="450">
        <v>28348241.370000001</v>
      </c>
      <c r="U30" s="324"/>
      <c r="V30" s="331"/>
      <c r="W30" s="324"/>
      <c r="X30" s="324"/>
      <c r="Y30" s="324"/>
      <c r="Z30" s="324"/>
      <c r="AA30" s="324"/>
      <c r="AB30" s="324"/>
      <c r="AC30" s="324"/>
      <c r="AD30" s="324"/>
      <c r="AE30" s="324"/>
      <c r="AF30" s="324"/>
      <c r="AG30" s="324"/>
      <c r="AH30" s="324"/>
      <c r="AI30" s="324"/>
      <c r="AJ30" s="324"/>
      <c r="AK30" s="324"/>
      <c r="AL30" s="324"/>
      <c r="AM30" s="324"/>
    </row>
    <row r="31" spans="1:39">
      <c r="A31" s="449">
        <f t="shared" si="0"/>
        <v>2003</v>
      </c>
      <c r="B31" s="450" t="s">
        <v>1031</v>
      </c>
      <c r="C31" s="450" t="s">
        <v>1031</v>
      </c>
      <c r="D31" s="450" t="s">
        <v>1031</v>
      </c>
      <c r="E31" s="450" t="s">
        <v>1031</v>
      </c>
      <c r="F31" s="450" t="s">
        <v>1031</v>
      </c>
      <c r="G31" s="450" t="s">
        <v>1031</v>
      </c>
      <c r="H31" s="450" t="s">
        <v>1031</v>
      </c>
      <c r="I31" s="450">
        <v>20974902.780000001</v>
      </c>
      <c r="J31" s="450">
        <v>21094973.620000001</v>
      </c>
      <c r="K31" s="450">
        <v>21576865.77</v>
      </c>
      <c r="L31" s="450">
        <v>21576865.77</v>
      </c>
      <c r="M31" s="450">
        <v>21576865.77</v>
      </c>
      <c r="N31" s="450">
        <v>21576865.77</v>
      </c>
      <c r="O31" s="450">
        <v>21576865.77</v>
      </c>
      <c r="P31" s="450">
        <v>21576865.77</v>
      </c>
      <c r="Q31" s="450">
        <v>21576865.77</v>
      </c>
      <c r="R31" s="450">
        <v>21576865.77</v>
      </c>
      <c r="S31" s="450">
        <v>21576865.77</v>
      </c>
      <c r="T31" s="450">
        <v>21576865.77</v>
      </c>
      <c r="U31" s="324"/>
      <c r="V31" s="331"/>
      <c r="W31" s="324"/>
      <c r="X31" s="324"/>
      <c r="Y31" s="324"/>
      <c r="Z31" s="324"/>
      <c r="AA31" s="324"/>
      <c r="AB31" s="324"/>
      <c r="AC31" s="324"/>
      <c r="AD31" s="324"/>
      <c r="AE31" s="324"/>
      <c r="AF31" s="324"/>
      <c r="AG31" s="324"/>
      <c r="AH31" s="324"/>
      <c r="AI31" s="324"/>
      <c r="AJ31" s="324"/>
      <c r="AK31" s="324"/>
      <c r="AL31" s="324"/>
      <c r="AM31" s="324"/>
    </row>
    <row r="32" spans="1:39">
      <c r="A32" s="449">
        <f t="shared" si="0"/>
        <v>2004</v>
      </c>
      <c r="B32" s="450" t="s">
        <v>1031</v>
      </c>
      <c r="C32" s="450" t="s">
        <v>1031</v>
      </c>
      <c r="D32" s="450" t="s">
        <v>1031</v>
      </c>
      <c r="E32" s="450" t="s">
        <v>1031</v>
      </c>
      <c r="F32" s="450" t="s">
        <v>1031</v>
      </c>
      <c r="G32" s="450" t="s">
        <v>1031</v>
      </c>
      <c r="H32" s="450">
        <v>15137803.73</v>
      </c>
      <c r="I32" s="450">
        <v>15715930.550000001</v>
      </c>
      <c r="J32" s="450">
        <v>15740674.01</v>
      </c>
      <c r="K32" s="450">
        <v>15889002.01</v>
      </c>
      <c r="L32" s="450">
        <v>15937536.460000001</v>
      </c>
      <c r="M32" s="450">
        <v>15937536.460000001</v>
      </c>
      <c r="N32" s="450">
        <v>15937536.460000001</v>
      </c>
      <c r="O32" s="450">
        <v>16266123.970000001</v>
      </c>
      <c r="P32" s="450">
        <v>16266123.970000001</v>
      </c>
      <c r="Q32" s="450">
        <v>16266123.970000001</v>
      </c>
      <c r="R32" s="450">
        <v>16266123.969999999</v>
      </c>
      <c r="S32" s="450">
        <v>16266123.969999999</v>
      </c>
      <c r="T32" s="557">
        <v>16266123.969999999</v>
      </c>
      <c r="U32" s="324"/>
      <c r="W32" s="324"/>
      <c r="X32" s="324"/>
      <c r="Y32" s="324"/>
      <c r="Z32" s="324"/>
      <c r="AA32" s="324"/>
      <c r="AB32" s="324"/>
      <c r="AC32" s="324"/>
      <c r="AD32" s="324"/>
      <c r="AE32" s="324"/>
      <c r="AF32" s="324"/>
      <c r="AG32" s="324"/>
      <c r="AH32" s="324"/>
      <c r="AI32" s="324"/>
      <c r="AJ32" s="324"/>
      <c r="AK32" s="324"/>
      <c r="AL32" s="324"/>
      <c r="AM32" s="324"/>
    </row>
    <row r="33" spans="1:39">
      <c r="A33" s="449">
        <f t="shared" si="0"/>
        <v>2005</v>
      </c>
      <c r="B33" s="450" t="s">
        <v>1031</v>
      </c>
      <c r="C33" s="450" t="s">
        <v>1031</v>
      </c>
      <c r="D33" s="450" t="s">
        <v>1031</v>
      </c>
      <c r="E33" s="450" t="s">
        <v>1031</v>
      </c>
      <c r="F33" s="450" t="s">
        <v>1031</v>
      </c>
      <c r="G33" s="450">
        <v>17007035.800000001</v>
      </c>
      <c r="H33" s="450">
        <v>17724934.09</v>
      </c>
      <c r="I33" s="450">
        <v>18525809.510000002</v>
      </c>
      <c r="J33" s="450">
        <v>18674852.98</v>
      </c>
      <c r="K33" s="450">
        <v>18674852.98</v>
      </c>
      <c r="L33" s="450">
        <v>18674852.98</v>
      </c>
      <c r="M33" s="450">
        <v>18674852.98</v>
      </c>
      <c r="N33" s="450">
        <v>18674852.98</v>
      </c>
      <c r="O33" s="450">
        <v>18674852.98</v>
      </c>
      <c r="P33" s="450">
        <v>18674852.98</v>
      </c>
      <c r="Q33" s="450">
        <v>18674852.98</v>
      </c>
      <c r="R33" s="450">
        <v>18674852.98</v>
      </c>
      <c r="S33" s="557">
        <v>18674852.98</v>
      </c>
      <c r="T33" s="450"/>
      <c r="U33" s="324"/>
      <c r="W33" s="324"/>
      <c r="X33" s="324"/>
      <c r="Y33" s="324"/>
      <c r="Z33" s="324"/>
      <c r="AA33" s="324"/>
      <c r="AB33" s="324"/>
      <c r="AC33" s="324"/>
      <c r="AD33" s="324"/>
      <c r="AE33" s="324"/>
      <c r="AF33" s="324"/>
      <c r="AG33" s="324"/>
      <c r="AH33" s="324"/>
      <c r="AI33" s="324"/>
      <c r="AJ33" s="324"/>
      <c r="AK33" s="324"/>
      <c r="AL33" s="324"/>
      <c r="AM33" s="324"/>
    </row>
    <row r="34" spans="1:39">
      <c r="A34" s="449">
        <f t="shared" si="0"/>
        <v>2006</v>
      </c>
      <c r="B34" s="450" t="s">
        <v>1031</v>
      </c>
      <c r="C34" s="450" t="s">
        <v>1031</v>
      </c>
      <c r="D34" s="450" t="s">
        <v>1031</v>
      </c>
      <c r="E34" s="450" t="s">
        <v>1031</v>
      </c>
      <c r="F34" s="450">
        <v>9759197.1699999999</v>
      </c>
      <c r="G34" s="450">
        <v>12390565.16</v>
      </c>
      <c r="H34" s="450">
        <v>14453576.109999999</v>
      </c>
      <c r="I34" s="450">
        <v>15104529.300000001</v>
      </c>
      <c r="J34" s="450">
        <v>15181343.07</v>
      </c>
      <c r="K34" s="450">
        <v>15189020.57</v>
      </c>
      <c r="L34" s="450">
        <v>15212923.33</v>
      </c>
      <c r="M34" s="450">
        <v>15249433.33</v>
      </c>
      <c r="N34" s="450">
        <v>15263095.9</v>
      </c>
      <c r="O34" s="450">
        <v>15271027.9</v>
      </c>
      <c r="P34" s="450">
        <v>15271027.899999999</v>
      </c>
      <c r="Q34" s="450">
        <v>15271027.899999999</v>
      </c>
      <c r="R34" s="557">
        <v>15273359.399999999</v>
      </c>
      <c r="S34" s="450"/>
      <c r="T34" s="450"/>
      <c r="U34" s="324"/>
      <c r="W34" s="324"/>
      <c r="X34" s="324"/>
      <c r="Y34" s="324"/>
      <c r="Z34" s="324"/>
      <c r="AA34" s="324"/>
      <c r="AB34" s="324"/>
      <c r="AC34" s="324"/>
      <c r="AD34" s="324"/>
      <c r="AE34" s="324"/>
      <c r="AF34" s="324"/>
      <c r="AG34" s="324"/>
      <c r="AH34" s="324"/>
      <c r="AI34" s="324"/>
      <c r="AJ34" s="324"/>
      <c r="AK34" s="324"/>
      <c r="AL34" s="324"/>
      <c r="AM34" s="324"/>
    </row>
    <row r="35" spans="1:39">
      <c r="A35" s="449">
        <f t="shared" si="0"/>
        <v>2007</v>
      </c>
      <c r="B35" s="450" t="s">
        <v>1031</v>
      </c>
      <c r="C35" s="450" t="s">
        <v>1031</v>
      </c>
      <c r="D35" s="450" t="s">
        <v>1031</v>
      </c>
      <c r="E35" s="450">
        <v>7792798.4400000004</v>
      </c>
      <c r="F35" s="450">
        <v>12979641.439999999</v>
      </c>
      <c r="G35" s="450">
        <v>15206348.74</v>
      </c>
      <c r="H35" s="450">
        <v>16547012.699999999</v>
      </c>
      <c r="I35" s="450">
        <v>17660464.530000001</v>
      </c>
      <c r="J35" s="450">
        <v>17664126.710000001</v>
      </c>
      <c r="K35" s="450">
        <v>17662791.93</v>
      </c>
      <c r="L35" s="450">
        <v>17662917.93</v>
      </c>
      <c r="M35" s="450">
        <v>17662917.93</v>
      </c>
      <c r="N35" s="450">
        <v>17662917.93</v>
      </c>
      <c r="O35" s="450">
        <v>17662917.93</v>
      </c>
      <c r="P35" s="450">
        <v>17662917.93</v>
      </c>
      <c r="Q35" s="557">
        <v>17662917.93</v>
      </c>
      <c r="R35" s="450"/>
      <c r="S35" s="450"/>
      <c r="T35" s="450"/>
      <c r="U35" s="324"/>
      <c r="W35" s="324"/>
      <c r="X35" s="324"/>
      <c r="Y35" s="324"/>
      <c r="Z35" s="324"/>
      <c r="AA35" s="324"/>
      <c r="AB35" s="324"/>
      <c r="AC35" s="324"/>
      <c r="AD35" s="324"/>
      <c r="AE35" s="324"/>
      <c r="AF35" s="324"/>
      <c r="AG35" s="324"/>
      <c r="AH35" s="324"/>
      <c r="AI35" s="324"/>
      <c r="AJ35" s="324"/>
      <c r="AK35" s="324"/>
      <c r="AL35" s="324"/>
      <c r="AM35" s="324"/>
    </row>
    <row r="36" spans="1:39">
      <c r="A36" s="449">
        <f t="shared" si="0"/>
        <v>2008</v>
      </c>
      <c r="B36" s="450" t="s">
        <v>1031</v>
      </c>
      <c r="C36" s="450" t="s">
        <v>1031</v>
      </c>
      <c r="D36" s="450">
        <v>5141194.67</v>
      </c>
      <c r="E36" s="450">
        <v>10016345.609999999</v>
      </c>
      <c r="F36" s="450">
        <v>11994304.539999999</v>
      </c>
      <c r="G36" s="450">
        <v>13785824.449999999</v>
      </c>
      <c r="H36" s="450">
        <v>15425178.83</v>
      </c>
      <c r="I36" s="450">
        <v>15451514.59</v>
      </c>
      <c r="J36" s="450">
        <v>15489996.369999999</v>
      </c>
      <c r="K36" s="450">
        <v>15507649.869999999</v>
      </c>
      <c r="L36" s="450">
        <v>15518645.77</v>
      </c>
      <c r="M36" s="450">
        <v>16099117.880000001</v>
      </c>
      <c r="N36" s="450">
        <v>16099117.879999999</v>
      </c>
      <c r="O36" s="450">
        <v>16099117.879999999</v>
      </c>
      <c r="P36" s="557">
        <v>16099117.879999999</v>
      </c>
      <c r="Q36" s="450"/>
      <c r="R36" s="450"/>
      <c r="S36" s="450"/>
      <c r="T36" s="450"/>
      <c r="U36" s="324"/>
      <c r="X36" s="324"/>
      <c r="Y36" s="324"/>
      <c r="Z36" s="324"/>
      <c r="AA36" s="324"/>
      <c r="AB36" s="324"/>
      <c r="AC36" s="324"/>
      <c r="AD36" s="324"/>
      <c r="AE36" s="324"/>
      <c r="AF36" s="324"/>
      <c r="AG36" s="324"/>
      <c r="AH36" s="324"/>
      <c r="AI36" s="324"/>
      <c r="AJ36" s="324"/>
      <c r="AK36" s="324"/>
      <c r="AL36" s="324"/>
      <c r="AM36" s="324"/>
    </row>
    <row r="37" spans="1:39">
      <c r="A37" s="449">
        <f t="shared" si="0"/>
        <v>2009</v>
      </c>
      <c r="B37" s="450" t="s">
        <v>1031</v>
      </c>
      <c r="C37" s="450">
        <v>1266971.51</v>
      </c>
      <c r="D37" s="450">
        <v>2542299.52</v>
      </c>
      <c r="E37" s="450">
        <v>5174700.82</v>
      </c>
      <c r="F37" s="450">
        <v>7779650.0499999998</v>
      </c>
      <c r="G37" s="450">
        <v>10590943.84</v>
      </c>
      <c r="H37" s="450">
        <v>11861101.460000001</v>
      </c>
      <c r="I37" s="450">
        <v>12604047.1</v>
      </c>
      <c r="J37" s="450">
        <v>12638589.1</v>
      </c>
      <c r="K37" s="450">
        <v>12638589.1</v>
      </c>
      <c r="L37" s="450">
        <v>12638589.1</v>
      </c>
      <c r="M37" s="450">
        <v>12638589.1</v>
      </c>
      <c r="N37" s="450">
        <v>12638589.1</v>
      </c>
      <c r="O37" s="557">
        <v>12638589.1</v>
      </c>
      <c r="P37" s="450"/>
      <c r="Q37" s="450"/>
      <c r="R37" s="450"/>
      <c r="S37" s="558"/>
      <c r="U37" s="324"/>
      <c r="W37" s="324"/>
      <c r="X37" s="324"/>
      <c r="Y37" s="324"/>
      <c r="Z37" s="324"/>
      <c r="AA37" s="324"/>
      <c r="AB37" s="324"/>
      <c r="AC37" s="324"/>
      <c r="AD37" s="324"/>
      <c r="AE37" s="324"/>
      <c r="AF37" s="324"/>
      <c r="AG37" s="324"/>
      <c r="AH37" s="324"/>
      <c r="AI37" s="324"/>
      <c r="AJ37" s="324"/>
      <c r="AK37" s="324"/>
      <c r="AL37" s="324"/>
      <c r="AM37" s="324"/>
    </row>
    <row r="38" spans="1:39">
      <c r="A38" s="449">
        <f t="shared" si="0"/>
        <v>2010</v>
      </c>
      <c r="B38" s="450">
        <v>329391.15999999997</v>
      </c>
      <c r="C38" s="450">
        <v>1585429.2</v>
      </c>
      <c r="D38" s="450">
        <v>4048534.37</v>
      </c>
      <c r="E38" s="450">
        <v>5702353.5199999996</v>
      </c>
      <c r="F38" s="450">
        <v>10484199.76</v>
      </c>
      <c r="G38" s="450">
        <v>14025968.609999999</v>
      </c>
      <c r="H38" s="450">
        <v>14817253.27</v>
      </c>
      <c r="I38" s="450">
        <v>16654786.92</v>
      </c>
      <c r="J38" s="450">
        <v>16674602.52</v>
      </c>
      <c r="K38" s="450">
        <v>16674602.52</v>
      </c>
      <c r="L38" s="450">
        <v>16674602.52</v>
      </c>
      <c r="M38" s="450">
        <v>16674602.52</v>
      </c>
      <c r="N38" s="557">
        <v>16674602.52</v>
      </c>
      <c r="O38" s="450"/>
      <c r="P38" s="450"/>
      <c r="Q38" s="450"/>
      <c r="R38" s="450"/>
      <c r="S38" s="558"/>
      <c r="U38" s="324"/>
      <c r="W38" s="324"/>
      <c r="X38" s="324"/>
      <c r="Y38" s="324"/>
      <c r="Z38" s="324"/>
      <c r="AA38" s="324"/>
      <c r="AB38" s="324"/>
      <c r="AC38" s="324"/>
      <c r="AD38" s="324"/>
      <c r="AE38" s="324"/>
      <c r="AF38" s="324"/>
      <c r="AG38" s="324"/>
      <c r="AH38" s="324"/>
      <c r="AI38" s="324"/>
      <c r="AJ38" s="324"/>
      <c r="AK38" s="324"/>
      <c r="AL38" s="324"/>
      <c r="AM38" s="324"/>
    </row>
    <row r="39" spans="1:39">
      <c r="A39" s="449">
        <f t="shared" si="0"/>
        <v>2011</v>
      </c>
      <c r="B39" s="450">
        <v>172801.01</v>
      </c>
      <c r="C39" s="450">
        <v>813759.48</v>
      </c>
      <c r="D39" s="450">
        <v>1819611.84</v>
      </c>
      <c r="E39" s="450">
        <v>3338845.84</v>
      </c>
      <c r="F39" s="450">
        <v>7643803.3399999999</v>
      </c>
      <c r="G39" s="450">
        <v>8765687.1500000004</v>
      </c>
      <c r="H39" s="450">
        <v>9637923.1999999993</v>
      </c>
      <c r="I39" s="450">
        <v>9651293.4600000009</v>
      </c>
      <c r="J39" s="450">
        <v>9659804.3800000008</v>
      </c>
      <c r="K39" s="450">
        <v>9666747.1300000008</v>
      </c>
      <c r="L39" s="450">
        <v>9667891.1300000008</v>
      </c>
      <c r="M39" s="557">
        <v>9667891.1300000008</v>
      </c>
      <c r="N39" s="450"/>
      <c r="O39" s="450"/>
      <c r="P39" s="450"/>
      <c r="Q39" s="450"/>
      <c r="R39" s="450"/>
      <c r="S39" s="450"/>
      <c r="T39" s="450"/>
      <c r="U39" s="324"/>
      <c r="W39" s="324"/>
      <c r="X39" s="324"/>
      <c r="Y39" s="324"/>
      <c r="Z39" s="324"/>
      <c r="AA39" s="324"/>
      <c r="AB39" s="324"/>
      <c r="AC39" s="324"/>
      <c r="AD39" s="324"/>
      <c r="AE39" s="324"/>
      <c r="AF39" s="324"/>
      <c r="AG39" s="324"/>
      <c r="AH39" s="324"/>
      <c r="AI39" s="324"/>
      <c r="AJ39" s="324"/>
      <c r="AK39" s="324"/>
      <c r="AL39" s="324"/>
      <c r="AM39" s="324"/>
    </row>
    <row r="40" spans="1:39">
      <c r="A40" s="449">
        <f t="shared" si="0"/>
        <v>2012</v>
      </c>
      <c r="B40" s="450">
        <v>228220.62</v>
      </c>
      <c r="C40" s="450">
        <v>903605.67</v>
      </c>
      <c r="D40" s="450">
        <v>2481083.08</v>
      </c>
      <c r="E40" s="450">
        <v>5303007.22</v>
      </c>
      <c r="F40" s="450">
        <v>7765816.2599999998</v>
      </c>
      <c r="G40" s="450">
        <v>10544877.890000001</v>
      </c>
      <c r="H40" s="450">
        <v>11821796.550000001</v>
      </c>
      <c r="I40" s="450">
        <v>12595087.210000001</v>
      </c>
      <c r="J40" s="450">
        <v>12671870.49</v>
      </c>
      <c r="K40" s="450">
        <v>14234201.6</v>
      </c>
      <c r="L40" s="557">
        <v>14276514.530000001</v>
      </c>
      <c r="M40" s="450"/>
      <c r="N40" s="450"/>
      <c r="O40" s="450"/>
      <c r="P40" s="450"/>
      <c r="Q40" s="450"/>
      <c r="R40" s="450"/>
      <c r="S40" s="450"/>
      <c r="T40" s="450"/>
      <c r="U40" s="324"/>
      <c r="W40" s="324"/>
      <c r="X40" s="324"/>
      <c r="Y40" s="324"/>
      <c r="Z40" s="324"/>
      <c r="AA40" s="324"/>
      <c r="AB40" s="324"/>
      <c r="AC40" s="324"/>
      <c r="AD40" s="324"/>
      <c r="AE40" s="324"/>
      <c r="AF40" s="324"/>
      <c r="AG40" s="324"/>
      <c r="AH40" s="324"/>
      <c r="AI40" s="324"/>
      <c r="AJ40" s="324"/>
      <c r="AK40" s="324"/>
      <c r="AL40" s="324"/>
      <c r="AM40" s="324"/>
    </row>
    <row r="41" spans="1:39">
      <c r="A41" s="449">
        <f t="shared" si="0"/>
        <v>2013</v>
      </c>
      <c r="B41" s="450">
        <v>403843.44</v>
      </c>
      <c r="C41" s="450">
        <v>1350534.68</v>
      </c>
      <c r="D41" s="450">
        <v>3122359.71</v>
      </c>
      <c r="E41" s="450">
        <v>5738619.5899999999</v>
      </c>
      <c r="F41" s="450">
        <v>8325219.8200000003</v>
      </c>
      <c r="G41" s="450">
        <v>10208513.74</v>
      </c>
      <c r="H41" s="450">
        <v>12454958.529999999</v>
      </c>
      <c r="I41" s="450">
        <v>12956008.530000001</v>
      </c>
      <c r="J41" s="450">
        <v>13456008.530000001</v>
      </c>
      <c r="K41" s="557">
        <v>13456008.530000001</v>
      </c>
      <c r="L41" s="450"/>
      <c r="M41" s="450"/>
      <c r="N41" s="450"/>
      <c r="O41" s="450"/>
      <c r="P41" s="450"/>
      <c r="Q41" s="450"/>
      <c r="R41" s="450"/>
      <c r="S41" s="450"/>
      <c r="T41" s="450"/>
      <c r="U41" s="324"/>
      <c r="W41" s="324"/>
      <c r="X41" s="324"/>
      <c r="Y41" s="324"/>
      <c r="Z41" s="324"/>
      <c r="AA41" s="324"/>
      <c r="AB41" s="324"/>
      <c r="AC41" s="324"/>
      <c r="AD41" s="324"/>
      <c r="AE41" s="324"/>
      <c r="AF41" s="324"/>
      <c r="AG41" s="324"/>
      <c r="AH41" s="324"/>
      <c r="AI41" s="324"/>
      <c r="AJ41" s="324"/>
      <c r="AK41" s="324"/>
      <c r="AL41" s="324"/>
      <c r="AM41" s="324"/>
    </row>
    <row r="42" spans="1:39">
      <c r="A42" s="449">
        <f t="shared" si="0"/>
        <v>2014</v>
      </c>
      <c r="B42" s="450">
        <v>148286.15</v>
      </c>
      <c r="C42" s="450">
        <v>1179585.6499999999</v>
      </c>
      <c r="D42" s="450">
        <v>3261556.96</v>
      </c>
      <c r="E42" s="450">
        <v>5481779.3700000001</v>
      </c>
      <c r="F42" s="450">
        <v>8981448.5700000003</v>
      </c>
      <c r="G42" s="450">
        <v>9912482.3800000008</v>
      </c>
      <c r="H42" s="450">
        <v>11601095.84</v>
      </c>
      <c r="I42" s="450">
        <v>11634804.309999999</v>
      </c>
      <c r="J42" s="557">
        <v>11683906.890000001</v>
      </c>
      <c r="K42" s="450"/>
      <c r="L42" s="450"/>
      <c r="M42" s="450"/>
      <c r="N42" s="450"/>
      <c r="O42" s="450"/>
      <c r="P42" s="450"/>
      <c r="Q42" s="450"/>
      <c r="R42" s="450"/>
      <c r="S42" s="450"/>
      <c r="T42" s="450"/>
      <c r="U42" s="324"/>
      <c r="W42" s="324"/>
      <c r="X42" s="324"/>
      <c r="Y42" s="324"/>
      <c r="Z42" s="324"/>
      <c r="AA42" s="324"/>
      <c r="AB42" s="324"/>
      <c r="AC42" s="324"/>
      <c r="AD42" s="324"/>
      <c r="AE42" s="324"/>
      <c r="AF42" s="324"/>
      <c r="AG42" s="324"/>
      <c r="AH42" s="324"/>
      <c r="AI42" s="324"/>
      <c r="AJ42" s="324"/>
      <c r="AK42" s="324"/>
      <c r="AL42" s="324"/>
      <c r="AM42" s="324"/>
    </row>
    <row r="43" spans="1:39">
      <c r="A43" s="449">
        <f t="shared" si="0"/>
        <v>2015</v>
      </c>
      <c r="B43" s="450">
        <v>392382.66</v>
      </c>
      <c r="C43" s="450">
        <v>1707192.89</v>
      </c>
      <c r="D43" s="450">
        <v>6028257.6699999999</v>
      </c>
      <c r="E43" s="450">
        <v>8778326.4499999993</v>
      </c>
      <c r="F43" s="450">
        <v>10868155.35</v>
      </c>
      <c r="G43" s="450">
        <v>12377194.609999999</v>
      </c>
      <c r="H43" s="450">
        <v>12409452.51</v>
      </c>
      <c r="I43" s="557">
        <v>12451275.35</v>
      </c>
      <c r="J43" s="450"/>
      <c r="K43" s="450"/>
      <c r="L43" s="450"/>
      <c r="M43" s="450"/>
      <c r="N43" s="450"/>
      <c r="O43" s="450"/>
      <c r="P43" s="450"/>
      <c r="Q43" s="450"/>
      <c r="R43" s="450"/>
      <c r="S43" s="450"/>
      <c r="T43" s="450"/>
      <c r="U43" s="324"/>
      <c r="W43" s="324"/>
      <c r="X43" s="324"/>
      <c r="Y43" s="324"/>
      <c r="Z43" s="324"/>
      <c r="AA43" s="324"/>
      <c r="AB43" s="324"/>
      <c r="AC43" s="324"/>
      <c r="AD43" s="324"/>
      <c r="AE43" s="324"/>
      <c r="AF43" s="324"/>
      <c r="AG43" s="324"/>
      <c r="AH43" s="324"/>
      <c r="AI43" s="324"/>
      <c r="AJ43" s="324"/>
      <c r="AK43" s="324"/>
      <c r="AL43" s="324"/>
      <c r="AM43" s="324"/>
    </row>
    <row r="44" spans="1:39">
      <c r="A44" s="449">
        <f t="shared" si="0"/>
        <v>2016</v>
      </c>
      <c r="B44" s="450">
        <v>297814.09999999998</v>
      </c>
      <c r="C44" s="450">
        <v>2418900.79</v>
      </c>
      <c r="D44" s="450">
        <v>4910796.62</v>
      </c>
      <c r="E44" s="450">
        <v>8076879.9699999997</v>
      </c>
      <c r="F44" s="450">
        <v>8575904.0999999996</v>
      </c>
      <c r="G44" s="450">
        <v>9395581.9299999997</v>
      </c>
      <c r="H44" s="557">
        <v>9953883.7300000004</v>
      </c>
      <c r="I44" s="450"/>
      <c r="J44" s="450"/>
      <c r="K44" s="450"/>
      <c r="L44" s="450"/>
      <c r="M44" s="450"/>
      <c r="N44" s="450"/>
      <c r="O44" s="450"/>
      <c r="P44" s="450"/>
      <c r="Q44" s="450"/>
      <c r="R44" s="450"/>
      <c r="S44" s="450"/>
      <c r="T44" s="450"/>
      <c r="U44" s="324"/>
      <c r="W44" s="324"/>
      <c r="X44" s="324"/>
      <c r="Y44" s="324"/>
      <c r="Z44" s="324"/>
      <c r="AA44" s="324"/>
      <c r="AB44" s="324"/>
      <c r="AC44" s="324"/>
      <c r="AD44" s="324"/>
      <c r="AE44" s="324"/>
      <c r="AF44" s="324"/>
      <c r="AG44" s="324"/>
      <c r="AH44" s="324"/>
      <c r="AI44" s="324"/>
      <c r="AJ44" s="324"/>
      <c r="AK44" s="324"/>
      <c r="AL44" s="324"/>
      <c r="AM44" s="324"/>
    </row>
    <row r="45" spans="1:39">
      <c r="A45" s="449">
        <f t="shared" si="0"/>
        <v>2017</v>
      </c>
      <c r="B45" s="450">
        <v>257126.54</v>
      </c>
      <c r="C45" s="450">
        <v>1423527.69</v>
      </c>
      <c r="D45" s="450">
        <v>2632950.4700000002</v>
      </c>
      <c r="E45" s="450">
        <v>4145570.63</v>
      </c>
      <c r="F45" s="450">
        <v>4314978.92</v>
      </c>
      <c r="G45" s="557">
        <v>5494434.9500000002</v>
      </c>
      <c r="H45" s="450"/>
      <c r="I45" s="450"/>
      <c r="J45" s="450"/>
      <c r="K45" s="450"/>
      <c r="L45" s="450"/>
      <c r="M45" s="450"/>
      <c r="N45" s="450"/>
      <c r="O45" s="450"/>
      <c r="P45" s="450"/>
      <c r="Q45" s="450"/>
      <c r="R45" s="450"/>
      <c r="S45" s="450"/>
      <c r="T45" s="450"/>
      <c r="U45" s="324"/>
      <c r="W45" s="324"/>
      <c r="X45" s="324"/>
      <c r="Y45" s="324"/>
      <c r="Z45" s="324"/>
      <c r="AA45" s="324"/>
      <c r="AB45" s="324"/>
      <c r="AC45" s="324"/>
      <c r="AD45" s="324"/>
      <c r="AE45" s="324"/>
      <c r="AF45" s="324"/>
      <c r="AG45" s="324"/>
      <c r="AH45" s="324"/>
      <c r="AI45" s="324"/>
      <c r="AJ45" s="324"/>
      <c r="AK45" s="324"/>
      <c r="AL45" s="324"/>
      <c r="AM45" s="324"/>
    </row>
    <row r="46" spans="1:39">
      <c r="A46" s="449">
        <f t="shared" si="0"/>
        <v>2018</v>
      </c>
      <c r="B46" s="450">
        <v>289718.15000000002</v>
      </c>
      <c r="C46" s="450">
        <v>1194689.8799999999</v>
      </c>
      <c r="D46" s="450">
        <v>3728786.25</v>
      </c>
      <c r="E46" s="450">
        <v>4963372.12</v>
      </c>
      <c r="F46" s="557">
        <v>5952487.8700000001</v>
      </c>
      <c r="G46" s="450"/>
      <c r="H46" s="450"/>
      <c r="I46" s="450"/>
      <c r="J46" s="450"/>
      <c r="K46" s="450"/>
      <c r="L46" s="450"/>
      <c r="M46" s="450"/>
      <c r="N46" s="450"/>
      <c r="O46" s="450"/>
      <c r="P46" s="450"/>
      <c r="Q46" s="450"/>
      <c r="R46" s="450"/>
      <c r="S46" s="450"/>
      <c r="T46" s="450"/>
      <c r="U46" s="324"/>
      <c r="W46" s="324"/>
      <c r="X46" s="324"/>
      <c r="Y46" s="324"/>
      <c r="Z46" s="324"/>
      <c r="AA46" s="324"/>
      <c r="AB46" s="324"/>
      <c r="AC46" s="324"/>
      <c r="AD46" s="324"/>
      <c r="AE46" s="324"/>
      <c r="AF46" s="324"/>
      <c r="AG46" s="324"/>
      <c r="AH46" s="324"/>
      <c r="AI46" s="324"/>
      <c r="AJ46" s="324"/>
      <c r="AK46" s="324"/>
      <c r="AL46" s="324"/>
      <c r="AM46" s="324"/>
    </row>
    <row r="47" spans="1:39">
      <c r="A47" s="449">
        <f t="shared" si="0"/>
        <v>2019</v>
      </c>
      <c r="B47" s="450">
        <v>339444.82</v>
      </c>
      <c r="C47" s="450">
        <v>1821407.67</v>
      </c>
      <c r="D47" s="450">
        <v>5020730.3499999996</v>
      </c>
      <c r="E47" s="557">
        <v>6955691.3300000001</v>
      </c>
      <c r="F47" s="450"/>
      <c r="G47" s="450"/>
      <c r="H47" s="450"/>
      <c r="I47" s="450"/>
      <c r="J47" s="450"/>
      <c r="K47" s="450"/>
      <c r="L47" s="450"/>
      <c r="M47" s="450"/>
      <c r="N47" s="450"/>
      <c r="O47" s="450"/>
      <c r="P47" s="450"/>
      <c r="Q47" s="450"/>
      <c r="R47" s="450"/>
      <c r="S47" s="450"/>
      <c r="T47" s="450"/>
      <c r="U47" s="324"/>
      <c r="W47" s="324"/>
      <c r="X47" s="324"/>
      <c r="Y47" s="324"/>
      <c r="Z47" s="324"/>
      <c r="AA47" s="324"/>
      <c r="AB47" s="324"/>
      <c r="AC47" s="324"/>
      <c r="AD47" s="324"/>
      <c r="AE47" s="324"/>
      <c r="AF47" s="324"/>
      <c r="AG47" s="324"/>
      <c r="AH47" s="324"/>
      <c r="AI47" s="324"/>
      <c r="AJ47" s="324"/>
      <c r="AK47" s="324"/>
      <c r="AL47" s="324"/>
      <c r="AM47" s="324"/>
    </row>
    <row r="48" spans="1:39">
      <c r="A48" s="449">
        <f t="shared" si="0"/>
        <v>2020</v>
      </c>
      <c r="B48" s="451">
        <v>480410.79</v>
      </c>
      <c r="C48" s="450">
        <v>938783.34000000008</v>
      </c>
      <c r="D48" s="557">
        <v>4783352.42</v>
      </c>
      <c r="E48" s="451"/>
      <c r="F48" s="451"/>
      <c r="G48" s="451"/>
      <c r="H48" s="451"/>
      <c r="I48" s="451"/>
      <c r="J48" s="451"/>
      <c r="K48" s="451"/>
      <c r="L48" s="451"/>
      <c r="M48" s="451"/>
      <c r="N48" s="451"/>
      <c r="O48" s="451"/>
      <c r="P48" s="451"/>
      <c r="Q48" s="451"/>
      <c r="R48" s="451"/>
      <c r="S48" s="451"/>
      <c r="T48" s="451"/>
      <c r="U48" s="324"/>
      <c r="W48" s="324"/>
      <c r="X48" s="324"/>
      <c r="Y48" s="324"/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/>
      <c r="AL48" s="324"/>
      <c r="AM48" s="324"/>
    </row>
    <row r="49" spans="1:39">
      <c r="A49" s="449">
        <f t="shared" si="0"/>
        <v>2021</v>
      </c>
      <c r="B49" s="450">
        <v>167479.74000000005</v>
      </c>
      <c r="C49" s="557">
        <v>501410.04000000004</v>
      </c>
      <c r="D49" s="451"/>
      <c r="E49" s="451"/>
      <c r="F49" s="451"/>
      <c r="G49" s="451"/>
      <c r="H49" s="451"/>
      <c r="I49" s="451"/>
      <c r="J49" s="451"/>
      <c r="K49" s="451"/>
      <c r="L49" s="451"/>
      <c r="M49" s="451"/>
      <c r="N49" s="451"/>
      <c r="O49" s="451"/>
      <c r="P49" s="451"/>
      <c r="Q49" s="451"/>
      <c r="R49" s="451"/>
      <c r="S49" s="451"/>
      <c r="T49" s="451"/>
      <c r="U49" s="324"/>
      <c r="W49" s="324"/>
      <c r="X49" s="324"/>
      <c r="Y49" s="324"/>
      <c r="Z49" s="324"/>
      <c r="AA49" s="324"/>
      <c r="AB49" s="324"/>
      <c r="AC49" s="324"/>
      <c r="AD49" s="324"/>
      <c r="AE49" s="324"/>
      <c r="AF49" s="324"/>
      <c r="AG49" s="324"/>
      <c r="AH49" s="324"/>
      <c r="AI49" s="324"/>
      <c r="AJ49" s="324"/>
      <c r="AK49" s="324"/>
      <c r="AL49" s="324"/>
      <c r="AM49" s="324"/>
    </row>
    <row r="50" spans="1:39">
      <c r="A50" s="449">
        <f t="shared" si="0"/>
        <v>2022</v>
      </c>
      <c r="B50" s="557">
        <v>376824.37</v>
      </c>
      <c r="U50" s="324"/>
      <c r="W50" s="324"/>
      <c r="X50" s="324"/>
      <c r="Y50" s="324"/>
      <c r="Z50" s="324"/>
      <c r="AA50" s="324"/>
      <c r="AB50" s="324"/>
      <c r="AC50" s="324"/>
      <c r="AD50" s="324"/>
      <c r="AE50" s="324"/>
      <c r="AF50" s="324"/>
      <c r="AG50" s="324"/>
      <c r="AH50" s="324"/>
      <c r="AI50" s="324"/>
      <c r="AJ50" s="324"/>
      <c r="AK50" s="324"/>
      <c r="AL50" s="324"/>
      <c r="AM50" s="324"/>
    </row>
    <row r="51" spans="1:39" ht="16">
      <c r="B51" s="451"/>
      <c r="C51" s="451"/>
      <c r="D51" s="451"/>
      <c r="E51" s="451"/>
      <c r="F51" s="451"/>
      <c r="G51" s="451"/>
      <c r="H51" s="451"/>
      <c r="I51" s="451"/>
      <c r="J51" s="451"/>
      <c r="K51" s="451"/>
      <c r="L51" s="451"/>
      <c r="M51" s="451"/>
      <c r="N51" s="451"/>
      <c r="O51" s="451"/>
      <c r="P51" s="451"/>
      <c r="Q51" s="451"/>
      <c r="R51" s="451"/>
      <c r="S51" s="451"/>
      <c r="T51" s="451"/>
      <c r="U51" s="319"/>
      <c r="V51" s="320"/>
      <c r="W51" s="319"/>
      <c r="X51" s="319"/>
      <c r="Y51" s="319"/>
      <c r="Z51" s="319"/>
      <c r="AA51" s="319"/>
      <c r="AB51" s="319"/>
      <c r="AC51" s="319"/>
      <c r="AD51" s="319"/>
      <c r="AE51" s="319"/>
      <c r="AF51" s="319"/>
      <c r="AG51" s="319"/>
      <c r="AH51" s="319"/>
      <c r="AI51" s="319"/>
      <c r="AJ51" s="319"/>
      <c r="AK51" s="319"/>
      <c r="AL51" s="319"/>
      <c r="AM51" s="319"/>
    </row>
    <row r="52" spans="1:39" ht="16">
      <c r="A52" s="446"/>
      <c r="B52" s="452"/>
      <c r="C52" s="452"/>
      <c r="D52" s="452"/>
      <c r="E52" s="452"/>
      <c r="F52" s="452"/>
      <c r="G52" s="452"/>
      <c r="H52" s="452"/>
      <c r="I52" s="452"/>
      <c r="J52" s="452"/>
      <c r="K52" s="452"/>
      <c r="L52" s="452"/>
      <c r="M52" s="452"/>
      <c r="N52" s="452"/>
      <c r="O52" s="452"/>
      <c r="P52" s="452"/>
      <c r="Q52" s="452"/>
      <c r="R52" s="452"/>
      <c r="S52" s="452"/>
      <c r="T52" s="452"/>
      <c r="U52" s="320"/>
      <c r="V52" s="320"/>
      <c r="W52" s="320"/>
      <c r="X52" s="320"/>
      <c r="Y52" s="320"/>
      <c r="Z52" s="320"/>
      <c r="AA52" s="320"/>
      <c r="AB52" s="320"/>
      <c r="AC52" s="320"/>
      <c r="AD52" s="320"/>
      <c r="AE52" s="320"/>
      <c r="AF52" s="320"/>
      <c r="AG52" s="320"/>
      <c r="AH52" s="320"/>
      <c r="AI52" s="320"/>
      <c r="AJ52" s="320"/>
      <c r="AK52" s="320"/>
      <c r="AL52" s="320"/>
      <c r="AM52" s="320"/>
    </row>
    <row r="53" spans="1:39">
      <c r="B53" s="446" t="s">
        <v>1032</v>
      </c>
    </row>
    <row r="54" spans="1:39" ht="16">
      <c r="A54" s="447" t="s">
        <v>170</v>
      </c>
      <c r="B54" s="453" t="s">
        <v>1033</v>
      </c>
      <c r="C54" s="453" t="s">
        <v>1034</v>
      </c>
      <c r="D54" s="453" t="s">
        <v>1035</v>
      </c>
      <c r="E54" s="453" t="s">
        <v>1036</v>
      </c>
      <c r="F54" s="453" t="s">
        <v>1037</v>
      </c>
      <c r="G54" s="453" t="s">
        <v>1038</v>
      </c>
      <c r="H54" s="453" t="s">
        <v>1039</v>
      </c>
      <c r="I54" s="453" t="s">
        <v>1040</v>
      </c>
      <c r="J54" s="453" t="s">
        <v>1041</v>
      </c>
      <c r="K54" s="453" t="s">
        <v>1042</v>
      </c>
      <c r="L54" s="453" t="s">
        <v>1043</v>
      </c>
      <c r="M54" s="453" t="s">
        <v>1044</v>
      </c>
      <c r="N54" s="453" t="s">
        <v>1045</v>
      </c>
      <c r="O54" s="453" t="s">
        <v>1046</v>
      </c>
      <c r="P54" s="453" t="s">
        <v>1047</v>
      </c>
      <c r="Q54" s="453" t="s">
        <v>1048</v>
      </c>
      <c r="R54" s="453" t="s">
        <v>1049</v>
      </c>
      <c r="S54" s="453" t="s">
        <v>1050</v>
      </c>
      <c r="T54" s="453" t="s">
        <v>1051</v>
      </c>
      <c r="U54" s="330"/>
      <c r="V54" s="330"/>
      <c r="W54" s="330"/>
      <c r="X54" s="330"/>
      <c r="Y54" s="330"/>
      <c r="Z54" s="330"/>
      <c r="AA54" s="330"/>
      <c r="AB54" s="330"/>
      <c r="AC54" s="330"/>
      <c r="AD54" s="330"/>
      <c r="AE54" s="330"/>
      <c r="AF54" s="330"/>
      <c r="AG54" s="330"/>
      <c r="AH54" s="330"/>
      <c r="AI54" s="330"/>
      <c r="AJ54" s="330"/>
      <c r="AK54" s="330"/>
      <c r="AL54" s="330"/>
      <c r="AM54" s="330"/>
    </row>
    <row r="55" spans="1:39">
      <c r="A55" s="449"/>
      <c r="B55" s="449"/>
      <c r="C55" s="449"/>
      <c r="D55" s="449"/>
      <c r="E55" s="449"/>
      <c r="F55" s="449"/>
      <c r="G55" s="449"/>
      <c r="H55" s="449"/>
      <c r="I55" s="449"/>
      <c r="J55" s="449"/>
      <c r="K55" s="449"/>
      <c r="L55" s="449"/>
      <c r="M55" s="449"/>
      <c r="N55" s="449"/>
      <c r="O55" s="449"/>
      <c r="P55" s="449"/>
      <c r="Q55" s="449"/>
      <c r="R55" s="449"/>
      <c r="S55" s="449"/>
      <c r="T55" s="449"/>
      <c r="U55" s="318"/>
      <c r="V55" s="318"/>
      <c r="W55" s="318"/>
      <c r="X55" s="318"/>
      <c r="Y55" s="318"/>
      <c r="Z55" s="318"/>
      <c r="AA55" s="318"/>
      <c r="AB55" s="318"/>
      <c r="AC55" s="318"/>
      <c r="AD55" s="318"/>
      <c r="AE55" s="318"/>
      <c r="AF55" s="318"/>
      <c r="AG55" s="318"/>
      <c r="AH55" s="318"/>
      <c r="AI55" s="318"/>
      <c r="AJ55" s="318"/>
      <c r="AK55" s="318"/>
      <c r="AL55" s="318"/>
      <c r="AM55" s="318"/>
    </row>
    <row r="57" spans="1:39">
      <c r="A57" s="449">
        <f>A13</f>
        <v>1985</v>
      </c>
      <c r="B57" s="454">
        <v>0</v>
      </c>
      <c r="C57" s="454">
        <v>0</v>
      </c>
      <c r="D57" s="454">
        <v>0</v>
      </c>
      <c r="E57" s="454">
        <v>0</v>
      </c>
      <c r="F57" s="454">
        <v>0</v>
      </c>
      <c r="G57" s="454">
        <v>0</v>
      </c>
      <c r="H57" s="454">
        <v>0</v>
      </c>
      <c r="I57" s="454">
        <v>0</v>
      </c>
      <c r="J57" s="454">
        <v>0</v>
      </c>
      <c r="K57" s="454">
        <v>0</v>
      </c>
      <c r="L57" s="454">
        <v>0</v>
      </c>
      <c r="M57" s="454">
        <v>0</v>
      </c>
      <c r="N57" s="454">
        <v>0</v>
      </c>
      <c r="O57" s="454">
        <v>0</v>
      </c>
      <c r="P57" s="454">
        <v>0</v>
      </c>
      <c r="Q57" s="454">
        <v>0</v>
      </c>
      <c r="R57" s="454">
        <v>0</v>
      </c>
      <c r="S57" s="454">
        <v>0</v>
      </c>
      <c r="T57" s="454">
        <v>0</v>
      </c>
      <c r="W57" s="332" t="s">
        <v>1064</v>
      </c>
      <c r="X57" s="322"/>
      <c r="Y57" s="322"/>
      <c r="Z57" s="322"/>
      <c r="AA57" s="322"/>
      <c r="AB57" s="322"/>
      <c r="AC57" s="322"/>
      <c r="AD57" s="322"/>
      <c r="AE57" s="322"/>
      <c r="AF57" s="322"/>
      <c r="AG57" s="322"/>
      <c r="AH57" s="322"/>
      <c r="AI57" s="322"/>
      <c r="AJ57" s="322"/>
      <c r="AK57" s="322"/>
      <c r="AL57" s="322"/>
      <c r="AM57" s="323"/>
    </row>
    <row r="58" spans="1:39">
      <c r="A58" s="449">
        <f>A57+1</f>
        <v>1986</v>
      </c>
      <c r="B58" s="454">
        <v>0</v>
      </c>
      <c r="C58" s="454">
        <v>0</v>
      </c>
      <c r="D58" s="454">
        <v>0</v>
      </c>
      <c r="E58" s="454">
        <v>0</v>
      </c>
      <c r="F58" s="454">
        <v>0</v>
      </c>
      <c r="G58" s="454">
        <v>0</v>
      </c>
      <c r="H58" s="454">
        <v>0</v>
      </c>
      <c r="I58" s="454">
        <v>0</v>
      </c>
      <c r="J58" s="454">
        <v>0</v>
      </c>
      <c r="K58" s="454">
        <v>0</v>
      </c>
      <c r="L58" s="454">
        <v>0</v>
      </c>
      <c r="M58" s="454">
        <v>0</v>
      </c>
      <c r="N58" s="454">
        <v>0</v>
      </c>
      <c r="O58" s="454">
        <v>0</v>
      </c>
      <c r="P58" s="454">
        <v>0</v>
      </c>
      <c r="Q58" s="454">
        <v>0</v>
      </c>
      <c r="R58" s="454">
        <v>0</v>
      </c>
      <c r="S58" s="454">
        <v>0</v>
      </c>
      <c r="T58" s="454">
        <v>0</v>
      </c>
      <c r="U58" s="322"/>
      <c r="V58" s="322"/>
      <c r="W58" s="322"/>
      <c r="X58" s="322"/>
      <c r="Y58" s="322"/>
      <c r="Z58" s="322"/>
      <c r="AA58" s="322"/>
      <c r="AB58" s="322"/>
      <c r="AC58" s="322"/>
      <c r="AD58" s="322"/>
      <c r="AE58" s="322"/>
      <c r="AF58" s="322"/>
      <c r="AG58" s="322"/>
      <c r="AH58" s="322"/>
      <c r="AI58" s="322"/>
      <c r="AJ58" s="322"/>
      <c r="AK58" s="322"/>
      <c r="AL58" s="322"/>
      <c r="AM58" s="323"/>
    </row>
    <row r="59" spans="1:39">
      <c r="A59" s="449">
        <f t="shared" ref="A59:A94" si="1">A58+1</f>
        <v>1987</v>
      </c>
      <c r="B59" s="454">
        <v>0</v>
      </c>
      <c r="C59" s="454">
        <v>0</v>
      </c>
      <c r="D59" s="454">
        <v>0</v>
      </c>
      <c r="E59" s="454">
        <v>0</v>
      </c>
      <c r="F59" s="454">
        <v>0</v>
      </c>
      <c r="G59" s="454">
        <v>0</v>
      </c>
      <c r="H59" s="454">
        <v>0</v>
      </c>
      <c r="I59" s="454">
        <v>0</v>
      </c>
      <c r="J59" s="454">
        <v>0</v>
      </c>
      <c r="K59" s="454">
        <v>0</v>
      </c>
      <c r="L59" s="454">
        <v>0</v>
      </c>
      <c r="M59" s="454">
        <v>0</v>
      </c>
      <c r="N59" s="454">
        <v>0</v>
      </c>
      <c r="O59" s="454">
        <v>0</v>
      </c>
      <c r="P59" s="454">
        <v>0</v>
      </c>
      <c r="Q59" s="454">
        <v>0</v>
      </c>
      <c r="R59" s="454">
        <v>0</v>
      </c>
      <c r="S59" s="454">
        <v>0</v>
      </c>
      <c r="T59" s="454">
        <v>0</v>
      </c>
      <c r="U59" s="322"/>
      <c r="V59" s="322"/>
      <c r="W59" s="322"/>
      <c r="X59" s="322"/>
      <c r="Y59" s="322"/>
      <c r="Z59" s="322"/>
      <c r="AA59" s="322"/>
      <c r="AB59" s="322"/>
      <c r="AC59" s="322"/>
      <c r="AD59" s="322"/>
      <c r="AE59" s="322"/>
      <c r="AF59" s="322"/>
      <c r="AG59" s="322"/>
      <c r="AH59" s="322"/>
      <c r="AI59" s="322"/>
      <c r="AJ59" s="322"/>
      <c r="AK59" s="322"/>
      <c r="AL59" s="322"/>
      <c r="AM59" s="323"/>
    </row>
    <row r="60" spans="1:39">
      <c r="A60" s="449">
        <f t="shared" si="1"/>
        <v>1988</v>
      </c>
      <c r="B60" s="454">
        <v>0</v>
      </c>
      <c r="C60" s="454">
        <v>0</v>
      </c>
      <c r="D60" s="454">
        <v>0</v>
      </c>
      <c r="E60" s="454">
        <v>0</v>
      </c>
      <c r="F60" s="454">
        <v>0</v>
      </c>
      <c r="G60" s="454">
        <v>0</v>
      </c>
      <c r="H60" s="454">
        <v>0</v>
      </c>
      <c r="I60" s="454">
        <v>0</v>
      </c>
      <c r="J60" s="454">
        <v>0</v>
      </c>
      <c r="K60" s="454">
        <v>0</v>
      </c>
      <c r="L60" s="454">
        <v>0</v>
      </c>
      <c r="M60" s="454">
        <v>0</v>
      </c>
      <c r="N60" s="454">
        <v>0</v>
      </c>
      <c r="O60" s="454">
        <v>0</v>
      </c>
      <c r="P60" s="454">
        <v>0</v>
      </c>
      <c r="Q60" s="454">
        <v>0</v>
      </c>
      <c r="R60" s="454">
        <v>0</v>
      </c>
      <c r="S60" s="454">
        <v>0</v>
      </c>
      <c r="T60" s="454">
        <v>0</v>
      </c>
      <c r="U60" s="322"/>
      <c r="V60" s="322"/>
      <c r="W60" s="322"/>
      <c r="X60" s="322"/>
      <c r="Y60" s="322"/>
      <c r="Z60" s="322"/>
      <c r="AA60" s="322"/>
      <c r="AB60" s="322"/>
      <c r="AC60" s="322"/>
      <c r="AD60" s="322"/>
      <c r="AE60" s="322"/>
      <c r="AF60" s="322"/>
      <c r="AG60" s="322"/>
      <c r="AH60" s="322"/>
      <c r="AI60" s="322"/>
      <c r="AJ60" s="322"/>
      <c r="AK60" s="322"/>
      <c r="AL60" s="322"/>
      <c r="AM60" s="323"/>
    </row>
    <row r="61" spans="1:39">
      <c r="A61" s="449">
        <f t="shared" si="1"/>
        <v>1989</v>
      </c>
      <c r="B61" s="454">
        <v>0</v>
      </c>
      <c r="C61" s="454">
        <v>0</v>
      </c>
      <c r="D61" s="454">
        <v>0</v>
      </c>
      <c r="E61" s="454">
        <v>0</v>
      </c>
      <c r="F61" s="454">
        <v>0</v>
      </c>
      <c r="G61" s="454">
        <v>0</v>
      </c>
      <c r="H61" s="454">
        <v>0</v>
      </c>
      <c r="I61" s="454">
        <v>0</v>
      </c>
      <c r="J61" s="454">
        <v>0</v>
      </c>
      <c r="K61" s="454">
        <v>0</v>
      </c>
      <c r="L61" s="454">
        <v>0</v>
      </c>
      <c r="M61" s="454">
        <v>0</v>
      </c>
      <c r="N61" s="454">
        <v>0</v>
      </c>
      <c r="O61" s="454">
        <v>0</v>
      </c>
      <c r="P61" s="454">
        <v>0</v>
      </c>
      <c r="Q61" s="454">
        <v>0</v>
      </c>
      <c r="R61" s="454">
        <v>0</v>
      </c>
      <c r="S61" s="454">
        <v>0</v>
      </c>
      <c r="T61" s="454">
        <v>0</v>
      </c>
      <c r="U61" s="322"/>
      <c r="V61" s="322"/>
      <c r="W61" s="322"/>
      <c r="X61" s="322"/>
      <c r="Y61" s="322"/>
      <c r="Z61" s="322"/>
      <c r="AA61" s="322"/>
      <c r="AB61" s="322"/>
      <c r="AC61" s="322"/>
      <c r="AD61" s="322"/>
      <c r="AE61" s="322"/>
      <c r="AF61" s="322"/>
      <c r="AG61" s="322"/>
      <c r="AH61" s="322"/>
      <c r="AI61" s="322"/>
      <c r="AJ61" s="322"/>
      <c r="AK61" s="322"/>
      <c r="AL61" s="322"/>
      <c r="AM61" s="323"/>
    </row>
    <row r="62" spans="1:39">
      <c r="A62" s="449">
        <f t="shared" si="1"/>
        <v>1990</v>
      </c>
      <c r="B62" s="454">
        <v>0</v>
      </c>
      <c r="C62" s="454">
        <v>0</v>
      </c>
      <c r="D62" s="454">
        <v>0</v>
      </c>
      <c r="E62" s="454">
        <v>0</v>
      </c>
      <c r="F62" s="454">
        <v>0</v>
      </c>
      <c r="G62" s="454">
        <v>0</v>
      </c>
      <c r="H62" s="454">
        <v>0</v>
      </c>
      <c r="I62" s="454">
        <v>0</v>
      </c>
      <c r="J62" s="454">
        <v>0</v>
      </c>
      <c r="K62" s="454">
        <v>0</v>
      </c>
      <c r="L62" s="454">
        <v>0</v>
      </c>
      <c r="M62" s="454">
        <v>0</v>
      </c>
      <c r="N62" s="454">
        <v>0</v>
      </c>
      <c r="O62" s="454">
        <v>0</v>
      </c>
      <c r="P62" s="454">
        <v>0</v>
      </c>
      <c r="Q62" s="454">
        <v>0</v>
      </c>
      <c r="R62" s="454">
        <v>0</v>
      </c>
      <c r="S62" s="454">
        <v>0</v>
      </c>
      <c r="T62" s="454">
        <v>0</v>
      </c>
      <c r="U62" s="322"/>
      <c r="V62" s="322"/>
      <c r="W62" s="322"/>
      <c r="X62" s="322"/>
      <c r="Y62" s="322"/>
      <c r="Z62" s="322"/>
      <c r="AA62" s="322"/>
      <c r="AB62" s="322"/>
      <c r="AC62" s="322"/>
      <c r="AD62" s="322"/>
      <c r="AE62" s="322"/>
      <c r="AF62" s="322"/>
      <c r="AG62" s="322"/>
      <c r="AH62" s="322"/>
      <c r="AI62" s="322"/>
      <c r="AJ62" s="322"/>
      <c r="AK62" s="322"/>
      <c r="AL62" s="322"/>
      <c r="AM62" s="323"/>
    </row>
    <row r="63" spans="1:39">
      <c r="A63" s="449">
        <f t="shared" si="1"/>
        <v>1991</v>
      </c>
      <c r="B63" s="454">
        <v>0</v>
      </c>
      <c r="C63" s="454">
        <v>0</v>
      </c>
      <c r="D63" s="454">
        <v>0</v>
      </c>
      <c r="E63" s="454">
        <v>0</v>
      </c>
      <c r="F63" s="454">
        <v>0</v>
      </c>
      <c r="G63" s="454">
        <v>0</v>
      </c>
      <c r="H63" s="454">
        <v>0</v>
      </c>
      <c r="I63" s="454">
        <v>0</v>
      </c>
      <c r="J63" s="454">
        <v>0</v>
      </c>
      <c r="K63" s="454">
        <v>0</v>
      </c>
      <c r="L63" s="454">
        <v>0</v>
      </c>
      <c r="M63" s="454">
        <v>0</v>
      </c>
      <c r="N63" s="454">
        <v>0</v>
      </c>
      <c r="O63" s="454">
        <v>0</v>
      </c>
      <c r="P63" s="454">
        <v>0</v>
      </c>
      <c r="Q63" s="454">
        <v>0</v>
      </c>
      <c r="R63" s="454">
        <v>0</v>
      </c>
      <c r="S63" s="454">
        <v>0</v>
      </c>
      <c r="T63" s="454">
        <v>0</v>
      </c>
      <c r="U63" s="322"/>
      <c r="V63" s="322"/>
      <c r="W63" s="322"/>
      <c r="X63" s="322"/>
      <c r="Y63" s="322"/>
      <c r="Z63" s="322"/>
      <c r="AA63" s="322"/>
      <c r="AB63" s="322"/>
      <c r="AC63" s="322"/>
      <c r="AD63" s="322"/>
      <c r="AE63" s="322"/>
      <c r="AF63" s="322"/>
      <c r="AG63" s="322"/>
      <c r="AH63" s="322"/>
      <c r="AI63" s="322"/>
      <c r="AJ63" s="322"/>
      <c r="AK63" s="322"/>
      <c r="AL63" s="322"/>
      <c r="AM63" s="323"/>
    </row>
    <row r="64" spans="1:39">
      <c r="A64" s="449">
        <f t="shared" si="1"/>
        <v>1992</v>
      </c>
      <c r="B64" s="454">
        <v>0</v>
      </c>
      <c r="C64" s="454">
        <v>0</v>
      </c>
      <c r="D64" s="454">
        <v>0</v>
      </c>
      <c r="E64" s="454">
        <v>0</v>
      </c>
      <c r="F64" s="454">
        <v>0</v>
      </c>
      <c r="G64" s="454">
        <v>0</v>
      </c>
      <c r="H64" s="454">
        <v>0</v>
      </c>
      <c r="I64" s="454">
        <v>0</v>
      </c>
      <c r="J64" s="454">
        <v>0</v>
      </c>
      <c r="K64" s="454">
        <v>0</v>
      </c>
      <c r="L64" s="454">
        <v>0</v>
      </c>
      <c r="M64" s="454">
        <v>0</v>
      </c>
      <c r="N64" s="454">
        <v>0</v>
      </c>
      <c r="O64" s="454">
        <v>0</v>
      </c>
      <c r="P64" s="454">
        <v>0</v>
      </c>
      <c r="Q64" s="454">
        <v>0</v>
      </c>
      <c r="R64" s="454">
        <v>0</v>
      </c>
      <c r="S64" s="454">
        <v>0</v>
      </c>
      <c r="T64" s="454">
        <v>0</v>
      </c>
      <c r="U64" s="322"/>
      <c r="V64" s="322"/>
      <c r="W64" s="322"/>
      <c r="X64" s="322"/>
      <c r="Y64" s="322"/>
      <c r="Z64" s="322"/>
      <c r="AA64" s="322"/>
      <c r="AB64" s="322"/>
      <c r="AC64" s="322"/>
      <c r="AD64" s="322"/>
      <c r="AE64" s="322"/>
      <c r="AF64" s="322"/>
      <c r="AG64" s="322"/>
      <c r="AH64" s="322"/>
      <c r="AI64" s="322"/>
      <c r="AJ64" s="322"/>
      <c r="AK64" s="322"/>
      <c r="AL64" s="322"/>
      <c r="AM64" s="323"/>
    </row>
    <row r="65" spans="1:39">
      <c r="A65" s="449">
        <f t="shared" si="1"/>
        <v>1993</v>
      </c>
      <c r="B65" s="454">
        <v>0</v>
      </c>
      <c r="C65" s="454">
        <v>0</v>
      </c>
      <c r="D65" s="454">
        <v>0</v>
      </c>
      <c r="E65" s="454">
        <v>0</v>
      </c>
      <c r="F65" s="454">
        <v>0</v>
      </c>
      <c r="G65" s="454">
        <v>0</v>
      </c>
      <c r="H65" s="454">
        <v>0</v>
      </c>
      <c r="I65" s="454">
        <v>0</v>
      </c>
      <c r="J65" s="454">
        <v>0</v>
      </c>
      <c r="K65" s="454">
        <v>0</v>
      </c>
      <c r="L65" s="454">
        <v>0</v>
      </c>
      <c r="M65" s="454">
        <v>0</v>
      </c>
      <c r="N65" s="454">
        <v>0</v>
      </c>
      <c r="O65" s="454">
        <v>0</v>
      </c>
      <c r="P65" s="454">
        <v>0</v>
      </c>
      <c r="Q65" s="454">
        <v>0</v>
      </c>
      <c r="R65" s="454">
        <v>0</v>
      </c>
      <c r="S65" s="454">
        <v>0</v>
      </c>
      <c r="T65" s="454">
        <v>0</v>
      </c>
      <c r="U65" s="322"/>
      <c r="V65" s="322"/>
      <c r="W65" s="322"/>
      <c r="X65" s="322"/>
      <c r="Y65" s="322"/>
      <c r="Z65" s="322"/>
      <c r="AA65" s="322"/>
      <c r="AB65" s="322"/>
      <c r="AC65" s="322"/>
      <c r="AD65" s="322"/>
      <c r="AE65" s="322"/>
      <c r="AF65" s="322"/>
      <c r="AG65" s="322"/>
      <c r="AH65" s="322"/>
      <c r="AI65" s="322"/>
      <c r="AJ65" s="322"/>
      <c r="AK65" s="322"/>
      <c r="AL65" s="322"/>
      <c r="AM65" s="323"/>
    </row>
    <row r="66" spans="1:39">
      <c r="A66" s="449">
        <f t="shared" si="1"/>
        <v>1994</v>
      </c>
      <c r="B66" s="454">
        <v>0</v>
      </c>
      <c r="C66" s="454">
        <v>0</v>
      </c>
      <c r="D66" s="454">
        <v>0</v>
      </c>
      <c r="E66" s="454">
        <v>0</v>
      </c>
      <c r="F66" s="454">
        <v>0</v>
      </c>
      <c r="G66" s="454">
        <v>0</v>
      </c>
      <c r="H66" s="454">
        <v>0</v>
      </c>
      <c r="I66" s="454">
        <v>0</v>
      </c>
      <c r="J66" s="454">
        <v>0</v>
      </c>
      <c r="K66" s="454">
        <v>0</v>
      </c>
      <c r="L66" s="454">
        <v>0</v>
      </c>
      <c r="M66" s="454">
        <v>0</v>
      </c>
      <c r="N66" s="454">
        <v>0</v>
      </c>
      <c r="O66" s="454">
        <v>0</v>
      </c>
      <c r="P66" s="454">
        <v>0</v>
      </c>
      <c r="Q66" s="454">
        <v>0</v>
      </c>
      <c r="R66" s="454">
        <v>0</v>
      </c>
      <c r="S66" s="454">
        <v>0</v>
      </c>
      <c r="T66" s="454">
        <v>0</v>
      </c>
      <c r="U66" s="322"/>
      <c r="V66" s="322"/>
      <c r="W66" s="322"/>
      <c r="X66" s="322"/>
      <c r="Y66" s="322"/>
      <c r="Z66" s="322"/>
      <c r="AA66" s="322"/>
      <c r="AB66" s="322"/>
      <c r="AC66" s="322"/>
      <c r="AD66" s="322"/>
      <c r="AE66" s="322"/>
      <c r="AF66" s="322"/>
      <c r="AG66" s="322"/>
      <c r="AH66" s="322"/>
      <c r="AI66" s="322"/>
      <c r="AJ66" s="322"/>
      <c r="AK66" s="322"/>
      <c r="AL66" s="322"/>
      <c r="AM66" s="323"/>
    </row>
    <row r="67" spans="1:39">
      <c r="A67" s="449">
        <f t="shared" si="1"/>
        <v>1995</v>
      </c>
      <c r="B67" s="454">
        <v>0</v>
      </c>
      <c r="C67" s="454">
        <v>0</v>
      </c>
      <c r="D67" s="454">
        <v>0</v>
      </c>
      <c r="E67" s="454">
        <v>0</v>
      </c>
      <c r="F67" s="454">
        <v>0</v>
      </c>
      <c r="G67" s="454">
        <v>0</v>
      </c>
      <c r="H67" s="454">
        <v>0</v>
      </c>
      <c r="I67" s="454">
        <v>0</v>
      </c>
      <c r="J67" s="454">
        <v>0</v>
      </c>
      <c r="K67" s="454">
        <v>0</v>
      </c>
      <c r="L67" s="454">
        <v>0</v>
      </c>
      <c r="M67" s="454">
        <v>0</v>
      </c>
      <c r="N67" s="454">
        <v>0</v>
      </c>
      <c r="O67" s="454">
        <v>0</v>
      </c>
      <c r="P67" s="454">
        <v>0</v>
      </c>
      <c r="Q67" s="454">
        <v>0</v>
      </c>
      <c r="R67" s="454">
        <v>0</v>
      </c>
      <c r="S67" s="454">
        <v>0</v>
      </c>
      <c r="T67" s="454">
        <v>1</v>
      </c>
      <c r="U67" s="322"/>
      <c r="V67" s="322"/>
      <c r="W67" s="322"/>
      <c r="X67" s="322"/>
      <c r="Y67" s="322"/>
      <c r="Z67" s="322"/>
      <c r="AA67" s="322"/>
      <c r="AB67" s="322"/>
      <c r="AC67" s="322"/>
      <c r="AD67" s="322"/>
      <c r="AE67" s="322"/>
      <c r="AF67" s="322"/>
      <c r="AG67" s="322"/>
      <c r="AH67" s="322"/>
      <c r="AI67" s="322"/>
      <c r="AJ67" s="322"/>
      <c r="AK67" s="322"/>
      <c r="AL67" s="322"/>
      <c r="AM67" s="323"/>
    </row>
    <row r="68" spans="1:39">
      <c r="A68" s="449">
        <f t="shared" si="1"/>
        <v>1996</v>
      </c>
      <c r="B68" s="454">
        <v>0</v>
      </c>
      <c r="C68" s="454">
        <v>0</v>
      </c>
      <c r="D68" s="454">
        <v>0</v>
      </c>
      <c r="E68" s="454">
        <v>0</v>
      </c>
      <c r="F68" s="454">
        <v>0</v>
      </c>
      <c r="G68" s="454">
        <v>0</v>
      </c>
      <c r="H68" s="454">
        <v>0</v>
      </c>
      <c r="I68" s="454">
        <v>0</v>
      </c>
      <c r="J68" s="454">
        <v>0</v>
      </c>
      <c r="K68" s="454">
        <v>0</v>
      </c>
      <c r="L68" s="454">
        <v>0</v>
      </c>
      <c r="M68" s="454">
        <v>0</v>
      </c>
      <c r="N68" s="454">
        <v>0</v>
      </c>
      <c r="O68" s="454">
        <v>0</v>
      </c>
      <c r="P68" s="454">
        <v>0</v>
      </c>
      <c r="Q68" s="454">
        <v>0</v>
      </c>
      <c r="R68" s="454">
        <v>0</v>
      </c>
      <c r="S68" s="454">
        <v>1</v>
      </c>
      <c r="T68" s="454">
        <v>1</v>
      </c>
      <c r="U68" s="322"/>
      <c r="V68" s="322"/>
      <c r="W68" s="322"/>
      <c r="X68" s="322"/>
      <c r="Y68" s="322"/>
      <c r="Z68" s="322"/>
      <c r="AA68" s="322"/>
      <c r="AB68" s="322"/>
      <c r="AC68" s="322"/>
      <c r="AD68" s="322"/>
      <c r="AE68" s="322"/>
      <c r="AF68" s="322"/>
      <c r="AG68" s="322"/>
      <c r="AH68" s="322"/>
      <c r="AI68" s="322"/>
      <c r="AJ68" s="322"/>
      <c r="AK68" s="322"/>
      <c r="AL68" s="322"/>
      <c r="AM68" s="323"/>
    </row>
    <row r="69" spans="1:39">
      <c r="A69" s="449">
        <f t="shared" si="1"/>
        <v>1997</v>
      </c>
      <c r="B69" s="454">
        <v>0</v>
      </c>
      <c r="C69" s="454">
        <v>0</v>
      </c>
      <c r="D69" s="454">
        <v>0</v>
      </c>
      <c r="E69" s="454">
        <v>0</v>
      </c>
      <c r="F69" s="454">
        <v>0</v>
      </c>
      <c r="G69" s="454">
        <v>0</v>
      </c>
      <c r="H69" s="454">
        <v>0</v>
      </c>
      <c r="I69" s="454">
        <v>0</v>
      </c>
      <c r="J69" s="454">
        <v>0</v>
      </c>
      <c r="K69" s="454">
        <v>0</v>
      </c>
      <c r="L69" s="454">
        <v>0</v>
      </c>
      <c r="M69" s="454">
        <v>0</v>
      </c>
      <c r="N69" s="454">
        <v>0</v>
      </c>
      <c r="O69" s="454">
        <v>0</v>
      </c>
      <c r="P69" s="454">
        <v>0</v>
      </c>
      <c r="Q69" s="454">
        <v>0</v>
      </c>
      <c r="R69" s="454">
        <f t="shared" ref="R69:R77" si="2">IF(R25=0,0,S25/R25)</f>
        <v>1</v>
      </c>
      <c r="S69" s="454">
        <v>1</v>
      </c>
      <c r="T69" s="454">
        <v>1</v>
      </c>
      <c r="U69" s="322"/>
      <c r="V69" s="322"/>
      <c r="W69" s="322"/>
      <c r="X69" s="322"/>
      <c r="Y69" s="322"/>
      <c r="Z69" s="322"/>
      <c r="AA69" s="322"/>
      <c r="AB69" s="322"/>
      <c r="AC69" s="322"/>
      <c r="AD69" s="322"/>
      <c r="AE69" s="322"/>
      <c r="AF69" s="322"/>
      <c r="AG69" s="322"/>
      <c r="AH69" s="322"/>
      <c r="AI69" s="322"/>
      <c r="AJ69" s="322"/>
      <c r="AK69" s="322"/>
      <c r="AL69" s="322"/>
      <c r="AM69" s="323"/>
    </row>
    <row r="70" spans="1:39">
      <c r="A70" s="449">
        <f t="shared" si="1"/>
        <v>1998</v>
      </c>
      <c r="B70" s="454">
        <v>0</v>
      </c>
      <c r="C70" s="454">
        <v>0</v>
      </c>
      <c r="D70" s="454">
        <v>0</v>
      </c>
      <c r="E70" s="454">
        <v>0</v>
      </c>
      <c r="F70" s="454">
        <v>0</v>
      </c>
      <c r="G70" s="454">
        <v>0</v>
      </c>
      <c r="H70" s="454">
        <v>0</v>
      </c>
      <c r="I70" s="454">
        <v>0</v>
      </c>
      <c r="J70" s="454">
        <v>0</v>
      </c>
      <c r="K70" s="454">
        <v>0</v>
      </c>
      <c r="L70" s="454">
        <v>0</v>
      </c>
      <c r="M70" s="454">
        <v>0</v>
      </c>
      <c r="N70" s="454">
        <v>0</v>
      </c>
      <c r="O70" s="454">
        <v>0</v>
      </c>
      <c r="P70" s="454">
        <v>0</v>
      </c>
      <c r="Q70" s="454">
        <f t="shared" ref="Q70:Q78" si="3">IF(Q26=0,0,R26/Q26)</f>
        <v>1</v>
      </c>
      <c r="R70" s="454">
        <f t="shared" si="2"/>
        <v>1</v>
      </c>
      <c r="S70" s="454">
        <v>1</v>
      </c>
      <c r="T70" s="454">
        <v>1</v>
      </c>
      <c r="U70" s="322"/>
      <c r="V70" s="322"/>
      <c r="W70" s="322"/>
      <c r="X70" s="322"/>
      <c r="Y70" s="322"/>
      <c r="Z70" s="322"/>
      <c r="AA70" s="322"/>
      <c r="AB70" s="322"/>
      <c r="AC70" s="322"/>
      <c r="AD70" s="322"/>
      <c r="AE70" s="322"/>
      <c r="AF70" s="322"/>
      <c r="AG70" s="322"/>
      <c r="AH70" s="322"/>
      <c r="AI70" s="322"/>
      <c r="AJ70" s="322"/>
      <c r="AK70" s="322"/>
      <c r="AL70" s="322"/>
      <c r="AM70" s="323"/>
    </row>
    <row r="71" spans="1:39">
      <c r="A71" s="449">
        <f t="shared" si="1"/>
        <v>1999</v>
      </c>
      <c r="B71" s="454">
        <v>0</v>
      </c>
      <c r="C71" s="454">
        <v>0</v>
      </c>
      <c r="D71" s="454">
        <v>0</v>
      </c>
      <c r="E71" s="454">
        <v>0</v>
      </c>
      <c r="F71" s="454">
        <v>0</v>
      </c>
      <c r="G71" s="454">
        <v>0</v>
      </c>
      <c r="H71" s="454">
        <v>0</v>
      </c>
      <c r="I71" s="454">
        <v>0</v>
      </c>
      <c r="J71" s="454">
        <v>0</v>
      </c>
      <c r="K71" s="454">
        <v>0</v>
      </c>
      <c r="L71" s="454">
        <v>0</v>
      </c>
      <c r="M71" s="454">
        <v>0</v>
      </c>
      <c r="N71" s="454">
        <v>0</v>
      </c>
      <c r="O71" s="454">
        <v>0</v>
      </c>
      <c r="P71" s="454">
        <f t="shared" ref="P71:P79" si="4">IF(P27=0,0,Q27/P27)</f>
        <v>0.99973917659787037</v>
      </c>
      <c r="Q71" s="454">
        <f t="shared" si="3"/>
        <v>1</v>
      </c>
      <c r="R71" s="454">
        <f t="shared" si="2"/>
        <v>1</v>
      </c>
      <c r="S71" s="454">
        <v>1</v>
      </c>
      <c r="T71" s="454">
        <v>1</v>
      </c>
      <c r="U71" s="322"/>
      <c r="V71" s="322"/>
      <c r="W71" s="322"/>
      <c r="X71" s="322"/>
      <c r="Y71" s="322"/>
      <c r="Z71" s="322"/>
      <c r="AA71" s="322"/>
      <c r="AB71" s="322"/>
      <c r="AC71" s="322"/>
      <c r="AD71" s="322"/>
      <c r="AE71" s="322"/>
      <c r="AF71" s="322"/>
      <c r="AG71" s="322"/>
      <c r="AH71" s="322"/>
      <c r="AI71" s="322"/>
      <c r="AJ71" s="322"/>
      <c r="AK71" s="322"/>
      <c r="AL71" s="322"/>
      <c r="AM71" s="323"/>
    </row>
    <row r="72" spans="1:39">
      <c r="A72" s="449">
        <f t="shared" si="1"/>
        <v>2000</v>
      </c>
      <c r="B72" s="454">
        <v>0</v>
      </c>
      <c r="C72" s="454">
        <v>0</v>
      </c>
      <c r="D72" s="454">
        <v>0</v>
      </c>
      <c r="E72" s="454">
        <v>0</v>
      </c>
      <c r="F72" s="454">
        <v>0</v>
      </c>
      <c r="G72" s="454">
        <v>0</v>
      </c>
      <c r="H72" s="454">
        <v>0</v>
      </c>
      <c r="I72" s="454">
        <v>0</v>
      </c>
      <c r="J72" s="454">
        <v>0</v>
      </c>
      <c r="K72" s="454">
        <v>0</v>
      </c>
      <c r="L72" s="454">
        <v>0</v>
      </c>
      <c r="M72" s="454">
        <v>0</v>
      </c>
      <c r="N72" s="454">
        <v>0</v>
      </c>
      <c r="O72" s="454">
        <f t="shared" ref="O72:O80" si="5">IF(O28=0,0,P28/O28)</f>
        <v>1</v>
      </c>
      <c r="P72" s="454">
        <f t="shared" si="4"/>
        <v>1</v>
      </c>
      <c r="Q72" s="454">
        <f t="shared" si="3"/>
        <v>1</v>
      </c>
      <c r="R72" s="454">
        <f t="shared" si="2"/>
        <v>1</v>
      </c>
      <c r="S72" s="454">
        <v>1</v>
      </c>
      <c r="T72" s="454">
        <v>1</v>
      </c>
      <c r="U72" s="322"/>
      <c r="V72" s="322"/>
      <c r="W72" s="322"/>
      <c r="X72" s="322"/>
      <c r="Y72" s="322"/>
      <c r="Z72" s="322"/>
      <c r="AA72" s="322"/>
      <c r="AB72" s="322"/>
      <c r="AC72" s="322"/>
      <c r="AD72" s="322"/>
      <c r="AE72" s="322"/>
      <c r="AF72" s="322"/>
      <c r="AG72" s="322"/>
      <c r="AH72" s="322"/>
      <c r="AI72" s="322"/>
      <c r="AJ72" s="322"/>
      <c r="AK72" s="322"/>
      <c r="AL72" s="322"/>
      <c r="AM72" s="323"/>
    </row>
    <row r="73" spans="1:39">
      <c r="A73" s="449">
        <f t="shared" si="1"/>
        <v>2001</v>
      </c>
      <c r="B73" s="454">
        <v>0</v>
      </c>
      <c r="C73" s="454">
        <v>0</v>
      </c>
      <c r="D73" s="454">
        <v>0</v>
      </c>
      <c r="E73" s="454">
        <v>0</v>
      </c>
      <c r="F73" s="454">
        <v>0</v>
      </c>
      <c r="G73" s="454">
        <v>0</v>
      </c>
      <c r="H73" s="454">
        <v>0</v>
      </c>
      <c r="I73" s="454">
        <v>0</v>
      </c>
      <c r="J73" s="454">
        <v>0</v>
      </c>
      <c r="K73" s="454">
        <v>0</v>
      </c>
      <c r="L73" s="454">
        <v>0</v>
      </c>
      <c r="M73" s="454">
        <v>0</v>
      </c>
      <c r="N73" s="454">
        <f t="shared" ref="N73:N81" si="6">IF(N29=0,0,O29/N29)</f>
        <v>1</v>
      </c>
      <c r="O73" s="454">
        <f t="shared" si="5"/>
        <v>1</v>
      </c>
      <c r="P73" s="454">
        <f t="shared" si="4"/>
        <v>1</v>
      </c>
      <c r="Q73" s="454">
        <f t="shared" si="3"/>
        <v>1</v>
      </c>
      <c r="R73" s="454">
        <f t="shared" si="2"/>
        <v>1</v>
      </c>
      <c r="S73" s="454">
        <v>1</v>
      </c>
      <c r="T73" s="454">
        <v>1</v>
      </c>
      <c r="U73" s="322"/>
      <c r="V73" s="322"/>
      <c r="W73" s="322"/>
      <c r="X73" s="322"/>
      <c r="Y73" s="322"/>
      <c r="Z73" s="322"/>
      <c r="AA73" s="322"/>
      <c r="AB73" s="322"/>
      <c r="AC73" s="322"/>
      <c r="AD73" s="322"/>
      <c r="AE73" s="322"/>
      <c r="AF73" s="322"/>
      <c r="AG73" s="322"/>
      <c r="AH73" s="322"/>
      <c r="AI73" s="322"/>
      <c r="AJ73" s="322"/>
      <c r="AK73" s="322"/>
      <c r="AL73" s="322"/>
      <c r="AM73" s="323"/>
    </row>
    <row r="74" spans="1:39">
      <c r="A74" s="449">
        <f t="shared" si="1"/>
        <v>2002</v>
      </c>
      <c r="B74" s="454">
        <v>0</v>
      </c>
      <c r="C74" s="454">
        <v>0</v>
      </c>
      <c r="D74" s="454">
        <v>0</v>
      </c>
      <c r="E74" s="454">
        <v>0</v>
      </c>
      <c r="F74" s="454">
        <v>0</v>
      </c>
      <c r="G74" s="454">
        <v>0</v>
      </c>
      <c r="H74" s="454">
        <v>0</v>
      </c>
      <c r="I74" s="454">
        <v>0</v>
      </c>
      <c r="J74" s="454">
        <v>0</v>
      </c>
      <c r="K74" s="454">
        <v>0</v>
      </c>
      <c r="L74" s="454">
        <v>0</v>
      </c>
      <c r="M74" s="454">
        <f t="shared" ref="M74:M82" si="7">IF(M30=0,0,N30/M30)</f>
        <v>1.0111986413232854</v>
      </c>
      <c r="N74" s="454">
        <f t="shared" si="6"/>
        <v>1.021044346240449</v>
      </c>
      <c r="O74" s="454">
        <f t="shared" si="5"/>
        <v>1</v>
      </c>
      <c r="P74" s="454">
        <f t="shared" si="4"/>
        <v>0.98854170691693311</v>
      </c>
      <c r="Q74" s="454">
        <f t="shared" si="3"/>
        <v>1</v>
      </c>
      <c r="R74" s="454">
        <f t="shared" si="2"/>
        <v>1</v>
      </c>
      <c r="S74" s="454">
        <v>1</v>
      </c>
      <c r="T74" s="454">
        <v>1</v>
      </c>
      <c r="U74" s="322"/>
      <c r="V74" s="322"/>
      <c r="W74" s="322"/>
      <c r="X74" s="322"/>
      <c r="Y74" s="322"/>
      <c r="Z74" s="322"/>
      <c r="AA74" s="322"/>
      <c r="AB74" s="322"/>
      <c r="AC74" s="322"/>
      <c r="AD74" s="322"/>
      <c r="AE74" s="322"/>
      <c r="AF74" s="322"/>
      <c r="AG74" s="322"/>
      <c r="AH74" s="322"/>
      <c r="AI74" s="322"/>
      <c r="AJ74" s="322"/>
      <c r="AK74" s="322"/>
      <c r="AL74" s="322"/>
      <c r="AM74" s="323"/>
    </row>
    <row r="75" spans="1:39">
      <c r="A75" s="449">
        <f t="shared" si="1"/>
        <v>2003</v>
      </c>
      <c r="B75" s="454">
        <v>0</v>
      </c>
      <c r="C75" s="454">
        <v>0</v>
      </c>
      <c r="D75" s="454">
        <v>0</v>
      </c>
      <c r="E75" s="454">
        <v>0</v>
      </c>
      <c r="F75" s="454">
        <v>0</v>
      </c>
      <c r="G75" s="454">
        <v>0</v>
      </c>
      <c r="H75" s="454">
        <v>0</v>
      </c>
      <c r="I75" s="454">
        <v>0</v>
      </c>
      <c r="J75" s="454">
        <v>0</v>
      </c>
      <c r="K75" s="454">
        <v>0</v>
      </c>
      <c r="L75" s="454">
        <f t="shared" ref="L75:L83" si="8">IF(L31=0,0,M31/L31)</f>
        <v>1</v>
      </c>
      <c r="M75" s="454">
        <f t="shared" si="7"/>
        <v>1</v>
      </c>
      <c r="N75" s="454">
        <f t="shared" si="6"/>
        <v>1</v>
      </c>
      <c r="O75" s="454">
        <f t="shared" si="5"/>
        <v>1</v>
      </c>
      <c r="P75" s="454">
        <f t="shared" si="4"/>
        <v>1</v>
      </c>
      <c r="Q75" s="454">
        <f t="shared" si="3"/>
        <v>1</v>
      </c>
      <c r="R75" s="454">
        <f t="shared" si="2"/>
        <v>1</v>
      </c>
      <c r="S75" s="454">
        <v>1</v>
      </c>
      <c r="T75" s="454">
        <v>1</v>
      </c>
      <c r="U75" s="322"/>
      <c r="V75" s="322"/>
      <c r="W75" s="322"/>
      <c r="X75" s="322"/>
      <c r="Y75" s="322"/>
      <c r="Z75" s="322"/>
      <c r="AA75" s="322"/>
      <c r="AB75" s="322"/>
      <c r="AC75" s="322"/>
      <c r="AD75" s="322"/>
      <c r="AE75" s="322"/>
      <c r="AF75" s="322"/>
      <c r="AG75" s="322"/>
      <c r="AH75" s="322"/>
      <c r="AI75" s="322"/>
      <c r="AJ75" s="322"/>
      <c r="AK75" s="322"/>
      <c r="AL75" s="322"/>
      <c r="AM75" s="323"/>
    </row>
    <row r="76" spans="1:39">
      <c r="A76" s="449">
        <f t="shared" si="1"/>
        <v>2004</v>
      </c>
      <c r="B76" s="454">
        <v>0</v>
      </c>
      <c r="C76" s="454">
        <v>0</v>
      </c>
      <c r="D76" s="454">
        <v>0</v>
      </c>
      <c r="E76" s="454">
        <v>0</v>
      </c>
      <c r="F76" s="454">
        <v>0</v>
      </c>
      <c r="G76" s="454">
        <v>0</v>
      </c>
      <c r="H76" s="454">
        <v>0</v>
      </c>
      <c r="I76" s="454">
        <v>0</v>
      </c>
      <c r="J76" s="454">
        <v>0</v>
      </c>
      <c r="K76" s="454">
        <f t="shared" ref="K76:K84" si="9">IF(K32=0,0,L32/K32)</f>
        <v>1.0030545939870519</v>
      </c>
      <c r="L76" s="454">
        <f t="shared" si="8"/>
        <v>1</v>
      </c>
      <c r="M76" s="454">
        <f t="shared" si="7"/>
        <v>1</v>
      </c>
      <c r="N76" s="454">
        <f t="shared" si="6"/>
        <v>1.0206172083637071</v>
      </c>
      <c r="O76" s="454">
        <f t="shared" si="5"/>
        <v>1</v>
      </c>
      <c r="P76" s="454">
        <f t="shared" si="4"/>
        <v>1</v>
      </c>
      <c r="Q76" s="454">
        <f t="shared" si="3"/>
        <v>0.99999999999999989</v>
      </c>
      <c r="R76" s="454">
        <f t="shared" si="2"/>
        <v>1</v>
      </c>
      <c r="S76" s="454">
        <v>1</v>
      </c>
      <c r="T76" s="454"/>
      <c r="U76" s="322"/>
      <c r="V76" s="322"/>
      <c r="W76" s="322"/>
      <c r="X76" s="322"/>
      <c r="Y76" s="322"/>
      <c r="Z76" s="322"/>
      <c r="AA76" s="322"/>
      <c r="AB76" s="322"/>
      <c r="AC76" s="322"/>
      <c r="AD76" s="322"/>
      <c r="AE76" s="322"/>
      <c r="AF76" s="322"/>
      <c r="AG76" s="322"/>
      <c r="AH76" s="322"/>
      <c r="AI76" s="322"/>
      <c r="AJ76" s="322"/>
      <c r="AK76" s="322"/>
      <c r="AL76" s="322"/>
      <c r="AM76" s="323"/>
    </row>
    <row r="77" spans="1:39">
      <c r="A77" s="449">
        <f t="shared" si="1"/>
        <v>2005</v>
      </c>
      <c r="B77" s="454">
        <v>0</v>
      </c>
      <c r="C77" s="454">
        <v>0</v>
      </c>
      <c r="D77" s="454">
        <v>0</v>
      </c>
      <c r="E77" s="454">
        <v>0</v>
      </c>
      <c r="F77" s="454">
        <v>0</v>
      </c>
      <c r="G77" s="454">
        <v>0</v>
      </c>
      <c r="H77" s="454">
        <v>0</v>
      </c>
      <c r="I77" s="454">
        <v>0</v>
      </c>
      <c r="J77" s="454">
        <f t="shared" ref="J77:J85" si="10">IF(J33=0,0,K33/J33)</f>
        <v>1</v>
      </c>
      <c r="K77" s="454">
        <f t="shared" si="9"/>
        <v>1</v>
      </c>
      <c r="L77" s="454">
        <f t="shared" si="8"/>
        <v>1</v>
      </c>
      <c r="M77" s="454">
        <f t="shared" si="7"/>
        <v>1</v>
      </c>
      <c r="N77" s="454">
        <f t="shared" si="6"/>
        <v>1</v>
      </c>
      <c r="O77" s="454">
        <f t="shared" si="5"/>
        <v>1</v>
      </c>
      <c r="P77" s="454">
        <f t="shared" si="4"/>
        <v>1</v>
      </c>
      <c r="Q77" s="454">
        <f t="shared" si="3"/>
        <v>1</v>
      </c>
      <c r="R77" s="454">
        <f t="shared" si="2"/>
        <v>1</v>
      </c>
      <c r="S77" s="454"/>
      <c r="T77" s="454"/>
      <c r="U77" s="322"/>
      <c r="V77" s="322"/>
      <c r="W77" s="322"/>
      <c r="X77" s="322"/>
      <c r="Y77" s="322"/>
      <c r="Z77" s="322"/>
      <c r="AA77" s="322"/>
      <c r="AB77" s="322"/>
      <c r="AC77" s="322"/>
      <c r="AD77" s="322"/>
      <c r="AE77" s="322"/>
      <c r="AF77" s="322"/>
      <c r="AG77" s="322"/>
      <c r="AH77" s="322"/>
      <c r="AI77" s="322"/>
      <c r="AJ77" s="322"/>
      <c r="AK77" s="322"/>
      <c r="AL77" s="322"/>
      <c r="AM77" s="323"/>
    </row>
    <row r="78" spans="1:39">
      <c r="A78" s="449">
        <f t="shared" si="1"/>
        <v>2006</v>
      </c>
      <c r="B78" s="454">
        <v>0</v>
      </c>
      <c r="C78" s="454">
        <v>0</v>
      </c>
      <c r="D78" s="454">
        <v>0</v>
      </c>
      <c r="E78" s="454">
        <v>0</v>
      </c>
      <c r="F78" s="454">
        <v>0</v>
      </c>
      <c r="G78" s="454">
        <v>0</v>
      </c>
      <c r="H78" s="454">
        <v>0</v>
      </c>
      <c r="I78" s="454">
        <f t="shared" ref="I78:I86" si="11">IF(I34=0,0,J34/I34)</f>
        <v>1.0050854792277439</v>
      </c>
      <c r="J78" s="454">
        <f t="shared" si="10"/>
        <v>1.0005057194191975</v>
      </c>
      <c r="K78" s="454">
        <f t="shared" si="9"/>
        <v>1.0015736867225797</v>
      </c>
      <c r="L78" s="454">
        <f t="shared" si="8"/>
        <v>1.0023999332152027</v>
      </c>
      <c r="M78" s="454">
        <f t="shared" si="7"/>
        <v>1.0008959395214458</v>
      </c>
      <c r="N78" s="454">
        <f t="shared" si="6"/>
        <v>1.0005196848694373</v>
      </c>
      <c r="O78" s="454">
        <f t="shared" si="5"/>
        <v>0.99999999999999989</v>
      </c>
      <c r="P78" s="454">
        <f t="shared" si="4"/>
        <v>1</v>
      </c>
      <c r="Q78" s="454">
        <f t="shared" si="3"/>
        <v>1.0001526747259757</v>
      </c>
      <c r="R78" s="454"/>
      <c r="S78" s="454"/>
      <c r="T78" s="454"/>
      <c r="U78" s="322"/>
      <c r="V78" s="322"/>
      <c r="W78" s="322"/>
      <c r="X78" s="322"/>
      <c r="Y78" s="322"/>
      <c r="Z78" s="322"/>
      <c r="AA78" s="322"/>
      <c r="AB78" s="322"/>
      <c r="AC78" s="322"/>
      <c r="AD78" s="322"/>
      <c r="AE78" s="322"/>
      <c r="AF78" s="322"/>
      <c r="AG78" s="322"/>
      <c r="AH78" s="322"/>
      <c r="AI78" s="322"/>
      <c r="AJ78" s="322"/>
      <c r="AK78" s="322"/>
      <c r="AL78" s="322"/>
      <c r="AM78" s="323"/>
    </row>
    <row r="79" spans="1:39">
      <c r="A79" s="449">
        <f t="shared" si="1"/>
        <v>2007</v>
      </c>
      <c r="B79" s="454">
        <v>0</v>
      </c>
      <c r="C79" s="454">
        <v>0</v>
      </c>
      <c r="D79" s="454">
        <v>0</v>
      </c>
      <c r="E79" s="454">
        <v>0</v>
      </c>
      <c r="F79" s="454">
        <v>0</v>
      </c>
      <c r="G79" s="454">
        <v>0</v>
      </c>
      <c r="H79" s="454">
        <f t="shared" ref="H79:H87" si="12">IF(H35=0,0,I35/H35)</f>
        <v>1.0672902021764932</v>
      </c>
      <c r="I79" s="454">
        <f t="shared" si="11"/>
        <v>1.0002073660063573</v>
      </c>
      <c r="J79" s="454">
        <f t="shared" si="10"/>
        <v>0.99992443555110788</v>
      </c>
      <c r="K79" s="454">
        <f t="shared" si="9"/>
        <v>1.0000071336400553</v>
      </c>
      <c r="L79" s="454">
        <f t="shared" si="8"/>
        <v>1</v>
      </c>
      <c r="M79" s="454">
        <f t="shared" si="7"/>
        <v>1</v>
      </c>
      <c r="N79" s="454">
        <f t="shared" si="6"/>
        <v>1</v>
      </c>
      <c r="O79" s="454">
        <f t="shared" si="5"/>
        <v>1</v>
      </c>
      <c r="P79" s="454">
        <f t="shared" si="4"/>
        <v>1</v>
      </c>
      <c r="Q79" s="454"/>
      <c r="R79" s="454"/>
      <c r="S79" s="454"/>
      <c r="T79" s="454"/>
      <c r="U79" s="322"/>
      <c r="V79" s="322"/>
      <c r="W79" s="322"/>
      <c r="X79" s="322"/>
      <c r="Y79" s="322"/>
      <c r="Z79" s="322"/>
      <c r="AA79" s="322"/>
      <c r="AB79" s="322"/>
      <c r="AC79" s="322"/>
      <c r="AD79" s="322"/>
      <c r="AE79" s="322"/>
      <c r="AF79" s="322"/>
      <c r="AG79" s="322"/>
      <c r="AH79" s="322"/>
      <c r="AI79" s="322"/>
      <c r="AJ79" s="322"/>
      <c r="AK79" s="322"/>
      <c r="AL79" s="322"/>
      <c r="AM79" s="323"/>
    </row>
    <row r="80" spans="1:39">
      <c r="A80" s="449">
        <f t="shared" si="1"/>
        <v>2008</v>
      </c>
      <c r="B80" s="454">
        <v>0</v>
      </c>
      <c r="C80" s="454">
        <v>0</v>
      </c>
      <c r="D80" s="454">
        <v>0</v>
      </c>
      <c r="E80" s="454">
        <v>0</v>
      </c>
      <c r="F80" s="454">
        <v>0</v>
      </c>
      <c r="G80" s="454">
        <f t="shared" ref="G80:G88" si="13">IF(G36=0,0,H36/G36)</f>
        <v>1.1189159477509523</v>
      </c>
      <c r="H80" s="454">
        <f t="shared" si="12"/>
        <v>1.0017073228317315</v>
      </c>
      <c r="I80" s="454">
        <f t="shared" si="11"/>
        <v>1.002490485950478</v>
      </c>
      <c r="J80" s="454">
        <f t="shared" si="10"/>
        <v>1.0011396710224019</v>
      </c>
      <c r="K80" s="454">
        <f t="shared" si="9"/>
        <v>1.0007090629522963</v>
      </c>
      <c r="L80" s="454">
        <f t="shared" si="8"/>
        <v>1.0374048173148036</v>
      </c>
      <c r="M80" s="454">
        <f t="shared" si="7"/>
        <v>0.99999999999999989</v>
      </c>
      <c r="N80" s="454">
        <f t="shared" si="6"/>
        <v>1</v>
      </c>
      <c r="O80" s="454">
        <f t="shared" si="5"/>
        <v>1</v>
      </c>
      <c r="P80" s="454"/>
      <c r="Q80" s="454"/>
      <c r="R80" s="454"/>
      <c r="S80" s="454"/>
      <c r="T80" s="454"/>
      <c r="U80" s="322"/>
      <c r="V80" s="322"/>
      <c r="W80" s="322"/>
      <c r="X80" s="322"/>
      <c r="Y80" s="322"/>
      <c r="Z80" s="322"/>
      <c r="AA80" s="322"/>
      <c r="AB80" s="322"/>
      <c r="AC80" s="322"/>
      <c r="AD80" s="322"/>
      <c r="AE80" s="322"/>
      <c r="AF80" s="322"/>
      <c r="AG80" s="322"/>
      <c r="AH80" s="322"/>
      <c r="AI80" s="322"/>
      <c r="AJ80" s="322"/>
      <c r="AK80" s="322"/>
      <c r="AL80" s="322"/>
      <c r="AM80" s="323"/>
    </row>
    <row r="81" spans="1:39">
      <c r="A81" s="449">
        <f t="shared" si="1"/>
        <v>2009</v>
      </c>
      <c r="B81" s="454">
        <v>0</v>
      </c>
      <c r="C81" s="454">
        <v>0</v>
      </c>
      <c r="D81" s="454">
        <v>0</v>
      </c>
      <c r="E81" s="454">
        <v>0</v>
      </c>
      <c r="F81" s="454">
        <f t="shared" ref="F81:F89" si="14">IF(F37=0,0,G37/F37)</f>
        <v>1.3613650706563594</v>
      </c>
      <c r="G81" s="454">
        <f t="shared" si="13"/>
        <v>1.1199286521757255</v>
      </c>
      <c r="H81" s="454">
        <f t="shared" si="12"/>
        <v>1.0626371541045732</v>
      </c>
      <c r="I81" s="454">
        <f t="shared" si="11"/>
        <v>1.0027405483116609</v>
      </c>
      <c r="J81" s="454">
        <f t="shared" si="10"/>
        <v>1</v>
      </c>
      <c r="K81" s="454">
        <f t="shared" si="9"/>
        <v>1</v>
      </c>
      <c r="L81" s="454">
        <f t="shared" si="8"/>
        <v>1</v>
      </c>
      <c r="M81" s="454">
        <f t="shared" si="7"/>
        <v>1</v>
      </c>
      <c r="N81" s="454">
        <f t="shared" si="6"/>
        <v>1</v>
      </c>
      <c r="O81" s="454"/>
      <c r="P81" s="454"/>
      <c r="Q81" s="454"/>
      <c r="R81" s="454"/>
      <c r="S81" s="454"/>
      <c r="T81" s="454"/>
      <c r="U81" s="322"/>
      <c r="V81" s="322"/>
      <c r="W81" s="322"/>
      <c r="X81" s="322"/>
      <c r="Y81" s="322"/>
      <c r="Z81" s="322"/>
      <c r="AA81" s="322"/>
      <c r="AB81" s="322"/>
      <c r="AC81" s="322"/>
      <c r="AD81" s="322"/>
      <c r="AE81" s="322"/>
      <c r="AF81" s="322"/>
      <c r="AG81" s="322"/>
      <c r="AH81" s="322"/>
      <c r="AI81" s="322"/>
      <c r="AJ81" s="322"/>
      <c r="AK81" s="322"/>
      <c r="AL81" s="322"/>
      <c r="AM81" s="323"/>
    </row>
    <row r="82" spans="1:39">
      <c r="A82" s="449">
        <f t="shared" si="1"/>
        <v>2010</v>
      </c>
      <c r="B82" s="454">
        <v>0</v>
      </c>
      <c r="C82" s="454">
        <v>0</v>
      </c>
      <c r="D82" s="454">
        <v>0</v>
      </c>
      <c r="E82" s="454">
        <f t="shared" ref="E82:E90" si="15">IF(E38=0,0,F38/E38)</f>
        <v>1.8385741471882648</v>
      </c>
      <c r="F82" s="454">
        <f t="shared" si="14"/>
        <v>1.33781966493168</v>
      </c>
      <c r="G82" s="454">
        <f t="shared" si="13"/>
        <v>1.056415687358365</v>
      </c>
      <c r="H82" s="454">
        <f t="shared" si="12"/>
        <v>1.1240131093473575</v>
      </c>
      <c r="I82" s="454">
        <f t="shared" si="11"/>
        <v>1.0011897840599933</v>
      </c>
      <c r="J82" s="454">
        <f t="shared" si="10"/>
        <v>1</v>
      </c>
      <c r="K82" s="454">
        <f t="shared" si="9"/>
        <v>1</v>
      </c>
      <c r="L82" s="454">
        <f t="shared" si="8"/>
        <v>1</v>
      </c>
      <c r="M82" s="454">
        <f t="shared" si="7"/>
        <v>1</v>
      </c>
      <c r="N82" s="454"/>
      <c r="O82" s="454"/>
      <c r="P82" s="454"/>
      <c r="Q82" s="454"/>
      <c r="R82" s="454"/>
      <c r="S82" s="454"/>
      <c r="T82" s="454"/>
      <c r="U82" s="322"/>
      <c r="V82" s="322"/>
      <c r="W82" s="322"/>
      <c r="X82" s="322"/>
      <c r="Y82" s="322"/>
      <c r="Z82" s="322"/>
      <c r="AA82" s="322"/>
      <c r="AB82" s="322"/>
      <c r="AC82" s="322"/>
      <c r="AD82" s="322"/>
      <c r="AE82" s="322"/>
      <c r="AF82" s="322"/>
      <c r="AG82" s="322"/>
      <c r="AH82" s="322"/>
      <c r="AI82" s="322"/>
      <c r="AJ82" s="322"/>
      <c r="AK82" s="322"/>
      <c r="AL82" s="322"/>
      <c r="AM82" s="323"/>
    </row>
    <row r="83" spans="1:39">
      <c r="A83" s="449">
        <f t="shared" si="1"/>
        <v>2011</v>
      </c>
      <c r="B83" s="454">
        <v>0</v>
      </c>
      <c r="C83" s="454">
        <v>0</v>
      </c>
      <c r="D83" s="454">
        <f t="shared" ref="D83:D91" si="16">IF(D39=0,0,E39/D39)</f>
        <v>1.8349220238092097</v>
      </c>
      <c r="E83" s="454">
        <f t="shared" si="15"/>
        <v>2.2893549766286903</v>
      </c>
      <c r="F83" s="454">
        <f t="shared" si="14"/>
        <v>1.1467703654971322</v>
      </c>
      <c r="G83" s="454">
        <f t="shared" si="13"/>
        <v>1.0995057244314268</v>
      </c>
      <c r="H83" s="454">
        <f t="shared" si="12"/>
        <v>1.0013872552958298</v>
      </c>
      <c r="I83" s="454">
        <f t="shared" si="11"/>
        <v>1.0008818424219794</v>
      </c>
      <c r="J83" s="454">
        <f t="shared" si="10"/>
        <v>1.0007187257346923</v>
      </c>
      <c r="K83" s="454">
        <f t="shared" si="9"/>
        <v>1.0001183438425165</v>
      </c>
      <c r="L83" s="454">
        <f t="shared" si="8"/>
        <v>1</v>
      </c>
      <c r="M83" s="454"/>
      <c r="N83" s="454"/>
      <c r="O83" s="454"/>
      <c r="P83" s="454"/>
      <c r="Q83" s="454"/>
      <c r="R83" s="454"/>
      <c r="S83" s="454"/>
      <c r="T83" s="454"/>
      <c r="U83" s="322"/>
      <c r="V83" s="322"/>
      <c r="W83" s="322"/>
      <c r="X83" s="322"/>
      <c r="Y83" s="322"/>
      <c r="Z83" s="322"/>
      <c r="AA83" s="322"/>
      <c r="AB83" s="322"/>
      <c r="AC83" s="322"/>
      <c r="AD83" s="322"/>
      <c r="AE83" s="322"/>
      <c r="AF83" s="322"/>
      <c r="AG83" s="322"/>
      <c r="AH83" s="322"/>
      <c r="AI83" s="322"/>
      <c r="AJ83" s="322"/>
      <c r="AK83" s="322"/>
      <c r="AL83" s="322"/>
      <c r="AM83" s="323"/>
    </row>
    <row r="84" spans="1:39">
      <c r="A84" s="449">
        <f t="shared" si="1"/>
        <v>2012</v>
      </c>
      <c r="B84" s="454">
        <v>0</v>
      </c>
      <c r="C84" s="454">
        <f t="shared" ref="C84:C92" si="17">IF(C40=0,0,D40/C40)</f>
        <v>2.7457586449186402</v>
      </c>
      <c r="D84" s="454">
        <f t="shared" si="16"/>
        <v>2.137375915682759</v>
      </c>
      <c r="E84" s="454">
        <f t="shared" si="15"/>
        <v>1.4644174404876635</v>
      </c>
      <c r="F84" s="454">
        <f t="shared" si="14"/>
        <v>1.3578582774761658</v>
      </c>
      <c r="G84" s="454">
        <f t="shared" si="13"/>
        <v>1.1210937360603235</v>
      </c>
      <c r="H84" s="454">
        <f t="shared" si="12"/>
        <v>1.0654122794897871</v>
      </c>
      <c r="I84" s="454">
        <f t="shared" si="11"/>
        <v>1.0060962880780242</v>
      </c>
      <c r="J84" s="454">
        <f t="shared" si="10"/>
        <v>1.1232912782081312</v>
      </c>
      <c r="K84" s="454">
        <f t="shared" si="9"/>
        <v>1.0029726240493884</v>
      </c>
      <c r="L84" s="454"/>
      <c r="M84" s="454"/>
      <c r="N84" s="454"/>
      <c r="O84" s="454"/>
      <c r="P84" s="454"/>
      <c r="Q84" s="454"/>
      <c r="R84" s="454"/>
      <c r="S84" s="454"/>
      <c r="T84" s="454"/>
      <c r="U84" s="322"/>
      <c r="V84" s="322"/>
      <c r="W84" s="322"/>
      <c r="X84" s="322"/>
      <c r="Y84" s="322"/>
      <c r="Z84" s="322"/>
      <c r="AA84" s="322"/>
      <c r="AB84" s="322"/>
      <c r="AC84" s="322"/>
      <c r="AD84" s="322"/>
      <c r="AE84" s="322"/>
      <c r="AF84" s="322"/>
      <c r="AG84" s="322"/>
      <c r="AH84" s="322"/>
      <c r="AI84" s="322"/>
      <c r="AJ84" s="322"/>
      <c r="AK84" s="322"/>
      <c r="AL84" s="322"/>
      <c r="AM84" s="323"/>
    </row>
    <row r="85" spans="1:39">
      <c r="A85" s="449">
        <f t="shared" si="1"/>
        <v>2013</v>
      </c>
      <c r="B85" s="454">
        <f t="shared" ref="B85:B93" si="18">IF(B41=0,0,C41/B41)</f>
        <v>3.3442035854290464</v>
      </c>
      <c r="C85" s="454">
        <f t="shared" si="17"/>
        <v>2.3119433778627587</v>
      </c>
      <c r="D85" s="454">
        <f t="shared" si="16"/>
        <v>1.8379111066610578</v>
      </c>
      <c r="E85" s="454">
        <f t="shared" si="15"/>
        <v>1.4507356149739141</v>
      </c>
      <c r="F85" s="454">
        <f t="shared" si="14"/>
        <v>1.2262155187152763</v>
      </c>
      <c r="G85" s="454">
        <f t="shared" si="13"/>
        <v>1.2200560088583472</v>
      </c>
      <c r="H85" s="454">
        <f t="shared" si="12"/>
        <v>1.040228957711351</v>
      </c>
      <c r="I85" s="454">
        <f t="shared" si="11"/>
        <v>1.0385921326651055</v>
      </c>
      <c r="J85" s="454">
        <f t="shared" si="10"/>
        <v>1</v>
      </c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322"/>
      <c r="V85" s="322"/>
      <c r="W85" s="322"/>
      <c r="X85" s="322"/>
      <c r="Y85" s="322"/>
      <c r="Z85" s="322"/>
      <c r="AA85" s="322"/>
      <c r="AB85" s="322"/>
      <c r="AC85" s="322"/>
      <c r="AD85" s="322"/>
      <c r="AE85" s="322"/>
      <c r="AF85" s="322"/>
      <c r="AG85" s="322"/>
      <c r="AH85" s="322"/>
      <c r="AI85" s="322"/>
      <c r="AJ85" s="322"/>
      <c r="AK85" s="322"/>
      <c r="AL85" s="322"/>
      <c r="AM85" s="323"/>
    </row>
    <row r="86" spans="1:39">
      <c r="A86" s="449">
        <f t="shared" si="1"/>
        <v>2014</v>
      </c>
      <c r="B86" s="454">
        <f t="shared" si="18"/>
        <v>7.954793148247493</v>
      </c>
      <c r="C86" s="454">
        <f t="shared" si="17"/>
        <v>2.7650022361665729</v>
      </c>
      <c r="D86" s="454">
        <f t="shared" si="16"/>
        <v>1.6807247082387302</v>
      </c>
      <c r="E86" s="454">
        <f t="shared" si="15"/>
        <v>1.6384184703150504</v>
      </c>
      <c r="F86" s="454">
        <f t="shared" si="14"/>
        <v>1.103661876226721</v>
      </c>
      <c r="G86" s="454">
        <f t="shared" si="13"/>
        <v>1.1703522281569996</v>
      </c>
      <c r="H86" s="454">
        <f t="shared" si="12"/>
        <v>1.0029056280945265</v>
      </c>
      <c r="I86" s="454">
        <f t="shared" si="11"/>
        <v>1.0042203185108836</v>
      </c>
      <c r="J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322"/>
      <c r="V86" s="322"/>
      <c r="W86" s="322"/>
      <c r="X86" s="322"/>
      <c r="Y86" s="322"/>
      <c r="Z86" s="322"/>
      <c r="AA86" s="322"/>
      <c r="AB86" s="322"/>
      <c r="AC86" s="322"/>
      <c r="AD86" s="322"/>
      <c r="AE86" s="322"/>
      <c r="AF86" s="322"/>
      <c r="AG86" s="322"/>
      <c r="AH86" s="322"/>
      <c r="AI86" s="322"/>
      <c r="AJ86" s="322"/>
      <c r="AK86" s="322"/>
      <c r="AL86" s="322"/>
      <c r="AM86" s="323"/>
    </row>
    <row r="87" spans="1:39">
      <c r="A87" s="449">
        <f t="shared" si="1"/>
        <v>2015</v>
      </c>
      <c r="B87" s="454">
        <f t="shared" si="18"/>
        <v>4.3508367316741268</v>
      </c>
      <c r="C87" s="454">
        <f t="shared" si="17"/>
        <v>3.5310934723960807</v>
      </c>
      <c r="D87" s="454">
        <f t="shared" si="16"/>
        <v>1.456196289300288</v>
      </c>
      <c r="E87" s="454">
        <f t="shared" si="15"/>
        <v>1.2380668925795075</v>
      </c>
      <c r="F87" s="454">
        <f t="shared" si="14"/>
        <v>1.1388496217989743</v>
      </c>
      <c r="G87" s="454">
        <f t="shared" si="13"/>
        <v>1.0026062367940742</v>
      </c>
      <c r="H87" s="454">
        <f t="shared" si="12"/>
        <v>1.0033702405457692</v>
      </c>
      <c r="I87" s="454"/>
      <c r="J87" s="454"/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322"/>
      <c r="V87" s="322"/>
      <c r="W87" s="322"/>
      <c r="X87" s="322"/>
      <c r="Y87" s="322"/>
      <c r="Z87" s="322"/>
      <c r="AA87" s="322"/>
      <c r="AB87" s="322"/>
      <c r="AC87" s="322"/>
      <c r="AD87" s="322"/>
      <c r="AE87" s="322"/>
      <c r="AF87" s="322"/>
      <c r="AG87" s="322"/>
      <c r="AH87" s="322"/>
      <c r="AI87" s="322"/>
      <c r="AJ87" s="322"/>
      <c r="AK87" s="322"/>
      <c r="AL87" s="322"/>
      <c r="AM87" s="323"/>
    </row>
    <row r="88" spans="1:39">
      <c r="A88" s="449">
        <f t="shared" si="1"/>
        <v>2016</v>
      </c>
      <c r="B88" s="454">
        <f t="shared" si="18"/>
        <v>8.1221835702204839</v>
      </c>
      <c r="C88" s="454">
        <f t="shared" si="17"/>
        <v>2.0301769466121842</v>
      </c>
      <c r="D88" s="454">
        <f t="shared" si="16"/>
        <v>1.644718890842602</v>
      </c>
      <c r="E88" s="454">
        <f t="shared" si="15"/>
        <v>1.0617842696503512</v>
      </c>
      <c r="F88" s="454">
        <f t="shared" si="14"/>
        <v>1.0955791739788694</v>
      </c>
      <c r="G88" s="454">
        <f t="shared" si="13"/>
        <v>1.0594217371696104</v>
      </c>
      <c r="H88" s="454"/>
      <c r="I88" s="454"/>
      <c r="J88" s="454"/>
      <c r="K88" s="454"/>
      <c r="L88" s="454"/>
      <c r="M88" s="454"/>
      <c r="N88" s="454"/>
      <c r="O88" s="454"/>
      <c r="P88" s="454"/>
      <c r="Q88" s="454"/>
      <c r="R88" s="454"/>
      <c r="S88" s="454"/>
      <c r="T88" s="454"/>
      <c r="U88" s="322"/>
      <c r="V88" s="322"/>
      <c r="W88" s="322"/>
      <c r="X88" s="322"/>
      <c r="Y88" s="322"/>
      <c r="Z88" s="322"/>
      <c r="AA88" s="322"/>
      <c r="AB88" s="322"/>
      <c r="AC88" s="322"/>
      <c r="AD88" s="322"/>
      <c r="AE88" s="322"/>
      <c r="AF88" s="322"/>
      <c r="AG88" s="322"/>
      <c r="AH88" s="322"/>
      <c r="AI88" s="322"/>
      <c r="AJ88" s="322"/>
      <c r="AK88" s="322"/>
      <c r="AL88" s="322"/>
      <c r="AM88" s="323"/>
    </row>
    <row r="89" spans="1:39">
      <c r="A89" s="449">
        <f t="shared" si="1"/>
        <v>2017</v>
      </c>
      <c r="B89" s="454">
        <f t="shared" si="18"/>
        <v>5.5362923251718783</v>
      </c>
      <c r="C89" s="454">
        <f t="shared" si="17"/>
        <v>1.8495955424653525</v>
      </c>
      <c r="D89" s="454">
        <f t="shared" si="16"/>
        <v>1.5744962456509861</v>
      </c>
      <c r="E89" s="454">
        <f t="shared" si="15"/>
        <v>1.0408648905349853</v>
      </c>
      <c r="F89" s="454">
        <f t="shared" si="14"/>
        <v>1.2733399286224092</v>
      </c>
      <c r="G89" s="454"/>
      <c r="H89" s="454"/>
      <c r="I89" s="454"/>
      <c r="J89" s="454"/>
      <c r="K89" s="454"/>
      <c r="L89" s="454"/>
      <c r="M89" s="454"/>
      <c r="N89" s="454"/>
      <c r="O89" s="454"/>
      <c r="P89" s="454"/>
      <c r="Q89" s="454"/>
      <c r="R89" s="454"/>
      <c r="S89" s="454"/>
      <c r="T89" s="454"/>
      <c r="U89" s="322"/>
      <c r="V89" s="322"/>
      <c r="W89" s="322"/>
      <c r="X89" s="322"/>
      <c r="Y89" s="322"/>
      <c r="Z89" s="322"/>
      <c r="AA89" s="322"/>
      <c r="AB89" s="322"/>
      <c r="AC89" s="322"/>
      <c r="AD89" s="322"/>
      <c r="AE89" s="322"/>
      <c r="AF89" s="322"/>
      <c r="AG89" s="322"/>
      <c r="AH89" s="322"/>
      <c r="AI89" s="322"/>
      <c r="AJ89" s="322"/>
      <c r="AK89" s="322"/>
      <c r="AL89" s="322"/>
      <c r="AM89" s="323"/>
    </row>
    <row r="90" spans="1:39">
      <c r="A90" s="449">
        <f t="shared" si="1"/>
        <v>2018</v>
      </c>
      <c r="B90" s="454">
        <f t="shared" si="18"/>
        <v>4.1236280157111311</v>
      </c>
      <c r="C90" s="454">
        <f t="shared" si="17"/>
        <v>3.1211332015300912</v>
      </c>
      <c r="D90" s="454">
        <f t="shared" si="16"/>
        <v>1.3310959082194642</v>
      </c>
      <c r="E90" s="454">
        <f t="shared" si="15"/>
        <v>1.1992830128561869</v>
      </c>
      <c r="F90" s="454"/>
      <c r="G90" s="454"/>
      <c r="H90" s="454"/>
      <c r="I90" s="454"/>
      <c r="J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322"/>
      <c r="V90" s="322"/>
      <c r="W90" s="322"/>
      <c r="X90" s="322"/>
      <c r="Y90" s="322"/>
      <c r="Z90" s="322"/>
      <c r="AA90" s="322"/>
      <c r="AB90" s="322"/>
      <c r="AC90" s="322"/>
      <c r="AD90" s="322"/>
      <c r="AE90" s="322"/>
      <c r="AF90" s="322"/>
      <c r="AG90" s="322"/>
      <c r="AH90" s="322"/>
      <c r="AI90" s="322"/>
      <c r="AJ90" s="322"/>
      <c r="AK90" s="322"/>
      <c r="AL90" s="322"/>
      <c r="AM90" s="323"/>
    </row>
    <row r="91" spans="1:39">
      <c r="A91" s="449">
        <f t="shared" si="1"/>
        <v>2019</v>
      </c>
      <c r="B91" s="454">
        <f t="shared" si="18"/>
        <v>5.3658431729787477</v>
      </c>
      <c r="C91" s="454">
        <f t="shared" si="17"/>
        <v>2.7565110396180552</v>
      </c>
      <c r="D91" s="454">
        <f t="shared" si="16"/>
        <v>1.3853943241544531</v>
      </c>
      <c r="E91" s="454"/>
      <c r="F91" s="454"/>
      <c r="G91" s="454"/>
      <c r="H91" s="454"/>
      <c r="I91" s="454"/>
      <c r="J91" s="454"/>
      <c r="K91" s="454"/>
      <c r="L91" s="454"/>
      <c r="M91" s="454"/>
      <c r="N91" s="454"/>
      <c r="O91" s="454"/>
      <c r="P91" s="454"/>
      <c r="Q91" s="454"/>
      <c r="R91" s="454"/>
      <c r="S91" s="454"/>
      <c r="T91" s="454"/>
      <c r="U91" s="322"/>
      <c r="V91" s="322"/>
      <c r="W91" s="322"/>
      <c r="X91" s="322"/>
      <c r="Y91" s="322"/>
      <c r="Z91" s="322"/>
      <c r="AA91" s="322"/>
      <c r="AB91" s="322"/>
      <c r="AC91" s="322"/>
      <c r="AD91" s="322"/>
      <c r="AE91" s="322"/>
      <c r="AF91" s="322"/>
      <c r="AG91" s="322"/>
      <c r="AH91" s="322"/>
      <c r="AI91" s="322"/>
      <c r="AJ91" s="322"/>
      <c r="AK91" s="322"/>
      <c r="AL91" s="322"/>
      <c r="AM91" s="323"/>
    </row>
    <row r="92" spans="1:39">
      <c r="A92" s="449">
        <f t="shared" si="1"/>
        <v>2020</v>
      </c>
      <c r="B92" s="454">
        <f t="shared" si="18"/>
        <v>1.9541262593206954</v>
      </c>
      <c r="C92" s="454">
        <f t="shared" si="17"/>
        <v>5.0952676897738725</v>
      </c>
      <c r="D92" s="454"/>
      <c r="E92" s="454"/>
      <c r="F92" s="454"/>
      <c r="G92" s="454"/>
      <c r="H92" s="454"/>
      <c r="I92" s="454"/>
      <c r="J92" s="454"/>
      <c r="K92" s="454"/>
      <c r="L92" s="454"/>
      <c r="M92" s="454"/>
      <c r="N92" s="454"/>
      <c r="O92" s="454"/>
      <c r="P92" s="454"/>
      <c r="Q92" s="454"/>
      <c r="S92" s="454"/>
      <c r="T92" s="454"/>
      <c r="U92" s="322"/>
      <c r="V92" s="322"/>
      <c r="W92" s="322"/>
      <c r="X92" s="322"/>
      <c r="Y92" s="322"/>
      <c r="Z92" s="322"/>
      <c r="AA92" s="322"/>
      <c r="AB92" s="322"/>
      <c r="AC92" s="322"/>
      <c r="AD92" s="322"/>
      <c r="AE92" s="322"/>
      <c r="AF92" s="322"/>
      <c r="AG92" s="322"/>
      <c r="AH92" s="322"/>
      <c r="AI92" s="322"/>
      <c r="AJ92" s="322"/>
      <c r="AK92" s="322"/>
      <c r="AL92" s="322"/>
      <c r="AM92" s="323"/>
    </row>
    <row r="93" spans="1:39">
      <c r="A93" s="449">
        <f t="shared" si="1"/>
        <v>2021</v>
      </c>
      <c r="B93" s="454">
        <f t="shared" si="18"/>
        <v>2.9938548985089173</v>
      </c>
      <c r="U93" s="322"/>
      <c r="V93" s="322"/>
      <c r="W93" s="322"/>
      <c r="X93" s="322"/>
      <c r="Y93" s="322"/>
      <c r="Z93" s="322"/>
      <c r="AA93" s="322"/>
      <c r="AB93" s="322"/>
      <c r="AC93" s="322"/>
      <c r="AD93" s="322"/>
      <c r="AE93" s="322"/>
      <c r="AF93" s="322"/>
      <c r="AG93" s="322"/>
      <c r="AH93" s="322"/>
      <c r="AI93" s="322"/>
      <c r="AJ93" s="322"/>
      <c r="AK93" s="322"/>
      <c r="AL93" s="322"/>
      <c r="AM93" s="323"/>
    </row>
    <row r="94" spans="1:39">
      <c r="A94" s="449">
        <f t="shared" si="1"/>
        <v>2022</v>
      </c>
      <c r="B94" s="454"/>
      <c r="C94" s="454"/>
      <c r="D94" s="454"/>
      <c r="E94" s="454"/>
      <c r="F94" s="454"/>
      <c r="G94" s="454"/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322"/>
      <c r="V94" s="322"/>
      <c r="W94" s="322"/>
      <c r="X94" s="322"/>
      <c r="Y94" s="322"/>
      <c r="Z94" s="322"/>
      <c r="AA94" s="322"/>
      <c r="AB94" s="322"/>
      <c r="AC94" s="322"/>
      <c r="AD94" s="322"/>
      <c r="AE94" s="322"/>
      <c r="AF94" s="322"/>
      <c r="AG94" s="322"/>
      <c r="AH94" s="322"/>
      <c r="AI94" s="322"/>
      <c r="AJ94" s="322"/>
      <c r="AK94" s="322"/>
      <c r="AL94" s="322"/>
      <c r="AM94" s="323"/>
    </row>
    <row r="95" spans="1:39">
      <c r="B95" s="455"/>
      <c r="C95" s="455"/>
      <c r="D95" s="455"/>
      <c r="E95" s="455"/>
      <c r="F95" s="455"/>
      <c r="G95" s="455"/>
      <c r="H95" s="455"/>
      <c r="I95" s="455"/>
      <c r="J95" s="455"/>
      <c r="K95" s="455"/>
      <c r="L95" s="455"/>
      <c r="M95" s="455"/>
      <c r="N95" s="455"/>
      <c r="O95" s="455"/>
      <c r="P95" s="455"/>
      <c r="Q95" s="455"/>
      <c r="R95" s="455"/>
      <c r="S95" s="455"/>
      <c r="T95" s="455"/>
      <c r="U95" s="323"/>
      <c r="V95" s="323"/>
      <c r="W95" s="323"/>
      <c r="X95" s="323"/>
      <c r="Y95" s="323"/>
      <c r="Z95" s="323"/>
      <c r="AA95" s="323"/>
      <c r="AB95" s="323"/>
      <c r="AC95" s="323"/>
      <c r="AD95" s="323"/>
      <c r="AE95" s="323"/>
      <c r="AF95" s="323"/>
      <c r="AG95" s="323"/>
      <c r="AH95" s="323"/>
      <c r="AI95" s="323"/>
      <c r="AJ95" s="323"/>
      <c r="AK95" s="323"/>
      <c r="AL95" s="323"/>
      <c r="AM95" s="323"/>
    </row>
    <row r="96" spans="1:39">
      <c r="A96" s="446" t="s">
        <v>1053</v>
      </c>
      <c r="B96" s="455"/>
      <c r="C96" s="455"/>
      <c r="D96" s="455"/>
      <c r="E96" s="455"/>
      <c r="F96" s="455"/>
      <c r="G96" s="455"/>
      <c r="H96" s="455"/>
      <c r="I96" s="455"/>
      <c r="J96" s="455"/>
      <c r="K96" s="455"/>
      <c r="L96" s="455"/>
      <c r="M96" s="455"/>
      <c r="N96" s="455"/>
      <c r="O96" s="455"/>
      <c r="P96" s="455"/>
      <c r="Q96" s="455"/>
      <c r="R96" s="455"/>
      <c r="S96" s="455"/>
      <c r="T96" s="455"/>
      <c r="U96" s="323"/>
      <c r="V96" s="323"/>
      <c r="W96" s="323"/>
      <c r="X96" s="323"/>
      <c r="Y96" s="323"/>
      <c r="Z96" s="323"/>
      <c r="AA96" s="323"/>
      <c r="AB96" s="323"/>
      <c r="AC96" s="323"/>
      <c r="AD96" s="323"/>
      <c r="AE96" s="323"/>
      <c r="AF96" s="323"/>
      <c r="AG96" s="323"/>
      <c r="AH96" s="323"/>
      <c r="AI96" s="323"/>
      <c r="AJ96" s="323"/>
      <c r="AK96" s="323"/>
      <c r="AL96" s="323"/>
      <c r="AM96" s="323"/>
    </row>
    <row r="97" spans="1:39">
      <c r="B97" s="456" t="s">
        <v>1054</v>
      </c>
      <c r="C97" s="455"/>
      <c r="D97" s="455"/>
      <c r="E97" s="455"/>
      <c r="F97" s="455"/>
      <c r="G97" s="457"/>
      <c r="H97" s="457"/>
      <c r="I97" s="457"/>
      <c r="J97" s="457"/>
      <c r="K97" s="457"/>
      <c r="L97" s="457"/>
      <c r="M97" s="457"/>
      <c r="N97" s="457"/>
      <c r="O97" s="457"/>
      <c r="P97" s="457"/>
      <c r="Q97" s="457"/>
      <c r="R97" s="455"/>
      <c r="S97" s="455"/>
      <c r="T97" s="455"/>
      <c r="U97" s="323"/>
      <c r="V97" s="323"/>
      <c r="W97" s="323"/>
      <c r="X97" s="323"/>
      <c r="Y97" s="323"/>
      <c r="Z97" s="323"/>
      <c r="AA97" s="323"/>
      <c r="AB97" s="323"/>
      <c r="AC97" s="323"/>
      <c r="AD97" s="323"/>
      <c r="AE97" s="323"/>
      <c r="AF97" s="323"/>
      <c r="AG97" s="323"/>
      <c r="AH97" s="323"/>
      <c r="AI97" s="323"/>
      <c r="AJ97" s="323"/>
      <c r="AK97" s="323"/>
      <c r="AL97" s="323"/>
      <c r="AM97" s="323"/>
    </row>
    <row r="98" spans="1:39">
      <c r="A98" s="458" t="s">
        <v>1055</v>
      </c>
      <c r="B98" s="455">
        <f>SUMPRODUCT(B47:B49,B91:B93)/SUM(B47:B49)</f>
        <v>3.3034379352466208</v>
      </c>
      <c r="C98" s="455">
        <f>SUMPRODUCT(C46:C48,C90:C92)/SUM(C46:C48)</f>
        <v>3.4218145619045433</v>
      </c>
      <c r="D98" s="455">
        <f>SUMPRODUCT(D45:D47,D89:D91)/SUM(D45:D47)</f>
        <v>1.4113490494815901</v>
      </c>
      <c r="E98" s="455">
        <f>SUMPRODUCT(E44:E46,E88:E90)/SUM(E44:E46)</f>
        <v>1.0964485784012556</v>
      </c>
      <c r="F98" s="455">
        <f>SUMPRODUCT(F43:F45,F87:F89)/SUM(F43:F45)</f>
        <v>1.1476563598815386</v>
      </c>
      <c r="G98" s="457">
        <f>SUMPRODUCT(G42:G44,G86:G88)/SUM(G42:G44)</f>
        <v>1.0719316564764243</v>
      </c>
      <c r="H98" s="457">
        <f>SUMPRODUCT(H41:H43,H85:H87)/SUM(H41:H43)</f>
        <v>1.0158116905353161</v>
      </c>
      <c r="I98" s="457">
        <f>SUMPRODUCT(I40:I42,I84:I86)/SUM(I40:I42)</f>
        <v>1.0168312682806773</v>
      </c>
      <c r="J98" s="457">
        <f>SUMPRODUCT(J39:J41,J83:J85)/SUM(J39:J41)</f>
        <v>1.0438495513235706</v>
      </c>
      <c r="K98" s="457">
        <f>SUMPRODUCT(K38:K40,K82:K84)/SUM(K38:K40)</f>
        <v>1.0010710126827913</v>
      </c>
      <c r="L98" s="457">
        <f>SUMPRODUCT(L37:L39,L81:L83)/SUM(L37:L39)</f>
        <v>1</v>
      </c>
      <c r="M98" s="457">
        <f>SUMPRODUCT(M36:M38,M80:M82)/SUM(M36:M38)</f>
        <v>1</v>
      </c>
      <c r="N98" s="457">
        <f>SUMPRODUCT(N35:N37,N79:N81)/SUM(N35:N37)</f>
        <v>1</v>
      </c>
      <c r="O98" s="457">
        <f>SUMPRODUCT(O34:O36,O78:O80)/SUM(O34:O36)</f>
        <v>1</v>
      </c>
      <c r="P98" s="457">
        <f>SUMPRODUCT(P33:P35,P77:P79)/SUM(P33:P35)</f>
        <v>1</v>
      </c>
      <c r="Q98" s="457">
        <f>SUMPRODUCT(Q32:Q34,Q76:Q78)/SUM(Q32:Q34)</f>
        <v>1.000046433119071</v>
      </c>
      <c r="R98" s="455">
        <v>1</v>
      </c>
      <c r="S98" s="455">
        <v>1</v>
      </c>
      <c r="T98" s="455">
        <v>1</v>
      </c>
      <c r="U98" s="323"/>
      <c r="V98" s="323"/>
      <c r="W98" s="323"/>
      <c r="X98" s="323"/>
      <c r="Y98" s="323"/>
      <c r="Z98" s="323"/>
      <c r="AA98" s="323"/>
      <c r="AB98" s="323"/>
      <c r="AC98" s="323"/>
      <c r="AD98" s="323"/>
      <c r="AE98" s="323"/>
      <c r="AF98" s="323"/>
      <c r="AG98" s="323"/>
      <c r="AH98" s="323"/>
      <c r="AI98" s="323"/>
      <c r="AJ98" s="323"/>
      <c r="AK98" s="323"/>
      <c r="AL98" s="323"/>
    </row>
    <row r="99" spans="1:39">
      <c r="B99" s="456" t="s">
        <v>1056</v>
      </c>
      <c r="C99" s="457"/>
      <c r="D99" s="455"/>
      <c r="E99" s="455"/>
      <c r="F99" s="455"/>
      <c r="G99" s="455"/>
      <c r="H99" s="455"/>
      <c r="I99" s="455"/>
      <c r="J99" s="455"/>
      <c r="K99" s="455"/>
      <c r="L99" s="455"/>
      <c r="M99" s="455"/>
      <c r="N99" s="455"/>
      <c r="O99" s="455"/>
      <c r="P99" s="455"/>
      <c r="Q99" s="455"/>
      <c r="R99" s="455"/>
      <c r="S99" s="455"/>
      <c r="T99" s="455"/>
      <c r="U99" s="323"/>
      <c r="V99" s="323"/>
      <c r="W99" s="323"/>
      <c r="X99" s="323"/>
      <c r="Y99" s="323"/>
      <c r="Z99" s="323"/>
      <c r="AA99" s="323"/>
      <c r="AB99" s="323"/>
      <c r="AC99" s="323"/>
      <c r="AD99" s="323"/>
      <c r="AE99" s="323"/>
      <c r="AF99" s="323"/>
      <c r="AG99" s="323"/>
      <c r="AH99" s="323"/>
      <c r="AI99" s="323"/>
      <c r="AJ99" s="323"/>
      <c r="AK99" s="323"/>
      <c r="AL99" s="323"/>
      <c r="AM99" s="323"/>
    </row>
    <row r="100" spans="1:39">
      <c r="A100" s="458" t="s">
        <v>1057</v>
      </c>
      <c r="B100" s="455">
        <f>SUMPRODUCT(B45:B49,B89:B93)/SUM(B45:B49)</f>
        <v>3.832547984394322</v>
      </c>
      <c r="C100" s="457">
        <f>SUMPRODUCT(C44:C48,C88:C92)/SUM(C44:C48)</f>
        <v>2.7030626989217437</v>
      </c>
      <c r="D100" s="457">
        <f>SUMPRODUCT(D43:D47,D87:D91)/SUM(D43:D47)</f>
        <v>1.4748027237512633</v>
      </c>
      <c r="E100" s="457">
        <f>SUMPRODUCT(E42:E46,E86:E90)/SUM(E42:E46)</f>
        <v>1.2304605590126423</v>
      </c>
      <c r="F100" s="457">
        <f>SUMPRODUCT(F41:F45,F85:F89)/SUM(F41:F45)</f>
        <v>1.1539605999465816</v>
      </c>
      <c r="G100" s="457">
        <f>SUMPRODUCT(G40:G44,G84:G88)/SUM(G40:G44)</f>
        <v>1.1106538125817578</v>
      </c>
      <c r="H100" s="457">
        <f>SUMPRODUCT(H39:H43,H83:H87)/SUM(H39:H43)</f>
        <v>1.0235345169852814</v>
      </c>
      <c r="I100" s="457">
        <f>SUMPRODUCT(I38:I42,I82:I86)/SUM(I38:I42)</f>
        <v>1.010303858464791</v>
      </c>
      <c r="J100" s="457">
        <f>SUMPRODUCT(J37:J41,J81:J85)/SUM(J37:J41)</f>
        <v>1.0241052652444056</v>
      </c>
      <c r="K100" s="457">
        <f>SUMPRODUCT(K36:K40,K80:K84)/SUM(K36:K40)</f>
        <v>1.0007923662906</v>
      </c>
      <c r="L100" s="457">
        <f>SUMPRODUCT(L35:L39,L79:L83)/SUM(L35:L39)</f>
        <v>1.0080439415481002</v>
      </c>
      <c r="M100" s="457">
        <f>SUMPRODUCT(M34:M38,M78:M82)/SUM(M34:M38)</f>
        <v>1.0001744350995896</v>
      </c>
      <c r="N100" s="457">
        <f>SUMPRODUCT(N33:N37,N77:N81)/SUM(N33:N37)</f>
        <v>1.0000987321485284</v>
      </c>
      <c r="O100" s="457">
        <f>SUMPRODUCT(O32:O36,O76:O80)/SUM(O32:O36)</f>
        <v>1</v>
      </c>
      <c r="P100" s="457">
        <f>SUMPRODUCT(P31:P35,P75:P79)/SUM(P31:P35)</f>
        <v>1</v>
      </c>
      <c r="Q100" s="457">
        <f>SUMPRODUCT(Q30:Q34,Q74:Q78)/SUM(Q30:Q34)</f>
        <v>1.0000232830761111</v>
      </c>
      <c r="R100" s="455">
        <v>1</v>
      </c>
      <c r="S100" s="455">
        <v>1</v>
      </c>
      <c r="T100" s="455">
        <v>1</v>
      </c>
      <c r="U100" s="323"/>
      <c r="V100" s="323"/>
      <c r="W100" s="323"/>
      <c r="X100" s="323"/>
      <c r="Y100" s="323"/>
      <c r="Z100" s="323"/>
      <c r="AA100" s="323"/>
      <c r="AB100" s="323"/>
      <c r="AC100" s="323"/>
      <c r="AD100" s="323"/>
      <c r="AE100" s="323"/>
      <c r="AF100" s="323"/>
      <c r="AG100" s="323"/>
      <c r="AH100" s="323"/>
      <c r="AI100" s="323"/>
      <c r="AJ100" s="323"/>
      <c r="AK100" s="323"/>
      <c r="AL100" s="323"/>
    </row>
    <row r="101" spans="1:39">
      <c r="B101" s="456" t="s">
        <v>1058</v>
      </c>
      <c r="C101" s="455"/>
      <c r="D101" s="455"/>
      <c r="E101" s="455"/>
      <c r="F101" s="455"/>
      <c r="G101" s="455"/>
      <c r="H101" s="455"/>
      <c r="I101" s="455"/>
      <c r="J101" s="455"/>
      <c r="K101" s="455"/>
      <c r="L101" s="455"/>
      <c r="M101" s="455"/>
      <c r="N101" s="455"/>
      <c r="O101" s="455"/>
      <c r="P101" s="455"/>
      <c r="Q101" s="455"/>
      <c r="R101" s="455"/>
      <c r="S101" s="455"/>
      <c r="T101" s="455"/>
      <c r="U101" s="323"/>
      <c r="V101" s="323"/>
      <c r="W101" s="323"/>
      <c r="X101" s="323"/>
      <c r="Y101" s="323"/>
      <c r="Z101" s="323"/>
      <c r="AA101" s="323"/>
      <c r="AB101" s="323"/>
      <c r="AC101" s="323"/>
      <c r="AD101" s="323"/>
      <c r="AE101" s="323"/>
      <c r="AF101" s="323"/>
      <c r="AG101" s="323"/>
      <c r="AH101" s="323"/>
      <c r="AI101" s="323"/>
      <c r="AJ101" s="323"/>
      <c r="AK101" s="323"/>
      <c r="AL101" s="323"/>
      <c r="AM101" s="323"/>
    </row>
    <row r="102" spans="1:39">
      <c r="A102" s="458" t="s">
        <v>1059</v>
      </c>
      <c r="B102" s="455">
        <f>SUMPRODUCT(B43:B49,B87:B93)/SUM(B43:B49)</f>
        <v>4.4982991640624901</v>
      </c>
      <c r="C102" s="455">
        <f>SUMPRODUCT(C42:C48,C86:C92)/SUM(C42:C48)</f>
        <v>2.8422108649609568</v>
      </c>
      <c r="D102" s="455">
        <f>SUMPRODUCT(D41:D47,D85:D91)/SUM(D41:D47)</f>
        <v>1.5376960774425079</v>
      </c>
      <c r="E102" s="455">
        <f>SUMPRODUCT(E40:E46,E84:E90)/SUM(E40:E46)</f>
        <v>1.2894131102320532</v>
      </c>
      <c r="F102" s="455">
        <f>SUMPRODUCT(F39:F45,F83:F89)/SUM(F39:F45)</f>
        <v>1.1810250059438523</v>
      </c>
      <c r="G102" s="455">
        <f>SUMPRODUCT(G38:G44,G82:G88)/SUM(G38:G44)</f>
        <v>1.0992426813900606</v>
      </c>
      <c r="H102" s="455">
        <f>SUMPRODUCT(H37:H43,H81:H87)/SUM(H37:H43)</f>
        <v>1.0466141203079677</v>
      </c>
      <c r="I102" s="455">
        <f>SUMPRODUCT(I36:I42,I80:I86)/SUM(I36:I42)</f>
        <v>1.0079438086829982</v>
      </c>
      <c r="J102" s="455">
        <f>SUMPRODUCT(J35:J41,J79:J85)/SUM(J35:J41)</f>
        <v>1.0161375259341641</v>
      </c>
      <c r="K102" s="455">
        <f>SUMPRODUCT(K34:K40,K78:K84)/SUM(K34:K40)</f>
        <v>1.000772657343034</v>
      </c>
      <c r="L102" s="455">
        <f>SUMPRODUCT(L33:L39,L77:L83)/SUM(L33:L39)</f>
        <v>1.0058178184861768</v>
      </c>
      <c r="M102" s="455">
        <f>SUMPRODUCT(M32:M38,M76:M82)/SUM(M32:M38)</f>
        <v>1.0001209750916622</v>
      </c>
      <c r="N102" s="455">
        <f>SUMPRODUCT(N31:N37,N75:N81)/SUM(N31:N37)</f>
        <v>1.0028554180077971</v>
      </c>
      <c r="O102" s="455">
        <f>SUMPRODUCT(O30:O36,O74:O80)/SUM(O30:O36)</f>
        <v>1</v>
      </c>
      <c r="P102" s="455">
        <f>SUMPRODUCT(P29:P35,P73:P79)/SUM(P29:P35)</f>
        <v>0.99767894803511892</v>
      </c>
      <c r="Q102" s="455">
        <f>SUMPRODUCT(Q28:Q34,Q72:Q78)/SUM(Q28:Q34)</f>
        <v>1.000015314777148</v>
      </c>
      <c r="R102" s="455">
        <v>1</v>
      </c>
      <c r="S102" s="455">
        <v>1</v>
      </c>
      <c r="T102" s="455">
        <v>1</v>
      </c>
      <c r="U102" s="323"/>
      <c r="V102" s="323"/>
      <c r="W102" s="323"/>
      <c r="X102" s="323"/>
      <c r="Y102" s="323"/>
      <c r="Z102" s="323"/>
      <c r="AA102" s="323"/>
      <c r="AB102" s="323"/>
      <c r="AC102" s="323"/>
      <c r="AD102" s="323"/>
      <c r="AE102" s="323"/>
      <c r="AF102" s="323"/>
      <c r="AG102" s="323"/>
      <c r="AH102" s="323"/>
      <c r="AI102" s="323"/>
      <c r="AJ102" s="323"/>
      <c r="AK102" s="323"/>
      <c r="AL102" s="323"/>
    </row>
    <row r="103" spans="1:39">
      <c r="B103" s="456" t="s">
        <v>1060</v>
      </c>
      <c r="C103" s="455"/>
      <c r="D103" s="455"/>
      <c r="E103" s="455"/>
      <c r="F103" s="455"/>
      <c r="G103" s="455"/>
      <c r="H103" s="455"/>
      <c r="I103" s="455"/>
      <c r="J103" s="455"/>
      <c r="K103" s="455"/>
      <c r="L103" s="455"/>
      <c r="M103" s="455"/>
      <c r="N103" s="455"/>
      <c r="O103" s="455"/>
      <c r="P103" s="455"/>
      <c r="Q103" s="455"/>
      <c r="R103" s="455"/>
      <c r="S103" s="455"/>
      <c r="T103" s="455"/>
      <c r="U103" s="323"/>
      <c r="V103" s="323"/>
      <c r="W103" s="323"/>
      <c r="X103" s="323"/>
      <c r="Y103" s="323"/>
      <c r="Z103" s="323"/>
      <c r="AA103" s="323"/>
      <c r="AB103" s="323"/>
      <c r="AC103" s="323"/>
      <c r="AD103" s="323"/>
      <c r="AE103" s="323"/>
      <c r="AF103" s="323"/>
      <c r="AG103" s="323"/>
      <c r="AH103" s="323"/>
      <c r="AI103" s="323"/>
      <c r="AJ103" s="323"/>
      <c r="AK103" s="323"/>
      <c r="AL103" s="323"/>
      <c r="AM103" s="323"/>
    </row>
    <row r="104" spans="1:39">
      <c r="A104" s="458" t="s">
        <v>1061</v>
      </c>
      <c r="B104" s="455">
        <v>5.85</v>
      </c>
      <c r="C104" s="455">
        <v>2.4500000000000002</v>
      </c>
      <c r="D104" s="455">
        <v>1.635</v>
      </c>
      <c r="E104" s="455">
        <v>1.4650000000000001</v>
      </c>
      <c r="F104" s="455">
        <v>1.23</v>
      </c>
      <c r="G104" s="455">
        <v>1.135</v>
      </c>
      <c r="H104" s="455">
        <v>1.06</v>
      </c>
      <c r="I104" s="455">
        <v>1.002</v>
      </c>
      <c r="J104" s="455">
        <v>1.002</v>
      </c>
      <c r="K104" s="455">
        <v>1.0009999999999999</v>
      </c>
      <c r="L104" s="455">
        <v>1</v>
      </c>
      <c r="M104" s="455">
        <v>1.0049999999999999</v>
      </c>
      <c r="N104" s="455">
        <v>1.0049999999999999</v>
      </c>
      <c r="O104" s="455">
        <v>1</v>
      </c>
      <c r="P104" s="455">
        <v>1</v>
      </c>
      <c r="Q104" s="455">
        <v>1</v>
      </c>
      <c r="R104" s="455">
        <v>1</v>
      </c>
      <c r="S104" s="455">
        <v>1</v>
      </c>
      <c r="T104" s="455">
        <v>1</v>
      </c>
      <c r="U104" s="323"/>
      <c r="V104" s="323"/>
      <c r="W104" s="323"/>
      <c r="X104" s="323"/>
      <c r="Y104" s="323"/>
      <c r="Z104" s="323"/>
      <c r="AA104" s="323"/>
      <c r="AB104" s="323"/>
      <c r="AC104" s="323"/>
      <c r="AD104" s="323"/>
      <c r="AE104" s="323"/>
      <c r="AF104" s="323"/>
      <c r="AG104" s="323"/>
      <c r="AH104" s="323"/>
      <c r="AI104" s="323"/>
      <c r="AJ104" s="323"/>
      <c r="AK104" s="323"/>
      <c r="AL104" s="323"/>
    </row>
    <row r="105" spans="1:39">
      <c r="B105" s="455">
        <f>C105*B104</f>
        <v>51.568656189840979</v>
      </c>
      <c r="C105" s="455">
        <f>D105*C104</f>
        <v>8.815154904246322</v>
      </c>
      <c r="D105" s="455">
        <f t="shared" ref="D105:O105" si="19">E105*D104</f>
        <v>3.5980224098964575</v>
      </c>
      <c r="E105" s="455">
        <f t="shared" si="19"/>
        <v>2.2006253271537966</v>
      </c>
      <c r="F105" s="455">
        <f t="shared" si="19"/>
        <v>1.5021333291152195</v>
      </c>
      <c r="G105" s="455">
        <f t="shared" si="19"/>
        <v>1.2212466090367637</v>
      </c>
      <c r="H105" s="455">
        <f t="shared" si="19"/>
        <v>1.0759882017945055</v>
      </c>
      <c r="I105" s="455">
        <f t="shared" si="19"/>
        <v>1.0150832092400994</v>
      </c>
      <c r="J105" s="455">
        <f t="shared" si="19"/>
        <v>1.0130570950499995</v>
      </c>
      <c r="K105" s="455">
        <f t="shared" si="19"/>
        <v>1.0110350249999995</v>
      </c>
      <c r="L105" s="455">
        <f t="shared" si="19"/>
        <v>1.0100249999999997</v>
      </c>
      <c r="M105" s="455">
        <f t="shared" si="19"/>
        <v>1.0100249999999997</v>
      </c>
      <c r="N105" s="455">
        <f t="shared" si="19"/>
        <v>1.0049999999999999</v>
      </c>
      <c r="O105" s="455">
        <f t="shared" si="19"/>
        <v>1</v>
      </c>
      <c r="P105" s="455">
        <f>Q105*P104</f>
        <v>1</v>
      </c>
      <c r="Q105" s="455">
        <f>Q104</f>
        <v>1</v>
      </c>
      <c r="R105" s="455">
        <v>1</v>
      </c>
      <c r="S105" s="455">
        <v>1</v>
      </c>
      <c r="T105" s="455">
        <v>1</v>
      </c>
      <c r="U105" s="323"/>
      <c r="V105" s="323"/>
      <c r="W105" s="323"/>
      <c r="X105" s="323"/>
      <c r="Y105" s="323"/>
      <c r="Z105" s="323"/>
      <c r="AA105" s="323"/>
      <c r="AB105" s="323"/>
      <c r="AC105" s="323"/>
      <c r="AD105" s="323"/>
      <c r="AE105" s="323"/>
      <c r="AF105" s="323"/>
      <c r="AG105" s="323"/>
      <c r="AH105" s="323"/>
      <c r="AI105" s="323"/>
      <c r="AJ105" s="323"/>
      <c r="AK105" s="323"/>
      <c r="AL105" s="323"/>
      <c r="AM105" s="323"/>
    </row>
    <row r="106" spans="1:39">
      <c r="B106" s="455"/>
      <c r="C106" s="455"/>
      <c r="D106" s="455"/>
      <c r="E106" s="455"/>
      <c r="F106" s="455"/>
      <c r="G106" s="455"/>
      <c r="H106" s="455"/>
      <c r="I106" s="455"/>
      <c r="J106" s="455"/>
      <c r="K106" s="455"/>
      <c r="L106" s="455"/>
      <c r="M106" s="455"/>
      <c r="N106" s="455"/>
      <c r="O106" s="455"/>
      <c r="P106" s="455"/>
      <c r="Q106" s="455"/>
      <c r="R106" s="455"/>
      <c r="S106" s="455"/>
      <c r="T106" s="455"/>
      <c r="U106" s="323"/>
      <c r="V106" s="323"/>
      <c r="W106" s="323"/>
      <c r="X106" s="323"/>
      <c r="Y106" s="323"/>
      <c r="Z106" s="323"/>
      <c r="AA106" s="323"/>
      <c r="AB106" s="323"/>
      <c r="AC106" s="323"/>
      <c r="AD106" s="323"/>
      <c r="AE106" s="323"/>
      <c r="AF106" s="323"/>
      <c r="AG106" s="323"/>
      <c r="AH106" s="323"/>
      <c r="AI106" s="323"/>
      <c r="AJ106" s="323"/>
      <c r="AK106" s="323"/>
      <c r="AL106" s="323"/>
      <c r="AM106" s="323"/>
    </row>
    <row r="107" spans="1:39">
      <c r="A107" s="446" t="s">
        <v>1062</v>
      </c>
      <c r="B107" s="455">
        <f>B104</f>
        <v>5.85</v>
      </c>
      <c r="C107" s="455">
        <f t="shared" ref="C107:T107" si="20">C104</f>
        <v>2.4500000000000002</v>
      </c>
      <c r="D107" s="455">
        <f t="shared" si="20"/>
        <v>1.635</v>
      </c>
      <c r="E107" s="455">
        <f t="shared" si="20"/>
        <v>1.4650000000000001</v>
      </c>
      <c r="F107" s="455">
        <f t="shared" si="20"/>
        <v>1.23</v>
      </c>
      <c r="G107" s="455">
        <f t="shared" si="20"/>
        <v>1.135</v>
      </c>
      <c r="H107" s="455">
        <f t="shared" si="20"/>
        <v>1.06</v>
      </c>
      <c r="I107" s="555">
        <v>1.01</v>
      </c>
      <c r="J107" s="555">
        <v>1.0049999999999999</v>
      </c>
      <c r="K107" s="555">
        <v>1.0029999999999999</v>
      </c>
      <c r="L107" s="555">
        <v>1.002</v>
      </c>
      <c r="M107" s="555">
        <v>1.0009999999999999</v>
      </c>
      <c r="N107" s="555">
        <f t="shared" si="20"/>
        <v>1.0049999999999999</v>
      </c>
      <c r="O107" s="455">
        <f t="shared" si="20"/>
        <v>1</v>
      </c>
      <c r="P107" s="455">
        <f t="shared" si="20"/>
        <v>1</v>
      </c>
      <c r="Q107" s="455">
        <f t="shared" si="20"/>
        <v>1</v>
      </c>
      <c r="R107" s="455">
        <f t="shared" si="20"/>
        <v>1</v>
      </c>
      <c r="S107" s="455">
        <f t="shared" si="20"/>
        <v>1</v>
      </c>
      <c r="T107" s="455">
        <f t="shared" si="20"/>
        <v>1</v>
      </c>
      <c r="U107" s="323"/>
      <c r="V107" s="323"/>
      <c r="W107" s="323"/>
      <c r="X107" s="323"/>
      <c r="Y107" s="323"/>
      <c r="Z107" s="323"/>
      <c r="AA107" s="323"/>
      <c r="AB107" s="323"/>
      <c r="AC107" s="323"/>
      <c r="AD107" s="323"/>
      <c r="AE107" s="323"/>
      <c r="AF107" s="323"/>
      <c r="AG107" s="323"/>
      <c r="AH107" s="323"/>
      <c r="AI107" s="323"/>
      <c r="AJ107" s="323"/>
      <c r="AK107" s="323"/>
      <c r="AL107" s="323"/>
      <c r="AM107" s="323"/>
    </row>
    <row r="108" spans="1:39">
      <c r="A108" s="444" t="s">
        <v>780</v>
      </c>
      <c r="B108" s="455">
        <f t="shared" ref="B108:O108" si="21">C108*B107</f>
        <v>52.136323133727153</v>
      </c>
      <c r="C108" s="455">
        <f t="shared" si="21"/>
        <v>8.9121919886713084</v>
      </c>
      <c r="D108" s="455">
        <f t="shared" si="21"/>
        <v>3.6376293831311459</v>
      </c>
      <c r="E108" s="455">
        <f t="shared" si="21"/>
        <v>2.2248497756153798</v>
      </c>
      <c r="F108" s="455">
        <f t="shared" si="21"/>
        <v>1.5186687888159589</v>
      </c>
      <c r="G108" s="455">
        <f t="shared" si="21"/>
        <v>1.2346900722080967</v>
      </c>
      <c r="H108" s="455">
        <f t="shared" si="21"/>
        <v>1.0878326627384112</v>
      </c>
      <c r="I108" s="455">
        <f t="shared" si="21"/>
        <v>1.026257228998501</v>
      </c>
      <c r="J108" s="455">
        <f t="shared" si="21"/>
        <v>1.0160962663351496</v>
      </c>
      <c r="K108" s="455">
        <f t="shared" si="21"/>
        <v>1.0110410610299998</v>
      </c>
      <c r="L108" s="455">
        <f t="shared" si="21"/>
        <v>1.0080170099999999</v>
      </c>
      <c r="M108" s="455">
        <f t="shared" si="21"/>
        <v>1.0060049999999998</v>
      </c>
      <c r="N108" s="455">
        <f t="shared" si="21"/>
        <v>1.0049999999999999</v>
      </c>
      <c r="O108" s="455">
        <f t="shared" si="21"/>
        <v>1</v>
      </c>
      <c r="P108" s="455">
        <f>Q108*P107</f>
        <v>1</v>
      </c>
      <c r="Q108" s="455">
        <f>Q107</f>
        <v>1</v>
      </c>
      <c r="R108" s="455">
        <v>1</v>
      </c>
      <c r="S108" s="455">
        <v>1</v>
      </c>
      <c r="T108" s="455">
        <v>1</v>
      </c>
      <c r="U108" s="323">
        <v>1</v>
      </c>
      <c r="V108" s="323"/>
      <c r="W108" s="323"/>
      <c r="X108" s="323"/>
      <c r="Y108" s="323"/>
      <c r="Z108" s="323"/>
      <c r="AA108" s="323"/>
      <c r="AB108" s="323"/>
      <c r="AC108" s="323"/>
      <c r="AD108" s="323"/>
      <c r="AE108" s="323"/>
      <c r="AF108" s="323"/>
      <c r="AG108" s="323"/>
      <c r="AH108" s="323"/>
      <c r="AI108" s="323"/>
      <c r="AJ108" s="323"/>
      <c r="AK108" s="323"/>
      <c r="AL108" s="323"/>
      <c r="AM108" s="323"/>
    </row>
    <row r="114" spans="2:18">
      <c r="B114" s="6" t="s">
        <v>122</v>
      </c>
      <c r="C114" s="444" t="s">
        <v>1592</v>
      </c>
    </row>
    <row r="115" spans="2:18">
      <c r="B115" s="6" t="s">
        <v>123</v>
      </c>
      <c r="C115" s="6" t="s">
        <v>302</v>
      </c>
      <c r="D115" s="455"/>
      <c r="E115" s="455"/>
      <c r="F115" s="455"/>
      <c r="G115" s="455"/>
      <c r="H115" s="455"/>
      <c r="I115" s="455"/>
      <c r="J115" s="455"/>
      <c r="K115" s="455"/>
      <c r="L115" s="455"/>
      <c r="M115" s="455"/>
      <c r="N115" s="455"/>
      <c r="O115" s="455"/>
      <c r="P115" s="455"/>
      <c r="Q115" s="455"/>
      <c r="R115" s="455"/>
    </row>
    <row r="116" spans="2:18">
      <c r="B116" s="106" t="s">
        <v>27</v>
      </c>
      <c r="C116" s="118" t="s">
        <v>33</v>
      </c>
    </row>
    <row r="117" spans="2:18">
      <c r="B117" s="1"/>
    </row>
    <row r="118" spans="2:18">
      <c r="B118" s="6">
        <v>239</v>
      </c>
      <c r="C118" s="455">
        <f>U108</f>
        <v>1</v>
      </c>
    </row>
    <row r="119" spans="2:18">
      <c r="B119" s="6">
        <v>227</v>
      </c>
      <c r="C119" s="455">
        <f>T108</f>
        <v>1</v>
      </c>
    </row>
    <row r="120" spans="2:18">
      <c r="B120" s="6">
        <v>215</v>
      </c>
      <c r="C120" s="455">
        <f>S108</f>
        <v>1</v>
      </c>
    </row>
    <row r="121" spans="2:18">
      <c r="B121" s="6">
        <v>203</v>
      </c>
      <c r="C121" s="455">
        <f>R108</f>
        <v>1</v>
      </c>
    </row>
    <row r="122" spans="2:18">
      <c r="B122" s="6">
        <v>191</v>
      </c>
      <c r="C122" s="455">
        <f>Q108</f>
        <v>1</v>
      </c>
    </row>
    <row r="123" spans="2:18">
      <c r="B123" s="6">
        <v>179</v>
      </c>
      <c r="C123" s="455">
        <f>P108</f>
        <v>1</v>
      </c>
    </row>
    <row r="124" spans="2:18">
      <c r="B124" s="6">
        <v>167</v>
      </c>
      <c r="C124" s="455">
        <f>O108</f>
        <v>1</v>
      </c>
    </row>
    <row r="125" spans="2:18">
      <c r="B125" s="6">
        <v>155</v>
      </c>
      <c r="C125" s="455">
        <f>N108</f>
        <v>1.0049999999999999</v>
      </c>
    </row>
    <row r="126" spans="2:18">
      <c r="B126" s="6">
        <v>143</v>
      </c>
      <c r="C126" s="455">
        <f>M108</f>
        <v>1.0060049999999998</v>
      </c>
    </row>
    <row r="127" spans="2:18">
      <c r="B127" s="6">
        <v>131</v>
      </c>
      <c r="C127" s="455">
        <f>L108</f>
        <v>1.0080170099999999</v>
      </c>
    </row>
    <row r="128" spans="2:18">
      <c r="B128" s="6">
        <v>119</v>
      </c>
      <c r="C128" s="455">
        <f>K108</f>
        <v>1.0110410610299998</v>
      </c>
    </row>
    <row r="129" spans="2:3">
      <c r="B129" s="6">
        <v>107</v>
      </c>
      <c r="C129" s="455">
        <f>J108</f>
        <v>1.0160962663351496</v>
      </c>
    </row>
    <row r="130" spans="2:3">
      <c r="B130" s="6">
        <v>95</v>
      </c>
      <c r="C130" s="455">
        <f>I108</f>
        <v>1.026257228998501</v>
      </c>
    </row>
    <row r="131" spans="2:3">
      <c r="B131" s="6">
        <v>83</v>
      </c>
      <c r="C131" s="455">
        <f>H108</f>
        <v>1.0878326627384112</v>
      </c>
    </row>
    <row r="132" spans="2:3">
      <c r="B132" s="6">
        <v>71</v>
      </c>
      <c r="C132" s="455">
        <f>G108</f>
        <v>1.2346900722080967</v>
      </c>
    </row>
    <row r="133" spans="2:3">
      <c r="B133" s="6">
        <v>59</v>
      </c>
      <c r="C133" s="455">
        <f>F108</f>
        <v>1.5186687888159589</v>
      </c>
    </row>
    <row r="134" spans="2:3">
      <c r="B134" s="6">
        <v>47</v>
      </c>
      <c r="C134" s="455">
        <f>E108</f>
        <v>2.2248497756153798</v>
      </c>
    </row>
    <row r="135" spans="2:3">
      <c r="B135" s="6">
        <v>35</v>
      </c>
      <c r="C135" s="455">
        <f>D108</f>
        <v>3.6376293831311459</v>
      </c>
    </row>
    <row r="136" spans="2:3">
      <c r="B136" s="6">
        <v>23</v>
      </c>
      <c r="C136" s="455">
        <f>C108</f>
        <v>8.9121919886713084</v>
      </c>
    </row>
    <row r="137" spans="2:3">
      <c r="B137" s="6">
        <v>11</v>
      </c>
      <c r="C137" s="455">
        <f>B108</f>
        <v>52.136323133727153</v>
      </c>
    </row>
  </sheetData>
  <printOptions horizontalCentered="1"/>
  <pageMargins left="0.7" right="0.7" top="0.75" bottom="0.75" header="0.3" footer="0.3"/>
  <pageSetup scale="36" orientation="portrait" r:id="rId1"/>
  <rowBreaks count="1" manualBreakCount="1">
    <brk id="51" max="20" man="1"/>
  </rowBreaks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119">
    <tabColor rgb="FF92D050"/>
    <pageSetUpPr fitToPage="1"/>
  </sheetPr>
  <dimension ref="A1:AM137"/>
  <sheetViews>
    <sheetView zoomScaleNormal="100" workbookViewId="0"/>
  </sheetViews>
  <sheetFormatPr baseColWidth="10" defaultColWidth="7.42578125" defaultRowHeight="15"/>
  <cols>
    <col min="1" max="1" width="11.7109375" style="444" customWidth="1"/>
    <col min="2" max="20" width="9.140625" style="444" customWidth="1"/>
    <col min="21" max="39" width="9.5703125" style="316" customWidth="1"/>
    <col min="40" max="16384" width="7.42578125" style="316"/>
  </cols>
  <sheetData>
    <row r="1" spans="1:39">
      <c r="A1" s="443" t="s">
        <v>1026</v>
      </c>
      <c r="T1" s="549" t="s">
        <v>1063</v>
      </c>
    </row>
    <row r="2" spans="1:39">
      <c r="A2" s="445" t="s">
        <v>1027</v>
      </c>
      <c r="T2" s="549" t="s">
        <v>66</v>
      </c>
    </row>
    <row r="3" spans="1:39">
      <c r="A3" s="445" t="s">
        <v>1028</v>
      </c>
    </row>
    <row r="4" spans="1:39">
      <c r="A4" s="445" t="s">
        <v>1029</v>
      </c>
    </row>
    <row r="5" spans="1:39">
      <c r="A5" s="445" t="s">
        <v>1065</v>
      </c>
    </row>
    <row r="6" spans="1:39">
      <c r="A6" s="445" t="s">
        <v>261</v>
      </c>
    </row>
    <row r="7" spans="1:39">
      <c r="A7" s="445" t="str">
        <f>'Exhibit R,S1'!A7</f>
        <v>Data Evaluated as of 11/30/2022</v>
      </c>
    </row>
    <row r="9" spans="1:39">
      <c r="B9" s="446" t="s">
        <v>1030</v>
      </c>
    </row>
    <row r="10" spans="1:39" ht="16">
      <c r="A10" s="447" t="s">
        <v>170</v>
      </c>
      <c r="B10" s="448">
        <v>11</v>
      </c>
      <c r="C10" s="448">
        <v>23</v>
      </c>
      <c r="D10" s="448">
        <v>35</v>
      </c>
      <c r="E10" s="448">
        <v>47</v>
      </c>
      <c r="F10" s="448">
        <v>59</v>
      </c>
      <c r="G10" s="448">
        <v>71</v>
      </c>
      <c r="H10" s="448">
        <v>83</v>
      </c>
      <c r="I10" s="448">
        <v>95</v>
      </c>
      <c r="J10" s="448">
        <v>107</v>
      </c>
      <c r="K10" s="448">
        <v>119</v>
      </c>
      <c r="L10" s="448">
        <v>131</v>
      </c>
      <c r="M10" s="448">
        <v>143</v>
      </c>
      <c r="N10" s="448">
        <v>155</v>
      </c>
      <c r="O10" s="448">
        <v>167</v>
      </c>
      <c r="P10" s="448">
        <v>179</v>
      </c>
      <c r="Q10" s="448">
        <v>191</v>
      </c>
      <c r="R10" s="448">
        <v>203</v>
      </c>
      <c r="S10" s="448">
        <v>215</v>
      </c>
      <c r="T10" s="448">
        <v>227</v>
      </c>
      <c r="U10" s="325"/>
      <c r="V10" s="325"/>
      <c r="W10" s="325"/>
      <c r="X10" s="325"/>
      <c r="Y10" s="325"/>
      <c r="Z10" s="325"/>
      <c r="AA10" s="325"/>
      <c r="AB10" s="325"/>
      <c r="AC10" s="325"/>
      <c r="AD10" s="325"/>
      <c r="AE10" s="325"/>
      <c r="AF10" s="325"/>
      <c r="AG10" s="325"/>
      <c r="AH10" s="325"/>
      <c r="AI10" s="325"/>
      <c r="AJ10" s="325"/>
      <c r="AK10" s="325"/>
      <c r="AL10" s="325"/>
      <c r="AM10" s="325"/>
    </row>
    <row r="11" spans="1:39">
      <c r="A11" s="449"/>
      <c r="B11" s="449"/>
      <c r="C11" s="449"/>
      <c r="D11" s="449"/>
      <c r="E11" s="449"/>
      <c r="F11" s="449"/>
      <c r="G11" s="449"/>
      <c r="H11" s="449"/>
      <c r="I11" s="449"/>
      <c r="J11" s="449"/>
      <c r="K11" s="449"/>
      <c r="L11" s="449"/>
      <c r="M11" s="449"/>
      <c r="N11" s="449"/>
      <c r="O11" s="449"/>
      <c r="P11" s="449"/>
      <c r="Q11" s="449"/>
      <c r="R11" s="449"/>
      <c r="S11" s="449"/>
      <c r="T11" s="449"/>
      <c r="U11" s="318"/>
      <c r="V11" s="318"/>
      <c r="W11" s="318"/>
      <c r="X11" s="318"/>
      <c r="Y11" s="318"/>
      <c r="Z11" s="318"/>
      <c r="AA11" s="318"/>
      <c r="AB11" s="318"/>
      <c r="AC11" s="318"/>
      <c r="AD11" s="318"/>
      <c r="AE11" s="318"/>
      <c r="AF11" s="318"/>
      <c r="AG11" s="318"/>
      <c r="AH11" s="318"/>
      <c r="AI11" s="318"/>
      <c r="AJ11" s="318"/>
      <c r="AK11" s="318"/>
      <c r="AL11" s="318"/>
      <c r="AM11" s="318"/>
    </row>
    <row r="12" spans="1:39">
      <c r="A12" s="449"/>
      <c r="B12" s="450"/>
      <c r="C12" s="450"/>
      <c r="D12" s="450"/>
      <c r="E12" s="450"/>
      <c r="F12" s="450"/>
      <c r="G12" s="450"/>
      <c r="H12" s="450"/>
      <c r="I12" s="450"/>
      <c r="J12" s="450"/>
      <c r="K12" s="450"/>
      <c r="L12" s="450"/>
      <c r="M12" s="450"/>
      <c r="N12" s="450"/>
      <c r="O12" s="450"/>
      <c r="P12" s="450"/>
      <c r="Q12" s="450"/>
      <c r="R12" s="450"/>
      <c r="S12" s="450"/>
      <c r="T12" s="450"/>
    </row>
    <row r="13" spans="1:39">
      <c r="A13" s="449">
        <f>'Exhibit R,S1'!A13</f>
        <v>1985</v>
      </c>
      <c r="B13" s="450" t="s">
        <v>1031</v>
      </c>
      <c r="C13" s="450" t="s">
        <v>1031</v>
      </c>
      <c r="D13" s="450" t="s">
        <v>1031</v>
      </c>
      <c r="E13" s="450" t="s">
        <v>1031</v>
      </c>
      <c r="F13" s="450" t="s">
        <v>1031</v>
      </c>
      <c r="G13" s="450" t="s">
        <v>1031</v>
      </c>
      <c r="H13" s="450" t="s">
        <v>1031</v>
      </c>
      <c r="I13" s="450" t="s">
        <v>1031</v>
      </c>
      <c r="J13" s="450" t="s">
        <v>1031</v>
      </c>
      <c r="K13" s="450" t="s">
        <v>1031</v>
      </c>
      <c r="L13" s="450" t="s">
        <v>1031</v>
      </c>
      <c r="M13" s="450" t="s">
        <v>1031</v>
      </c>
      <c r="N13" s="450" t="s">
        <v>1031</v>
      </c>
      <c r="O13" s="450" t="s">
        <v>1031</v>
      </c>
      <c r="P13" s="450" t="s">
        <v>1031</v>
      </c>
      <c r="Q13" s="450" t="s">
        <v>1031</v>
      </c>
      <c r="R13" s="450" t="s">
        <v>1031</v>
      </c>
      <c r="S13" s="450" t="s">
        <v>1031</v>
      </c>
      <c r="T13" s="450" t="s">
        <v>1031</v>
      </c>
      <c r="U13" s="324"/>
      <c r="V13" s="324"/>
      <c r="W13" s="324"/>
      <c r="X13" s="324"/>
      <c r="Y13" s="324"/>
      <c r="Z13" s="324"/>
      <c r="AA13" s="324"/>
      <c r="AB13" s="324"/>
      <c r="AC13" s="324"/>
      <c r="AD13" s="324"/>
      <c r="AE13" s="324"/>
      <c r="AF13" s="324"/>
      <c r="AG13" s="324"/>
      <c r="AH13" s="324"/>
      <c r="AI13" s="324"/>
      <c r="AJ13" s="324"/>
      <c r="AK13" s="324"/>
      <c r="AL13" s="324"/>
      <c r="AM13" s="324"/>
    </row>
    <row r="14" spans="1:39">
      <c r="A14" s="449">
        <f>A13+1</f>
        <v>1986</v>
      </c>
      <c r="B14" s="450" t="s">
        <v>1031</v>
      </c>
      <c r="C14" s="450" t="s">
        <v>1031</v>
      </c>
      <c r="D14" s="450" t="s">
        <v>1031</v>
      </c>
      <c r="E14" s="450" t="s">
        <v>1031</v>
      </c>
      <c r="F14" s="450" t="s">
        <v>1031</v>
      </c>
      <c r="G14" s="450" t="s">
        <v>1031</v>
      </c>
      <c r="H14" s="450" t="s">
        <v>1031</v>
      </c>
      <c r="I14" s="450" t="s">
        <v>1031</v>
      </c>
      <c r="J14" s="450" t="s">
        <v>1031</v>
      </c>
      <c r="K14" s="450" t="s">
        <v>1031</v>
      </c>
      <c r="L14" s="450" t="s">
        <v>1031</v>
      </c>
      <c r="M14" s="450" t="s">
        <v>1031</v>
      </c>
      <c r="N14" s="450" t="s">
        <v>1031</v>
      </c>
      <c r="O14" s="450" t="s">
        <v>1031</v>
      </c>
      <c r="P14" s="450" t="s">
        <v>1031</v>
      </c>
      <c r="Q14" s="450" t="s">
        <v>1031</v>
      </c>
      <c r="R14" s="450" t="s">
        <v>1031</v>
      </c>
      <c r="S14" s="450" t="s">
        <v>1031</v>
      </c>
      <c r="T14" s="450" t="s">
        <v>1031</v>
      </c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324"/>
      <c r="AF14" s="324"/>
      <c r="AG14" s="324"/>
      <c r="AH14" s="324"/>
      <c r="AI14" s="324"/>
      <c r="AJ14" s="324"/>
      <c r="AK14" s="324"/>
      <c r="AL14" s="324"/>
      <c r="AM14" s="324"/>
    </row>
    <row r="15" spans="1:39">
      <c r="A15" s="449">
        <f t="shared" ref="A15:A50" si="0">A14+1</f>
        <v>1987</v>
      </c>
      <c r="B15" s="450" t="s">
        <v>1031</v>
      </c>
      <c r="C15" s="450" t="s">
        <v>1031</v>
      </c>
      <c r="D15" s="450" t="s">
        <v>1031</v>
      </c>
      <c r="E15" s="450" t="s">
        <v>1031</v>
      </c>
      <c r="F15" s="450" t="s">
        <v>1031</v>
      </c>
      <c r="G15" s="450" t="s">
        <v>1031</v>
      </c>
      <c r="H15" s="450" t="s">
        <v>1031</v>
      </c>
      <c r="I15" s="450" t="s">
        <v>1031</v>
      </c>
      <c r="J15" s="450" t="s">
        <v>1031</v>
      </c>
      <c r="K15" s="450" t="s">
        <v>1031</v>
      </c>
      <c r="L15" s="450" t="s">
        <v>1031</v>
      </c>
      <c r="M15" s="450" t="s">
        <v>1031</v>
      </c>
      <c r="N15" s="450" t="s">
        <v>1031</v>
      </c>
      <c r="O15" s="450" t="s">
        <v>1031</v>
      </c>
      <c r="P15" s="450" t="s">
        <v>1031</v>
      </c>
      <c r="Q15" s="450" t="s">
        <v>1031</v>
      </c>
      <c r="R15" s="450" t="s">
        <v>1031</v>
      </c>
      <c r="S15" s="450" t="s">
        <v>1031</v>
      </c>
      <c r="T15" s="450" t="s">
        <v>1031</v>
      </c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324"/>
      <c r="AF15" s="324"/>
      <c r="AG15" s="324"/>
      <c r="AH15" s="324"/>
      <c r="AI15" s="324"/>
      <c r="AJ15" s="324"/>
      <c r="AK15" s="324"/>
      <c r="AL15" s="324"/>
      <c r="AM15" s="324"/>
    </row>
    <row r="16" spans="1:39">
      <c r="A16" s="449">
        <f t="shared" si="0"/>
        <v>1988</v>
      </c>
      <c r="B16" s="450" t="s">
        <v>1031</v>
      </c>
      <c r="C16" s="450" t="s">
        <v>1031</v>
      </c>
      <c r="D16" s="450" t="s">
        <v>1031</v>
      </c>
      <c r="E16" s="450" t="s">
        <v>1031</v>
      </c>
      <c r="F16" s="450" t="s">
        <v>1031</v>
      </c>
      <c r="G16" s="450" t="s">
        <v>1031</v>
      </c>
      <c r="H16" s="450" t="s">
        <v>1031</v>
      </c>
      <c r="I16" s="450" t="s">
        <v>1031</v>
      </c>
      <c r="J16" s="450" t="s">
        <v>1031</v>
      </c>
      <c r="K16" s="450" t="s">
        <v>1031</v>
      </c>
      <c r="L16" s="450" t="s">
        <v>1031</v>
      </c>
      <c r="M16" s="450" t="s">
        <v>1031</v>
      </c>
      <c r="N16" s="450" t="s">
        <v>1031</v>
      </c>
      <c r="O16" s="450" t="s">
        <v>1031</v>
      </c>
      <c r="P16" s="450" t="s">
        <v>1031</v>
      </c>
      <c r="Q16" s="450" t="s">
        <v>1031</v>
      </c>
      <c r="R16" s="450" t="s">
        <v>1031</v>
      </c>
      <c r="S16" s="450" t="s">
        <v>1031</v>
      </c>
      <c r="T16" s="450" t="s">
        <v>1031</v>
      </c>
      <c r="U16" s="324"/>
      <c r="V16" s="324"/>
      <c r="W16" s="324"/>
      <c r="X16" s="324"/>
      <c r="Y16" s="324"/>
      <c r="Z16" s="324"/>
      <c r="AA16" s="324"/>
      <c r="AB16" s="324"/>
      <c r="AC16" s="324"/>
      <c r="AD16" s="324"/>
      <c r="AE16" s="324"/>
      <c r="AF16" s="324"/>
      <c r="AG16" s="324"/>
      <c r="AH16" s="324"/>
      <c r="AI16" s="324"/>
      <c r="AJ16" s="324"/>
      <c r="AK16" s="324"/>
      <c r="AL16" s="324"/>
      <c r="AM16" s="324"/>
    </row>
    <row r="17" spans="1:39">
      <c r="A17" s="449">
        <f t="shared" si="0"/>
        <v>1989</v>
      </c>
      <c r="B17" s="450" t="s">
        <v>1031</v>
      </c>
      <c r="C17" s="450" t="s">
        <v>1031</v>
      </c>
      <c r="D17" s="450" t="s">
        <v>1031</v>
      </c>
      <c r="E17" s="450" t="s">
        <v>1031</v>
      </c>
      <c r="F17" s="450" t="s">
        <v>1031</v>
      </c>
      <c r="G17" s="450" t="s">
        <v>1031</v>
      </c>
      <c r="H17" s="450" t="s">
        <v>1031</v>
      </c>
      <c r="I17" s="450" t="s">
        <v>1031</v>
      </c>
      <c r="J17" s="450" t="s">
        <v>1031</v>
      </c>
      <c r="K17" s="450" t="s">
        <v>1031</v>
      </c>
      <c r="L17" s="450" t="s">
        <v>1031</v>
      </c>
      <c r="M17" s="450" t="s">
        <v>1031</v>
      </c>
      <c r="N17" s="450" t="s">
        <v>1031</v>
      </c>
      <c r="O17" s="450" t="s">
        <v>1031</v>
      </c>
      <c r="P17" s="450" t="s">
        <v>1031</v>
      </c>
      <c r="Q17" s="450" t="s">
        <v>1031</v>
      </c>
      <c r="R17" s="450" t="s">
        <v>1031</v>
      </c>
      <c r="S17" s="450" t="s">
        <v>1031</v>
      </c>
      <c r="T17" s="450" t="s">
        <v>1031</v>
      </c>
      <c r="U17" s="324"/>
      <c r="V17" s="324"/>
      <c r="W17" s="324"/>
      <c r="X17" s="324"/>
      <c r="Y17" s="324"/>
      <c r="Z17" s="324"/>
      <c r="AA17" s="324"/>
      <c r="AB17" s="324"/>
      <c r="AC17" s="324"/>
      <c r="AD17" s="324"/>
      <c r="AE17" s="324"/>
      <c r="AF17" s="324"/>
      <c r="AG17" s="324"/>
      <c r="AH17" s="324"/>
      <c r="AI17" s="324"/>
      <c r="AJ17" s="324"/>
      <c r="AK17" s="324"/>
      <c r="AL17" s="324"/>
      <c r="AM17" s="324"/>
    </row>
    <row r="18" spans="1:39">
      <c r="A18" s="449">
        <f t="shared" si="0"/>
        <v>1990</v>
      </c>
      <c r="B18" s="450" t="s">
        <v>1031</v>
      </c>
      <c r="C18" s="450" t="s">
        <v>1031</v>
      </c>
      <c r="D18" s="450" t="s">
        <v>1031</v>
      </c>
      <c r="E18" s="450" t="s">
        <v>1031</v>
      </c>
      <c r="F18" s="450" t="s">
        <v>1031</v>
      </c>
      <c r="G18" s="450" t="s">
        <v>1031</v>
      </c>
      <c r="H18" s="450" t="s">
        <v>1031</v>
      </c>
      <c r="I18" s="450" t="s">
        <v>1031</v>
      </c>
      <c r="J18" s="450" t="s">
        <v>1031</v>
      </c>
      <c r="K18" s="450" t="s">
        <v>1031</v>
      </c>
      <c r="L18" s="450" t="s">
        <v>1031</v>
      </c>
      <c r="M18" s="450" t="s">
        <v>1031</v>
      </c>
      <c r="N18" s="450" t="s">
        <v>1031</v>
      </c>
      <c r="O18" s="450" t="s">
        <v>1031</v>
      </c>
      <c r="P18" s="450" t="s">
        <v>1031</v>
      </c>
      <c r="Q18" s="450" t="s">
        <v>1031</v>
      </c>
      <c r="R18" s="450" t="s">
        <v>1031</v>
      </c>
      <c r="S18" s="450" t="s">
        <v>1031</v>
      </c>
      <c r="T18" s="450" t="s">
        <v>1031</v>
      </c>
      <c r="U18" s="324"/>
      <c r="V18" s="324"/>
      <c r="W18" s="324"/>
      <c r="X18" s="324"/>
      <c r="Y18" s="324"/>
      <c r="Z18" s="324"/>
      <c r="AA18" s="324"/>
      <c r="AB18" s="324"/>
      <c r="AC18" s="324"/>
      <c r="AD18" s="324"/>
      <c r="AE18" s="324"/>
      <c r="AF18" s="324"/>
      <c r="AG18" s="324"/>
      <c r="AH18" s="324"/>
      <c r="AI18" s="324"/>
      <c r="AJ18" s="324"/>
      <c r="AK18" s="324"/>
      <c r="AL18" s="324"/>
      <c r="AM18" s="324"/>
    </row>
    <row r="19" spans="1:39">
      <c r="A19" s="449">
        <f t="shared" si="0"/>
        <v>1991</v>
      </c>
      <c r="B19" s="450" t="s">
        <v>1031</v>
      </c>
      <c r="C19" s="450" t="s">
        <v>1031</v>
      </c>
      <c r="D19" s="450" t="s">
        <v>1031</v>
      </c>
      <c r="E19" s="450" t="s">
        <v>1031</v>
      </c>
      <c r="F19" s="450" t="s">
        <v>1031</v>
      </c>
      <c r="G19" s="450" t="s">
        <v>1031</v>
      </c>
      <c r="H19" s="450" t="s">
        <v>1031</v>
      </c>
      <c r="I19" s="450" t="s">
        <v>1031</v>
      </c>
      <c r="J19" s="450" t="s">
        <v>1031</v>
      </c>
      <c r="K19" s="450" t="s">
        <v>1031</v>
      </c>
      <c r="L19" s="450" t="s">
        <v>1031</v>
      </c>
      <c r="M19" s="450" t="s">
        <v>1031</v>
      </c>
      <c r="N19" s="450" t="s">
        <v>1031</v>
      </c>
      <c r="O19" s="450" t="s">
        <v>1031</v>
      </c>
      <c r="P19" s="450" t="s">
        <v>1031</v>
      </c>
      <c r="Q19" s="450" t="s">
        <v>1031</v>
      </c>
      <c r="R19" s="450" t="s">
        <v>1031</v>
      </c>
      <c r="S19" s="450" t="s">
        <v>1031</v>
      </c>
      <c r="T19" s="450" t="s">
        <v>1031</v>
      </c>
      <c r="U19" s="324"/>
      <c r="V19" s="324"/>
      <c r="W19" s="324"/>
      <c r="X19" s="324"/>
      <c r="Y19" s="324"/>
      <c r="Z19" s="324"/>
      <c r="AA19" s="324"/>
      <c r="AB19" s="324"/>
      <c r="AC19" s="324"/>
      <c r="AD19" s="324"/>
      <c r="AE19" s="324"/>
      <c r="AF19" s="324"/>
      <c r="AG19" s="324"/>
      <c r="AH19" s="324"/>
      <c r="AI19" s="324"/>
      <c r="AJ19" s="324"/>
      <c r="AK19" s="324"/>
      <c r="AL19" s="324"/>
      <c r="AM19" s="324"/>
    </row>
    <row r="20" spans="1:39">
      <c r="A20" s="449">
        <f t="shared" si="0"/>
        <v>1992</v>
      </c>
      <c r="B20" s="450" t="s">
        <v>1031</v>
      </c>
      <c r="C20" s="450" t="s">
        <v>1031</v>
      </c>
      <c r="D20" s="450" t="s">
        <v>1031</v>
      </c>
      <c r="E20" s="450" t="s">
        <v>1031</v>
      </c>
      <c r="F20" s="450" t="s">
        <v>1031</v>
      </c>
      <c r="G20" s="450" t="s">
        <v>1031</v>
      </c>
      <c r="H20" s="450" t="s">
        <v>1031</v>
      </c>
      <c r="I20" s="450" t="s">
        <v>1031</v>
      </c>
      <c r="J20" s="450" t="s">
        <v>1031</v>
      </c>
      <c r="K20" s="450" t="s">
        <v>1031</v>
      </c>
      <c r="L20" s="450" t="s">
        <v>1031</v>
      </c>
      <c r="M20" s="450" t="s">
        <v>1031</v>
      </c>
      <c r="N20" s="450" t="s">
        <v>1031</v>
      </c>
      <c r="O20" s="450" t="s">
        <v>1031</v>
      </c>
      <c r="P20" s="450" t="s">
        <v>1031</v>
      </c>
      <c r="Q20" s="450" t="s">
        <v>1031</v>
      </c>
      <c r="R20" s="450" t="s">
        <v>1031</v>
      </c>
      <c r="S20" s="450" t="s">
        <v>1031</v>
      </c>
      <c r="T20" s="450">
        <v>7052287.3000000007</v>
      </c>
      <c r="U20" s="324"/>
      <c r="V20" s="324"/>
      <c r="W20" s="324"/>
      <c r="X20" s="324"/>
      <c r="Y20" s="324"/>
      <c r="Z20" s="324"/>
      <c r="AA20" s="324"/>
      <c r="AB20" s="324"/>
      <c r="AC20" s="324"/>
      <c r="AD20" s="324"/>
      <c r="AE20" s="324"/>
      <c r="AF20" s="324"/>
      <c r="AG20" s="324"/>
      <c r="AH20" s="324"/>
      <c r="AI20" s="324"/>
      <c r="AJ20" s="324"/>
      <c r="AK20" s="324"/>
      <c r="AL20" s="324"/>
      <c r="AM20" s="324"/>
    </row>
    <row r="21" spans="1:39">
      <c r="A21" s="449">
        <f t="shared" si="0"/>
        <v>1993</v>
      </c>
      <c r="B21" s="450" t="s">
        <v>1031</v>
      </c>
      <c r="C21" s="450" t="s">
        <v>1031</v>
      </c>
      <c r="D21" s="450" t="s">
        <v>1031</v>
      </c>
      <c r="E21" s="450" t="s">
        <v>1031</v>
      </c>
      <c r="F21" s="450" t="s">
        <v>1031</v>
      </c>
      <c r="G21" s="450" t="s">
        <v>1031</v>
      </c>
      <c r="H21" s="450" t="s">
        <v>1031</v>
      </c>
      <c r="I21" s="450" t="s">
        <v>1031</v>
      </c>
      <c r="J21" s="450" t="s">
        <v>1031</v>
      </c>
      <c r="K21" s="450" t="s">
        <v>1031</v>
      </c>
      <c r="L21" s="450" t="s">
        <v>1031</v>
      </c>
      <c r="M21" s="450" t="s">
        <v>1031</v>
      </c>
      <c r="N21" s="450" t="s">
        <v>1031</v>
      </c>
      <c r="O21" s="450" t="s">
        <v>1031</v>
      </c>
      <c r="P21" s="450" t="s">
        <v>1031</v>
      </c>
      <c r="Q21" s="450" t="s">
        <v>1031</v>
      </c>
      <c r="R21" s="450" t="s">
        <v>1031</v>
      </c>
      <c r="S21" s="450">
        <v>10595001</v>
      </c>
      <c r="T21" s="450">
        <v>10595001</v>
      </c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324"/>
      <c r="AF21" s="324"/>
      <c r="AG21" s="324"/>
      <c r="AH21" s="324"/>
      <c r="AI21" s="324"/>
      <c r="AJ21" s="324"/>
      <c r="AK21" s="324"/>
      <c r="AL21" s="324"/>
      <c r="AM21" s="324"/>
    </row>
    <row r="22" spans="1:39">
      <c r="A22" s="449">
        <f t="shared" si="0"/>
        <v>1994</v>
      </c>
      <c r="B22" s="450" t="s">
        <v>1031</v>
      </c>
      <c r="C22" s="450" t="s">
        <v>1031</v>
      </c>
      <c r="D22" s="450" t="s">
        <v>1031</v>
      </c>
      <c r="E22" s="450" t="s">
        <v>1031</v>
      </c>
      <c r="F22" s="450" t="s">
        <v>1031</v>
      </c>
      <c r="G22" s="450" t="s">
        <v>1031</v>
      </c>
      <c r="H22" s="450" t="s">
        <v>1031</v>
      </c>
      <c r="I22" s="450" t="s">
        <v>1031</v>
      </c>
      <c r="J22" s="450" t="s">
        <v>1031</v>
      </c>
      <c r="K22" s="450" t="s">
        <v>1031</v>
      </c>
      <c r="L22" s="450" t="s">
        <v>1031</v>
      </c>
      <c r="M22" s="450" t="s">
        <v>1031</v>
      </c>
      <c r="N22" s="450" t="s">
        <v>1031</v>
      </c>
      <c r="O22" s="450" t="s">
        <v>1031</v>
      </c>
      <c r="P22" s="450" t="s">
        <v>1031</v>
      </c>
      <c r="Q22" s="450" t="s">
        <v>1031</v>
      </c>
      <c r="R22" s="450">
        <v>9014361.5100000016</v>
      </c>
      <c r="S22" s="450">
        <v>9014361.5100000016</v>
      </c>
      <c r="T22" s="450">
        <v>9014361.5100000016</v>
      </c>
      <c r="U22" s="324"/>
      <c r="V22" s="324"/>
      <c r="W22" s="327"/>
      <c r="X22" s="324"/>
      <c r="Y22" s="324"/>
      <c r="Z22" s="324"/>
      <c r="AA22" s="324"/>
      <c r="AB22" s="324"/>
      <c r="AC22" s="324"/>
      <c r="AD22" s="324"/>
      <c r="AE22" s="324"/>
      <c r="AF22" s="324"/>
      <c r="AG22" s="324"/>
      <c r="AH22" s="324"/>
      <c r="AI22" s="324"/>
      <c r="AJ22" s="324"/>
      <c r="AK22" s="324"/>
      <c r="AL22" s="324"/>
      <c r="AM22" s="324"/>
    </row>
    <row r="23" spans="1:39">
      <c r="A23" s="449">
        <f t="shared" si="0"/>
        <v>1995</v>
      </c>
      <c r="B23" s="450" t="s">
        <v>1031</v>
      </c>
      <c r="C23" s="450" t="s">
        <v>1031</v>
      </c>
      <c r="D23" s="450" t="s">
        <v>1031</v>
      </c>
      <c r="E23" s="450" t="s">
        <v>1031</v>
      </c>
      <c r="F23" s="450" t="s">
        <v>1031</v>
      </c>
      <c r="G23" s="450" t="s">
        <v>1031</v>
      </c>
      <c r="H23" s="450" t="s">
        <v>1031</v>
      </c>
      <c r="I23" s="450" t="s">
        <v>1031</v>
      </c>
      <c r="J23" s="450" t="s">
        <v>1031</v>
      </c>
      <c r="K23" s="450" t="s">
        <v>1031</v>
      </c>
      <c r="L23" s="450" t="s">
        <v>1031</v>
      </c>
      <c r="M23" s="450" t="s">
        <v>1031</v>
      </c>
      <c r="N23" s="450" t="s">
        <v>1031</v>
      </c>
      <c r="O23" s="450" t="s">
        <v>1031</v>
      </c>
      <c r="P23" s="450" t="s">
        <v>1031</v>
      </c>
      <c r="Q23" s="450">
        <v>25408701.430000003</v>
      </c>
      <c r="R23" s="450">
        <v>25408701.430000003</v>
      </c>
      <c r="S23" s="450">
        <v>25408701.430000003</v>
      </c>
      <c r="T23" s="450">
        <v>25408701.430000003</v>
      </c>
      <c r="U23" s="324"/>
      <c r="V23" s="324"/>
      <c r="W23" s="327"/>
      <c r="X23" s="324"/>
      <c r="Y23" s="324"/>
      <c r="Z23" s="324"/>
      <c r="AA23" s="324"/>
      <c r="AB23" s="324"/>
      <c r="AC23" s="324"/>
      <c r="AD23" s="324"/>
      <c r="AE23" s="324"/>
      <c r="AF23" s="324"/>
      <c r="AG23" s="324"/>
      <c r="AH23" s="324"/>
      <c r="AI23" s="324"/>
      <c r="AJ23" s="324"/>
      <c r="AK23" s="324"/>
      <c r="AL23" s="324"/>
      <c r="AM23" s="324"/>
    </row>
    <row r="24" spans="1:39">
      <c r="A24" s="449">
        <f t="shared" si="0"/>
        <v>1996</v>
      </c>
      <c r="B24" s="450" t="s">
        <v>1031</v>
      </c>
      <c r="C24" s="450" t="s">
        <v>1031</v>
      </c>
      <c r="D24" s="450" t="s">
        <v>1031</v>
      </c>
      <c r="E24" s="450" t="s">
        <v>1031</v>
      </c>
      <c r="F24" s="450" t="s">
        <v>1031</v>
      </c>
      <c r="G24" s="450" t="s">
        <v>1031</v>
      </c>
      <c r="H24" s="450" t="s">
        <v>1031</v>
      </c>
      <c r="I24" s="450" t="s">
        <v>1031</v>
      </c>
      <c r="J24" s="450" t="s">
        <v>1031</v>
      </c>
      <c r="K24" s="450" t="s">
        <v>1031</v>
      </c>
      <c r="L24" s="450" t="s">
        <v>1031</v>
      </c>
      <c r="M24" s="450" t="s">
        <v>1031</v>
      </c>
      <c r="N24" s="450" t="s">
        <v>1031</v>
      </c>
      <c r="O24" s="450" t="s">
        <v>1031</v>
      </c>
      <c r="P24" s="450">
        <v>16532011</v>
      </c>
      <c r="Q24" s="450">
        <v>16532011</v>
      </c>
      <c r="R24" s="450">
        <v>16532011</v>
      </c>
      <c r="S24" s="450">
        <v>16532011</v>
      </c>
      <c r="T24" s="450">
        <v>16532011</v>
      </c>
      <c r="U24" s="324"/>
      <c r="V24" s="324"/>
      <c r="W24" s="327"/>
      <c r="X24" s="324"/>
      <c r="Y24" s="324"/>
      <c r="Z24" s="324"/>
      <c r="AA24" s="324"/>
      <c r="AB24" s="324"/>
      <c r="AC24" s="324"/>
      <c r="AD24" s="324"/>
      <c r="AE24" s="324"/>
      <c r="AF24" s="324"/>
      <c r="AG24" s="324"/>
      <c r="AH24" s="324"/>
      <c r="AI24" s="324"/>
      <c r="AJ24" s="324"/>
      <c r="AK24" s="324"/>
      <c r="AL24" s="324"/>
      <c r="AM24" s="324"/>
    </row>
    <row r="25" spans="1:39">
      <c r="A25" s="449">
        <f t="shared" si="0"/>
        <v>1997</v>
      </c>
      <c r="B25" s="450" t="s">
        <v>1031</v>
      </c>
      <c r="C25" s="450" t="s">
        <v>1031</v>
      </c>
      <c r="D25" s="450" t="s">
        <v>1031</v>
      </c>
      <c r="E25" s="450" t="s">
        <v>1031</v>
      </c>
      <c r="F25" s="450" t="s">
        <v>1031</v>
      </c>
      <c r="G25" s="450" t="s">
        <v>1031</v>
      </c>
      <c r="H25" s="450" t="s">
        <v>1031</v>
      </c>
      <c r="I25" s="450" t="s">
        <v>1031</v>
      </c>
      <c r="J25" s="450" t="s">
        <v>1031</v>
      </c>
      <c r="K25" s="450" t="s">
        <v>1031</v>
      </c>
      <c r="L25" s="450" t="s">
        <v>1031</v>
      </c>
      <c r="M25" s="450" t="s">
        <v>1031</v>
      </c>
      <c r="N25" s="450" t="s">
        <v>1031</v>
      </c>
      <c r="O25" s="450">
        <v>9461637.870000001</v>
      </c>
      <c r="P25" s="450">
        <v>9461637.870000001</v>
      </c>
      <c r="Q25" s="450">
        <v>9461637.870000001</v>
      </c>
      <c r="R25" s="450">
        <v>9461637.870000001</v>
      </c>
      <c r="S25" s="450">
        <v>9461637.870000001</v>
      </c>
      <c r="T25" s="450">
        <v>9461637.870000001</v>
      </c>
      <c r="U25" s="324"/>
      <c r="V25" s="324"/>
      <c r="W25" s="327"/>
      <c r="X25" s="324"/>
      <c r="Y25" s="324"/>
      <c r="Z25" s="324"/>
      <c r="AA25" s="324"/>
      <c r="AB25" s="324"/>
      <c r="AC25" s="324"/>
      <c r="AD25" s="324"/>
      <c r="AE25" s="324"/>
      <c r="AF25" s="324"/>
      <c r="AG25" s="324"/>
      <c r="AH25" s="324"/>
      <c r="AI25" s="324"/>
      <c r="AJ25" s="324"/>
      <c r="AK25" s="324"/>
      <c r="AL25" s="324"/>
      <c r="AM25" s="324"/>
    </row>
    <row r="26" spans="1:39">
      <c r="A26" s="449">
        <f t="shared" si="0"/>
        <v>1998</v>
      </c>
      <c r="B26" s="450" t="s">
        <v>1031</v>
      </c>
      <c r="C26" s="450" t="s">
        <v>1031</v>
      </c>
      <c r="D26" s="450" t="s">
        <v>1031</v>
      </c>
      <c r="E26" s="450" t="s">
        <v>1031</v>
      </c>
      <c r="F26" s="450" t="s">
        <v>1031</v>
      </c>
      <c r="G26" s="450" t="s">
        <v>1031</v>
      </c>
      <c r="H26" s="450" t="s">
        <v>1031</v>
      </c>
      <c r="I26" s="450" t="s">
        <v>1031</v>
      </c>
      <c r="J26" s="450" t="s">
        <v>1031</v>
      </c>
      <c r="K26" s="450" t="s">
        <v>1031</v>
      </c>
      <c r="L26" s="450" t="s">
        <v>1031</v>
      </c>
      <c r="M26" s="450" t="s">
        <v>1031</v>
      </c>
      <c r="N26" s="450">
        <v>25004267.689999998</v>
      </c>
      <c r="O26" s="450">
        <v>25004267.689999998</v>
      </c>
      <c r="P26" s="450">
        <v>25004267.689999998</v>
      </c>
      <c r="Q26" s="450">
        <v>25004267.689999998</v>
      </c>
      <c r="R26" s="450">
        <v>25004267.689999998</v>
      </c>
      <c r="S26" s="450">
        <v>25004267.689999998</v>
      </c>
      <c r="T26" s="450">
        <v>25004267.689999998</v>
      </c>
      <c r="U26" s="324"/>
      <c r="V26" s="324"/>
      <c r="W26" s="327"/>
      <c r="X26" s="324"/>
      <c r="Y26" s="324"/>
      <c r="Z26" s="324"/>
      <c r="AA26" s="324"/>
      <c r="AB26" s="324"/>
      <c r="AC26" s="324"/>
      <c r="AD26" s="324"/>
      <c r="AE26" s="324"/>
      <c r="AF26" s="324"/>
      <c r="AG26" s="324"/>
      <c r="AH26" s="324"/>
      <c r="AI26" s="324"/>
      <c r="AJ26" s="324"/>
      <c r="AK26" s="324"/>
      <c r="AL26" s="324"/>
      <c r="AM26" s="324"/>
    </row>
    <row r="27" spans="1:39">
      <c r="A27" s="449">
        <f t="shared" si="0"/>
        <v>1999</v>
      </c>
      <c r="B27" s="450" t="s">
        <v>1031</v>
      </c>
      <c r="C27" s="450" t="s">
        <v>1031</v>
      </c>
      <c r="D27" s="450" t="s">
        <v>1031</v>
      </c>
      <c r="E27" s="450" t="s">
        <v>1031</v>
      </c>
      <c r="F27" s="450" t="s">
        <v>1031</v>
      </c>
      <c r="G27" s="450" t="s">
        <v>1031</v>
      </c>
      <c r="H27" s="450" t="s">
        <v>1031</v>
      </c>
      <c r="I27" s="450" t="s">
        <v>1031</v>
      </c>
      <c r="J27" s="450" t="s">
        <v>1031</v>
      </c>
      <c r="K27" s="450" t="s">
        <v>1031</v>
      </c>
      <c r="L27" s="450" t="s">
        <v>1031</v>
      </c>
      <c r="M27" s="450">
        <v>19684000.000000004</v>
      </c>
      <c r="N27" s="450">
        <v>19684000.000000004</v>
      </c>
      <c r="O27" s="450">
        <v>19684000.000000004</v>
      </c>
      <c r="P27" s="450">
        <v>19684000.000000004</v>
      </c>
      <c r="Q27" s="450">
        <v>19684000.000000004</v>
      </c>
      <c r="R27" s="450">
        <v>19684000.000000004</v>
      </c>
      <c r="S27" s="450">
        <v>19684000.000000004</v>
      </c>
      <c r="T27" s="450">
        <v>19684000.000000004</v>
      </c>
      <c r="U27" s="324"/>
      <c r="V27" s="324"/>
      <c r="W27" s="327"/>
      <c r="X27" s="324"/>
      <c r="Y27" s="324"/>
      <c r="Z27" s="324"/>
      <c r="AA27" s="324"/>
      <c r="AB27" s="324"/>
      <c r="AC27" s="324"/>
      <c r="AD27" s="324"/>
      <c r="AE27" s="324"/>
      <c r="AF27" s="324"/>
      <c r="AG27" s="324"/>
      <c r="AH27" s="324"/>
      <c r="AI27" s="324"/>
      <c r="AJ27" s="324"/>
      <c r="AK27" s="324"/>
      <c r="AL27" s="324"/>
      <c r="AM27" s="324"/>
    </row>
    <row r="28" spans="1:39">
      <c r="A28" s="449">
        <f t="shared" si="0"/>
        <v>2000</v>
      </c>
      <c r="B28" s="450" t="s">
        <v>1031</v>
      </c>
      <c r="C28" s="450" t="s">
        <v>1031</v>
      </c>
      <c r="D28" s="450" t="s">
        <v>1031</v>
      </c>
      <c r="E28" s="450" t="s">
        <v>1031</v>
      </c>
      <c r="F28" s="450" t="s">
        <v>1031</v>
      </c>
      <c r="G28" s="450" t="s">
        <v>1031</v>
      </c>
      <c r="H28" s="450" t="s">
        <v>1031</v>
      </c>
      <c r="I28" s="450" t="s">
        <v>1031</v>
      </c>
      <c r="J28" s="450" t="s">
        <v>1031</v>
      </c>
      <c r="K28" s="450" t="s">
        <v>1031</v>
      </c>
      <c r="L28" s="450">
        <v>16115000</v>
      </c>
      <c r="M28" s="450">
        <v>16115000</v>
      </c>
      <c r="N28" s="450">
        <v>16115000</v>
      </c>
      <c r="O28" s="450">
        <v>16115000</v>
      </c>
      <c r="P28" s="450">
        <v>16115000</v>
      </c>
      <c r="Q28" s="450">
        <v>16115000</v>
      </c>
      <c r="R28" s="450">
        <v>16115000</v>
      </c>
      <c r="S28" s="450">
        <v>16115000</v>
      </c>
      <c r="T28" s="450">
        <v>16115000</v>
      </c>
      <c r="U28" s="324"/>
      <c r="V28" s="324"/>
      <c r="W28" s="327"/>
      <c r="X28" s="324"/>
      <c r="Y28" s="324"/>
      <c r="Z28" s="324"/>
      <c r="AA28" s="324"/>
      <c r="AB28" s="324"/>
      <c r="AC28" s="324"/>
      <c r="AD28" s="324"/>
      <c r="AE28" s="324"/>
      <c r="AF28" s="324"/>
      <c r="AG28" s="324"/>
      <c r="AH28" s="324"/>
      <c r="AI28" s="324"/>
      <c r="AJ28" s="324"/>
      <c r="AK28" s="324"/>
      <c r="AL28" s="324"/>
      <c r="AM28" s="324"/>
    </row>
    <row r="29" spans="1:39">
      <c r="A29" s="449">
        <f t="shared" si="0"/>
        <v>2001</v>
      </c>
      <c r="B29" s="450" t="s">
        <v>1031</v>
      </c>
      <c r="C29" s="450" t="s">
        <v>1031</v>
      </c>
      <c r="D29" s="450" t="s">
        <v>1031</v>
      </c>
      <c r="E29" s="450" t="s">
        <v>1031</v>
      </c>
      <c r="F29" s="450" t="s">
        <v>1031</v>
      </c>
      <c r="G29" s="450" t="s">
        <v>1031</v>
      </c>
      <c r="H29" s="450" t="s">
        <v>1031</v>
      </c>
      <c r="I29" s="450" t="s">
        <v>1031</v>
      </c>
      <c r="J29" s="450" t="s">
        <v>1031</v>
      </c>
      <c r="K29" s="450">
        <v>12117167</v>
      </c>
      <c r="L29" s="450">
        <v>12117167</v>
      </c>
      <c r="M29" s="450">
        <v>12117167</v>
      </c>
      <c r="N29" s="450">
        <v>12117167</v>
      </c>
      <c r="O29" s="450">
        <v>12117167</v>
      </c>
      <c r="P29" s="450">
        <v>12117167</v>
      </c>
      <c r="Q29" s="450">
        <v>12117167</v>
      </c>
      <c r="R29" s="450">
        <v>12117167</v>
      </c>
      <c r="S29" s="450">
        <v>12117167</v>
      </c>
      <c r="T29" s="450">
        <v>12117167</v>
      </c>
      <c r="U29" s="324"/>
      <c r="V29" s="324"/>
      <c r="W29" s="327"/>
      <c r="X29" s="324"/>
      <c r="Y29" s="324"/>
      <c r="Z29" s="324"/>
      <c r="AA29" s="324"/>
      <c r="AB29" s="324"/>
      <c r="AC29" s="324"/>
      <c r="AD29" s="324"/>
      <c r="AE29" s="324"/>
      <c r="AF29" s="324"/>
      <c r="AG29" s="324"/>
      <c r="AH29" s="324"/>
      <c r="AI29" s="324"/>
      <c r="AJ29" s="324"/>
      <c r="AK29" s="324"/>
      <c r="AL29" s="324"/>
      <c r="AM29" s="324"/>
    </row>
    <row r="30" spans="1:39">
      <c r="A30" s="449">
        <f t="shared" si="0"/>
        <v>2002</v>
      </c>
      <c r="B30" s="450" t="s">
        <v>1031</v>
      </c>
      <c r="C30" s="450" t="s">
        <v>1031</v>
      </c>
      <c r="D30" s="450" t="s">
        <v>1031</v>
      </c>
      <c r="E30" s="450" t="s">
        <v>1031</v>
      </c>
      <c r="F30" s="450" t="s">
        <v>1031</v>
      </c>
      <c r="G30" s="450" t="s">
        <v>1031</v>
      </c>
      <c r="H30" s="450" t="s">
        <v>1031</v>
      </c>
      <c r="I30" s="450" t="s">
        <v>1031</v>
      </c>
      <c r="J30" s="450">
        <v>13183262.23</v>
      </c>
      <c r="K30" s="450">
        <v>13183262.23</v>
      </c>
      <c r="L30" s="450">
        <v>13183262.23</v>
      </c>
      <c r="M30" s="450">
        <v>13183262.23</v>
      </c>
      <c r="N30" s="450">
        <v>13183262.23</v>
      </c>
      <c r="O30" s="450">
        <v>14183262.23</v>
      </c>
      <c r="P30" s="450">
        <v>14183262.23</v>
      </c>
      <c r="Q30" s="450">
        <v>14183262.23</v>
      </c>
      <c r="R30" s="450">
        <v>14183262.23</v>
      </c>
      <c r="S30" s="450">
        <v>14183262.23</v>
      </c>
      <c r="T30" s="450">
        <v>14183262.23</v>
      </c>
      <c r="U30" s="324"/>
      <c r="V30" s="324"/>
      <c r="W30" s="327"/>
      <c r="X30" s="324"/>
      <c r="Y30" s="324"/>
      <c r="Z30" s="324"/>
      <c r="AA30" s="324"/>
      <c r="AB30" s="324"/>
      <c r="AC30" s="324"/>
      <c r="AD30" s="324"/>
      <c r="AE30" s="324"/>
      <c r="AF30" s="324"/>
      <c r="AG30" s="324"/>
      <c r="AH30" s="324"/>
      <c r="AI30" s="324"/>
      <c r="AJ30" s="324"/>
      <c r="AK30" s="324"/>
      <c r="AL30" s="324"/>
      <c r="AM30" s="324"/>
    </row>
    <row r="31" spans="1:39">
      <c r="A31" s="449">
        <f t="shared" si="0"/>
        <v>2003</v>
      </c>
      <c r="B31" s="450" t="s">
        <v>1031</v>
      </c>
      <c r="C31" s="450" t="s">
        <v>1031</v>
      </c>
      <c r="D31" s="450" t="s">
        <v>1031</v>
      </c>
      <c r="E31" s="450" t="s">
        <v>1031</v>
      </c>
      <c r="F31" s="450" t="s">
        <v>1031</v>
      </c>
      <c r="G31" s="450" t="s">
        <v>1031</v>
      </c>
      <c r="H31" s="450" t="s">
        <v>1031</v>
      </c>
      <c r="I31" s="450">
        <v>16739999.999999998</v>
      </c>
      <c r="J31" s="450">
        <v>15739999.999999998</v>
      </c>
      <c r="K31" s="450">
        <v>15539999.999999998</v>
      </c>
      <c r="L31" s="450">
        <v>15539999.999999998</v>
      </c>
      <c r="M31" s="450">
        <v>15539999.999999998</v>
      </c>
      <c r="N31" s="450">
        <v>15539999.999999998</v>
      </c>
      <c r="O31" s="450">
        <v>15539999.999999998</v>
      </c>
      <c r="P31" s="450">
        <v>15539999.999999998</v>
      </c>
      <c r="Q31" s="450">
        <v>15539999.999999998</v>
      </c>
      <c r="R31" s="450">
        <v>15539999.999999998</v>
      </c>
      <c r="S31" s="450">
        <v>15540000.000000004</v>
      </c>
      <c r="T31" s="450">
        <v>15540000.000000004</v>
      </c>
      <c r="U31" s="324"/>
      <c r="V31" s="324"/>
      <c r="W31" s="327"/>
      <c r="X31" s="324"/>
      <c r="Y31" s="324"/>
      <c r="Z31" s="324"/>
      <c r="AA31" s="324"/>
      <c r="AB31" s="324"/>
      <c r="AC31" s="324"/>
      <c r="AD31" s="324"/>
      <c r="AE31" s="324"/>
      <c r="AF31" s="324"/>
      <c r="AG31" s="324"/>
      <c r="AH31" s="324"/>
      <c r="AI31" s="324"/>
      <c r="AJ31" s="324"/>
      <c r="AK31" s="324"/>
      <c r="AL31" s="324"/>
      <c r="AM31" s="324"/>
    </row>
    <row r="32" spans="1:39">
      <c r="A32" s="449">
        <f t="shared" si="0"/>
        <v>2004</v>
      </c>
      <c r="B32" s="450" t="s">
        <v>1031</v>
      </c>
      <c r="C32" s="450" t="s">
        <v>1031</v>
      </c>
      <c r="D32" s="450" t="s">
        <v>1031</v>
      </c>
      <c r="E32" s="450" t="s">
        <v>1031</v>
      </c>
      <c r="F32" s="450" t="s">
        <v>1031</v>
      </c>
      <c r="G32" s="450" t="s">
        <v>1031</v>
      </c>
      <c r="H32" s="450">
        <v>6225000</v>
      </c>
      <c r="I32" s="450">
        <v>6225000</v>
      </c>
      <c r="J32" s="450">
        <v>6225000</v>
      </c>
      <c r="K32" s="450">
        <v>6225000</v>
      </c>
      <c r="L32" s="450">
        <v>6225000</v>
      </c>
      <c r="M32" s="450">
        <v>6225000</v>
      </c>
      <c r="N32" s="450">
        <v>6225000</v>
      </c>
      <c r="O32" s="450">
        <v>6225000</v>
      </c>
      <c r="P32" s="450">
        <v>6225000</v>
      </c>
      <c r="Q32" s="450">
        <v>6225000</v>
      </c>
      <c r="R32" s="450">
        <v>6224999.9999999981</v>
      </c>
      <c r="S32" s="450">
        <v>6224999.9999999981</v>
      </c>
      <c r="T32" s="451">
        <v>3799999.9999999981</v>
      </c>
      <c r="V32" s="324"/>
      <c r="W32" s="327"/>
      <c r="X32" s="324"/>
      <c r="Y32" s="324"/>
      <c r="Z32" s="324"/>
      <c r="AA32" s="324"/>
      <c r="AB32" s="324"/>
      <c r="AC32" s="324"/>
      <c r="AD32" s="324"/>
      <c r="AE32" s="324"/>
      <c r="AF32" s="324"/>
      <c r="AG32" s="324"/>
      <c r="AH32" s="324"/>
      <c r="AI32" s="324"/>
      <c r="AJ32" s="324"/>
      <c r="AK32" s="324"/>
      <c r="AL32" s="324"/>
      <c r="AM32" s="324"/>
    </row>
    <row r="33" spans="1:39">
      <c r="A33" s="449">
        <f t="shared" si="0"/>
        <v>2005</v>
      </c>
      <c r="B33" s="450" t="s">
        <v>1031</v>
      </c>
      <c r="C33" s="450" t="s">
        <v>1031</v>
      </c>
      <c r="D33" s="450" t="s">
        <v>1031</v>
      </c>
      <c r="E33" s="450" t="s">
        <v>1031</v>
      </c>
      <c r="F33" s="450" t="s">
        <v>1031</v>
      </c>
      <c r="G33" s="450">
        <v>6114999.9999999981</v>
      </c>
      <c r="H33" s="450">
        <v>5364999.9999999981</v>
      </c>
      <c r="I33" s="450">
        <v>5264999.9999999981</v>
      </c>
      <c r="J33" s="450">
        <v>5015000.0000000019</v>
      </c>
      <c r="K33" s="450">
        <v>5015000.0000000019</v>
      </c>
      <c r="L33" s="450">
        <v>5015000.0000000019</v>
      </c>
      <c r="M33" s="450">
        <v>5015000.0000000019</v>
      </c>
      <c r="N33" s="450">
        <v>5015000.0000000019</v>
      </c>
      <c r="O33" s="450">
        <v>5015000.0000000019</v>
      </c>
      <c r="P33" s="450">
        <v>5015000.0000000019</v>
      </c>
      <c r="Q33" s="450">
        <v>5015000</v>
      </c>
      <c r="R33" s="450">
        <v>5015000</v>
      </c>
      <c r="S33" s="451">
        <v>4815000</v>
      </c>
      <c r="T33" s="450"/>
      <c r="V33" s="324"/>
      <c r="W33" s="327"/>
      <c r="X33" s="324"/>
      <c r="Y33" s="324"/>
      <c r="Z33" s="324"/>
      <c r="AA33" s="324"/>
      <c r="AB33" s="324"/>
      <c r="AC33" s="324"/>
      <c r="AD33" s="324"/>
      <c r="AE33" s="324"/>
      <c r="AF33" s="324"/>
      <c r="AG33" s="324"/>
      <c r="AH33" s="324"/>
      <c r="AI33" s="324"/>
      <c r="AJ33" s="324"/>
      <c r="AK33" s="324"/>
      <c r="AL33" s="324"/>
      <c r="AM33" s="324"/>
    </row>
    <row r="34" spans="1:39">
      <c r="A34" s="449">
        <f t="shared" si="0"/>
        <v>2006</v>
      </c>
      <c r="B34" s="450" t="s">
        <v>1031</v>
      </c>
      <c r="C34" s="450" t="s">
        <v>1031</v>
      </c>
      <c r="D34" s="450" t="s">
        <v>1031</v>
      </c>
      <c r="E34" s="450" t="s">
        <v>1031</v>
      </c>
      <c r="F34" s="450">
        <v>6525000.0000000019</v>
      </c>
      <c r="G34" s="450">
        <v>6575000.0000000019</v>
      </c>
      <c r="H34" s="450">
        <v>6125000.0000000019</v>
      </c>
      <c r="I34" s="450">
        <v>6075000.0000000019</v>
      </c>
      <c r="J34" s="450">
        <v>6075000.0000000019</v>
      </c>
      <c r="K34" s="450">
        <v>5825000</v>
      </c>
      <c r="L34" s="450">
        <v>5825000</v>
      </c>
      <c r="M34" s="450">
        <v>5825000</v>
      </c>
      <c r="N34" s="450">
        <v>5825000</v>
      </c>
      <c r="O34" s="450">
        <v>5825000</v>
      </c>
      <c r="P34" s="450">
        <v>5825000</v>
      </c>
      <c r="Q34" s="450">
        <v>5825000</v>
      </c>
      <c r="R34" s="451">
        <v>4824999.9999999981</v>
      </c>
      <c r="S34" s="450"/>
      <c r="T34" s="450"/>
      <c r="V34" s="324"/>
      <c r="W34" s="327"/>
      <c r="X34" s="324"/>
      <c r="Y34" s="324"/>
      <c r="Z34" s="324"/>
      <c r="AA34" s="324"/>
      <c r="AB34" s="324"/>
      <c r="AC34" s="324"/>
      <c r="AD34" s="324"/>
      <c r="AE34" s="324"/>
      <c r="AF34" s="324"/>
      <c r="AG34" s="324"/>
      <c r="AH34" s="324"/>
      <c r="AI34" s="324"/>
      <c r="AJ34" s="324"/>
      <c r="AK34" s="324"/>
      <c r="AL34" s="324"/>
      <c r="AM34" s="324"/>
    </row>
    <row r="35" spans="1:39">
      <c r="A35" s="449">
        <f t="shared" si="0"/>
        <v>2007</v>
      </c>
      <c r="B35" s="450" t="s">
        <v>1031</v>
      </c>
      <c r="C35" s="450" t="s">
        <v>1031</v>
      </c>
      <c r="D35" s="450" t="s">
        <v>1031</v>
      </c>
      <c r="E35" s="450">
        <v>8959000.0000000019</v>
      </c>
      <c r="F35" s="450">
        <v>6910000.0000000019</v>
      </c>
      <c r="G35" s="450">
        <v>6495000.0000000019</v>
      </c>
      <c r="H35" s="450">
        <v>6345000.0000000019</v>
      </c>
      <c r="I35" s="450">
        <v>4845000</v>
      </c>
      <c r="J35" s="450">
        <v>4845000</v>
      </c>
      <c r="K35" s="450">
        <v>4845000</v>
      </c>
      <c r="L35" s="450">
        <v>4845000</v>
      </c>
      <c r="M35" s="450">
        <v>4845000</v>
      </c>
      <c r="N35" s="450">
        <v>4845000</v>
      </c>
      <c r="O35" s="450">
        <v>4845000</v>
      </c>
      <c r="P35" s="450">
        <v>4845000</v>
      </c>
      <c r="Q35" s="451">
        <v>3945000</v>
      </c>
      <c r="R35" s="450"/>
      <c r="S35" s="450"/>
      <c r="T35" s="450"/>
      <c r="V35" s="324"/>
      <c r="W35" s="327"/>
      <c r="X35" s="324"/>
      <c r="Y35" s="324"/>
      <c r="Z35" s="324"/>
      <c r="AA35" s="324"/>
      <c r="AB35" s="324"/>
      <c r="AC35" s="324"/>
      <c r="AD35" s="324"/>
      <c r="AE35" s="324"/>
      <c r="AF35" s="324"/>
      <c r="AG35" s="324"/>
      <c r="AH35" s="324"/>
      <c r="AI35" s="324"/>
      <c r="AJ35" s="324"/>
      <c r="AK35" s="324"/>
      <c r="AL35" s="324"/>
      <c r="AM35" s="324"/>
    </row>
    <row r="36" spans="1:39">
      <c r="A36" s="449">
        <f t="shared" si="0"/>
        <v>2008</v>
      </c>
      <c r="B36" s="450" t="s">
        <v>1031</v>
      </c>
      <c r="C36" s="450" t="s">
        <v>1031</v>
      </c>
      <c r="D36" s="450">
        <v>5575000.0000000019</v>
      </c>
      <c r="E36" s="450">
        <v>7095000.0000000019</v>
      </c>
      <c r="F36" s="450">
        <v>8815000.0000000019</v>
      </c>
      <c r="G36" s="450">
        <v>7265000</v>
      </c>
      <c r="H36" s="450">
        <v>5865000</v>
      </c>
      <c r="I36" s="450">
        <v>5865000</v>
      </c>
      <c r="J36" s="450">
        <v>5865000</v>
      </c>
      <c r="K36" s="450">
        <v>5865000</v>
      </c>
      <c r="L36" s="450">
        <v>5865000</v>
      </c>
      <c r="M36" s="450">
        <v>6015000</v>
      </c>
      <c r="N36" s="450">
        <v>6014999.9999999981</v>
      </c>
      <c r="O36" s="450">
        <v>6014999.9999999981</v>
      </c>
      <c r="P36" s="451">
        <v>5714999.9999999981</v>
      </c>
      <c r="Q36" s="450"/>
      <c r="R36" s="450"/>
      <c r="S36" s="450"/>
      <c r="T36" s="450"/>
      <c r="V36" s="324"/>
      <c r="W36" s="327"/>
      <c r="X36" s="324"/>
      <c r="Y36" s="324"/>
      <c r="Z36" s="324"/>
      <c r="AA36" s="324"/>
      <c r="AB36" s="324"/>
      <c r="AC36" s="324"/>
      <c r="AD36" s="324"/>
      <c r="AE36" s="324"/>
      <c r="AF36" s="324"/>
      <c r="AG36" s="324"/>
      <c r="AH36" s="324"/>
      <c r="AI36" s="324"/>
      <c r="AJ36" s="324"/>
      <c r="AK36" s="324"/>
      <c r="AL36" s="324"/>
      <c r="AM36" s="324"/>
    </row>
    <row r="37" spans="1:39">
      <c r="A37" s="449">
        <f t="shared" si="0"/>
        <v>2009</v>
      </c>
      <c r="B37" s="450" t="s">
        <v>1031</v>
      </c>
      <c r="C37" s="450">
        <v>2630000</v>
      </c>
      <c r="D37" s="450">
        <v>3605000</v>
      </c>
      <c r="E37" s="450">
        <v>5675000</v>
      </c>
      <c r="F37" s="450">
        <v>5575000</v>
      </c>
      <c r="G37" s="450">
        <v>5885000</v>
      </c>
      <c r="H37" s="450">
        <v>6385000</v>
      </c>
      <c r="I37" s="450">
        <v>6335000</v>
      </c>
      <c r="J37" s="450">
        <v>6335000</v>
      </c>
      <c r="K37" s="450">
        <v>6335000</v>
      </c>
      <c r="L37" s="450">
        <v>6335000</v>
      </c>
      <c r="M37" s="450">
        <v>6335000.0000000019</v>
      </c>
      <c r="N37" s="450">
        <v>6335000.0000000019</v>
      </c>
      <c r="O37" s="451">
        <v>4160000.0000000019</v>
      </c>
      <c r="P37" s="450"/>
      <c r="Q37" s="450"/>
      <c r="R37" s="450"/>
      <c r="S37" s="450"/>
      <c r="T37" s="450"/>
      <c r="V37" s="324"/>
      <c r="W37" s="327"/>
      <c r="X37" s="324"/>
      <c r="Y37" s="324"/>
      <c r="Z37" s="324"/>
      <c r="AA37" s="324"/>
      <c r="AB37" s="324"/>
      <c r="AC37" s="324"/>
      <c r="AD37" s="324"/>
      <c r="AE37" s="324"/>
      <c r="AF37" s="324"/>
      <c r="AG37" s="324"/>
      <c r="AH37" s="324"/>
      <c r="AI37" s="324"/>
      <c r="AJ37" s="324"/>
      <c r="AK37" s="324"/>
      <c r="AL37" s="324"/>
      <c r="AM37" s="324"/>
    </row>
    <row r="38" spans="1:39">
      <c r="A38" s="449">
        <f t="shared" si="0"/>
        <v>2010</v>
      </c>
      <c r="B38" s="450">
        <v>500000</v>
      </c>
      <c r="C38" s="450">
        <v>2349999.9999999991</v>
      </c>
      <c r="D38" s="450">
        <v>6905000</v>
      </c>
      <c r="E38" s="450">
        <v>7305000</v>
      </c>
      <c r="F38" s="450">
        <v>9462500</v>
      </c>
      <c r="G38" s="450">
        <v>9112500</v>
      </c>
      <c r="H38" s="450">
        <v>8462500</v>
      </c>
      <c r="I38" s="450">
        <v>8462500</v>
      </c>
      <c r="J38" s="450">
        <v>8462500</v>
      </c>
      <c r="K38" s="450">
        <v>8462500</v>
      </c>
      <c r="L38" s="450">
        <v>8462500</v>
      </c>
      <c r="M38" s="450">
        <v>8462500</v>
      </c>
      <c r="N38" s="451">
        <v>6212500</v>
      </c>
      <c r="O38" s="450"/>
      <c r="P38" s="450"/>
      <c r="Q38" s="450"/>
      <c r="R38" s="450"/>
      <c r="S38" s="450"/>
      <c r="T38" s="450"/>
      <c r="V38" s="324"/>
      <c r="W38" s="327"/>
      <c r="X38" s="324"/>
      <c r="Y38" s="324"/>
      <c r="Z38" s="324"/>
      <c r="AA38" s="324"/>
      <c r="AB38" s="324"/>
      <c r="AC38" s="324"/>
      <c r="AD38" s="324"/>
      <c r="AE38" s="324"/>
      <c r="AF38" s="324"/>
      <c r="AG38" s="324"/>
      <c r="AH38" s="324"/>
      <c r="AI38" s="324"/>
      <c r="AJ38" s="324"/>
      <c r="AK38" s="324"/>
      <c r="AL38" s="324"/>
      <c r="AM38" s="324"/>
    </row>
    <row r="39" spans="1:39">
      <c r="A39" s="449">
        <f t="shared" si="0"/>
        <v>2011</v>
      </c>
      <c r="B39" s="450">
        <v>0</v>
      </c>
      <c r="C39" s="450">
        <v>500000</v>
      </c>
      <c r="D39" s="450">
        <v>4049999.9999999991</v>
      </c>
      <c r="E39" s="450">
        <v>3200000</v>
      </c>
      <c r="F39" s="450">
        <v>6414500</v>
      </c>
      <c r="G39" s="450">
        <v>6964500</v>
      </c>
      <c r="H39" s="450">
        <v>7214500</v>
      </c>
      <c r="I39" s="450">
        <v>7214500</v>
      </c>
      <c r="J39" s="450">
        <v>7214500</v>
      </c>
      <c r="K39" s="450">
        <v>7214499.9999999981</v>
      </c>
      <c r="L39" s="450">
        <v>7214499.9999999981</v>
      </c>
      <c r="M39" s="451">
        <v>3887500</v>
      </c>
      <c r="N39" s="450"/>
      <c r="O39" s="450"/>
      <c r="P39" s="450"/>
      <c r="Q39" s="450"/>
      <c r="R39" s="450"/>
      <c r="S39" s="450"/>
      <c r="T39" s="450"/>
      <c r="V39" s="324"/>
      <c r="W39" s="327"/>
      <c r="X39" s="324"/>
      <c r="Y39" s="324"/>
      <c r="Z39" s="324"/>
      <c r="AA39" s="324"/>
      <c r="AB39" s="324"/>
      <c r="AC39" s="324"/>
      <c r="AD39" s="324"/>
      <c r="AE39" s="324"/>
      <c r="AF39" s="324"/>
      <c r="AG39" s="324"/>
      <c r="AH39" s="324"/>
      <c r="AI39" s="324"/>
      <c r="AJ39" s="324"/>
      <c r="AK39" s="324"/>
      <c r="AL39" s="324"/>
      <c r="AM39" s="324"/>
    </row>
    <row r="40" spans="1:39">
      <c r="A40" s="449">
        <f t="shared" si="0"/>
        <v>2012</v>
      </c>
      <c r="B40" s="450">
        <v>0</v>
      </c>
      <c r="C40" s="450">
        <v>0</v>
      </c>
      <c r="D40" s="450">
        <v>2895000</v>
      </c>
      <c r="E40" s="450">
        <v>2695000</v>
      </c>
      <c r="F40" s="450">
        <v>3395000</v>
      </c>
      <c r="G40" s="450">
        <v>9895000.0000000019</v>
      </c>
      <c r="H40" s="450">
        <v>9495000.0000000019</v>
      </c>
      <c r="I40" s="450">
        <v>9495000.0000000019</v>
      </c>
      <c r="J40" s="450">
        <v>9495000</v>
      </c>
      <c r="K40" s="450">
        <v>9894999.6700000018</v>
      </c>
      <c r="L40" s="451">
        <v>3394999.6700000018</v>
      </c>
      <c r="M40" s="450"/>
      <c r="N40" s="450"/>
      <c r="O40" s="450"/>
      <c r="P40" s="450"/>
      <c r="Q40" s="450"/>
      <c r="R40" s="450"/>
      <c r="S40" s="450"/>
      <c r="T40" s="450"/>
      <c r="V40" s="324"/>
      <c r="W40" s="327"/>
      <c r="X40" s="324"/>
      <c r="Y40" s="324"/>
      <c r="Z40" s="324"/>
      <c r="AA40" s="324"/>
      <c r="AB40" s="324"/>
      <c r="AC40" s="324"/>
      <c r="AD40" s="324"/>
      <c r="AE40" s="324"/>
      <c r="AF40" s="324"/>
      <c r="AG40" s="324"/>
      <c r="AH40" s="324"/>
      <c r="AI40" s="324"/>
      <c r="AJ40" s="324"/>
      <c r="AK40" s="324"/>
      <c r="AL40" s="324"/>
      <c r="AM40" s="324"/>
    </row>
    <row r="41" spans="1:39">
      <c r="A41" s="449">
        <f t="shared" si="0"/>
        <v>2013</v>
      </c>
      <c r="B41" s="450">
        <v>500000.00000000023</v>
      </c>
      <c r="C41" s="450">
        <v>500000</v>
      </c>
      <c r="D41" s="450">
        <v>2900000</v>
      </c>
      <c r="E41" s="450">
        <v>3175000</v>
      </c>
      <c r="F41" s="450">
        <v>5390000</v>
      </c>
      <c r="G41" s="450">
        <v>8889999.9999999981</v>
      </c>
      <c r="H41" s="450">
        <v>10089999.999999998</v>
      </c>
      <c r="I41" s="450">
        <v>10089999.999999998</v>
      </c>
      <c r="J41" s="450">
        <v>10090000.000000002</v>
      </c>
      <c r="K41" s="451">
        <v>4590000.0000000019</v>
      </c>
      <c r="L41" s="450"/>
      <c r="M41" s="450"/>
      <c r="N41" s="450"/>
      <c r="O41" s="450"/>
      <c r="P41" s="450"/>
      <c r="Q41" s="450"/>
      <c r="R41" s="450"/>
      <c r="S41" s="450"/>
      <c r="T41" s="450"/>
      <c r="V41" s="324"/>
      <c r="W41" s="327"/>
      <c r="X41" s="324"/>
      <c r="Y41" s="324"/>
      <c r="Z41" s="324"/>
      <c r="AA41" s="324"/>
      <c r="AB41" s="324"/>
      <c r="AC41" s="324"/>
      <c r="AD41" s="324"/>
      <c r="AE41" s="324"/>
      <c r="AF41" s="324"/>
      <c r="AG41" s="324"/>
      <c r="AH41" s="324"/>
      <c r="AI41" s="324"/>
      <c r="AJ41" s="324"/>
      <c r="AK41" s="324"/>
      <c r="AL41" s="324"/>
      <c r="AM41" s="324"/>
    </row>
    <row r="42" spans="1:39">
      <c r="A42" s="449">
        <f t="shared" si="0"/>
        <v>2014</v>
      </c>
      <c r="B42" s="450">
        <v>0</v>
      </c>
      <c r="C42" s="450">
        <v>777700</v>
      </c>
      <c r="D42" s="450">
        <v>1277700</v>
      </c>
      <c r="E42" s="450">
        <v>1500000.0000000009</v>
      </c>
      <c r="F42" s="450">
        <v>3985000.0000000009</v>
      </c>
      <c r="G42" s="450">
        <v>4985000</v>
      </c>
      <c r="H42" s="450">
        <v>4285000</v>
      </c>
      <c r="I42" s="450">
        <v>4285000.0000000019</v>
      </c>
      <c r="J42" s="451">
        <v>4285000.0000000019</v>
      </c>
      <c r="K42" s="450"/>
      <c r="L42" s="450"/>
      <c r="M42" s="450"/>
      <c r="N42" s="450"/>
      <c r="O42" s="450"/>
      <c r="P42" s="450"/>
      <c r="Q42" s="450"/>
      <c r="R42" s="450"/>
      <c r="S42" s="450"/>
      <c r="T42" s="450"/>
      <c r="V42" s="324"/>
      <c r="W42" s="327"/>
      <c r="X42" s="324"/>
      <c r="Y42" s="324"/>
      <c r="Z42" s="324"/>
      <c r="AA42" s="324"/>
      <c r="AB42" s="324"/>
      <c r="AC42" s="324"/>
      <c r="AD42" s="324"/>
      <c r="AE42" s="324"/>
      <c r="AF42" s="324"/>
      <c r="AG42" s="324"/>
      <c r="AH42" s="324"/>
      <c r="AI42" s="324"/>
      <c r="AJ42" s="324"/>
      <c r="AK42" s="324"/>
      <c r="AL42" s="324"/>
      <c r="AM42" s="324"/>
    </row>
    <row r="43" spans="1:39">
      <c r="A43" s="449">
        <f t="shared" si="0"/>
        <v>2015</v>
      </c>
      <c r="B43" s="450">
        <v>0</v>
      </c>
      <c r="C43" s="450">
        <v>2500000</v>
      </c>
      <c r="D43" s="450">
        <v>5925000</v>
      </c>
      <c r="E43" s="450">
        <v>7200000</v>
      </c>
      <c r="F43" s="450">
        <v>7075000</v>
      </c>
      <c r="G43" s="450">
        <v>7425000</v>
      </c>
      <c r="H43" s="450">
        <v>7425000</v>
      </c>
      <c r="I43" s="451">
        <v>6375000</v>
      </c>
      <c r="J43" s="450"/>
      <c r="K43" s="450"/>
      <c r="L43" s="450"/>
      <c r="M43" s="450"/>
      <c r="N43" s="450"/>
      <c r="O43" s="450"/>
      <c r="P43" s="450"/>
      <c r="Q43" s="450"/>
      <c r="R43" s="450"/>
      <c r="S43" s="450"/>
      <c r="T43" s="450"/>
      <c r="V43" s="324"/>
      <c r="W43" s="327"/>
      <c r="X43" s="324"/>
      <c r="Y43" s="324"/>
      <c r="Z43" s="324"/>
      <c r="AA43" s="324"/>
      <c r="AB43" s="324"/>
      <c r="AC43" s="324"/>
      <c r="AD43" s="324"/>
      <c r="AE43" s="324"/>
      <c r="AF43" s="324"/>
      <c r="AG43" s="324"/>
      <c r="AH43" s="324"/>
      <c r="AI43" s="324"/>
      <c r="AJ43" s="324"/>
      <c r="AK43" s="324"/>
      <c r="AL43" s="324"/>
      <c r="AM43" s="324"/>
    </row>
    <row r="44" spans="1:39">
      <c r="A44" s="449">
        <f t="shared" si="0"/>
        <v>2016</v>
      </c>
      <c r="B44" s="450">
        <v>500000</v>
      </c>
      <c r="C44" s="450">
        <v>1849999.9999999995</v>
      </c>
      <c r="D44" s="450">
        <v>3350000</v>
      </c>
      <c r="E44" s="450">
        <v>4200000</v>
      </c>
      <c r="F44" s="450">
        <v>5700000</v>
      </c>
      <c r="G44" s="450">
        <v>6200000.0000000019</v>
      </c>
      <c r="H44" s="451">
        <v>5150000</v>
      </c>
      <c r="I44" s="450"/>
      <c r="J44" s="450"/>
      <c r="K44" s="450"/>
      <c r="L44" s="450"/>
      <c r="M44" s="450"/>
      <c r="N44" s="450"/>
      <c r="O44" s="450"/>
      <c r="P44" s="450"/>
      <c r="Q44" s="450"/>
      <c r="R44" s="450"/>
      <c r="S44" s="450"/>
      <c r="T44" s="450"/>
      <c r="V44" s="324"/>
      <c r="W44" s="327"/>
      <c r="X44" s="324"/>
      <c r="Y44" s="324"/>
      <c r="Z44" s="324"/>
      <c r="AA44" s="324"/>
      <c r="AB44" s="324"/>
      <c r="AC44" s="324"/>
      <c r="AD44" s="324"/>
      <c r="AE44" s="324"/>
      <c r="AF44" s="324"/>
      <c r="AG44" s="324"/>
      <c r="AH44" s="324"/>
      <c r="AI44" s="324"/>
      <c r="AJ44" s="324"/>
      <c r="AK44" s="324"/>
      <c r="AL44" s="324"/>
      <c r="AM44" s="324"/>
    </row>
    <row r="45" spans="1:39">
      <c r="A45" s="449">
        <f t="shared" si="0"/>
        <v>2017</v>
      </c>
      <c r="B45" s="450">
        <v>0</v>
      </c>
      <c r="C45" s="450">
        <v>100000</v>
      </c>
      <c r="D45" s="450">
        <v>1100000</v>
      </c>
      <c r="E45" s="450">
        <v>2000000</v>
      </c>
      <c r="F45" s="450">
        <v>2750000</v>
      </c>
      <c r="G45" s="451">
        <v>1025000</v>
      </c>
      <c r="H45" s="450"/>
      <c r="I45" s="450"/>
      <c r="J45" s="450"/>
      <c r="K45" s="450"/>
      <c r="L45" s="450"/>
      <c r="M45" s="450"/>
      <c r="N45" s="450"/>
      <c r="O45" s="450"/>
      <c r="P45" s="450"/>
      <c r="Q45" s="450"/>
      <c r="R45" s="450"/>
      <c r="S45" s="450"/>
      <c r="T45" s="450"/>
      <c r="V45" s="324"/>
      <c r="W45" s="327"/>
      <c r="X45" s="324"/>
      <c r="Y45" s="324"/>
      <c r="Z45" s="324"/>
      <c r="AA45" s="324"/>
      <c r="AB45" s="324"/>
      <c r="AC45" s="324"/>
      <c r="AD45" s="324"/>
      <c r="AE45" s="324"/>
      <c r="AF45" s="324"/>
      <c r="AG45" s="324"/>
      <c r="AH45" s="324"/>
      <c r="AI45" s="324"/>
      <c r="AJ45" s="324"/>
      <c r="AK45" s="324"/>
      <c r="AL45" s="324"/>
      <c r="AM45" s="324"/>
    </row>
    <row r="46" spans="1:39">
      <c r="A46" s="449">
        <f t="shared" si="0"/>
        <v>2018</v>
      </c>
      <c r="B46" s="450">
        <v>0</v>
      </c>
      <c r="C46" s="450">
        <v>1549999.9999999995</v>
      </c>
      <c r="D46" s="450">
        <v>1600000</v>
      </c>
      <c r="E46" s="450">
        <v>3159999.9999999991</v>
      </c>
      <c r="F46" s="451">
        <v>4810000</v>
      </c>
      <c r="G46" s="450"/>
      <c r="H46" s="450"/>
      <c r="I46" s="450"/>
      <c r="J46" s="450"/>
      <c r="K46" s="450"/>
      <c r="L46" s="450"/>
      <c r="M46" s="450"/>
      <c r="N46" s="450"/>
      <c r="O46" s="450"/>
      <c r="P46" s="450"/>
      <c r="Q46" s="450"/>
      <c r="R46" s="450"/>
      <c r="S46" s="450"/>
      <c r="T46" s="450"/>
      <c r="V46" s="324"/>
      <c r="W46" s="327"/>
      <c r="X46" s="324"/>
      <c r="Y46" s="324"/>
      <c r="Z46" s="324"/>
      <c r="AA46" s="324"/>
      <c r="AB46" s="324"/>
      <c r="AC46" s="324"/>
      <c r="AD46" s="324"/>
      <c r="AE46" s="324"/>
      <c r="AF46" s="324"/>
      <c r="AG46" s="324"/>
      <c r="AH46" s="324"/>
      <c r="AI46" s="324"/>
      <c r="AJ46" s="324"/>
      <c r="AK46" s="324"/>
      <c r="AL46" s="324"/>
      <c r="AM46" s="324"/>
    </row>
    <row r="47" spans="1:39">
      <c r="A47" s="449">
        <f t="shared" si="0"/>
        <v>2019</v>
      </c>
      <c r="B47" s="450">
        <v>0</v>
      </c>
      <c r="C47" s="450">
        <v>650000</v>
      </c>
      <c r="D47" s="450">
        <v>1655000</v>
      </c>
      <c r="E47" s="451">
        <v>2620000</v>
      </c>
      <c r="F47" s="450"/>
      <c r="G47" s="450"/>
      <c r="H47" s="450"/>
      <c r="I47" s="450"/>
      <c r="J47" s="450"/>
      <c r="K47" s="450"/>
      <c r="L47" s="450"/>
      <c r="M47" s="450"/>
      <c r="N47" s="450"/>
      <c r="O47" s="450"/>
      <c r="P47" s="450"/>
      <c r="Q47" s="450"/>
      <c r="R47" s="450"/>
      <c r="S47" s="450"/>
      <c r="T47" s="450"/>
      <c r="V47" s="324"/>
      <c r="W47" s="327"/>
      <c r="X47" s="324"/>
      <c r="Y47" s="324"/>
      <c r="Z47" s="324"/>
      <c r="AA47" s="324"/>
      <c r="AB47" s="324"/>
      <c r="AC47" s="324"/>
      <c r="AD47" s="324"/>
      <c r="AE47" s="324"/>
      <c r="AF47" s="324"/>
      <c r="AG47" s="324"/>
      <c r="AH47" s="324"/>
      <c r="AI47" s="324"/>
      <c r="AJ47" s="324"/>
      <c r="AK47" s="324"/>
      <c r="AL47" s="324"/>
      <c r="AM47" s="324"/>
    </row>
    <row r="48" spans="1:39">
      <c r="A48" s="449">
        <f t="shared" si="0"/>
        <v>2020</v>
      </c>
      <c r="B48" s="450">
        <v>0</v>
      </c>
      <c r="C48" s="450">
        <v>0</v>
      </c>
      <c r="D48" s="451">
        <v>1825000.0000000009</v>
      </c>
      <c r="E48" s="450"/>
      <c r="F48" s="450"/>
      <c r="G48" s="450"/>
      <c r="H48" s="450"/>
      <c r="I48" s="450"/>
      <c r="J48" s="450"/>
      <c r="K48" s="450"/>
      <c r="L48" s="450"/>
      <c r="M48" s="450"/>
      <c r="N48" s="450"/>
      <c r="O48" s="450"/>
      <c r="P48" s="450"/>
      <c r="Q48" s="450"/>
      <c r="R48" s="450"/>
      <c r="S48" s="450"/>
      <c r="T48" s="450"/>
      <c r="V48" s="324"/>
      <c r="W48" s="327"/>
      <c r="X48" s="324"/>
      <c r="Y48" s="324"/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/>
      <c r="AL48" s="324"/>
      <c r="AM48" s="324"/>
    </row>
    <row r="49" spans="1:39">
      <c r="A49" s="449">
        <f t="shared" si="0"/>
        <v>2021</v>
      </c>
      <c r="B49" s="450">
        <v>0</v>
      </c>
      <c r="C49" s="451">
        <v>0</v>
      </c>
      <c r="D49" s="450"/>
      <c r="E49" s="450"/>
      <c r="F49" s="450"/>
      <c r="G49" s="450"/>
      <c r="H49" s="450"/>
      <c r="I49" s="450"/>
      <c r="J49" s="450"/>
      <c r="K49" s="450"/>
      <c r="L49" s="450"/>
      <c r="M49" s="450"/>
      <c r="N49" s="450"/>
      <c r="O49" s="450"/>
      <c r="P49" s="450"/>
      <c r="Q49" s="450"/>
      <c r="R49" s="450"/>
      <c r="S49" s="450"/>
      <c r="T49" s="450"/>
      <c r="V49" s="324"/>
      <c r="W49" s="327"/>
      <c r="X49" s="324"/>
      <c r="Y49" s="324"/>
      <c r="Z49" s="324"/>
      <c r="AA49" s="324"/>
      <c r="AB49" s="324"/>
      <c r="AC49" s="324"/>
      <c r="AD49" s="324"/>
      <c r="AE49" s="324"/>
      <c r="AF49" s="324"/>
      <c r="AG49" s="324"/>
      <c r="AH49" s="324"/>
      <c r="AI49" s="324"/>
      <c r="AJ49" s="324"/>
      <c r="AK49" s="324"/>
      <c r="AL49" s="324"/>
      <c r="AM49" s="324"/>
    </row>
    <row r="50" spans="1:39">
      <c r="A50" s="449">
        <f t="shared" si="0"/>
        <v>2022</v>
      </c>
      <c r="B50" s="451">
        <v>0</v>
      </c>
      <c r="C50" s="451"/>
      <c r="D50" s="451"/>
      <c r="E50" s="451"/>
      <c r="F50" s="451"/>
      <c r="G50" s="451"/>
      <c r="H50" s="451"/>
      <c r="I50" s="451"/>
      <c r="J50" s="451"/>
      <c r="K50" s="451"/>
      <c r="L50" s="451"/>
      <c r="M50" s="451"/>
      <c r="N50" s="451"/>
      <c r="O50" s="451"/>
      <c r="P50" s="451"/>
      <c r="Q50" s="451"/>
      <c r="R50" s="451"/>
      <c r="S50" s="451"/>
      <c r="T50" s="451"/>
      <c r="V50" s="324"/>
      <c r="W50" s="327"/>
      <c r="X50" s="324"/>
      <c r="Y50" s="324"/>
      <c r="Z50" s="324"/>
      <c r="AA50" s="324"/>
      <c r="AB50" s="324"/>
      <c r="AC50" s="324"/>
      <c r="AD50" s="324"/>
      <c r="AE50" s="324"/>
      <c r="AF50" s="324"/>
      <c r="AG50" s="324"/>
      <c r="AH50" s="324"/>
      <c r="AI50" s="324"/>
      <c r="AJ50" s="324"/>
      <c r="AK50" s="324"/>
      <c r="AL50" s="324"/>
      <c r="AM50" s="324"/>
    </row>
    <row r="51" spans="1:39">
      <c r="B51" s="451"/>
      <c r="C51" s="451"/>
      <c r="D51" s="451"/>
      <c r="E51" s="451"/>
      <c r="F51" s="451"/>
      <c r="G51" s="451"/>
      <c r="H51" s="451"/>
      <c r="I51" s="451"/>
      <c r="J51" s="451"/>
      <c r="K51" s="451"/>
      <c r="L51" s="451"/>
      <c r="M51" s="451"/>
      <c r="N51" s="451"/>
      <c r="O51" s="451"/>
      <c r="P51" s="451"/>
      <c r="Q51" s="451"/>
      <c r="R51" s="451"/>
      <c r="S51" s="451"/>
      <c r="T51" s="451"/>
      <c r="U51" s="319"/>
      <c r="V51" s="319"/>
      <c r="W51" s="319"/>
      <c r="X51" s="319"/>
      <c r="Y51" s="319"/>
      <c r="Z51" s="319"/>
      <c r="AA51" s="319"/>
      <c r="AB51" s="319"/>
      <c r="AC51" s="319"/>
      <c r="AD51" s="319"/>
      <c r="AE51" s="319"/>
      <c r="AF51" s="319"/>
      <c r="AG51" s="319"/>
      <c r="AH51" s="319"/>
      <c r="AI51" s="319"/>
      <c r="AJ51" s="319"/>
      <c r="AK51" s="319"/>
      <c r="AL51" s="319"/>
      <c r="AM51" s="319"/>
    </row>
    <row r="52" spans="1:39" ht="16">
      <c r="A52" s="446"/>
      <c r="B52" s="452"/>
      <c r="C52" s="452"/>
      <c r="D52" s="452"/>
      <c r="E52" s="452"/>
      <c r="F52" s="452"/>
      <c r="G52" s="452"/>
      <c r="H52" s="452"/>
      <c r="I52" s="452"/>
      <c r="J52" s="452"/>
      <c r="K52" s="452"/>
      <c r="L52" s="452"/>
      <c r="M52" s="452"/>
      <c r="N52" s="452"/>
      <c r="O52" s="452"/>
      <c r="P52" s="452"/>
      <c r="Q52" s="452"/>
      <c r="R52" s="452"/>
      <c r="S52" s="452"/>
      <c r="T52" s="452"/>
      <c r="U52" s="320"/>
      <c r="V52" s="320"/>
      <c r="W52" s="320"/>
      <c r="X52" s="320"/>
      <c r="Y52" s="320"/>
      <c r="Z52" s="320"/>
      <c r="AA52" s="320"/>
      <c r="AB52" s="320"/>
      <c r="AC52" s="320"/>
      <c r="AD52" s="320"/>
      <c r="AE52" s="320"/>
      <c r="AF52" s="320"/>
      <c r="AG52" s="320"/>
      <c r="AH52" s="320"/>
      <c r="AI52" s="320"/>
      <c r="AJ52" s="320"/>
      <c r="AK52" s="320"/>
      <c r="AL52" s="320"/>
      <c r="AM52" s="320"/>
    </row>
    <row r="53" spans="1:39">
      <c r="B53" s="446" t="s">
        <v>1032</v>
      </c>
    </row>
    <row r="54" spans="1:39" ht="16">
      <c r="A54" s="447" t="s">
        <v>170</v>
      </c>
      <c r="B54" s="453" t="s">
        <v>1033</v>
      </c>
      <c r="C54" s="453" t="s">
        <v>1034</v>
      </c>
      <c r="D54" s="453" t="s">
        <v>1035</v>
      </c>
      <c r="E54" s="453" t="s">
        <v>1036</v>
      </c>
      <c r="F54" s="453" t="s">
        <v>1037</v>
      </c>
      <c r="G54" s="453" t="s">
        <v>1038</v>
      </c>
      <c r="H54" s="453" t="s">
        <v>1039</v>
      </c>
      <c r="I54" s="453" t="s">
        <v>1040</v>
      </c>
      <c r="J54" s="453" t="s">
        <v>1041</v>
      </c>
      <c r="K54" s="453" t="s">
        <v>1042</v>
      </c>
      <c r="L54" s="453" t="s">
        <v>1043</v>
      </c>
      <c r="M54" s="453" t="s">
        <v>1044</v>
      </c>
      <c r="N54" s="453" t="s">
        <v>1045</v>
      </c>
      <c r="O54" s="453" t="s">
        <v>1046</v>
      </c>
      <c r="P54" s="453" t="s">
        <v>1047</v>
      </c>
      <c r="Q54" s="453" t="s">
        <v>1048</v>
      </c>
      <c r="R54" s="453" t="s">
        <v>1049</v>
      </c>
      <c r="S54" s="453" t="s">
        <v>1050</v>
      </c>
      <c r="T54" s="453" t="s">
        <v>1051</v>
      </c>
      <c r="U54" s="321"/>
      <c r="V54" s="321"/>
      <c r="W54" s="321"/>
      <c r="X54" s="321"/>
      <c r="Y54" s="321"/>
      <c r="Z54" s="321"/>
      <c r="AA54" s="321"/>
      <c r="AB54" s="321"/>
      <c r="AC54" s="321"/>
      <c r="AD54" s="321"/>
      <c r="AE54" s="321"/>
      <c r="AF54" s="321"/>
      <c r="AG54" s="321"/>
      <c r="AH54" s="321"/>
      <c r="AI54" s="321"/>
      <c r="AJ54" s="321"/>
      <c r="AK54" s="321"/>
      <c r="AL54" s="321"/>
      <c r="AM54" s="321"/>
    </row>
    <row r="55" spans="1:39">
      <c r="A55" s="449"/>
      <c r="B55" s="449"/>
      <c r="C55" s="449"/>
      <c r="D55" s="449"/>
      <c r="E55" s="449"/>
      <c r="F55" s="449"/>
      <c r="G55" s="449"/>
      <c r="H55" s="449"/>
      <c r="I55" s="449"/>
      <c r="J55" s="449"/>
      <c r="K55" s="449"/>
      <c r="L55" s="449"/>
      <c r="M55" s="449"/>
      <c r="N55" s="449"/>
      <c r="O55" s="449"/>
      <c r="P55" s="449"/>
      <c r="Q55" s="449"/>
      <c r="R55" s="449"/>
      <c r="S55" s="449"/>
      <c r="T55" s="449"/>
      <c r="U55" s="318"/>
      <c r="V55" s="318"/>
      <c r="W55" s="318"/>
      <c r="X55" s="318"/>
      <c r="Y55" s="318"/>
      <c r="Z55" s="318"/>
      <c r="AA55" s="318"/>
      <c r="AB55" s="318"/>
      <c r="AC55" s="318"/>
      <c r="AD55" s="318"/>
      <c r="AE55" s="318"/>
      <c r="AF55" s="318"/>
      <c r="AG55" s="318"/>
      <c r="AH55" s="318"/>
      <c r="AI55" s="318"/>
      <c r="AJ55" s="318"/>
      <c r="AK55" s="318"/>
      <c r="AL55" s="318"/>
      <c r="AM55" s="318"/>
    </row>
    <row r="57" spans="1:39">
      <c r="A57" s="449">
        <f>A13</f>
        <v>1985</v>
      </c>
      <c r="B57" s="454">
        <v>0</v>
      </c>
      <c r="C57" s="454">
        <v>0</v>
      </c>
      <c r="D57" s="454">
        <v>0</v>
      </c>
      <c r="E57" s="454">
        <v>0</v>
      </c>
      <c r="F57" s="454">
        <v>0</v>
      </c>
      <c r="G57" s="454">
        <v>0</v>
      </c>
      <c r="H57" s="454">
        <v>0</v>
      </c>
      <c r="I57" s="454">
        <v>0</v>
      </c>
      <c r="J57" s="454">
        <v>0</v>
      </c>
      <c r="K57" s="454">
        <v>0</v>
      </c>
      <c r="L57" s="454">
        <v>0</v>
      </c>
      <c r="M57" s="454">
        <v>0</v>
      </c>
      <c r="N57" s="454">
        <v>0</v>
      </c>
      <c r="O57" s="454">
        <v>0</v>
      </c>
      <c r="P57" s="454">
        <v>0</v>
      </c>
      <c r="Q57" s="454">
        <v>0</v>
      </c>
      <c r="R57" s="454">
        <v>0</v>
      </c>
      <c r="S57" s="454">
        <v>0</v>
      </c>
      <c r="T57" s="454">
        <v>0</v>
      </c>
      <c r="U57" s="322"/>
      <c r="W57" s="322"/>
      <c r="X57" s="322" t="s">
        <v>1067</v>
      </c>
      <c r="Y57" s="322"/>
      <c r="Z57" s="322"/>
      <c r="AA57" s="322"/>
      <c r="AB57" s="322"/>
      <c r="AC57" s="322"/>
      <c r="AD57" s="322"/>
      <c r="AE57" s="322"/>
      <c r="AF57" s="322"/>
      <c r="AG57" s="322"/>
      <c r="AH57" s="322"/>
      <c r="AI57" s="322"/>
      <c r="AJ57" s="322"/>
      <c r="AK57" s="322"/>
      <c r="AL57" s="322"/>
      <c r="AM57" s="323"/>
    </row>
    <row r="58" spans="1:39">
      <c r="A58" s="449">
        <f>A57+1</f>
        <v>1986</v>
      </c>
      <c r="B58" s="454">
        <v>0</v>
      </c>
      <c r="C58" s="454">
        <v>0</v>
      </c>
      <c r="D58" s="454">
        <v>0</v>
      </c>
      <c r="E58" s="454">
        <v>0</v>
      </c>
      <c r="F58" s="454">
        <v>0</v>
      </c>
      <c r="G58" s="454">
        <v>0</v>
      </c>
      <c r="H58" s="454">
        <v>0</v>
      </c>
      <c r="I58" s="454">
        <v>0</v>
      </c>
      <c r="J58" s="454">
        <v>0</v>
      </c>
      <c r="K58" s="454">
        <v>0</v>
      </c>
      <c r="L58" s="454">
        <v>0</v>
      </c>
      <c r="M58" s="454">
        <v>0</v>
      </c>
      <c r="N58" s="454">
        <v>0</v>
      </c>
      <c r="O58" s="454">
        <v>0</v>
      </c>
      <c r="P58" s="454">
        <v>0</v>
      </c>
      <c r="Q58" s="454">
        <v>0</v>
      </c>
      <c r="R58" s="454">
        <v>0</v>
      </c>
      <c r="S58" s="454">
        <v>0</v>
      </c>
      <c r="T58" s="454">
        <v>0</v>
      </c>
      <c r="U58" s="322"/>
      <c r="V58" s="322"/>
      <c r="W58" s="322"/>
      <c r="X58" s="322"/>
      <c r="Y58" s="322"/>
      <c r="Z58" s="322"/>
      <c r="AA58" s="322"/>
      <c r="AB58" s="322"/>
      <c r="AC58" s="322"/>
      <c r="AD58" s="322"/>
      <c r="AE58" s="322"/>
      <c r="AF58" s="322"/>
      <c r="AG58" s="322"/>
      <c r="AH58" s="322"/>
      <c r="AI58" s="322"/>
      <c r="AJ58" s="322"/>
      <c r="AK58" s="322"/>
      <c r="AL58" s="322"/>
      <c r="AM58" s="323"/>
    </row>
    <row r="59" spans="1:39">
      <c r="A59" s="449">
        <f t="shared" ref="A59:A94" si="1">A58+1</f>
        <v>1987</v>
      </c>
      <c r="B59" s="454">
        <v>0</v>
      </c>
      <c r="C59" s="454">
        <v>0</v>
      </c>
      <c r="D59" s="454">
        <v>0</v>
      </c>
      <c r="E59" s="454">
        <v>0</v>
      </c>
      <c r="F59" s="454">
        <v>0</v>
      </c>
      <c r="G59" s="454">
        <v>0</v>
      </c>
      <c r="H59" s="454">
        <v>0</v>
      </c>
      <c r="I59" s="454">
        <v>0</v>
      </c>
      <c r="J59" s="454">
        <v>0</v>
      </c>
      <c r="K59" s="454">
        <v>0</v>
      </c>
      <c r="L59" s="454">
        <v>0</v>
      </c>
      <c r="M59" s="454">
        <v>0</v>
      </c>
      <c r="N59" s="454">
        <v>0</v>
      </c>
      <c r="O59" s="454">
        <v>0</v>
      </c>
      <c r="P59" s="454">
        <v>0</v>
      </c>
      <c r="Q59" s="454">
        <v>0</v>
      </c>
      <c r="R59" s="454">
        <v>0</v>
      </c>
      <c r="S59" s="454">
        <v>0</v>
      </c>
      <c r="T59" s="454">
        <v>0</v>
      </c>
      <c r="U59" s="322"/>
      <c r="V59" s="322"/>
      <c r="W59" s="322"/>
      <c r="X59" s="322"/>
      <c r="Y59" s="322"/>
      <c r="Z59" s="322"/>
      <c r="AA59" s="322"/>
      <c r="AB59" s="322"/>
      <c r="AC59" s="322"/>
      <c r="AD59" s="322"/>
      <c r="AE59" s="322"/>
      <c r="AF59" s="322"/>
      <c r="AG59" s="322"/>
      <c r="AH59" s="322"/>
      <c r="AI59" s="322"/>
      <c r="AJ59" s="322"/>
      <c r="AK59" s="322"/>
      <c r="AL59" s="322"/>
      <c r="AM59" s="323"/>
    </row>
    <row r="60" spans="1:39">
      <c r="A60" s="449">
        <f t="shared" si="1"/>
        <v>1988</v>
      </c>
      <c r="B60" s="454">
        <v>0</v>
      </c>
      <c r="C60" s="454">
        <v>0</v>
      </c>
      <c r="D60" s="454">
        <v>0</v>
      </c>
      <c r="E60" s="454">
        <v>0</v>
      </c>
      <c r="F60" s="454">
        <v>0</v>
      </c>
      <c r="G60" s="454">
        <v>0</v>
      </c>
      <c r="H60" s="454">
        <v>0</v>
      </c>
      <c r="I60" s="454">
        <v>0</v>
      </c>
      <c r="J60" s="454">
        <v>0</v>
      </c>
      <c r="K60" s="454">
        <v>0</v>
      </c>
      <c r="L60" s="454">
        <v>0</v>
      </c>
      <c r="M60" s="454">
        <v>0</v>
      </c>
      <c r="N60" s="454">
        <v>0</v>
      </c>
      <c r="O60" s="454">
        <v>0</v>
      </c>
      <c r="P60" s="454">
        <v>0</v>
      </c>
      <c r="Q60" s="454">
        <v>0</v>
      </c>
      <c r="R60" s="454">
        <v>0</v>
      </c>
      <c r="S60" s="454">
        <v>0</v>
      </c>
      <c r="T60" s="454">
        <v>0</v>
      </c>
      <c r="U60" s="322"/>
      <c r="V60" s="322"/>
      <c r="W60" s="322"/>
      <c r="X60" s="322"/>
      <c r="Y60" s="322"/>
      <c r="Z60" s="322"/>
      <c r="AA60" s="322"/>
      <c r="AB60" s="322"/>
      <c r="AC60" s="322"/>
      <c r="AD60" s="322"/>
      <c r="AE60" s="322"/>
      <c r="AF60" s="322"/>
      <c r="AG60" s="322"/>
      <c r="AH60" s="322"/>
      <c r="AI60" s="322"/>
      <c r="AJ60" s="322"/>
      <c r="AK60" s="322"/>
      <c r="AL60" s="322"/>
      <c r="AM60" s="323"/>
    </row>
    <row r="61" spans="1:39">
      <c r="A61" s="449">
        <f t="shared" si="1"/>
        <v>1989</v>
      </c>
      <c r="B61" s="454">
        <v>0</v>
      </c>
      <c r="C61" s="454">
        <v>0</v>
      </c>
      <c r="D61" s="454">
        <v>0</v>
      </c>
      <c r="E61" s="454">
        <v>0</v>
      </c>
      <c r="F61" s="454">
        <v>0</v>
      </c>
      <c r="G61" s="454">
        <v>0</v>
      </c>
      <c r="H61" s="454">
        <v>0</v>
      </c>
      <c r="I61" s="454">
        <v>0</v>
      </c>
      <c r="J61" s="454">
        <v>0</v>
      </c>
      <c r="K61" s="454">
        <v>0</v>
      </c>
      <c r="L61" s="454">
        <v>0</v>
      </c>
      <c r="M61" s="454">
        <v>0</v>
      </c>
      <c r="N61" s="454">
        <v>0</v>
      </c>
      <c r="O61" s="454">
        <v>0</v>
      </c>
      <c r="P61" s="454">
        <v>0</v>
      </c>
      <c r="Q61" s="454">
        <v>0</v>
      </c>
      <c r="R61" s="454">
        <v>0</v>
      </c>
      <c r="S61" s="454">
        <v>0</v>
      </c>
      <c r="T61" s="454">
        <v>0</v>
      </c>
      <c r="U61" s="322"/>
      <c r="V61" s="322"/>
      <c r="W61" s="322"/>
      <c r="X61" s="322"/>
      <c r="Y61" s="322"/>
      <c r="Z61" s="322"/>
      <c r="AA61" s="322"/>
      <c r="AB61" s="322"/>
      <c r="AC61" s="322"/>
      <c r="AD61" s="322"/>
      <c r="AE61" s="322"/>
      <c r="AF61" s="322"/>
      <c r="AG61" s="322"/>
      <c r="AH61" s="322"/>
      <c r="AI61" s="322"/>
      <c r="AJ61" s="322"/>
      <c r="AK61" s="322"/>
      <c r="AL61" s="322"/>
      <c r="AM61" s="323"/>
    </row>
    <row r="62" spans="1:39">
      <c r="A62" s="449">
        <f t="shared" si="1"/>
        <v>1990</v>
      </c>
      <c r="B62" s="454">
        <v>0</v>
      </c>
      <c r="C62" s="454">
        <v>0</v>
      </c>
      <c r="D62" s="454">
        <v>0</v>
      </c>
      <c r="E62" s="454">
        <v>0</v>
      </c>
      <c r="F62" s="454">
        <v>0</v>
      </c>
      <c r="G62" s="454">
        <v>0</v>
      </c>
      <c r="H62" s="454">
        <v>0</v>
      </c>
      <c r="I62" s="454">
        <v>0</v>
      </c>
      <c r="J62" s="454">
        <v>0</v>
      </c>
      <c r="K62" s="454">
        <v>0</v>
      </c>
      <c r="L62" s="454">
        <v>0</v>
      </c>
      <c r="M62" s="454">
        <v>0</v>
      </c>
      <c r="N62" s="454">
        <v>0</v>
      </c>
      <c r="O62" s="454">
        <v>0</v>
      </c>
      <c r="P62" s="454">
        <v>0</v>
      </c>
      <c r="Q62" s="454">
        <v>0</v>
      </c>
      <c r="R62" s="454">
        <v>0</v>
      </c>
      <c r="S62" s="454">
        <v>0</v>
      </c>
      <c r="T62" s="454">
        <v>0</v>
      </c>
      <c r="U62" s="322"/>
      <c r="V62" s="322"/>
      <c r="W62" s="322"/>
      <c r="X62" s="322"/>
      <c r="Y62" s="322"/>
      <c r="Z62" s="322"/>
      <c r="AA62" s="322"/>
      <c r="AB62" s="322"/>
      <c r="AC62" s="322"/>
      <c r="AD62" s="322"/>
      <c r="AE62" s="322"/>
      <c r="AF62" s="322"/>
      <c r="AG62" s="322"/>
      <c r="AH62" s="322"/>
      <c r="AI62" s="322"/>
      <c r="AJ62" s="322"/>
      <c r="AK62" s="322"/>
      <c r="AL62" s="322"/>
      <c r="AM62" s="323"/>
    </row>
    <row r="63" spans="1:39">
      <c r="A63" s="449">
        <f t="shared" si="1"/>
        <v>1991</v>
      </c>
      <c r="B63" s="454">
        <v>0</v>
      </c>
      <c r="C63" s="454">
        <v>0</v>
      </c>
      <c r="D63" s="454">
        <v>0</v>
      </c>
      <c r="E63" s="454">
        <v>0</v>
      </c>
      <c r="F63" s="454">
        <v>0</v>
      </c>
      <c r="G63" s="454">
        <v>0</v>
      </c>
      <c r="H63" s="454">
        <v>0</v>
      </c>
      <c r="I63" s="454">
        <v>0</v>
      </c>
      <c r="J63" s="454">
        <v>0</v>
      </c>
      <c r="K63" s="454">
        <v>0</v>
      </c>
      <c r="L63" s="454">
        <v>0</v>
      </c>
      <c r="M63" s="454">
        <v>0</v>
      </c>
      <c r="N63" s="454">
        <v>0</v>
      </c>
      <c r="O63" s="454">
        <v>0</v>
      </c>
      <c r="P63" s="454">
        <v>0</v>
      </c>
      <c r="Q63" s="454">
        <v>0</v>
      </c>
      <c r="R63" s="454">
        <v>0</v>
      </c>
      <c r="S63" s="454">
        <v>0</v>
      </c>
      <c r="T63" s="454">
        <v>0</v>
      </c>
      <c r="U63" s="322"/>
      <c r="V63" s="322"/>
      <c r="W63" s="322"/>
      <c r="X63" s="322"/>
      <c r="Y63" s="322"/>
      <c r="Z63" s="322"/>
      <c r="AA63" s="322"/>
      <c r="AB63" s="322"/>
      <c r="AC63" s="322"/>
      <c r="AD63" s="322"/>
      <c r="AE63" s="322"/>
      <c r="AF63" s="322"/>
      <c r="AG63" s="322"/>
      <c r="AH63" s="322"/>
      <c r="AI63" s="322"/>
      <c r="AJ63" s="322"/>
      <c r="AK63" s="322"/>
      <c r="AL63" s="322"/>
      <c r="AM63" s="323"/>
    </row>
    <row r="64" spans="1:39">
      <c r="A64" s="449">
        <f t="shared" si="1"/>
        <v>1992</v>
      </c>
      <c r="B64" s="454">
        <v>0</v>
      </c>
      <c r="C64" s="454">
        <v>0</v>
      </c>
      <c r="D64" s="454">
        <v>0</v>
      </c>
      <c r="E64" s="454">
        <v>0</v>
      </c>
      <c r="F64" s="454">
        <v>0</v>
      </c>
      <c r="G64" s="454">
        <v>0</v>
      </c>
      <c r="H64" s="454">
        <v>0</v>
      </c>
      <c r="I64" s="454">
        <v>0</v>
      </c>
      <c r="J64" s="454">
        <v>0</v>
      </c>
      <c r="K64" s="454">
        <v>0</v>
      </c>
      <c r="L64" s="454">
        <v>0</v>
      </c>
      <c r="M64" s="454">
        <v>0</v>
      </c>
      <c r="N64" s="454">
        <v>0</v>
      </c>
      <c r="O64" s="454">
        <v>0</v>
      </c>
      <c r="P64" s="454">
        <v>0</v>
      </c>
      <c r="Q64" s="454">
        <v>0</v>
      </c>
      <c r="R64" s="454">
        <v>0</v>
      </c>
      <c r="S64" s="454">
        <v>0</v>
      </c>
      <c r="T64" s="454">
        <v>0</v>
      </c>
      <c r="U64" s="322"/>
      <c r="V64" s="322"/>
      <c r="W64" s="322"/>
      <c r="X64" s="322"/>
      <c r="Y64" s="322"/>
      <c r="Z64" s="322"/>
      <c r="AA64" s="322"/>
      <c r="AB64" s="322"/>
      <c r="AC64" s="322"/>
      <c r="AD64" s="322"/>
      <c r="AE64" s="322"/>
      <c r="AF64" s="322"/>
      <c r="AG64" s="322"/>
      <c r="AH64" s="322"/>
      <c r="AI64" s="322"/>
      <c r="AJ64" s="322"/>
      <c r="AK64" s="322"/>
      <c r="AL64" s="322"/>
      <c r="AM64" s="323"/>
    </row>
    <row r="65" spans="1:39">
      <c r="A65" s="449">
        <f t="shared" si="1"/>
        <v>1993</v>
      </c>
      <c r="B65" s="454">
        <v>0</v>
      </c>
      <c r="C65" s="454">
        <v>0</v>
      </c>
      <c r="D65" s="454">
        <v>0</v>
      </c>
      <c r="E65" s="454">
        <v>0</v>
      </c>
      <c r="F65" s="454">
        <v>0</v>
      </c>
      <c r="G65" s="454">
        <v>0</v>
      </c>
      <c r="H65" s="454">
        <v>0</v>
      </c>
      <c r="I65" s="454">
        <v>0</v>
      </c>
      <c r="J65" s="454">
        <v>0</v>
      </c>
      <c r="K65" s="454">
        <v>0</v>
      </c>
      <c r="L65" s="454">
        <v>0</v>
      </c>
      <c r="M65" s="454">
        <v>0</v>
      </c>
      <c r="N65" s="454">
        <v>0</v>
      </c>
      <c r="O65" s="454">
        <v>0</v>
      </c>
      <c r="P65" s="454">
        <v>0</v>
      </c>
      <c r="Q65" s="454">
        <v>0</v>
      </c>
      <c r="R65" s="454">
        <v>0</v>
      </c>
      <c r="S65" s="454">
        <v>0</v>
      </c>
      <c r="T65" s="454">
        <v>0</v>
      </c>
      <c r="U65" s="322"/>
      <c r="V65" s="322"/>
      <c r="W65" s="322"/>
      <c r="X65" s="322"/>
      <c r="Y65" s="322"/>
      <c r="Z65" s="322"/>
      <c r="AA65" s="322"/>
      <c r="AB65" s="322"/>
      <c r="AC65" s="322"/>
      <c r="AD65" s="322"/>
      <c r="AE65" s="322"/>
      <c r="AF65" s="322"/>
      <c r="AG65" s="322"/>
      <c r="AH65" s="322"/>
      <c r="AI65" s="322"/>
      <c r="AJ65" s="322"/>
      <c r="AK65" s="322"/>
      <c r="AL65" s="322"/>
      <c r="AM65" s="323"/>
    </row>
    <row r="66" spans="1:39">
      <c r="A66" s="449">
        <f t="shared" si="1"/>
        <v>1994</v>
      </c>
      <c r="B66" s="454">
        <v>0</v>
      </c>
      <c r="C66" s="454">
        <v>0</v>
      </c>
      <c r="D66" s="454">
        <v>0</v>
      </c>
      <c r="E66" s="454">
        <v>0</v>
      </c>
      <c r="F66" s="454">
        <v>0</v>
      </c>
      <c r="G66" s="454">
        <v>0</v>
      </c>
      <c r="H66" s="454">
        <v>0</v>
      </c>
      <c r="I66" s="454">
        <v>0</v>
      </c>
      <c r="J66" s="454">
        <v>0</v>
      </c>
      <c r="K66" s="454">
        <v>0</v>
      </c>
      <c r="L66" s="454">
        <v>0</v>
      </c>
      <c r="M66" s="454">
        <v>0</v>
      </c>
      <c r="N66" s="454">
        <v>0</v>
      </c>
      <c r="O66" s="454">
        <v>0</v>
      </c>
      <c r="P66" s="454">
        <v>0</v>
      </c>
      <c r="Q66" s="454">
        <v>0</v>
      </c>
      <c r="R66" s="454">
        <v>0</v>
      </c>
      <c r="S66" s="454">
        <v>0</v>
      </c>
      <c r="T66" s="454">
        <v>0</v>
      </c>
      <c r="U66" s="322"/>
      <c r="V66" s="322"/>
      <c r="W66" s="322"/>
      <c r="X66" s="322"/>
      <c r="Y66" s="322"/>
      <c r="Z66" s="322"/>
      <c r="AA66" s="322"/>
      <c r="AB66" s="322"/>
      <c r="AC66" s="322"/>
      <c r="AD66" s="322"/>
      <c r="AE66" s="322"/>
      <c r="AF66" s="322"/>
      <c r="AG66" s="322"/>
      <c r="AH66" s="322"/>
      <c r="AI66" s="322"/>
      <c r="AJ66" s="322"/>
      <c r="AK66" s="322"/>
      <c r="AL66" s="322"/>
      <c r="AM66" s="323"/>
    </row>
    <row r="67" spans="1:39">
      <c r="A67" s="449">
        <f t="shared" si="1"/>
        <v>1995</v>
      </c>
      <c r="B67" s="454">
        <v>0</v>
      </c>
      <c r="C67" s="454">
        <v>0</v>
      </c>
      <c r="D67" s="454">
        <v>0</v>
      </c>
      <c r="E67" s="454">
        <v>0</v>
      </c>
      <c r="F67" s="454">
        <v>0</v>
      </c>
      <c r="G67" s="454">
        <v>0</v>
      </c>
      <c r="H67" s="454">
        <v>0</v>
      </c>
      <c r="I67" s="454">
        <v>0</v>
      </c>
      <c r="J67" s="454">
        <v>0</v>
      </c>
      <c r="K67" s="454">
        <v>0</v>
      </c>
      <c r="L67" s="454">
        <v>0</v>
      </c>
      <c r="M67" s="454">
        <v>0</v>
      </c>
      <c r="N67" s="454">
        <v>0</v>
      </c>
      <c r="O67" s="454">
        <v>0</v>
      </c>
      <c r="P67" s="454">
        <v>0</v>
      </c>
      <c r="Q67" s="454">
        <v>0</v>
      </c>
      <c r="R67" s="454">
        <v>0</v>
      </c>
      <c r="S67" s="454">
        <v>0</v>
      </c>
      <c r="T67" s="454">
        <v>1</v>
      </c>
      <c r="U67" s="322"/>
      <c r="V67" s="322"/>
      <c r="W67" s="322"/>
      <c r="X67" s="322"/>
      <c r="Y67" s="322"/>
      <c r="Z67" s="322"/>
      <c r="AA67" s="322"/>
      <c r="AB67" s="322"/>
      <c r="AC67" s="322"/>
      <c r="AD67" s="322"/>
      <c r="AE67" s="322"/>
      <c r="AF67" s="322"/>
      <c r="AG67" s="322"/>
      <c r="AH67" s="322"/>
      <c r="AI67" s="322"/>
      <c r="AJ67" s="322"/>
      <c r="AK67" s="322"/>
      <c r="AL67" s="322"/>
      <c r="AM67" s="323"/>
    </row>
    <row r="68" spans="1:39">
      <c r="A68" s="449">
        <f t="shared" si="1"/>
        <v>1996</v>
      </c>
      <c r="B68" s="454">
        <v>0</v>
      </c>
      <c r="C68" s="454">
        <v>0</v>
      </c>
      <c r="D68" s="454">
        <v>0</v>
      </c>
      <c r="E68" s="454">
        <v>0</v>
      </c>
      <c r="F68" s="454">
        <v>0</v>
      </c>
      <c r="G68" s="454">
        <v>0</v>
      </c>
      <c r="H68" s="454">
        <v>0</v>
      </c>
      <c r="I68" s="454">
        <v>0</v>
      </c>
      <c r="J68" s="454">
        <v>0</v>
      </c>
      <c r="K68" s="454">
        <v>0</v>
      </c>
      <c r="L68" s="454">
        <v>0</v>
      </c>
      <c r="M68" s="454">
        <v>0</v>
      </c>
      <c r="N68" s="454">
        <v>0</v>
      </c>
      <c r="O68" s="454">
        <v>0</v>
      </c>
      <c r="P68" s="454">
        <v>0</v>
      </c>
      <c r="Q68" s="454">
        <v>0</v>
      </c>
      <c r="R68" s="454">
        <v>0</v>
      </c>
      <c r="S68" s="454">
        <v>1</v>
      </c>
      <c r="T68" s="454">
        <v>1</v>
      </c>
      <c r="U68" s="322"/>
      <c r="V68" s="322"/>
      <c r="W68" s="322"/>
      <c r="X68" s="322"/>
      <c r="Y68" s="322"/>
      <c r="Z68" s="322"/>
      <c r="AA68" s="322"/>
      <c r="AB68" s="322"/>
      <c r="AC68" s="322"/>
      <c r="AD68" s="322"/>
      <c r="AE68" s="322"/>
      <c r="AF68" s="322"/>
      <c r="AG68" s="322"/>
      <c r="AH68" s="322"/>
      <c r="AI68" s="322"/>
      <c r="AJ68" s="322"/>
      <c r="AK68" s="322"/>
      <c r="AL68" s="322"/>
      <c r="AM68" s="323"/>
    </row>
    <row r="69" spans="1:39">
      <c r="A69" s="449">
        <f t="shared" si="1"/>
        <v>1997</v>
      </c>
      <c r="B69" s="454">
        <v>0</v>
      </c>
      <c r="C69" s="454">
        <v>0</v>
      </c>
      <c r="D69" s="454">
        <v>0</v>
      </c>
      <c r="E69" s="454">
        <v>0</v>
      </c>
      <c r="F69" s="454">
        <v>0</v>
      </c>
      <c r="G69" s="454">
        <v>0</v>
      </c>
      <c r="H69" s="454">
        <v>0</v>
      </c>
      <c r="I69" s="454">
        <v>0</v>
      </c>
      <c r="J69" s="454">
        <v>0</v>
      </c>
      <c r="K69" s="454">
        <v>0</v>
      </c>
      <c r="L69" s="454">
        <v>0</v>
      </c>
      <c r="M69" s="454">
        <v>0</v>
      </c>
      <c r="N69" s="454">
        <v>0</v>
      </c>
      <c r="O69" s="454">
        <v>0</v>
      </c>
      <c r="P69" s="454">
        <v>0</v>
      </c>
      <c r="Q69" s="454">
        <v>0</v>
      </c>
      <c r="R69" s="454">
        <f>IF(R25=0,0,S25/R25)</f>
        <v>1</v>
      </c>
      <c r="S69" s="454">
        <v>1</v>
      </c>
      <c r="T69" s="454">
        <v>1</v>
      </c>
      <c r="U69" s="322"/>
      <c r="V69" s="322"/>
      <c r="W69" s="322"/>
      <c r="X69" s="322"/>
      <c r="Y69" s="322"/>
      <c r="Z69" s="322"/>
      <c r="AA69" s="322"/>
      <c r="AB69" s="322"/>
      <c r="AC69" s="322"/>
      <c r="AD69" s="322"/>
      <c r="AE69" s="322"/>
      <c r="AF69" s="322"/>
      <c r="AG69" s="322"/>
      <c r="AH69" s="322"/>
      <c r="AI69" s="322"/>
      <c r="AJ69" s="322"/>
      <c r="AK69" s="322"/>
      <c r="AL69" s="322"/>
      <c r="AM69" s="323"/>
    </row>
    <row r="70" spans="1:39">
      <c r="A70" s="449">
        <f t="shared" si="1"/>
        <v>1998</v>
      </c>
      <c r="B70" s="454">
        <v>0</v>
      </c>
      <c r="C70" s="454">
        <v>0</v>
      </c>
      <c r="D70" s="454">
        <v>0</v>
      </c>
      <c r="E70" s="454">
        <v>0</v>
      </c>
      <c r="F70" s="454">
        <v>0</v>
      </c>
      <c r="G70" s="454">
        <v>0</v>
      </c>
      <c r="H70" s="454">
        <v>0</v>
      </c>
      <c r="I70" s="454">
        <v>0</v>
      </c>
      <c r="J70" s="454">
        <v>0</v>
      </c>
      <c r="K70" s="454">
        <v>0</v>
      </c>
      <c r="L70" s="454">
        <v>0</v>
      </c>
      <c r="M70" s="454">
        <v>0</v>
      </c>
      <c r="N70" s="454">
        <v>0</v>
      </c>
      <c r="O70" s="454">
        <v>0</v>
      </c>
      <c r="P70" s="454">
        <v>0</v>
      </c>
      <c r="Q70" s="454">
        <f>IF(Q26=0,0,R26/Q26)</f>
        <v>1</v>
      </c>
      <c r="R70" s="454">
        <f>IF(R26=0,0,S26/R26)</f>
        <v>1</v>
      </c>
      <c r="S70" s="454">
        <v>1</v>
      </c>
      <c r="T70" s="454">
        <v>1</v>
      </c>
      <c r="U70" s="322"/>
      <c r="V70" s="322"/>
      <c r="W70" s="322"/>
      <c r="X70" s="322"/>
      <c r="Y70" s="322"/>
      <c r="Z70" s="322"/>
      <c r="AA70" s="322"/>
      <c r="AB70" s="322"/>
      <c r="AC70" s="322"/>
      <c r="AD70" s="322"/>
      <c r="AE70" s="322"/>
      <c r="AF70" s="322"/>
      <c r="AG70" s="322"/>
      <c r="AH70" s="322"/>
      <c r="AI70" s="322"/>
      <c r="AJ70" s="322"/>
      <c r="AK70" s="322"/>
      <c r="AL70" s="322"/>
      <c r="AM70" s="323"/>
    </row>
    <row r="71" spans="1:39">
      <c r="A71" s="449">
        <f t="shared" si="1"/>
        <v>1999</v>
      </c>
      <c r="B71" s="454">
        <v>0</v>
      </c>
      <c r="C71" s="454">
        <v>0</v>
      </c>
      <c r="D71" s="454">
        <v>0</v>
      </c>
      <c r="E71" s="454">
        <v>0</v>
      </c>
      <c r="F71" s="454">
        <v>0</v>
      </c>
      <c r="G71" s="454">
        <v>0</v>
      </c>
      <c r="H71" s="454">
        <v>0</v>
      </c>
      <c r="I71" s="454">
        <v>0</v>
      </c>
      <c r="J71" s="454">
        <v>0</v>
      </c>
      <c r="K71" s="454">
        <v>0</v>
      </c>
      <c r="L71" s="454">
        <v>0</v>
      </c>
      <c r="M71" s="454">
        <v>0</v>
      </c>
      <c r="N71" s="454">
        <v>0</v>
      </c>
      <c r="O71" s="454">
        <v>0</v>
      </c>
      <c r="P71" s="454">
        <f>IF(P27=0,0,Q27/P27)</f>
        <v>1</v>
      </c>
      <c r="Q71" s="454">
        <f t="shared" ref="P71:R78" si="2">IF(Q27=0,0,R27/Q27)</f>
        <v>1</v>
      </c>
      <c r="R71" s="454">
        <f t="shared" si="2"/>
        <v>1</v>
      </c>
      <c r="S71" s="454">
        <v>1</v>
      </c>
      <c r="T71" s="454">
        <v>1</v>
      </c>
      <c r="U71" s="322"/>
      <c r="V71" s="322"/>
      <c r="W71" s="322"/>
      <c r="X71" s="322"/>
      <c r="Y71" s="322"/>
      <c r="Z71" s="322"/>
      <c r="AA71" s="322"/>
      <c r="AB71" s="322"/>
      <c r="AC71" s="322"/>
      <c r="AD71" s="322"/>
      <c r="AE71" s="322"/>
      <c r="AF71" s="322"/>
      <c r="AG71" s="322"/>
      <c r="AH71" s="322"/>
      <c r="AI71" s="322"/>
      <c r="AJ71" s="322"/>
      <c r="AK71" s="322"/>
      <c r="AL71" s="322"/>
      <c r="AM71" s="323"/>
    </row>
    <row r="72" spans="1:39">
      <c r="A72" s="449">
        <f t="shared" si="1"/>
        <v>2000</v>
      </c>
      <c r="B72" s="454">
        <v>0</v>
      </c>
      <c r="C72" s="454">
        <v>0</v>
      </c>
      <c r="D72" s="454">
        <v>0</v>
      </c>
      <c r="E72" s="454">
        <v>0</v>
      </c>
      <c r="F72" s="454">
        <v>0</v>
      </c>
      <c r="G72" s="454">
        <v>0</v>
      </c>
      <c r="H72" s="454">
        <v>0</v>
      </c>
      <c r="I72" s="454">
        <v>0</v>
      </c>
      <c r="J72" s="454">
        <v>0</v>
      </c>
      <c r="K72" s="454">
        <v>0</v>
      </c>
      <c r="L72" s="454">
        <v>0</v>
      </c>
      <c r="M72" s="454">
        <v>0</v>
      </c>
      <c r="N72" s="454">
        <v>0</v>
      </c>
      <c r="O72" s="454">
        <f>IF(O28=0,0,P28/O28)</f>
        <v>1</v>
      </c>
      <c r="P72" s="454">
        <f t="shared" si="2"/>
        <v>1</v>
      </c>
      <c r="Q72" s="454">
        <f t="shared" si="2"/>
        <v>1</v>
      </c>
      <c r="R72" s="454">
        <f t="shared" si="2"/>
        <v>1</v>
      </c>
      <c r="S72" s="454">
        <v>1</v>
      </c>
      <c r="T72" s="454">
        <v>1</v>
      </c>
      <c r="U72" s="322"/>
      <c r="V72" s="322"/>
      <c r="W72" s="322"/>
      <c r="X72" s="322"/>
      <c r="Y72" s="322"/>
      <c r="Z72" s="322"/>
      <c r="AA72" s="322"/>
      <c r="AB72" s="322"/>
      <c r="AC72" s="322"/>
      <c r="AD72" s="322"/>
      <c r="AE72" s="322"/>
      <c r="AF72" s="322"/>
      <c r="AG72" s="322"/>
      <c r="AH72" s="322"/>
      <c r="AI72" s="322"/>
      <c r="AJ72" s="322"/>
      <c r="AK72" s="322"/>
      <c r="AL72" s="322"/>
      <c r="AM72" s="323"/>
    </row>
    <row r="73" spans="1:39">
      <c r="A73" s="449">
        <f t="shared" si="1"/>
        <v>2001</v>
      </c>
      <c r="B73" s="454">
        <v>0</v>
      </c>
      <c r="C73" s="454">
        <v>0</v>
      </c>
      <c r="D73" s="454">
        <v>0</v>
      </c>
      <c r="E73" s="454">
        <v>0</v>
      </c>
      <c r="F73" s="454">
        <v>0</v>
      </c>
      <c r="G73" s="454">
        <v>0</v>
      </c>
      <c r="H73" s="454">
        <v>0</v>
      </c>
      <c r="I73" s="454">
        <v>0</v>
      </c>
      <c r="J73" s="454">
        <v>0</v>
      </c>
      <c r="K73" s="454">
        <v>0</v>
      </c>
      <c r="L73" s="454">
        <v>0</v>
      </c>
      <c r="M73" s="454">
        <v>0</v>
      </c>
      <c r="N73" s="454">
        <f>IF(N29=0,0,O29/N29)</f>
        <v>1</v>
      </c>
      <c r="O73" s="454">
        <f t="shared" ref="N73:P79" si="3">IF(O29=0,0,P29/O29)</f>
        <v>1</v>
      </c>
      <c r="P73" s="454">
        <f t="shared" si="2"/>
        <v>1</v>
      </c>
      <c r="Q73" s="454">
        <f t="shared" si="2"/>
        <v>1</v>
      </c>
      <c r="R73" s="454">
        <f t="shared" si="2"/>
        <v>1</v>
      </c>
      <c r="S73" s="454">
        <v>1</v>
      </c>
      <c r="T73" s="454">
        <v>1</v>
      </c>
      <c r="U73" s="322"/>
      <c r="V73" s="322"/>
      <c r="W73" s="322"/>
      <c r="X73" s="322"/>
      <c r="Y73" s="322"/>
      <c r="Z73" s="322"/>
      <c r="AA73" s="322"/>
      <c r="AB73" s="322"/>
      <c r="AC73" s="322"/>
      <c r="AD73" s="322"/>
      <c r="AE73" s="322"/>
      <c r="AF73" s="322"/>
      <c r="AG73" s="322"/>
      <c r="AH73" s="322"/>
      <c r="AI73" s="322"/>
      <c r="AJ73" s="322"/>
      <c r="AK73" s="322"/>
      <c r="AL73" s="322"/>
      <c r="AM73" s="323"/>
    </row>
    <row r="74" spans="1:39">
      <c r="A74" s="449">
        <f t="shared" si="1"/>
        <v>2002</v>
      </c>
      <c r="B74" s="454">
        <v>0</v>
      </c>
      <c r="C74" s="454">
        <v>0</v>
      </c>
      <c r="D74" s="454">
        <v>0</v>
      </c>
      <c r="E74" s="454">
        <v>0</v>
      </c>
      <c r="F74" s="454">
        <v>0</v>
      </c>
      <c r="G74" s="454">
        <v>0</v>
      </c>
      <c r="H74" s="454">
        <v>0</v>
      </c>
      <c r="I74" s="454">
        <v>0</v>
      </c>
      <c r="J74" s="454">
        <v>0</v>
      </c>
      <c r="K74" s="454">
        <v>0</v>
      </c>
      <c r="L74" s="454">
        <v>0</v>
      </c>
      <c r="M74" s="454">
        <f>IF(M30=0,0,N30/M30)</f>
        <v>1</v>
      </c>
      <c r="N74" s="454">
        <f t="shared" si="3"/>
        <v>1.0758537593012742</v>
      </c>
      <c r="O74" s="454">
        <f t="shared" si="3"/>
        <v>1</v>
      </c>
      <c r="P74" s="454">
        <f t="shared" si="3"/>
        <v>1</v>
      </c>
      <c r="Q74" s="454">
        <f t="shared" si="2"/>
        <v>1</v>
      </c>
      <c r="R74" s="454">
        <f t="shared" si="2"/>
        <v>1</v>
      </c>
      <c r="S74" s="454">
        <v>1</v>
      </c>
      <c r="T74" s="454">
        <v>1</v>
      </c>
      <c r="U74" s="322"/>
      <c r="V74" s="322"/>
      <c r="W74" s="322"/>
      <c r="X74" s="322"/>
      <c r="Y74" s="322"/>
      <c r="Z74" s="322"/>
      <c r="AA74" s="322"/>
      <c r="AB74" s="322"/>
      <c r="AC74" s="322"/>
      <c r="AD74" s="322"/>
      <c r="AE74" s="322"/>
      <c r="AF74" s="322"/>
      <c r="AG74" s="322"/>
      <c r="AH74" s="322"/>
      <c r="AI74" s="322"/>
      <c r="AJ74" s="322"/>
      <c r="AK74" s="322"/>
      <c r="AL74" s="322"/>
      <c r="AM74" s="323"/>
    </row>
    <row r="75" spans="1:39">
      <c r="A75" s="449">
        <f t="shared" si="1"/>
        <v>2003</v>
      </c>
      <c r="B75" s="454">
        <v>0</v>
      </c>
      <c r="C75" s="454">
        <v>0</v>
      </c>
      <c r="D75" s="454">
        <v>0</v>
      </c>
      <c r="E75" s="454">
        <v>0</v>
      </c>
      <c r="F75" s="454">
        <v>0</v>
      </c>
      <c r="G75" s="454">
        <v>0</v>
      </c>
      <c r="H75" s="454">
        <v>0</v>
      </c>
      <c r="I75" s="454">
        <v>0</v>
      </c>
      <c r="J75" s="454">
        <v>0</v>
      </c>
      <c r="K75" s="454">
        <v>0</v>
      </c>
      <c r="L75" s="454">
        <f>IF(L31=0,0,M31/L31)</f>
        <v>1</v>
      </c>
      <c r="M75" s="454">
        <f t="shared" ref="L75:O80" si="4">IF(M31=0,0,N31/M31)</f>
        <v>1</v>
      </c>
      <c r="N75" s="454">
        <f t="shared" si="4"/>
        <v>1</v>
      </c>
      <c r="O75" s="454">
        <f t="shared" si="3"/>
        <v>1</v>
      </c>
      <c r="P75" s="454">
        <f t="shared" si="2"/>
        <v>1</v>
      </c>
      <c r="Q75" s="454">
        <f t="shared" si="2"/>
        <v>1</v>
      </c>
      <c r="R75" s="454">
        <f t="shared" si="2"/>
        <v>1.0000000000000004</v>
      </c>
      <c r="S75" s="454">
        <v>1</v>
      </c>
      <c r="T75" s="454">
        <v>1</v>
      </c>
      <c r="U75" s="322"/>
      <c r="V75" s="322"/>
      <c r="W75" s="322"/>
      <c r="X75" s="322"/>
      <c r="Y75" s="322"/>
      <c r="Z75" s="322"/>
      <c r="AA75" s="322"/>
      <c r="AB75" s="322"/>
      <c r="AC75" s="322"/>
      <c r="AD75" s="322"/>
      <c r="AE75" s="322"/>
      <c r="AF75" s="322"/>
      <c r="AG75" s="322"/>
      <c r="AH75" s="322"/>
      <c r="AI75" s="322"/>
      <c r="AJ75" s="322"/>
      <c r="AK75" s="322"/>
      <c r="AL75" s="322"/>
      <c r="AM75" s="323"/>
    </row>
    <row r="76" spans="1:39">
      <c r="A76" s="449">
        <f t="shared" si="1"/>
        <v>2004</v>
      </c>
      <c r="B76" s="454">
        <v>0</v>
      </c>
      <c r="C76" s="454">
        <v>0</v>
      </c>
      <c r="D76" s="454">
        <v>0</v>
      </c>
      <c r="E76" s="454">
        <v>0</v>
      </c>
      <c r="F76" s="454">
        <v>0</v>
      </c>
      <c r="G76" s="454">
        <v>0</v>
      </c>
      <c r="H76" s="454">
        <v>0</v>
      </c>
      <c r="I76" s="454">
        <v>0</v>
      </c>
      <c r="J76" s="454">
        <v>0</v>
      </c>
      <c r="K76" s="454">
        <f t="shared" ref="K76:K82" si="5">IF(K32=0,0,L32/K32)</f>
        <v>1</v>
      </c>
      <c r="L76" s="454">
        <f t="shared" si="4"/>
        <v>1</v>
      </c>
      <c r="M76" s="454">
        <f t="shared" si="4"/>
        <v>1</v>
      </c>
      <c r="N76" s="454">
        <f t="shared" si="3"/>
        <v>1</v>
      </c>
      <c r="O76" s="454">
        <f t="shared" si="3"/>
        <v>1</v>
      </c>
      <c r="P76" s="454">
        <f t="shared" si="3"/>
        <v>1</v>
      </c>
      <c r="Q76" s="454">
        <f t="shared" si="2"/>
        <v>0.99999999999999967</v>
      </c>
      <c r="R76" s="454">
        <f t="shared" si="2"/>
        <v>1</v>
      </c>
      <c r="S76" s="454">
        <v>1</v>
      </c>
      <c r="T76" s="454"/>
      <c r="U76" s="322"/>
      <c r="V76" s="322"/>
      <c r="W76" s="322"/>
      <c r="X76" s="322"/>
      <c r="Y76" s="322"/>
      <c r="Z76" s="322"/>
      <c r="AA76" s="322"/>
      <c r="AB76" s="322"/>
      <c r="AC76" s="322"/>
      <c r="AD76" s="322"/>
      <c r="AE76" s="322"/>
      <c r="AF76" s="322"/>
      <c r="AG76" s="322"/>
      <c r="AH76" s="322"/>
      <c r="AI76" s="322"/>
      <c r="AJ76" s="322"/>
      <c r="AK76" s="322"/>
      <c r="AL76" s="322"/>
      <c r="AM76" s="323"/>
    </row>
    <row r="77" spans="1:39">
      <c r="A77" s="449">
        <f t="shared" si="1"/>
        <v>2005</v>
      </c>
      <c r="B77" s="454">
        <v>0</v>
      </c>
      <c r="C77" s="454">
        <v>0</v>
      </c>
      <c r="D77" s="454">
        <v>0</v>
      </c>
      <c r="E77" s="454">
        <v>0</v>
      </c>
      <c r="F77" s="454">
        <v>0</v>
      </c>
      <c r="G77" s="454">
        <v>0</v>
      </c>
      <c r="H77" s="454">
        <v>0</v>
      </c>
      <c r="I77" s="454">
        <v>0</v>
      </c>
      <c r="J77" s="454">
        <f t="shared" ref="J77:J82" si="6">IF(J33=0,0,K33/J33)</f>
        <v>1</v>
      </c>
      <c r="K77" s="454">
        <f t="shared" si="5"/>
        <v>1</v>
      </c>
      <c r="L77" s="454">
        <f t="shared" si="4"/>
        <v>1</v>
      </c>
      <c r="M77" s="454">
        <f t="shared" si="4"/>
        <v>1</v>
      </c>
      <c r="N77" s="454">
        <f t="shared" si="4"/>
        <v>1</v>
      </c>
      <c r="O77" s="454">
        <f t="shared" si="3"/>
        <v>1</v>
      </c>
      <c r="P77" s="454">
        <f t="shared" si="2"/>
        <v>0.99999999999999967</v>
      </c>
      <c r="Q77" s="454">
        <f t="shared" si="2"/>
        <v>1</v>
      </c>
      <c r="R77" s="454">
        <f t="shared" si="2"/>
        <v>0.96011964107676973</v>
      </c>
      <c r="S77" s="454"/>
      <c r="T77" s="454"/>
      <c r="U77" s="322"/>
      <c r="V77" s="322"/>
      <c r="W77" s="322"/>
      <c r="X77" s="322"/>
      <c r="Y77" s="322"/>
      <c r="Z77" s="322"/>
      <c r="AA77" s="322"/>
      <c r="AB77" s="322"/>
      <c r="AC77" s="322"/>
      <c r="AD77" s="322"/>
      <c r="AE77" s="322"/>
      <c r="AF77" s="322"/>
      <c r="AG77" s="322"/>
      <c r="AH77" s="322"/>
      <c r="AI77" s="322"/>
      <c r="AJ77" s="322"/>
      <c r="AK77" s="322"/>
      <c r="AL77" s="322"/>
      <c r="AM77" s="323"/>
    </row>
    <row r="78" spans="1:39">
      <c r="A78" s="449">
        <f t="shared" si="1"/>
        <v>2006</v>
      </c>
      <c r="B78" s="454">
        <v>0</v>
      </c>
      <c r="C78" s="454">
        <v>0</v>
      </c>
      <c r="D78" s="454">
        <v>0</v>
      </c>
      <c r="E78" s="454">
        <v>0</v>
      </c>
      <c r="F78" s="454">
        <v>0</v>
      </c>
      <c r="G78" s="454">
        <v>0</v>
      </c>
      <c r="H78" s="454">
        <v>0</v>
      </c>
      <c r="I78" s="454">
        <f>IF(I34=0,0,J34/I34)</f>
        <v>1</v>
      </c>
      <c r="J78" s="454">
        <f t="shared" si="6"/>
        <v>0.95884773662551415</v>
      </c>
      <c r="K78" s="454">
        <f t="shared" si="5"/>
        <v>1</v>
      </c>
      <c r="L78" s="454">
        <f>IF(L34=0,0,M34/L34)</f>
        <v>1</v>
      </c>
      <c r="M78" s="454">
        <f t="shared" si="4"/>
        <v>1</v>
      </c>
      <c r="N78" s="454">
        <f t="shared" si="3"/>
        <v>1</v>
      </c>
      <c r="O78" s="454">
        <f t="shared" si="3"/>
        <v>1</v>
      </c>
      <c r="P78" s="454">
        <f t="shared" si="3"/>
        <v>1</v>
      </c>
      <c r="Q78" s="454">
        <f t="shared" si="2"/>
        <v>0.82832618025751037</v>
      </c>
      <c r="R78" s="454"/>
      <c r="S78" s="454"/>
      <c r="T78" s="454"/>
      <c r="U78" s="322"/>
      <c r="V78" s="322"/>
      <c r="W78" s="322"/>
      <c r="X78" s="322"/>
      <c r="Y78" s="322"/>
      <c r="Z78" s="322"/>
      <c r="AA78" s="322"/>
      <c r="AB78" s="322"/>
      <c r="AC78" s="322"/>
      <c r="AD78" s="322"/>
      <c r="AE78" s="322"/>
      <c r="AF78" s="322"/>
      <c r="AG78" s="322"/>
      <c r="AH78" s="322"/>
      <c r="AI78" s="322"/>
      <c r="AJ78" s="322"/>
      <c r="AK78" s="322"/>
      <c r="AL78" s="322"/>
      <c r="AM78" s="323"/>
    </row>
    <row r="79" spans="1:39">
      <c r="A79" s="449">
        <f t="shared" si="1"/>
        <v>2007</v>
      </c>
      <c r="B79" s="454">
        <v>0</v>
      </c>
      <c r="C79" s="454">
        <v>0</v>
      </c>
      <c r="D79" s="454">
        <v>0</v>
      </c>
      <c r="E79" s="454">
        <v>0</v>
      </c>
      <c r="F79" s="454">
        <v>0</v>
      </c>
      <c r="G79" s="454">
        <v>0</v>
      </c>
      <c r="H79" s="454">
        <f>IF(H35=0,0,I35/H35)</f>
        <v>0.76359338061465698</v>
      </c>
      <c r="I79" s="454">
        <f>IF(I35=0,0,J35/I35)</f>
        <v>1</v>
      </c>
      <c r="J79" s="454">
        <f t="shared" si="6"/>
        <v>1</v>
      </c>
      <c r="K79" s="454">
        <f t="shared" si="5"/>
        <v>1</v>
      </c>
      <c r="L79" s="454">
        <f t="shared" si="4"/>
        <v>1</v>
      </c>
      <c r="M79" s="454">
        <f t="shared" si="4"/>
        <v>1</v>
      </c>
      <c r="N79" s="454">
        <f t="shared" si="4"/>
        <v>1</v>
      </c>
      <c r="O79" s="454">
        <f t="shared" si="4"/>
        <v>1</v>
      </c>
      <c r="P79" s="454">
        <f t="shared" si="3"/>
        <v>0.81424148606811142</v>
      </c>
      <c r="Q79" s="454"/>
      <c r="R79" s="454"/>
      <c r="S79" s="454"/>
      <c r="T79" s="454"/>
      <c r="U79" s="322"/>
      <c r="V79" s="322"/>
      <c r="W79" s="322"/>
      <c r="X79" s="322"/>
      <c r="Y79" s="322"/>
      <c r="Z79" s="322"/>
      <c r="AA79" s="322"/>
      <c r="AB79" s="322"/>
      <c r="AC79" s="322"/>
      <c r="AD79" s="322"/>
      <c r="AE79" s="322"/>
      <c r="AF79" s="322"/>
      <c r="AG79" s="322"/>
      <c r="AH79" s="322"/>
      <c r="AI79" s="322"/>
      <c r="AJ79" s="322"/>
      <c r="AK79" s="322"/>
      <c r="AL79" s="322"/>
      <c r="AM79" s="323"/>
    </row>
    <row r="80" spans="1:39">
      <c r="A80" s="449">
        <f t="shared" si="1"/>
        <v>2008</v>
      </c>
      <c r="B80" s="454">
        <v>0</v>
      </c>
      <c r="C80" s="454">
        <v>0</v>
      </c>
      <c r="D80" s="454">
        <v>0</v>
      </c>
      <c r="E80" s="454">
        <v>0</v>
      </c>
      <c r="F80" s="454">
        <v>0</v>
      </c>
      <c r="G80" s="454">
        <f>IF(G36=0,0,H36/G36)</f>
        <v>0.80729525120440471</v>
      </c>
      <c r="H80" s="454">
        <f>IF(H36=0,0,I36/H36)</f>
        <v>1</v>
      </c>
      <c r="I80" s="454">
        <f>IF(I36=0,0,J36/I36)</f>
        <v>1</v>
      </c>
      <c r="J80" s="454">
        <f t="shared" si="6"/>
        <v>1</v>
      </c>
      <c r="K80" s="454">
        <f t="shared" si="5"/>
        <v>1</v>
      </c>
      <c r="L80" s="454">
        <f t="shared" ref="L80:N81" si="7">IF(L36=0,0,M36/L36)</f>
        <v>1.0255754475703325</v>
      </c>
      <c r="M80" s="454">
        <f t="shared" si="7"/>
        <v>0.99999999999999967</v>
      </c>
      <c r="N80" s="454">
        <f t="shared" si="7"/>
        <v>1</v>
      </c>
      <c r="O80" s="454">
        <f t="shared" si="4"/>
        <v>0.95012468827930174</v>
      </c>
      <c r="P80" s="454"/>
      <c r="Q80" s="454"/>
      <c r="R80" s="454"/>
      <c r="S80" s="454"/>
      <c r="T80" s="454"/>
      <c r="U80" s="322"/>
      <c r="V80" s="322"/>
      <c r="W80" s="322"/>
      <c r="X80" s="322"/>
      <c r="Y80" s="322"/>
      <c r="Z80" s="322"/>
      <c r="AA80" s="322"/>
      <c r="AB80" s="322"/>
      <c r="AC80" s="322"/>
      <c r="AD80" s="322"/>
      <c r="AE80" s="322"/>
      <c r="AF80" s="322"/>
      <c r="AG80" s="322"/>
      <c r="AH80" s="322"/>
      <c r="AI80" s="322"/>
      <c r="AJ80" s="322"/>
      <c r="AK80" s="322"/>
      <c r="AL80" s="322"/>
      <c r="AM80" s="323"/>
    </row>
    <row r="81" spans="1:39">
      <c r="A81" s="449">
        <f t="shared" si="1"/>
        <v>2009</v>
      </c>
      <c r="B81" s="454">
        <v>0</v>
      </c>
      <c r="C81" s="454">
        <v>0</v>
      </c>
      <c r="D81" s="454">
        <v>0</v>
      </c>
      <c r="E81" s="454">
        <v>0</v>
      </c>
      <c r="F81" s="454">
        <f>IF(F37=0,0,G37/F37)</f>
        <v>1.0556053811659192</v>
      </c>
      <c r="G81" s="454">
        <f>IF(G37=0,0,H37/G37)</f>
        <v>1.0849617672047578</v>
      </c>
      <c r="H81" s="454">
        <f>IF(H37=0,0,I37/H37)</f>
        <v>0.99216914643696164</v>
      </c>
      <c r="I81" s="454">
        <f>IF(I37=0,0,J37/I37)</f>
        <v>1</v>
      </c>
      <c r="J81" s="454">
        <f t="shared" si="6"/>
        <v>1</v>
      </c>
      <c r="K81" s="454">
        <f t="shared" si="5"/>
        <v>1</v>
      </c>
      <c r="L81" s="454">
        <f t="shared" si="7"/>
        <v>1.0000000000000002</v>
      </c>
      <c r="M81" s="454">
        <f t="shared" si="7"/>
        <v>1</v>
      </c>
      <c r="N81" s="454">
        <f t="shared" si="7"/>
        <v>0.65666929755327552</v>
      </c>
      <c r="O81" s="454"/>
      <c r="P81" s="454"/>
      <c r="Q81" s="454"/>
      <c r="R81" s="454"/>
      <c r="S81" s="454"/>
      <c r="T81" s="454"/>
      <c r="U81" s="322"/>
      <c r="V81" s="322"/>
      <c r="W81" s="322"/>
      <c r="X81" s="322"/>
      <c r="Y81" s="322"/>
      <c r="Z81" s="322"/>
      <c r="AA81" s="322"/>
      <c r="AB81" s="322"/>
      <c r="AC81" s="322"/>
      <c r="AD81" s="322"/>
      <c r="AE81" s="322"/>
      <c r="AF81" s="322"/>
      <c r="AG81" s="322"/>
      <c r="AH81" s="322"/>
      <c r="AI81" s="322"/>
      <c r="AJ81" s="322"/>
      <c r="AK81" s="322"/>
      <c r="AL81" s="322"/>
      <c r="AM81" s="323"/>
    </row>
    <row r="82" spans="1:39">
      <c r="A82" s="449">
        <f t="shared" si="1"/>
        <v>2010</v>
      </c>
      <c r="B82" s="454">
        <v>0</v>
      </c>
      <c r="C82" s="454">
        <v>0</v>
      </c>
      <c r="D82" s="454">
        <v>0</v>
      </c>
      <c r="E82" s="454">
        <f>IF(E38=0,0,F38/E38)</f>
        <v>1.2953456536618755</v>
      </c>
      <c r="F82" s="454">
        <f>IF(F38=0,0,G38/F38)</f>
        <v>0.96301188903566715</v>
      </c>
      <c r="G82" s="454">
        <f>IF(G38=0,0,H38/G38)</f>
        <v>0.92866941015089166</v>
      </c>
      <c r="H82" s="454">
        <f>IF(H38=0,0,I38/H38)</f>
        <v>1</v>
      </c>
      <c r="I82" s="454">
        <f>IF(I38=0,0,J38/I38)</f>
        <v>1</v>
      </c>
      <c r="J82" s="454">
        <f t="shared" si="6"/>
        <v>1</v>
      </c>
      <c r="K82" s="454">
        <f t="shared" si="5"/>
        <v>1</v>
      </c>
      <c r="L82" s="454">
        <f>IF(L38=0,0,M38/L38)</f>
        <v>1</v>
      </c>
      <c r="M82" s="454">
        <f>IF(M38=0,0,N38/M38)</f>
        <v>0.73412112259970463</v>
      </c>
      <c r="N82" s="454"/>
      <c r="O82" s="454"/>
      <c r="P82" s="454"/>
      <c r="Q82" s="454"/>
      <c r="R82" s="454"/>
      <c r="S82" s="454"/>
      <c r="T82" s="454"/>
      <c r="U82" s="322"/>
      <c r="V82" s="322"/>
      <c r="W82" s="322"/>
      <c r="X82" s="322"/>
      <c r="Y82" s="322"/>
      <c r="Z82" s="322"/>
      <c r="AA82" s="322"/>
      <c r="AB82" s="322"/>
      <c r="AC82" s="322"/>
      <c r="AD82" s="322"/>
      <c r="AE82" s="322"/>
      <c r="AF82" s="322"/>
      <c r="AG82" s="322"/>
      <c r="AH82" s="322"/>
      <c r="AI82" s="322"/>
      <c r="AJ82" s="322"/>
      <c r="AK82" s="322"/>
      <c r="AL82" s="322"/>
      <c r="AM82" s="323"/>
    </row>
    <row r="83" spans="1:39">
      <c r="A83" s="449">
        <f t="shared" si="1"/>
        <v>2011</v>
      </c>
      <c r="B83" s="454">
        <v>0</v>
      </c>
      <c r="C83" s="454">
        <v>0</v>
      </c>
      <c r="D83" s="454">
        <f>IF(D39=0,0,E39/D39)</f>
        <v>0.79012345679012363</v>
      </c>
      <c r="E83" s="454">
        <f t="shared" ref="D83:K91" si="8">IF(E39=0,0,F39/E39)</f>
        <v>2.0045312499999999</v>
      </c>
      <c r="F83" s="454">
        <f t="shared" si="8"/>
        <v>1.0857432379764596</v>
      </c>
      <c r="G83" s="454">
        <f t="shared" si="8"/>
        <v>1.0358963313949314</v>
      </c>
      <c r="H83" s="454">
        <f t="shared" si="8"/>
        <v>1</v>
      </c>
      <c r="I83" s="454">
        <f t="shared" si="8"/>
        <v>1</v>
      </c>
      <c r="J83" s="454">
        <f t="shared" si="8"/>
        <v>0.99999999999999978</v>
      </c>
      <c r="K83" s="454">
        <f t="shared" si="8"/>
        <v>1</v>
      </c>
      <c r="L83" s="454">
        <f>IF(L39=0,0,M39/L39)</f>
        <v>0.53884538083027256</v>
      </c>
      <c r="M83" s="454"/>
      <c r="N83" s="454"/>
      <c r="O83" s="454"/>
      <c r="P83" s="454"/>
      <c r="Q83" s="454"/>
      <c r="R83" s="454"/>
      <c r="S83" s="454"/>
      <c r="T83" s="454"/>
      <c r="U83" s="322"/>
      <c r="V83" s="322"/>
      <c r="W83" s="322"/>
      <c r="X83" s="322"/>
      <c r="Y83" s="322"/>
      <c r="Z83" s="322"/>
      <c r="AA83" s="322"/>
      <c r="AB83" s="322"/>
      <c r="AC83" s="322"/>
      <c r="AD83" s="322"/>
      <c r="AE83" s="322"/>
      <c r="AF83" s="322"/>
      <c r="AG83" s="322"/>
      <c r="AH83" s="322"/>
      <c r="AI83" s="322"/>
      <c r="AJ83" s="322"/>
      <c r="AK83" s="322"/>
      <c r="AL83" s="322"/>
      <c r="AM83" s="323"/>
    </row>
    <row r="84" spans="1:39">
      <c r="A84" s="449">
        <f t="shared" si="1"/>
        <v>2012</v>
      </c>
      <c r="B84" s="454">
        <v>0</v>
      </c>
      <c r="C84" s="454">
        <f>IF(C40=0,0,D40/C40)</f>
        <v>0</v>
      </c>
      <c r="D84" s="454">
        <f t="shared" si="8"/>
        <v>0.93091537132987912</v>
      </c>
      <c r="E84" s="454">
        <f t="shared" si="8"/>
        <v>1.2597402597402598</v>
      </c>
      <c r="F84" s="454">
        <f t="shared" si="8"/>
        <v>2.9145802650957298</v>
      </c>
      <c r="G84" s="454">
        <f t="shared" si="8"/>
        <v>0.95957554320363825</v>
      </c>
      <c r="H84" s="454">
        <f t="shared" si="8"/>
        <v>1</v>
      </c>
      <c r="I84" s="454">
        <f t="shared" si="8"/>
        <v>0.99999999999999978</v>
      </c>
      <c r="J84" s="454">
        <f t="shared" si="8"/>
        <v>1.0421274007372303</v>
      </c>
      <c r="K84" s="454">
        <f t="shared" si="8"/>
        <v>0.34310255515147492</v>
      </c>
      <c r="L84" s="454"/>
      <c r="M84" s="454"/>
      <c r="N84" s="454"/>
      <c r="O84" s="454"/>
      <c r="P84" s="454"/>
      <c r="Q84" s="454"/>
      <c r="R84" s="454"/>
      <c r="S84" s="454"/>
      <c r="T84" s="454"/>
      <c r="U84" s="322"/>
      <c r="V84" s="322"/>
      <c r="W84" s="322"/>
      <c r="X84" s="322"/>
      <c r="Y84" s="322"/>
      <c r="Z84" s="322"/>
      <c r="AA84" s="322"/>
      <c r="AB84" s="322"/>
      <c r="AC84" s="322"/>
      <c r="AD84" s="322"/>
      <c r="AE84" s="322"/>
      <c r="AF84" s="322"/>
      <c r="AG84" s="322"/>
      <c r="AH84" s="322"/>
      <c r="AI84" s="322"/>
      <c r="AJ84" s="322"/>
      <c r="AK84" s="322"/>
      <c r="AL84" s="322"/>
      <c r="AM84" s="323"/>
    </row>
    <row r="85" spans="1:39">
      <c r="A85" s="449">
        <f t="shared" si="1"/>
        <v>2013</v>
      </c>
      <c r="B85" s="454">
        <f>IF(B41=0,0,C41/B41)</f>
        <v>0.99999999999999956</v>
      </c>
      <c r="C85" s="454">
        <f t="shared" ref="B85:C93" si="9">IF(C41=0,0,D41/C41)</f>
        <v>5.8</v>
      </c>
      <c r="D85" s="454">
        <f t="shared" si="8"/>
        <v>1.0948275862068966</v>
      </c>
      <c r="E85" s="454">
        <f t="shared" si="8"/>
        <v>1.6976377952755906</v>
      </c>
      <c r="F85" s="454">
        <f t="shared" si="8"/>
        <v>1.6493506493506489</v>
      </c>
      <c r="G85" s="454">
        <f t="shared" si="8"/>
        <v>1.1349831271091113</v>
      </c>
      <c r="H85" s="454">
        <f t="shared" si="8"/>
        <v>1</v>
      </c>
      <c r="I85" s="454">
        <f t="shared" si="8"/>
        <v>1.0000000000000004</v>
      </c>
      <c r="J85" s="454">
        <f t="shared" si="8"/>
        <v>0.45490584737363737</v>
      </c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322"/>
      <c r="V85" s="322"/>
      <c r="W85" s="322"/>
      <c r="X85" s="322"/>
      <c r="Y85" s="322"/>
      <c r="Z85" s="322"/>
      <c r="AA85" s="322"/>
      <c r="AB85" s="322"/>
      <c r="AC85" s="322"/>
      <c r="AD85" s="322"/>
      <c r="AE85" s="322"/>
      <c r="AF85" s="322"/>
      <c r="AG85" s="322"/>
      <c r="AH85" s="322"/>
      <c r="AI85" s="322"/>
      <c r="AJ85" s="322"/>
      <c r="AK85" s="322"/>
      <c r="AL85" s="322"/>
      <c r="AM85" s="323"/>
    </row>
    <row r="86" spans="1:39">
      <c r="A86" s="449">
        <f t="shared" si="1"/>
        <v>2014</v>
      </c>
      <c r="B86" s="454">
        <f t="shared" si="9"/>
        <v>0</v>
      </c>
      <c r="C86" s="454">
        <f t="shared" si="9"/>
        <v>1.6429214350006429</v>
      </c>
      <c r="D86" s="454">
        <f t="shared" si="8"/>
        <v>1.1739845034045557</v>
      </c>
      <c r="E86" s="454">
        <f t="shared" si="8"/>
        <v>2.6566666666666658</v>
      </c>
      <c r="F86" s="454">
        <f t="shared" si="8"/>
        <v>1.2509410288582181</v>
      </c>
      <c r="G86" s="454">
        <f t="shared" si="8"/>
        <v>0.8595787362086259</v>
      </c>
      <c r="H86" s="454">
        <f t="shared" si="8"/>
        <v>1.0000000000000004</v>
      </c>
      <c r="I86" s="454">
        <f t="shared" si="8"/>
        <v>1</v>
      </c>
      <c r="J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322"/>
      <c r="V86" s="322"/>
      <c r="W86" s="322"/>
      <c r="X86" s="322"/>
      <c r="Y86" s="322"/>
      <c r="Z86" s="322"/>
      <c r="AA86" s="322"/>
      <c r="AB86" s="322"/>
      <c r="AC86" s="322"/>
      <c r="AD86" s="322"/>
      <c r="AE86" s="322"/>
      <c r="AF86" s="322"/>
      <c r="AG86" s="322"/>
      <c r="AH86" s="322"/>
      <c r="AI86" s="322"/>
      <c r="AJ86" s="322"/>
      <c r="AK86" s="322"/>
      <c r="AL86" s="322"/>
      <c r="AM86" s="323"/>
    </row>
    <row r="87" spans="1:39">
      <c r="A87" s="449">
        <f t="shared" si="1"/>
        <v>2015</v>
      </c>
      <c r="B87" s="454">
        <f t="shared" si="9"/>
        <v>0</v>
      </c>
      <c r="C87" s="454">
        <f t="shared" si="9"/>
        <v>2.37</v>
      </c>
      <c r="D87" s="454">
        <f t="shared" si="8"/>
        <v>1.2151898734177216</v>
      </c>
      <c r="E87" s="454">
        <f t="shared" si="8"/>
        <v>0.98263888888888884</v>
      </c>
      <c r="F87" s="454">
        <f t="shared" si="8"/>
        <v>1.0494699646643109</v>
      </c>
      <c r="G87" s="454">
        <f t="shared" si="8"/>
        <v>1</v>
      </c>
      <c r="H87" s="454">
        <f t="shared" si="8"/>
        <v>0.85858585858585856</v>
      </c>
      <c r="I87" s="454"/>
      <c r="J87" s="454"/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322"/>
      <c r="V87" s="322"/>
      <c r="W87" s="322"/>
      <c r="X87" s="322"/>
      <c r="Y87" s="322"/>
      <c r="Z87" s="322"/>
      <c r="AA87" s="322"/>
      <c r="AB87" s="322"/>
      <c r="AC87" s="322"/>
      <c r="AD87" s="322"/>
      <c r="AE87" s="322"/>
      <c r="AF87" s="322"/>
      <c r="AG87" s="322"/>
      <c r="AH87" s="322"/>
      <c r="AI87" s="322"/>
      <c r="AJ87" s="322"/>
      <c r="AK87" s="322"/>
      <c r="AL87" s="322"/>
      <c r="AM87" s="323"/>
    </row>
    <row r="88" spans="1:39">
      <c r="A88" s="449">
        <f t="shared" si="1"/>
        <v>2016</v>
      </c>
      <c r="B88" s="454">
        <f t="shared" si="9"/>
        <v>3.6999999999999993</v>
      </c>
      <c r="C88" s="454">
        <f t="shared" si="9"/>
        <v>1.8108108108108112</v>
      </c>
      <c r="D88" s="454">
        <f t="shared" si="8"/>
        <v>1.2537313432835822</v>
      </c>
      <c r="E88" s="454">
        <f t="shared" si="8"/>
        <v>1.3571428571428572</v>
      </c>
      <c r="F88" s="454">
        <f t="shared" si="8"/>
        <v>1.0877192982456143</v>
      </c>
      <c r="G88" s="454">
        <f t="shared" si="8"/>
        <v>0.83064516129032229</v>
      </c>
      <c r="H88" s="454"/>
      <c r="I88" s="454"/>
      <c r="J88" s="454"/>
      <c r="K88" s="454"/>
      <c r="L88" s="454"/>
      <c r="M88" s="454"/>
      <c r="N88" s="454"/>
      <c r="O88" s="454"/>
      <c r="P88" s="454"/>
      <c r="Q88" s="454"/>
      <c r="R88" s="454"/>
      <c r="S88" s="454"/>
      <c r="T88" s="454"/>
      <c r="U88" s="322"/>
      <c r="V88" s="322"/>
      <c r="W88" s="322"/>
      <c r="X88" s="322"/>
      <c r="Y88" s="322"/>
      <c r="Z88" s="322"/>
      <c r="AA88" s="322"/>
      <c r="AB88" s="322"/>
      <c r="AC88" s="322"/>
      <c r="AD88" s="322"/>
      <c r="AE88" s="322"/>
      <c r="AF88" s="322"/>
      <c r="AG88" s="322"/>
      <c r="AH88" s="322"/>
      <c r="AI88" s="322"/>
      <c r="AJ88" s="322"/>
      <c r="AK88" s="322"/>
      <c r="AL88" s="322"/>
      <c r="AM88" s="323"/>
    </row>
    <row r="89" spans="1:39">
      <c r="A89" s="449">
        <f t="shared" si="1"/>
        <v>2017</v>
      </c>
      <c r="B89" s="454">
        <f t="shared" si="9"/>
        <v>0</v>
      </c>
      <c r="C89" s="454">
        <f t="shared" si="9"/>
        <v>11</v>
      </c>
      <c r="D89" s="454">
        <f t="shared" si="8"/>
        <v>1.8181818181818181</v>
      </c>
      <c r="E89" s="454">
        <f t="shared" si="8"/>
        <v>1.375</v>
      </c>
      <c r="F89" s="454">
        <f t="shared" si="8"/>
        <v>0.37272727272727274</v>
      </c>
      <c r="G89" s="454"/>
      <c r="H89" s="454"/>
      <c r="I89" s="454"/>
      <c r="J89" s="454"/>
      <c r="K89" s="454"/>
      <c r="L89" s="454"/>
      <c r="M89" s="454"/>
      <c r="N89" s="454"/>
      <c r="O89" s="454"/>
      <c r="P89" s="454"/>
      <c r="Q89" s="454"/>
      <c r="R89" s="454"/>
      <c r="S89" s="454"/>
      <c r="T89" s="454"/>
      <c r="U89" s="322"/>
      <c r="V89" s="322"/>
      <c r="W89" s="322"/>
      <c r="X89" s="322"/>
      <c r="Y89" s="322"/>
      <c r="Z89" s="322"/>
      <c r="AA89" s="322"/>
      <c r="AB89" s="322"/>
      <c r="AC89" s="322"/>
      <c r="AD89" s="322"/>
      <c r="AE89" s="322"/>
      <c r="AF89" s="322"/>
      <c r="AG89" s="322"/>
      <c r="AH89" s="322"/>
      <c r="AI89" s="322"/>
      <c r="AJ89" s="322"/>
      <c r="AK89" s="322"/>
      <c r="AL89" s="322"/>
      <c r="AM89" s="323"/>
    </row>
    <row r="90" spans="1:39">
      <c r="A90" s="449">
        <f t="shared" si="1"/>
        <v>2018</v>
      </c>
      <c r="B90" s="454">
        <f t="shared" si="9"/>
        <v>0</v>
      </c>
      <c r="C90" s="454">
        <f t="shared" si="9"/>
        <v>1.0322580645161294</v>
      </c>
      <c r="D90" s="454">
        <f t="shared" si="8"/>
        <v>1.9749999999999994</v>
      </c>
      <c r="E90" s="454">
        <f t="shared" si="8"/>
        <v>1.5221518987341776</v>
      </c>
      <c r="F90" s="454"/>
      <c r="G90" s="454"/>
      <c r="H90" s="454"/>
      <c r="I90" s="454"/>
      <c r="J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322"/>
      <c r="V90" s="322"/>
      <c r="W90" s="322"/>
      <c r="X90" s="322"/>
      <c r="Y90" s="322"/>
      <c r="Z90" s="322"/>
      <c r="AA90" s="322"/>
      <c r="AB90" s="322"/>
      <c r="AC90" s="322"/>
      <c r="AD90" s="322"/>
      <c r="AE90" s="322"/>
      <c r="AF90" s="322"/>
      <c r="AG90" s="322"/>
      <c r="AH90" s="322"/>
      <c r="AI90" s="322"/>
      <c r="AJ90" s="322"/>
      <c r="AK90" s="322"/>
      <c r="AL90" s="322"/>
      <c r="AM90" s="323"/>
    </row>
    <row r="91" spans="1:39">
      <c r="A91" s="449">
        <f t="shared" si="1"/>
        <v>2019</v>
      </c>
      <c r="B91" s="454">
        <f t="shared" si="9"/>
        <v>0</v>
      </c>
      <c r="C91" s="454">
        <f t="shared" si="9"/>
        <v>2.546153846153846</v>
      </c>
      <c r="D91" s="454">
        <f t="shared" si="8"/>
        <v>1.5830815709969788</v>
      </c>
      <c r="E91" s="454"/>
      <c r="F91" s="454"/>
      <c r="G91" s="454"/>
      <c r="H91" s="454"/>
      <c r="I91" s="454"/>
      <c r="J91" s="454"/>
      <c r="K91" s="454"/>
      <c r="L91" s="454"/>
      <c r="M91" s="454"/>
      <c r="N91" s="454"/>
      <c r="O91" s="454"/>
      <c r="P91" s="454"/>
      <c r="Q91" s="454"/>
      <c r="R91" s="454"/>
      <c r="S91" s="454"/>
      <c r="T91" s="454"/>
      <c r="U91" s="322"/>
      <c r="V91" s="322"/>
      <c r="W91" s="322"/>
      <c r="X91" s="322"/>
      <c r="Y91" s="322"/>
      <c r="Z91" s="322"/>
      <c r="AA91" s="322"/>
      <c r="AB91" s="322"/>
      <c r="AC91" s="322"/>
      <c r="AD91" s="322"/>
      <c r="AE91" s="322"/>
      <c r="AF91" s="322"/>
      <c r="AG91" s="322"/>
      <c r="AH91" s="322"/>
      <c r="AI91" s="322"/>
      <c r="AJ91" s="322"/>
      <c r="AK91" s="322"/>
      <c r="AL91" s="322"/>
      <c r="AM91" s="323"/>
    </row>
    <row r="92" spans="1:39">
      <c r="A92" s="449">
        <f t="shared" si="1"/>
        <v>2020</v>
      </c>
      <c r="B92" s="454">
        <f t="shared" si="9"/>
        <v>0</v>
      </c>
      <c r="C92" s="454">
        <f t="shared" si="9"/>
        <v>0</v>
      </c>
      <c r="D92" s="454"/>
      <c r="E92" s="454"/>
      <c r="F92" s="454"/>
      <c r="G92" s="454"/>
      <c r="H92" s="454"/>
      <c r="I92" s="454"/>
      <c r="J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322"/>
      <c r="V92" s="322"/>
      <c r="W92" s="322"/>
      <c r="X92" s="322"/>
      <c r="Y92" s="322"/>
      <c r="Z92" s="322"/>
      <c r="AA92" s="322"/>
      <c r="AB92" s="322"/>
      <c r="AC92" s="322"/>
      <c r="AD92" s="322"/>
      <c r="AE92" s="322"/>
      <c r="AF92" s="322"/>
      <c r="AG92" s="322"/>
      <c r="AH92" s="322"/>
      <c r="AI92" s="322"/>
      <c r="AJ92" s="322"/>
      <c r="AK92" s="322"/>
      <c r="AL92" s="322"/>
      <c r="AM92" s="323"/>
    </row>
    <row r="93" spans="1:39">
      <c r="A93" s="449">
        <f t="shared" si="1"/>
        <v>2021</v>
      </c>
      <c r="B93" s="454">
        <f t="shared" si="9"/>
        <v>0</v>
      </c>
      <c r="C93" s="454"/>
      <c r="D93" s="454"/>
      <c r="E93" s="454"/>
      <c r="F93" s="454"/>
      <c r="G93" s="454"/>
      <c r="H93" s="454"/>
      <c r="I93" s="454"/>
      <c r="J93" s="454"/>
      <c r="K93" s="454"/>
      <c r="L93" s="454"/>
      <c r="M93" s="454"/>
      <c r="N93" s="454"/>
      <c r="O93" s="454"/>
      <c r="P93" s="454"/>
      <c r="Q93" s="454"/>
      <c r="S93" s="454"/>
      <c r="T93" s="454"/>
      <c r="U93" s="322"/>
      <c r="V93" s="322"/>
      <c r="W93" s="322"/>
      <c r="X93" s="322"/>
      <c r="Y93" s="322"/>
      <c r="Z93" s="322"/>
      <c r="AA93" s="322"/>
      <c r="AB93" s="322"/>
      <c r="AC93" s="322"/>
      <c r="AD93" s="322"/>
      <c r="AE93" s="322"/>
      <c r="AF93" s="322"/>
      <c r="AG93" s="322"/>
      <c r="AH93" s="322"/>
      <c r="AI93" s="322"/>
      <c r="AJ93" s="322"/>
      <c r="AK93" s="322"/>
      <c r="AL93" s="322"/>
      <c r="AM93" s="323"/>
    </row>
    <row r="94" spans="1:39">
      <c r="A94" s="449">
        <f t="shared" si="1"/>
        <v>2022</v>
      </c>
      <c r="B94" s="454"/>
      <c r="C94" s="454"/>
      <c r="D94" s="454"/>
      <c r="E94" s="454"/>
      <c r="F94" s="454"/>
      <c r="G94" s="454"/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322"/>
      <c r="V94" s="322"/>
      <c r="W94" s="322"/>
      <c r="X94" s="322"/>
      <c r="Y94" s="322"/>
      <c r="Z94" s="322"/>
      <c r="AA94" s="322"/>
      <c r="AB94" s="322"/>
      <c r="AC94" s="322"/>
      <c r="AD94" s="322"/>
      <c r="AE94" s="322"/>
      <c r="AF94" s="322"/>
      <c r="AG94" s="322"/>
      <c r="AH94" s="322"/>
      <c r="AI94" s="322"/>
      <c r="AJ94" s="322"/>
      <c r="AK94" s="322"/>
      <c r="AL94" s="322"/>
      <c r="AM94" s="323"/>
    </row>
    <row r="95" spans="1:39">
      <c r="B95" s="455"/>
      <c r="C95" s="455"/>
      <c r="D95" s="455"/>
      <c r="E95" s="455"/>
      <c r="F95" s="455"/>
      <c r="G95" s="455"/>
      <c r="H95" s="455"/>
      <c r="I95" s="455"/>
      <c r="J95" s="455"/>
      <c r="K95" s="455"/>
      <c r="L95" s="455"/>
      <c r="M95" s="455"/>
      <c r="N95" s="455"/>
      <c r="O95" s="455"/>
      <c r="P95" s="455"/>
      <c r="Q95" s="455"/>
      <c r="R95" s="455"/>
      <c r="S95" s="455"/>
      <c r="T95" s="455"/>
      <c r="U95" s="323"/>
      <c r="V95" s="323"/>
      <c r="W95" s="323"/>
      <c r="X95" s="323"/>
      <c r="Y95" s="323"/>
      <c r="Z95" s="323"/>
      <c r="AA95" s="323"/>
      <c r="AB95" s="323"/>
      <c r="AC95" s="323"/>
      <c r="AD95" s="323"/>
      <c r="AE95" s="323"/>
      <c r="AF95" s="323"/>
      <c r="AG95" s="323"/>
      <c r="AH95" s="323"/>
      <c r="AI95" s="323"/>
      <c r="AJ95" s="323"/>
      <c r="AK95" s="323"/>
      <c r="AL95" s="323"/>
      <c r="AM95" s="323"/>
    </row>
    <row r="96" spans="1:39">
      <c r="A96" s="446" t="s">
        <v>1053</v>
      </c>
      <c r="B96" s="455"/>
      <c r="C96" s="455"/>
      <c r="D96" s="455"/>
      <c r="E96" s="455"/>
      <c r="F96" s="455"/>
      <c r="G96" s="455"/>
      <c r="H96" s="455"/>
      <c r="I96" s="455"/>
      <c r="J96" s="455"/>
      <c r="K96" s="455"/>
      <c r="L96" s="455"/>
      <c r="M96" s="455"/>
      <c r="N96" s="455"/>
      <c r="O96" s="455"/>
      <c r="P96" s="455"/>
      <c r="Q96" s="455"/>
      <c r="R96" s="455"/>
      <c r="S96" s="455"/>
      <c r="T96" s="455"/>
      <c r="U96" s="323"/>
      <c r="V96" s="323"/>
      <c r="W96" s="323"/>
      <c r="X96" s="323"/>
      <c r="Y96" s="323"/>
      <c r="Z96" s="323"/>
      <c r="AA96" s="323"/>
      <c r="AB96" s="323"/>
      <c r="AC96" s="323"/>
      <c r="AD96" s="323"/>
      <c r="AE96" s="323"/>
      <c r="AF96" s="323"/>
      <c r="AG96" s="323"/>
      <c r="AH96" s="323"/>
      <c r="AI96" s="323"/>
      <c r="AJ96" s="323"/>
      <c r="AK96" s="323"/>
      <c r="AL96" s="323"/>
      <c r="AM96" s="323"/>
    </row>
    <row r="97" spans="1:39">
      <c r="B97" s="456" t="s">
        <v>1054</v>
      </c>
      <c r="C97" s="455"/>
      <c r="D97" s="455"/>
      <c r="E97" s="455"/>
      <c r="F97" s="455"/>
      <c r="G97" s="457"/>
      <c r="H97" s="457"/>
      <c r="I97" s="457"/>
      <c r="J97" s="457"/>
      <c r="K97" s="457"/>
      <c r="L97" s="457"/>
      <c r="M97" s="457"/>
      <c r="N97" s="457"/>
      <c r="O97" s="457"/>
      <c r="P97" s="457"/>
      <c r="Q97" s="457"/>
      <c r="R97" s="455"/>
      <c r="S97" s="455"/>
      <c r="T97" s="455"/>
      <c r="U97" s="323"/>
      <c r="V97" s="323"/>
      <c r="W97" s="323"/>
      <c r="X97" s="323"/>
      <c r="Y97" s="323"/>
      <c r="Z97" s="323"/>
      <c r="AA97" s="323"/>
      <c r="AB97" s="323"/>
      <c r="AC97" s="323"/>
      <c r="AD97" s="323"/>
      <c r="AE97" s="323"/>
      <c r="AF97" s="323"/>
      <c r="AG97" s="323"/>
      <c r="AH97" s="323"/>
      <c r="AI97" s="323"/>
      <c r="AJ97" s="323"/>
      <c r="AK97" s="323"/>
      <c r="AL97" s="323"/>
      <c r="AM97" s="323"/>
    </row>
    <row r="98" spans="1:39">
      <c r="A98" s="458" t="s">
        <v>1055</v>
      </c>
      <c r="B98" s="455">
        <f>IF(SUM(B47:B49)=0,0,SUMPRODUCT(B47:B49,B91:B93)/SUM(B47:B49))</f>
        <v>0</v>
      </c>
      <c r="C98" s="455">
        <f>SUMPRODUCT(C46:C48,C90:C92)/SUM(C46:C48)</f>
        <v>1.4795454545454549</v>
      </c>
      <c r="D98" s="455">
        <f>SUMPRODUCT(D45:D47,D89:D91)/SUM(D45:D47)</f>
        <v>1.7864523536165324</v>
      </c>
      <c r="E98" s="455">
        <f>SUMPRODUCT(E44:E46,E88:E90)/SUM(E44:E46)</f>
        <v>1.4166666666666667</v>
      </c>
      <c r="F98" s="455">
        <f>SUMPRODUCT(F43:F45,F87:F89)/SUM(F43:F45)</f>
        <v>0.94363929146537839</v>
      </c>
      <c r="G98" s="457">
        <f>SUMPRODUCT(G42:G44,G86:G88)/SUM(G42:G44)</f>
        <v>0.90596453519613107</v>
      </c>
      <c r="H98" s="457">
        <f>SUMPRODUCT(H41:H43,H85:H87)/SUM(H41:H43)</f>
        <v>0.95183486238532111</v>
      </c>
      <c r="I98" s="457">
        <f>SUMPRODUCT(I40:I42,I84:I86)/SUM(I40:I42)</f>
        <v>1</v>
      </c>
      <c r="J98" s="457">
        <f>SUMPRODUCT(J39:J41,J83:J85)/SUM(J39:J41)</f>
        <v>0.80969792981212341</v>
      </c>
      <c r="K98" s="457">
        <f>SUMPRODUCT(K38:K40,K82:K84)/SUM(K38:K40)</f>
        <v>0.74581573268102586</v>
      </c>
      <c r="L98" s="457">
        <f>SUMPRODUCT(L37:L39,L81:L83)/SUM(L37:L39)</f>
        <v>0.84885516990732346</v>
      </c>
      <c r="M98" s="457">
        <f>SUMPRODUCT(M36:M38,M80:M82)/SUM(M36:M38)</f>
        <v>0.89189189189189189</v>
      </c>
      <c r="N98" s="457">
        <f>SUMPRODUCT(N35:N37,N79:N81)/SUM(N35:N37)</f>
        <v>0.87350974120383829</v>
      </c>
      <c r="O98" s="457">
        <f>SUMPRODUCT(O34:O36,O78:O80)/SUM(O34:O36)</f>
        <v>0.98201977824393172</v>
      </c>
      <c r="P98" s="457">
        <f>SUMPRODUCT(P33:P35,P77:P79)/SUM(P33:P35)</f>
        <v>0.94262033790245447</v>
      </c>
      <c r="Q98" s="457">
        <f>SUMPRODUCT(Q32:Q34,Q76:Q78)/SUM(Q32:Q34)</f>
        <v>0.94140052739525326</v>
      </c>
      <c r="R98" s="455">
        <v>1</v>
      </c>
      <c r="S98" s="455">
        <v>1</v>
      </c>
      <c r="T98" s="455">
        <v>1</v>
      </c>
      <c r="U98" s="323"/>
      <c r="V98" s="323"/>
      <c r="W98" s="323"/>
      <c r="X98" s="323"/>
      <c r="Y98" s="323"/>
      <c r="Z98" s="323"/>
      <c r="AA98" s="323"/>
      <c r="AB98" s="323"/>
      <c r="AC98" s="323"/>
      <c r="AD98" s="323"/>
      <c r="AE98" s="323"/>
      <c r="AF98" s="323"/>
      <c r="AG98" s="323"/>
      <c r="AH98" s="323"/>
      <c r="AI98" s="323"/>
      <c r="AJ98" s="323"/>
      <c r="AK98" s="323"/>
      <c r="AL98" s="323"/>
    </row>
    <row r="99" spans="1:39">
      <c r="B99" s="456" t="s">
        <v>1056</v>
      </c>
      <c r="C99" s="457"/>
      <c r="D99" s="455"/>
      <c r="E99" s="455"/>
      <c r="F99" s="455"/>
      <c r="G99" s="455"/>
      <c r="H99" s="455"/>
      <c r="I99" s="455"/>
      <c r="J99" s="455"/>
      <c r="K99" s="455"/>
      <c r="L99" s="455"/>
      <c r="M99" s="455"/>
      <c r="N99" s="455"/>
      <c r="O99" s="455"/>
      <c r="P99" s="455"/>
      <c r="Q99" s="455"/>
      <c r="R99" s="455"/>
      <c r="S99" s="455"/>
      <c r="T99" s="455"/>
      <c r="U99" s="323"/>
      <c r="V99" s="323"/>
      <c r="W99" s="323"/>
      <c r="X99" s="323"/>
      <c r="Y99" s="323"/>
      <c r="Z99" s="323"/>
      <c r="AA99" s="323"/>
      <c r="AB99" s="323"/>
      <c r="AC99" s="323"/>
      <c r="AD99" s="323"/>
      <c r="AE99" s="323"/>
      <c r="AF99" s="323"/>
      <c r="AG99" s="323"/>
      <c r="AH99" s="323"/>
      <c r="AI99" s="323"/>
      <c r="AJ99" s="323"/>
      <c r="AK99" s="323"/>
      <c r="AL99" s="323"/>
      <c r="AM99" s="323"/>
    </row>
    <row r="100" spans="1:39">
      <c r="A100" s="458" t="s">
        <v>1057</v>
      </c>
      <c r="B100" s="455">
        <f>IF(SUM(B45:B49)=0,0,SUMPRODUCT(B45:B49,B89:B93)/SUM(B45:B49))</f>
        <v>0</v>
      </c>
      <c r="C100" s="457">
        <f>SUMPRODUCT(C44:C48,C88:C92)/SUM(C44:C48)</f>
        <v>1.8566265060240967</v>
      </c>
      <c r="D100" s="457">
        <f>SUMPRODUCT(D43:D47,D87:D91)/SUM(D43:D47)</f>
        <v>1.4071900220102715</v>
      </c>
      <c r="E100" s="457">
        <f>SUMPRODUCT(E42:E46,E86:E90)/SUM(E42:E46)</f>
        <v>1.3466223698781838</v>
      </c>
      <c r="F100" s="457">
        <f>SUMPRODUCT(F41:F45,F85:F89)/SUM(F41:F45)</f>
        <v>1.1455823293172691</v>
      </c>
      <c r="G100" s="457">
        <f>SUMPRODUCT(G40:G44,G84:G88)/SUM(G40:G44)</f>
        <v>0.97459553416232114</v>
      </c>
      <c r="H100" s="457">
        <f>SUMPRODUCT(H39:H43,H83:H87)/SUM(H39:H43)</f>
        <v>0.9727340007011257</v>
      </c>
      <c r="I100" s="457">
        <f>SUMPRODUCT(I38:I42,I82:I86)/SUM(I38:I42)</f>
        <v>1</v>
      </c>
      <c r="J100" s="457">
        <f>SUMPRODUCT(J37:J41,J81:J85)/SUM(J37:J41)</f>
        <v>0.87739499651417174</v>
      </c>
      <c r="K100" s="457">
        <f>SUMPRODUCT(K36:K40,K80:K84)/SUM(K36:K40)</f>
        <v>0.82791485606300708</v>
      </c>
      <c r="L100" s="457">
        <f>SUMPRODUCT(L35:L39,L79:L83)/SUM(L35:L39)</f>
        <v>0.90290935761872748</v>
      </c>
      <c r="M100" s="457">
        <f>SUMPRODUCT(M34:M38,M78:M82)/SUM(M34:M38)</f>
        <v>0.92853172397363615</v>
      </c>
      <c r="N100" s="457">
        <f>SUMPRODUCT(N33:N37,N77:N81)/SUM(N33:N37)</f>
        <v>0.92241840556447297</v>
      </c>
      <c r="O100" s="457">
        <f>SUMPRODUCT(O32:O36,O76:O80)/SUM(O32:O36)</f>
        <v>0.9892569382273948</v>
      </c>
      <c r="P100" s="457">
        <f>SUMPRODUCT(P31:P35,P75:P79)/SUM(P31:P35)</f>
        <v>0.97596795727636854</v>
      </c>
      <c r="Q100" s="457">
        <f>SUMPRODUCT(Q30:Q34,Q74:Q78)/SUM(Q30:Q34)</f>
        <v>0.97862711816300774</v>
      </c>
      <c r="R100" s="455">
        <v>1</v>
      </c>
      <c r="S100" s="455">
        <v>1</v>
      </c>
      <c r="T100" s="455">
        <v>1</v>
      </c>
      <c r="U100" s="323"/>
      <c r="V100" s="323"/>
      <c r="W100" s="323"/>
      <c r="X100" s="323"/>
      <c r="Y100" s="323"/>
      <c r="Z100" s="323"/>
      <c r="AA100" s="323"/>
      <c r="AB100" s="323"/>
      <c r="AC100" s="323"/>
      <c r="AD100" s="323"/>
      <c r="AE100" s="323"/>
      <c r="AF100" s="323"/>
      <c r="AG100" s="323"/>
      <c r="AH100" s="323"/>
      <c r="AI100" s="323"/>
      <c r="AJ100" s="323"/>
      <c r="AK100" s="323"/>
      <c r="AL100" s="323"/>
    </row>
    <row r="101" spans="1:39">
      <c r="B101" s="456" t="s">
        <v>1058</v>
      </c>
      <c r="C101" s="455"/>
      <c r="D101" s="455"/>
      <c r="E101" s="455"/>
      <c r="F101" s="455"/>
      <c r="G101" s="455"/>
      <c r="H101" s="455"/>
      <c r="I101" s="455"/>
      <c r="J101" s="455"/>
      <c r="K101" s="455"/>
      <c r="L101" s="455"/>
      <c r="M101" s="455"/>
      <c r="N101" s="455"/>
      <c r="O101" s="455"/>
      <c r="P101" s="455"/>
      <c r="Q101" s="455"/>
      <c r="R101" s="455"/>
      <c r="S101" s="455"/>
      <c r="T101" s="455"/>
      <c r="U101" s="323"/>
      <c r="V101" s="323"/>
      <c r="W101" s="323"/>
      <c r="X101" s="323"/>
      <c r="Y101" s="323"/>
      <c r="Z101" s="323"/>
      <c r="AA101" s="323"/>
      <c r="AB101" s="323"/>
      <c r="AC101" s="323"/>
      <c r="AD101" s="323"/>
      <c r="AE101" s="323"/>
      <c r="AF101" s="323"/>
      <c r="AG101" s="323"/>
      <c r="AH101" s="323"/>
      <c r="AI101" s="323"/>
      <c r="AJ101" s="323"/>
      <c r="AK101" s="323"/>
      <c r="AL101" s="323"/>
      <c r="AM101" s="323"/>
    </row>
    <row r="102" spans="1:39">
      <c r="A102" s="458" t="s">
        <v>1059</v>
      </c>
      <c r="B102" s="455">
        <f>SUMPRODUCT(B43:B49,B87:B93)/SUM(B43:B49)</f>
        <v>3.6999999999999993</v>
      </c>
      <c r="C102" s="455">
        <f>SUMPRODUCT(C42:C48,C86:C92)/SUM(C42:C48)</f>
        <v>2.0070412106035516</v>
      </c>
      <c r="D102" s="455">
        <f>SUMPRODUCT(D41:D47,D85:D91)/SUM(D41:D47)</f>
        <v>1.3395890541731947</v>
      </c>
      <c r="E102" s="455">
        <f>SUMPRODUCT(E40:E46,E84:E90)/SUM(E40:E46)</f>
        <v>1.3834099456748852</v>
      </c>
      <c r="F102" s="455">
        <f>SUMPRODUCT(F39:F45,F83:F89)/SUM(F39:F45)</f>
        <v>1.3075526873046284</v>
      </c>
      <c r="G102" s="455">
        <f>SUMPRODUCT(G38:G44,G82:G88)/SUM(G38:G44)</f>
        <v>0.97475314183123873</v>
      </c>
      <c r="H102" s="455">
        <f>SUMPRODUCT(H37:H43,H81:H87)/SUM(H37:H43)</f>
        <v>0.97938414828419884</v>
      </c>
      <c r="I102" s="455">
        <f>SUMPRODUCT(I36:I42,I80:I86)/SUM(I36:I42)</f>
        <v>1</v>
      </c>
      <c r="J102" s="455">
        <f>SUMPRODUCT(J35:J41,J79:J85)/SUM(J35:J41)</f>
        <v>0.90249870323283699</v>
      </c>
      <c r="K102" s="455">
        <f>SUMPRODUCT(K34:K40,K78:K84)/SUM(K34:K40)</f>
        <v>0.86581891655423482</v>
      </c>
      <c r="L102" s="455">
        <f>SUMPRODUCT(L33:L39,L77:L83)/SUM(L33:L39)</f>
        <v>0.92706946421192782</v>
      </c>
      <c r="M102" s="455">
        <f>SUMPRODUCT(M32:M38,M76:M82)/SUM(M32:M38)</f>
        <v>0.94733454268827899</v>
      </c>
      <c r="N102" s="455">
        <f>SUMPRODUCT(N31:N37,N75:N81)/SUM(N31:N37)</f>
        <v>0.95632530120481929</v>
      </c>
      <c r="O102" s="455">
        <f>SUMPRODUCT(O30:O36,O74:O80)/SUM(O30:O36)</f>
        <v>0.99479602700246039</v>
      </c>
      <c r="P102" s="455">
        <f>SUMPRODUCT(P29:P35,P73:P79)/SUM(P29:P35)</f>
        <v>0.98588244799493097</v>
      </c>
      <c r="Q102" s="455">
        <f>SUMPRODUCT(Q28:Q34,Q72:Q78)/SUM(Q28:Q34)</f>
        <v>0.98667029754076496</v>
      </c>
      <c r="R102" s="455">
        <v>1</v>
      </c>
      <c r="S102" s="455">
        <v>1</v>
      </c>
      <c r="T102" s="455">
        <v>1</v>
      </c>
      <c r="U102" s="323"/>
      <c r="V102" s="323"/>
      <c r="W102" s="323"/>
      <c r="X102" s="323"/>
      <c r="Y102" s="323"/>
      <c r="Z102" s="323"/>
      <c r="AA102" s="323"/>
      <c r="AB102" s="323"/>
      <c r="AC102" s="323"/>
      <c r="AD102" s="323"/>
      <c r="AE102" s="323"/>
      <c r="AF102" s="323"/>
      <c r="AG102" s="323"/>
      <c r="AH102" s="323"/>
      <c r="AI102" s="323"/>
      <c r="AJ102" s="323"/>
      <c r="AK102" s="323"/>
      <c r="AL102" s="323"/>
    </row>
    <row r="103" spans="1:39">
      <c r="B103" s="456" t="s">
        <v>1060</v>
      </c>
      <c r="C103" s="455"/>
      <c r="D103" s="455"/>
      <c r="E103" s="455"/>
      <c r="F103" s="455"/>
      <c r="G103" s="455"/>
      <c r="H103" s="455"/>
      <c r="I103" s="455"/>
      <c r="J103" s="455"/>
      <c r="K103" s="455"/>
      <c r="L103" s="455"/>
      <c r="M103" s="455"/>
      <c r="N103" s="455"/>
      <c r="O103" s="455"/>
      <c r="P103" s="455"/>
      <c r="Q103" s="455"/>
      <c r="R103" s="455"/>
      <c r="S103" s="455"/>
      <c r="T103" s="455"/>
      <c r="U103" s="323"/>
      <c r="V103" s="323"/>
      <c r="W103" s="323"/>
      <c r="X103" s="323"/>
      <c r="Y103" s="323"/>
      <c r="Z103" s="323"/>
      <c r="AA103" s="323"/>
      <c r="AB103" s="323"/>
      <c r="AC103" s="323"/>
      <c r="AD103" s="323"/>
      <c r="AE103" s="323"/>
      <c r="AF103" s="323"/>
      <c r="AG103" s="323"/>
      <c r="AH103" s="323"/>
      <c r="AI103" s="323"/>
      <c r="AJ103" s="323"/>
      <c r="AK103" s="323"/>
      <c r="AL103" s="323"/>
      <c r="AM103" s="323"/>
    </row>
    <row r="104" spans="1:39">
      <c r="A104" s="458" t="s">
        <v>1061</v>
      </c>
      <c r="B104" s="455">
        <v>10</v>
      </c>
      <c r="C104" s="455">
        <v>2.5</v>
      </c>
      <c r="D104" s="455">
        <v>1.1499999999999999</v>
      </c>
      <c r="E104" s="455">
        <v>1.45</v>
      </c>
      <c r="F104" s="455">
        <v>1.3</v>
      </c>
      <c r="G104" s="455">
        <v>1.03</v>
      </c>
      <c r="H104" s="455">
        <v>1</v>
      </c>
      <c r="I104" s="455">
        <v>1</v>
      </c>
      <c r="J104" s="455">
        <v>1</v>
      </c>
      <c r="K104" s="455">
        <v>1</v>
      </c>
      <c r="L104" s="455">
        <v>1</v>
      </c>
      <c r="M104" s="455">
        <v>1</v>
      </c>
      <c r="N104" s="455">
        <v>1</v>
      </c>
      <c r="O104" s="455">
        <v>1</v>
      </c>
      <c r="P104" s="455">
        <v>1</v>
      </c>
      <c r="Q104" s="455">
        <v>1</v>
      </c>
      <c r="R104" s="455">
        <v>1</v>
      </c>
      <c r="S104" s="455">
        <v>1</v>
      </c>
      <c r="T104" s="455">
        <v>1</v>
      </c>
      <c r="U104" s="323"/>
      <c r="V104" s="323"/>
      <c r="W104" s="323"/>
      <c r="X104" s="323"/>
      <c r="Y104" s="323"/>
      <c r="Z104" s="323"/>
      <c r="AA104" s="323"/>
      <c r="AB104" s="323"/>
      <c r="AC104" s="323"/>
      <c r="AD104" s="323"/>
      <c r="AE104" s="323"/>
      <c r="AF104" s="323"/>
      <c r="AG104" s="323"/>
      <c r="AH104" s="323"/>
      <c r="AI104" s="323"/>
      <c r="AJ104" s="323"/>
      <c r="AK104" s="323"/>
      <c r="AL104" s="323"/>
    </row>
    <row r="105" spans="1:39">
      <c r="B105" s="455"/>
      <c r="C105" s="455"/>
      <c r="D105" s="455"/>
      <c r="E105" s="455"/>
      <c r="F105" s="455"/>
      <c r="G105" s="455"/>
      <c r="H105" s="455"/>
      <c r="I105" s="455"/>
      <c r="J105" s="455"/>
      <c r="K105" s="455"/>
      <c r="L105" s="455"/>
      <c r="M105" s="455"/>
      <c r="N105" s="455"/>
      <c r="O105" s="455"/>
      <c r="P105" s="455"/>
      <c r="Q105" s="455"/>
      <c r="R105" s="455"/>
      <c r="S105" s="455"/>
      <c r="T105" s="455"/>
      <c r="U105" s="323"/>
      <c r="V105" s="323"/>
      <c r="W105" s="323"/>
      <c r="X105" s="323"/>
      <c r="Y105" s="323"/>
      <c r="Z105" s="323"/>
      <c r="AA105" s="323"/>
      <c r="AB105" s="323"/>
      <c r="AC105" s="323"/>
      <c r="AD105" s="323"/>
      <c r="AE105" s="323"/>
      <c r="AF105" s="323"/>
      <c r="AG105" s="323"/>
      <c r="AH105" s="323"/>
      <c r="AI105" s="323"/>
      <c r="AJ105" s="323"/>
      <c r="AK105" s="323"/>
      <c r="AL105" s="323"/>
      <c r="AM105" s="323"/>
    </row>
    <row r="106" spans="1:39">
      <c r="B106" s="455"/>
      <c r="C106" s="455"/>
      <c r="D106" s="455"/>
      <c r="E106" s="455"/>
      <c r="F106" s="455"/>
      <c r="G106" s="455"/>
      <c r="H106" s="455"/>
      <c r="I106" s="455"/>
      <c r="J106" s="455"/>
      <c r="K106" s="455"/>
      <c r="L106" s="455"/>
      <c r="M106" s="455"/>
      <c r="N106" s="455"/>
      <c r="O106" s="455"/>
      <c r="P106" s="455"/>
      <c r="Q106" s="455"/>
      <c r="R106" s="455"/>
      <c r="S106" s="455"/>
      <c r="T106" s="455"/>
      <c r="U106" s="323"/>
      <c r="V106" s="323"/>
      <c r="W106" s="323"/>
      <c r="X106" s="323"/>
      <c r="Y106" s="323"/>
      <c r="Z106" s="323"/>
      <c r="AA106" s="323"/>
      <c r="AB106" s="323"/>
      <c r="AC106" s="323"/>
      <c r="AD106" s="323"/>
      <c r="AE106" s="323"/>
      <c r="AF106" s="323"/>
      <c r="AG106" s="323"/>
      <c r="AH106" s="323"/>
      <c r="AI106" s="323"/>
      <c r="AJ106" s="323"/>
      <c r="AK106" s="323"/>
      <c r="AL106" s="323"/>
      <c r="AM106" s="323"/>
    </row>
    <row r="107" spans="1:39">
      <c r="A107" s="446" t="s">
        <v>1062</v>
      </c>
      <c r="B107" s="455">
        <f>B104</f>
        <v>10</v>
      </c>
      <c r="C107" s="455">
        <f t="shared" ref="C107:R107" si="10">C104</f>
        <v>2.5</v>
      </c>
      <c r="D107" s="455">
        <f t="shared" si="10"/>
        <v>1.1499999999999999</v>
      </c>
      <c r="E107" s="455">
        <f t="shared" si="10"/>
        <v>1.45</v>
      </c>
      <c r="F107" s="455">
        <f t="shared" si="10"/>
        <v>1.3</v>
      </c>
      <c r="G107" s="455">
        <f>G104</f>
        <v>1.03</v>
      </c>
      <c r="H107" s="455">
        <f t="shared" si="10"/>
        <v>1</v>
      </c>
      <c r="I107" s="455">
        <f t="shared" si="10"/>
        <v>1</v>
      </c>
      <c r="J107" s="455">
        <f t="shared" si="10"/>
        <v>1</v>
      </c>
      <c r="K107" s="455">
        <f t="shared" si="10"/>
        <v>1</v>
      </c>
      <c r="L107" s="455">
        <f t="shared" si="10"/>
        <v>1</v>
      </c>
      <c r="M107" s="455">
        <f t="shared" si="10"/>
        <v>1</v>
      </c>
      <c r="N107" s="455">
        <f t="shared" si="10"/>
        <v>1</v>
      </c>
      <c r="O107" s="455">
        <f t="shared" si="10"/>
        <v>1</v>
      </c>
      <c r="P107" s="455">
        <f t="shared" si="10"/>
        <v>1</v>
      </c>
      <c r="Q107" s="455">
        <f t="shared" si="10"/>
        <v>1</v>
      </c>
      <c r="R107" s="455">
        <f t="shared" si="10"/>
        <v>1</v>
      </c>
      <c r="S107" s="455">
        <v>1</v>
      </c>
      <c r="T107" s="455">
        <v>1</v>
      </c>
      <c r="U107" s="323"/>
      <c r="V107" s="323"/>
      <c r="W107" s="323"/>
      <c r="X107" s="323"/>
      <c r="Y107" s="323"/>
      <c r="Z107" s="323"/>
      <c r="AA107" s="323"/>
      <c r="AB107" s="323"/>
      <c r="AC107" s="323"/>
      <c r="AD107" s="323"/>
      <c r="AE107" s="323"/>
      <c r="AF107" s="323"/>
      <c r="AG107" s="323"/>
      <c r="AH107" s="323"/>
      <c r="AI107" s="323"/>
      <c r="AJ107" s="323"/>
      <c r="AK107" s="323"/>
      <c r="AL107" s="323"/>
      <c r="AM107" s="323"/>
    </row>
    <row r="108" spans="1:39">
      <c r="A108" s="444" t="s">
        <v>780</v>
      </c>
      <c r="B108" s="455">
        <f t="shared" ref="B108:O108" si="11">C108*B107</f>
        <v>55.819562499999989</v>
      </c>
      <c r="C108" s="455">
        <f t="shared" si="11"/>
        <v>5.5819562499999993</v>
      </c>
      <c r="D108" s="455">
        <f t="shared" si="11"/>
        <v>2.2327824999999999</v>
      </c>
      <c r="E108" s="455">
        <f t="shared" si="11"/>
        <v>1.9415500000000001</v>
      </c>
      <c r="F108" s="455">
        <f>G108*F107</f>
        <v>1.3390000000000002</v>
      </c>
      <c r="G108" s="455">
        <f>H108*G107</f>
        <v>1.03</v>
      </c>
      <c r="H108" s="455">
        <f t="shared" si="11"/>
        <v>1</v>
      </c>
      <c r="I108" s="455">
        <f t="shared" si="11"/>
        <v>1</v>
      </c>
      <c r="J108" s="455">
        <f t="shared" si="11"/>
        <v>1</v>
      </c>
      <c r="K108" s="455">
        <f t="shared" si="11"/>
        <v>1</v>
      </c>
      <c r="L108" s="455">
        <f t="shared" si="11"/>
        <v>1</v>
      </c>
      <c r="M108" s="455">
        <f t="shared" si="11"/>
        <v>1</v>
      </c>
      <c r="N108" s="455">
        <f t="shared" si="11"/>
        <v>1</v>
      </c>
      <c r="O108" s="455">
        <f t="shared" si="11"/>
        <v>1</v>
      </c>
      <c r="P108" s="455">
        <f>Q108*P107</f>
        <v>1</v>
      </c>
      <c r="Q108" s="455">
        <f>Q107</f>
        <v>1</v>
      </c>
      <c r="R108" s="455">
        <v>1</v>
      </c>
      <c r="S108" s="455">
        <v>1</v>
      </c>
      <c r="T108" s="455">
        <v>1</v>
      </c>
      <c r="U108" s="323">
        <v>1</v>
      </c>
      <c r="V108" s="323"/>
      <c r="W108" s="323"/>
      <c r="X108" s="323"/>
      <c r="Y108" s="323"/>
      <c r="Z108" s="323"/>
      <c r="AA108" s="323"/>
      <c r="AB108" s="323"/>
      <c r="AC108" s="323"/>
      <c r="AD108" s="323"/>
      <c r="AE108" s="323"/>
      <c r="AF108" s="323"/>
      <c r="AG108" s="323"/>
      <c r="AH108" s="323"/>
      <c r="AI108" s="323"/>
      <c r="AJ108" s="323"/>
      <c r="AK108" s="323"/>
      <c r="AL108" s="323"/>
      <c r="AM108" s="323"/>
    </row>
    <row r="109" spans="1:39">
      <c r="R109" s="455"/>
    </row>
    <row r="114" spans="2:3">
      <c r="B114" s="6" t="s">
        <v>122</v>
      </c>
      <c r="C114" s="444" t="s">
        <v>1592</v>
      </c>
    </row>
    <row r="115" spans="2:3">
      <c r="B115" s="6" t="s">
        <v>123</v>
      </c>
      <c r="C115" s="6" t="s">
        <v>302</v>
      </c>
    </row>
    <row r="116" spans="2:3">
      <c r="B116" s="106" t="s">
        <v>27</v>
      </c>
      <c r="C116" s="118" t="s">
        <v>33</v>
      </c>
    </row>
    <row r="117" spans="2:3">
      <c r="B117" s="1"/>
    </row>
    <row r="118" spans="2:3">
      <c r="B118" s="6">
        <v>239</v>
      </c>
      <c r="C118" s="455">
        <f>U108</f>
        <v>1</v>
      </c>
    </row>
    <row r="119" spans="2:3">
      <c r="B119" s="6">
        <v>227</v>
      </c>
      <c r="C119" s="455">
        <f>T108</f>
        <v>1</v>
      </c>
    </row>
    <row r="120" spans="2:3">
      <c r="B120" s="6">
        <v>215</v>
      </c>
      <c r="C120" s="455">
        <f>S108</f>
        <v>1</v>
      </c>
    </row>
    <row r="121" spans="2:3">
      <c r="B121" s="6">
        <v>203</v>
      </c>
      <c r="C121" s="455">
        <f>R108</f>
        <v>1</v>
      </c>
    </row>
    <row r="122" spans="2:3">
      <c r="B122" s="6">
        <v>191</v>
      </c>
      <c r="C122" s="455">
        <f>Q108</f>
        <v>1</v>
      </c>
    </row>
    <row r="123" spans="2:3">
      <c r="B123" s="6">
        <v>179</v>
      </c>
      <c r="C123" s="455">
        <f>P108</f>
        <v>1</v>
      </c>
    </row>
    <row r="124" spans="2:3">
      <c r="B124" s="6">
        <v>167</v>
      </c>
      <c r="C124" s="455">
        <f>O108</f>
        <v>1</v>
      </c>
    </row>
    <row r="125" spans="2:3">
      <c r="B125" s="6">
        <v>155</v>
      </c>
      <c r="C125" s="455">
        <f>N108</f>
        <v>1</v>
      </c>
    </row>
    <row r="126" spans="2:3">
      <c r="B126" s="6">
        <v>143</v>
      </c>
      <c r="C126" s="455">
        <f>M108</f>
        <v>1</v>
      </c>
    </row>
    <row r="127" spans="2:3">
      <c r="B127" s="6">
        <v>131</v>
      </c>
      <c r="C127" s="455">
        <f>L108</f>
        <v>1</v>
      </c>
    </row>
    <row r="128" spans="2:3">
      <c r="B128" s="6">
        <v>119</v>
      </c>
      <c r="C128" s="455">
        <f>K108</f>
        <v>1</v>
      </c>
    </row>
    <row r="129" spans="2:3">
      <c r="B129" s="6">
        <v>107</v>
      </c>
      <c r="C129" s="455">
        <f>J108</f>
        <v>1</v>
      </c>
    </row>
    <row r="130" spans="2:3">
      <c r="B130" s="6">
        <v>95</v>
      </c>
      <c r="C130" s="455">
        <f>I108</f>
        <v>1</v>
      </c>
    </row>
    <row r="131" spans="2:3">
      <c r="B131" s="6">
        <v>83</v>
      </c>
      <c r="C131" s="455">
        <f>H108</f>
        <v>1</v>
      </c>
    </row>
    <row r="132" spans="2:3">
      <c r="B132" s="6">
        <v>71</v>
      </c>
      <c r="C132" s="455">
        <f>G108</f>
        <v>1.03</v>
      </c>
    </row>
    <row r="133" spans="2:3">
      <c r="B133" s="6">
        <v>59</v>
      </c>
      <c r="C133" s="455">
        <f>F108</f>
        <v>1.3390000000000002</v>
      </c>
    </row>
    <row r="134" spans="2:3">
      <c r="B134" s="6">
        <v>47</v>
      </c>
      <c r="C134" s="455">
        <f>E108</f>
        <v>1.9415500000000001</v>
      </c>
    </row>
    <row r="135" spans="2:3">
      <c r="B135" s="6">
        <v>35</v>
      </c>
      <c r="C135" s="455">
        <f>D108</f>
        <v>2.2327824999999999</v>
      </c>
    </row>
    <row r="136" spans="2:3">
      <c r="B136" s="6">
        <v>23</v>
      </c>
      <c r="C136" s="455">
        <f>C108</f>
        <v>5.5819562499999993</v>
      </c>
    </row>
    <row r="137" spans="2:3">
      <c r="B137" s="6">
        <v>11</v>
      </c>
      <c r="C137" s="455">
        <f>B108</f>
        <v>55.819562499999989</v>
      </c>
    </row>
  </sheetData>
  <printOptions horizontalCentered="1"/>
  <pageMargins left="0.7" right="0.7" top="0.75" bottom="0.75" header="0.3" footer="0.3"/>
  <pageSetup scale="36" orientation="portrait" r:id="rId1"/>
  <rowBreaks count="1" manualBreakCount="1">
    <brk id="51" max="20" man="1"/>
  </rowBreaks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120">
    <tabColor rgb="FF92D050"/>
    <pageSetUpPr fitToPage="1"/>
  </sheetPr>
  <dimension ref="A1:AM137"/>
  <sheetViews>
    <sheetView zoomScaleNormal="100" workbookViewId="0"/>
  </sheetViews>
  <sheetFormatPr baseColWidth="10" defaultColWidth="7.42578125" defaultRowHeight="15"/>
  <cols>
    <col min="1" max="1" width="11.7109375" style="444" customWidth="1"/>
    <col min="2" max="20" width="9.140625" style="444" customWidth="1"/>
    <col min="21" max="39" width="9.5703125" style="316" customWidth="1"/>
    <col min="40" max="16384" width="7.42578125" style="316"/>
  </cols>
  <sheetData>
    <row r="1" spans="1:39">
      <c r="A1" s="443" t="s">
        <v>1026</v>
      </c>
      <c r="T1" s="549" t="s">
        <v>1063</v>
      </c>
    </row>
    <row r="2" spans="1:39">
      <c r="A2" s="445" t="s">
        <v>1027</v>
      </c>
      <c r="T2" s="549" t="s">
        <v>96</v>
      </c>
    </row>
    <row r="3" spans="1:39">
      <c r="A3" s="445" t="s">
        <v>1028</v>
      </c>
    </row>
    <row r="4" spans="1:39">
      <c r="A4" s="445" t="s">
        <v>1029</v>
      </c>
    </row>
    <row r="5" spans="1:39">
      <c r="A5" s="445" t="s">
        <v>1065</v>
      </c>
    </row>
    <row r="6" spans="1:39">
      <c r="A6" s="445" t="s">
        <v>260</v>
      </c>
    </row>
    <row r="7" spans="1:39">
      <c r="A7" s="445" t="str">
        <f>'Exhibit R,S1'!A7</f>
        <v>Data Evaluated as of 11/30/2022</v>
      </c>
    </row>
    <row r="9" spans="1:39">
      <c r="B9" s="446" t="s">
        <v>1030</v>
      </c>
    </row>
    <row r="10" spans="1:39" ht="16">
      <c r="A10" s="447" t="s">
        <v>170</v>
      </c>
      <c r="B10" s="448">
        <v>11</v>
      </c>
      <c r="C10" s="448">
        <v>23</v>
      </c>
      <c r="D10" s="448">
        <v>35</v>
      </c>
      <c r="E10" s="448">
        <v>47</v>
      </c>
      <c r="F10" s="448">
        <v>59</v>
      </c>
      <c r="G10" s="448">
        <v>71</v>
      </c>
      <c r="H10" s="448">
        <v>83</v>
      </c>
      <c r="I10" s="448">
        <v>95</v>
      </c>
      <c r="J10" s="448">
        <v>107</v>
      </c>
      <c r="K10" s="448">
        <v>119</v>
      </c>
      <c r="L10" s="448">
        <v>131</v>
      </c>
      <c r="M10" s="448">
        <v>143</v>
      </c>
      <c r="N10" s="448">
        <v>155</v>
      </c>
      <c r="O10" s="448">
        <v>167</v>
      </c>
      <c r="P10" s="448">
        <v>179</v>
      </c>
      <c r="Q10" s="448">
        <v>191</v>
      </c>
      <c r="R10" s="448">
        <v>203</v>
      </c>
      <c r="S10" s="448">
        <v>215</v>
      </c>
      <c r="T10" s="448">
        <v>227</v>
      </c>
      <c r="U10" s="325"/>
      <c r="V10" s="325"/>
      <c r="W10" s="325"/>
      <c r="X10" s="325"/>
      <c r="Y10" s="325"/>
      <c r="Z10" s="325"/>
      <c r="AA10" s="325"/>
      <c r="AB10" s="325"/>
      <c r="AC10" s="325"/>
      <c r="AD10" s="325"/>
      <c r="AE10" s="325"/>
      <c r="AF10" s="325"/>
      <c r="AG10" s="325"/>
      <c r="AH10" s="325"/>
      <c r="AI10" s="325"/>
      <c r="AJ10" s="325"/>
      <c r="AK10" s="325"/>
      <c r="AL10" s="325"/>
      <c r="AM10" s="325"/>
    </row>
    <row r="11" spans="1:39">
      <c r="A11" s="449"/>
      <c r="B11" s="449"/>
      <c r="C11" s="449"/>
      <c r="D11" s="449"/>
      <c r="E11" s="449"/>
      <c r="F11" s="449"/>
      <c r="G11" s="449"/>
      <c r="H11" s="449"/>
      <c r="I11" s="449"/>
      <c r="J11" s="449"/>
      <c r="K11" s="449"/>
      <c r="L11" s="449"/>
      <c r="M11" s="449"/>
      <c r="N11" s="449"/>
      <c r="O11" s="449"/>
      <c r="P11" s="449"/>
      <c r="Q11" s="449"/>
      <c r="R11" s="449"/>
      <c r="S11" s="449"/>
      <c r="T11" s="449"/>
      <c r="U11" s="318"/>
      <c r="V11" s="318"/>
      <c r="W11" s="318"/>
      <c r="X11" s="318"/>
      <c r="Y11" s="318"/>
      <c r="Z11" s="318"/>
      <c r="AA11" s="318"/>
      <c r="AB11" s="318"/>
      <c r="AC11" s="318"/>
      <c r="AD11" s="318"/>
      <c r="AE11" s="318"/>
      <c r="AF11" s="318"/>
      <c r="AG11" s="318"/>
      <c r="AH11" s="318"/>
      <c r="AI11" s="318"/>
      <c r="AJ11" s="318"/>
      <c r="AK11" s="318"/>
      <c r="AL11" s="318"/>
      <c r="AM11" s="318"/>
    </row>
    <row r="12" spans="1:39">
      <c r="A12" s="449"/>
      <c r="B12" s="450"/>
      <c r="C12" s="450"/>
      <c r="D12" s="450"/>
      <c r="E12" s="450"/>
      <c r="F12" s="450"/>
      <c r="G12" s="450"/>
      <c r="H12" s="450"/>
      <c r="I12" s="450"/>
      <c r="J12" s="450"/>
      <c r="K12" s="450"/>
      <c r="L12" s="450"/>
      <c r="M12" s="450"/>
      <c r="N12" s="450"/>
      <c r="O12" s="450"/>
      <c r="P12" s="450"/>
      <c r="Q12" s="450"/>
      <c r="R12" s="450"/>
      <c r="S12" s="450"/>
      <c r="T12" s="450"/>
    </row>
    <row r="13" spans="1:39">
      <c r="A13" s="449">
        <f>'Exhibit R,S1'!A13</f>
        <v>1985</v>
      </c>
      <c r="B13" s="450" t="s">
        <v>1031</v>
      </c>
      <c r="C13" s="450" t="s">
        <v>1031</v>
      </c>
      <c r="D13" s="450" t="s">
        <v>1031</v>
      </c>
      <c r="E13" s="450" t="s">
        <v>1031</v>
      </c>
      <c r="F13" s="450" t="s">
        <v>1031</v>
      </c>
      <c r="G13" s="450" t="s">
        <v>1031</v>
      </c>
      <c r="H13" s="450" t="s">
        <v>1031</v>
      </c>
      <c r="I13" s="450" t="s">
        <v>1031</v>
      </c>
      <c r="J13" s="450" t="s">
        <v>1031</v>
      </c>
      <c r="K13" s="450" t="s">
        <v>1031</v>
      </c>
      <c r="L13" s="450" t="s">
        <v>1031</v>
      </c>
      <c r="M13" s="450" t="s">
        <v>1031</v>
      </c>
      <c r="N13" s="450" t="s">
        <v>1031</v>
      </c>
      <c r="O13" s="450" t="s">
        <v>1031</v>
      </c>
      <c r="P13" s="450" t="s">
        <v>1031</v>
      </c>
      <c r="Q13" s="450" t="s">
        <v>1031</v>
      </c>
      <c r="R13" s="450" t="s">
        <v>1031</v>
      </c>
      <c r="S13" s="450" t="s">
        <v>1031</v>
      </c>
      <c r="T13" s="450" t="s">
        <v>1031</v>
      </c>
      <c r="U13" s="324"/>
      <c r="V13" s="324"/>
      <c r="W13" s="324"/>
      <c r="X13" s="324"/>
      <c r="Y13" s="324"/>
      <c r="Z13" s="324"/>
      <c r="AA13" s="324"/>
      <c r="AB13" s="324"/>
      <c r="AC13" s="324"/>
      <c r="AD13" s="324"/>
      <c r="AE13" s="324"/>
      <c r="AF13" s="324"/>
      <c r="AG13" s="324"/>
      <c r="AH13" s="324"/>
      <c r="AI13" s="324"/>
      <c r="AJ13" s="324"/>
      <c r="AK13" s="324"/>
      <c r="AL13" s="324"/>
      <c r="AM13" s="324"/>
    </row>
    <row r="14" spans="1:39">
      <c r="A14" s="449">
        <f>A13+1</f>
        <v>1986</v>
      </c>
      <c r="B14" s="450" t="s">
        <v>1031</v>
      </c>
      <c r="C14" s="450" t="s">
        <v>1031</v>
      </c>
      <c r="D14" s="450" t="s">
        <v>1031</v>
      </c>
      <c r="E14" s="450" t="s">
        <v>1031</v>
      </c>
      <c r="F14" s="450" t="s">
        <v>1031</v>
      </c>
      <c r="G14" s="450" t="s">
        <v>1031</v>
      </c>
      <c r="H14" s="450" t="s">
        <v>1031</v>
      </c>
      <c r="I14" s="450" t="s">
        <v>1031</v>
      </c>
      <c r="J14" s="450" t="s">
        <v>1031</v>
      </c>
      <c r="K14" s="450" t="s">
        <v>1031</v>
      </c>
      <c r="L14" s="450" t="s">
        <v>1031</v>
      </c>
      <c r="M14" s="450" t="s">
        <v>1031</v>
      </c>
      <c r="N14" s="450" t="s">
        <v>1031</v>
      </c>
      <c r="O14" s="450" t="s">
        <v>1031</v>
      </c>
      <c r="P14" s="450" t="s">
        <v>1031</v>
      </c>
      <c r="Q14" s="450" t="s">
        <v>1031</v>
      </c>
      <c r="R14" s="450" t="s">
        <v>1031</v>
      </c>
      <c r="S14" s="450" t="s">
        <v>1031</v>
      </c>
      <c r="T14" s="450" t="s">
        <v>1031</v>
      </c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324"/>
      <c r="AF14" s="324"/>
      <c r="AG14" s="324"/>
      <c r="AH14" s="324"/>
      <c r="AI14" s="324"/>
      <c r="AJ14" s="324"/>
      <c r="AK14" s="324"/>
      <c r="AL14" s="324"/>
      <c r="AM14" s="324"/>
    </row>
    <row r="15" spans="1:39">
      <c r="A15" s="449">
        <f t="shared" ref="A15:A50" si="0">A14+1</f>
        <v>1987</v>
      </c>
      <c r="B15" s="450" t="s">
        <v>1031</v>
      </c>
      <c r="C15" s="450" t="s">
        <v>1031</v>
      </c>
      <c r="D15" s="450" t="s">
        <v>1031</v>
      </c>
      <c r="E15" s="450" t="s">
        <v>1031</v>
      </c>
      <c r="F15" s="450" t="s">
        <v>1031</v>
      </c>
      <c r="G15" s="450" t="s">
        <v>1031</v>
      </c>
      <c r="H15" s="450" t="s">
        <v>1031</v>
      </c>
      <c r="I15" s="450" t="s">
        <v>1031</v>
      </c>
      <c r="J15" s="450" t="s">
        <v>1031</v>
      </c>
      <c r="K15" s="450" t="s">
        <v>1031</v>
      </c>
      <c r="L15" s="450" t="s">
        <v>1031</v>
      </c>
      <c r="M15" s="450" t="s">
        <v>1031</v>
      </c>
      <c r="N15" s="450" t="s">
        <v>1031</v>
      </c>
      <c r="O15" s="450" t="s">
        <v>1031</v>
      </c>
      <c r="P15" s="450" t="s">
        <v>1031</v>
      </c>
      <c r="Q15" s="450" t="s">
        <v>1031</v>
      </c>
      <c r="R15" s="450" t="s">
        <v>1031</v>
      </c>
      <c r="S15" s="450" t="s">
        <v>1031</v>
      </c>
      <c r="T15" s="450" t="s">
        <v>1031</v>
      </c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324"/>
      <c r="AF15" s="324"/>
      <c r="AG15" s="324"/>
      <c r="AH15" s="324"/>
      <c r="AI15" s="324"/>
      <c r="AJ15" s="324"/>
      <c r="AK15" s="324"/>
      <c r="AL15" s="324"/>
      <c r="AM15" s="324"/>
    </row>
    <row r="16" spans="1:39">
      <c r="A16" s="449">
        <f t="shared" si="0"/>
        <v>1988</v>
      </c>
      <c r="B16" s="450" t="s">
        <v>1031</v>
      </c>
      <c r="C16" s="450" t="s">
        <v>1031</v>
      </c>
      <c r="D16" s="450" t="s">
        <v>1031</v>
      </c>
      <c r="E16" s="450" t="s">
        <v>1031</v>
      </c>
      <c r="F16" s="450" t="s">
        <v>1031</v>
      </c>
      <c r="G16" s="450" t="s">
        <v>1031</v>
      </c>
      <c r="H16" s="450" t="s">
        <v>1031</v>
      </c>
      <c r="I16" s="450" t="s">
        <v>1031</v>
      </c>
      <c r="J16" s="450" t="s">
        <v>1031</v>
      </c>
      <c r="K16" s="450" t="s">
        <v>1031</v>
      </c>
      <c r="L16" s="450" t="s">
        <v>1031</v>
      </c>
      <c r="M16" s="450" t="s">
        <v>1031</v>
      </c>
      <c r="N16" s="450" t="s">
        <v>1031</v>
      </c>
      <c r="O16" s="450" t="s">
        <v>1031</v>
      </c>
      <c r="P16" s="450" t="s">
        <v>1031</v>
      </c>
      <c r="Q16" s="450" t="s">
        <v>1031</v>
      </c>
      <c r="R16" s="450" t="s">
        <v>1031</v>
      </c>
      <c r="S16" s="450" t="s">
        <v>1031</v>
      </c>
      <c r="T16" s="450" t="s">
        <v>1031</v>
      </c>
      <c r="U16" s="324"/>
      <c r="V16" s="324"/>
      <c r="W16" s="324"/>
      <c r="X16" s="324"/>
      <c r="Y16" s="324"/>
      <c r="Z16" s="324"/>
      <c r="AA16" s="324"/>
      <c r="AB16" s="324"/>
      <c r="AC16" s="324"/>
      <c r="AD16" s="324"/>
      <c r="AE16" s="324"/>
      <c r="AF16" s="324"/>
      <c r="AG16" s="324"/>
      <c r="AH16" s="324"/>
      <c r="AI16" s="324"/>
      <c r="AJ16" s="324"/>
      <c r="AK16" s="324"/>
      <c r="AL16" s="324"/>
      <c r="AM16" s="324"/>
    </row>
    <row r="17" spans="1:39">
      <c r="A17" s="449">
        <f t="shared" si="0"/>
        <v>1989</v>
      </c>
      <c r="B17" s="450" t="s">
        <v>1031</v>
      </c>
      <c r="C17" s="450" t="s">
        <v>1031</v>
      </c>
      <c r="D17" s="450" t="s">
        <v>1031</v>
      </c>
      <c r="E17" s="450" t="s">
        <v>1031</v>
      </c>
      <c r="F17" s="450" t="s">
        <v>1031</v>
      </c>
      <c r="G17" s="450" t="s">
        <v>1031</v>
      </c>
      <c r="H17" s="450" t="s">
        <v>1031</v>
      </c>
      <c r="I17" s="450" t="s">
        <v>1031</v>
      </c>
      <c r="J17" s="450" t="s">
        <v>1031</v>
      </c>
      <c r="K17" s="450" t="s">
        <v>1031</v>
      </c>
      <c r="L17" s="450" t="s">
        <v>1031</v>
      </c>
      <c r="M17" s="450" t="s">
        <v>1031</v>
      </c>
      <c r="N17" s="450" t="s">
        <v>1031</v>
      </c>
      <c r="O17" s="450" t="s">
        <v>1031</v>
      </c>
      <c r="P17" s="450" t="s">
        <v>1031</v>
      </c>
      <c r="Q17" s="450" t="s">
        <v>1031</v>
      </c>
      <c r="R17" s="450" t="s">
        <v>1031</v>
      </c>
      <c r="S17" s="450" t="s">
        <v>1031</v>
      </c>
      <c r="T17" s="450" t="s">
        <v>1031</v>
      </c>
      <c r="U17" s="324"/>
      <c r="V17" s="324"/>
      <c r="W17" s="324"/>
      <c r="X17" s="324"/>
      <c r="Y17" s="324"/>
      <c r="Z17" s="324"/>
      <c r="AA17" s="324"/>
      <c r="AB17" s="324"/>
      <c r="AC17" s="324"/>
      <c r="AD17" s="324"/>
      <c r="AE17" s="324"/>
      <c r="AF17" s="324"/>
      <c r="AG17" s="324"/>
      <c r="AH17" s="324"/>
      <c r="AI17" s="324"/>
      <c r="AJ17" s="324"/>
      <c r="AK17" s="324"/>
      <c r="AL17" s="324"/>
      <c r="AM17" s="324"/>
    </row>
    <row r="18" spans="1:39">
      <c r="A18" s="449">
        <f t="shared" si="0"/>
        <v>1990</v>
      </c>
      <c r="B18" s="450" t="s">
        <v>1031</v>
      </c>
      <c r="C18" s="450" t="s">
        <v>1031</v>
      </c>
      <c r="D18" s="450" t="s">
        <v>1031</v>
      </c>
      <c r="E18" s="450" t="s">
        <v>1031</v>
      </c>
      <c r="F18" s="450" t="s">
        <v>1031</v>
      </c>
      <c r="G18" s="450" t="s">
        <v>1031</v>
      </c>
      <c r="H18" s="450" t="s">
        <v>1031</v>
      </c>
      <c r="I18" s="450" t="s">
        <v>1031</v>
      </c>
      <c r="J18" s="450" t="s">
        <v>1031</v>
      </c>
      <c r="K18" s="450" t="s">
        <v>1031</v>
      </c>
      <c r="L18" s="450" t="s">
        <v>1031</v>
      </c>
      <c r="M18" s="450" t="s">
        <v>1031</v>
      </c>
      <c r="N18" s="450" t="s">
        <v>1031</v>
      </c>
      <c r="O18" s="450" t="s">
        <v>1031</v>
      </c>
      <c r="P18" s="450" t="s">
        <v>1031</v>
      </c>
      <c r="Q18" s="450" t="s">
        <v>1031</v>
      </c>
      <c r="R18" s="450" t="s">
        <v>1031</v>
      </c>
      <c r="S18" s="450" t="s">
        <v>1031</v>
      </c>
      <c r="T18" s="450" t="s">
        <v>1031</v>
      </c>
      <c r="U18" s="324"/>
      <c r="V18" s="324"/>
      <c r="W18" s="324"/>
      <c r="X18" s="324"/>
      <c r="Y18" s="324"/>
      <c r="Z18" s="324"/>
      <c r="AA18" s="324"/>
      <c r="AB18" s="324"/>
      <c r="AC18" s="324"/>
      <c r="AD18" s="324"/>
      <c r="AE18" s="324"/>
      <c r="AF18" s="324"/>
      <c r="AG18" s="324"/>
      <c r="AH18" s="324"/>
      <c r="AI18" s="324"/>
      <c r="AJ18" s="324"/>
      <c r="AK18" s="324"/>
      <c r="AL18" s="324"/>
      <c r="AM18" s="324"/>
    </row>
    <row r="19" spans="1:39">
      <c r="A19" s="449">
        <f t="shared" si="0"/>
        <v>1991</v>
      </c>
      <c r="B19" s="450" t="s">
        <v>1031</v>
      </c>
      <c r="C19" s="450" t="s">
        <v>1031</v>
      </c>
      <c r="D19" s="450" t="s">
        <v>1031</v>
      </c>
      <c r="E19" s="450" t="s">
        <v>1031</v>
      </c>
      <c r="F19" s="450" t="s">
        <v>1031</v>
      </c>
      <c r="G19" s="450" t="s">
        <v>1031</v>
      </c>
      <c r="H19" s="450" t="s">
        <v>1031</v>
      </c>
      <c r="I19" s="450" t="s">
        <v>1031</v>
      </c>
      <c r="J19" s="450" t="s">
        <v>1031</v>
      </c>
      <c r="K19" s="450" t="s">
        <v>1031</v>
      </c>
      <c r="L19" s="450" t="s">
        <v>1031</v>
      </c>
      <c r="M19" s="450" t="s">
        <v>1031</v>
      </c>
      <c r="N19" s="450" t="s">
        <v>1031</v>
      </c>
      <c r="O19" s="450" t="s">
        <v>1031</v>
      </c>
      <c r="P19" s="450" t="s">
        <v>1031</v>
      </c>
      <c r="Q19" s="450" t="s">
        <v>1031</v>
      </c>
      <c r="R19" s="450" t="s">
        <v>1031</v>
      </c>
      <c r="S19" s="450" t="s">
        <v>1031</v>
      </c>
      <c r="T19" s="450" t="s">
        <v>1031</v>
      </c>
      <c r="U19" s="324"/>
      <c r="V19" s="324"/>
      <c r="W19" s="324"/>
      <c r="X19" s="324"/>
      <c r="Y19" s="324"/>
      <c r="Z19" s="324"/>
      <c r="AA19" s="324"/>
      <c r="AB19" s="324"/>
      <c r="AC19" s="324"/>
      <c r="AD19" s="324"/>
      <c r="AE19" s="324"/>
      <c r="AF19" s="324"/>
      <c r="AG19" s="324"/>
      <c r="AH19" s="324"/>
      <c r="AI19" s="324"/>
      <c r="AJ19" s="324"/>
      <c r="AK19" s="324"/>
      <c r="AL19" s="324"/>
      <c r="AM19" s="324"/>
    </row>
    <row r="20" spans="1:39">
      <c r="A20" s="449">
        <f t="shared" si="0"/>
        <v>1992</v>
      </c>
      <c r="B20" s="450" t="s">
        <v>1031</v>
      </c>
      <c r="C20" s="450" t="s">
        <v>1031</v>
      </c>
      <c r="D20" s="450" t="s">
        <v>1031</v>
      </c>
      <c r="E20" s="450" t="s">
        <v>1031</v>
      </c>
      <c r="F20" s="450" t="s">
        <v>1031</v>
      </c>
      <c r="G20" s="450" t="s">
        <v>1031</v>
      </c>
      <c r="H20" s="450" t="s">
        <v>1031</v>
      </c>
      <c r="I20" s="450" t="s">
        <v>1031</v>
      </c>
      <c r="J20" s="450" t="s">
        <v>1031</v>
      </c>
      <c r="K20" s="450" t="s">
        <v>1031</v>
      </c>
      <c r="L20" s="450" t="s">
        <v>1031</v>
      </c>
      <c r="M20" s="450" t="s">
        <v>1031</v>
      </c>
      <c r="N20" s="450" t="s">
        <v>1031</v>
      </c>
      <c r="O20" s="450" t="s">
        <v>1031</v>
      </c>
      <c r="P20" s="450" t="s">
        <v>1031</v>
      </c>
      <c r="Q20" s="450" t="s">
        <v>1031</v>
      </c>
      <c r="R20" s="450" t="s">
        <v>1031</v>
      </c>
      <c r="S20" s="450" t="s">
        <v>1031</v>
      </c>
      <c r="T20" s="450">
        <v>7052287.3000000007</v>
      </c>
      <c r="U20" s="324"/>
      <c r="V20" s="324"/>
      <c r="W20" s="324"/>
      <c r="X20" s="324"/>
      <c r="Y20" s="324"/>
      <c r="Z20" s="324"/>
      <c r="AA20" s="324"/>
      <c r="AB20" s="324"/>
      <c r="AC20" s="324"/>
      <c r="AD20" s="324"/>
      <c r="AE20" s="324"/>
      <c r="AF20" s="324"/>
      <c r="AG20" s="324"/>
      <c r="AH20" s="324"/>
      <c r="AI20" s="324"/>
      <c r="AJ20" s="324"/>
      <c r="AK20" s="324"/>
      <c r="AL20" s="324"/>
      <c r="AM20" s="324"/>
    </row>
    <row r="21" spans="1:39">
      <c r="A21" s="449">
        <f t="shared" si="0"/>
        <v>1993</v>
      </c>
      <c r="B21" s="450" t="s">
        <v>1031</v>
      </c>
      <c r="C21" s="450" t="s">
        <v>1031</v>
      </c>
      <c r="D21" s="450" t="s">
        <v>1031</v>
      </c>
      <c r="E21" s="450" t="s">
        <v>1031</v>
      </c>
      <c r="F21" s="450" t="s">
        <v>1031</v>
      </c>
      <c r="G21" s="450" t="s">
        <v>1031</v>
      </c>
      <c r="H21" s="450" t="s">
        <v>1031</v>
      </c>
      <c r="I21" s="450" t="s">
        <v>1031</v>
      </c>
      <c r="J21" s="450" t="s">
        <v>1031</v>
      </c>
      <c r="K21" s="450" t="s">
        <v>1031</v>
      </c>
      <c r="L21" s="450" t="s">
        <v>1031</v>
      </c>
      <c r="M21" s="450" t="s">
        <v>1031</v>
      </c>
      <c r="N21" s="450" t="s">
        <v>1031</v>
      </c>
      <c r="O21" s="450" t="s">
        <v>1031</v>
      </c>
      <c r="P21" s="450" t="s">
        <v>1031</v>
      </c>
      <c r="Q21" s="450" t="s">
        <v>1031</v>
      </c>
      <c r="R21" s="450" t="s">
        <v>1031</v>
      </c>
      <c r="S21" s="450">
        <v>10595001</v>
      </c>
      <c r="T21" s="450">
        <v>10595001</v>
      </c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324"/>
      <c r="AF21" s="324"/>
      <c r="AG21" s="324"/>
      <c r="AH21" s="324"/>
      <c r="AI21" s="324"/>
      <c r="AJ21" s="324"/>
      <c r="AK21" s="324"/>
      <c r="AL21" s="324"/>
      <c r="AM21" s="324"/>
    </row>
    <row r="22" spans="1:39">
      <c r="A22" s="449">
        <f t="shared" si="0"/>
        <v>1994</v>
      </c>
      <c r="B22" s="450" t="s">
        <v>1031</v>
      </c>
      <c r="C22" s="450" t="s">
        <v>1031</v>
      </c>
      <c r="D22" s="450" t="s">
        <v>1031</v>
      </c>
      <c r="E22" s="450" t="s">
        <v>1031</v>
      </c>
      <c r="F22" s="450" t="s">
        <v>1031</v>
      </c>
      <c r="G22" s="450" t="s">
        <v>1031</v>
      </c>
      <c r="H22" s="450" t="s">
        <v>1031</v>
      </c>
      <c r="I22" s="450" t="s">
        <v>1031</v>
      </c>
      <c r="J22" s="450" t="s">
        <v>1031</v>
      </c>
      <c r="K22" s="450" t="s">
        <v>1031</v>
      </c>
      <c r="L22" s="450" t="s">
        <v>1031</v>
      </c>
      <c r="M22" s="450" t="s">
        <v>1031</v>
      </c>
      <c r="N22" s="450" t="s">
        <v>1031</v>
      </c>
      <c r="O22" s="450" t="s">
        <v>1031</v>
      </c>
      <c r="P22" s="450" t="s">
        <v>1031</v>
      </c>
      <c r="Q22" s="450" t="s">
        <v>1031</v>
      </c>
      <c r="R22" s="450">
        <v>9014361.5100000016</v>
      </c>
      <c r="S22" s="450">
        <v>9014361.5100000016</v>
      </c>
      <c r="T22" s="450">
        <v>9014361.5100000016</v>
      </c>
      <c r="U22" s="324"/>
      <c r="V22" s="324"/>
      <c r="W22" s="324"/>
      <c r="X22" s="324"/>
      <c r="Y22" s="324"/>
      <c r="Z22" s="324"/>
      <c r="AA22" s="326"/>
      <c r="AB22" s="326"/>
      <c r="AC22" s="324"/>
      <c r="AD22" s="324"/>
      <c r="AE22" s="324"/>
      <c r="AF22" s="324"/>
      <c r="AG22" s="324"/>
      <c r="AH22" s="324"/>
      <c r="AI22" s="324"/>
      <c r="AJ22" s="324"/>
      <c r="AK22" s="324"/>
      <c r="AL22" s="324"/>
      <c r="AM22" s="324"/>
    </row>
    <row r="23" spans="1:39">
      <c r="A23" s="449">
        <f t="shared" si="0"/>
        <v>1995</v>
      </c>
      <c r="B23" s="450" t="s">
        <v>1031</v>
      </c>
      <c r="C23" s="450" t="s">
        <v>1031</v>
      </c>
      <c r="D23" s="450" t="s">
        <v>1031</v>
      </c>
      <c r="E23" s="450" t="s">
        <v>1031</v>
      </c>
      <c r="F23" s="450" t="s">
        <v>1031</v>
      </c>
      <c r="G23" s="450" t="s">
        <v>1031</v>
      </c>
      <c r="H23" s="450" t="s">
        <v>1031</v>
      </c>
      <c r="I23" s="450" t="s">
        <v>1031</v>
      </c>
      <c r="J23" s="450" t="s">
        <v>1031</v>
      </c>
      <c r="K23" s="450" t="s">
        <v>1031</v>
      </c>
      <c r="L23" s="450" t="s">
        <v>1031</v>
      </c>
      <c r="M23" s="450" t="s">
        <v>1031</v>
      </c>
      <c r="N23" s="450" t="s">
        <v>1031</v>
      </c>
      <c r="O23" s="450" t="s">
        <v>1031</v>
      </c>
      <c r="P23" s="450" t="s">
        <v>1031</v>
      </c>
      <c r="Q23" s="450">
        <v>25408701.430000003</v>
      </c>
      <c r="R23" s="450">
        <v>25408701.430000003</v>
      </c>
      <c r="S23" s="450">
        <v>25408701.430000003</v>
      </c>
      <c r="T23" s="450">
        <v>25408701.430000003</v>
      </c>
      <c r="U23" s="324"/>
      <c r="V23" s="324"/>
      <c r="W23" s="324"/>
      <c r="X23" s="324"/>
      <c r="Y23" s="324"/>
      <c r="Z23" s="324"/>
      <c r="AA23" s="326"/>
      <c r="AB23" s="326"/>
      <c r="AC23" s="324"/>
      <c r="AD23" s="324"/>
      <c r="AE23" s="324"/>
      <c r="AF23" s="324"/>
      <c r="AG23" s="324"/>
      <c r="AH23" s="324"/>
      <c r="AI23" s="324"/>
      <c r="AJ23" s="324"/>
      <c r="AK23" s="324"/>
      <c r="AL23" s="324"/>
      <c r="AM23" s="324"/>
    </row>
    <row r="24" spans="1:39">
      <c r="A24" s="449">
        <f t="shared" si="0"/>
        <v>1996</v>
      </c>
      <c r="B24" s="450" t="s">
        <v>1031</v>
      </c>
      <c r="C24" s="450" t="s">
        <v>1031</v>
      </c>
      <c r="D24" s="450" t="s">
        <v>1031</v>
      </c>
      <c r="E24" s="450" t="s">
        <v>1031</v>
      </c>
      <c r="F24" s="450" t="s">
        <v>1031</v>
      </c>
      <c r="G24" s="450" t="s">
        <v>1031</v>
      </c>
      <c r="H24" s="450" t="s">
        <v>1031</v>
      </c>
      <c r="I24" s="450" t="s">
        <v>1031</v>
      </c>
      <c r="J24" s="450" t="s">
        <v>1031</v>
      </c>
      <c r="K24" s="450" t="s">
        <v>1031</v>
      </c>
      <c r="L24" s="450" t="s">
        <v>1031</v>
      </c>
      <c r="M24" s="450" t="s">
        <v>1031</v>
      </c>
      <c r="N24" s="450" t="s">
        <v>1031</v>
      </c>
      <c r="O24" s="450" t="s">
        <v>1031</v>
      </c>
      <c r="P24" s="450">
        <v>16532011.000000004</v>
      </c>
      <c r="Q24" s="450">
        <v>16532011.000000004</v>
      </c>
      <c r="R24" s="450">
        <v>16532011.000000004</v>
      </c>
      <c r="S24" s="450">
        <v>16532011.000000004</v>
      </c>
      <c r="T24" s="450">
        <v>16532011.000000004</v>
      </c>
      <c r="U24" s="324"/>
      <c r="V24" s="324"/>
      <c r="W24" s="324"/>
      <c r="X24" s="324"/>
      <c r="Y24" s="324"/>
      <c r="Z24" s="324"/>
      <c r="AA24" s="326"/>
      <c r="AB24" s="326"/>
      <c r="AC24" s="324"/>
      <c r="AD24" s="324"/>
      <c r="AE24" s="324"/>
      <c r="AF24" s="324"/>
      <c r="AG24" s="324"/>
      <c r="AH24" s="324"/>
      <c r="AI24" s="324"/>
      <c r="AJ24" s="324"/>
      <c r="AK24" s="324"/>
      <c r="AL24" s="324"/>
      <c r="AM24" s="324"/>
    </row>
    <row r="25" spans="1:39">
      <c r="A25" s="449">
        <f t="shared" si="0"/>
        <v>1997</v>
      </c>
      <c r="B25" s="450" t="s">
        <v>1031</v>
      </c>
      <c r="C25" s="450" t="s">
        <v>1031</v>
      </c>
      <c r="D25" s="450" t="s">
        <v>1031</v>
      </c>
      <c r="E25" s="450" t="s">
        <v>1031</v>
      </c>
      <c r="F25" s="450" t="s">
        <v>1031</v>
      </c>
      <c r="G25" s="450" t="s">
        <v>1031</v>
      </c>
      <c r="H25" s="450" t="s">
        <v>1031</v>
      </c>
      <c r="I25" s="450" t="s">
        <v>1031</v>
      </c>
      <c r="J25" s="450" t="s">
        <v>1031</v>
      </c>
      <c r="K25" s="450" t="s">
        <v>1031</v>
      </c>
      <c r="L25" s="450" t="s">
        <v>1031</v>
      </c>
      <c r="M25" s="450" t="s">
        <v>1031</v>
      </c>
      <c r="N25" s="450" t="s">
        <v>1031</v>
      </c>
      <c r="O25" s="450">
        <v>9461637.8699999973</v>
      </c>
      <c r="P25" s="450">
        <v>9461637.8699999973</v>
      </c>
      <c r="Q25" s="450">
        <v>9461637.8699999973</v>
      </c>
      <c r="R25" s="450">
        <v>9461637.8699999973</v>
      </c>
      <c r="S25" s="450">
        <v>9461637.8699999973</v>
      </c>
      <c r="T25" s="450">
        <v>9461637.8699999973</v>
      </c>
      <c r="U25" s="324"/>
      <c r="V25" s="324"/>
      <c r="W25" s="324"/>
      <c r="X25" s="324"/>
      <c r="Y25" s="324"/>
      <c r="Z25" s="324"/>
      <c r="AA25" s="326"/>
      <c r="AB25" s="326"/>
      <c r="AC25" s="324"/>
      <c r="AD25" s="324"/>
      <c r="AE25" s="324"/>
      <c r="AF25" s="324"/>
      <c r="AG25" s="324"/>
      <c r="AH25" s="324"/>
      <c r="AI25" s="324"/>
      <c r="AJ25" s="324"/>
      <c r="AK25" s="324"/>
      <c r="AL25" s="324"/>
      <c r="AM25" s="324"/>
    </row>
    <row r="26" spans="1:39">
      <c r="A26" s="449">
        <f t="shared" si="0"/>
        <v>1998</v>
      </c>
      <c r="B26" s="450" t="s">
        <v>1031</v>
      </c>
      <c r="C26" s="450" t="s">
        <v>1031</v>
      </c>
      <c r="D26" s="450" t="s">
        <v>1031</v>
      </c>
      <c r="E26" s="450" t="s">
        <v>1031</v>
      </c>
      <c r="F26" s="450" t="s">
        <v>1031</v>
      </c>
      <c r="G26" s="450" t="s">
        <v>1031</v>
      </c>
      <c r="H26" s="450" t="s">
        <v>1031</v>
      </c>
      <c r="I26" s="450" t="s">
        <v>1031</v>
      </c>
      <c r="J26" s="450" t="s">
        <v>1031</v>
      </c>
      <c r="K26" s="450" t="s">
        <v>1031</v>
      </c>
      <c r="L26" s="450" t="s">
        <v>1031</v>
      </c>
      <c r="M26" s="450" t="s">
        <v>1031</v>
      </c>
      <c r="N26" s="450">
        <v>25004267.690000005</v>
      </c>
      <c r="O26" s="450">
        <v>25004267.690000005</v>
      </c>
      <c r="P26" s="450">
        <v>25004267.690000005</v>
      </c>
      <c r="Q26" s="450">
        <v>25004267.690000005</v>
      </c>
      <c r="R26" s="450">
        <v>25004267.690000005</v>
      </c>
      <c r="S26" s="450">
        <v>25004267.690000005</v>
      </c>
      <c r="T26" s="450">
        <v>25004267.690000005</v>
      </c>
      <c r="U26" s="324"/>
      <c r="V26" s="324"/>
      <c r="W26" s="324"/>
      <c r="X26" s="324"/>
      <c r="Y26" s="324"/>
      <c r="Z26" s="324"/>
      <c r="AA26" s="326"/>
      <c r="AB26" s="326"/>
      <c r="AC26" s="324"/>
      <c r="AD26" s="324"/>
      <c r="AE26" s="324"/>
      <c r="AF26" s="324"/>
      <c r="AG26" s="324"/>
      <c r="AH26" s="324"/>
      <c r="AI26" s="324"/>
      <c r="AJ26" s="324"/>
      <c r="AK26" s="324"/>
      <c r="AL26" s="324"/>
      <c r="AM26" s="324"/>
    </row>
    <row r="27" spans="1:39">
      <c r="A27" s="449">
        <f t="shared" si="0"/>
        <v>1999</v>
      </c>
      <c r="B27" s="450" t="s">
        <v>1031</v>
      </c>
      <c r="C27" s="450" t="s">
        <v>1031</v>
      </c>
      <c r="D27" s="450" t="s">
        <v>1031</v>
      </c>
      <c r="E27" s="450" t="s">
        <v>1031</v>
      </c>
      <c r="F27" s="450" t="s">
        <v>1031</v>
      </c>
      <c r="G27" s="450" t="s">
        <v>1031</v>
      </c>
      <c r="H27" s="450" t="s">
        <v>1031</v>
      </c>
      <c r="I27" s="450" t="s">
        <v>1031</v>
      </c>
      <c r="J27" s="450" t="s">
        <v>1031</v>
      </c>
      <c r="K27" s="450" t="s">
        <v>1031</v>
      </c>
      <c r="L27" s="450" t="s">
        <v>1031</v>
      </c>
      <c r="M27" s="450">
        <v>19684000</v>
      </c>
      <c r="N27" s="450">
        <v>19684000</v>
      </c>
      <c r="O27" s="450">
        <v>19684000</v>
      </c>
      <c r="P27" s="450">
        <v>19684000</v>
      </c>
      <c r="Q27" s="450">
        <v>19684000</v>
      </c>
      <c r="R27" s="450">
        <v>19684000</v>
      </c>
      <c r="S27" s="450">
        <v>19684000</v>
      </c>
      <c r="T27" s="450">
        <v>19684000</v>
      </c>
      <c r="U27" s="324"/>
      <c r="V27" s="324"/>
      <c r="W27" s="324"/>
      <c r="X27" s="324"/>
      <c r="Y27" s="324"/>
      <c r="Z27" s="324"/>
      <c r="AA27" s="326"/>
      <c r="AB27" s="326"/>
      <c r="AC27" s="324"/>
      <c r="AD27" s="324"/>
      <c r="AE27" s="324"/>
      <c r="AF27" s="324"/>
      <c r="AG27" s="324"/>
      <c r="AH27" s="324"/>
      <c r="AI27" s="324"/>
      <c r="AJ27" s="324"/>
      <c r="AK27" s="324"/>
      <c r="AL27" s="324"/>
      <c r="AM27" s="324"/>
    </row>
    <row r="28" spans="1:39">
      <c r="A28" s="449">
        <f t="shared" si="0"/>
        <v>2000</v>
      </c>
      <c r="B28" s="450" t="s">
        <v>1031</v>
      </c>
      <c r="C28" s="450" t="s">
        <v>1031</v>
      </c>
      <c r="D28" s="450" t="s">
        <v>1031</v>
      </c>
      <c r="E28" s="450" t="s">
        <v>1031</v>
      </c>
      <c r="F28" s="450" t="s">
        <v>1031</v>
      </c>
      <c r="G28" s="450" t="s">
        <v>1031</v>
      </c>
      <c r="H28" s="450" t="s">
        <v>1031</v>
      </c>
      <c r="I28" s="450" t="s">
        <v>1031</v>
      </c>
      <c r="J28" s="450" t="s">
        <v>1031</v>
      </c>
      <c r="K28" s="450" t="s">
        <v>1031</v>
      </c>
      <c r="L28" s="450">
        <v>16115000</v>
      </c>
      <c r="M28" s="450">
        <v>16115000</v>
      </c>
      <c r="N28" s="450">
        <v>16115000</v>
      </c>
      <c r="O28" s="450">
        <v>16115000</v>
      </c>
      <c r="P28" s="450">
        <v>16115000</v>
      </c>
      <c r="Q28" s="450">
        <v>16115000</v>
      </c>
      <c r="R28" s="450">
        <v>16115000</v>
      </c>
      <c r="S28" s="450">
        <v>16115000</v>
      </c>
      <c r="T28" s="450">
        <v>16115000</v>
      </c>
      <c r="U28" s="324"/>
      <c r="V28" s="324"/>
      <c r="W28" s="324"/>
      <c r="X28" s="324"/>
      <c r="Y28" s="324"/>
      <c r="Z28" s="324"/>
      <c r="AA28" s="326"/>
      <c r="AB28" s="326"/>
      <c r="AC28" s="324"/>
      <c r="AD28" s="324"/>
      <c r="AE28" s="324"/>
      <c r="AF28" s="324"/>
      <c r="AG28" s="324"/>
      <c r="AH28" s="324"/>
      <c r="AI28" s="324"/>
      <c r="AJ28" s="324"/>
      <c r="AK28" s="324"/>
      <c r="AL28" s="324"/>
      <c r="AM28" s="324"/>
    </row>
    <row r="29" spans="1:39">
      <c r="A29" s="449">
        <f t="shared" si="0"/>
        <v>2001</v>
      </c>
      <c r="B29" s="450" t="s">
        <v>1031</v>
      </c>
      <c r="C29" s="450" t="s">
        <v>1031</v>
      </c>
      <c r="D29" s="450" t="s">
        <v>1031</v>
      </c>
      <c r="E29" s="450" t="s">
        <v>1031</v>
      </c>
      <c r="F29" s="450" t="s">
        <v>1031</v>
      </c>
      <c r="G29" s="450" t="s">
        <v>1031</v>
      </c>
      <c r="H29" s="450" t="s">
        <v>1031</v>
      </c>
      <c r="I29" s="450" t="s">
        <v>1031</v>
      </c>
      <c r="J29" s="450" t="s">
        <v>1031</v>
      </c>
      <c r="K29" s="450">
        <v>12117167.000000004</v>
      </c>
      <c r="L29" s="450">
        <v>12117167.000000004</v>
      </c>
      <c r="M29" s="450">
        <v>12117167.000000004</v>
      </c>
      <c r="N29" s="450">
        <v>12117167.000000004</v>
      </c>
      <c r="O29" s="450">
        <v>12117167.000000004</v>
      </c>
      <c r="P29" s="450">
        <v>12117167.000000004</v>
      </c>
      <c r="Q29" s="450">
        <v>12117167.000000004</v>
      </c>
      <c r="R29" s="450">
        <v>12117167.000000004</v>
      </c>
      <c r="S29" s="450">
        <v>12117167.000000004</v>
      </c>
      <c r="T29" s="450">
        <v>12117167.000000004</v>
      </c>
      <c r="U29" s="324"/>
      <c r="V29" s="324"/>
      <c r="W29" s="324"/>
      <c r="X29" s="324"/>
      <c r="Y29" s="324"/>
      <c r="Z29" s="324"/>
      <c r="AA29" s="326"/>
      <c r="AB29" s="326"/>
      <c r="AC29" s="324"/>
      <c r="AD29" s="324"/>
      <c r="AE29" s="324"/>
      <c r="AF29" s="324"/>
      <c r="AG29" s="324"/>
      <c r="AH29" s="324"/>
      <c r="AI29" s="324"/>
      <c r="AJ29" s="324"/>
      <c r="AK29" s="324"/>
      <c r="AL29" s="324"/>
      <c r="AM29" s="324"/>
    </row>
    <row r="30" spans="1:39">
      <c r="A30" s="449">
        <f t="shared" si="0"/>
        <v>2002</v>
      </c>
      <c r="B30" s="450" t="s">
        <v>1031</v>
      </c>
      <c r="C30" s="450" t="s">
        <v>1031</v>
      </c>
      <c r="D30" s="450" t="s">
        <v>1031</v>
      </c>
      <c r="E30" s="450" t="s">
        <v>1031</v>
      </c>
      <c r="F30" s="450" t="s">
        <v>1031</v>
      </c>
      <c r="G30" s="450" t="s">
        <v>1031</v>
      </c>
      <c r="H30" s="450" t="s">
        <v>1031</v>
      </c>
      <c r="I30" s="450" t="s">
        <v>1031</v>
      </c>
      <c r="J30" s="450">
        <v>12183262.23</v>
      </c>
      <c r="K30" s="450">
        <v>12183262.23</v>
      </c>
      <c r="L30" s="450">
        <v>12183262.23</v>
      </c>
      <c r="M30" s="450">
        <v>12183262.230000004</v>
      </c>
      <c r="N30" s="450">
        <v>12183262.229999997</v>
      </c>
      <c r="O30" s="450">
        <v>14183262.23</v>
      </c>
      <c r="P30" s="450">
        <v>14183262.23</v>
      </c>
      <c r="Q30" s="450">
        <v>14183262.23</v>
      </c>
      <c r="R30" s="450">
        <v>14183262.23</v>
      </c>
      <c r="S30" s="450">
        <v>14183262.23</v>
      </c>
      <c r="T30" s="450">
        <v>14183262.23</v>
      </c>
      <c r="U30" s="324"/>
      <c r="V30" s="324"/>
      <c r="W30" s="324"/>
      <c r="X30" s="324"/>
      <c r="Y30" s="324"/>
      <c r="Z30" s="324"/>
      <c r="AA30" s="326"/>
      <c r="AB30" s="326"/>
      <c r="AC30" s="324"/>
      <c r="AD30" s="324"/>
      <c r="AE30" s="324"/>
      <c r="AF30" s="324"/>
      <c r="AG30" s="324"/>
      <c r="AH30" s="324"/>
      <c r="AI30" s="324"/>
      <c r="AJ30" s="324"/>
      <c r="AK30" s="324"/>
      <c r="AL30" s="324"/>
      <c r="AM30" s="324"/>
    </row>
    <row r="31" spans="1:39">
      <c r="A31" s="449">
        <f t="shared" si="0"/>
        <v>2003</v>
      </c>
      <c r="B31" s="450" t="s">
        <v>1031</v>
      </c>
      <c r="C31" s="450" t="s">
        <v>1031</v>
      </c>
      <c r="D31" s="450" t="s">
        <v>1031</v>
      </c>
      <c r="E31" s="450" t="s">
        <v>1031</v>
      </c>
      <c r="F31" s="450" t="s">
        <v>1031</v>
      </c>
      <c r="G31" s="450" t="s">
        <v>1031</v>
      </c>
      <c r="H31" s="450" t="s">
        <v>1031</v>
      </c>
      <c r="I31" s="450">
        <v>15540000</v>
      </c>
      <c r="J31" s="450">
        <v>15539999.999999996</v>
      </c>
      <c r="K31" s="450">
        <v>15540000.000000004</v>
      </c>
      <c r="L31" s="450">
        <v>15540000.000000004</v>
      </c>
      <c r="M31" s="450">
        <v>15540000.000000004</v>
      </c>
      <c r="N31" s="450">
        <v>15540000.000000004</v>
      </c>
      <c r="O31" s="450">
        <v>15540000.000000004</v>
      </c>
      <c r="P31" s="450">
        <v>15540000.000000004</v>
      </c>
      <c r="Q31" s="450">
        <v>15540000.000000004</v>
      </c>
      <c r="R31" s="450">
        <v>15540000.000000004</v>
      </c>
      <c r="S31" s="450">
        <v>15539999.999999996</v>
      </c>
      <c r="T31" s="450">
        <v>15539999.999999993</v>
      </c>
      <c r="U31" s="324"/>
      <c r="V31" s="324"/>
      <c r="W31" s="324"/>
      <c r="X31" s="324"/>
      <c r="Y31" s="324"/>
      <c r="Z31" s="324"/>
      <c r="AA31" s="326"/>
      <c r="AB31" s="326"/>
      <c r="AC31" s="324"/>
      <c r="AD31" s="324"/>
      <c r="AE31" s="324"/>
      <c r="AF31" s="324"/>
      <c r="AG31" s="324"/>
      <c r="AH31" s="324"/>
      <c r="AI31" s="324"/>
      <c r="AJ31" s="324"/>
      <c r="AK31" s="324"/>
      <c r="AL31" s="324"/>
      <c r="AM31" s="324"/>
    </row>
    <row r="32" spans="1:39">
      <c r="A32" s="449">
        <f t="shared" si="0"/>
        <v>2004</v>
      </c>
      <c r="B32" s="450" t="s">
        <v>1031</v>
      </c>
      <c r="C32" s="450" t="s">
        <v>1031</v>
      </c>
      <c r="D32" s="450" t="s">
        <v>1031</v>
      </c>
      <c r="E32" s="450" t="s">
        <v>1031</v>
      </c>
      <c r="F32" s="450" t="s">
        <v>1031</v>
      </c>
      <c r="G32" s="450" t="s">
        <v>1031</v>
      </c>
      <c r="H32" s="450">
        <v>6225000</v>
      </c>
      <c r="I32" s="450">
        <v>6225000</v>
      </c>
      <c r="J32" s="450">
        <v>6225000.0000000019</v>
      </c>
      <c r="K32" s="450">
        <v>6225000.0000000019</v>
      </c>
      <c r="L32" s="450">
        <v>6225000</v>
      </c>
      <c r="M32" s="450">
        <v>6225000</v>
      </c>
      <c r="N32" s="450">
        <v>6225000</v>
      </c>
      <c r="O32" s="450">
        <v>6224999.9999999981</v>
      </c>
      <c r="P32" s="450">
        <v>6224999.9999999981</v>
      </c>
      <c r="Q32" s="450">
        <v>6224999.9999999981</v>
      </c>
      <c r="R32" s="450">
        <v>6225000</v>
      </c>
      <c r="S32" s="450">
        <v>6224999.9999999991</v>
      </c>
      <c r="T32" s="451">
        <v>6224999.9999999991</v>
      </c>
      <c r="V32" s="324"/>
      <c r="W32" s="324"/>
      <c r="X32" s="324"/>
      <c r="Y32" s="324"/>
      <c r="Z32" s="324"/>
      <c r="AA32" s="326"/>
      <c r="AB32" s="326"/>
      <c r="AC32" s="324"/>
      <c r="AD32" s="324"/>
      <c r="AE32" s="324"/>
      <c r="AF32" s="324"/>
      <c r="AG32" s="324"/>
      <c r="AH32" s="324"/>
      <c r="AI32" s="324"/>
      <c r="AJ32" s="324"/>
      <c r="AK32" s="324"/>
      <c r="AL32" s="324"/>
      <c r="AM32" s="324"/>
    </row>
    <row r="33" spans="1:39">
      <c r="A33" s="449">
        <f t="shared" si="0"/>
        <v>2005</v>
      </c>
      <c r="B33" s="450" t="s">
        <v>1031</v>
      </c>
      <c r="C33" s="450" t="s">
        <v>1031</v>
      </c>
      <c r="D33" s="450" t="s">
        <v>1031</v>
      </c>
      <c r="E33" s="450" t="s">
        <v>1031</v>
      </c>
      <c r="F33" s="450" t="s">
        <v>1031</v>
      </c>
      <c r="G33" s="450">
        <v>4115000</v>
      </c>
      <c r="H33" s="450">
        <v>4615000</v>
      </c>
      <c r="I33" s="450">
        <v>5015000</v>
      </c>
      <c r="J33" s="450">
        <v>5015000</v>
      </c>
      <c r="K33" s="450">
        <v>5015000</v>
      </c>
      <c r="L33" s="450">
        <v>5015000</v>
      </c>
      <c r="M33" s="450">
        <v>5015000</v>
      </c>
      <c r="N33" s="450">
        <v>5015000</v>
      </c>
      <c r="O33" s="450">
        <v>5015000</v>
      </c>
      <c r="P33" s="450">
        <v>5015000</v>
      </c>
      <c r="Q33" s="450">
        <v>5015000</v>
      </c>
      <c r="R33" s="450">
        <v>5015000.0000000009</v>
      </c>
      <c r="S33" s="451">
        <v>5015000.0000000009</v>
      </c>
      <c r="T33" s="450"/>
      <c r="V33" s="324"/>
      <c r="W33" s="324"/>
      <c r="X33" s="324"/>
      <c r="Y33" s="324"/>
      <c r="Z33" s="324"/>
      <c r="AA33" s="326"/>
      <c r="AB33" s="326"/>
      <c r="AC33" s="324"/>
      <c r="AD33" s="324"/>
      <c r="AE33" s="324"/>
      <c r="AF33" s="324"/>
      <c r="AG33" s="324"/>
      <c r="AH33" s="324"/>
      <c r="AI33" s="324"/>
      <c r="AJ33" s="324"/>
      <c r="AK33" s="324"/>
      <c r="AL33" s="324"/>
      <c r="AM33" s="324"/>
    </row>
    <row r="34" spans="1:39">
      <c r="A34" s="449">
        <f t="shared" si="0"/>
        <v>2006</v>
      </c>
      <c r="B34" s="450" t="s">
        <v>1031</v>
      </c>
      <c r="C34" s="450" t="s">
        <v>1031</v>
      </c>
      <c r="D34" s="450" t="s">
        <v>1031</v>
      </c>
      <c r="E34" s="450" t="s">
        <v>1031</v>
      </c>
      <c r="F34" s="450">
        <v>3525000</v>
      </c>
      <c r="G34" s="450">
        <v>4575000</v>
      </c>
      <c r="H34" s="450">
        <v>5375000</v>
      </c>
      <c r="I34" s="450">
        <v>5825000</v>
      </c>
      <c r="J34" s="450">
        <v>5825000</v>
      </c>
      <c r="K34" s="450">
        <v>5825000</v>
      </c>
      <c r="L34" s="450">
        <v>5824999.9999999981</v>
      </c>
      <c r="M34" s="450">
        <v>5824999.9999999981</v>
      </c>
      <c r="N34" s="450">
        <v>5824999.9999999981</v>
      </c>
      <c r="O34" s="450">
        <v>5824999.9999999981</v>
      </c>
      <c r="P34" s="450">
        <v>5825000</v>
      </c>
      <c r="Q34" s="450">
        <v>5824999.9999999991</v>
      </c>
      <c r="R34" s="451">
        <v>5824999.9999999991</v>
      </c>
      <c r="S34" s="450"/>
      <c r="T34" s="450"/>
      <c r="V34" s="324"/>
      <c r="W34" s="324"/>
      <c r="X34" s="324"/>
      <c r="Y34" s="324"/>
      <c r="Z34" s="324"/>
      <c r="AA34" s="326"/>
      <c r="AB34" s="326"/>
      <c r="AC34" s="324"/>
      <c r="AD34" s="324"/>
      <c r="AE34" s="324"/>
      <c r="AF34" s="324"/>
      <c r="AG34" s="324"/>
      <c r="AH34" s="324"/>
      <c r="AI34" s="324"/>
      <c r="AJ34" s="324"/>
      <c r="AK34" s="324"/>
      <c r="AL34" s="324"/>
      <c r="AM34" s="324"/>
    </row>
    <row r="35" spans="1:39">
      <c r="A35" s="449">
        <f t="shared" si="0"/>
        <v>2007</v>
      </c>
      <c r="B35" s="450" t="s">
        <v>1031</v>
      </c>
      <c r="C35" s="450" t="s">
        <v>1031</v>
      </c>
      <c r="D35" s="450" t="s">
        <v>1031</v>
      </c>
      <c r="E35" s="450">
        <v>1169999.9999999991</v>
      </c>
      <c r="F35" s="450">
        <v>4720000.0000000019</v>
      </c>
      <c r="G35" s="450">
        <v>4794999.9999999981</v>
      </c>
      <c r="H35" s="450">
        <v>4845000</v>
      </c>
      <c r="I35" s="450">
        <v>4845000</v>
      </c>
      <c r="J35" s="450">
        <v>4845000</v>
      </c>
      <c r="K35" s="450">
        <v>4845000</v>
      </c>
      <c r="L35" s="450">
        <v>4845000</v>
      </c>
      <c r="M35" s="450">
        <v>4845000</v>
      </c>
      <c r="N35" s="450">
        <v>4845000</v>
      </c>
      <c r="O35" s="450">
        <v>4845000</v>
      </c>
      <c r="P35" s="450">
        <v>4844999.9999999991</v>
      </c>
      <c r="Q35" s="451">
        <v>4844999.9999999991</v>
      </c>
      <c r="R35" s="450"/>
      <c r="S35" s="450"/>
      <c r="T35" s="450"/>
      <c r="V35" s="324"/>
      <c r="W35" s="324"/>
      <c r="X35" s="324"/>
      <c r="Y35" s="324"/>
      <c r="Z35" s="324"/>
      <c r="AA35" s="326"/>
      <c r="AB35" s="326"/>
      <c r="AC35" s="324"/>
      <c r="AD35" s="324"/>
      <c r="AE35" s="324"/>
      <c r="AF35" s="324"/>
      <c r="AG35" s="324"/>
      <c r="AH35" s="324"/>
      <c r="AI35" s="324"/>
      <c r="AJ35" s="324"/>
      <c r="AK35" s="324"/>
      <c r="AL35" s="324"/>
      <c r="AM35" s="324"/>
    </row>
    <row r="36" spans="1:39">
      <c r="A36" s="449">
        <f t="shared" si="0"/>
        <v>2008</v>
      </c>
      <c r="B36" s="450" t="s">
        <v>1031</v>
      </c>
      <c r="C36" s="450" t="s">
        <v>1031</v>
      </c>
      <c r="D36" s="450">
        <v>1725000</v>
      </c>
      <c r="E36" s="450">
        <v>3625000</v>
      </c>
      <c r="F36" s="450">
        <v>4365000</v>
      </c>
      <c r="G36" s="450">
        <v>4615000</v>
      </c>
      <c r="H36" s="450">
        <v>5214999.9999999981</v>
      </c>
      <c r="I36" s="450">
        <v>5215000</v>
      </c>
      <c r="J36" s="450">
        <v>5215000.0000000019</v>
      </c>
      <c r="K36" s="450">
        <v>5215000.0000000019</v>
      </c>
      <c r="L36" s="450">
        <v>5215000</v>
      </c>
      <c r="M36" s="450">
        <v>6014999.9999999981</v>
      </c>
      <c r="N36" s="450">
        <v>6015000</v>
      </c>
      <c r="O36" s="450">
        <v>6014999.9999999991</v>
      </c>
      <c r="P36" s="451">
        <v>6014999.9999999991</v>
      </c>
      <c r="Q36" s="450"/>
      <c r="R36" s="450"/>
      <c r="S36" s="450"/>
      <c r="T36" s="450"/>
      <c r="V36" s="324"/>
      <c r="W36" s="324"/>
      <c r="X36" s="324"/>
      <c r="Y36" s="324"/>
      <c r="Z36" s="324"/>
      <c r="AA36" s="326"/>
      <c r="AB36" s="326"/>
      <c r="AC36" s="324"/>
      <c r="AD36" s="324"/>
      <c r="AE36" s="324"/>
      <c r="AF36" s="324"/>
      <c r="AG36" s="324"/>
      <c r="AH36" s="324"/>
      <c r="AI36" s="324"/>
      <c r="AJ36" s="324"/>
      <c r="AK36" s="324"/>
      <c r="AL36" s="324"/>
      <c r="AM36" s="324"/>
    </row>
    <row r="37" spans="1:39">
      <c r="A37" s="449">
        <f t="shared" si="0"/>
        <v>2009</v>
      </c>
      <c r="B37" s="450" t="s">
        <v>1031</v>
      </c>
      <c r="C37" s="450">
        <v>0</v>
      </c>
      <c r="D37" s="450">
        <v>1999999.9999999995</v>
      </c>
      <c r="E37" s="450">
        <v>3075000</v>
      </c>
      <c r="F37" s="450">
        <v>4075000.0000000009</v>
      </c>
      <c r="G37" s="450">
        <v>5885000</v>
      </c>
      <c r="H37" s="450">
        <v>5885000</v>
      </c>
      <c r="I37" s="450">
        <v>6335000.0000000019</v>
      </c>
      <c r="J37" s="450">
        <v>6335000.0000000019</v>
      </c>
      <c r="K37" s="450">
        <v>6335000.0000000019</v>
      </c>
      <c r="L37" s="450">
        <v>6335000.0000000019</v>
      </c>
      <c r="M37" s="450">
        <v>6335000.0000000019</v>
      </c>
      <c r="N37" s="450">
        <v>6335000.0000000019</v>
      </c>
      <c r="O37" s="451">
        <v>6335000.0000000019</v>
      </c>
      <c r="P37" s="450"/>
      <c r="Q37" s="450"/>
      <c r="R37" s="450"/>
      <c r="S37" s="450"/>
      <c r="T37" s="450"/>
      <c r="V37" s="324"/>
      <c r="W37" s="324"/>
      <c r="X37" s="324"/>
      <c r="Y37" s="324"/>
      <c r="Z37" s="324"/>
      <c r="AA37" s="326"/>
      <c r="AB37" s="326"/>
      <c r="AC37" s="324"/>
      <c r="AD37" s="324"/>
      <c r="AE37" s="324"/>
      <c r="AF37" s="324"/>
      <c r="AG37" s="324"/>
      <c r="AH37" s="324"/>
      <c r="AI37" s="324"/>
      <c r="AJ37" s="324"/>
      <c r="AK37" s="324"/>
      <c r="AL37" s="324"/>
      <c r="AM37" s="324"/>
    </row>
    <row r="38" spans="1:39">
      <c r="A38" s="449">
        <f t="shared" si="0"/>
        <v>2010</v>
      </c>
      <c r="B38" s="450">
        <v>0</v>
      </c>
      <c r="C38" s="450">
        <v>250000</v>
      </c>
      <c r="D38" s="450">
        <v>3025000</v>
      </c>
      <c r="E38" s="450">
        <v>3025000</v>
      </c>
      <c r="F38" s="450">
        <v>5962500</v>
      </c>
      <c r="G38" s="450">
        <v>7462500</v>
      </c>
      <c r="H38" s="450">
        <v>7462500</v>
      </c>
      <c r="I38" s="450">
        <v>8462500.0000000019</v>
      </c>
      <c r="J38" s="450">
        <v>8462500</v>
      </c>
      <c r="K38" s="450">
        <v>8462500</v>
      </c>
      <c r="L38" s="450">
        <v>8462500</v>
      </c>
      <c r="M38" s="450">
        <v>8462500</v>
      </c>
      <c r="N38" s="451">
        <v>8462500</v>
      </c>
      <c r="O38" s="450"/>
      <c r="P38" s="450"/>
      <c r="Q38" s="450"/>
      <c r="R38" s="450"/>
      <c r="S38" s="450"/>
      <c r="T38" s="450"/>
      <c r="V38" s="324"/>
      <c r="W38" s="324"/>
      <c r="X38" s="324"/>
      <c r="Y38" s="324"/>
      <c r="Z38" s="324"/>
      <c r="AA38" s="326"/>
      <c r="AB38" s="326"/>
      <c r="AC38" s="324"/>
      <c r="AD38" s="324"/>
      <c r="AE38" s="324"/>
      <c r="AF38" s="324"/>
      <c r="AG38" s="324"/>
      <c r="AH38" s="324"/>
      <c r="AI38" s="324"/>
      <c r="AJ38" s="324"/>
      <c r="AK38" s="324"/>
      <c r="AL38" s="324"/>
      <c r="AM38" s="324"/>
    </row>
    <row r="39" spans="1:39">
      <c r="A39" s="449">
        <f t="shared" si="0"/>
        <v>2011</v>
      </c>
      <c r="B39" s="450">
        <v>0</v>
      </c>
      <c r="C39" s="450">
        <v>0</v>
      </c>
      <c r="D39" s="450">
        <v>0</v>
      </c>
      <c r="E39" s="450">
        <v>0</v>
      </c>
      <c r="F39" s="450">
        <v>4214500</v>
      </c>
      <c r="G39" s="450">
        <v>6964500</v>
      </c>
      <c r="H39" s="450">
        <v>7214500</v>
      </c>
      <c r="I39" s="450">
        <v>7214500</v>
      </c>
      <c r="J39" s="450">
        <v>7214499.9999999981</v>
      </c>
      <c r="K39" s="450">
        <v>7214499.9999999981</v>
      </c>
      <c r="L39" s="450">
        <v>7214499.9999999981</v>
      </c>
      <c r="M39" s="451">
        <v>7214499.9999999981</v>
      </c>
      <c r="N39" s="450"/>
      <c r="O39" s="450"/>
      <c r="P39" s="450"/>
      <c r="Q39" s="450"/>
      <c r="R39" s="450"/>
      <c r="S39" s="450"/>
      <c r="T39" s="450"/>
      <c r="V39" s="324"/>
      <c r="W39" s="324"/>
      <c r="X39" s="324"/>
      <c r="Y39" s="324"/>
      <c r="Z39" s="324"/>
      <c r="AA39" s="326"/>
      <c r="AB39" s="326"/>
      <c r="AC39" s="324"/>
      <c r="AD39" s="324"/>
      <c r="AE39" s="324"/>
      <c r="AF39" s="324"/>
      <c r="AG39" s="324"/>
      <c r="AH39" s="324"/>
      <c r="AI39" s="324"/>
      <c r="AJ39" s="324"/>
      <c r="AK39" s="324"/>
      <c r="AL39" s="324"/>
      <c r="AM39" s="324"/>
    </row>
    <row r="40" spans="1:39">
      <c r="A40" s="449">
        <f t="shared" si="0"/>
        <v>2012</v>
      </c>
      <c r="B40" s="450">
        <v>0</v>
      </c>
      <c r="C40" s="450">
        <v>0</v>
      </c>
      <c r="D40" s="450">
        <v>495000</v>
      </c>
      <c r="E40" s="450">
        <v>795000</v>
      </c>
      <c r="F40" s="450">
        <v>1445000</v>
      </c>
      <c r="G40" s="450">
        <v>8945000</v>
      </c>
      <c r="H40" s="450">
        <v>8995000</v>
      </c>
      <c r="I40" s="450">
        <v>9495000</v>
      </c>
      <c r="J40" s="450">
        <v>9495000.0000000019</v>
      </c>
      <c r="K40" s="450">
        <v>9894999.6699999999</v>
      </c>
      <c r="L40" s="451">
        <v>9894999.6699999981</v>
      </c>
      <c r="M40" s="450"/>
      <c r="N40" s="450"/>
      <c r="O40" s="450"/>
      <c r="P40" s="450"/>
      <c r="Q40" s="450"/>
      <c r="R40" s="450"/>
      <c r="S40" s="450"/>
      <c r="T40" s="450"/>
      <c r="V40" s="324"/>
      <c r="W40" s="324"/>
      <c r="X40" s="324"/>
      <c r="Y40" s="324"/>
      <c r="Z40" s="324"/>
      <c r="AA40" s="326"/>
      <c r="AB40" s="326"/>
      <c r="AC40" s="324"/>
      <c r="AD40" s="324"/>
      <c r="AE40" s="324"/>
      <c r="AF40" s="324"/>
      <c r="AG40" s="324"/>
      <c r="AH40" s="324"/>
      <c r="AI40" s="324"/>
      <c r="AJ40" s="324"/>
      <c r="AK40" s="324"/>
      <c r="AL40" s="324"/>
      <c r="AM40" s="324"/>
    </row>
    <row r="41" spans="1:39">
      <c r="A41" s="449">
        <f t="shared" si="0"/>
        <v>2013</v>
      </c>
      <c r="B41" s="450">
        <v>0</v>
      </c>
      <c r="C41" s="450">
        <v>0</v>
      </c>
      <c r="D41" s="450">
        <v>325000</v>
      </c>
      <c r="E41" s="450">
        <v>1025000</v>
      </c>
      <c r="F41" s="450">
        <v>3890000</v>
      </c>
      <c r="G41" s="450">
        <v>4890000</v>
      </c>
      <c r="H41" s="450">
        <v>10090000.000000002</v>
      </c>
      <c r="I41" s="450">
        <v>10089999.999999996</v>
      </c>
      <c r="J41" s="450">
        <v>10089999.999999996</v>
      </c>
      <c r="K41" s="451">
        <v>10089999.999999996</v>
      </c>
      <c r="L41" s="450"/>
      <c r="M41" s="450"/>
      <c r="N41" s="450"/>
      <c r="O41" s="450"/>
      <c r="P41" s="450"/>
      <c r="Q41" s="450"/>
      <c r="R41" s="450"/>
      <c r="S41" s="450"/>
      <c r="T41" s="450"/>
      <c r="V41" s="324"/>
      <c r="W41" s="324"/>
      <c r="X41" s="324"/>
      <c r="Y41" s="324"/>
      <c r="Z41" s="324"/>
      <c r="AA41" s="326"/>
      <c r="AB41" s="326"/>
      <c r="AC41" s="324"/>
      <c r="AD41" s="324"/>
      <c r="AE41" s="324"/>
      <c r="AF41" s="324"/>
      <c r="AG41" s="324"/>
      <c r="AH41" s="324"/>
      <c r="AI41" s="324"/>
      <c r="AJ41" s="324"/>
      <c r="AK41" s="324"/>
      <c r="AL41" s="324"/>
      <c r="AM41" s="324"/>
    </row>
    <row r="42" spans="1:39">
      <c r="A42" s="449">
        <f t="shared" si="0"/>
        <v>2014</v>
      </c>
      <c r="B42" s="450">
        <v>0</v>
      </c>
      <c r="C42" s="450">
        <v>50000</v>
      </c>
      <c r="D42" s="450">
        <v>625000</v>
      </c>
      <c r="E42" s="450">
        <v>800000</v>
      </c>
      <c r="F42" s="450">
        <v>2285000</v>
      </c>
      <c r="G42" s="450">
        <v>2285000</v>
      </c>
      <c r="H42" s="450">
        <v>3285000</v>
      </c>
      <c r="I42" s="450">
        <v>3285000.0000000009</v>
      </c>
      <c r="J42" s="451">
        <v>3285000.0000000009</v>
      </c>
      <c r="K42" s="450"/>
      <c r="L42" s="450"/>
      <c r="M42" s="450"/>
      <c r="N42" s="450"/>
      <c r="O42" s="450"/>
      <c r="P42" s="450"/>
      <c r="Q42" s="450"/>
      <c r="R42" s="450"/>
      <c r="S42" s="450"/>
      <c r="T42" s="450"/>
      <c r="V42" s="324"/>
      <c r="W42" s="324"/>
      <c r="X42" s="324"/>
      <c r="Y42" s="324"/>
      <c r="Z42" s="324"/>
      <c r="AA42" s="326"/>
      <c r="AB42" s="326"/>
      <c r="AC42" s="324"/>
      <c r="AD42" s="324"/>
      <c r="AE42" s="324"/>
      <c r="AF42" s="324"/>
      <c r="AG42" s="324"/>
      <c r="AH42" s="324"/>
      <c r="AI42" s="324"/>
      <c r="AJ42" s="324"/>
      <c r="AK42" s="324"/>
      <c r="AL42" s="324"/>
      <c r="AM42" s="324"/>
    </row>
    <row r="43" spans="1:39">
      <c r="A43" s="449">
        <f t="shared" si="0"/>
        <v>2015</v>
      </c>
      <c r="B43" s="450">
        <v>0</v>
      </c>
      <c r="C43" s="450">
        <v>500000.00000000023</v>
      </c>
      <c r="D43" s="450">
        <v>3175000</v>
      </c>
      <c r="E43" s="450">
        <v>4450000</v>
      </c>
      <c r="F43" s="450">
        <v>5575000</v>
      </c>
      <c r="G43" s="450">
        <v>6425000</v>
      </c>
      <c r="H43" s="450">
        <v>6424999.9999999981</v>
      </c>
      <c r="I43" s="451">
        <v>6425000.0000000019</v>
      </c>
      <c r="J43" s="450"/>
      <c r="K43" s="450"/>
      <c r="L43" s="450"/>
      <c r="M43" s="450"/>
      <c r="N43" s="450"/>
      <c r="O43" s="450"/>
      <c r="P43" s="450"/>
      <c r="Q43" s="450"/>
      <c r="R43" s="450"/>
      <c r="S43" s="450"/>
      <c r="T43" s="450"/>
      <c r="V43" s="324"/>
      <c r="W43" s="324"/>
      <c r="X43" s="324"/>
      <c r="Y43" s="324"/>
      <c r="Z43" s="324"/>
      <c r="AA43" s="326"/>
      <c r="AB43" s="326"/>
      <c r="AC43" s="324"/>
      <c r="AD43" s="324"/>
      <c r="AE43" s="324"/>
      <c r="AF43" s="324"/>
      <c r="AG43" s="324"/>
      <c r="AH43" s="324"/>
      <c r="AI43" s="324"/>
      <c r="AJ43" s="324"/>
      <c r="AK43" s="324"/>
      <c r="AL43" s="324"/>
      <c r="AM43" s="324"/>
    </row>
    <row r="44" spans="1:39">
      <c r="A44" s="449">
        <f t="shared" si="0"/>
        <v>2016</v>
      </c>
      <c r="B44" s="450">
        <v>0</v>
      </c>
      <c r="C44" s="450">
        <v>1350000</v>
      </c>
      <c r="D44" s="450">
        <v>2850000</v>
      </c>
      <c r="E44" s="450">
        <v>4000000.0000000009</v>
      </c>
      <c r="F44" s="450">
        <v>4000000</v>
      </c>
      <c r="G44" s="450">
        <v>4500000</v>
      </c>
      <c r="H44" s="451">
        <v>4750000</v>
      </c>
      <c r="I44" s="450"/>
      <c r="J44" s="450"/>
      <c r="K44" s="450"/>
      <c r="L44" s="450"/>
      <c r="M44" s="450"/>
      <c r="N44" s="450"/>
      <c r="O44" s="450"/>
      <c r="P44" s="450"/>
      <c r="Q44" s="450"/>
      <c r="R44" s="450"/>
      <c r="S44" s="450"/>
      <c r="T44" s="450"/>
      <c r="V44" s="324"/>
      <c r="W44" s="324"/>
      <c r="X44" s="324"/>
      <c r="Y44" s="324"/>
      <c r="Z44" s="324"/>
      <c r="AA44" s="326"/>
      <c r="AB44" s="326"/>
      <c r="AC44" s="324"/>
      <c r="AD44" s="324"/>
      <c r="AE44" s="324"/>
      <c r="AF44" s="324"/>
      <c r="AG44" s="324"/>
      <c r="AH44" s="324"/>
      <c r="AI44" s="324"/>
      <c r="AJ44" s="324"/>
      <c r="AK44" s="324"/>
      <c r="AL44" s="324"/>
      <c r="AM44" s="324"/>
    </row>
    <row r="45" spans="1:39">
      <c r="A45" s="449">
        <f t="shared" si="0"/>
        <v>2017</v>
      </c>
      <c r="B45" s="450">
        <v>0</v>
      </c>
      <c r="C45" s="450">
        <v>100000</v>
      </c>
      <c r="D45" s="450">
        <v>100000</v>
      </c>
      <c r="E45" s="450">
        <v>500000</v>
      </c>
      <c r="F45" s="450">
        <v>499999.99999999977</v>
      </c>
      <c r="G45" s="451">
        <v>775000</v>
      </c>
      <c r="H45" s="450"/>
      <c r="I45" s="450"/>
      <c r="J45" s="450"/>
      <c r="K45" s="450"/>
      <c r="L45" s="450"/>
      <c r="M45" s="450"/>
      <c r="N45" s="450"/>
      <c r="O45" s="450"/>
      <c r="P45" s="450"/>
      <c r="Q45" s="450"/>
      <c r="R45" s="450"/>
      <c r="S45" s="450"/>
      <c r="T45" s="450"/>
      <c r="V45" s="324"/>
      <c r="W45" s="324"/>
      <c r="X45" s="324"/>
      <c r="Y45" s="324"/>
      <c r="Z45" s="324"/>
      <c r="AA45" s="326"/>
      <c r="AB45" s="326"/>
      <c r="AC45" s="324"/>
      <c r="AD45" s="324"/>
      <c r="AE45" s="324"/>
      <c r="AF45" s="324"/>
      <c r="AG45" s="324"/>
      <c r="AH45" s="324"/>
      <c r="AI45" s="324"/>
      <c r="AJ45" s="324"/>
      <c r="AK45" s="324"/>
      <c r="AL45" s="324"/>
      <c r="AM45" s="324"/>
    </row>
    <row r="46" spans="1:39">
      <c r="A46" s="449">
        <f t="shared" si="0"/>
        <v>2018</v>
      </c>
      <c r="B46" s="450">
        <v>0</v>
      </c>
      <c r="C46" s="450">
        <v>50000</v>
      </c>
      <c r="D46" s="450">
        <v>1100000</v>
      </c>
      <c r="E46" s="450">
        <v>1660000</v>
      </c>
      <c r="F46" s="451">
        <v>1810000</v>
      </c>
      <c r="G46" s="450"/>
      <c r="H46" s="450"/>
      <c r="I46" s="450"/>
      <c r="J46" s="450"/>
      <c r="K46" s="450"/>
      <c r="L46" s="450"/>
      <c r="M46" s="450"/>
      <c r="N46" s="450"/>
      <c r="O46" s="450"/>
      <c r="P46" s="450"/>
      <c r="Q46" s="450"/>
      <c r="R46" s="450"/>
      <c r="S46" s="450"/>
      <c r="T46" s="450"/>
      <c r="V46" s="324"/>
      <c r="W46" s="324"/>
      <c r="X46" s="324"/>
      <c r="Y46" s="324"/>
      <c r="Z46" s="324"/>
      <c r="AA46" s="326"/>
      <c r="AB46" s="326"/>
      <c r="AC46" s="324"/>
      <c r="AD46" s="324"/>
      <c r="AE46" s="324"/>
      <c r="AF46" s="324"/>
      <c r="AG46" s="324"/>
      <c r="AH46" s="324"/>
      <c r="AI46" s="324"/>
      <c r="AJ46" s="324"/>
      <c r="AK46" s="324"/>
      <c r="AL46" s="324"/>
      <c r="AM46" s="324"/>
    </row>
    <row r="47" spans="1:39">
      <c r="A47" s="449">
        <f t="shared" si="0"/>
        <v>2019</v>
      </c>
      <c r="B47" s="450">
        <v>0</v>
      </c>
      <c r="C47" s="450">
        <v>150000</v>
      </c>
      <c r="D47" s="450">
        <v>904999.99999999953</v>
      </c>
      <c r="E47" s="451">
        <v>1119999.9999999995</v>
      </c>
      <c r="F47" s="450"/>
      <c r="G47" s="450"/>
      <c r="H47" s="450"/>
      <c r="I47" s="450"/>
      <c r="J47" s="450"/>
      <c r="K47" s="450"/>
      <c r="L47" s="450"/>
      <c r="M47" s="450"/>
      <c r="N47" s="450"/>
      <c r="O47" s="450"/>
      <c r="P47" s="450"/>
      <c r="Q47" s="450"/>
      <c r="R47" s="450"/>
      <c r="S47" s="450"/>
      <c r="T47" s="450"/>
      <c r="V47" s="324"/>
      <c r="W47" s="324"/>
      <c r="X47" s="324"/>
      <c r="Y47" s="324"/>
      <c r="Z47" s="324"/>
      <c r="AA47" s="326"/>
      <c r="AB47" s="326"/>
      <c r="AC47" s="324"/>
      <c r="AD47" s="324"/>
      <c r="AE47" s="324"/>
      <c r="AF47" s="324"/>
      <c r="AG47" s="324"/>
      <c r="AH47" s="324"/>
      <c r="AI47" s="324"/>
      <c r="AJ47" s="324"/>
      <c r="AK47" s="324"/>
      <c r="AL47" s="324"/>
      <c r="AM47" s="324"/>
    </row>
    <row r="48" spans="1:39">
      <c r="A48" s="449">
        <f t="shared" si="0"/>
        <v>2020</v>
      </c>
      <c r="B48" s="450">
        <v>0</v>
      </c>
      <c r="C48" s="450">
        <v>0</v>
      </c>
      <c r="D48" s="451">
        <v>1574999.9999999998</v>
      </c>
      <c r="E48" s="450"/>
      <c r="F48" s="450"/>
      <c r="G48" s="450"/>
      <c r="H48" s="450"/>
      <c r="I48" s="450"/>
      <c r="J48" s="450"/>
      <c r="K48" s="450"/>
      <c r="L48" s="450"/>
      <c r="M48" s="450"/>
      <c r="N48" s="450"/>
      <c r="O48" s="450"/>
      <c r="P48" s="450"/>
      <c r="Q48" s="450"/>
      <c r="R48" s="450"/>
      <c r="S48" s="450"/>
      <c r="T48" s="450"/>
      <c r="V48" s="324"/>
      <c r="W48" s="324"/>
      <c r="X48" s="324"/>
      <c r="Y48" s="324"/>
      <c r="Z48" s="324"/>
      <c r="AA48" s="326"/>
      <c r="AB48" s="326"/>
      <c r="AC48" s="324"/>
      <c r="AD48" s="324"/>
      <c r="AE48" s="324"/>
      <c r="AF48" s="324"/>
      <c r="AG48" s="324"/>
      <c r="AH48" s="324"/>
      <c r="AI48" s="324"/>
      <c r="AJ48" s="324"/>
      <c r="AK48" s="324"/>
      <c r="AL48" s="324"/>
      <c r="AM48" s="324"/>
    </row>
    <row r="49" spans="1:39">
      <c r="A49" s="449">
        <f t="shared" si="0"/>
        <v>2021</v>
      </c>
      <c r="B49" s="450">
        <v>0</v>
      </c>
      <c r="C49" s="451">
        <v>0</v>
      </c>
      <c r="D49" s="450"/>
      <c r="E49" s="450"/>
      <c r="F49" s="450"/>
      <c r="G49" s="450"/>
      <c r="H49" s="450"/>
      <c r="I49" s="450"/>
      <c r="J49" s="450"/>
      <c r="K49" s="450"/>
      <c r="L49" s="450"/>
      <c r="M49" s="450"/>
      <c r="N49" s="450"/>
      <c r="O49" s="450"/>
      <c r="P49" s="450"/>
      <c r="Q49" s="450"/>
      <c r="R49" s="450"/>
      <c r="S49" s="450"/>
      <c r="T49" s="450"/>
      <c r="V49" s="324"/>
      <c r="W49" s="324"/>
      <c r="X49" s="324"/>
      <c r="Y49" s="324"/>
      <c r="Z49" s="324"/>
      <c r="AA49" s="326"/>
      <c r="AB49" s="326"/>
      <c r="AC49" s="324"/>
      <c r="AD49" s="324"/>
      <c r="AE49" s="324"/>
      <c r="AF49" s="324"/>
      <c r="AG49" s="324"/>
      <c r="AH49" s="324"/>
      <c r="AI49" s="324"/>
      <c r="AJ49" s="324"/>
      <c r="AK49" s="324"/>
      <c r="AL49" s="324"/>
      <c r="AM49" s="324"/>
    </row>
    <row r="50" spans="1:39">
      <c r="A50" s="449">
        <f t="shared" si="0"/>
        <v>2022</v>
      </c>
      <c r="B50" s="451">
        <v>0</v>
      </c>
      <c r="C50" s="451"/>
      <c r="D50" s="451"/>
      <c r="E50" s="451"/>
      <c r="F50" s="451"/>
      <c r="G50" s="451"/>
      <c r="H50" s="451"/>
      <c r="I50" s="451"/>
      <c r="J50" s="451"/>
      <c r="K50" s="451"/>
      <c r="L50" s="451"/>
      <c r="M50" s="451"/>
      <c r="N50" s="451"/>
      <c r="O50" s="451"/>
      <c r="P50" s="451"/>
      <c r="Q50" s="451"/>
      <c r="R50" s="451"/>
      <c r="S50" s="451"/>
      <c r="T50" s="451"/>
      <c r="V50" s="324"/>
      <c r="W50" s="324"/>
      <c r="X50" s="324"/>
      <c r="Y50" s="324"/>
      <c r="Z50" s="324"/>
      <c r="AA50" s="326"/>
      <c r="AB50" s="326"/>
      <c r="AC50" s="324"/>
      <c r="AD50" s="324"/>
      <c r="AE50" s="324"/>
      <c r="AF50" s="324"/>
      <c r="AG50" s="324"/>
      <c r="AH50" s="324"/>
      <c r="AI50" s="324"/>
      <c r="AJ50" s="324"/>
      <c r="AK50" s="324"/>
      <c r="AL50" s="324"/>
      <c r="AM50" s="324"/>
    </row>
    <row r="51" spans="1:39">
      <c r="B51" s="451"/>
      <c r="C51" s="451"/>
      <c r="D51" s="451"/>
      <c r="E51" s="451"/>
      <c r="F51" s="451"/>
      <c r="G51" s="451"/>
      <c r="H51" s="451"/>
      <c r="I51" s="451"/>
      <c r="J51" s="451"/>
      <c r="K51" s="451"/>
      <c r="L51" s="451"/>
      <c r="M51" s="451"/>
      <c r="N51" s="451"/>
      <c r="O51" s="451"/>
      <c r="P51" s="451"/>
      <c r="Q51" s="451"/>
      <c r="R51" s="451"/>
      <c r="S51" s="451"/>
      <c r="T51" s="451"/>
      <c r="U51" s="319"/>
      <c r="V51" s="319"/>
      <c r="W51" s="319"/>
      <c r="X51" s="319"/>
      <c r="Y51" s="319"/>
      <c r="Z51" s="319"/>
      <c r="AA51" s="319"/>
      <c r="AB51" s="319"/>
      <c r="AC51" s="319"/>
      <c r="AD51" s="319"/>
      <c r="AE51" s="319"/>
      <c r="AF51" s="319"/>
      <c r="AG51" s="319"/>
      <c r="AH51" s="319"/>
      <c r="AI51" s="319"/>
      <c r="AJ51" s="319"/>
      <c r="AK51" s="319"/>
      <c r="AL51" s="319"/>
      <c r="AM51" s="319"/>
    </row>
    <row r="52" spans="1:39" ht="16">
      <c r="A52" s="446"/>
      <c r="B52" s="452"/>
      <c r="C52" s="452"/>
      <c r="D52" s="452"/>
      <c r="E52" s="452"/>
      <c r="F52" s="452"/>
      <c r="G52" s="452"/>
      <c r="H52" s="452"/>
      <c r="I52" s="452"/>
      <c r="J52" s="452"/>
      <c r="K52" s="452"/>
      <c r="L52" s="452"/>
      <c r="M52" s="452"/>
      <c r="N52" s="452"/>
      <c r="O52" s="452"/>
      <c r="P52" s="452"/>
      <c r="Q52" s="452"/>
      <c r="R52" s="452"/>
      <c r="S52" s="452"/>
      <c r="T52" s="452"/>
      <c r="U52" s="320"/>
      <c r="V52" s="320"/>
      <c r="W52" s="320"/>
      <c r="X52" s="320"/>
      <c r="Y52" s="320"/>
      <c r="Z52" s="320"/>
      <c r="AA52" s="320"/>
      <c r="AB52" s="320"/>
      <c r="AC52" s="320"/>
      <c r="AD52" s="320"/>
      <c r="AE52" s="320"/>
      <c r="AF52" s="320"/>
      <c r="AG52" s="320"/>
      <c r="AH52" s="320"/>
      <c r="AI52" s="320"/>
      <c r="AJ52" s="320"/>
      <c r="AK52" s="320"/>
      <c r="AL52" s="320"/>
      <c r="AM52" s="320"/>
    </row>
    <row r="53" spans="1:39">
      <c r="B53" s="446" t="s">
        <v>1032</v>
      </c>
    </row>
    <row r="54" spans="1:39" ht="16">
      <c r="A54" s="447" t="s">
        <v>170</v>
      </c>
      <c r="B54" s="453" t="s">
        <v>1033</v>
      </c>
      <c r="C54" s="453" t="s">
        <v>1034</v>
      </c>
      <c r="D54" s="453" t="s">
        <v>1035</v>
      </c>
      <c r="E54" s="453" t="s">
        <v>1036</v>
      </c>
      <c r="F54" s="453" t="s">
        <v>1037</v>
      </c>
      <c r="G54" s="453" t="s">
        <v>1038</v>
      </c>
      <c r="H54" s="453" t="s">
        <v>1039</v>
      </c>
      <c r="I54" s="453" t="s">
        <v>1040</v>
      </c>
      <c r="J54" s="453" t="s">
        <v>1041</v>
      </c>
      <c r="K54" s="453" t="s">
        <v>1042</v>
      </c>
      <c r="L54" s="453" t="s">
        <v>1043</v>
      </c>
      <c r="M54" s="453" t="s">
        <v>1044</v>
      </c>
      <c r="N54" s="453" t="s">
        <v>1045</v>
      </c>
      <c r="O54" s="453" t="s">
        <v>1046</v>
      </c>
      <c r="P54" s="453" t="s">
        <v>1047</v>
      </c>
      <c r="Q54" s="453" t="s">
        <v>1048</v>
      </c>
      <c r="R54" s="453" t="s">
        <v>1049</v>
      </c>
      <c r="S54" s="453" t="s">
        <v>1050</v>
      </c>
      <c r="T54" s="453" t="s">
        <v>1051</v>
      </c>
      <c r="U54" s="561" t="s">
        <v>1591</v>
      </c>
      <c r="V54" s="321"/>
      <c r="W54" s="321"/>
      <c r="X54" s="321"/>
      <c r="Y54" s="321"/>
      <c r="Z54" s="321"/>
      <c r="AA54" s="321"/>
      <c r="AB54" s="321"/>
      <c r="AC54" s="321"/>
      <c r="AD54" s="321"/>
      <c r="AE54" s="321"/>
      <c r="AF54" s="321"/>
      <c r="AG54" s="321"/>
      <c r="AH54" s="321"/>
      <c r="AI54" s="321"/>
      <c r="AJ54" s="321"/>
      <c r="AK54" s="321"/>
      <c r="AL54" s="321"/>
      <c r="AM54" s="321"/>
    </row>
    <row r="55" spans="1:39">
      <c r="A55" s="449"/>
      <c r="B55" s="449"/>
      <c r="C55" s="449"/>
      <c r="D55" s="449"/>
      <c r="E55" s="449"/>
      <c r="F55" s="449"/>
      <c r="G55" s="449"/>
      <c r="H55" s="449"/>
      <c r="I55" s="449"/>
      <c r="J55" s="449"/>
      <c r="K55" s="449"/>
      <c r="L55" s="449"/>
      <c r="M55" s="449"/>
      <c r="N55" s="449"/>
      <c r="O55" s="449"/>
      <c r="P55" s="449"/>
      <c r="Q55" s="449"/>
      <c r="R55" s="449"/>
      <c r="S55" s="449"/>
      <c r="T55" s="449"/>
      <c r="U55" s="318"/>
      <c r="V55" s="318"/>
      <c r="W55" s="318"/>
      <c r="X55" s="318"/>
      <c r="Y55" s="318"/>
      <c r="Z55" s="318"/>
      <c r="AA55" s="318"/>
      <c r="AB55" s="318"/>
      <c r="AC55" s="318"/>
      <c r="AD55" s="318"/>
      <c r="AE55" s="318"/>
      <c r="AF55" s="318"/>
      <c r="AG55" s="318"/>
      <c r="AH55" s="318"/>
      <c r="AI55" s="318"/>
      <c r="AJ55" s="318"/>
      <c r="AK55" s="318"/>
      <c r="AL55" s="318"/>
      <c r="AM55" s="318"/>
    </row>
    <row r="57" spans="1:39">
      <c r="A57" s="449">
        <f>A13</f>
        <v>1985</v>
      </c>
      <c r="B57" s="454">
        <v>0</v>
      </c>
      <c r="C57" s="454">
        <v>0</v>
      </c>
      <c r="D57" s="454">
        <v>0</v>
      </c>
      <c r="E57" s="454">
        <v>0</v>
      </c>
      <c r="F57" s="454">
        <v>0</v>
      </c>
      <c r="G57" s="454">
        <v>0</v>
      </c>
      <c r="H57" s="454">
        <v>0</v>
      </c>
      <c r="I57" s="454">
        <v>0</v>
      </c>
      <c r="J57" s="454">
        <v>0</v>
      </c>
      <c r="K57" s="454">
        <v>0</v>
      </c>
      <c r="L57" s="454">
        <v>0</v>
      </c>
      <c r="M57" s="454">
        <v>0</v>
      </c>
      <c r="N57" s="454">
        <v>0</v>
      </c>
      <c r="O57" s="454">
        <v>0</v>
      </c>
      <c r="P57" s="454">
        <v>0</v>
      </c>
      <c r="Q57" s="454">
        <v>0</v>
      </c>
      <c r="R57" s="454">
        <v>0</v>
      </c>
      <c r="S57" s="454">
        <v>0</v>
      </c>
      <c r="T57" s="454">
        <v>0</v>
      </c>
      <c r="U57" s="322"/>
      <c r="V57" s="322"/>
      <c r="W57" s="322"/>
      <c r="X57" s="322" t="s">
        <v>1068</v>
      </c>
      <c r="Y57" s="322"/>
      <c r="Z57" s="322"/>
      <c r="AA57" s="322"/>
      <c r="AB57" s="322"/>
      <c r="AC57" s="322"/>
      <c r="AD57" s="322"/>
      <c r="AE57" s="322"/>
      <c r="AF57" s="322"/>
      <c r="AG57" s="322"/>
      <c r="AH57" s="322"/>
      <c r="AI57" s="322"/>
      <c r="AJ57" s="322"/>
      <c r="AK57" s="322"/>
      <c r="AL57" s="322"/>
      <c r="AM57" s="323"/>
    </row>
    <row r="58" spans="1:39">
      <c r="A58" s="449">
        <f>A57+1</f>
        <v>1986</v>
      </c>
      <c r="B58" s="454">
        <v>0</v>
      </c>
      <c r="C58" s="454">
        <v>0</v>
      </c>
      <c r="D58" s="454">
        <v>0</v>
      </c>
      <c r="E58" s="454">
        <v>0</v>
      </c>
      <c r="F58" s="454">
        <v>0</v>
      </c>
      <c r="G58" s="454">
        <v>0</v>
      </c>
      <c r="H58" s="454">
        <v>0</v>
      </c>
      <c r="I58" s="454">
        <v>0</v>
      </c>
      <c r="J58" s="454">
        <v>0</v>
      </c>
      <c r="K58" s="454">
        <v>0</v>
      </c>
      <c r="L58" s="454">
        <v>0</v>
      </c>
      <c r="M58" s="454">
        <v>0</v>
      </c>
      <c r="N58" s="454">
        <v>0</v>
      </c>
      <c r="O58" s="454">
        <v>0</v>
      </c>
      <c r="P58" s="454">
        <v>0</v>
      </c>
      <c r="Q58" s="454">
        <v>0</v>
      </c>
      <c r="R58" s="454">
        <v>0</v>
      </c>
      <c r="S58" s="454">
        <v>0</v>
      </c>
      <c r="T58" s="454">
        <v>0</v>
      </c>
      <c r="U58" s="322"/>
      <c r="V58" s="322"/>
      <c r="W58" s="322"/>
      <c r="X58" s="322"/>
      <c r="Y58" s="322"/>
      <c r="Z58" s="322"/>
      <c r="AA58" s="322"/>
      <c r="AB58" s="322"/>
      <c r="AC58" s="322"/>
      <c r="AD58" s="322"/>
      <c r="AE58" s="322"/>
      <c r="AF58" s="322"/>
      <c r="AG58" s="322"/>
      <c r="AH58" s="322"/>
      <c r="AI58" s="322"/>
      <c r="AJ58" s="322"/>
      <c r="AK58" s="322"/>
      <c r="AL58" s="322"/>
      <c r="AM58" s="323"/>
    </row>
    <row r="59" spans="1:39">
      <c r="A59" s="449">
        <f t="shared" ref="A59:A94" si="1">A58+1</f>
        <v>1987</v>
      </c>
      <c r="B59" s="454">
        <v>0</v>
      </c>
      <c r="C59" s="454">
        <v>0</v>
      </c>
      <c r="D59" s="454">
        <v>0</v>
      </c>
      <c r="E59" s="454">
        <v>0</v>
      </c>
      <c r="F59" s="454">
        <v>0</v>
      </c>
      <c r="G59" s="454">
        <v>0</v>
      </c>
      <c r="H59" s="454">
        <v>0</v>
      </c>
      <c r="I59" s="454">
        <v>0</v>
      </c>
      <c r="J59" s="454">
        <v>0</v>
      </c>
      <c r="K59" s="454">
        <v>0</v>
      </c>
      <c r="L59" s="454">
        <v>0</v>
      </c>
      <c r="M59" s="454">
        <v>0</v>
      </c>
      <c r="N59" s="454">
        <v>0</v>
      </c>
      <c r="O59" s="454">
        <v>0</v>
      </c>
      <c r="P59" s="454">
        <v>0</v>
      </c>
      <c r="Q59" s="454">
        <v>0</v>
      </c>
      <c r="R59" s="454">
        <v>0</v>
      </c>
      <c r="S59" s="454">
        <v>0</v>
      </c>
      <c r="T59" s="454">
        <v>0</v>
      </c>
      <c r="U59" s="322"/>
      <c r="V59" s="322"/>
      <c r="W59" s="322"/>
      <c r="X59" s="322"/>
      <c r="Y59" s="322"/>
      <c r="Z59" s="322"/>
      <c r="AA59" s="322"/>
      <c r="AB59" s="322"/>
      <c r="AC59" s="322"/>
      <c r="AD59" s="322"/>
      <c r="AE59" s="322"/>
      <c r="AF59" s="322"/>
      <c r="AG59" s="322"/>
      <c r="AH59" s="322"/>
      <c r="AI59" s="322"/>
      <c r="AJ59" s="322"/>
      <c r="AK59" s="322"/>
      <c r="AL59" s="322"/>
      <c r="AM59" s="323"/>
    </row>
    <row r="60" spans="1:39">
      <c r="A60" s="449">
        <f t="shared" si="1"/>
        <v>1988</v>
      </c>
      <c r="B60" s="454">
        <v>0</v>
      </c>
      <c r="C60" s="454">
        <v>0</v>
      </c>
      <c r="D60" s="454">
        <v>0</v>
      </c>
      <c r="E60" s="454">
        <v>0</v>
      </c>
      <c r="F60" s="454">
        <v>0</v>
      </c>
      <c r="G60" s="454">
        <v>0</v>
      </c>
      <c r="H60" s="454">
        <v>0</v>
      </c>
      <c r="I60" s="454">
        <v>0</v>
      </c>
      <c r="J60" s="454">
        <v>0</v>
      </c>
      <c r="K60" s="454">
        <v>0</v>
      </c>
      <c r="L60" s="454">
        <v>0</v>
      </c>
      <c r="M60" s="454">
        <v>0</v>
      </c>
      <c r="N60" s="454">
        <v>0</v>
      </c>
      <c r="O60" s="454">
        <v>0</v>
      </c>
      <c r="P60" s="454">
        <v>0</v>
      </c>
      <c r="Q60" s="454">
        <v>0</v>
      </c>
      <c r="R60" s="454">
        <v>0</v>
      </c>
      <c r="S60" s="454">
        <v>0</v>
      </c>
      <c r="T60" s="454">
        <v>0</v>
      </c>
      <c r="U60" s="322"/>
      <c r="V60" s="322"/>
      <c r="W60" s="322"/>
      <c r="X60" s="322"/>
      <c r="Y60" s="322"/>
      <c r="Z60" s="322"/>
      <c r="AA60" s="322"/>
      <c r="AB60" s="322"/>
      <c r="AC60" s="322"/>
      <c r="AD60" s="322"/>
      <c r="AE60" s="322"/>
      <c r="AF60" s="322"/>
      <c r="AG60" s="322"/>
      <c r="AH60" s="322"/>
      <c r="AI60" s="322"/>
      <c r="AJ60" s="322"/>
      <c r="AK60" s="322"/>
      <c r="AL60" s="322"/>
      <c r="AM60" s="323"/>
    </row>
    <row r="61" spans="1:39">
      <c r="A61" s="449">
        <f t="shared" si="1"/>
        <v>1989</v>
      </c>
      <c r="B61" s="454">
        <v>0</v>
      </c>
      <c r="C61" s="454">
        <v>0</v>
      </c>
      <c r="D61" s="454">
        <v>0</v>
      </c>
      <c r="E61" s="454">
        <v>0</v>
      </c>
      <c r="F61" s="454">
        <v>0</v>
      </c>
      <c r="G61" s="454">
        <v>0</v>
      </c>
      <c r="H61" s="454">
        <v>0</v>
      </c>
      <c r="I61" s="454">
        <v>0</v>
      </c>
      <c r="J61" s="454">
        <v>0</v>
      </c>
      <c r="K61" s="454">
        <v>0</v>
      </c>
      <c r="L61" s="454">
        <v>0</v>
      </c>
      <c r="M61" s="454">
        <v>0</v>
      </c>
      <c r="N61" s="454">
        <v>0</v>
      </c>
      <c r="O61" s="454">
        <v>0</v>
      </c>
      <c r="P61" s="454">
        <v>0</v>
      </c>
      <c r="Q61" s="454">
        <v>0</v>
      </c>
      <c r="R61" s="454">
        <v>0</v>
      </c>
      <c r="S61" s="454">
        <v>0</v>
      </c>
      <c r="T61" s="454">
        <v>0</v>
      </c>
      <c r="U61" s="322"/>
      <c r="V61" s="322"/>
      <c r="W61" s="322"/>
      <c r="X61" s="322"/>
      <c r="Y61" s="322"/>
      <c r="Z61" s="322"/>
      <c r="AA61" s="322"/>
      <c r="AB61" s="322"/>
      <c r="AC61" s="322"/>
      <c r="AD61" s="322"/>
      <c r="AE61" s="322"/>
      <c r="AF61" s="322"/>
      <c r="AG61" s="322"/>
      <c r="AH61" s="322"/>
      <c r="AI61" s="322"/>
      <c r="AJ61" s="322"/>
      <c r="AK61" s="322"/>
      <c r="AL61" s="322"/>
      <c r="AM61" s="323"/>
    </row>
    <row r="62" spans="1:39">
      <c r="A62" s="449">
        <f t="shared" si="1"/>
        <v>1990</v>
      </c>
      <c r="B62" s="454">
        <v>0</v>
      </c>
      <c r="C62" s="454">
        <v>0</v>
      </c>
      <c r="D62" s="454">
        <v>0</v>
      </c>
      <c r="E62" s="454">
        <v>0</v>
      </c>
      <c r="F62" s="454">
        <v>0</v>
      </c>
      <c r="G62" s="454">
        <v>0</v>
      </c>
      <c r="H62" s="454">
        <v>0</v>
      </c>
      <c r="I62" s="454">
        <v>0</v>
      </c>
      <c r="J62" s="454">
        <v>0</v>
      </c>
      <c r="K62" s="454">
        <v>0</v>
      </c>
      <c r="L62" s="454">
        <v>0</v>
      </c>
      <c r="M62" s="454">
        <v>0</v>
      </c>
      <c r="N62" s="454">
        <v>0</v>
      </c>
      <c r="O62" s="454">
        <v>0</v>
      </c>
      <c r="P62" s="454">
        <v>0</v>
      </c>
      <c r="Q62" s="454">
        <v>0</v>
      </c>
      <c r="R62" s="454">
        <v>0</v>
      </c>
      <c r="S62" s="454">
        <v>0</v>
      </c>
      <c r="T62" s="454">
        <v>0</v>
      </c>
      <c r="U62" s="322"/>
      <c r="V62" s="322"/>
      <c r="W62" s="322"/>
      <c r="X62" s="322"/>
      <c r="Y62" s="322"/>
      <c r="Z62" s="322"/>
      <c r="AA62" s="322"/>
      <c r="AB62" s="322"/>
      <c r="AC62" s="322"/>
      <c r="AD62" s="322"/>
      <c r="AE62" s="322"/>
      <c r="AF62" s="322"/>
      <c r="AG62" s="322"/>
      <c r="AH62" s="322"/>
      <c r="AI62" s="322"/>
      <c r="AJ62" s="322"/>
      <c r="AK62" s="322"/>
      <c r="AL62" s="322"/>
      <c r="AM62" s="323"/>
    </row>
    <row r="63" spans="1:39">
      <c r="A63" s="449">
        <f t="shared" si="1"/>
        <v>1991</v>
      </c>
      <c r="B63" s="454">
        <v>0</v>
      </c>
      <c r="C63" s="454">
        <v>0</v>
      </c>
      <c r="D63" s="454">
        <v>0</v>
      </c>
      <c r="E63" s="454">
        <v>0</v>
      </c>
      <c r="F63" s="454">
        <v>0</v>
      </c>
      <c r="G63" s="454">
        <v>0</v>
      </c>
      <c r="H63" s="454">
        <v>0</v>
      </c>
      <c r="I63" s="454">
        <v>0</v>
      </c>
      <c r="J63" s="454">
        <v>0</v>
      </c>
      <c r="K63" s="454">
        <v>0</v>
      </c>
      <c r="L63" s="454">
        <v>0</v>
      </c>
      <c r="M63" s="454">
        <v>0</v>
      </c>
      <c r="N63" s="454">
        <v>0</v>
      </c>
      <c r="O63" s="454">
        <v>0</v>
      </c>
      <c r="P63" s="454">
        <v>0</v>
      </c>
      <c r="Q63" s="454">
        <v>0</v>
      </c>
      <c r="R63" s="454">
        <v>0</v>
      </c>
      <c r="S63" s="454">
        <v>0</v>
      </c>
      <c r="T63" s="454">
        <v>0</v>
      </c>
      <c r="U63" s="322"/>
      <c r="V63" s="322"/>
      <c r="W63" s="322"/>
      <c r="X63" s="322"/>
      <c r="Y63" s="322"/>
      <c r="Z63" s="322"/>
      <c r="AA63" s="322"/>
      <c r="AB63" s="322"/>
      <c r="AC63" s="322"/>
      <c r="AD63" s="322"/>
      <c r="AE63" s="322"/>
      <c r="AF63" s="322"/>
      <c r="AG63" s="322"/>
      <c r="AH63" s="322"/>
      <c r="AI63" s="322"/>
      <c r="AJ63" s="322"/>
      <c r="AK63" s="322"/>
      <c r="AL63" s="322"/>
      <c r="AM63" s="323"/>
    </row>
    <row r="64" spans="1:39">
      <c r="A64" s="449">
        <f t="shared" si="1"/>
        <v>1992</v>
      </c>
      <c r="B64" s="454">
        <v>0</v>
      </c>
      <c r="C64" s="454">
        <v>0</v>
      </c>
      <c r="D64" s="454">
        <v>0</v>
      </c>
      <c r="E64" s="454">
        <v>0</v>
      </c>
      <c r="F64" s="454">
        <v>0</v>
      </c>
      <c r="G64" s="454">
        <v>0</v>
      </c>
      <c r="H64" s="454">
        <v>0</v>
      </c>
      <c r="I64" s="454">
        <v>0</v>
      </c>
      <c r="J64" s="454">
        <v>0</v>
      </c>
      <c r="K64" s="454">
        <v>0</v>
      </c>
      <c r="L64" s="454">
        <v>0</v>
      </c>
      <c r="M64" s="454">
        <v>0</v>
      </c>
      <c r="N64" s="454">
        <v>0</v>
      </c>
      <c r="O64" s="454">
        <v>0</v>
      </c>
      <c r="P64" s="454">
        <v>0</v>
      </c>
      <c r="Q64" s="454">
        <v>0</v>
      </c>
      <c r="R64" s="454">
        <v>0</v>
      </c>
      <c r="S64" s="454">
        <v>0</v>
      </c>
      <c r="T64" s="454">
        <v>0</v>
      </c>
      <c r="U64" s="322"/>
      <c r="V64" s="322"/>
      <c r="W64" s="322"/>
      <c r="X64" s="322"/>
      <c r="Y64" s="322"/>
      <c r="Z64" s="322"/>
      <c r="AA64" s="322"/>
      <c r="AB64" s="322"/>
      <c r="AC64" s="322"/>
      <c r="AD64" s="322"/>
      <c r="AE64" s="322"/>
      <c r="AF64" s="322"/>
      <c r="AG64" s="322"/>
      <c r="AH64" s="322"/>
      <c r="AI64" s="322"/>
      <c r="AJ64" s="322"/>
      <c r="AK64" s="322"/>
      <c r="AL64" s="322"/>
      <c r="AM64" s="323"/>
    </row>
    <row r="65" spans="1:39">
      <c r="A65" s="449">
        <f t="shared" si="1"/>
        <v>1993</v>
      </c>
      <c r="B65" s="454">
        <v>0</v>
      </c>
      <c r="C65" s="454">
        <v>0</v>
      </c>
      <c r="D65" s="454">
        <v>0</v>
      </c>
      <c r="E65" s="454">
        <v>0</v>
      </c>
      <c r="F65" s="454">
        <v>0</v>
      </c>
      <c r="G65" s="454">
        <v>0</v>
      </c>
      <c r="H65" s="454">
        <v>0</v>
      </c>
      <c r="I65" s="454">
        <v>0</v>
      </c>
      <c r="J65" s="454">
        <v>0</v>
      </c>
      <c r="K65" s="454">
        <v>0</v>
      </c>
      <c r="L65" s="454">
        <v>0</v>
      </c>
      <c r="M65" s="454">
        <v>0</v>
      </c>
      <c r="N65" s="454">
        <v>0</v>
      </c>
      <c r="O65" s="454">
        <v>0</v>
      </c>
      <c r="P65" s="454">
        <v>0</v>
      </c>
      <c r="Q65" s="454">
        <v>0</v>
      </c>
      <c r="R65" s="454">
        <v>0</v>
      </c>
      <c r="S65" s="454">
        <v>0</v>
      </c>
      <c r="T65" s="454">
        <v>0</v>
      </c>
      <c r="U65" s="322"/>
      <c r="V65" s="322"/>
      <c r="W65" s="322"/>
      <c r="X65" s="322"/>
      <c r="Y65" s="322"/>
      <c r="Z65" s="322"/>
      <c r="AA65" s="322"/>
      <c r="AB65" s="322"/>
      <c r="AC65" s="322"/>
      <c r="AD65" s="322"/>
      <c r="AE65" s="322"/>
      <c r="AF65" s="322"/>
      <c r="AG65" s="322"/>
      <c r="AH65" s="322"/>
      <c r="AI65" s="322"/>
      <c r="AJ65" s="322"/>
      <c r="AK65" s="322"/>
      <c r="AL65" s="322"/>
      <c r="AM65" s="323"/>
    </row>
    <row r="66" spans="1:39">
      <c r="A66" s="449">
        <f t="shared" si="1"/>
        <v>1994</v>
      </c>
      <c r="B66" s="454">
        <v>0</v>
      </c>
      <c r="C66" s="454">
        <v>0</v>
      </c>
      <c r="D66" s="454">
        <v>0</v>
      </c>
      <c r="E66" s="454">
        <v>0</v>
      </c>
      <c r="F66" s="454">
        <v>0</v>
      </c>
      <c r="G66" s="454">
        <v>0</v>
      </c>
      <c r="H66" s="454">
        <v>0</v>
      </c>
      <c r="I66" s="454">
        <v>0</v>
      </c>
      <c r="J66" s="454">
        <v>0</v>
      </c>
      <c r="K66" s="454">
        <v>0</v>
      </c>
      <c r="L66" s="454">
        <v>0</v>
      </c>
      <c r="M66" s="454">
        <v>0</v>
      </c>
      <c r="N66" s="454">
        <v>0</v>
      </c>
      <c r="O66" s="454">
        <v>0</v>
      </c>
      <c r="P66" s="454">
        <v>0</v>
      </c>
      <c r="Q66" s="454">
        <v>0</v>
      </c>
      <c r="R66" s="454">
        <v>0</v>
      </c>
      <c r="S66" s="454">
        <v>0</v>
      </c>
      <c r="T66" s="454">
        <v>0</v>
      </c>
      <c r="U66" s="322"/>
      <c r="V66" s="322"/>
      <c r="W66" s="322"/>
      <c r="X66" s="322"/>
      <c r="Y66" s="322"/>
      <c r="Z66" s="322"/>
      <c r="AA66" s="322"/>
      <c r="AB66" s="322"/>
      <c r="AC66" s="322"/>
      <c r="AD66" s="322"/>
      <c r="AE66" s="322"/>
      <c r="AF66" s="322"/>
      <c r="AG66" s="322"/>
      <c r="AH66" s="322"/>
      <c r="AI66" s="322"/>
      <c r="AJ66" s="322"/>
      <c r="AK66" s="322"/>
      <c r="AL66" s="322"/>
      <c r="AM66" s="323"/>
    </row>
    <row r="67" spans="1:39">
      <c r="A67" s="449">
        <f t="shared" si="1"/>
        <v>1995</v>
      </c>
      <c r="B67" s="454">
        <v>0</v>
      </c>
      <c r="C67" s="454">
        <v>0</v>
      </c>
      <c r="D67" s="454">
        <v>0</v>
      </c>
      <c r="E67" s="454">
        <v>0</v>
      </c>
      <c r="F67" s="454">
        <v>0</v>
      </c>
      <c r="G67" s="454">
        <v>0</v>
      </c>
      <c r="H67" s="454">
        <v>0</v>
      </c>
      <c r="I67" s="454">
        <v>0</v>
      </c>
      <c r="J67" s="454">
        <v>0</v>
      </c>
      <c r="K67" s="454">
        <v>0</v>
      </c>
      <c r="L67" s="454">
        <v>0</v>
      </c>
      <c r="M67" s="454">
        <v>0</v>
      </c>
      <c r="N67" s="454">
        <v>0</v>
      </c>
      <c r="O67" s="454">
        <v>0</v>
      </c>
      <c r="P67" s="454">
        <v>0</v>
      </c>
      <c r="Q67" s="454">
        <v>0</v>
      </c>
      <c r="R67" s="454">
        <v>0</v>
      </c>
      <c r="S67" s="454">
        <v>0</v>
      </c>
      <c r="T67" s="454">
        <v>1</v>
      </c>
      <c r="U67" s="322"/>
      <c r="V67" s="322"/>
      <c r="W67" s="322"/>
      <c r="X67" s="322"/>
      <c r="Y67" s="322"/>
      <c r="Z67" s="322"/>
      <c r="AA67" s="322"/>
      <c r="AB67" s="322"/>
      <c r="AC67" s="322"/>
      <c r="AD67" s="322"/>
      <c r="AE67" s="322"/>
      <c r="AF67" s="322"/>
      <c r="AG67" s="322"/>
      <c r="AH67" s="322"/>
      <c r="AI67" s="322"/>
      <c r="AJ67" s="322"/>
      <c r="AK67" s="322"/>
      <c r="AL67" s="322"/>
      <c r="AM67" s="323"/>
    </row>
    <row r="68" spans="1:39">
      <c r="A68" s="449">
        <f t="shared" si="1"/>
        <v>1996</v>
      </c>
      <c r="B68" s="454">
        <v>0</v>
      </c>
      <c r="C68" s="454">
        <v>0</v>
      </c>
      <c r="D68" s="454">
        <v>0</v>
      </c>
      <c r="E68" s="454">
        <v>0</v>
      </c>
      <c r="F68" s="454">
        <v>0</v>
      </c>
      <c r="G68" s="454">
        <v>0</v>
      </c>
      <c r="H68" s="454">
        <v>0</v>
      </c>
      <c r="I68" s="454">
        <v>0</v>
      </c>
      <c r="J68" s="454">
        <v>0</v>
      </c>
      <c r="K68" s="454">
        <v>0</v>
      </c>
      <c r="L68" s="454">
        <v>0</v>
      </c>
      <c r="M68" s="454">
        <v>0</v>
      </c>
      <c r="N68" s="454">
        <v>0</v>
      </c>
      <c r="O68" s="454">
        <v>0</v>
      </c>
      <c r="P68" s="454">
        <v>0</v>
      </c>
      <c r="Q68" s="454">
        <v>0</v>
      </c>
      <c r="R68" s="454">
        <v>0</v>
      </c>
      <c r="S68" s="454">
        <v>1</v>
      </c>
      <c r="T68" s="454">
        <v>1</v>
      </c>
      <c r="U68" s="322"/>
      <c r="V68" s="322"/>
      <c r="W68" s="322"/>
      <c r="X68" s="322"/>
      <c r="Y68" s="322"/>
      <c r="Z68" s="322"/>
      <c r="AA68" s="322"/>
      <c r="AB68" s="322"/>
      <c r="AC68" s="322"/>
      <c r="AD68" s="322"/>
      <c r="AE68" s="322"/>
      <c r="AF68" s="322"/>
      <c r="AG68" s="322"/>
      <c r="AH68" s="322"/>
      <c r="AI68" s="322"/>
      <c r="AJ68" s="322"/>
      <c r="AK68" s="322"/>
      <c r="AL68" s="322"/>
      <c r="AM68" s="323"/>
    </row>
    <row r="69" spans="1:39">
      <c r="A69" s="449">
        <f t="shared" si="1"/>
        <v>1997</v>
      </c>
      <c r="B69" s="454">
        <v>0</v>
      </c>
      <c r="C69" s="454">
        <v>0</v>
      </c>
      <c r="D69" s="454">
        <v>0</v>
      </c>
      <c r="E69" s="454">
        <v>0</v>
      </c>
      <c r="F69" s="454">
        <v>0</v>
      </c>
      <c r="G69" s="454">
        <v>0</v>
      </c>
      <c r="H69" s="454">
        <v>0</v>
      </c>
      <c r="I69" s="454">
        <v>0</v>
      </c>
      <c r="J69" s="454">
        <v>0</v>
      </c>
      <c r="K69" s="454">
        <v>0</v>
      </c>
      <c r="L69" s="454">
        <v>0</v>
      </c>
      <c r="M69" s="454">
        <v>0</v>
      </c>
      <c r="N69" s="454">
        <v>0</v>
      </c>
      <c r="O69" s="454">
        <v>0</v>
      </c>
      <c r="P69" s="454">
        <v>0</v>
      </c>
      <c r="Q69" s="454">
        <v>0</v>
      </c>
      <c r="R69" s="454">
        <f>IF(R25=0,0,S25/R25)</f>
        <v>1</v>
      </c>
      <c r="S69" s="454">
        <v>1</v>
      </c>
      <c r="T69" s="454">
        <v>1</v>
      </c>
      <c r="U69" s="322"/>
      <c r="V69" s="322"/>
      <c r="W69" s="322"/>
      <c r="X69" s="322"/>
      <c r="Y69" s="322"/>
      <c r="Z69" s="322"/>
      <c r="AA69" s="322"/>
      <c r="AB69" s="322"/>
      <c r="AC69" s="322"/>
      <c r="AD69" s="322"/>
      <c r="AE69" s="322"/>
      <c r="AF69" s="322"/>
      <c r="AG69" s="322"/>
      <c r="AH69" s="322"/>
      <c r="AI69" s="322"/>
      <c r="AJ69" s="322"/>
      <c r="AK69" s="322"/>
      <c r="AL69" s="322"/>
      <c r="AM69" s="323"/>
    </row>
    <row r="70" spans="1:39">
      <c r="A70" s="449">
        <f t="shared" si="1"/>
        <v>1998</v>
      </c>
      <c r="B70" s="454">
        <v>0</v>
      </c>
      <c r="C70" s="454">
        <v>0</v>
      </c>
      <c r="D70" s="454">
        <v>0</v>
      </c>
      <c r="E70" s="454">
        <v>0</v>
      </c>
      <c r="F70" s="454">
        <v>0</v>
      </c>
      <c r="G70" s="454">
        <v>0</v>
      </c>
      <c r="H70" s="454">
        <v>0</v>
      </c>
      <c r="I70" s="454">
        <v>0</v>
      </c>
      <c r="J70" s="454">
        <v>0</v>
      </c>
      <c r="K70" s="454">
        <v>0</v>
      </c>
      <c r="L70" s="454">
        <v>0</v>
      </c>
      <c r="M70" s="454">
        <v>0</v>
      </c>
      <c r="N70" s="454">
        <v>0</v>
      </c>
      <c r="O70" s="454">
        <v>0</v>
      </c>
      <c r="P70" s="454">
        <v>0</v>
      </c>
      <c r="Q70" s="454">
        <f>IF(Q26=0,0,R26/Q26)</f>
        <v>1</v>
      </c>
      <c r="R70" s="454">
        <f>IF(R26=0,0,S26/R26)</f>
        <v>1</v>
      </c>
      <c r="S70" s="454">
        <v>1</v>
      </c>
      <c r="T70" s="454">
        <v>1</v>
      </c>
      <c r="U70" s="322"/>
      <c r="V70" s="322"/>
      <c r="W70" s="322"/>
      <c r="X70" s="322"/>
      <c r="Y70" s="322"/>
      <c r="Z70" s="322"/>
      <c r="AA70" s="322"/>
      <c r="AB70" s="322"/>
      <c r="AC70" s="322"/>
      <c r="AD70" s="322"/>
      <c r="AE70" s="322"/>
      <c r="AF70" s="322"/>
      <c r="AG70" s="322"/>
      <c r="AH70" s="322"/>
      <c r="AI70" s="322"/>
      <c r="AJ70" s="322"/>
      <c r="AK70" s="322"/>
      <c r="AL70" s="322"/>
      <c r="AM70" s="323"/>
    </row>
    <row r="71" spans="1:39">
      <c r="A71" s="449">
        <f t="shared" si="1"/>
        <v>1999</v>
      </c>
      <c r="B71" s="454">
        <v>0</v>
      </c>
      <c r="C71" s="454">
        <v>0</v>
      </c>
      <c r="D71" s="454">
        <v>0</v>
      </c>
      <c r="E71" s="454">
        <v>0</v>
      </c>
      <c r="F71" s="454">
        <v>0</v>
      </c>
      <c r="G71" s="454">
        <v>0</v>
      </c>
      <c r="H71" s="454">
        <v>0</v>
      </c>
      <c r="I71" s="454">
        <v>0</v>
      </c>
      <c r="J71" s="454">
        <v>0</v>
      </c>
      <c r="K71" s="454">
        <v>0</v>
      </c>
      <c r="L71" s="454">
        <v>0</v>
      </c>
      <c r="M71" s="454">
        <v>0</v>
      </c>
      <c r="N71" s="454">
        <v>0</v>
      </c>
      <c r="O71" s="454">
        <v>0</v>
      </c>
      <c r="P71" s="454">
        <f>IF(P27=0,0,Q27/P27)</f>
        <v>1</v>
      </c>
      <c r="Q71" s="454">
        <f t="shared" ref="P71:R78" si="2">IF(Q27=0,0,R27/Q27)</f>
        <v>1</v>
      </c>
      <c r="R71" s="454">
        <f t="shared" si="2"/>
        <v>1</v>
      </c>
      <c r="S71" s="454">
        <v>1</v>
      </c>
      <c r="T71" s="454">
        <v>1</v>
      </c>
      <c r="U71" s="322"/>
      <c r="V71" s="322"/>
      <c r="W71" s="322"/>
      <c r="X71" s="322"/>
      <c r="Y71" s="322"/>
      <c r="Z71" s="322"/>
      <c r="AA71" s="322"/>
      <c r="AB71" s="322"/>
      <c r="AC71" s="322"/>
      <c r="AD71" s="322"/>
      <c r="AE71" s="322"/>
      <c r="AF71" s="322"/>
      <c r="AG71" s="322"/>
      <c r="AH71" s="322"/>
      <c r="AI71" s="322"/>
      <c r="AJ71" s="322"/>
      <c r="AK71" s="322"/>
      <c r="AL71" s="322"/>
      <c r="AM71" s="323"/>
    </row>
    <row r="72" spans="1:39">
      <c r="A72" s="449">
        <f t="shared" si="1"/>
        <v>2000</v>
      </c>
      <c r="B72" s="454">
        <v>0</v>
      </c>
      <c r="C72" s="454">
        <v>0</v>
      </c>
      <c r="D72" s="454">
        <v>0</v>
      </c>
      <c r="E72" s="454">
        <v>0</v>
      </c>
      <c r="F72" s="454">
        <v>0</v>
      </c>
      <c r="G72" s="454">
        <v>0</v>
      </c>
      <c r="H72" s="454">
        <v>0</v>
      </c>
      <c r="I72" s="454">
        <v>0</v>
      </c>
      <c r="J72" s="454">
        <v>0</v>
      </c>
      <c r="K72" s="454">
        <v>0</v>
      </c>
      <c r="L72" s="454">
        <v>0</v>
      </c>
      <c r="M72" s="454">
        <v>0</v>
      </c>
      <c r="N72" s="454">
        <v>0</v>
      </c>
      <c r="O72" s="454">
        <f>IF(O28=0,0,P28/O28)</f>
        <v>1</v>
      </c>
      <c r="P72" s="454">
        <f t="shared" si="2"/>
        <v>1</v>
      </c>
      <c r="Q72" s="454">
        <f t="shared" si="2"/>
        <v>1</v>
      </c>
      <c r="R72" s="454">
        <f t="shared" si="2"/>
        <v>1</v>
      </c>
      <c r="S72" s="454">
        <v>1</v>
      </c>
      <c r="T72" s="454">
        <v>1</v>
      </c>
      <c r="U72" s="322"/>
      <c r="V72" s="322"/>
      <c r="W72" s="322"/>
      <c r="X72" s="322"/>
      <c r="Y72" s="322"/>
      <c r="Z72" s="322"/>
      <c r="AA72" s="322"/>
      <c r="AB72" s="322"/>
      <c r="AC72" s="322"/>
      <c r="AD72" s="322"/>
      <c r="AE72" s="322"/>
      <c r="AF72" s="322"/>
      <c r="AG72" s="322"/>
      <c r="AH72" s="322"/>
      <c r="AI72" s="322"/>
      <c r="AJ72" s="322"/>
      <c r="AK72" s="322"/>
      <c r="AL72" s="322"/>
      <c r="AM72" s="323"/>
    </row>
    <row r="73" spans="1:39">
      <c r="A73" s="449">
        <f t="shared" si="1"/>
        <v>2001</v>
      </c>
      <c r="B73" s="454">
        <v>0</v>
      </c>
      <c r="C73" s="454">
        <v>0</v>
      </c>
      <c r="D73" s="454">
        <v>0</v>
      </c>
      <c r="E73" s="454">
        <v>0</v>
      </c>
      <c r="F73" s="454">
        <v>0</v>
      </c>
      <c r="G73" s="454">
        <v>0</v>
      </c>
      <c r="H73" s="454">
        <v>0</v>
      </c>
      <c r="I73" s="454">
        <v>0</v>
      </c>
      <c r="J73" s="454">
        <v>0</v>
      </c>
      <c r="K73" s="454">
        <v>0</v>
      </c>
      <c r="L73" s="454">
        <v>0</v>
      </c>
      <c r="M73" s="454">
        <v>0</v>
      </c>
      <c r="N73" s="454">
        <f>IF(N29=0,0,O29/N29)</f>
        <v>1</v>
      </c>
      <c r="O73" s="454">
        <f t="shared" ref="N73:P79" si="3">IF(O29=0,0,P29/O29)</f>
        <v>1</v>
      </c>
      <c r="P73" s="454">
        <f t="shared" si="2"/>
        <v>1</v>
      </c>
      <c r="Q73" s="454">
        <f t="shared" si="2"/>
        <v>1</v>
      </c>
      <c r="R73" s="454">
        <f t="shared" si="2"/>
        <v>1</v>
      </c>
      <c r="S73" s="454">
        <v>1</v>
      </c>
      <c r="T73" s="454">
        <v>1</v>
      </c>
      <c r="U73" s="322"/>
      <c r="V73" s="322"/>
      <c r="W73" s="322"/>
      <c r="X73" s="322"/>
      <c r="Y73" s="322"/>
      <c r="Z73" s="322"/>
      <c r="AA73" s="322"/>
      <c r="AB73" s="322"/>
      <c r="AC73" s="322"/>
      <c r="AD73" s="322"/>
      <c r="AE73" s="322"/>
      <c r="AF73" s="322"/>
      <c r="AG73" s="322"/>
      <c r="AH73" s="322"/>
      <c r="AI73" s="322"/>
      <c r="AJ73" s="322"/>
      <c r="AK73" s="322"/>
      <c r="AL73" s="322"/>
      <c r="AM73" s="323"/>
    </row>
    <row r="74" spans="1:39">
      <c r="A74" s="449">
        <f t="shared" si="1"/>
        <v>2002</v>
      </c>
      <c r="B74" s="454">
        <v>0</v>
      </c>
      <c r="C74" s="454">
        <v>0</v>
      </c>
      <c r="D74" s="454">
        <v>0</v>
      </c>
      <c r="E74" s="454">
        <v>0</v>
      </c>
      <c r="F74" s="454">
        <v>0</v>
      </c>
      <c r="G74" s="454">
        <v>0</v>
      </c>
      <c r="H74" s="454">
        <v>0</v>
      </c>
      <c r="I74" s="454">
        <v>0</v>
      </c>
      <c r="J74" s="454">
        <v>0</v>
      </c>
      <c r="K74" s="454">
        <v>0</v>
      </c>
      <c r="L74" s="454">
        <v>0</v>
      </c>
      <c r="M74" s="454">
        <f>IF(M30=0,0,N30/M30)</f>
        <v>0.99999999999999933</v>
      </c>
      <c r="N74" s="454">
        <f t="shared" si="3"/>
        <v>1.1641596447850573</v>
      </c>
      <c r="O74" s="454">
        <f t="shared" si="3"/>
        <v>1</v>
      </c>
      <c r="P74" s="454">
        <f t="shared" si="3"/>
        <v>1</v>
      </c>
      <c r="Q74" s="454">
        <f t="shared" si="2"/>
        <v>1</v>
      </c>
      <c r="R74" s="454">
        <f t="shared" si="2"/>
        <v>1</v>
      </c>
      <c r="S74" s="454">
        <v>1</v>
      </c>
      <c r="T74" s="454">
        <v>1</v>
      </c>
      <c r="U74" s="322"/>
      <c r="V74" s="322"/>
      <c r="W74" s="322"/>
      <c r="X74" s="322"/>
      <c r="Y74" s="322"/>
      <c r="Z74" s="322"/>
      <c r="AA74" s="322"/>
      <c r="AB74" s="322"/>
      <c r="AC74" s="322"/>
      <c r="AD74" s="322"/>
      <c r="AE74" s="322"/>
      <c r="AF74" s="322"/>
      <c r="AG74" s="322"/>
      <c r="AH74" s="322"/>
      <c r="AI74" s="322"/>
      <c r="AJ74" s="322"/>
      <c r="AK74" s="322"/>
      <c r="AL74" s="322"/>
      <c r="AM74" s="323"/>
    </row>
    <row r="75" spans="1:39">
      <c r="A75" s="449">
        <f t="shared" si="1"/>
        <v>2003</v>
      </c>
      <c r="B75" s="454">
        <v>0</v>
      </c>
      <c r="C75" s="454">
        <v>0</v>
      </c>
      <c r="D75" s="454">
        <v>0</v>
      </c>
      <c r="E75" s="454">
        <v>0</v>
      </c>
      <c r="F75" s="454">
        <v>0</v>
      </c>
      <c r="G75" s="454">
        <v>0</v>
      </c>
      <c r="H75" s="454">
        <v>0</v>
      </c>
      <c r="I75" s="454">
        <v>0</v>
      </c>
      <c r="J75" s="454">
        <v>0</v>
      </c>
      <c r="K75" s="454">
        <v>0</v>
      </c>
      <c r="L75" s="454">
        <f>IF(L31=0,0,M31/L31)</f>
        <v>1</v>
      </c>
      <c r="M75" s="454">
        <f t="shared" ref="L75:O80" si="4">IF(M31=0,0,N31/M31)</f>
        <v>1</v>
      </c>
      <c r="N75" s="454">
        <f t="shared" si="4"/>
        <v>1</v>
      </c>
      <c r="O75" s="454">
        <f t="shared" si="3"/>
        <v>1</v>
      </c>
      <c r="P75" s="454">
        <f t="shared" si="2"/>
        <v>1</v>
      </c>
      <c r="Q75" s="454">
        <f t="shared" si="2"/>
        <v>1</v>
      </c>
      <c r="R75" s="454">
        <f t="shared" si="2"/>
        <v>0.99999999999999956</v>
      </c>
      <c r="S75" s="454">
        <v>1</v>
      </c>
      <c r="T75" s="454">
        <v>1</v>
      </c>
      <c r="U75" s="322"/>
      <c r="V75" s="322"/>
      <c r="W75" s="322"/>
      <c r="X75" s="322"/>
      <c r="Y75" s="322"/>
      <c r="Z75" s="322"/>
      <c r="AA75" s="322"/>
      <c r="AB75" s="322"/>
      <c r="AC75" s="322"/>
      <c r="AD75" s="322"/>
      <c r="AE75" s="322"/>
      <c r="AF75" s="322"/>
      <c r="AG75" s="322"/>
      <c r="AH75" s="322"/>
      <c r="AI75" s="322"/>
      <c r="AJ75" s="322"/>
      <c r="AK75" s="322"/>
      <c r="AL75" s="322"/>
      <c r="AM75" s="323"/>
    </row>
    <row r="76" spans="1:39">
      <c r="A76" s="449">
        <f t="shared" si="1"/>
        <v>2004</v>
      </c>
      <c r="B76" s="454">
        <v>0</v>
      </c>
      <c r="C76" s="454">
        <v>0</v>
      </c>
      <c r="D76" s="454">
        <v>0</v>
      </c>
      <c r="E76" s="454">
        <v>0</v>
      </c>
      <c r="F76" s="454">
        <v>0</v>
      </c>
      <c r="G76" s="454">
        <v>0</v>
      </c>
      <c r="H76" s="454">
        <v>0</v>
      </c>
      <c r="I76" s="454">
        <v>0</v>
      </c>
      <c r="J76" s="454">
        <v>0</v>
      </c>
      <c r="K76" s="454">
        <f t="shared" ref="K76:K82" si="5">IF(K32=0,0,L32/K32)</f>
        <v>0.99999999999999967</v>
      </c>
      <c r="L76" s="454">
        <f t="shared" si="4"/>
        <v>1</v>
      </c>
      <c r="M76" s="454">
        <f t="shared" si="4"/>
        <v>1</v>
      </c>
      <c r="N76" s="454">
        <f t="shared" si="3"/>
        <v>0.99999999999999967</v>
      </c>
      <c r="O76" s="454">
        <f t="shared" si="3"/>
        <v>1</v>
      </c>
      <c r="P76" s="454">
        <f t="shared" si="3"/>
        <v>1</v>
      </c>
      <c r="Q76" s="454">
        <f t="shared" si="2"/>
        <v>1.0000000000000002</v>
      </c>
      <c r="R76" s="454">
        <f t="shared" si="2"/>
        <v>0.99999999999999989</v>
      </c>
      <c r="S76" s="454">
        <v>1</v>
      </c>
      <c r="T76" s="454"/>
      <c r="U76" s="322"/>
      <c r="V76" s="322"/>
      <c r="W76" s="322"/>
      <c r="X76" s="322"/>
      <c r="Y76" s="322"/>
      <c r="Z76" s="322"/>
      <c r="AA76" s="322"/>
      <c r="AB76" s="322"/>
      <c r="AC76" s="322"/>
      <c r="AD76" s="322"/>
      <c r="AE76" s="322"/>
      <c r="AF76" s="322"/>
      <c r="AG76" s="322"/>
      <c r="AH76" s="322"/>
      <c r="AI76" s="322"/>
      <c r="AJ76" s="322"/>
      <c r="AK76" s="322"/>
      <c r="AL76" s="322"/>
      <c r="AM76" s="323"/>
    </row>
    <row r="77" spans="1:39">
      <c r="A77" s="449">
        <f t="shared" si="1"/>
        <v>2005</v>
      </c>
      <c r="B77" s="454">
        <v>0</v>
      </c>
      <c r="C77" s="454">
        <v>0</v>
      </c>
      <c r="D77" s="454">
        <v>0</v>
      </c>
      <c r="E77" s="454">
        <v>0</v>
      </c>
      <c r="F77" s="454">
        <v>0</v>
      </c>
      <c r="G77" s="454">
        <v>0</v>
      </c>
      <c r="H77" s="454">
        <v>0</v>
      </c>
      <c r="I77" s="454">
        <v>0</v>
      </c>
      <c r="J77" s="454">
        <f t="shared" ref="J77:J82" si="6">IF(J33=0,0,K33/J33)</f>
        <v>1</v>
      </c>
      <c r="K77" s="454">
        <f t="shared" si="5"/>
        <v>1</v>
      </c>
      <c r="L77" s="454">
        <f t="shared" si="4"/>
        <v>1</v>
      </c>
      <c r="M77" s="454">
        <f t="shared" si="4"/>
        <v>1</v>
      </c>
      <c r="N77" s="454">
        <f t="shared" si="4"/>
        <v>1</v>
      </c>
      <c r="O77" s="454">
        <f t="shared" si="3"/>
        <v>1</v>
      </c>
      <c r="P77" s="454">
        <f t="shared" si="2"/>
        <v>1</v>
      </c>
      <c r="Q77" s="454">
        <f t="shared" si="2"/>
        <v>1.0000000000000002</v>
      </c>
      <c r="R77" s="454">
        <f t="shared" si="2"/>
        <v>1</v>
      </c>
      <c r="S77" s="454"/>
      <c r="T77" s="454"/>
      <c r="U77" s="322"/>
      <c r="V77" s="322"/>
      <c r="W77" s="322"/>
      <c r="X77" s="322"/>
      <c r="Y77" s="322"/>
      <c r="Z77" s="322"/>
      <c r="AA77" s="322"/>
      <c r="AB77" s="322"/>
      <c r="AC77" s="322"/>
      <c r="AD77" s="322"/>
      <c r="AE77" s="322"/>
      <c r="AF77" s="322"/>
      <c r="AG77" s="322"/>
      <c r="AH77" s="322"/>
      <c r="AI77" s="322"/>
      <c r="AJ77" s="322"/>
      <c r="AK77" s="322"/>
      <c r="AL77" s="322"/>
      <c r="AM77" s="323"/>
    </row>
    <row r="78" spans="1:39">
      <c r="A78" s="449">
        <f t="shared" si="1"/>
        <v>2006</v>
      </c>
      <c r="B78" s="454">
        <v>0</v>
      </c>
      <c r="C78" s="454">
        <v>0</v>
      </c>
      <c r="D78" s="454">
        <v>0</v>
      </c>
      <c r="E78" s="454">
        <v>0</v>
      </c>
      <c r="F78" s="454">
        <v>0</v>
      </c>
      <c r="G78" s="454">
        <v>0</v>
      </c>
      <c r="H78" s="454">
        <v>0</v>
      </c>
      <c r="I78" s="454">
        <f>IF(I34=0,0,J34/I34)</f>
        <v>1</v>
      </c>
      <c r="J78" s="454">
        <f t="shared" si="6"/>
        <v>1</v>
      </c>
      <c r="K78" s="454">
        <f t="shared" si="5"/>
        <v>0.99999999999999967</v>
      </c>
      <c r="L78" s="454">
        <f>IF(L34=0,0,M34/L34)</f>
        <v>1</v>
      </c>
      <c r="M78" s="454">
        <f t="shared" si="4"/>
        <v>1</v>
      </c>
      <c r="N78" s="454">
        <f t="shared" si="3"/>
        <v>1</v>
      </c>
      <c r="O78" s="454">
        <f t="shared" si="3"/>
        <v>1.0000000000000002</v>
      </c>
      <c r="P78" s="454">
        <f t="shared" si="3"/>
        <v>0.99999999999999989</v>
      </c>
      <c r="Q78" s="454">
        <f t="shared" si="2"/>
        <v>1</v>
      </c>
      <c r="R78" s="454"/>
      <c r="S78" s="454"/>
      <c r="T78" s="454"/>
      <c r="U78" s="322"/>
      <c r="V78" s="322"/>
      <c r="W78" s="322"/>
      <c r="X78" s="322"/>
      <c r="Y78" s="322"/>
      <c r="Z78" s="322"/>
      <c r="AA78" s="322"/>
      <c r="AB78" s="322"/>
      <c r="AC78" s="322"/>
      <c r="AD78" s="322"/>
      <c r="AE78" s="322"/>
      <c r="AF78" s="322"/>
      <c r="AG78" s="322"/>
      <c r="AH78" s="322"/>
      <c r="AI78" s="322"/>
      <c r="AJ78" s="322"/>
      <c r="AK78" s="322"/>
      <c r="AL78" s="322"/>
      <c r="AM78" s="323"/>
    </row>
    <row r="79" spans="1:39">
      <c r="A79" s="449">
        <f t="shared" si="1"/>
        <v>2007</v>
      </c>
      <c r="B79" s="454">
        <v>0</v>
      </c>
      <c r="C79" s="454">
        <v>0</v>
      </c>
      <c r="D79" s="454">
        <v>0</v>
      </c>
      <c r="E79" s="454">
        <v>0</v>
      </c>
      <c r="F79" s="454">
        <v>0</v>
      </c>
      <c r="G79" s="454">
        <v>0</v>
      </c>
      <c r="H79" s="454">
        <f>IF(H35=0,0,I35/H35)</f>
        <v>1</v>
      </c>
      <c r="I79" s="454">
        <f>IF(I35=0,0,J35/I35)</f>
        <v>1</v>
      </c>
      <c r="J79" s="454">
        <f t="shared" si="6"/>
        <v>1</v>
      </c>
      <c r="K79" s="454">
        <f t="shared" si="5"/>
        <v>1</v>
      </c>
      <c r="L79" s="454">
        <f t="shared" si="4"/>
        <v>1</v>
      </c>
      <c r="M79" s="454">
        <f t="shared" si="4"/>
        <v>1</v>
      </c>
      <c r="N79" s="454">
        <f t="shared" si="4"/>
        <v>1</v>
      </c>
      <c r="O79" s="454">
        <f t="shared" si="4"/>
        <v>0.99999999999999978</v>
      </c>
      <c r="P79" s="454">
        <f t="shared" si="3"/>
        <v>1</v>
      </c>
      <c r="Q79" s="454"/>
      <c r="R79" s="454"/>
      <c r="S79" s="454"/>
      <c r="T79" s="454"/>
      <c r="U79" s="322"/>
      <c r="V79" s="322"/>
      <c r="W79" s="322"/>
      <c r="X79" s="322"/>
      <c r="Y79" s="322"/>
      <c r="Z79" s="322"/>
      <c r="AA79" s="322"/>
      <c r="AB79" s="322"/>
      <c r="AC79" s="322"/>
      <c r="AD79" s="322"/>
      <c r="AE79" s="322"/>
      <c r="AF79" s="322"/>
      <c r="AG79" s="322"/>
      <c r="AH79" s="322"/>
      <c r="AI79" s="322"/>
      <c r="AJ79" s="322"/>
      <c r="AK79" s="322"/>
      <c r="AL79" s="322"/>
      <c r="AM79" s="323"/>
    </row>
    <row r="80" spans="1:39">
      <c r="A80" s="449">
        <f t="shared" si="1"/>
        <v>2008</v>
      </c>
      <c r="B80" s="454">
        <v>0</v>
      </c>
      <c r="C80" s="454">
        <v>0</v>
      </c>
      <c r="D80" s="454">
        <v>0</v>
      </c>
      <c r="E80" s="454">
        <v>0</v>
      </c>
      <c r="F80" s="454">
        <v>0</v>
      </c>
      <c r="G80" s="454">
        <f>IF(G36=0,0,H36/G36)</f>
        <v>1.1300108342361859</v>
      </c>
      <c r="H80" s="454">
        <f>IF(H36=0,0,I36/H36)</f>
        <v>1.0000000000000004</v>
      </c>
      <c r="I80" s="454">
        <f>IF(I36=0,0,J36/I36)</f>
        <v>1.0000000000000004</v>
      </c>
      <c r="J80" s="454">
        <f t="shared" si="6"/>
        <v>1</v>
      </c>
      <c r="K80" s="454">
        <f t="shared" si="5"/>
        <v>0.99999999999999967</v>
      </c>
      <c r="L80" s="454">
        <f t="shared" ref="L80:N81" si="7">IF(L36=0,0,M36/L36)</f>
        <v>1.1534036433365289</v>
      </c>
      <c r="M80" s="454">
        <f t="shared" si="7"/>
        <v>1.0000000000000002</v>
      </c>
      <c r="N80" s="454">
        <f t="shared" si="7"/>
        <v>0.99999999999999989</v>
      </c>
      <c r="O80" s="454">
        <f t="shared" si="4"/>
        <v>1</v>
      </c>
      <c r="P80" s="454"/>
      <c r="Q80" s="454"/>
      <c r="R80" s="454"/>
      <c r="S80" s="454"/>
      <c r="T80" s="454"/>
      <c r="U80" s="322"/>
      <c r="V80" s="322"/>
      <c r="W80" s="322"/>
      <c r="X80" s="322"/>
      <c r="Y80" s="322"/>
      <c r="Z80" s="322"/>
      <c r="AA80" s="322"/>
      <c r="AB80" s="322"/>
      <c r="AC80" s="322"/>
      <c r="AD80" s="322"/>
      <c r="AE80" s="322"/>
      <c r="AF80" s="322"/>
      <c r="AG80" s="322"/>
      <c r="AH80" s="322"/>
      <c r="AI80" s="322"/>
      <c r="AJ80" s="322"/>
      <c r="AK80" s="322"/>
      <c r="AL80" s="322"/>
      <c r="AM80" s="323"/>
    </row>
    <row r="81" spans="1:39">
      <c r="A81" s="449">
        <f t="shared" si="1"/>
        <v>2009</v>
      </c>
      <c r="B81" s="454">
        <v>0</v>
      </c>
      <c r="C81" s="454">
        <v>0</v>
      </c>
      <c r="D81" s="454">
        <v>0</v>
      </c>
      <c r="E81" s="454">
        <v>0</v>
      </c>
      <c r="F81" s="454">
        <f>IF(F37=0,0,G37/F37)</f>
        <v>1.444171779141104</v>
      </c>
      <c r="G81" s="454">
        <f>IF(G37=0,0,H37/G37)</f>
        <v>1</v>
      </c>
      <c r="H81" s="454">
        <f>IF(H37=0,0,I37/H37)</f>
        <v>1.0764655904842824</v>
      </c>
      <c r="I81" s="454">
        <f>IF(I37=0,0,J37/I37)</f>
        <v>1</v>
      </c>
      <c r="J81" s="454">
        <f t="shared" si="6"/>
        <v>1</v>
      </c>
      <c r="K81" s="454">
        <f t="shared" si="5"/>
        <v>1</v>
      </c>
      <c r="L81" s="454">
        <f t="shared" si="7"/>
        <v>1</v>
      </c>
      <c r="M81" s="454">
        <f t="shared" si="7"/>
        <v>1</v>
      </c>
      <c r="N81" s="454">
        <f t="shared" si="7"/>
        <v>1</v>
      </c>
      <c r="O81" s="454"/>
      <c r="P81" s="454"/>
      <c r="Q81" s="454"/>
      <c r="R81" s="454"/>
      <c r="S81" s="454"/>
      <c r="T81" s="454"/>
      <c r="U81" s="322"/>
      <c r="V81" s="322"/>
      <c r="W81" s="322"/>
      <c r="X81" s="322"/>
      <c r="Y81" s="322"/>
      <c r="Z81" s="322"/>
      <c r="AA81" s="322"/>
      <c r="AB81" s="322"/>
      <c r="AC81" s="322"/>
      <c r="AD81" s="322"/>
      <c r="AE81" s="322"/>
      <c r="AF81" s="322"/>
      <c r="AG81" s="322"/>
      <c r="AH81" s="322"/>
      <c r="AI81" s="322"/>
      <c r="AJ81" s="322"/>
      <c r="AK81" s="322"/>
      <c r="AL81" s="322"/>
      <c r="AM81" s="323"/>
    </row>
    <row r="82" spans="1:39">
      <c r="A82" s="449">
        <f t="shared" si="1"/>
        <v>2010</v>
      </c>
      <c r="B82" s="454">
        <v>0</v>
      </c>
      <c r="C82" s="454">
        <v>0</v>
      </c>
      <c r="D82" s="454">
        <v>0</v>
      </c>
      <c r="E82" s="454">
        <f>IF(E38=0,0,F38/E38)</f>
        <v>1.9710743801652892</v>
      </c>
      <c r="F82" s="454">
        <f>IF(F38=0,0,G38/F38)</f>
        <v>1.2515723270440251</v>
      </c>
      <c r="G82" s="454">
        <f>IF(G38=0,0,H38/G38)</f>
        <v>1</v>
      </c>
      <c r="H82" s="454">
        <f>IF(H38=0,0,I38/H38)</f>
        <v>1.1340033500837523</v>
      </c>
      <c r="I82" s="454">
        <f>IF(I38=0,0,J38/I38)</f>
        <v>0.99999999999999978</v>
      </c>
      <c r="J82" s="454">
        <f t="shared" si="6"/>
        <v>1</v>
      </c>
      <c r="K82" s="454">
        <f t="shared" si="5"/>
        <v>1</v>
      </c>
      <c r="L82" s="454">
        <f>IF(L38=0,0,M38/L38)</f>
        <v>1</v>
      </c>
      <c r="M82" s="454">
        <f>IF(M38=0,0,N38/M38)</f>
        <v>1</v>
      </c>
      <c r="N82" s="454"/>
      <c r="O82" s="454"/>
      <c r="P82" s="454"/>
      <c r="Q82" s="454"/>
      <c r="R82" s="454"/>
      <c r="S82" s="454"/>
      <c r="T82" s="454"/>
      <c r="U82" s="322"/>
      <c r="V82" s="322"/>
      <c r="W82" s="322"/>
      <c r="X82" s="322"/>
      <c r="Y82" s="322"/>
      <c r="Z82" s="322"/>
      <c r="AA82" s="322"/>
      <c r="AB82" s="322"/>
      <c r="AC82" s="322"/>
      <c r="AD82" s="322"/>
      <c r="AE82" s="322"/>
      <c r="AF82" s="322"/>
      <c r="AG82" s="322"/>
      <c r="AH82" s="322"/>
      <c r="AI82" s="322"/>
      <c r="AJ82" s="322"/>
      <c r="AK82" s="322"/>
      <c r="AL82" s="322"/>
      <c r="AM82" s="323"/>
    </row>
    <row r="83" spans="1:39">
      <c r="A83" s="449">
        <f t="shared" si="1"/>
        <v>2011</v>
      </c>
      <c r="B83" s="454">
        <v>0</v>
      </c>
      <c r="C83" s="454">
        <v>0</v>
      </c>
      <c r="D83" s="454">
        <f>IF(D39=0,0,E39/D39)</f>
        <v>0</v>
      </c>
      <c r="E83" s="454">
        <f t="shared" ref="D83:K91" si="8">IF(E39=0,0,F39/E39)</f>
        <v>0</v>
      </c>
      <c r="F83" s="454">
        <f t="shared" si="8"/>
        <v>1.6525091944477399</v>
      </c>
      <c r="G83" s="454">
        <f t="shared" si="8"/>
        <v>1.0358963313949314</v>
      </c>
      <c r="H83" s="454">
        <f t="shared" si="8"/>
        <v>1</v>
      </c>
      <c r="I83" s="454">
        <f t="shared" si="8"/>
        <v>0.99999999999999978</v>
      </c>
      <c r="J83" s="454">
        <f t="shared" si="8"/>
        <v>1</v>
      </c>
      <c r="K83" s="454">
        <f t="shared" si="8"/>
        <v>1</v>
      </c>
      <c r="L83" s="454">
        <f>IF(L39=0,0,M39/L39)</f>
        <v>1</v>
      </c>
      <c r="M83" s="454"/>
      <c r="N83" s="454"/>
      <c r="O83" s="454"/>
      <c r="P83" s="454"/>
      <c r="Q83" s="454"/>
      <c r="R83" s="454"/>
      <c r="S83" s="454"/>
      <c r="T83" s="454"/>
      <c r="U83" s="322"/>
      <c r="V83" s="322"/>
      <c r="W83" s="322"/>
      <c r="X83" s="322"/>
      <c r="Y83" s="322"/>
      <c r="Z83" s="322"/>
      <c r="AA83" s="322"/>
      <c r="AB83" s="322"/>
      <c r="AC83" s="322"/>
      <c r="AD83" s="322"/>
      <c r="AE83" s="322"/>
      <c r="AF83" s="322"/>
      <c r="AG83" s="322"/>
      <c r="AH83" s="322"/>
      <c r="AI83" s="322"/>
      <c r="AJ83" s="322"/>
      <c r="AK83" s="322"/>
      <c r="AL83" s="322"/>
      <c r="AM83" s="323"/>
    </row>
    <row r="84" spans="1:39">
      <c r="A84" s="449">
        <f t="shared" si="1"/>
        <v>2012</v>
      </c>
      <c r="B84" s="454">
        <v>0</v>
      </c>
      <c r="C84" s="454">
        <f>IF(C40=0,0,D40/C40)</f>
        <v>0</v>
      </c>
      <c r="D84" s="454">
        <f t="shared" si="8"/>
        <v>1.606060606060606</v>
      </c>
      <c r="E84" s="454">
        <f t="shared" si="8"/>
        <v>1.8176100628930818</v>
      </c>
      <c r="F84" s="454">
        <f t="shared" si="8"/>
        <v>6.1903114186851207</v>
      </c>
      <c r="G84" s="454">
        <f t="shared" si="8"/>
        <v>1.0055897149245387</v>
      </c>
      <c r="H84" s="454">
        <f t="shared" si="8"/>
        <v>1.0555864369093941</v>
      </c>
      <c r="I84" s="454">
        <f t="shared" si="8"/>
        <v>1.0000000000000002</v>
      </c>
      <c r="J84" s="454">
        <f t="shared" si="8"/>
        <v>1.0421274007372299</v>
      </c>
      <c r="K84" s="454">
        <f t="shared" si="8"/>
        <v>0.99999999999999978</v>
      </c>
      <c r="L84" s="454"/>
      <c r="M84" s="454"/>
      <c r="N84" s="454"/>
      <c r="O84" s="454"/>
      <c r="P84" s="454"/>
      <c r="Q84" s="454"/>
      <c r="R84" s="454"/>
      <c r="S84" s="454"/>
      <c r="T84" s="454"/>
      <c r="U84" s="322"/>
      <c r="V84" s="322"/>
      <c r="W84" s="322"/>
      <c r="X84" s="322"/>
      <c r="Y84" s="322"/>
      <c r="Z84" s="322"/>
      <c r="AA84" s="322"/>
      <c r="AB84" s="322"/>
      <c r="AC84" s="322"/>
      <c r="AD84" s="322"/>
      <c r="AE84" s="322"/>
      <c r="AF84" s="322"/>
      <c r="AG84" s="322"/>
      <c r="AH84" s="322"/>
      <c r="AI84" s="322"/>
      <c r="AJ84" s="322"/>
      <c r="AK84" s="322"/>
      <c r="AL84" s="322"/>
      <c r="AM84" s="323"/>
    </row>
    <row r="85" spans="1:39">
      <c r="A85" s="449">
        <f t="shared" si="1"/>
        <v>2013</v>
      </c>
      <c r="B85" s="454">
        <f>IF(B41=0,0,C41/B41)</f>
        <v>0</v>
      </c>
      <c r="C85" s="454">
        <f t="shared" ref="B85:C93" si="9">IF(C41=0,0,D41/C41)</f>
        <v>0</v>
      </c>
      <c r="D85" s="454">
        <f t="shared" si="8"/>
        <v>3.1538461538461537</v>
      </c>
      <c r="E85" s="454">
        <f t="shared" si="8"/>
        <v>3.795121951219512</v>
      </c>
      <c r="F85" s="454">
        <f t="shared" si="8"/>
        <v>1.25706940874036</v>
      </c>
      <c r="G85" s="454">
        <f t="shared" si="8"/>
        <v>2.0633946830265852</v>
      </c>
      <c r="H85" s="454">
        <f t="shared" si="8"/>
        <v>0.99999999999999944</v>
      </c>
      <c r="I85" s="454">
        <f t="shared" si="8"/>
        <v>1</v>
      </c>
      <c r="J85" s="454">
        <f t="shared" si="8"/>
        <v>1</v>
      </c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322"/>
      <c r="V85" s="322"/>
      <c r="W85" s="322"/>
      <c r="X85" s="322"/>
      <c r="Y85" s="322"/>
      <c r="Z85" s="322"/>
      <c r="AA85" s="322"/>
      <c r="AB85" s="322"/>
      <c r="AC85" s="322"/>
      <c r="AD85" s="322"/>
      <c r="AE85" s="322"/>
      <c r="AF85" s="322"/>
      <c r="AG85" s="322"/>
      <c r="AH85" s="322"/>
      <c r="AI85" s="322"/>
      <c r="AJ85" s="322"/>
      <c r="AK85" s="322"/>
      <c r="AL85" s="322"/>
      <c r="AM85" s="323"/>
    </row>
    <row r="86" spans="1:39">
      <c r="A86" s="449">
        <f t="shared" si="1"/>
        <v>2014</v>
      </c>
      <c r="B86" s="454">
        <f t="shared" si="9"/>
        <v>0</v>
      </c>
      <c r="C86" s="454">
        <f t="shared" si="9"/>
        <v>12.5</v>
      </c>
      <c r="D86" s="454">
        <f t="shared" si="8"/>
        <v>1.28</v>
      </c>
      <c r="E86" s="454">
        <f t="shared" si="8"/>
        <v>2.8562500000000002</v>
      </c>
      <c r="F86" s="454">
        <f t="shared" si="8"/>
        <v>1</v>
      </c>
      <c r="G86" s="454">
        <f t="shared" si="8"/>
        <v>1.437636761487965</v>
      </c>
      <c r="H86" s="454">
        <f t="shared" si="8"/>
        <v>1.0000000000000002</v>
      </c>
      <c r="I86" s="454">
        <f t="shared" si="8"/>
        <v>1</v>
      </c>
      <c r="J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322"/>
      <c r="V86" s="322"/>
      <c r="W86" s="322"/>
      <c r="X86" s="322"/>
      <c r="Y86" s="322"/>
      <c r="Z86" s="322"/>
      <c r="AA86" s="322"/>
      <c r="AB86" s="322"/>
      <c r="AC86" s="322"/>
      <c r="AD86" s="322"/>
      <c r="AE86" s="322"/>
      <c r="AF86" s="322"/>
      <c r="AG86" s="322"/>
      <c r="AH86" s="322"/>
      <c r="AI86" s="322"/>
      <c r="AJ86" s="322"/>
      <c r="AK86" s="322"/>
      <c r="AL86" s="322"/>
      <c r="AM86" s="323"/>
    </row>
    <row r="87" spans="1:39">
      <c r="A87" s="449">
        <f t="shared" si="1"/>
        <v>2015</v>
      </c>
      <c r="B87" s="454">
        <f t="shared" si="9"/>
        <v>0</v>
      </c>
      <c r="C87" s="454">
        <f t="shared" si="9"/>
        <v>6.349999999999997</v>
      </c>
      <c r="D87" s="454">
        <f t="shared" si="8"/>
        <v>1.4015748031496063</v>
      </c>
      <c r="E87" s="454">
        <f t="shared" si="8"/>
        <v>1.252808988764045</v>
      </c>
      <c r="F87" s="454">
        <f t="shared" si="8"/>
        <v>1.1524663677130045</v>
      </c>
      <c r="G87" s="454">
        <f t="shared" si="8"/>
        <v>0.99999999999999967</v>
      </c>
      <c r="H87" s="454">
        <f t="shared" si="8"/>
        <v>1.0000000000000007</v>
      </c>
      <c r="I87" s="454"/>
      <c r="J87" s="454"/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322"/>
      <c r="V87" s="322"/>
      <c r="W87" s="322"/>
      <c r="X87" s="322"/>
      <c r="Y87" s="322"/>
      <c r="Z87" s="322"/>
      <c r="AA87" s="322"/>
      <c r="AB87" s="322"/>
      <c r="AC87" s="322"/>
      <c r="AD87" s="322"/>
      <c r="AE87" s="322"/>
      <c r="AF87" s="322"/>
      <c r="AG87" s="322"/>
      <c r="AH87" s="322"/>
      <c r="AI87" s="322"/>
      <c r="AJ87" s="322"/>
      <c r="AK87" s="322"/>
      <c r="AL87" s="322"/>
      <c r="AM87" s="323"/>
    </row>
    <row r="88" spans="1:39">
      <c r="A88" s="449">
        <f t="shared" si="1"/>
        <v>2016</v>
      </c>
      <c r="B88" s="454">
        <f t="shared" si="9"/>
        <v>0</v>
      </c>
      <c r="C88" s="454">
        <f t="shared" si="9"/>
        <v>2.1111111111111112</v>
      </c>
      <c r="D88" s="454">
        <f t="shared" si="8"/>
        <v>1.4035087719298249</v>
      </c>
      <c r="E88" s="454">
        <f t="shared" si="8"/>
        <v>0.99999999999999978</v>
      </c>
      <c r="F88" s="454">
        <f t="shared" si="8"/>
        <v>1.125</v>
      </c>
      <c r="G88" s="454">
        <f t="shared" si="8"/>
        <v>1.0555555555555556</v>
      </c>
      <c r="H88" s="454"/>
      <c r="I88" s="454"/>
      <c r="J88" s="454"/>
      <c r="K88" s="454"/>
      <c r="L88" s="454"/>
      <c r="M88" s="454"/>
      <c r="N88" s="454"/>
      <c r="O88" s="454"/>
      <c r="P88" s="454"/>
      <c r="Q88" s="454"/>
      <c r="R88" s="454"/>
      <c r="S88" s="454"/>
      <c r="T88" s="454"/>
      <c r="U88" s="322"/>
      <c r="V88" s="322"/>
      <c r="W88" s="322"/>
      <c r="X88" s="322"/>
      <c r="Y88" s="322"/>
      <c r="Z88" s="322"/>
      <c r="AA88" s="322"/>
      <c r="AB88" s="322"/>
      <c r="AC88" s="322"/>
      <c r="AD88" s="322"/>
      <c r="AE88" s="322"/>
      <c r="AF88" s="322"/>
      <c r="AG88" s="322"/>
      <c r="AH88" s="322"/>
      <c r="AI88" s="322"/>
      <c r="AJ88" s="322"/>
      <c r="AK88" s="322"/>
      <c r="AL88" s="322"/>
      <c r="AM88" s="323"/>
    </row>
    <row r="89" spans="1:39">
      <c r="A89" s="449">
        <f t="shared" si="1"/>
        <v>2017</v>
      </c>
      <c r="B89" s="454">
        <f t="shared" si="9"/>
        <v>0</v>
      </c>
      <c r="C89" s="454">
        <f t="shared" si="9"/>
        <v>1</v>
      </c>
      <c r="D89" s="454">
        <f t="shared" si="8"/>
        <v>5</v>
      </c>
      <c r="E89" s="454">
        <f t="shared" si="8"/>
        <v>0.99999999999999956</v>
      </c>
      <c r="F89" s="454">
        <f t="shared" si="8"/>
        <v>1.5500000000000007</v>
      </c>
      <c r="G89" s="454"/>
      <c r="H89" s="454"/>
      <c r="I89" s="454"/>
      <c r="J89" s="454"/>
      <c r="K89" s="454"/>
      <c r="L89" s="454"/>
      <c r="M89" s="454"/>
      <c r="N89" s="454"/>
      <c r="O89" s="454"/>
      <c r="P89" s="454"/>
      <c r="Q89" s="454"/>
      <c r="R89" s="454"/>
      <c r="S89" s="454"/>
      <c r="T89" s="454"/>
      <c r="U89" s="322"/>
      <c r="V89" s="322"/>
      <c r="W89" s="322"/>
      <c r="X89" s="322"/>
      <c r="Y89" s="322"/>
      <c r="Z89" s="322"/>
      <c r="AA89" s="322"/>
      <c r="AB89" s="322"/>
      <c r="AC89" s="322"/>
      <c r="AD89" s="322"/>
      <c r="AE89" s="322"/>
      <c r="AF89" s="322"/>
      <c r="AG89" s="322"/>
      <c r="AH89" s="322"/>
      <c r="AI89" s="322"/>
      <c r="AJ89" s="322"/>
      <c r="AK89" s="322"/>
      <c r="AL89" s="322"/>
      <c r="AM89" s="323"/>
    </row>
    <row r="90" spans="1:39">
      <c r="A90" s="449">
        <f t="shared" si="1"/>
        <v>2018</v>
      </c>
      <c r="B90" s="454">
        <f t="shared" si="9"/>
        <v>0</v>
      </c>
      <c r="C90" s="454">
        <f t="shared" si="9"/>
        <v>22</v>
      </c>
      <c r="D90" s="454">
        <f t="shared" si="8"/>
        <v>1.509090909090909</v>
      </c>
      <c r="E90" s="454">
        <f t="shared" si="8"/>
        <v>1.0903614457831325</v>
      </c>
      <c r="F90" s="454"/>
      <c r="G90" s="454"/>
      <c r="H90" s="454"/>
      <c r="I90" s="454"/>
      <c r="J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322"/>
      <c r="V90" s="322"/>
      <c r="W90" s="322"/>
      <c r="X90" s="322"/>
      <c r="Y90" s="322"/>
      <c r="Z90" s="322"/>
      <c r="AA90" s="322"/>
      <c r="AB90" s="322"/>
      <c r="AC90" s="322"/>
      <c r="AD90" s="322"/>
      <c r="AE90" s="322"/>
      <c r="AF90" s="322"/>
      <c r="AG90" s="322"/>
      <c r="AH90" s="322"/>
      <c r="AI90" s="322"/>
      <c r="AJ90" s="322"/>
      <c r="AK90" s="322"/>
      <c r="AL90" s="322"/>
      <c r="AM90" s="323"/>
    </row>
    <row r="91" spans="1:39">
      <c r="A91" s="449">
        <f t="shared" si="1"/>
        <v>2019</v>
      </c>
      <c r="B91" s="454">
        <f t="shared" si="9"/>
        <v>0</v>
      </c>
      <c r="C91" s="454">
        <f t="shared" si="9"/>
        <v>6.0333333333333306</v>
      </c>
      <c r="D91" s="454">
        <f t="shared" si="8"/>
        <v>1.2375690607734808</v>
      </c>
      <c r="E91" s="454"/>
      <c r="F91" s="454"/>
      <c r="G91" s="454"/>
      <c r="H91" s="454"/>
      <c r="I91" s="454"/>
      <c r="J91" s="454"/>
      <c r="K91" s="454"/>
      <c r="L91" s="454"/>
      <c r="M91" s="454"/>
      <c r="N91" s="454"/>
      <c r="O91" s="454"/>
      <c r="P91" s="454"/>
      <c r="Q91" s="454"/>
      <c r="R91" s="454"/>
      <c r="S91" s="454"/>
      <c r="T91" s="454"/>
      <c r="U91" s="322"/>
      <c r="V91" s="322"/>
      <c r="W91" s="322"/>
      <c r="X91" s="322"/>
      <c r="Y91" s="322"/>
      <c r="Z91" s="322"/>
      <c r="AA91" s="322"/>
      <c r="AB91" s="322"/>
      <c r="AC91" s="322"/>
      <c r="AD91" s="322"/>
      <c r="AE91" s="322"/>
      <c r="AF91" s="322"/>
      <c r="AG91" s="322"/>
      <c r="AH91" s="322"/>
      <c r="AI91" s="322"/>
      <c r="AJ91" s="322"/>
      <c r="AK91" s="322"/>
      <c r="AL91" s="322"/>
      <c r="AM91" s="323"/>
    </row>
    <row r="92" spans="1:39">
      <c r="A92" s="449">
        <f t="shared" si="1"/>
        <v>2020</v>
      </c>
      <c r="B92" s="454">
        <f t="shared" si="9"/>
        <v>0</v>
      </c>
      <c r="C92" s="454">
        <f t="shared" si="9"/>
        <v>0</v>
      </c>
      <c r="D92" s="454"/>
      <c r="E92" s="454"/>
      <c r="F92" s="454"/>
      <c r="G92" s="454"/>
      <c r="H92" s="454"/>
      <c r="I92" s="454"/>
      <c r="J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322"/>
      <c r="V92" s="322"/>
      <c r="W92" s="322"/>
      <c r="X92" s="322"/>
      <c r="Y92" s="322"/>
      <c r="Z92" s="322"/>
      <c r="AA92" s="322"/>
      <c r="AB92" s="322"/>
      <c r="AC92" s="322"/>
      <c r="AD92" s="322"/>
      <c r="AE92" s="322"/>
      <c r="AF92" s="322"/>
      <c r="AG92" s="322"/>
      <c r="AH92" s="322"/>
      <c r="AI92" s="322"/>
      <c r="AJ92" s="322"/>
      <c r="AK92" s="322"/>
      <c r="AL92" s="322"/>
      <c r="AM92" s="323"/>
    </row>
    <row r="93" spans="1:39">
      <c r="A93" s="449">
        <f t="shared" si="1"/>
        <v>2021</v>
      </c>
      <c r="B93" s="454">
        <f t="shared" si="9"/>
        <v>0</v>
      </c>
      <c r="C93" s="454"/>
      <c r="D93" s="454"/>
      <c r="E93" s="454"/>
      <c r="F93" s="454"/>
      <c r="G93" s="454"/>
      <c r="H93" s="454"/>
      <c r="I93" s="454"/>
      <c r="J93" s="454"/>
      <c r="K93" s="454"/>
      <c r="L93" s="454"/>
      <c r="M93" s="454"/>
      <c r="N93" s="454"/>
      <c r="O93" s="454"/>
      <c r="P93" s="454"/>
      <c r="Q93" s="454"/>
      <c r="S93" s="454"/>
      <c r="T93" s="454"/>
      <c r="U93" s="322"/>
      <c r="V93" s="322"/>
      <c r="W93" s="322"/>
      <c r="X93" s="322"/>
      <c r="Y93" s="322"/>
      <c r="Z93" s="322"/>
      <c r="AA93" s="322"/>
      <c r="AB93" s="322"/>
      <c r="AC93" s="322"/>
      <c r="AD93" s="322"/>
      <c r="AE93" s="322"/>
      <c r="AF93" s="322"/>
      <c r="AG93" s="322"/>
      <c r="AH93" s="322"/>
      <c r="AI93" s="322"/>
      <c r="AJ93" s="322"/>
      <c r="AK93" s="322"/>
      <c r="AL93" s="322"/>
      <c r="AM93" s="323"/>
    </row>
    <row r="94" spans="1:39">
      <c r="A94" s="449">
        <f t="shared" si="1"/>
        <v>2022</v>
      </c>
      <c r="B94" s="454"/>
      <c r="C94" s="454"/>
      <c r="D94" s="454"/>
      <c r="E94" s="454"/>
      <c r="F94" s="454"/>
      <c r="G94" s="454"/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322"/>
      <c r="V94" s="322"/>
      <c r="W94" s="322"/>
      <c r="X94" s="322"/>
      <c r="Y94" s="322"/>
      <c r="Z94" s="322"/>
      <c r="AA94" s="322"/>
      <c r="AB94" s="322"/>
      <c r="AC94" s="322"/>
      <c r="AD94" s="322"/>
      <c r="AE94" s="322"/>
      <c r="AF94" s="322"/>
      <c r="AG94" s="322"/>
      <c r="AH94" s="322"/>
      <c r="AI94" s="322"/>
      <c r="AJ94" s="322"/>
      <c r="AK94" s="322"/>
      <c r="AL94" s="322"/>
      <c r="AM94" s="323"/>
    </row>
    <row r="95" spans="1:39">
      <c r="B95" s="455"/>
      <c r="C95" s="455"/>
      <c r="D95" s="455"/>
      <c r="E95" s="455"/>
      <c r="F95" s="455"/>
      <c r="G95" s="455"/>
      <c r="H95" s="455"/>
      <c r="I95" s="455"/>
      <c r="J95" s="455"/>
      <c r="K95" s="455"/>
      <c r="L95" s="455"/>
      <c r="M95" s="455"/>
      <c r="N95" s="455"/>
      <c r="O95" s="455"/>
      <c r="P95" s="455"/>
      <c r="Q95" s="455"/>
      <c r="R95" s="455"/>
      <c r="S95" s="455"/>
      <c r="T95" s="455"/>
      <c r="U95" s="323"/>
      <c r="V95" s="323"/>
      <c r="W95" s="323"/>
      <c r="X95" s="323"/>
      <c r="Y95" s="323"/>
      <c r="Z95" s="323"/>
      <c r="AA95" s="323"/>
      <c r="AB95" s="323"/>
      <c r="AC95" s="323"/>
      <c r="AD95" s="323"/>
      <c r="AE95" s="323"/>
      <c r="AF95" s="323"/>
      <c r="AG95" s="323"/>
      <c r="AH95" s="323"/>
      <c r="AI95" s="323"/>
      <c r="AJ95" s="323"/>
      <c r="AK95" s="323"/>
      <c r="AL95" s="323"/>
      <c r="AM95" s="323"/>
    </row>
    <row r="96" spans="1:39">
      <c r="A96" s="446" t="s">
        <v>1053</v>
      </c>
      <c r="B96" s="455"/>
      <c r="C96" s="455"/>
      <c r="D96" s="455"/>
      <c r="E96" s="455"/>
      <c r="F96" s="455"/>
      <c r="G96" s="455"/>
      <c r="H96" s="455"/>
      <c r="I96" s="455"/>
      <c r="J96" s="455"/>
      <c r="K96" s="455"/>
      <c r="L96" s="455"/>
      <c r="M96" s="455"/>
      <c r="N96" s="455"/>
      <c r="O96" s="455"/>
      <c r="P96" s="455"/>
      <c r="Q96" s="455"/>
      <c r="R96" s="455"/>
      <c r="S96" s="455"/>
      <c r="T96" s="455"/>
      <c r="U96" s="323"/>
      <c r="V96" s="323"/>
      <c r="W96" s="323"/>
      <c r="X96" s="323"/>
      <c r="Y96" s="323"/>
      <c r="Z96" s="323"/>
      <c r="AA96" s="323"/>
      <c r="AB96" s="323"/>
      <c r="AC96" s="323"/>
      <c r="AD96" s="323"/>
      <c r="AE96" s="323"/>
      <c r="AF96" s="323"/>
      <c r="AG96" s="323"/>
      <c r="AH96" s="323"/>
      <c r="AI96" s="323"/>
      <c r="AJ96" s="323"/>
      <c r="AK96" s="323"/>
      <c r="AL96" s="323"/>
      <c r="AM96" s="323"/>
    </row>
    <row r="97" spans="1:39">
      <c r="B97" s="456" t="s">
        <v>1054</v>
      </c>
      <c r="C97" s="455"/>
      <c r="D97" s="455"/>
      <c r="E97" s="455"/>
      <c r="F97" s="455"/>
      <c r="G97" s="457"/>
      <c r="H97" s="457"/>
      <c r="I97" s="457"/>
      <c r="J97" s="457"/>
      <c r="K97" s="457"/>
      <c r="L97" s="457"/>
      <c r="M97" s="457"/>
      <c r="N97" s="457"/>
      <c r="O97" s="457"/>
      <c r="P97" s="457"/>
      <c r="Q97" s="457"/>
      <c r="R97" s="455"/>
      <c r="S97" s="455"/>
      <c r="T97" s="455"/>
      <c r="U97" s="323"/>
      <c r="V97" s="323"/>
      <c r="W97" s="323"/>
      <c r="X97" s="323"/>
      <c r="Y97" s="323"/>
      <c r="Z97" s="323"/>
      <c r="AA97" s="323"/>
      <c r="AB97" s="323"/>
      <c r="AC97" s="323"/>
      <c r="AD97" s="323"/>
      <c r="AE97" s="323"/>
      <c r="AF97" s="323"/>
      <c r="AG97" s="323"/>
      <c r="AH97" s="323"/>
      <c r="AI97" s="323"/>
      <c r="AJ97" s="323"/>
      <c r="AK97" s="323"/>
      <c r="AL97" s="323"/>
      <c r="AM97" s="323"/>
    </row>
    <row r="98" spans="1:39">
      <c r="A98" s="458" t="s">
        <v>1055</v>
      </c>
      <c r="B98" s="455">
        <f>IF(SUM(B47:B49)=0,0,SUMPRODUCT(B47:B49,B91:B93)/SUM(B47:B49))</f>
        <v>0</v>
      </c>
      <c r="C98" s="455">
        <f>SUMPRODUCT(C46:C48,C90:C92)/SUM(C46:C48)</f>
        <v>10.024999999999997</v>
      </c>
      <c r="D98" s="455">
        <f>SUMPRODUCT(D45:D47,D89:D91)/SUM(D45:D47)</f>
        <v>1.5581947743467934</v>
      </c>
      <c r="E98" s="455">
        <f>SUMPRODUCT(E44:E46,E88:E90)/SUM(E44:E46)</f>
        <v>1.0243506493506491</v>
      </c>
      <c r="F98" s="455">
        <f>SUMPRODUCT(F43:F45,F87:F89)/SUM(F43:F45)</f>
        <v>1.1612903225806452</v>
      </c>
      <c r="G98" s="457">
        <f>SUMPRODUCT(G42:G44,G86:G88)/SUM(G42:G44)</f>
        <v>1.0946252838758515</v>
      </c>
      <c r="H98" s="457">
        <f>SUMPRODUCT(H41:H43,H85:H87)/SUM(H41:H43)</f>
        <v>1</v>
      </c>
      <c r="I98" s="457">
        <f>SUMPRODUCT(I40:I42,I84:I86)/SUM(I40:I42)</f>
        <v>1.0000000000000002</v>
      </c>
      <c r="J98" s="457">
        <f>SUMPRODUCT(J39:J41,J83:J85)/SUM(J39:J41)</f>
        <v>1.0149256392843149</v>
      </c>
      <c r="K98" s="457">
        <f>SUMPRODUCT(K38:K40,K82:K84)/SUM(K38:K40)</f>
        <v>0.99999999999999989</v>
      </c>
      <c r="L98" s="457">
        <f>SUMPRODUCT(L37:L39,L81:L83)/SUM(L37:L39)</f>
        <v>1</v>
      </c>
      <c r="M98" s="457">
        <f>SUMPRODUCT(M36:M38,M80:M82)/SUM(M36:M38)</f>
        <v>1</v>
      </c>
      <c r="N98" s="457">
        <f>SUMPRODUCT(N35:N37,N79:N81)/SUM(N35:N37)</f>
        <v>1</v>
      </c>
      <c r="O98" s="457">
        <f>SUMPRODUCT(O34:O36,O78:O80)/SUM(O34:O36)</f>
        <v>1</v>
      </c>
      <c r="P98" s="457">
        <f>SUMPRODUCT(P33:P35,P77:P79)/SUM(P33:P35)</f>
        <v>1</v>
      </c>
      <c r="Q98" s="457">
        <f>SUMPRODUCT(Q32:Q34,Q76:Q78)/SUM(Q32:Q34)</f>
        <v>1.0000000000000002</v>
      </c>
      <c r="R98" s="455">
        <v>1</v>
      </c>
      <c r="S98" s="455">
        <v>1</v>
      </c>
      <c r="T98" s="455">
        <v>1</v>
      </c>
      <c r="U98" s="323"/>
      <c r="V98" s="323"/>
      <c r="W98" s="323"/>
      <c r="X98" s="323"/>
      <c r="Y98" s="323"/>
      <c r="Z98" s="323"/>
      <c r="AA98" s="323"/>
      <c r="AB98" s="323"/>
      <c r="AC98" s="323"/>
      <c r="AD98" s="323"/>
      <c r="AE98" s="323"/>
      <c r="AF98" s="323"/>
      <c r="AG98" s="323"/>
      <c r="AH98" s="323"/>
      <c r="AI98" s="323"/>
      <c r="AJ98" s="323"/>
      <c r="AK98" s="323"/>
      <c r="AL98" s="323"/>
    </row>
    <row r="99" spans="1:39">
      <c r="B99" s="456" t="s">
        <v>1056</v>
      </c>
      <c r="C99" s="457"/>
      <c r="D99" s="455"/>
      <c r="E99" s="455"/>
      <c r="F99" s="455"/>
      <c r="G99" s="455"/>
      <c r="H99" s="455"/>
      <c r="I99" s="455"/>
      <c r="J99" s="455"/>
      <c r="K99" s="455"/>
      <c r="L99" s="455"/>
      <c r="M99" s="455"/>
      <c r="N99" s="455"/>
      <c r="O99" s="455"/>
      <c r="P99" s="455"/>
      <c r="Q99" s="455"/>
      <c r="R99" s="455"/>
      <c r="S99" s="455"/>
      <c r="T99" s="455"/>
      <c r="U99" s="323"/>
      <c r="V99" s="323"/>
      <c r="W99" s="323"/>
      <c r="X99" s="323"/>
      <c r="Y99" s="323"/>
      <c r="Z99" s="323"/>
      <c r="AA99" s="323"/>
      <c r="AB99" s="323"/>
      <c r="AC99" s="323"/>
      <c r="AD99" s="323"/>
      <c r="AE99" s="323"/>
      <c r="AF99" s="323"/>
      <c r="AG99" s="323"/>
      <c r="AH99" s="323"/>
      <c r="AI99" s="323"/>
      <c r="AJ99" s="323"/>
      <c r="AK99" s="323"/>
      <c r="AL99" s="323"/>
      <c r="AM99" s="323"/>
    </row>
    <row r="100" spans="1:39">
      <c r="A100" s="458" t="s">
        <v>1057</v>
      </c>
      <c r="B100" s="455">
        <f>IF(SUM(B45:B49)=0,0,SUMPRODUCT(B45:B49,B89:B93)/SUM(B45:B49))</f>
        <v>0</v>
      </c>
      <c r="C100" s="457">
        <f>SUMPRODUCT(C44:C48,C88:C92)/SUM(C44:C48)</f>
        <v>3.0030303030303029</v>
      </c>
      <c r="D100" s="457">
        <f>SUMPRODUCT(D43:D47,D87:D91)/SUM(D43:D47)</f>
        <v>1.4428044280442804</v>
      </c>
      <c r="E100" s="457">
        <f>SUMPRODUCT(E42:E46,E86:E90)/SUM(E42:E46)</f>
        <v>1.2418930762489044</v>
      </c>
      <c r="F100" s="457">
        <f>SUMPRODUCT(F41:F45,F85:F89)/SUM(F41:F45)</f>
        <v>1.1615384615384616</v>
      </c>
      <c r="G100" s="457">
        <f>SUMPRODUCT(G40:G44,G84:G88)/SUM(G40:G44)</f>
        <v>1.2403401737844333</v>
      </c>
      <c r="H100" s="457">
        <f>SUMPRODUCT(H39:H43,H83:H87)/SUM(H39:H43)</f>
        <v>1.0138852247323622</v>
      </c>
      <c r="I100" s="457">
        <f>SUMPRODUCT(I38:I42,I82:I86)/SUM(I38:I42)</f>
        <v>1</v>
      </c>
      <c r="J100" s="457">
        <f>SUMPRODUCT(J37:J41,J81:J85)/SUM(J37:J41)</f>
        <v>1.0096160701492896</v>
      </c>
      <c r="K100" s="457">
        <f>SUMPRODUCT(K36:K40,K80:K84)/SUM(K36:K40)</f>
        <v>1</v>
      </c>
      <c r="L100" s="457">
        <f>SUMPRODUCT(L35:L39,L79:L83)/SUM(L35:L39)</f>
        <v>1.0249438762783736</v>
      </c>
      <c r="M100" s="457">
        <f>SUMPRODUCT(M34:M38,M78:M82)/SUM(M34:M38)</f>
        <v>1</v>
      </c>
      <c r="N100" s="457">
        <f>SUMPRODUCT(N33:N37,N77:N81)/SUM(N33:N37)</f>
        <v>1</v>
      </c>
      <c r="O100" s="457">
        <f>SUMPRODUCT(O32:O36,O76:O80)/SUM(O32:O36)</f>
        <v>1</v>
      </c>
      <c r="P100" s="457">
        <f>SUMPRODUCT(P31:P35,P75:P79)/SUM(P31:P35)</f>
        <v>1</v>
      </c>
      <c r="Q100" s="457">
        <f>SUMPRODUCT(Q30:Q34,Q74:Q78)/SUM(Q30:Q34)</f>
        <v>1</v>
      </c>
      <c r="R100" s="455">
        <v>1</v>
      </c>
      <c r="S100" s="455">
        <v>1</v>
      </c>
      <c r="T100" s="455">
        <v>1</v>
      </c>
      <c r="U100" s="323"/>
      <c r="V100" s="323"/>
      <c r="W100" s="323"/>
      <c r="X100" s="323"/>
      <c r="Y100" s="323"/>
      <c r="Z100" s="323"/>
      <c r="AA100" s="323"/>
      <c r="AB100" s="323"/>
      <c r="AC100" s="323"/>
      <c r="AD100" s="323"/>
      <c r="AE100" s="323"/>
      <c r="AF100" s="323"/>
      <c r="AG100" s="323"/>
      <c r="AH100" s="323"/>
      <c r="AI100" s="323"/>
      <c r="AJ100" s="323"/>
      <c r="AK100" s="323"/>
      <c r="AL100" s="323"/>
    </row>
    <row r="101" spans="1:39">
      <c r="B101" s="456" t="s">
        <v>1058</v>
      </c>
      <c r="C101" s="455"/>
      <c r="D101" s="455"/>
      <c r="E101" s="455"/>
      <c r="F101" s="455"/>
      <c r="G101" s="455"/>
      <c r="H101" s="455"/>
      <c r="I101" s="455"/>
      <c r="J101" s="455"/>
      <c r="K101" s="455"/>
      <c r="L101" s="455"/>
      <c r="M101" s="455"/>
      <c r="N101" s="455"/>
      <c r="O101" s="455"/>
      <c r="P101" s="455"/>
      <c r="Q101" s="455"/>
      <c r="R101" s="455"/>
      <c r="S101" s="455"/>
      <c r="T101" s="455"/>
      <c r="U101" s="323"/>
      <c r="V101" s="323"/>
      <c r="W101" s="323"/>
      <c r="X101" s="323"/>
      <c r="Y101" s="323"/>
      <c r="Z101" s="323"/>
      <c r="AA101" s="323"/>
      <c r="AB101" s="323"/>
      <c r="AC101" s="323"/>
      <c r="AD101" s="323"/>
      <c r="AE101" s="323"/>
      <c r="AF101" s="323"/>
      <c r="AG101" s="323"/>
      <c r="AH101" s="323"/>
      <c r="AI101" s="323"/>
      <c r="AJ101" s="323"/>
      <c r="AK101" s="323"/>
      <c r="AL101" s="323"/>
      <c r="AM101" s="323"/>
    </row>
    <row r="102" spans="1:39">
      <c r="A102" s="458" t="s">
        <v>1059</v>
      </c>
      <c r="B102" s="455">
        <f>IF(SUM(B43:B49)=0,0,SUMPRODUCT(B43:B49,B87:B93)/SUM(B43:B49))</f>
        <v>0</v>
      </c>
      <c r="C102" s="455">
        <f>SUMPRODUCT(C42:C48,C86:C92)/SUM(C42:C48)</f>
        <v>3.9795454545454545</v>
      </c>
      <c r="D102" s="455">
        <f>SUMPRODUCT(D41:D47,D85:D91)/SUM(D41:D47)</f>
        <v>1.49284140969163</v>
      </c>
      <c r="E102" s="455">
        <f>SUMPRODUCT(E40:E46,E84:E90)/SUM(E40:E46)</f>
        <v>1.4743008314436885</v>
      </c>
      <c r="F102" s="455">
        <f>SUMPRODUCT(F39:F45,F83:F89)/SUM(F39:F45)</f>
        <v>1.5876446290421964</v>
      </c>
      <c r="G102" s="455">
        <f>SUMPRODUCT(G38:G44,G82:G88)/SUM(G38:G44)</f>
        <v>1.1627604166666667</v>
      </c>
      <c r="H102" s="455">
        <f>SUMPRODUCT(H37:H43,H81:H87)/SUM(H37:H43)</f>
        <v>1.0395080738294467</v>
      </c>
      <c r="I102" s="455">
        <f>SUMPRODUCT(I36:I42,I80:I86)/SUM(I36:I42)</f>
        <v>1</v>
      </c>
      <c r="J102" s="455">
        <f>SUMPRODUCT(J35:J41,J79:J85)/SUM(J35:J41)</f>
        <v>1.0077433778577929</v>
      </c>
      <c r="K102" s="455">
        <f>SUMPRODUCT(K34:K40,K78:K84)/SUM(K34:K40)</f>
        <v>1</v>
      </c>
      <c r="L102" s="455">
        <f>SUMPRODUCT(L33:L39,L77:L83)/SUM(L33:L39)</f>
        <v>1.0186428038777031</v>
      </c>
      <c r="M102" s="455">
        <f>SUMPRODUCT(M32:M38,M76:M82)/SUM(M32:M38)</f>
        <v>1</v>
      </c>
      <c r="N102" s="455">
        <f>SUMPRODUCT(N31:N37,N75:N81)/SUM(N31:N37)</f>
        <v>1</v>
      </c>
      <c r="O102" s="455">
        <f>SUMPRODUCT(O30:O36,O74:O80)/SUM(O30:O36)</f>
        <v>1</v>
      </c>
      <c r="P102" s="455">
        <f>SUMPRODUCT(P29:P35,P73:P79)/SUM(P29:P35)</f>
        <v>1</v>
      </c>
      <c r="Q102" s="455">
        <f>SUMPRODUCT(Q28:Q34,Q72:Q78)/SUM(Q28:Q34)</f>
        <v>1</v>
      </c>
      <c r="R102" s="455">
        <v>1</v>
      </c>
      <c r="S102" s="455">
        <v>1</v>
      </c>
      <c r="T102" s="455">
        <v>1</v>
      </c>
      <c r="U102" s="323"/>
      <c r="V102" s="323"/>
      <c r="W102" s="323"/>
      <c r="X102" s="323"/>
      <c r="Y102" s="323"/>
      <c r="Z102" s="323"/>
      <c r="AA102" s="323"/>
      <c r="AB102" s="323"/>
      <c r="AC102" s="323"/>
      <c r="AD102" s="323"/>
      <c r="AE102" s="323"/>
      <c r="AF102" s="323"/>
      <c r="AG102" s="323"/>
      <c r="AH102" s="323"/>
      <c r="AI102" s="323"/>
      <c r="AJ102" s="323"/>
      <c r="AK102" s="323"/>
      <c r="AL102" s="323"/>
    </row>
    <row r="103" spans="1:39">
      <c r="B103" s="456" t="s">
        <v>1060</v>
      </c>
      <c r="C103" s="455"/>
      <c r="D103" s="455"/>
      <c r="E103" s="455"/>
      <c r="F103" s="455"/>
      <c r="G103" s="455"/>
      <c r="H103" s="455"/>
      <c r="I103" s="455"/>
      <c r="J103" s="455"/>
      <c r="K103" s="455"/>
      <c r="L103" s="455"/>
      <c r="M103" s="455"/>
      <c r="N103" s="455"/>
      <c r="O103" s="455"/>
      <c r="P103" s="455"/>
      <c r="Q103" s="455"/>
      <c r="R103" s="455"/>
      <c r="S103" s="455"/>
      <c r="T103" s="455"/>
      <c r="U103" s="323"/>
      <c r="V103" s="323"/>
      <c r="W103" s="323"/>
      <c r="X103" s="323"/>
      <c r="Y103" s="323"/>
      <c r="Z103" s="323"/>
      <c r="AA103" s="323"/>
      <c r="AB103" s="323"/>
      <c r="AC103" s="323"/>
      <c r="AD103" s="323"/>
      <c r="AE103" s="323"/>
      <c r="AF103" s="323"/>
      <c r="AG103" s="323"/>
      <c r="AH103" s="323"/>
      <c r="AI103" s="323"/>
      <c r="AJ103" s="323"/>
      <c r="AK103" s="323"/>
      <c r="AL103" s="323"/>
      <c r="AM103" s="323"/>
    </row>
    <row r="104" spans="1:39">
      <c r="A104" s="458" t="s">
        <v>1061</v>
      </c>
      <c r="B104" s="455">
        <v>25</v>
      </c>
      <c r="C104" s="455">
        <v>10</v>
      </c>
      <c r="D104" s="455">
        <v>1.4</v>
      </c>
      <c r="E104" s="455">
        <v>1.875</v>
      </c>
      <c r="F104" s="455">
        <v>1.4</v>
      </c>
      <c r="G104" s="455">
        <v>1.1000000000000001</v>
      </c>
      <c r="H104" s="455">
        <v>1.0549999999999999</v>
      </c>
      <c r="I104" s="455">
        <v>1</v>
      </c>
      <c r="J104" s="455">
        <v>1</v>
      </c>
      <c r="K104" s="455">
        <v>1</v>
      </c>
      <c r="L104" s="455">
        <v>1</v>
      </c>
      <c r="M104" s="455">
        <v>1</v>
      </c>
      <c r="N104" s="455">
        <v>1</v>
      </c>
      <c r="O104" s="455">
        <v>1</v>
      </c>
      <c r="P104" s="455">
        <v>1</v>
      </c>
      <c r="Q104" s="455">
        <v>1</v>
      </c>
      <c r="R104" s="455">
        <v>1</v>
      </c>
      <c r="S104" s="455">
        <v>1</v>
      </c>
      <c r="T104" s="455">
        <v>1</v>
      </c>
      <c r="U104" s="323"/>
      <c r="V104" s="323"/>
      <c r="W104" s="323"/>
      <c r="X104" s="323"/>
      <c r="Y104" s="323"/>
      <c r="Z104" s="323"/>
      <c r="AA104" s="323"/>
      <c r="AB104" s="323"/>
      <c r="AC104" s="323"/>
      <c r="AD104" s="323"/>
      <c r="AE104" s="323"/>
      <c r="AF104" s="323"/>
      <c r="AG104" s="323"/>
      <c r="AH104" s="323"/>
      <c r="AI104" s="323"/>
      <c r="AJ104" s="323"/>
      <c r="AK104" s="323"/>
      <c r="AL104" s="323"/>
    </row>
    <row r="105" spans="1:39">
      <c r="B105" s="455"/>
      <c r="C105" s="455"/>
      <c r="D105" s="455"/>
      <c r="E105" s="455"/>
      <c r="F105" s="455"/>
      <c r="G105" s="455"/>
      <c r="H105" s="455"/>
      <c r="I105" s="455"/>
      <c r="J105" s="455"/>
      <c r="K105" s="455"/>
      <c r="L105" s="455"/>
      <c r="M105" s="455"/>
      <c r="N105" s="455"/>
      <c r="O105" s="455"/>
      <c r="P105" s="455"/>
      <c r="Q105" s="455"/>
      <c r="R105" s="455"/>
      <c r="S105" s="455"/>
      <c r="T105" s="455"/>
      <c r="U105" s="323"/>
      <c r="V105" s="323"/>
      <c r="W105" s="323"/>
      <c r="X105" s="323"/>
      <c r="Y105" s="323"/>
      <c r="Z105" s="323"/>
      <c r="AA105" s="323"/>
      <c r="AB105" s="323"/>
      <c r="AC105" s="323"/>
      <c r="AD105" s="323"/>
      <c r="AE105" s="323"/>
      <c r="AF105" s="323"/>
      <c r="AG105" s="323"/>
      <c r="AH105" s="323"/>
      <c r="AI105" s="323"/>
      <c r="AJ105" s="323"/>
      <c r="AK105" s="323"/>
      <c r="AL105" s="323"/>
      <c r="AM105" s="323"/>
    </row>
    <row r="106" spans="1:39">
      <c r="B106" s="455"/>
      <c r="C106" s="455"/>
      <c r="D106" s="455"/>
      <c r="E106" s="455"/>
      <c r="F106" s="455"/>
      <c r="G106" s="455"/>
      <c r="H106" s="455"/>
      <c r="I106" s="455"/>
      <c r="J106" s="455"/>
      <c r="K106" s="455"/>
      <c r="L106" s="455"/>
      <c r="M106" s="455"/>
      <c r="N106" s="455"/>
      <c r="O106" s="455"/>
      <c r="P106" s="455"/>
      <c r="Q106" s="455"/>
      <c r="R106" s="455"/>
      <c r="S106" s="455"/>
      <c r="T106" s="455"/>
      <c r="U106" s="323"/>
      <c r="V106" s="323"/>
      <c r="W106" s="323"/>
      <c r="X106" s="323"/>
      <c r="Y106" s="323"/>
      <c r="Z106" s="323"/>
      <c r="AA106" s="323"/>
      <c r="AB106" s="323"/>
      <c r="AC106" s="323"/>
      <c r="AD106" s="323"/>
      <c r="AE106" s="323"/>
      <c r="AF106" s="323"/>
      <c r="AG106" s="323"/>
      <c r="AH106" s="323"/>
      <c r="AI106" s="323"/>
      <c r="AJ106" s="323"/>
      <c r="AK106" s="323"/>
      <c r="AL106" s="323"/>
      <c r="AM106" s="323"/>
    </row>
    <row r="107" spans="1:39">
      <c r="A107" s="446" t="s">
        <v>1062</v>
      </c>
      <c r="B107" s="455">
        <f>B104</f>
        <v>25</v>
      </c>
      <c r="C107" s="455">
        <v>7.5</v>
      </c>
      <c r="D107" s="455">
        <v>1.6</v>
      </c>
      <c r="E107" s="455">
        <v>1.5</v>
      </c>
      <c r="F107" s="455">
        <v>1.4</v>
      </c>
      <c r="G107" s="455">
        <v>1.1499999999999999</v>
      </c>
      <c r="H107" s="455">
        <v>1.05</v>
      </c>
      <c r="I107" s="455">
        <f t="shared" ref="I107:R107" si="10">I104</f>
        <v>1</v>
      </c>
      <c r="J107" s="455">
        <f t="shared" si="10"/>
        <v>1</v>
      </c>
      <c r="K107" s="455">
        <f t="shared" si="10"/>
        <v>1</v>
      </c>
      <c r="L107" s="455">
        <f t="shared" si="10"/>
        <v>1</v>
      </c>
      <c r="M107" s="455">
        <f t="shared" si="10"/>
        <v>1</v>
      </c>
      <c r="N107" s="455">
        <f t="shared" si="10"/>
        <v>1</v>
      </c>
      <c r="O107" s="455">
        <f t="shared" si="10"/>
        <v>1</v>
      </c>
      <c r="P107" s="455">
        <f t="shared" si="10"/>
        <v>1</v>
      </c>
      <c r="Q107" s="455">
        <f t="shared" si="10"/>
        <v>1</v>
      </c>
      <c r="R107" s="455">
        <f t="shared" si="10"/>
        <v>1</v>
      </c>
      <c r="S107" s="455">
        <v>1</v>
      </c>
      <c r="T107" s="455">
        <v>1</v>
      </c>
      <c r="U107" s="323"/>
      <c r="V107" s="323"/>
      <c r="W107" s="323"/>
      <c r="X107" s="323"/>
      <c r="Y107" s="323"/>
      <c r="Z107" s="323"/>
      <c r="AA107" s="323"/>
      <c r="AB107" s="323"/>
      <c r="AC107" s="323"/>
      <c r="AD107" s="323"/>
      <c r="AE107" s="323"/>
      <c r="AF107" s="323"/>
      <c r="AG107" s="323"/>
      <c r="AH107" s="323"/>
      <c r="AI107" s="323"/>
      <c r="AJ107" s="323"/>
      <c r="AK107" s="323"/>
      <c r="AL107" s="323"/>
      <c r="AM107" s="323"/>
    </row>
    <row r="108" spans="1:39">
      <c r="A108" s="444" t="s">
        <v>780</v>
      </c>
      <c r="B108" s="455">
        <f t="shared" ref="B108:O108" si="11">C108*B107</f>
        <v>760.72499999999991</v>
      </c>
      <c r="C108" s="455">
        <f t="shared" si="11"/>
        <v>30.428999999999998</v>
      </c>
      <c r="D108" s="455">
        <f t="shared" si="11"/>
        <v>4.0571999999999999</v>
      </c>
      <c r="E108" s="455">
        <f t="shared" si="11"/>
        <v>2.5357499999999997</v>
      </c>
      <c r="F108" s="455">
        <f t="shared" si="11"/>
        <v>1.6904999999999999</v>
      </c>
      <c r="G108" s="455">
        <f t="shared" si="11"/>
        <v>1.2075</v>
      </c>
      <c r="H108" s="455">
        <f t="shared" si="11"/>
        <v>1.05</v>
      </c>
      <c r="I108" s="455">
        <f t="shared" si="11"/>
        <v>1</v>
      </c>
      <c r="J108" s="455">
        <f t="shared" si="11"/>
        <v>1</v>
      </c>
      <c r="K108" s="455">
        <f t="shared" si="11"/>
        <v>1</v>
      </c>
      <c r="L108" s="455">
        <f t="shared" si="11"/>
        <v>1</v>
      </c>
      <c r="M108" s="455">
        <f t="shared" si="11"/>
        <v>1</v>
      </c>
      <c r="N108" s="455">
        <f t="shared" si="11"/>
        <v>1</v>
      </c>
      <c r="O108" s="455">
        <f t="shared" si="11"/>
        <v>1</v>
      </c>
      <c r="P108" s="455">
        <f>Q108*P107</f>
        <v>1</v>
      </c>
      <c r="Q108" s="455">
        <f>Q107</f>
        <v>1</v>
      </c>
      <c r="R108" s="455">
        <v>1</v>
      </c>
      <c r="S108" s="455">
        <v>1</v>
      </c>
      <c r="T108" s="455">
        <v>1</v>
      </c>
      <c r="U108" s="323">
        <v>1</v>
      </c>
      <c r="V108" s="323"/>
      <c r="W108" s="323"/>
      <c r="X108" s="323"/>
      <c r="Y108" s="323"/>
      <c r="Z108" s="323"/>
      <c r="AA108" s="323"/>
      <c r="AB108" s="323"/>
      <c r="AC108" s="323"/>
      <c r="AD108" s="323"/>
      <c r="AE108" s="323"/>
      <c r="AF108" s="323"/>
      <c r="AG108" s="323"/>
      <c r="AH108" s="323"/>
      <c r="AI108" s="323"/>
      <c r="AJ108" s="323"/>
      <c r="AK108" s="323"/>
      <c r="AL108" s="323"/>
      <c r="AM108" s="323"/>
    </row>
    <row r="110" spans="1:39">
      <c r="B110" s="455"/>
      <c r="C110" s="455"/>
      <c r="D110" s="455"/>
      <c r="E110" s="455"/>
      <c r="F110" s="455"/>
      <c r="G110" s="455"/>
      <c r="H110" s="455"/>
      <c r="I110" s="455"/>
      <c r="J110" s="455"/>
      <c r="K110" s="455"/>
      <c r="L110" s="455"/>
      <c r="M110" s="455"/>
      <c r="N110" s="455"/>
      <c r="O110" s="455"/>
      <c r="P110" s="455"/>
      <c r="Q110" s="455"/>
      <c r="R110" s="455"/>
      <c r="S110" s="455"/>
      <c r="T110" s="455"/>
      <c r="U110" s="455"/>
    </row>
    <row r="111" spans="1:39">
      <c r="B111" s="455"/>
      <c r="C111" s="455"/>
      <c r="D111" s="455"/>
      <c r="E111" s="455"/>
      <c r="F111" s="455"/>
      <c r="G111" s="455"/>
      <c r="H111" s="455"/>
      <c r="I111" s="455"/>
      <c r="J111" s="455"/>
      <c r="K111" s="455"/>
      <c r="L111" s="455"/>
      <c r="M111" s="455"/>
      <c r="N111" s="455"/>
      <c r="O111" s="455"/>
      <c r="P111" s="455"/>
      <c r="Q111" s="455"/>
      <c r="R111" s="455"/>
      <c r="S111" s="455"/>
      <c r="T111" s="455"/>
      <c r="U111" s="455"/>
    </row>
    <row r="112" spans="1:39">
      <c r="B112" s="455"/>
    </row>
    <row r="113" spans="2:18">
      <c r="B113" s="455"/>
      <c r="D113" s="455"/>
    </row>
    <row r="114" spans="2:18">
      <c r="B114" s="6" t="s">
        <v>122</v>
      </c>
      <c r="C114" s="444" t="s">
        <v>1592</v>
      </c>
      <c r="D114" s="455"/>
    </row>
    <row r="115" spans="2:18">
      <c r="B115" s="6" t="s">
        <v>123</v>
      </c>
      <c r="C115" s="6" t="s">
        <v>302</v>
      </c>
      <c r="D115" s="455"/>
      <c r="E115" s="455"/>
      <c r="F115" s="455"/>
      <c r="G115" s="455"/>
      <c r="H115" s="455"/>
      <c r="I115" s="455"/>
      <c r="J115" s="455"/>
      <c r="K115" s="455"/>
      <c r="L115" s="455"/>
      <c r="M115" s="455"/>
      <c r="N115" s="455"/>
      <c r="O115" s="455"/>
      <c r="P115" s="455"/>
      <c r="Q115" s="455"/>
      <c r="R115" s="455"/>
    </row>
    <row r="116" spans="2:18">
      <c r="B116" s="106" t="s">
        <v>27</v>
      </c>
      <c r="C116" s="118" t="s">
        <v>33</v>
      </c>
      <c r="D116" s="455"/>
    </row>
    <row r="117" spans="2:18">
      <c r="B117" s="1"/>
      <c r="D117" s="455"/>
    </row>
    <row r="118" spans="2:18">
      <c r="B118" s="6">
        <v>239</v>
      </c>
      <c r="C118" s="455">
        <f>U108</f>
        <v>1</v>
      </c>
      <c r="D118" s="455"/>
    </row>
    <row r="119" spans="2:18">
      <c r="B119" s="6">
        <v>227</v>
      </c>
      <c r="C119" s="455">
        <f>T108</f>
        <v>1</v>
      </c>
      <c r="D119" s="455"/>
    </row>
    <row r="120" spans="2:18">
      <c r="B120" s="6">
        <v>215</v>
      </c>
      <c r="C120" s="455">
        <f>S108</f>
        <v>1</v>
      </c>
      <c r="D120" s="455"/>
    </row>
    <row r="121" spans="2:18">
      <c r="B121" s="6">
        <v>203</v>
      </c>
      <c r="C121" s="455">
        <f>R108</f>
        <v>1</v>
      </c>
      <c r="D121" s="455"/>
    </row>
    <row r="122" spans="2:18">
      <c r="B122" s="6">
        <v>191</v>
      </c>
      <c r="C122" s="455">
        <f>Q108</f>
        <v>1</v>
      </c>
      <c r="D122" s="455"/>
    </row>
    <row r="123" spans="2:18">
      <c r="B123" s="6">
        <v>179</v>
      </c>
      <c r="C123" s="455">
        <f>P108</f>
        <v>1</v>
      </c>
      <c r="D123" s="455"/>
    </row>
    <row r="124" spans="2:18">
      <c r="B124" s="6">
        <v>167</v>
      </c>
      <c r="C124" s="455">
        <f>O108</f>
        <v>1</v>
      </c>
      <c r="D124" s="455"/>
    </row>
    <row r="125" spans="2:18">
      <c r="B125" s="6">
        <v>155</v>
      </c>
      <c r="C125" s="455">
        <f>N108</f>
        <v>1</v>
      </c>
      <c r="D125" s="455"/>
    </row>
    <row r="126" spans="2:18">
      <c r="B126" s="6">
        <v>143</v>
      </c>
      <c r="C126" s="455">
        <f>M108</f>
        <v>1</v>
      </c>
      <c r="D126" s="455"/>
    </row>
    <row r="127" spans="2:18">
      <c r="B127" s="6">
        <v>131</v>
      </c>
      <c r="C127" s="455">
        <f>L108</f>
        <v>1</v>
      </c>
      <c r="D127" s="455"/>
    </row>
    <row r="128" spans="2:18">
      <c r="B128" s="6">
        <v>119</v>
      </c>
      <c r="C128" s="455">
        <f>K108</f>
        <v>1</v>
      </c>
      <c r="D128" s="455"/>
    </row>
    <row r="129" spans="2:4">
      <c r="B129" s="6">
        <v>107</v>
      </c>
      <c r="C129" s="455">
        <f>J108</f>
        <v>1</v>
      </c>
      <c r="D129" s="455"/>
    </row>
    <row r="130" spans="2:4">
      <c r="B130" s="6">
        <v>95</v>
      </c>
      <c r="C130" s="455">
        <f>I108</f>
        <v>1</v>
      </c>
      <c r="D130" s="455"/>
    </row>
    <row r="131" spans="2:4">
      <c r="B131" s="6">
        <v>83</v>
      </c>
      <c r="C131" s="455">
        <f>H108</f>
        <v>1.05</v>
      </c>
      <c r="D131" s="455"/>
    </row>
    <row r="132" spans="2:4">
      <c r="B132" s="6">
        <v>71</v>
      </c>
      <c r="C132" s="455">
        <f>G108</f>
        <v>1.2075</v>
      </c>
      <c r="D132" s="455"/>
    </row>
    <row r="133" spans="2:4">
      <c r="B133" s="6">
        <v>59</v>
      </c>
      <c r="C133" s="455">
        <f>F108</f>
        <v>1.6904999999999999</v>
      </c>
    </row>
    <row r="134" spans="2:4">
      <c r="B134" s="6">
        <v>47</v>
      </c>
      <c r="C134" s="455">
        <f>E108</f>
        <v>2.5357499999999997</v>
      </c>
    </row>
    <row r="135" spans="2:4">
      <c r="B135" s="6">
        <v>35</v>
      </c>
      <c r="C135" s="455">
        <f>D108</f>
        <v>4.0571999999999999</v>
      </c>
    </row>
    <row r="136" spans="2:4">
      <c r="B136" s="6">
        <v>23</v>
      </c>
      <c r="C136" s="455">
        <f>C108</f>
        <v>30.428999999999998</v>
      </c>
    </row>
    <row r="137" spans="2:4">
      <c r="B137" s="6">
        <v>11</v>
      </c>
      <c r="C137" s="455">
        <f>B108</f>
        <v>760.72499999999991</v>
      </c>
    </row>
  </sheetData>
  <printOptions horizontalCentered="1"/>
  <pageMargins left="0.7" right="0.7" top="0.75" bottom="0.75" header="0.3" footer="0.3"/>
  <pageSetup scale="36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121">
    <tabColor rgb="FF92D050"/>
    <pageSetUpPr fitToPage="1"/>
  </sheetPr>
  <dimension ref="A1:S70"/>
  <sheetViews>
    <sheetView zoomScaleNormal="100" workbookViewId="0"/>
  </sheetViews>
  <sheetFormatPr baseColWidth="10" defaultColWidth="7.42578125" defaultRowHeight="14"/>
  <cols>
    <col min="1" max="1" width="11.7109375" style="444" customWidth="1"/>
    <col min="2" max="16" width="9.140625" style="444" customWidth="1"/>
    <col min="17" max="16384" width="7.42578125" style="444"/>
  </cols>
  <sheetData>
    <row r="1" spans="1:19">
      <c r="A1" s="443" t="s">
        <v>1026</v>
      </c>
      <c r="P1" s="549" t="s">
        <v>1063</v>
      </c>
    </row>
    <row r="2" spans="1:19">
      <c r="A2" s="445" t="s">
        <v>1027</v>
      </c>
      <c r="P2" s="549" t="s">
        <v>98</v>
      </c>
    </row>
    <row r="3" spans="1:19">
      <c r="A3" s="445" t="s">
        <v>1069</v>
      </c>
    </row>
    <row r="4" spans="1:19">
      <c r="A4" s="445" t="s">
        <v>1070</v>
      </c>
    </row>
    <row r="5" spans="1:19">
      <c r="A5" s="445" t="s">
        <v>59</v>
      </c>
    </row>
    <row r="6" spans="1:19">
      <c r="A6" s="445" t="s">
        <v>261</v>
      </c>
    </row>
    <row r="7" spans="1:19">
      <c r="A7" s="445" t="str">
        <f>'Exhibit R,S1'!A7</f>
        <v>Data Evaluated as of 11/30/2022</v>
      </c>
    </row>
    <row r="9" spans="1:19">
      <c r="B9" s="446" t="s">
        <v>1030</v>
      </c>
    </row>
    <row r="10" spans="1:19" ht="15">
      <c r="A10" s="460" t="s">
        <v>170</v>
      </c>
      <c r="B10" s="461">
        <v>11</v>
      </c>
      <c r="C10" s="461">
        <v>23</v>
      </c>
      <c r="D10" s="461">
        <v>35</v>
      </c>
      <c r="E10" s="461">
        <v>47</v>
      </c>
      <c r="F10" s="461">
        <v>59</v>
      </c>
      <c r="G10" s="461">
        <v>71</v>
      </c>
      <c r="H10" s="461">
        <v>83</v>
      </c>
      <c r="I10" s="461">
        <v>95</v>
      </c>
      <c r="J10" s="461">
        <v>107</v>
      </c>
      <c r="K10" s="461">
        <v>119</v>
      </c>
      <c r="L10" s="461">
        <v>131</v>
      </c>
      <c r="M10" s="461">
        <v>143</v>
      </c>
      <c r="N10" s="461">
        <v>155</v>
      </c>
      <c r="O10" s="461">
        <v>167</v>
      </c>
      <c r="P10" s="461">
        <v>179</v>
      </c>
    </row>
    <row r="11" spans="1:19">
      <c r="A11" s="449"/>
      <c r="B11" s="449"/>
      <c r="C11" s="449"/>
      <c r="D11" s="449"/>
      <c r="E11" s="449"/>
      <c r="F11" s="449"/>
      <c r="G11" s="449"/>
      <c r="H11" s="449"/>
      <c r="I11" s="449"/>
      <c r="J11" s="449"/>
      <c r="K11" s="449"/>
      <c r="L11" s="449"/>
      <c r="M11" s="449"/>
      <c r="N11" s="449"/>
      <c r="O11" s="449"/>
      <c r="P11" s="449"/>
    </row>
    <row r="12" spans="1:19">
      <c r="A12" s="449"/>
    </row>
    <row r="13" spans="1:19">
      <c r="A13" s="449">
        <v>2006</v>
      </c>
      <c r="B13" s="450"/>
      <c r="C13" s="450"/>
      <c r="D13" s="450"/>
      <c r="E13" s="450"/>
      <c r="F13" s="450">
        <v>675254.83999999985</v>
      </c>
      <c r="G13" s="450">
        <v>675254.83999999985</v>
      </c>
      <c r="H13" s="450">
        <v>775254.83999999985</v>
      </c>
      <c r="I13" s="450">
        <v>474648.87000000104</v>
      </c>
      <c r="J13" s="450">
        <v>474648.87000000104</v>
      </c>
      <c r="K13" s="450">
        <v>474648.87000000104</v>
      </c>
      <c r="L13" s="450">
        <v>474648.87000000104</v>
      </c>
      <c r="M13" s="450">
        <v>474648.87000000104</v>
      </c>
      <c r="N13" s="450">
        <v>474648.87000000104</v>
      </c>
      <c r="O13" s="450">
        <v>474648.87000000104</v>
      </c>
      <c r="P13" s="462">
        <v>474648.87</v>
      </c>
      <c r="S13" s="462"/>
    </row>
    <row r="14" spans="1:19">
      <c r="A14" s="449">
        <f>A13+1</f>
        <v>2007</v>
      </c>
      <c r="B14" s="450"/>
      <c r="C14" s="450"/>
      <c r="D14" s="450"/>
      <c r="E14" s="450">
        <v>1236924.9299999997</v>
      </c>
      <c r="F14" s="450">
        <v>1286924.9299999997</v>
      </c>
      <c r="G14" s="450">
        <v>641490.25</v>
      </c>
      <c r="H14" s="450">
        <v>641790.40999999642</v>
      </c>
      <c r="I14" s="450">
        <v>641790.41000000015</v>
      </c>
      <c r="J14" s="450">
        <v>641790.41000000015</v>
      </c>
      <c r="K14" s="450">
        <v>641790.41000000015</v>
      </c>
      <c r="L14" s="450">
        <v>641790.41000000015</v>
      </c>
      <c r="M14" s="450">
        <v>641790.41000000015</v>
      </c>
      <c r="N14" s="450">
        <v>641790.41000000015</v>
      </c>
      <c r="O14" s="462">
        <v>641790.41</v>
      </c>
      <c r="P14" s="462">
        <v>641790.41</v>
      </c>
    </row>
    <row r="15" spans="1:19">
      <c r="A15" s="449">
        <f>A14+1</f>
        <v>2008</v>
      </c>
      <c r="B15" s="450"/>
      <c r="C15" s="450"/>
      <c r="D15" s="450">
        <v>542219.39999999851</v>
      </c>
      <c r="E15" s="450">
        <v>253914.95000000112</v>
      </c>
      <c r="F15" s="450">
        <v>664974.94999999925</v>
      </c>
      <c r="G15" s="450">
        <v>664974.94999999925</v>
      </c>
      <c r="H15" s="450">
        <v>814974.95000000298</v>
      </c>
      <c r="I15" s="450">
        <v>577958.05000000075</v>
      </c>
      <c r="J15" s="450">
        <v>579145.55000000075</v>
      </c>
      <c r="K15" s="450">
        <v>579145.55000000075</v>
      </c>
      <c r="L15" s="450">
        <v>579145.55000000075</v>
      </c>
      <c r="M15" s="450">
        <v>579145.55000000075</v>
      </c>
      <c r="N15" s="462">
        <v>579145.55000000005</v>
      </c>
      <c r="O15" s="462">
        <v>579145.55000000005</v>
      </c>
      <c r="P15" s="462">
        <v>579145.55000000005</v>
      </c>
    </row>
    <row r="16" spans="1:19">
      <c r="A16" s="449">
        <f t="shared" ref="A16:A29" si="0">A15+1</f>
        <v>2009</v>
      </c>
      <c r="B16" s="450"/>
      <c r="C16" s="450">
        <v>439275.90000000037</v>
      </c>
      <c r="D16" s="450">
        <v>1053264.0899999999</v>
      </c>
      <c r="E16" s="450">
        <v>1029296.6999999993</v>
      </c>
      <c r="F16" s="450">
        <v>1013149.0999999996</v>
      </c>
      <c r="G16" s="450">
        <v>1013149.0999999996</v>
      </c>
      <c r="H16" s="450">
        <v>1023960.0799999982</v>
      </c>
      <c r="I16" s="450">
        <v>513746.93000000156</v>
      </c>
      <c r="J16" s="450">
        <v>513746.93000000156</v>
      </c>
      <c r="K16" s="450">
        <v>513746.93000000156</v>
      </c>
      <c r="L16" s="450">
        <v>513746.93000000156</v>
      </c>
      <c r="M16" s="462">
        <v>513746.93</v>
      </c>
      <c r="N16" s="462">
        <v>513746.93</v>
      </c>
      <c r="O16" s="462">
        <v>513746.93</v>
      </c>
      <c r="P16" s="450"/>
    </row>
    <row r="17" spans="1:16">
      <c r="A17" s="449">
        <f t="shared" si="0"/>
        <v>2010</v>
      </c>
      <c r="B17" s="450">
        <v>1611915</v>
      </c>
      <c r="C17" s="450">
        <v>2219603.3199999984</v>
      </c>
      <c r="D17" s="450">
        <v>5758066.5899999999</v>
      </c>
      <c r="E17" s="450">
        <v>5105742.7300000004</v>
      </c>
      <c r="F17" s="450">
        <v>4714853.8600000031</v>
      </c>
      <c r="G17" s="450">
        <v>4515816.0699999984</v>
      </c>
      <c r="H17" s="450">
        <v>4349617.41</v>
      </c>
      <c r="I17" s="450">
        <v>4349617.41</v>
      </c>
      <c r="J17" s="450">
        <v>4161913.1999999993</v>
      </c>
      <c r="K17" s="450">
        <v>4161913.1999999993</v>
      </c>
      <c r="L17" s="462">
        <v>4161913.2</v>
      </c>
      <c r="M17" s="462">
        <v>4161913.2</v>
      </c>
      <c r="N17" s="462">
        <v>4161913.2</v>
      </c>
      <c r="O17" s="450"/>
      <c r="P17" s="450"/>
    </row>
    <row r="18" spans="1:16">
      <c r="A18" s="449">
        <f t="shared" si="0"/>
        <v>2011</v>
      </c>
      <c r="B18" s="450">
        <v>634128.48999999976</v>
      </c>
      <c r="C18" s="450">
        <v>1687291.29</v>
      </c>
      <c r="D18" s="450">
        <v>3258497.9399999995</v>
      </c>
      <c r="E18" s="450">
        <v>3738660.8999999985</v>
      </c>
      <c r="F18" s="450">
        <v>2657116.4700000007</v>
      </c>
      <c r="G18" s="450">
        <v>2710790.5299999993</v>
      </c>
      <c r="H18" s="450">
        <v>2468080.6300000008</v>
      </c>
      <c r="I18" s="450">
        <v>2236216.2599999998</v>
      </c>
      <c r="J18" s="450">
        <v>2261212.5299999993</v>
      </c>
      <c r="K18" s="462">
        <v>2261212.5299999998</v>
      </c>
      <c r="L18" s="462">
        <v>2261212.5299999998</v>
      </c>
      <c r="M18" s="462">
        <v>2261212.5299999998</v>
      </c>
      <c r="N18" s="450"/>
      <c r="O18" s="450"/>
      <c r="P18" s="450"/>
    </row>
    <row r="19" spans="1:16">
      <c r="A19" s="449">
        <f t="shared" si="0"/>
        <v>2012</v>
      </c>
      <c r="B19" s="450">
        <v>2800163.1300000004</v>
      </c>
      <c r="C19" s="450">
        <v>4773808.9499999993</v>
      </c>
      <c r="D19" s="450">
        <v>7166673.5600000005</v>
      </c>
      <c r="E19" s="450">
        <v>9001127.3100000005</v>
      </c>
      <c r="F19" s="450">
        <v>9636157.0099999998</v>
      </c>
      <c r="G19" s="450">
        <v>9426671.7300000004</v>
      </c>
      <c r="H19" s="450">
        <v>9170884.1600000001</v>
      </c>
      <c r="I19" s="450">
        <v>9200098.3699999973</v>
      </c>
      <c r="J19" s="462">
        <v>9200098.3699999992</v>
      </c>
      <c r="K19" s="462">
        <v>9200098.3699999992</v>
      </c>
      <c r="L19" s="462">
        <v>9259866.9900000002</v>
      </c>
      <c r="M19" s="450"/>
      <c r="N19" s="450"/>
      <c r="O19" s="450"/>
      <c r="P19" s="450"/>
    </row>
    <row r="20" spans="1:16">
      <c r="A20" s="449">
        <f t="shared" si="0"/>
        <v>2013</v>
      </c>
      <c r="B20" s="450">
        <v>1463302.1700000004</v>
      </c>
      <c r="C20" s="450">
        <v>5905692.209999999</v>
      </c>
      <c r="D20" s="450">
        <v>7815031.1400000006</v>
      </c>
      <c r="E20" s="450">
        <v>9470362.3800000008</v>
      </c>
      <c r="F20" s="450">
        <v>9228557.4400000013</v>
      </c>
      <c r="G20" s="450">
        <v>8948498.0500000007</v>
      </c>
      <c r="H20" s="450">
        <v>9686939.5</v>
      </c>
      <c r="I20" s="462">
        <v>9694139.5</v>
      </c>
      <c r="J20" s="462">
        <v>9694139.5</v>
      </c>
      <c r="K20" s="462">
        <v>9968605.0099999998</v>
      </c>
      <c r="L20" s="450"/>
      <c r="M20" s="450"/>
      <c r="N20" s="450"/>
      <c r="O20" s="450"/>
      <c r="P20" s="450"/>
    </row>
    <row r="21" spans="1:16">
      <c r="A21" s="449">
        <f t="shared" si="0"/>
        <v>2014</v>
      </c>
      <c r="B21" s="450">
        <v>2574001.1900000004</v>
      </c>
      <c r="C21" s="450">
        <v>5541309.3799999999</v>
      </c>
      <c r="D21" s="450">
        <v>5871618.0799999991</v>
      </c>
      <c r="E21" s="450">
        <v>12044225.450000003</v>
      </c>
      <c r="F21" s="450">
        <v>12300634.289999999</v>
      </c>
      <c r="G21" s="450">
        <v>11678376.339999998</v>
      </c>
      <c r="H21" s="462">
        <v>11455443.619999999</v>
      </c>
      <c r="I21" s="462">
        <v>11309911.65</v>
      </c>
      <c r="J21" s="462">
        <v>10506318.390000001</v>
      </c>
      <c r="K21" s="450"/>
      <c r="L21" s="450"/>
      <c r="M21" s="450"/>
      <c r="N21" s="450"/>
      <c r="O21" s="450"/>
      <c r="P21" s="450"/>
    </row>
    <row r="22" spans="1:16">
      <c r="A22" s="449">
        <f t="shared" si="0"/>
        <v>2015</v>
      </c>
      <c r="B22" s="450">
        <v>3880475.3799999994</v>
      </c>
      <c r="C22" s="450">
        <v>5592322.7800000003</v>
      </c>
      <c r="D22" s="450">
        <v>11716290.519999998</v>
      </c>
      <c r="E22" s="450">
        <v>14331035.109999999</v>
      </c>
      <c r="F22" s="450">
        <v>13921345.49</v>
      </c>
      <c r="G22" s="462">
        <v>13950307.779999999</v>
      </c>
      <c r="H22" s="462">
        <v>15015561.02</v>
      </c>
      <c r="I22" s="462">
        <v>13666729.189999999</v>
      </c>
      <c r="J22" s="450"/>
      <c r="K22" s="450"/>
      <c r="L22" s="450"/>
      <c r="M22" s="450"/>
      <c r="N22" s="450"/>
      <c r="O22" s="450"/>
      <c r="P22" s="450"/>
    </row>
    <row r="23" spans="1:16">
      <c r="A23" s="449">
        <f t="shared" si="0"/>
        <v>2016</v>
      </c>
      <c r="B23" s="450">
        <v>1817361.4300000002</v>
      </c>
      <c r="C23" s="450">
        <v>4273794.42</v>
      </c>
      <c r="D23" s="450">
        <v>6493326.4299999978</v>
      </c>
      <c r="E23" s="450">
        <v>8895622.2899999991</v>
      </c>
      <c r="F23" s="462">
        <v>8496858.3000000007</v>
      </c>
      <c r="G23" s="462">
        <v>9226511.6899999995</v>
      </c>
      <c r="H23" s="462">
        <v>9918675.3300000001</v>
      </c>
      <c r="I23" s="450"/>
      <c r="J23" s="450"/>
      <c r="K23" s="450"/>
      <c r="L23" s="450"/>
      <c r="M23" s="450"/>
      <c r="N23" s="450"/>
      <c r="O23" s="450"/>
      <c r="P23" s="450"/>
    </row>
    <row r="24" spans="1:16">
      <c r="A24" s="449">
        <f t="shared" si="0"/>
        <v>2017</v>
      </c>
      <c r="B24" s="450">
        <v>1771093.02</v>
      </c>
      <c r="C24" s="450">
        <v>3456190.6799999997</v>
      </c>
      <c r="D24" s="450">
        <v>5842398.8599999994</v>
      </c>
      <c r="E24" s="462">
        <v>7249916.0800000001</v>
      </c>
      <c r="F24" s="462">
        <v>9159077.5</v>
      </c>
      <c r="G24" s="462">
        <v>9455918.25</v>
      </c>
      <c r="H24" s="450"/>
      <c r="I24" s="450"/>
      <c r="J24" s="450"/>
      <c r="K24" s="450"/>
      <c r="L24" s="450"/>
      <c r="M24" s="450"/>
      <c r="N24" s="450"/>
      <c r="O24" s="450"/>
      <c r="P24" s="450"/>
    </row>
    <row r="25" spans="1:16">
      <c r="A25" s="449">
        <f t="shared" si="0"/>
        <v>2018</v>
      </c>
      <c r="B25" s="450">
        <v>1271135.0499999998</v>
      </c>
      <c r="C25" s="450">
        <v>2199152.3699999992</v>
      </c>
      <c r="D25" s="462">
        <v>4141934.91</v>
      </c>
      <c r="E25" s="462">
        <v>6383316.8399999999</v>
      </c>
      <c r="F25" s="462">
        <v>5763160.4500000002</v>
      </c>
      <c r="G25" s="450"/>
      <c r="H25" s="450"/>
      <c r="I25" s="450"/>
      <c r="J25" s="450"/>
      <c r="K25" s="450"/>
      <c r="L25" s="450"/>
      <c r="M25" s="450"/>
      <c r="N25" s="450"/>
      <c r="O25" s="450"/>
      <c r="P25" s="450"/>
    </row>
    <row r="26" spans="1:16">
      <c r="A26" s="449">
        <f t="shared" si="0"/>
        <v>2019</v>
      </c>
      <c r="B26" s="450">
        <v>1346831.44</v>
      </c>
      <c r="C26" s="462">
        <v>2563094.6800000002</v>
      </c>
      <c r="D26" s="462">
        <v>4332887.41</v>
      </c>
      <c r="E26" s="462">
        <v>5159569.7699999996</v>
      </c>
      <c r="F26" s="450"/>
      <c r="G26" s="450"/>
      <c r="H26" s="450"/>
      <c r="I26" s="450"/>
      <c r="J26" s="450"/>
      <c r="K26" s="450"/>
      <c r="L26" s="450"/>
      <c r="M26" s="450"/>
      <c r="N26" s="450"/>
      <c r="O26" s="450"/>
      <c r="P26" s="450"/>
    </row>
    <row r="27" spans="1:16">
      <c r="A27" s="449">
        <f t="shared" si="0"/>
        <v>2020</v>
      </c>
      <c r="B27" s="462">
        <v>1036700</v>
      </c>
      <c r="C27" s="462">
        <v>1654736.62</v>
      </c>
      <c r="D27" s="462">
        <v>2049895.83</v>
      </c>
      <c r="E27" s="450"/>
      <c r="F27" s="450"/>
      <c r="G27" s="450"/>
      <c r="H27" s="450"/>
      <c r="I27" s="450"/>
      <c r="J27" s="450"/>
      <c r="K27" s="450"/>
      <c r="L27" s="450"/>
      <c r="M27" s="450"/>
      <c r="N27" s="450"/>
      <c r="O27" s="450"/>
      <c r="P27" s="450"/>
    </row>
    <row r="28" spans="1:16">
      <c r="A28" s="449">
        <f t="shared" si="0"/>
        <v>2021</v>
      </c>
      <c r="B28" s="462">
        <v>1123773.8</v>
      </c>
      <c r="C28" s="462">
        <v>2149862.9700000002</v>
      </c>
      <c r="D28" s="450"/>
      <c r="E28" s="450"/>
      <c r="F28" s="450"/>
      <c r="G28" s="450"/>
      <c r="H28" s="450"/>
      <c r="I28" s="450"/>
      <c r="J28" s="450"/>
      <c r="K28" s="450"/>
      <c r="L28" s="450"/>
      <c r="M28" s="450"/>
      <c r="N28" s="450"/>
      <c r="O28" s="450"/>
      <c r="P28" s="450"/>
    </row>
    <row r="29" spans="1:16">
      <c r="A29" s="449">
        <f t="shared" si="0"/>
        <v>2022</v>
      </c>
      <c r="B29" s="462">
        <v>323700</v>
      </c>
      <c r="C29" s="450"/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450"/>
      <c r="O29" s="450"/>
      <c r="P29" s="450"/>
    </row>
    <row r="30" spans="1:16">
      <c r="A30" s="449"/>
      <c r="B30" s="462"/>
      <c r="C30" s="450"/>
      <c r="D30" s="450"/>
      <c r="E30" s="450"/>
      <c r="F30" s="450"/>
      <c r="G30" s="450"/>
      <c r="H30" s="450"/>
      <c r="I30" s="450"/>
      <c r="J30" s="450"/>
      <c r="K30" s="450"/>
      <c r="L30" s="450"/>
      <c r="M30" s="450"/>
      <c r="N30" s="450"/>
      <c r="O30" s="450"/>
      <c r="P30" s="450"/>
    </row>
    <row r="31" spans="1:16">
      <c r="A31" s="446"/>
      <c r="B31" s="452"/>
      <c r="C31" s="452"/>
      <c r="D31" s="452"/>
      <c r="E31" s="452"/>
      <c r="F31" s="452"/>
      <c r="G31" s="452"/>
      <c r="H31" s="452"/>
      <c r="I31" s="452"/>
      <c r="J31" s="452"/>
      <c r="K31" s="452"/>
      <c r="L31" s="452"/>
      <c r="M31" s="452"/>
      <c r="N31" s="452"/>
      <c r="O31" s="452"/>
      <c r="P31" s="452"/>
    </row>
    <row r="32" spans="1:16">
      <c r="B32" s="446" t="s">
        <v>1032</v>
      </c>
    </row>
    <row r="33" spans="1:16">
      <c r="A33" s="447" t="s">
        <v>170</v>
      </c>
      <c r="B33" s="453" t="s">
        <v>1033</v>
      </c>
      <c r="C33" s="453" t="s">
        <v>1034</v>
      </c>
      <c r="D33" s="453" t="s">
        <v>1035</v>
      </c>
      <c r="E33" s="453" t="s">
        <v>1036</v>
      </c>
      <c r="F33" s="453" t="s">
        <v>1037</v>
      </c>
      <c r="G33" s="453" t="s">
        <v>1038</v>
      </c>
      <c r="H33" s="453" t="s">
        <v>1039</v>
      </c>
      <c r="I33" s="453" t="s">
        <v>1040</v>
      </c>
      <c r="J33" s="453" t="s">
        <v>1041</v>
      </c>
      <c r="K33" s="453" t="s">
        <v>1042</v>
      </c>
      <c r="L33" s="453" t="s">
        <v>1043</v>
      </c>
      <c r="M33" s="453" t="s">
        <v>1044</v>
      </c>
      <c r="N33" s="453" t="s">
        <v>1045</v>
      </c>
      <c r="O33" s="453" t="s">
        <v>1046</v>
      </c>
      <c r="P33" s="453" t="s">
        <v>1071</v>
      </c>
    </row>
    <row r="34" spans="1:16">
      <c r="A34" s="449"/>
      <c r="B34" s="449"/>
      <c r="C34" s="449"/>
      <c r="D34" s="449"/>
      <c r="E34" s="449"/>
      <c r="F34" s="449"/>
      <c r="G34" s="449"/>
      <c r="H34" s="449"/>
      <c r="I34" s="449"/>
      <c r="J34" s="449"/>
      <c r="K34" s="449"/>
      <c r="L34" s="449"/>
      <c r="M34" s="449"/>
      <c r="N34" s="449"/>
      <c r="O34" s="449"/>
      <c r="P34" s="449"/>
    </row>
    <row r="36" spans="1:16">
      <c r="A36" s="449">
        <f>A13</f>
        <v>2006</v>
      </c>
      <c r="G36" s="454">
        <f t="shared" ref="G36:O41" si="1">IF(G13=0,0,H13/G13)</f>
        <v>1.1480922372951818</v>
      </c>
      <c r="H36" s="454">
        <f t="shared" si="1"/>
        <v>0.61224883162290367</v>
      </c>
      <c r="I36" s="454">
        <f t="shared" si="1"/>
        <v>1</v>
      </c>
      <c r="J36" s="454">
        <f t="shared" si="1"/>
        <v>1</v>
      </c>
      <c r="K36" s="454">
        <f t="shared" si="1"/>
        <v>1</v>
      </c>
      <c r="L36" s="454">
        <f t="shared" si="1"/>
        <v>1</v>
      </c>
      <c r="M36" s="454">
        <f t="shared" si="1"/>
        <v>1</v>
      </c>
      <c r="N36" s="454">
        <f t="shared" si="1"/>
        <v>1</v>
      </c>
      <c r="O36" s="454">
        <f t="shared" si="1"/>
        <v>0.99999999999999778</v>
      </c>
    </row>
    <row r="37" spans="1:16">
      <c r="A37" s="449">
        <f>A36+1</f>
        <v>2007</v>
      </c>
      <c r="F37" s="454">
        <f t="shared" ref="F37:F47" si="2">IF(F14=0,0,G14/F14)</f>
        <v>0.4984674980225926</v>
      </c>
      <c r="G37" s="454">
        <f t="shared" si="1"/>
        <v>1.0004679104631697</v>
      </c>
      <c r="H37" s="454">
        <f t="shared" si="1"/>
        <v>1.0000000000000058</v>
      </c>
      <c r="I37" s="454">
        <f t="shared" si="1"/>
        <v>1</v>
      </c>
      <c r="J37" s="454">
        <f t="shared" si="1"/>
        <v>1</v>
      </c>
      <c r="K37" s="454">
        <f t="shared" si="1"/>
        <v>1</v>
      </c>
      <c r="L37" s="454">
        <f t="shared" si="1"/>
        <v>1</v>
      </c>
      <c r="M37" s="454">
        <f t="shared" si="1"/>
        <v>1</v>
      </c>
      <c r="N37" s="454">
        <f t="shared" si="1"/>
        <v>0.99999999999999978</v>
      </c>
      <c r="O37" s="454">
        <f t="shared" si="1"/>
        <v>1</v>
      </c>
    </row>
    <row r="38" spans="1:16">
      <c r="A38" s="449">
        <f>A37+1</f>
        <v>2008</v>
      </c>
      <c r="B38" s="463"/>
      <c r="C38" s="463"/>
      <c r="D38" s="463"/>
      <c r="E38" s="454">
        <f t="shared" ref="E38:E48" si="3">IF(E15=0,0,F15/E15)</f>
        <v>2.6188885294071746</v>
      </c>
      <c r="F38" s="454">
        <f t="shared" si="2"/>
        <v>1</v>
      </c>
      <c r="G38" s="454">
        <f t="shared" si="1"/>
        <v>1.2255724069004463</v>
      </c>
      <c r="H38" s="454">
        <f t="shared" si="1"/>
        <v>0.70917277886884578</v>
      </c>
      <c r="I38" s="454">
        <f t="shared" si="1"/>
        <v>1.0020546473917959</v>
      </c>
      <c r="J38" s="454">
        <f t="shared" si="1"/>
        <v>1</v>
      </c>
      <c r="K38" s="454">
        <f t="shared" si="1"/>
        <v>1</v>
      </c>
      <c r="L38" s="454">
        <f t="shared" si="1"/>
        <v>1</v>
      </c>
      <c r="M38" s="454">
        <f t="shared" si="1"/>
        <v>0.99999999999999878</v>
      </c>
      <c r="N38" s="454">
        <f t="shared" si="1"/>
        <v>1</v>
      </c>
      <c r="O38" s="454">
        <f t="shared" si="1"/>
        <v>1</v>
      </c>
      <c r="P38" s="455"/>
    </row>
    <row r="39" spans="1:16">
      <c r="A39" s="449">
        <f>A38+1</f>
        <v>2009</v>
      </c>
      <c r="B39" s="463"/>
      <c r="C39" s="463"/>
      <c r="D39" s="454">
        <f t="shared" ref="D39:D49" si="4">IF(D16=0,0,E16/D16)</f>
        <v>0.97724465285814444</v>
      </c>
      <c r="E39" s="454">
        <f t="shared" si="3"/>
        <v>0.98431200644090311</v>
      </c>
      <c r="F39" s="454">
        <f t="shared" si="2"/>
        <v>1</v>
      </c>
      <c r="G39" s="454">
        <f t="shared" si="1"/>
        <v>1.0106706702892976</v>
      </c>
      <c r="H39" s="454">
        <f t="shared" si="1"/>
        <v>0.50172554578495132</v>
      </c>
      <c r="I39" s="454">
        <f t="shared" si="1"/>
        <v>1</v>
      </c>
      <c r="J39" s="454">
        <f t="shared" si="1"/>
        <v>1</v>
      </c>
      <c r="K39" s="454">
        <f t="shared" si="1"/>
        <v>1</v>
      </c>
      <c r="L39" s="454">
        <f t="shared" si="1"/>
        <v>0.99999999999999689</v>
      </c>
      <c r="M39" s="454">
        <f t="shared" si="1"/>
        <v>1</v>
      </c>
      <c r="N39" s="454">
        <f t="shared" si="1"/>
        <v>1</v>
      </c>
      <c r="O39" s="454"/>
      <c r="P39" s="455"/>
    </row>
    <row r="40" spans="1:16">
      <c r="A40" s="449">
        <f t="shared" ref="A40:A52" si="5">A39+1</f>
        <v>2010</v>
      </c>
      <c r="B40" s="463"/>
      <c r="C40" s="454">
        <f t="shared" ref="C40:C50" si="6">IF(C17=0,0,D17/C17)</f>
        <v>2.5941872307165244</v>
      </c>
      <c r="D40" s="454">
        <f t="shared" si="4"/>
        <v>0.8867113032119347</v>
      </c>
      <c r="E40" s="454">
        <f t="shared" si="3"/>
        <v>0.92344133054271671</v>
      </c>
      <c r="F40" s="454">
        <f t="shared" si="2"/>
        <v>0.95778495030596678</v>
      </c>
      <c r="G40" s="454">
        <f t="shared" si="1"/>
        <v>0.9631963176923638</v>
      </c>
      <c r="H40" s="454">
        <f t="shared" si="1"/>
        <v>1</v>
      </c>
      <c r="I40" s="454">
        <f t="shared" si="1"/>
        <v>0.95684581141126135</v>
      </c>
      <c r="J40" s="454">
        <f t="shared" si="1"/>
        <v>1</v>
      </c>
      <c r="K40" s="454">
        <f t="shared" si="1"/>
        <v>1.0000000000000002</v>
      </c>
      <c r="L40" s="454">
        <f t="shared" si="1"/>
        <v>1</v>
      </c>
      <c r="M40" s="454">
        <f t="shared" si="1"/>
        <v>1</v>
      </c>
      <c r="N40" s="454"/>
      <c r="O40" s="454"/>
      <c r="P40" s="455"/>
    </row>
    <row r="41" spans="1:16">
      <c r="A41" s="449">
        <f t="shared" si="5"/>
        <v>2011</v>
      </c>
      <c r="B41" s="454">
        <f t="shared" ref="B41:B51" si="7">IF(B18=0,0,C18/B18)</f>
        <v>2.6608034753335255</v>
      </c>
      <c r="C41" s="454">
        <f t="shared" si="6"/>
        <v>1.9312005931115779</v>
      </c>
      <c r="D41" s="454">
        <f t="shared" si="4"/>
        <v>1.1473571470172539</v>
      </c>
      <c r="E41" s="454">
        <f t="shared" si="3"/>
        <v>0.71071341880725303</v>
      </c>
      <c r="F41" s="454">
        <f t="shared" si="2"/>
        <v>1.0202001156539438</v>
      </c>
      <c r="G41" s="454">
        <f t="shared" si="1"/>
        <v>0.91046526933233807</v>
      </c>
      <c r="H41" s="454">
        <f t="shared" si="1"/>
        <v>0.90605478314539467</v>
      </c>
      <c r="I41" s="454">
        <f t="shared" si="1"/>
        <v>1.0111779305280606</v>
      </c>
      <c r="J41" s="454">
        <f t="shared" si="1"/>
        <v>1.0000000000000002</v>
      </c>
      <c r="K41" s="454">
        <f t="shared" si="1"/>
        <v>1</v>
      </c>
      <c r="L41" s="454">
        <f t="shared" si="1"/>
        <v>1</v>
      </c>
      <c r="M41" s="454"/>
      <c r="N41" s="454"/>
      <c r="O41" s="454"/>
      <c r="P41" s="455"/>
    </row>
    <row r="42" spans="1:16">
      <c r="A42" s="449">
        <f t="shared" si="5"/>
        <v>2012</v>
      </c>
      <c r="B42" s="454">
        <f t="shared" si="7"/>
        <v>1.7048324431012698</v>
      </c>
      <c r="C42" s="454">
        <f t="shared" si="6"/>
        <v>1.5012485072323645</v>
      </c>
      <c r="D42" s="454">
        <f t="shared" si="4"/>
        <v>1.2559700444902084</v>
      </c>
      <c r="E42" s="454">
        <f t="shared" si="3"/>
        <v>1.0705500186953805</v>
      </c>
      <c r="F42" s="454">
        <f t="shared" si="2"/>
        <v>0.97826049536318216</v>
      </c>
      <c r="G42" s="454">
        <f>IF(G19=0,0,H19/G19)</f>
        <v>0.97286554816733817</v>
      </c>
      <c r="H42" s="454">
        <f>IF(H19=0,0,I19/H19)</f>
        <v>1.0031855390920124</v>
      </c>
      <c r="I42" s="454">
        <f>IF(I19=0,0,J19/I19)</f>
        <v>1.0000000000000002</v>
      </c>
      <c r="J42" s="454">
        <f>IF(J19=0,0,K19/J19)</f>
        <v>1</v>
      </c>
      <c r="K42" s="454">
        <f>IF(K19=0,0,L19/K19)</f>
        <v>1.0064965196671045</v>
      </c>
      <c r="L42" s="454"/>
      <c r="M42" s="454"/>
      <c r="N42" s="454"/>
      <c r="O42" s="454"/>
      <c r="P42" s="455"/>
    </row>
    <row r="43" spans="1:16">
      <c r="A43" s="449">
        <f t="shared" si="5"/>
        <v>2013</v>
      </c>
      <c r="B43" s="454">
        <f t="shared" si="7"/>
        <v>4.0358665018585995</v>
      </c>
      <c r="C43" s="454">
        <f t="shared" si="6"/>
        <v>1.3233048493057178</v>
      </c>
      <c r="D43" s="454">
        <f t="shared" si="4"/>
        <v>1.2118137740395492</v>
      </c>
      <c r="E43" s="454">
        <f t="shared" si="3"/>
        <v>0.97446719245816238</v>
      </c>
      <c r="F43" s="454">
        <f t="shared" si="2"/>
        <v>0.9696529612758199</v>
      </c>
      <c r="G43" s="454">
        <f>IF(G20=0,0,H20/G20)</f>
        <v>1.0825212729414406</v>
      </c>
      <c r="H43" s="454">
        <f>IF(H20=0,0,I20/H20)</f>
        <v>1.0007432688105464</v>
      </c>
      <c r="I43" s="454">
        <f>IF(I20=0,0,J20/I20)</f>
        <v>1</v>
      </c>
      <c r="J43" s="454">
        <f>IF(J20=0,0,K20/J20)</f>
        <v>1.0283125191256015</v>
      </c>
      <c r="K43" s="454"/>
      <c r="L43" s="454"/>
      <c r="M43" s="454"/>
      <c r="N43" s="454"/>
      <c r="O43" s="454"/>
      <c r="P43" s="455"/>
    </row>
    <row r="44" spans="1:16">
      <c r="A44" s="449">
        <f t="shared" si="5"/>
        <v>2014</v>
      </c>
      <c r="B44" s="454">
        <f t="shared" si="7"/>
        <v>2.1527998516581879</v>
      </c>
      <c r="C44" s="454">
        <f t="shared" si="6"/>
        <v>1.0596084205643106</v>
      </c>
      <c r="D44" s="454">
        <f t="shared" si="4"/>
        <v>2.0512617281810681</v>
      </c>
      <c r="E44" s="454">
        <f t="shared" si="3"/>
        <v>1.0212889439063095</v>
      </c>
      <c r="F44" s="454">
        <f t="shared" si="2"/>
        <v>0.9494125314736106</v>
      </c>
      <c r="G44" s="454">
        <f>IF(G21=0,0,H21/G21)</f>
        <v>0.98091064087081825</v>
      </c>
      <c r="H44" s="454">
        <f>IF(H21=0,0,I21/H21)</f>
        <v>0.98729582416643247</v>
      </c>
      <c r="I44" s="454">
        <f>IF(I21=0,0,J21/I21)</f>
        <v>0.92894787467238971</v>
      </c>
      <c r="J44" s="454"/>
      <c r="K44" s="454"/>
      <c r="L44" s="454"/>
      <c r="M44" s="454"/>
      <c r="N44" s="454"/>
      <c r="O44" s="454"/>
      <c r="P44" s="455"/>
    </row>
    <row r="45" spans="1:16">
      <c r="A45" s="449">
        <f t="shared" si="5"/>
        <v>2015</v>
      </c>
      <c r="B45" s="454">
        <f t="shared" si="7"/>
        <v>1.4411437343019557</v>
      </c>
      <c r="C45" s="454">
        <f t="shared" si="6"/>
        <v>2.0950669303104847</v>
      </c>
      <c r="D45" s="454">
        <f t="shared" si="4"/>
        <v>1.223171709982487</v>
      </c>
      <c r="E45" s="454">
        <f t="shared" si="3"/>
        <v>0.97141241948991364</v>
      </c>
      <c r="F45" s="454">
        <f t="shared" si="2"/>
        <v>1.0020804231904741</v>
      </c>
      <c r="G45" s="454">
        <f>IF(G22=0,0,H22/G22)</f>
        <v>1.0763605546773105</v>
      </c>
      <c r="H45" s="454">
        <f>IF(H22=0,0,I22/H22)</f>
        <v>0.91017106665522374</v>
      </c>
      <c r="I45" s="454"/>
      <c r="J45" s="454"/>
      <c r="K45" s="454"/>
      <c r="L45" s="454"/>
      <c r="M45" s="454"/>
      <c r="N45" s="454"/>
      <c r="O45" s="454"/>
      <c r="P45" s="455"/>
    </row>
    <row r="46" spans="1:16">
      <c r="A46" s="449">
        <f t="shared" si="5"/>
        <v>2016</v>
      </c>
      <c r="B46" s="454">
        <f t="shared" si="7"/>
        <v>2.3516480263367314</v>
      </c>
      <c r="C46" s="454">
        <f t="shared" si="6"/>
        <v>1.5193352304484495</v>
      </c>
      <c r="D46" s="454">
        <f t="shared" si="4"/>
        <v>1.3699638214553773</v>
      </c>
      <c r="E46" s="454">
        <f t="shared" si="3"/>
        <v>0.95517300791331161</v>
      </c>
      <c r="F46" s="454">
        <f t="shared" si="2"/>
        <v>1.085873315081646</v>
      </c>
      <c r="G46" s="454">
        <f>IF(G23=0,0,H23/G23)</f>
        <v>1.0750189956134983</v>
      </c>
      <c r="H46" s="454"/>
      <c r="I46" s="454"/>
      <c r="J46" s="454"/>
      <c r="K46" s="454"/>
      <c r="L46" s="454"/>
      <c r="M46" s="454"/>
      <c r="N46" s="454"/>
      <c r="O46" s="454"/>
      <c r="P46" s="455"/>
    </row>
    <row r="47" spans="1:16">
      <c r="A47" s="449">
        <f t="shared" si="5"/>
        <v>2017</v>
      </c>
      <c r="B47" s="454">
        <f t="shared" si="7"/>
        <v>1.9514450347729335</v>
      </c>
      <c r="C47" s="454">
        <f t="shared" si="6"/>
        <v>1.6904156630617382</v>
      </c>
      <c r="D47" s="454">
        <f t="shared" si="4"/>
        <v>1.2409142637687014</v>
      </c>
      <c r="E47" s="454">
        <f t="shared" si="3"/>
        <v>1.2633356578108144</v>
      </c>
      <c r="F47" s="454">
        <f t="shared" si="2"/>
        <v>1.0324094593587618</v>
      </c>
      <c r="G47" s="454"/>
      <c r="H47" s="454"/>
      <c r="I47" s="454"/>
      <c r="J47" s="454"/>
      <c r="K47" s="454"/>
      <c r="L47" s="454"/>
      <c r="M47" s="454"/>
      <c r="N47" s="454"/>
      <c r="O47" s="454"/>
      <c r="P47" s="455"/>
    </row>
    <row r="48" spans="1:16">
      <c r="A48" s="449">
        <f t="shared" si="5"/>
        <v>2018</v>
      </c>
      <c r="B48" s="454">
        <f t="shared" si="7"/>
        <v>1.7300698065087572</v>
      </c>
      <c r="C48" s="454">
        <f t="shared" si="6"/>
        <v>1.8834233436949173</v>
      </c>
      <c r="D48" s="454">
        <f t="shared" si="4"/>
        <v>1.541143687359394</v>
      </c>
      <c r="E48" s="454">
        <f t="shared" si="3"/>
        <v>0.90284731189999967</v>
      </c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5"/>
    </row>
    <row r="49" spans="1:17">
      <c r="A49" s="449">
        <f t="shared" si="5"/>
        <v>2019</v>
      </c>
      <c r="B49" s="454">
        <f t="shared" si="7"/>
        <v>1.9030552776522653</v>
      </c>
      <c r="C49" s="454">
        <f t="shared" si="6"/>
        <v>1.6904905791462999</v>
      </c>
      <c r="D49" s="454">
        <f t="shared" si="4"/>
        <v>1.1907924858818335</v>
      </c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5"/>
    </row>
    <row r="50" spans="1:17">
      <c r="A50" s="449">
        <f t="shared" si="5"/>
        <v>2020</v>
      </c>
      <c r="B50" s="454">
        <f t="shared" si="7"/>
        <v>1.5961576348027395</v>
      </c>
      <c r="C50" s="454">
        <f t="shared" si="6"/>
        <v>1.2388048981474769</v>
      </c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5"/>
    </row>
    <row r="51" spans="1:17">
      <c r="A51" s="449">
        <f t="shared" si="5"/>
        <v>2021</v>
      </c>
      <c r="B51" s="454">
        <f t="shared" si="7"/>
        <v>1.9130744728165046</v>
      </c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5"/>
    </row>
    <row r="52" spans="1:17">
      <c r="A52" s="449">
        <f t="shared" si="5"/>
        <v>2022</v>
      </c>
      <c r="B52" s="454"/>
      <c r="C52" s="454"/>
      <c r="D52" s="454"/>
      <c r="E52" s="454"/>
      <c r="F52" s="454"/>
      <c r="G52" s="454"/>
      <c r="H52" s="454"/>
      <c r="I52" s="454"/>
      <c r="J52" s="454"/>
      <c r="K52" s="454"/>
      <c r="L52" s="454"/>
      <c r="M52" s="454"/>
      <c r="N52" s="454"/>
      <c r="O52" s="454"/>
      <c r="P52" s="455"/>
    </row>
    <row r="53" spans="1:17">
      <c r="A53" s="449"/>
      <c r="B53" s="455"/>
      <c r="C53" s="455"/>
      <c r="D53" s="455"/>
      <c r="E53" s="455"/>
      <c r="F53" s="455"/>
      <c r="G53" s="455"/>
      <c r="H53" s="455"/>
      <c r="I53" s="455"/>
      <c r="J53" s="455"/>
      <c r="K53" s="455"/>
      <c r="L53" s="455"/>
      <c r="M53" s="455"/>
      <c r="N53" s="455"/>
      <c r="O53" s="455"/>
      <c r="P53" s="455"/>
    </row>
    <row r="54" spans="1:17">
      <c r="A54" s="446" t="s">
        <v>1053</v>
      </c>
      <c r="B54" s="455"/>
      <c r="C54" s="455"/>
      <c r="D54" s="455"/>
      <c r="E54" s="455"/>
      <c r="F54" s="455"/>
      <c r="G54" s="455"/>
      <c r="H54" s="455"/>
      <c r="I54" s="455"/>
      <c r="J54" s="455"/>
      <c r="K54" s="455"/>
      <c r="L54" s="455"/>
      <c r="M54" s="455"/>
      <c r="N54" s="455"/>
      <c r="O54" s="455"/>
      <c r="P54" s="455"/>
    </row>
    <row r="55" spans="1:17">
      <c r="B55" s="456" t="s">
        <v>1054</v>
      </c>
      <c r="C55" s="455"/>
      <c r="D55" s="455"/>
      <c r="E55" s="455"/>
      <c r="F55" s="455"/>
      <c r="G55" s="457"/>
      <c r="H55" s="457"/>
      <c r="I55" s="457"/>
      <c r="J55" s="457"/>
      <c r="K55" s="457"/>
      <c r="L55" s="457"/>
      <c r="M55" s="457"/>
      <c r="N55" s="457"/>
      <c r="O55" s="457"/>
      <c r="P55" s="455"/>
    </row>
    <row r="56" spans="1:17">
      <c r="A56" s="458" t="s">
        <v>1055</v>
      </c>
      <c r="B56" s="455">
        <f>SUMPRODUCT(B26:B28,B49:B51)/SUM(B26:B28)</f>
        <v>1.815551779576505</v>
      </c>
      <c r="C56" s="455">
        <f>SUMPRODUCT(C25:C27,C48:C50)/SUM(C25:C27)</f>
        <v>1.6401347878137895</v>
      </c>
      <c r="D56" s="455">
        <f>SUMPRODUCT(D24:D26,D47:D49)/SUM(D24:D26)</f>
        <v>1.3126012690403934</v>
      </c>
      <c r="E56" s="455">
        <f>SUMPRODUCT(E23:E25,E46:E48)/SUM(E23:E25)</f>
        <v>1.0395155915248122</v>
      </c>
      <c r="F56" s="455">
        <f>SUMPRODUCT(F22:F24,F45:F47/SUM(F22:F24))</f>
        <v>1.0334245504008681</v>
      </c>
      <c r="G56" s="455">
        <f>SUMPRODUCT(G21:G23,G44:G46/SUM(G21:G23))</f>
        <v>1.0440245456764803</v>
      </c>
      <c r="H56" s="455">
        <f>SUMPRODUCT(H20:H22,H43:H45/SUM(H20:H22))</f>
        <v>0.95887034411464744</v>
      </c>
      <c r="I56" s="455">
        <f>SUMPRODUCT(I19:I21,I42:I44/SUM(I19:I21))</f>
        <v>0.97339460727182892</v>
      </c>
      <c r="J56" s="455">
        <f>SUMPRODUCT(J18:J20,J41:J43/SUM(J18:J20))</f>
        <v>1.0129737493085942</v>
      </c>
      <c r="K56" s="455">
        <f>SUMPRODUCT(K17:K19,K40:K42/SUM(K17:K19))</f>
        <v>1.0038256264915257</v>
      </c>
      <c r="L56" s="455">
        <f>SUMPRODUCT(L16:L18,L39:L41/SUM(L16:L18))</f>
        <v>0.99999999999999978</v>
      </c>
      <c r="M56" s="455">
        <f>SUMPRODUCT(M15:M17,M38:M40/SUM(M15:M17))</f>
        <v>0.99999999999999978</v>
      </c>
      <c r="N56" s="455">
        <f>SUMPRODUCT(N15:N16,N38:N39)/SUM(N15:N16)</f>
        <v>1</v>
      </c>
      <c r="O56" s="455">
        <f>O38</f>
        <v>1</v>
      </c>
    </row>
    <row r="57" spans="1:17">
      <c r="B57" s="456" t="s">
        <v>1056</v>
      </c>
      <c r="C57" s="457"/>
      <c r="D57" s="457"/>
      <c r="E57" s="457"/>
      <c r="F57" s="455"/>
      <c r="G57" s="455"/>
      <c r="H57" s="455"/>
      <c r="I57" s="455"/>
      <c r="J57" s="455"/>
      <c r="K57" s="455"/>
      <c r="L57" s="455"/>
      <c r="M57" s="455"/>
      <c r="N57" s="455"/>
      <c r="O57" s="455"/>
      <c r="P57" s="455"/>
    </row>
    <row r="58" spans="1:17">
      <c r="A58" s="458" t="s">
        <v>1057</v>
      </c>
      <c r="B58" s="455">
        <f>SUMPRODUCT(B24:B28,B47:B51)/SUM(B24:B28)</f>
        <v>1.8357090117616333</v>
      </c>
      <c r="C58" s="457">
        <f>SUMPRODUCT(C23:C27,C46:C50)/SUM(C23:C27)</f>
        <v>1.61592520713538</v>
      </c>
      <c r="D58" s="457">
        <f>SUMPRODUCT(D22:D26,D45:D49)/SUM(D22:D26)</f>
        <v>1.2918396778088554</v>
      </c>
      <c r="E58" s="457">
        <f>SUMPRODUCT(E21:E25,E44:E48)/SUM(E21:E25)</f>
        <v>1.0150694936079816</v>
      </c>
      <c r="F58" s="457">
        <f>SUMPRODUCT(F20:F24,F43:F47)/SUM(F20:F24)</f>
        <v>1.0028836238087648</v>
      </c>
      <c r="G58" s="457">
        <f>SUMPRODUCT(G19:G23,G42:G46)/SUM(G19:G23)</f>
        <v>1.0378944990822858</v>
      </c>
      <c r="H58" s="457">
        <f>SUMPRODUCT(H18:H22,H41:H45)/SUM(H18:H22)</f>
        <v>0.96464595728408331</v>
      </c>
      <c r="I58" s="457">
        <f>SUMPRODUCT(I17:I21,I40:I44)/SUM(I17:I21)</f>
        <v>0.97373466590050917</v>
      </c>
      <c r="J58" s="457">
        <f>SUMPRODUCT(J16:J20,J39:J43)/SUM(J16:J20)</f>
        <v>1.0106253856055176</v>
      </c>
      <c r="K58" s="457">
        <f>SUMPRODUCT(K15:K19,K38:K42)/SUM(K15:K19)</f>
        <v>1.0035755086843263</v>
      </c>
      <c r="L58" s="457">
        <f>SUMPRODUCT(L15:L18,L38:L41)/SUM(L15:L18)</f>
        <v>0.99999999999999978</v>
      </c>
      <c r="M58" s="457">
        <f>M56</f>
        <v>0.99999999999999978</v>
      </c>
      <c r="N58" s="457">
        <f>N56</f>
        <v>1</v>
      </c>
      <c r="O58" s="457">
        <f>O56</f>
        <v>1</v>
      </c>
    </row>
    <row r="59" spans="1:17">
      <c r="B59" s="456" t="s">
        <v>1058</v>
      </c>
      <c r="C59" s="455"/>
      <c r="D59" s="455"/>
      <c r="E59" s="455"/>
      <c r="F59" s="455"/>
      <c r="G59" s="455"/>
      <c r="H59" s="455"/>
      <c r="I59" s="455"/>
      <c r="J59" s="455"/>
      <c r="K59" s="455"/>
      <c r="L59" s="455"/>
      <c r="M59" s="455"/>
      <c r="N59" s="455"/>
      <c r="O59" s="455"/>
      <c r="P59" s="455"/>
    </row>
    <row r="60" spans="1:17">
      <c r="A60" s="458" t="s">
        <v>1059</v>
      </c>
      <c r="B60" s="455">
        <f>SUMPRODUCT(B22:B28,B45:B51)/SUM(B22:B28)</f>
        <v>1.7872534516005956</v>
      </c>
      <c r="C60" s="455">
        <f>SUMPRODUCT(C21:C27,C44:C50)/SUM(C21:C27)</f>
        <v>1.5999758926616623</v>
      </c>
      <c r="D60" s="455">
        <f>SUMPRODUCT(D20:D26,D43:D49)/SUM(D20:D26)</f>
        <v>1.3747944931924729</v>
      </c>
      <c r="E60" s="455">
        <f>SUMPRODUCT(E19:E25,E42:E48)/SUM(E19:E25)</f>
        <v>1.0167743950096446</v>
      </c>
      <c r="F60" s="455">
        <f>SUMPRODUCT(F18:F24,F41:F47)/SUM(F18:F24)</f>
        <v>0.99995914158474586</v>
      </c>
      <c r="G60" s="455">
        <f>SUMPRODUCT(G17:G23,G40:G46)/SUM(G17:G23)</f>
        <v>1.0266012243376292</v>
      </c>
      <c r="H60" s="455">
        <f>SUMPRODUCT(H16:H22,H39:H45)/SUM(H16:H22)</f>
        <v>0.95862315246428764</v>
      </c>
      <c r="I60" s="455">
        <f>SUMPRODUCT(I15:I21,I38:I44)/SUM(I15:I21)</f>
        <v>0.97452294903888903</v>
      </c>
      <c r="J60" s="455">
        <f>SUMPRODUCT(J12:J20,J35:J43)/SUM(J12:J20)</f>
        <v>1.0099708848596056</v>
      </c>
      <c r="K60" s="455">
        <f>K58</f>
        <v>1.0035755086843263</v>
      </c>
      <c r="L60" s="455">
        <f>L58</f>
        <v>0.99999999999999978</v>
      </c>
      <c r="M60" s="455">
        <f>M56</f>
        <v>0.99999999999999978</v>
      </c>
      <c r="N60" s="455">
        <f>M56</f>
        <v>0.99999999999999978</v>
      </c>
      <c r="O60" s="455">
        <f>M56</f>
        <v>0.99999999999999978</v>
      </c>
    </row>
    <row r="61" spans="1:17">
      <c r="B61" s="456" t="s">
        <v>1060</v>
      </c>
      <c r="C61" s="455"/>
      <c r="D61" s="455"/>
      <c r="E61" s="455"/>
      <c r="F61" s="455"/>
      <c r="G61" s="455"/>
      <c r="H61" s="455"/>
      <c r="I61" s="455"/>
      <c r="J61" s="455"/>
      <c r="K61" s="455"/>
      <c r="L61" s="455"/>
      <c r="M61" s="455"/>
      <c r="N61" s="455">
        <f>N60*O61</f>
        <v>0.99999999999999956</v>
      </c>
      <c r="O61" s="455">
        <f>O60</f>
        <v>0.99999999999999978</v>
      </c>
      <c r="P61" s="455"/>
    </row>
    <row r="62" spans="1:17">
      <c r="A62" s="458" t="s">
        <v>1061</v>
      </c>
      <c r="B62" s="455">
        <v>1.95</v>
      </c>
      <c r="C62" s="455">
        <v>1.6850000000000001</v>
      </c>
      <c r="D62" s="455">
        <v>1.4350000000000001</v>
      </c>
      <c r="E62" s="455">
        <v>1</v>
      </c>
      <c r="F62" s="455">
        <v>1</v>
      </c>
      <c r="G62" s="455">
        <v>1</v>
      </c>
      <c r="H62" s="455">
        <v>1</v>
      </c>
      <c r="I62" s="455">
        <v>1</v>
      </c>
      <c r="J62" s="455">
        <v>1</v>
      </c>
      <c r="K62" s="455">
        <v>1</v>
      </c>
      <c r="L62" s="455">
        <v>1</v>
      </c>
      <c r="M62" s="455">
        <v>1</v>
      </c>
      <c r="N62" s="455">
        <v>1</v>
      </c>
      <c r="O62" s="455">
        <v>1</v>
      </c>
    </row>
    <row r="63" spans="1:17">
      <c r="B63" s="455"/>
      <c r="C63" s="455"/>
      <c r="D63" s="455"/>
      <c r="E63" s="455"/>
      <c r="F63" s="455"/>
      <c r="G63" s="455"/>
      <c r="H63" s="455"/>
      <c r="I63" s="455"/>
      <c r="J63" s="455"/>
      <c r="K63" s="455"/>
      <c r="L63" s="455"/>
      <c r="M63" s="455"/>
      <c r="N63" s="455"/>
      <c r="O63" s="455"/>
      <c r="P63" s="455"/>
      <c r="Q63" s="455"/>
    </row>
    <row r="64" spans="1:17">
      <c r="A64" s="446" t="s">
        <v>1062</v>
      </c>
      <c r="C64" s="455">
        <v>1.6850000000000001</v>
      </c>
      <c r="D64" s="455">
        <v>1.4350000000000001</v>
      </c>
      <c r="E64" s="455">
        <v>1</v>
      </c>
      <c r="F64" s="455">
        <v>1</v>
      </c>
      <c r="G64" s="455">
        <v>1</v>
      </c>
      <c r="H64" s="455">
        <v>1</v>
      </c>
      <c r="I64" s="455">
        <v>1</v>
      </c>
      <c r="J64" s="455">
        <v>1</v>
      </c>
      <c r="K64" s="455">
        <v>1</v>
      </c>
      <c r="L64" s="455">
        <v>1</v>
      </c>
      <c r="M64" s="455">
        <v>1</v>
      </c>
      <c r="N64" s="455">
        <v>1</v>
      </c>
      <c r="O64" s="455">
        <v>1</v>
      </c>
      <c r="Q64" s="455"/>
    </row>
    <row r="65" spans="1:16">
      <c r="A65" s="444" t="s">
        <v>780</v>
      </c>
      <c r="B65" s="455">
        <f>C65*B62</f>
        <v>4.7150512500000001</v>
      </c>
      <c r="C65" s="455">
        <f t="shared" ref="C65:L65" si="8">D65*C64</f>
        <v>2.4179750000000002</v>
      </c>
      <c r="D65" s="455">
        <f t="shared" si="8"/>
        <v>1.4350000000000001</v>
      </c>
      <c r="E65" s="455">
        <f t="shared" si="8"/>
        <v>1</v>
      </c>
      <c r="F65" s="455">
        <f t="shared" si="8"/>
        <v>1</v>
      </c>
      <c r="G65" s="455">
        <f t="shared" si="8"/>
        <v>1</v>
      </c>
      <c r="H65" s="455">
        <f t="shared" si="8"/>
        <v>1</v>
      </c>
      <c r="I65" s="455">
        <f t="shared" si="8"/>
        <v>1</v>
      </c>
      <c r="J65" s="455">
        <f t="shared" si="8"/>
        <v>1</v>
      </c>
      <c r="K65" s="455">
        <f t="shared" si="8"/>
        <v>1</v>
      </c>
      <c r="L65" s="455">
        <f t="shared" si="8"/>
        <v>1</v>
      </c>
      <c r="M65" s="455">
        <f>N65*M64</f>
        <v>1</v>
      </c>
      <c r="N65" s="455">
        <f>O65*N64</f>
        <v>1</v>
      </c>
      <c r="O65" s="455">
        <f>P65*O64</f>
        <v>1</v>
      </c>
      <c r="P65" s="455">
        <v>1</v>
      </c>
    </row>
    <row r="70" spans="1:16">
      <c r="B70" s="455"/>
      <c r="C70" s="455"/>
      <c r="D70" s="455"/>
      <c r="E70" s="455"/>
      <c r="F70" s="455"/>
      <c r="G70" s="455"/>
      <c r="H70" s="455"/>
      <c r="I70" s="455"/>
      <c r="J70" s="455"/>
      <c r="K70" s="455"/>
      <c r="L70" s="455"/>
      <c r="M70" s="455"/>
      <c r="N70" s="455"/>
      <c r="O70" s="455"/>
      <c r="P70" s="455"/>
    </row>
  </sheetData>
  <printOptions horizontalCentered="1"/>
  <pageMargins left="0.7" right="0.7" top="0.75" bottom="0.75" header="0.3" footer="0.3"/>
  <pageSetup scale="45"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122">
    <tabColor rgb="FF92D050"/>
    <pageSetUpPr fitToPage="1"/>
  </sheetPr>
  <dimension ref="A1:T71"/>
  <sheetViews>
    <sheetView zoomScaleNormal="100" workbookViewId="0"/>
  </sheetViews>
  <sheetFormatPr baseColWidth="10" defaultColWidth="7.42578125" defaultRowHeight="15"/>
  <cols>
    <col min="1" max="1" width="11.7109375" style="444" customWidth="1"/>
    <col min="2" max="16" width="9.140625" style="444" customWidth="1"/>
    <col min="17" max="17" width="7.5703125" style="316" bestFit="1" customWidth="1"/>
    <col min="18" max="18" width="7.42578125" style="316"/>
    <col min="19" max="20" width="8.7109375" style="316" bestFit="1" customWidth="1"/>
    <col min="21" max="16384" width="7.42578125" style="316"/>
  </cols>
  <sheetData>
    <row r="1" spans="1:20">
      <c r="A1" s="443" t="s">
        <v>1026</v>
      </c>
      <c r="P1" s="549" t="s">
        <v>1063</v>
      </c>
    </row>
    <row r="2" spans="1:20">
      <c r="A2" s="445" t="s">
        <v>1027</v>
      </c>
      <c r="P2" s="549" t="s">
        <v>1072</v>
      </c>
    </row>
    <row r="3" spans="1:20">
      <c r="A3" s="445" t="s">
        <v>1069</v>
      </c>
    </row>
    <row r="4" spans="1:20">
      <c r="A4" s="445" t="s">
        <v>1070</v>
      </c>
    </row>
    <row r="5" spans="1:20">
      <c r="A5" s="445" t="s">
        <v>59</v>
      </c>
    </row>
    <row r="6" spans="1:20">
      <c r="A6" s="445" t="s">
        <v>260</v>
      </c>
    </row>
    <row r="7" spans="1:20">
      <c r="A7" s="445" t="str">
        <f>'Exhibit R,S1'!A7</f>
        <v>Data Evaluated as of 11/30/2022</v>
      </c>
    </row>
    <row r="9" spans="1:20">
      <c r="B9" s="446" t="s">
        <v>1030</v>
      </c>
    </row>
    <row r="10" spans="1:20">
      <c r="A10" s="460" t="s">
        <v>170</v>
      </c>
      <c r="B10" s="461">
        <v>11</v>
      </c>
      <c r="C10" s="461">
        <v>23</v>
      </c>
      <c r="D10" s="461">
        <v>35</v>
      </c>
      <c r="E10" s="461">
        <v>47</v>
      </c>
      <c r="F10" s="461">
        <v>59</v>
      </c>
      <c r="G10" s="461">
        <v>71</v>
      </c>
      <c r="H10" s="461">
        <v>83</v>
      </c>
      <c r="I10" s="461">
        <v>95</v>
      </c>
      <c r="J10" s="461">
        <v>107</v>
      </c>
      <c r="K10" s="461">
        <v>119</v>
      </c>
      <c r="L10" s="461">
        <v>131</v>
      </c>
      <c r="M10" s="461">
        <v>143</v>
      </c>
      <c r="N10" s="461">
        <v>155</v>
      </c>
      <c r="O10" s="461">
        <v>167</v>
      </c>
      <c r="P10" s="461">
        <v>179</v>
      </c>
    </row>
    <row r="11" spans="1:20">
      <c r="A11" s="449"/>
      <c r="B11" s="449"/>
      <c r="C11" s="449"/>
      <c r="D11" s="449"/>
      <c r="E11" s="449"/>
      <c r="F11" s="449"/>
      <c r="G11" s="449"/>
      <c r="H11" s="449"/>
      <c r="I11" s="449"/>
      <c r="J11" s="449"/>
      <c r="K11" s="449"/>
      <c r="L11" s="449"/>
      <c r="M11" s="449"/>
      <c r="N11" s="449"/>
      <c r="O11" s="449"/>
      <c r="P11" s="449"/>
    </row>
    <row r="12" spans="1:20">
      <c r="A12" s="449"/>
    </row>
    <row r="13" spans="1:20">
      <c r="A13" s="449">
        <f>'Exhibit R,S5'!A13</f>
        <v>2006</v>
      </c>
      <c r="B13" s="450"/>
      <c r="C13" s="450"/>
      <c r="D13" s="450"/>
      <c r="E13" s="450"/>
      <c r="F13" s="450">
        <v>276734.80000000075</v>
      </c>
      <c r="G13" s="450">
        <v>315964.90000000037</v>
      </c>
      <c r="H13" s="450">
        <v>363332.58000000007</v>
      </c>
      <c r="I13" s="450">
        <v>474648.86999999918</v>
      </c>
      <c r="J13" s="450">
        <v>474648.86999999918</v>
      </c>
      <c r="K13" s="450">
        <v>474648.86999999918</v>
      </c>
      <c r="L13" s="450">
        <v>474648.86999999918</v>
      </c>
      <c r="M13" s="450">
        <v>474648.86999999918</v>
      </c>
      <c r="N13" s="450">
        <v>474648.86999999918</v>
      </c>
      <c r="O13" s="450">
        <v>474648.86999999918</v>
      </c>
      <c r="P13" s="464">
        <v>474648.87</v>
      </c>
      <c r="R13" s="315"/>
      <c r="S13" s="317"/>
      <c r="T13" s="317"/>
    </row>
    <row r="14" spans="1:20">
      <c r="A14" s="449">
        <f>A13+1</f>
        <v>2007</v>
      </c>
      <c r="B14" s="450"/>
      <c r="C14" s="450"/>
      <c r="D14" s="450"/>
      <c r="E14" s="450">
        <v>176022.59999999963</v>
      </c>
      <c r="F14" s="450">
        <v>210778.80000000075</v>
      </c>
      <c r="G14" s="450">
        <v>641490.25</v>
      </c>
      <c r="H14" s="450">
        <v>641790.41000000015</v>
      </c>
      <c r="I14" s="450">
        <v>641790.41000000015</v>
      </c>
      <c r="J14" s="450">
        <v>641790.41000000015</v>
      </c>
      <c r="K14" s="450">
        <v>641790.41000000015</v>
      </c>
      <c r="L14" s="450">
        <v>641790.41000000015</v>
      </c>
      <c r="M14" s="450">
        <v>641790.41000000015</v>
      </c>
      <c r="N14" s="450">
        <v>641790.41000000015</v>
      </c>
      <c r="O14" s="464">
        <v>641790.40999999992</v>
      </c>
      <c r="P14" s="464">
        <v>641790.40999999992</v>
      </c>
      <c r="S14" s="317"/>
      <c r="T14" s="317"/>
    </row>
    <row r="15" spans="1:20">
      <c r="A15" s="449">
        <f>A14+1</f>
        <v>2008</v>
      </c>
      <c r="B15" s="450"/>
      <c r="C15" s="450"/>
      <c r="D15" s="450">
        <v>76062.490000000224</v>
      </c>
      <c r="E15" s="450">
        <v>104577.97000000067</v>
      </c>
      <c r="F15" s="450">
        <v>130369.98000000045</v>
      </c>
      <c r="G15" s="450">
        <v>204115.10000000149</v>
      </c>
      <c r="H15" s="450">
        <v>274952.6099999994</v>
      </c>
      <c r="I15" s="450">
        <v>577958.05000000075</v>
      </c>
      <c r="J15" s="450">
        <v>579145.55000000075</v>
      </c>
      <c r="K15" s="450">
        <v>579145.55000000075</v>
      </c>
      <c r="L15" s="450">
        <v>579145.55000000075</v>
      </c>
      <c r="M15" s="450">
        <v>579145.54999999888</v>
      </c>
      <c r="N15" s="464">
        <v>579145.55000000005</v>
      </c>
      <c r="O15" s="464">
        <v>579145.55000000005</v>
      </c>
      <c r="P15" s="451">
        <v>579145.55000000005</v>
      </c>
      <c r="S15" s="317"/>
      <c r="T15" s="317"/>
    </row>
    <row r="16" spans="1:20">
      <c r="A16" s="449">
        <f t="shared" ref="A16:A29" si="0">A15+1</f>
        <v>2009</v>
      </c>
      <c r="B16" s="450"/>
      <c r="C16" s="450">
        <v>126190.10000000009</v>
      </c>
      <c r="D16" s="450">
        <v>222475.35999999987</v>
      </c>
      <c r="E16" s="450">
        <v>266029.6799999997</v>
      </c>
      <c r="F16" s="450">
        <v>310947.12999999989</v>
      </c>
      <c r="G16" s="450">
        <v>337817.41000000015</v>
      </c>
      <c r="H16" s="450">
        <v>490035.19999999925</v>
      </c>
      <c r="I16" s="450">
        <v>513746.9299999997</v>
      </c>
      <c r="J16" s="450">
        <v>513746.9299999997</v>
      </c>
      <c r="K16" s="450">
        <v>513746.9299999997</v>
      </c>
      <c r="L16" s="450">
        <v>513746.9299999997</v>
      </c>
      <c r="M16" s="464">
        <v>513746.93</v>
      </c>
      <c r="N16" s="464">
        <v>513746.93</v>
      </c>
      <c r="O16" s="451">
        <v>513746.93</v>
      </c>
      <c r="P16" s="450"/>
      <c r="S16" s="317"/>
      <c r="T16" s="317"/>
    </row>
    <row r="17" spans="1:20">
      <c r="A17" s="449">
        <f t="shared" si="0"/>
        <v>2010</v>
      </c>
      <c r="B17" s="450">
        <v>60388.520000000019</v>
      </c>
      <c r="C17" s="450">
        <v>783228.95</v>
      </c>
      <c r="D17" s="450">
        <v>2133527.5099999998</v>
      </c>
      <c r="E17" s="450">
        <v>3075907.3200000003</v>
      </c>
      <c r="F17" s="450">
        <v>3926612.76</v>
      </c>
      <c r="G17" s="450">
        <v>4115762.0300000012</v>
      </c>
      <c r="H17" s="450">
        <v>4125195.129999999</v>
      </c>
      <c r="I17" s="450">
        <v>4154470.3600000013</v>
      </c>
      <c r="J17" s="450">
        <v>4161913.1999999993</v>
      </c>
      <c r="K17" s="450">
        <v>4161913.1999999993</v>
      </c>
      <c r="L17" s="464">
        <v>4161913.2</v>
      </c>
      <c r="M17" s="464">
        <v>4161913.2</v>
      </c>
      <c r="N17" s="451">
        <v>4161913.2</v>
      </c>
      <c r="O17" s="450"/>
      <c r="P17" s="450"/>
      <c r="S17" s="317"/>
      <c r="T17" s="317"/>
    </row>
    <row r="18" spans="1:20">
      <c r="A18" s="449">
        <f t="shared" si="0"/>
        <v>2011</v>
      </c>
      <c r="B18" s="450">
        <v>54913.299999999988</v>
      </c>
      <c r="C18" s="450">
        <v>267628.5</v>
      </c>
      <c r="D18" s="450">
        <v>488305.3600000001</v>
      </c>
      <c r="E18" s="450">
        <v>735574.61000000034</v>
      </c>
      <c r="F18" s="450">
        <v>1867859.870000001</v>
      </c>
      <c r="G18" s="450">
        <v>2016851.5899999999</v>
      </c>
      <c r="H18" s="450">
        <v>2219572.9900000002</v>
      </c>
      <c r="I18" s="450">
        <v>2261212.5299999993</v>
      </c>
      <c r="J18" s="450">
        <v>2261212.5299999993</v>
      </c>
      <c r="K18" s="464">
        <v>2261212.5300000003</v>
      </c>
      <c r="L18" s="464">
        <v>2261212.5300000003</v>
      </c>
      <c r="M18" s="451">
        <v>2261212.5300000003</v>
      </c>
      <c r="N18" s="450"/>
      <c r="O18" s="450"/>
      <c r="P18" s="450"/>
      <c r="S18" s="317"/>
      <c r="T18" s="317"/>
    </row>
    <row r="19" spans="1:20">
      <c r="A19" s="449">
        <f t="shared" si="0"/>
        <v>2012</v>
      </c>
      <c r="B19" s="450">
        <v>141404.79999999999</v>
      </c>
      <c r="C19" s="450">
        <v>615606.00999999989</v>
      </c>
      <c r="D19" s="450">
        <v>1233560.9899999998</v>
      </c>
      <c r="E19" s="450">
        <v>3584679.1900000004</v>
      </c>
      <c r="F19" s="450">
        <v>6119454.0600000005</v>
      </c>
      <c r="G19" s="450">
        <v>8273400.6799999997</v>
      </c>
      <c r="H19" s="450">
        <v>8667381.1600000001</v>
      </c>
      <c r="I19" s="450">
        <v>9247834.9899999984</v>
      </c>
      <c r="J19" s="464">
        <v>9254014.9900000002</v>
      </c>
      <c r="K19" s="464">
        <v>9259866.9900000002</v>
      </c>
      <c r="L19" s="451">
        <v>9259866.9900000002</v>
      </c>
      <c r="M19" s="450"/>
      <c r="N19" s="450"/>
      <c r="O19" s="450"/>
      <c r="P19" s="450"/>
      <c r="S19" s="317"/>
      <c r="T19" s="317"/>
    </row>
    <row r="20" spans="1:20">
      <c r="A20" s="449">
        <f t="shared" si="0"/>
        <v>2013</v>
      </c>
      <c r="B20" s="450">
        <v>118505.37</v>
      </c>
      <c r="C20" s="450">
        <v>2379563.4900000002</v>
      </c>
      <c r="D20" s="450">
        <v>3224864.3200000003</v>
      </c>
      <c r="E20" s="450">
        <v>5124248.58</v>
      </c>
      <c r="F20" s="450">
        <v>5914430.8599999994</v>
      </c>
      <c r="G20" s="450">
        <v>8375147.459999999</v>
      </c>
      <c r="H20" s="450">
        <v>9531542.6899999995</v>
      </c>
      <c r="I20" s="464">
        <v>9608070.7199999988</v>
      </c>
      <c r="J20" s="464">
        <v>9633016.8399999999</v>
      </c>
      <c r="K20" s="451">
        <v>9656235.5700000003</v>
      </c>
      <c r="L20" s="450"/>
      <c r="M20" s="450"/>
      <c r="N20" s="450"/>
      <c r="O20" s="450"/>
      <c r="P20" s="450"/>
      <c r="S20" s="317"/>
      <c r="T20" s="317"/>
    </row>
    <row r="21" spans="1:20">
      <c r="A21" s="449">
        <f t="shared" si="0"/>
        <v>2014</v>
      </c>
      <c r="B21" s="450">
        <v>222473.99000000002</v>
      </c>
      <c r="C21" s="450">
        <v>1504007.52</v>
      </c>
      <c r="D21" s="450">
        <v>2617904.1799999997</v>
      </c>
      <c r="E21" s="450">
        <v>3984687.1499999994</v>
      </c>
      <c r="F21" s="450">
        <v>8294996.3399999999</v>
      </c>
      <c r="G21" s="450">
        <v>8676900.4499999974</v>
      </c>
      <c r="H21" s="464">
        <v>9137835.0600000005</v>
      </c>
      <c r="I21" s="464">
        <v>9543822.2800000012</v>
      </c>
      <c r="J21" s="451">
        <v>10153742.140000001</v>
      </c>
      <c r="K21" s="450"/>
      <c r="L21" s="450"/>
      <c r="M21" s="450"/>
      <c r="N21" s="450"/>
      <c r="O21" s="450"/>
      <c r="P21" s="450"/>
      <c r="S21" s="317"/>
      <c r="T21" s="317"/>
    </row>
    <row r="22" spans="1:20">
      <c r="A22" s="449">
        <f t="shared" si="0"/>
        <v>2015</v>
      </c>
      <c r="B22" s="450">
        <v>264807.87000000005</v>
      </c>
      <c r="C22" s="450">
        <v>1129486.5800000003</v>
      </c>
      <c r="D22" s="450">
        <v>2511777.3599999994</v>
      </c>
      <c r="E22" s="450">
        <v>4957226.8000000007</v>
      </c>
      <c r="F22" s="450">
        <v>7258813.5999999996</v>
      </c>
      <c r="G22" s="464">
        <v>8191213.2999999998</v>
      </c>
      <c r="H22" s="464">
        <v>8925300.6600000001</v>
      </c>
      <c r="I22" s="451">
        <v>11478242.059999999</v>
      </c>
      <c r="J22" s="450"/>
      <c r="K22" s="450"/>
      <c r="L22" s="450"/>
      <c r="M22" s="450"/>
      <c r="N22" s="450"/>
      <c r="O22" s="450"/>
      <c r="P22" s="450"/>
      <c r="S22" s="317"/>
      <c r="T22" s="317"/>
    </row>
    <row r="23" spans="1:20">
      <c r="A23" s="449">
        <f t="shared" si="0"/>
        <v>2016</v>
      </c>
      <c r="B23" s="450">
        <v>306426.34999999998</v>
      </c>
      <c r="C23" s="450">
        <v>1855915.4299999997</v>
      </c>
      <c r="D23" s="450">
        <v>2790972.8600000003</v>
      </c>
      <c r="E23" s="450">
        <v>3970796.5300000003</v>
      </c>
      <c r="F23" s="464">
        <v>4877834</v>
      </c>
      <c r="G23" s="464">
        <v>6179012.5800000001</v>
      </c>
      <c r="H23" s="451">
        <v>7361472.7699999996</v>
      </c>
      <c r="I23" s="450"/>
      <c r="J23" s="450"/>
      <c r="K23" s="450"/>
      <c r="L23" s="450"/>
      <c r="M23" s="450"/>
      <c r="N23" s="450"/>
      <c r="O23" s="450"/>
      <c r="P23" s="450"/>
      <c r="S23" s="317"/>
      <c r="T23" s="317"/>
    </row>
    <row r="24" spans="1:20">
      <c r="A24" s="449">
        <f t="shared" si="0"/>
        <v>2017</v>
      </c>
      <c r="B24" s="450">
        <v>319907.93999999994</v>
      </c>
      <c r="C24" s="450">
        <v>1187761.1099999999</v>
      </c>
      <c r="D24" s="450">
        <v>1681136.1800000002</v>
      </c>
      <c r="E24" s="464">
        <v>5606177.0600000005</v>
      </c>
      <c r="F24" s="464">
        <v>5909566.4299999997</v>
      </c>
      <c r="G24" s="451">
        <v>7876861.9399999995</v>
      </c>
      <c r="H24" s="450"/>
      <c r="I24" s="450"/>
      <c r="J24" s="450"/>
      <c r="K24" s="450"/>
      <c r="L24" s="450"/>
      <c r="M24" s="450"/>
      <c r="N24" s="450"/>
      <c r="O24" s="450"/>
      <c r="P24" s="450"/>
      <c r="S24" s="317"/>
      <c r="T24" s="317"/>
    </row>
    <row r="25" spans="1:20">
      <c r="A25" s="449">
        <f t="shared" si="0"/>
        <v>2018</v>
      </c>
      <c r="B25" s="450">
        <v>172634.21999999997</v>
      </c>
      <c r="C25" s="450">
        <v>598205.95000000019</v>
      </c>
      <c r="D25" s="464">
        <v>881264.27</v>
      </c>
      <c r="E25" s="464">
        <v>2409982.7400000002</v>
      </c>
      <c r="F25" s="451">
        <v>3783056.71</v>
      </c>
      <c r="G25" s="450"/>
      <c r="H25" s="450"/>
      <c r="I25" s="450"/>
      <c r="J25" s="450"/>
      <c r="K25" s="450"/>
      <c r="L25" s="450"/>
      <c r="M25" s="450"/>
      <c r="N25" s="450"/>
      <c r="O25" s="450"/>
      <c r="P25" s="450"/>
      <c r="S25" s="317"/>
      <c r="T25" s="317"/>
    </row>
    <row r="26" spans="1:20">
      <c r="A26" s="449">
        <f t="shared" si="0"/>
        <v>2019</v>
      </c>
      <c r="B26" s="450">
        <v>247423.62999999995</v>
      </c>
      <c r="C26" s="464">
        <v>756810.41999999993</v>
      </c>
      <c r="D26" s="464">
        <v>2104399.2000000002</v>
      </c>
      <c r="E26" s="451">
        <v>3080069.61</v>
      </c>
      <c r="F26" s="450"/>
      <c r="G26" s="450"/>
      <c r="H26" s="450"/>
      <c r="I26" s="450"/>
      <c r="J26" s="450"/>
      <c r="K26" s="450"/>
      <c r="L26" s="450"/>
      <c r="M26" s="450"/>
      <c r="N26" s="450"/>
      <c r="O26" s="450"/>
      <c r="P26" s="450"/>
      <c r="S26" s="317"/>
      <c r="T26" s="317"/>
    </row>
    <row r="27" spans="1:20">
      <c r="A27" s="449">
        <f t="shared" si="0"/>
        <v>2020</v>
      </c>
      <c r="B27" s="464">
        <v>147052.98000000001</v>
      </c>
      <c r="C27" s="464">
        <v>490645.01</v>
      </c>
      <c r="D27" s="451">
        <v>707758.45</v>
      </c>
      <c r="E27" s="450"/>
      <c r="F27" s="450"/>
      <c r="G27" s="450"/>
      <c r="H27" s="450"/>
      <c r="I27" s="450"/>
      <c r="J27" s="450"/>
      <c r="K27" s="450"/>
      <c r="L27" s="450"/>
      <c r="M27" s="450"/>
      <c r="N27" s="450"/>
      <c r="O27" s="450"/>
      <c r="P27" s="450"/>
      <c r="S27" s="317"/>
      <c r="T27" s="317"/>
    </row>
    <row r="28" spans="1:20">
      <c r="A28" s="449">
        <f t="shared" si="0"/>
        <v>2021</v>
      </c>
      <c r="B28" s="464">
        <v>329236.52</v>
      </c>
      <c r="C28" s="451">
        <v>526652.62</v>
      </c>
      <c r="D28" s="450"/>
      <c r="E28" s="450"/>
      <c r="F28" s="450"/>
      <c r="G28" s="450"/>
      <c r="H28" s="450"/>
      <c r="I28" s="450"/>
      <c r="J28" s="450"/>
      <c r="K28" s="450"/>
      <c r="L28" s="450"/>
      <c r="M28" s="450"/>
      <c r="N28" s="450"/>
      <c r="O28" s="450"/>
      <c r="P28" s="450"/>
      <c r="S28" s="317"/>
      <c r="T28" s="317"/>
    </row>
    <row r="29" spans="1:20">
      <c r="A29" s="449">
        <f t="shared" si="0"/>
        <v>2022</v>
      </c>
      <c r="B29" s="451">
        <v>24822.84</v>
      </c>
      <c r="C29" s="451"/>
      <c r="D29" s="451"/>
      <c r="E29" s="451"/>
      <c r="F29" s="451"/>
      <c r="G29" s="451"/>
      <c r="H29" s="451"/>
      <c r="I29" s="451"/>
      <c r="J29" s="451"/>
      <c r="K29" s="451"/>
      <c r="L29" s="451"/>
      <c r="M29" s="451"/>
      <c r="N29" s="451"/>
      <c r="O29" s="451"/>
      <c r="P29" s="451"/>
    </row>
    <row r="30" spans="1:20">
      <c r="B30" s="451"/>
      <c r="C30" s="451"/>
      <c r="D30" s="451"/>
      <c r="E30" s="451"/>
      <c r="F30" s="451"/>
      <c r="G30" s="451"/>
      <c r="H30" s="451"/>
      <c r="I30" s="451"/>
      <c r="J30" s="451"/>
      <c r="K30" s="451"/>
      <c r="L30" s="451"/>
      <c r="M30" s="451"/>
      <c r="N30" s="451"/>
      <c r="O30" s="451"/>
      <c r="P30" s="451"/>
    </row>
    <row r="31" spans="1:20">
      <c r="A31" s="446"/>
      <c r="B31" s="452"/>
      <c r="C31" s="452"/>
      <c r="D31" s="452"/>
      <c r="E31" s="452"/>
      <c r="F31" s="452"/>
      <c r="G31" s="452"/>
      <c r="H31" s="452"/>
      <c r="I31" s="452"/>
      <c r="J31" s="452"/>
      <c r="K31" s="452"/>
      <c r="L31" s="452"/>
      <c r="M31" s="452"/>
      <c r="N31" s="452"/>
      <c r="O31" s="452"/>
      <c r="P31" s="452"/>
    </row>
    <row r="32" spans="1:20">
      <c r="B32" s="446" t="s">
        <v>1032</v>
      </c>
    </row>
    <row r="33" spans="1:16">
      <c r="A33" s="447" t="s">
        <v>170</v>
      </c>
      <c r="B33" s="453" t="s">
        <v>1033</v>
      </c>
      <c r="C33" s="453" t="s">
        <v>1034</v>
      </c>
      <c r="D33" s="453" t="s">
        <v>1035</v>
      </c>
      <c r="E33" s="453" t="s">
        <v>1036</v>
      </c>
      <c r="F33" s="453" t="s">
        <v>1037</v>
      </c>
      <c r="G33" s="453" t="s">
        <v>1038</v>
      </c>
      <c r="H33" s="453" t="s">
        <v>1039</v>
      </c>
      <c r="I33" s="453" t="s">
        <v>1040</v>
      </c>
      <c r="J33" s="453" t="s">
        <v>1041</v>
      </c>
      <c r="K33" s="453" t="s">
        <v>1042</v>
      </c>
      <c r="L33" s="453" t="s">
        <v>1043</v>
      </c>
      <c r="M33" s="453" t="s">
        <v>1044</v>
      </c>
      <c r="N33" s="453" t="s">
        <v>1045</v>
      </c>
      <c r="O33" s="453" t="s">
        <v>1046</v>
      </c>
      <c r="P33" s="453" t="s">
        <v>1071</v>
      </c>
    </row>
    <row r="34" spans="1:16">
      <c r="A34" s="449"/>
      <c r="B34" s="449"/>
      <c r="C34" s="449"/>
      <c r="D34" s="449"/>
      <c r="E34" s="449"/>
      <c r="F34" s="449"/>
      <c r="G34" s="449"/>
      <c r="H34" s="449"/>
      <c r="I34" s="449"/>
      <c r="J34" s="449"/>
      <c r="K34" s="449"/>
      <c r="L34" s="449"/>
      <c r="M34" s="449"/>
      <c r="N34" s="449"/>
      <c r="O34" s="449"/>
      <c r="P34" s="449"/>
    </row>
    <row r="36" spans="1:16">
      <c r="A36" s="449">
        <f>A13</f>
        <v>2006</v>
      </c>
      <c r="G36" s="454">
        <f t="shared" ref="G36:O41" si="1">IF(G13=0,0,H13/G13)</f>
        <v>1.1499143734003354</v>
      </c>
      <c r="H36" s="454">
        <f t="shared" si="1"/>
        <v>1.3063757453295244</v>
      </c>
      <c r="I36" s="454">
        <f t="shared" si="1"/>
        <v>1</v>
      </c>
      <c r="J36" s="454">
        <f t="shared" si="1"/>
        <v>1</v>
      </c>
      <c r="K36" s="454">
        <f t="shared" si="1"/>
        <v>1</v>
      </c>
      <c r="L36" s="454">
        <f t="shared" si="1"/>
        <v>1</v>
      </c>
      <c r="M36" s="454">
        <f t="shared" si="1"/>
        <v>1</v>
      </c>
      <c r="N36" s="454">
        <f t="shared" si="1"/>
        <v>1</v>
      </c>
      <c r="O36" s="454">
        <f t="shared" si="1"/>
        <v>1.0000000000000018</v>
      </c>
    </row>
    <row r="37" spans="1:16">
      <c r="A37" s="449">
        <f>A36+1</f>
        <v>2007</v>
      </c>
      <c r="B37" s="463"/>
      <c r="C37" s="463"/>
      <c r="D37" s="463"/>
      <c r="E37" s="463"/>
      <c r="F37" s="463"/>
      <c r="G37" s="454">
        <f t="shared" si="1"/>
        <v>1.0004679104631757</v>
      </c>
      <c r="H37" s="454">
        <f t="shared" si="1"/>
        <v>1</v>
      </c>
      <c r="I37" s="454">
        <f t="shared" si="1"/>
        <v>1</v>
      </c>
      <c r="J37" s="454">
        <f t="shared" si="1"/>
        <v>1</v>
      </c>
      <c r="K37" s="454">
        <f t="shared" si="1"/>
        <v>1</v>
      </c>
      <c r="L37" s="454">
        <f t="shared" si="1"/>
        <v>1</v>
      </c>
      <c r="M37" s="454">
        <f t="shared" si="1"/>
        <v>1</v>
      </c>
      <c r="N37" s="454">
        <f t="shared" si="1"/>
        <v>0.99999999999999967</v>
      </c>
      <c r="O37" s="454">
        <f t="shared" si="1"/>
        <v>1</v>
      </c>
      <c r="P37" s="455"/>
    </row>
    <row r="38" spans="1:16">
      <c r="A38" s="449">
        <f>A37+1</f>
        <v>2008</v>
      </c>
      <c r="B38" s="463"/>
      <c r="C38" s="463"/>
      <c r="D38" s="463"/>
      <c r="E38" s="454"/>
      <c r="F38" s="454">
        <f t="shared" ref="F38:F47" si="2">IF(F15=0,0,G15/F15)</f>
        <v>1.5656602846759722</v>
      </c>
      <c r="G38" s="454">
        <f t="shared" si="1"/>
        <v>1.3470468867810241</v>
      </c>
      <c r="H38" s="454">
        <f t="shared" si="1"/>
        <v>2.1020278730942108</v>
      </c>
      <c r="I38" s="454">
        <f t="shared" si="1"/>
        <v>1.0020546473917959</v>
      </c>
      <c r="J38" s="454">
        <f t="shared" si="1"/>
        <v>1</v>
      </c>
      <c r="K38" s="454">
        <f t="shared" si="1"/>
        <v>1</v>
      </c>
      <c r="L38" s="454">
        <f t="shared" si="1"/>
        <v>0.99999999999999678</v>
      </c>
      <c r="M38" s="454">
        <f t="shared" si="1"/>
        <v>1.000000000000002</v>
      </c>
      <c r="N38" s="454">
        <f t="shared" si="1"/>
        <v>1</v>
      </c>
      <c r="O38" s="454">
        <f t="shared" si="1"/>
        <v>1</v>
      </c>
      <c r="P38" s="455"/>
    </row>
    <row r="39" spans="1:16">
      <c r="A39" s="449">
        <f t="shared" ref="A39:A52" si="3">A38+1</f>
        <v>2009</v>
      </c>
      <c r="B39" s="463"/>
      <c r="C39" s="463"/>
      <c r="D39" s="454"/>
      <c r="E39" s="454">
        <f t="shared" ref="E39:E48" si="4">IF(E16=0,0,F16/E16)</f>
        <v>1.168843754576558</v>
      </c>
      <c r="F39" s="454">
        <f t="shared" si="2"/>
        <v>1.0864143045796895</v>
      </c>
      <c r="G39" s="454">
        <f t="shared" si="1"/>
        <v>1.4505919040703055</v>
      </c>
      <c r="H39" s="454">
        <f t="shared" si="1"/>
        <v>1.0483878096920394</v>
      </c>
      <c r="I39" s="454">
        <f t="shared" si="1"/>
        <v>1</v>
      </c>
      <c r="J39" s="454">
        <f t="shared" si="1"/>
        <v>1</v>
      </c>
      <c r="K39" s="454">
        <f t="shared" si="1"/>
        <v>1</v>
      </c>
      <c r="L39" s="454">
        <f t="shared" si="1"/>
        <v>1.0000000000000007</v>
      </c>
      <c r="M39" s="454">
        <f t="shared" si="1"/>
        <v>1</v>
      </c>
      <c r="N39" s="454">
        <f t="shared" si="1"/>
        <v>1</v>
      </c>
      <c r="O39" s="454"/>
      <c r="P39" s="455"/>
    </row>
    <row r="40" spans="1:16">
      <c r="A40" s="449">
        <f t="shared" si="3"/>
        <v>2010</v>
      </c>
      <c r="B40" s="463"/>
      <c r="C40" s="463"/>
      <c r="D40" s="454">
        <f t="shared" ref="D40:D49" si="5">IF(D17=0,0,E17/D17)</f>
        <v>1.4417003322352289</v>
      </c>
      <c r="E40" s="454">
        <f t="shared" si="4"/>
        <v>1.2765705697530572</v>
      </c>
      <c r="F40" s="454">
        <f t="shared" si="2"/>
        <v>1.0481711035849639</v>
      </c>
      <c r="G40" s="454">
        <f t="shared" si="1"/>
        <v>1.0022919449499847</v>
      </c>
      <c r="H40" s="454">
        <f t="shared" si="1"/>
        <v>1.0070966897510136</v>
      </c>
      <c r="I40" s="454">
        <f t="shared" si="1"/>
        <v>1.0017915255989449</v>
      </c>
      <c r="J40" s="454">
        <f t="shared" si="1"/>
        <v>1</v>
      </c>
      <c r="K40" s="454">
        <f t="shared" si="1"/>
        <v>1.0000000000000002</v>
      </c>
      <c r="L40" s="454">
        <f t="shared" si="1"/>
        <v>1</v>
      </c>
      <c r="M40" s="454">
        <f t="shared" si="1"/>
        <v>1</v>
      </c>
      <c r="N40" s="454"/>
      <c r="O40" s="454"/>
      <c r="P40" s="455"/>
    </row>
    <row r="41" spans="1:16">
      <c r="A41" s="449">
        <f t="shared" si="3"/>
        <v>2011</v>
      </c>
      <c r="B41" s="463"/>
      <c r="C41" s="454">
        <f t="shared" ref="C41:C50" si="6">IF(C18=0,0,D18/C18)</f>
        <v>1.8245641252706648</v>
      </c>
      <c r="D41" s="454">
        <f t="shared" si="5"/>
        <v>1.5063824202134504</v>
      </c>
      <c r="E41" s="454">
        <f t="shared" si="4"/>
        <v>2.5393207495294057</v>
      </c>
      <c r="F41" s="454">
        <f t="shared" si="2"/>
        <v>1.0797660051447</v>
      </c>
      <c r="G41" s="454">
        <f t="shared" si="1"/>
        <v>1.1005137913989995</v>
      </c>
      <c r="H41" s="454">
        <f t="shared" si="1"/>
        <v>1.0187601580067882</v>
      </c>
      <c r="I41" s="454">
        <f t="shared" si="1"/>
        <v>1</v>
      </c>
      <c r="J41" s="454">
        <f t="shared" si="1"/>
        <v>1.0000000000000004</v>
      </c>
      <c r="K41" s="454">
        <f t="shared" si="1"/>
        <v>1</v>
      </c>
      <c r="L41" s="454">
        <f t="shared" si="1"/>
        <v>1</v>
      </c>
      <c r="M41" s="454"/>
      <c r="N41" s="454"/>
      <c r="O41" s="454"/>
      <c r="P41" s="455"/>
    </row>
    <row r="42" spans="1:16">
      <c r="A42" s="449">
        <f t="shared" si="3"/>
        <v>2012</v>
      </c>
      <c r="B42" s="454">
        <f t="shared" ref="B42:B51" si="7">IF(B19=0,0,C19/B19)</f>
        <v>4.3535015077281676</v>
      </c>
      <c r="C42" s="454">
        <f t="shared" si="6"/>
        <v>2.0038157034886646</v>
      </c>
      <c r="D42" s="454">
        <f t="shared" si="5"/>
        <v>2.9059602395500534</v>
      </c>
      <c r="E42" s="454">
        <f t="shared" si="4"/>
        <v>1.707113450227606</v>
      </c>
      <c r="F42" s="454">
        <f t="shared" si="2"/>
        <v>1.351983461086723</v>
      </c>
      <c r="G42" s="454">
        <f>IF(G19=0,0,H19/G19)</f>
        <v>1.0476201377448577</v>
      </c>
      <c r="H42" s="454">
        <f>IF(H19=0,0,I19/H19)</f>
        <v>1.0669699208197736</v>
      </c>
      <c r="I42" s="454">
        <f>IF(I19=0,0,J19/I19)</f>
        <v>1.0006682645188505</v>
      </c>
      <c r="J42" s="454">
        <f>IF(J19=0,0,K19/J19)</f>
        <v>1.0006323741647625</v>
      </c>
      <c r="K42" s="454">
        <f>IF(K19=0,0,L19/K19)</f>
        <v>1</v>
      </c>
      <c r="L42" s="454"/>
      <c r="M42" s="454"/>
      <c r="N42" s="454"/>
      <c r="O42" s="454"/>
      <c r="P42" s="455"/>
    </row>
    <row r="43" spans="1:16">
      <c r="A43" s="449">
        <f t="shared" si="3"/>
        <v>2013</v>
      </c>
      <c r="B43" s="454">
        <f t="shared" si="7"/>
        <v>20.079794611839112</v>
      </c>
      <c r="C43" s="454">
        <f t="shared" si="6"/>
        <v>1.3552335684894881</v>
      </c>
      <c r="D43" s="454">
        <f t="shared" si="5"/>
        <v>1.5889811389026127</v>
      </c>
      <c r="E43" s="454">
        <f t="shared" si="4"/>
        <v>1.1542045175333784</v>
      </c>
      <c r="F43" s="454">
        <f t="shared" si="2"/>
        <v>1.416052982653347</v>
      </c>
      <c r="G43" s="454">
        <f>IF(G20=0,0,H20/G20)</f>
        <v>1.1380746112857099</v>
      </c>
      <c r="H43" s="454">
        <f>IF(H20=0,0,I20/H20)</f>
        <v>1.0080289238047782</v>
      </c>
      <c r="I43" s="454">
        <f>IF(I20=0,0,J20/I20)</f>
        <v>1.0025963713972332</v>
      </c>
      <c r="J43" s="454">
        <f>IF(J20=0,0,K20/J20)</f>
        <v>1.0024103279777927</v>
      </c>
      <c r="K43" s="454"/>
      <c r="L43" s="454"/>
      <c r="M43" s="454"/>
      <c r="N43" s="454"/>
      <c r="O43" s="454"/>
      <c r="P43" s="455"/>
    </row>
    <row r="44" spans="1:16">
      <c r="A44" s="449">
        <f t="shared" si="3"/>
        <v>2014</v>
      </c>
      <c r="B44" s="454">
        <f t="shared" si="7"/>
        <v>6.7603746397500215</v>
      </c>
      <c r="C44" s="454">
        <f t="shared" si="6"/>
        <v>1.7406190761599381</v>
      </c>
      <c r="D44" s="454">
        <f t="shared" si="5"/>
        <v>1.5220905258648543</v>
      </c>
      <c r="E44" s="454">
        <f t="shared" si="4"/>
        <v>2.0817183451905379</v>
      </c>
      <c r="F44" s="454">
        <f t="shared" si="2"/>
        <v>1.0460402987953576</v>
      </c>
      <c r="G44" s="454">
        <f>IF(G21=0,0,H21/G21)</f>
        <v>1.0531220350695625</v>
      </c>
      <c r="H44" s="454">
        <f>IF(H21=0,0,I21/H21)</f>
        <v>1.0444292567478233</v>
      </c>
      <c r="I44" s="454">
        <f>IF(I21=0,0,J21/I21)</f>
        <v>1.0639072943843626</v>
      </c>
      <c r="J44" s="454"/>
      <c r="K44" s="454"/>
      <c r="L44" s="454"/>
      <c r="M44" s="454"/>
      <c r="N44" s="454"/>
      <c r="O44" s="454"/>
      <c r="P44" s="455"/>
    </row>
    <row r="45" spans="1:16">
      <c r="A45" s="449">
        <f t="shared" si="3"/>
        <v>2015</v>
      </c>
      <c r="B45" s="454">
        <f t="shared" si="7"/>
        <v>4.2653059367155519</v>
      </c>
      <c r="C45" s="454">
        <f t="shared" si="6"/>
        <v>2.2238222254929303</v>
      </c>
      <c r="D45" s="454">
        <f t="shared" si="5"/>
        <v>1.973593232801494</v>
      </c>
      <c r="E45" s="454">
        <f t="shared" si="4"/>
        <v>1.464289186849389</v>
      </c>
      <c r="F45" s="454">
        <f t="shared" si="2"/>
        <v>1.1284507016408301</v>
      </c>
      <c r="G45" s="454">
        <f>IF(G22=0,0,H22/G22)</f>
        <v>1.0896188797818267</v>
      </c>
      <c r="H45" s="454">
        <f>IF(H22=0,0,I22/H22)</f>
        <v>1.2860342185940432</v>
      </c>
      <c r="I45" s="454"/>
      <c r="J45" s="454"/>
      <c r="K45" s="454"/>
      <c r="L45" s="454"/>
      <c r="M45" s="454"/>
      <c r="N45" s="454"/>
      <c r="O45" s="454"/>
      <c r="P45" s="455"/>
    </row>
    <row r="46" spans="1:16">
      <c r="A46" s="449">
        <f t="shared" si="3"/>
        <v>2016</v>
      </c>
      <c r="B46" s="454">
        <f t="shared" si="7"/>
        <v>6.0566443780046981</v>
      </c>
      <c r="C46" s="454">
        <f t="shared" si="6"/>
        <v>1.5038254517879626</v>
      </c>
      <c r="D46" s="454">
        <f t="shared" si="5"/>
        <v>1.4227284639378399</v>
      </c>
      <c r="E46" s="454">
        <f t="shared" si="4"/>
        <v>1.2284270833690891</v>
      </c>
      <c r="F46" s="454">
        <f t="shared" si="2"/>
        <v>1.2667533540501787</v>
      </c>
      <c r="G46" s="454">
        <f>IF(G23=0,0,H23/G23)</f>
        <v>1.1913671763393625</v>
      </c>
      <c r="H46" s="454"/>
      <c r="I46" s="454"/>
      <c r="J46" s="454"/>
      <c r="K46" s="454"/>
      <c r="L46" s="454"/>
      <c r="M46" s="454"/>
      <c r="N46" s="454"/>
      <c r="O46" s="454"/>
      <c r="P46" s="455"/>
    </row>
    <row r="47" spans="1:16">
      <c r="A47" s="449">
        <f t="shared" si="3"/>
        <v>2017</v>
      </c>
      <c r="B47" s="454">
        <f t="shared" si="7"/>
        <v>3.7128216011143707</v>
      </c>
      <c r="C47" s="454">
        <f t="shared" si="6"/>
        <v>1.4153824079995347</v>
      </c>
      <c r="D47" s="454">
        <f t="shared" si="5"/>
        <v>3.3347548679845791</v>
      </c>
      <c r="E47" s="454">
        <f t="shared" si="4"/>
        <v>1.054116979673132</v>
      </c>
      <c r="F47" s="454">
        <f t="shared" si="2"/>
        <v>1.3329001430651486</v>
      </c>
      <c r="G47" s="454"/>
      <c r="H47" s="454"/>
      <c r="I47" s="454"/>
      <c r="J47" s="454"/>
      <c r="K47" s="454"/>
      <c r="L47" s="454"/>
      <c r="M47" s="454"/>
      <c r="N47" s="454"/>
      <c r="O47" s="454"/>
      <c r="P47" s="455"/>
    </row>
    <row r="48" spans="1:16">
      <c r="A48" s="449">
        <f t="shared" si="3"/>
        <v>2018</v>
      </c>
      <c r="B48" s="454">
        <f t="shared" si="7"/>
        <v>3.4651643805034729</v>
      </c>
      <c r="C48" s="454">
        <f t="shared" si="6"/>
        <v>1.4731787104424483</v>
      </c>
      <c r="D48" s="454">
        <f t="shared" si="5"/>
        <v>2.7346879046849364</v>
      </c>
      <c r="E48" s="454">
        <f t="shared" si="4"/>
        <v>1.5697443169240288</v>
      </c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5"/>
    </row>
    <row r="49" spans="1:17">
      <c r="A49" s="449">
        <f t="shared" si="3"/>
        <v>2019</v>
      </c>
      <c r="B49" s="454">
        <f t="shared" si="7"/>
        <v>3.0587637082197854</v>
      </c>
      <c r="C49" s="454">
        <f t="shared" si="6"/>
        <v>2.7806160491289225</v>
      </c>
      <c r="D49" s="454">
        <f t="shared" si="5"/>
        <v>1.4636337107522184</v>
      </c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5"/>
    </row>
    <row r="50" spans="1:17">
      <c r="A50" s="449">
        <f t="shared" si="3"/>
        <v>2020</v>
      </c>
      <c r="B50" s="454">
        <f t="shared" si="7"/>
        <v>3.3365186479049931</v>
      </c>
      <c r="C50" s="454">
        <f t="shared" si="6"/>
        <v>1.4425061614302364</v>
      </c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5"/>
    </row>
    <row r="51" spans="1:17">
      <c r="A51" s="449">
        <f t="shared" si="3"/>
        <v>2021</v>
      </c>
      <c r="B51" s="454">
        <f t="shared" si="7"/>
        <v>1.5996178674224839</v>
      </c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5"/>
    </row>
    <row r="52" spans="1:17">
      <c r="A52" s="449">
        <f t="shared" si="3"/>
        <v>2022</v>
      </c>
      <c r="B52" s="454"/>
      <c r="C52" s="454"/>
      <c r="D52" s="454"/>
      <c r="E52" s="454"/>
      <c r="F52" s="454"/>
      <c r="G52" s="454"/>
      <c r="H52" s="454"/>
      <c r="I52" s="454"/>
      <c r="J52" s="454"/>
      <c r="K52" s="454"/>
      <c r="L52" s="454"/>
      <c r="M52" s="454"/>
      <c r="N52" s="454"/>
      <c r="O52" s="454"/>
      <c r="P52" s="455"/>
    </row>
    <row r="53" spans="1:17">
      <c r="B53" s="455"/>
      <c r="C53" s="455"/>
      <c r="D53" s="455"/>
      <c r="E53" s="455"/>
      <c r="F53" s="455"/>
      <c r="G53" s="455"/>
      <c r="H53" s="455"/>
      <c r="I53" s="455"/>
      <c r="J53" s="455"/>
      <c r="K53" s="455"/>
      <c r="L53" s="455"/>
      <c r="M53" s="455"/>
      <c r="N53" s="455"/>
      <c r="O53" s="455"/>
      <c r="P53" s="455"/>
    </row>
    <row r="54" spans="1:17">
      <c r="A54" s="446" t="s">
        <v>1053</v>
      </c>
      <c r="B54" s="455"/>
      <c r="C54" s="455"/>
      <c r="D54" s="455"/>
      <c r="E54" s="455"/>
      <c r="F54" s="455"/>
      <c r="G54" s="455"/>
      <c r="H54" s="455"/>
      <c r="I54" s="455"/>
      <c r="J54" s="455"/>
      <c r="K54" s="455"/>
      <c r="L54" s="455"/>
      <c r="M54" s="455"/>
      <c r="N54" s="455"/>
      <c r="O54" s="455"/>
      <c r="P54" s="455"/>
    </row>
    <row r="55" spans="1:17">
      <c r="B55" s="456" t="s">
        <v>1054</v>
      </c>
      <c r="C55" s="455"/>
      <c r="D55" s="455"/>
      <c r="E55" s="455"/>
      <c r="F55" s="455"/>
      <c r="G55" s="457"/>
      <c r="H55" s="457"/>
      <c r="I55" s="457"/>
      <c r="J55" s="457"/>
      <c r="K55" s="457"/>
      <c r="L55" s="457"/>
      <c r="M55" s="457"/>
      <c r="N55" s="457"/>
      <c r="O55" s="457"/>
      <c r="P55" s="455"/>
    </row>
    <row r="56" spans="1:17">
      <c r="A56" s="458" t="s">
        <v>1055</v>
      </c>
      <c r="B56" s="455">
        <f>SUMPRODUCT(B26:B28,B49:B51)/SUM(B26:B28)</f>
        <v>2.451396798618259</v>
      </c>
      <c r="C56" s="455">
        <f>SUMPRODUCT(C25:C27,C48:C50)/SUM(C25:C27)</f>
        <v>2.0011373483905266</v>
      </c>
      <c r="D56" s="455">
        <f>SUMPRODUCT(D24:D26,D47:D49)/SUM(D24:D26)</f>
        <v>2.377695689164629</v>
      </c>
      <c r="E56" s="455">
        <f>SUMPRODUCT(E23:E25,E46:E48)/SUM(E23:E25)</f>
        <v>1.2155260050071441</v>
      </c>
      <c r="F56" s="455" cm="1">
        <f t="array" ref="F56">SUMPRODUCT(F22:F24,F45:F47/SUM(F22:F24))</f>
        <v>1.2327842162913767</v>
      </c>
      <c r="G56" s="455" cm="1">
        <f t="array" ref="G56">SUMPRODUCT(G21:G23,G44:G46/SUM(G21:G23))</f>
        <v>1.1031574230104895</v>
      </c>
      <c r="H56" s="455" cm="1">
        <f t="array" ref="H56">SUMPRODUCT(H20:H22,H43:H45/SUM(H20:H22))</f>
        <v>1.1100015229349434</v>
      </c>
      <c r="I56" s="455" cm="1">
        <f t="array" ref="I56">SUMPRODUCT(I19:I21,I42:I44/SUM(I19:I21))</f>
        <v>1.0225722577422474</v>
      </c>
      <c r="J56" s="455" cm="1">
        <f t="array" ref="J56">SUMPRODUCT(J18:J20,J41:J43/SUM(J18:J20))</f>
        <v>1.0013746167060082</v>
      </c>
      <c r="K56" s="455" cm="1">
        <f t="array" ref="K56">SUMPRODUCT(K17:K19,K40:K42/SUM(K17:K19))</f>
        <v>1</v>
      </c>
      <c r="L56" s="455" cm="1">
        <f t="array" ref="L56">SUMPRODUCT(L16:L18,L39:L41/SUM(L16:L18))</f>
        <v>1</v>
      </c>
      <c r="M56" s="455" cm="1">
        <f t="array" ref="M56">SUMPRODUCT(M15:M17,M38:M40/SUM(M15:M17))</f>
        <v>1.0000000000000002</v>
      </c>
      <c r="N56" s="455">
        <f>SUMPRODUCT(N15:N16,N38:N39)/SUM(N15:N16)</f>
        <v>1</v>
      </c>
      <c r="O56" s="455">
        <f>O38</f>
        <v>1</v>
      </c>
    </row>
    <row r="57" spans="1:17">
      <c r="B57" s="456" t="s">
        <v>1056</v>
      </c>
      <c r="C57" s="457"/>
      <c r="D57" s="457"/>
      <c r="E57" s="457"/>
      <c r="F57" s="455"/>
      <c r="G57" s="455"/>
      <c r="H57" s="455"/>
      <c r="I57" s="455"/>
      <c r="J57" s="455"/>
      <c r="K57" s="455"/>
      <c r="L57" s="455"/>
      <c r="M57" s="455"/>
      <c r="N57" s="455"/>
      <c r="O57" s="455"/>
      <c r="P57" s="455"/>
    </row>
    <row r="58" spans="1:17">
      <c r="A58" s="458" t="s">
        <v>1057</v>
      </c>
      <c r="B58" s="455">
        <f>SUMPRODUCT(B24:B28,B47:B51)/SUM(B24:B28)</f>
        <v>2.9270788289849912</v>
      </c>
      <c r="C58" s="457">
        <f>SUMPRODUCT(C23:C27,C46:C50)/SUM(C23:C27)</f>
        <v>1.6700688505489922</v>
      </c>
      <c r="D58" s="457">
        <f>SUMPRODUCT(D22:D26,D45:D49)/SUM(D22:D26)</f>
        <v>2.0085413083951003</v>
      </c>
      <c r="E58" s="457">
        <f>SUMPRODUCT(E21:E25,E44:E48)/SUM(E21:E25)</f>
        <v>1.4393642216219993</v>
      </c>
      <c r="F58" s="457">
        <f>SUMPRODUCT(F20:F24,F43:F47)/SUM(F20:F24)</f>
        <v>1.2183647334671199</v>
      </c>
      <c r="G58" s="457">
        <f>SUMPRODUCT(G19:G23,G42:G46)/SUM(G19:G23)</f>
        <v>1.0989492664488794</v>
      </c>
      <c r="H58" s="457">
        <f>SUMPRODUCT(H18:H22,H41:H45)/SUM(H18:H22)</f>
        <v>1.0950466437279447</v>
      </c>
      <c r="I58" s="457">
        <f>SUMPRODUCT(I17:I21,I40:I44)/SUM(I17:I21)</f>
        <v>1.0186264876274242</v>
      </c>
      <c r="J58" s="457">
        <f>SUMPRODUCT(J16:J20,J39:J43)/SUM(J16:J20)</f>
        <v>1.0011257294578075</v>
      </c>
      <c r="K58" s="457">
        <f>SUMPRODUCT(K15:K19,K38:K42)/SUM(K15:K19)</f>
        <v>1.0000000000000002</v>
      </c>
      <c r="L58" s="457">
        <f>SUMPRODUCT(L15:L18,L38:L41)/SUM(L15:L18)</f>
        <v>0.99999999999999989</v>
      </c>
      <c r="M58" s="457">
        <f>M56</f>
        <v>1.0000000000000002</v>
      </c>
      <c r="N58" s="457">
        <f>N56</f>
        <v>1</v>
      </c>
      <c r="O58" s="457">
        <f>O56</f>
        <v>1</v>
      </c>
    </row>
    <row r="59" spans="1:17">
      <c r="B59" s="456" t="s">
        <v>1058</v>
      </c>
      <c r="C59" s="455"/>
      <c r="D59" s="455"/>
      <c r="E59" s="455"/>
      <c r="F59" s="455"/>
      <c r="G59" s="455"/>
      <c r="H59" s="455"/>
      <c r="I59" s="455"/>
      <c r="J59" s="455"/>
      <c r="K59" s="455"/>
      <c r="L59" s="455"/>
      <c r="M59" s="455"/>
      <c r="N59" s="455"/>
      <c r="O59" s="455"/>
      <c r="P59" s="455"/>
    </row>
    <row r="60" spans="1:17">
      <c r="A60" s="458" t="s">
        <v>1059</v>
      </c>
      <c r="B60" s="455">
        <f>SUMPRODUCT(B22:B28,B45:B51)/SUM(B22:B28)</f>
        <v>3.6618268713644091</v>
      </c>
      <c r="C60" s="455">
        <f>SUMPRODUCT(C21:C27,C44:C50)/SUM(C21:C27)</f>
        <v>1.7673148176981359</v>
      </c>
      <c r="D60" s="455">
        <f>SUMPRODUCT(D20:D26,D43:D49)/SUM(D20:D26)</f>
        <v>1.8424362442178688</v>
      </c>
      <c r="E60" s="455">
        <f>SUMPRODUCT(E19:E25,E42:E48)/SUM(E19:E25)</f>
        <v>1.422445484272405</v>
      </c>
      <c r="F60" s="455">
        <f>SUMPRODUCT(F18:F24,F41:F47)/SUM(F18:F24)</f>
        <v>1.2322501616205856</v>
      </c>
      <c r="G60" s="455">
        <f>SUMPRODUCT(G17:G23,G40:G46)/SUM(G17:G23)</f>
        <v>1.090337486791338</v>
      </c>
      <c r="H60" s="455">
        <f>SUMPRODUCT(H16:H22,H39:H45)/SUM(H16:H22)</f>
        <v>1.0860976120111281</v>
      </c>
      <c r="I60" s="455">
        <f>SUMPRODUCT(I15:I21,I38:I44)/SUM(I15:I21)</f>
        <v>1.0180932471026929</v>
      </c>
      <c r="J60" s="455">
        <f>SUMPRODUCT(J13:J20,J36:J43)/SUM(J13:J20)</f>
        <v>1.0010563688032856</v>
      </c>
      <c r="K60" s="455">
        <f>K58</f>
        <v>1.0000000000000002</v>
      </c>
      <c r="L60" s="455">
        <f>L58</f>
        <v>0.99999999999999989</v>
      </c>
      <c r="M60" s="455">
        <f>M56</f>
        <v>1.0000000000000002</v>
      </c>
      <c r="N60" s="455">
        <f>M56</f>
        <v>1.0000000000000002</v>
      </c>
      <c r="O60" s="455">
        <f>M56</f>
        <v>1.0000000000000002</v>
      </c>
    </row>
    <row r="61" spans="1:17">
      <c r="B61" s="456" t="s">
        <v>1060</v>
      </c>
      <c r="C61" s="455"/>
      <c r="D61" s="455"/>
      <c r="E61" s="455"/>
      <c r="F61" s="455"/>
      <c r="G61" s="455"/>
      <c r="H61" s="455"/>
      <c r="I61" s="455"/>
      <c r="J61" s="455"/>
      <c r="K61" s="455"/>
      <c r="L61" s="455"/>
      <c r="M61" s="455"/>
      <c r="N61" s="455"/>
      <c r="O61" s="455"/>
      <c r="P61" s="455"/>
    </row>
    <row r="62" spans="1:17">
      <c r="A62" s="458" t="s">
        <v>1061</v>
      </c>
      <c r="B62" s="455">
        <v>4.7249999999999996</v>
      </c>
      <c r="C62" s="455">
        <v>1.635</v>
      </c>
      <c r="D62" s="455">
        <v>1.6850000000000001</v>
      </c>
      <c r="E62" s="455">
        <v>1.5249999999999999</v>
      </c>
      <c r="F62" s="455">
        <v>1.3</v>
      </c>
      <c r="G62" s="455">
        <v>1.085</v>
      </c>
      <c r="H62" s="455">
        <v>1.0549999999999999</v>
      </c>
      <c r="I62" s="455">
        <v>1.0009999999999999</v>
      </c>
      <c r="J62" s="455">
        <v>1</v>
      </c>
      <c r="K62" s="455">
        <v>1</v>
      </c>
      <c r="L62" s="455">
        <v>1</v>
      </c>
      <c r="M62" s="455">
        <v>1</v>
      </c>
      <c r="N62" s="455">
        <v>1</v>
      </c>
      <c r="O62" s="455">
        <v>1</v>
      </c>
      <c r="P62" s="455">
        <v>1</v>
      </c>
    </row>
    <row r="63" spans="1:17">
      <c r="B63" s="455"/>
      <c r="C63" s="455"/>
      <c r="D63" s="455"/>
      <c r="E63" s="455"/>
      <c r="F63" s="455"/>
      <c r="G63" s="455"/>
      <c r="H63" s="455"/>
      <c r="I63" s="455"/>
      <c r="J63" s="455"/>
      <c r="K63" s="455"/>
      <c r="L63" s="455"/>
      <c r="M63" s="455"/>
      <c r="N63" s="455"/>
      <c r="O63" s="455"/>
      <c r="P63" s="455"/>
      <c r="Q63" s="323"/>
    </row>
    <row r="64" spans="1:17">
      <c r="B64" s="455"/>
      <c r="C64" s="455"/>
      <c r="D64" s="455"/>
      <c r="E64" s="455"/>
      <c r="F64" s="455"/>
      <c r="G64" s="455"/>
      <c r="H64" s="455"/>
      <c r="I64" s="455"/>
      <c r="J64" s="455"/>
      <c r="K64" s="455"/>
      <c r="L64" s="455"/>
      <c r="M64" s="455"/>
      <c r="N64" s="455"/>
      <c r="O64" s="455"/>
      <c r="P64" s="455"/>
      <c r="Q64" s="323"/>
    </row>
    <row r="65" spans="1:16">
      <c r="A65" s="446" t="s">
        <v>1062</v>
      </c>
      <c r="B65" s="455">
        <f>B62</f>
        <v>4.7249999999999996</v>
      </c>
      <c r="C65" s="455">
        <f t="shared" ref="C65:P65" si="8">C62</f>
        <v>1.635</v>
      </c>
      <c r="D65" s="455">
        <f t="shared" si="8"/>
        <v>1.6850000000000001</v>
      </c>
      <c r="E65" s="455">
        <f t="shared" si="8"/>
        <v>1.5249999999999999</v>
      </c>
      <c r="F65" s="455">
        <f t="shared" si="8"/>
        <v>1.3</v>
      </c>
      <c r="G65" s="455">
        <f t="shared" si="8"/>
        <v>1.085</v>
      </c>
      <c r="H65" s="455">
        <f t="shared" si="8"/>
        <v>1.0549999999999999</v>
      </c>
      <c r="I65" s="455">
        <f t="shared" si="8"/>
        <v>1.0009999999999999</v>
      </c>
      <c r="J65" s="455">
        <f t="shared" si="8"/>
        <v>1</v>
      </c>
      <c r="K65" s="455">
        <f t="shared" si="8"/>
        <v>1</v>
      </c>
      <c r="L65" s="455">
        <f t="shared" si="8"/>
        <v>1</v>
      </c>
      <c r="M65" s="455">
        <f t="shared" si="8"/>
        <v>1</v>
      </c>
      <c r="N65" s="455">
        <f t="shared" si="8"/>
        <v>1</v>
      </c>
      <c r="O65" s="455">
        <f t="shared" si="8"/>
        <v>1</v>
      </c>
      <c r="P65" s="455">
        <f t="shared" si="8"/>
        <v>1</v>
      </c>
    </row>
    <row r="66" spans="1:16">
      <c r="A66" s="444" t="s">
        <v>780</v>
      </c>
      <c r="B66" s="455">
        <f t="shared" ref="B66:N66" si="9">C66*B65</f>
        <v>29.569838075574697</v>
      </c>
      <c r="C66" s="455">
        <f t="shared" si="9"/>
        <v>6.2581667884814181</v>
      </c>
      <c r="D66" s="455">
        <f t="shared" si="9"/>
        <v>3.8276249470834363</v>
      </c>
      <c r="E66" s="455">
        <f t="shared" si="9"/>
        <v>2.2715875056874992</v>
      </c>
      <c r="F66" s="455">
        <f t="shared" si="9"/>
        <v>1.4895655774999996</v>
      </c>
      <c r="G66" s="455">
        <f t="shared" si="9"/>
        <v>1.1458196749999996</v>
      </c>
      <c r="H66" s="455">
        <f t="shared" si="9"/>
        <v>1.0560549999999997</v>
      </c>
      <c r="I66" s="455">
        <f t="shared" si="9"/>
        <v>1.0009999999999999</v>
      </c>
      <c r="J66" s="455">
        <f t="shared" si="9"/>
        <v>1</v>
      </c>
      <c r="K66" s="455">
        <f t="shared" si="9"/>
        <v>1</v>
      </c>
      <c r="L66" s="455">
        <f t="shared" si="9"/>
        <v>1</v>
      </c>
      <c r="M66" s="455">
        <f t="shared" si="9"/>
        <v>1</v>
      </c>
      <c r="N66" s="455">
        <f t="shared" si="9"/>
        <v>1</v>
      </c>
      <c r="O66" s="455">
        <f>P66*O65</f>
        <v>1</v>
      </c>
      <c r="P66" s="455">
        <f>P65</f>
        <v>1</v>
      </c>
    </row>
    <row r="71" spans="1:16">
      <c r="B71" s="455"/>
      <c r="C71" s="455"/>
      <c r="D71" s="455"/>
      <c r="E71" s="455"/>
      <c r="F71" s="455"/>
      <c r="G71" s="455"/>
      <c r="H71" s="455"/>
      <c r="I71" s="455"/>
      <c r="J71" s="455"/>
      <c r="K71" s="455"/>
      <c r="L71" s="455"/>
      <c r="M71" s="455"/>
      <c r="N71" s="455"/>
      <c r="O71" s="455"/>
      <c r="P71" s="455"/>
    </row>
  </sheetData>
  <printOptions horizontalCentered="1"/>
  <pageMargins left="0.7" right="0.7" top="0.75" bottom="0.75" header="0.3" footer="0.3"/>
  <pageSetup scale="45"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123">
    <tabColor rgb="FF92D050"/>
    <pageSetUpPr fitToPage="1"/>
  </sheetPr>
  <dimension ref="A1:R71"/>
  <sheetViews>
    <sheetView zoomScaleNormal="100" workbookViewId="0">
      <selection activeCell="A31" sqref="A31"/>
    </sheetView>
  </sheetViews>
  <sheetFormatPr baseColWidth="10" defaultColWidth="7.42578125" defaultRowHeight="15"/>
  <cols>
    <col min="1" max="1" width="11.7109375" style="444" customWidth="1"/>
    <col min="2" max="5" width="9.140625" style="444" customWidth="1"/>
    <col min="6" max="11" width="9.7109375" style="444" bestFit="1" customWidth="1"/>
    <col min="12" max="12" width="8.7109375" style="444" bestFit="1" customWidth="1"/>
    <col min="13" max="16" width="9.140625" style="444" customWidth="1"/>
    <col min="17" max="16384" width="7.42578125" style="316"/>
  </cols>
  <sheetData>
    <row r="1" spans="1:18">
      <c r="A1" s="443" t="s">
        <v>1026</v>
      </c>
      <c r="P1" s="549" t="s">
        <v>1063</v>
      </c>
    </row>
    <row r="2" spans="1:18">
      <c r="A2" s="445" t="s">
        <v>1027</v>
      </c>
      <c r="P2" s="549" t="s">
        <v>92</v>
      </c>
    </row>
    <row r="3" spans="1:18">
      <c r="A3" s="445" t="s">
        <v>1069</v>
      </c>
    </row>
    <row r="4" spans="1:18">
      <c r="A4" s="445" t="s">
        <v>1070</v>
      </c>
    </row>
    <row r="5" spans="1:18">
      <c r="A5" s="445" t="s">
        <v>1073</v>
      </c>
    </row>
    <row r="6" spans="1:18">
      <c r="A6" s="445" t="s">
        <v>261</v>
      </c>
    </row>
    <row r="7" spans="1:18">
      <c r="A7" s="445" t="str">
        <f>'Exhibit R,S1'!A7</f>
        <v>Data Evaluated as of 11/30/2022</v>
      </c>
    </row>
    <row r="9" spans="1:18">
      <c r="B9" s="446" t="s">
        <v>1030</v>
      </c>
    </row>
    <row r="10" spans="1:18">
      <c r="A10" s="460" t="s">
        <v>170</v>
      </c>
      <c r="B10" s="461">
        <v>11</v>
      </c>
      <c r="C10" s="461">
        <v>23</v>
      </c>
      <c r="D10" s="461">
        <v>35</v>
      </c>
      <c r="E10" s="461">
        <v>47</v>
      </c>
      <c r="F10" s="461">
        <v>59</v>
      </c>
      <c r="G10" s="461">
        <v>71</v>
      </c>
      <c r="H10" s="461">
        <v>83</v>
      </c>
      <c r="I10" s="461">
        <v>95</v>
      </c>
      <c r="J10" s="461">
        <v>107</v>
      </c>
      <c r="K10" s="461">
        <v>119</v>
      </c>
      <c r="L10" s="461">
        <v>131</v>
      </c>
      <c r="M10" s="461">
        <v>143</v>
      </c>
      <c r="N10" s="461">
        <v>155</v>
      </c>
      <c r="O10" s="461">
        <v>167</v>
      </c>
      <c r="P10" s="461">
        <v>179</v>
      </c>
    </row>
    <row r="11" spans="1:18">
      <c r="A11" s="449"/>
      <c r="B11" s="449"/>
      <c r="C11" s="449"/>
      <c r="D11" s="449"/>
      <c r="E11" s="449"/>
      <c r="F11" s="449"/>
      <c r="G11" s="449"/>
      <c r="H11" s="449"/>
      <c r="I11" s="449"/>
      <c r="J11" s="449"/>
      <c r="K11" s="449"/>
      <c r="L11" s="449"/>
      <c r="M11" s="449"/>
      <c r="N11" s="449"/>
      <c r="O11" s="449"/>
      <c r="P11" s="449"/>
    </row>
    <row r="12" spans="1:18">
      <c r="A12" s="449"/>
    </row>
    <row r="13" spans="1:18">
      <c r="A13" s="449">
        <f>'Exhibit R,S5'!A13</f>
        <v>2006</v>
      </c>
      <c r="B13" s="450"/>
      <c r="C13" s="450"/>
      <c r="D13" s="450"/>
      <c r="E13" s="450"/>
      <c r="F13" s="450">
        <v>675254.83999999613</v>
      </c>
      <c r="G13" s="450">
        <v>675254.83999999613</v>
      </c>
      <c r="H13" s="450">
        <v>775254.83999999985</v>
      </c>
      <c r="I13" s="450">
        <v>474648.86999999732</v>
      </c>
      <c r="J13" s="450">
        <v>474648.86999999732</v>
      </c>
      <c r="K13" s="450">
        <v>474648.87000000104</v>
      </c>
      <c r="L13" s="450">
        <v>474648.87000000104</v>
      </c>
      <c r="M13" s="450">
        <v>474648.87000000104</v>
      </c>
      <c r="N13" s="450">
        <v>474648.87000000104</v>
      </c>
      <c r="O13" s="450">
        <v>474648.87000000104</v>
      </c>
      <c r="P13" s="462">
        <v>474648.87</v>
      </c>
      <c r="R13" s="317"/>
    </row>
    <row r="14" spans="1:18">
      <c r="A14" s="449">
        <f>A13+1</f>
        <v>2007</v>
      </c>
      <c r="B14" s="450"/>
      <c r="C14" s="450"/>
      <c r="D14" s="450"/>
      <c r="E14" s="450">
        <v>4236924.93</v>
      </c>
      <c r="F14" s="450">
        <v>4286924.93</v>
      </c>
      <c r="G14" s="450">
        <v>641490.25</v>
      </c>
      <c r="H14" s="450">
        <v>641790.41000000015</v>
      </c>
      <c r="I14" s="450">
        <v>641790.41000000015</v>
      </c>
      <c r="J14" s="450">
        <v>641790.41000000015</v>
      </c>
      <c r="K14" s="450">
        <v>641790.41000000015</v>
      </c>
      <c r="L14" s="450">
        <v>641790.41000000015</v>
      </c>
      <c r="M14" s="450">
        <v>641790.41000000015</v>
      </c>
      <c r="N14" s="450">
        <v>641790.41000000015</v>
      </c>
      <c r="O14" s="462">
        <v>641790.41</v>
      </c>
      <c r="P14" s="462">
        <v>641790.41</v>
      </c>
    </row>
    <row r="15" spans="1:18">
      <c r="A15" s="449">
        <f>A14+1</f>
        <v>2008</v>
      </c>
      <c r="B15" s="450"/>
      <c r="C15" s="450"/>
      <c r="D15" s="450">
        <v>542219.40000000224</v>
      </c>
      <c r="E15" s="450">
        <v>253914.94999999925</v>
      </c>
      <c r="F15" s="450">
        <v>1164974.9499999993</v>
      </c>
      <c r="G15" s="450">
        <v>1164974.9499999993</v>
      </c>
      <c r="H15" s="450">
        <v>1314974.950000003</v>
      </c>
      <c r="I15" s="450">
        <v>577958.05000000075</v>
      </c>
      <c r="J15" s="450">
        <v>579145.55000000075</v>
      </c>
      <c r="K15" s="450">
        <v>579145.55000000075</v>
      </c>
      <c r="L15" s="450">
        <v>579145.55000000075</v>
      </c>
      <c r="M15" s="450">
        <v>579145.55000000075</v>
      </c>
      <c r="N15" s="462">
        <v>579145.55000000005</v>
      </c>
      <c r="O15" s="462">
        <v>579145.55000000005</v>
      </c>
      <c r="P15" s="451">
        <v>579145.55000000005</v>
      </c>
    </row>
    <row r="16" spans="1:18">
      <c r="A16" s="449">
        <f t="shared" ref="A16:A29" si="0">A15+1</f>
        <v>2009</v>
      </c>
      <c r="B16" s="450"/>
      <c r="C16" s="450">
        <v>439275.90000000037</v>
      </c>
      <c r="D16" s="450">
        <v>1553264.0899999999</v>
      </c>
      <c r="E16" s="450">
        <v>1529296.6999999993</v>
      </c>
      <c r="F16" s="450">
        <v>1513149.0999999978</v>
      </c>
      <c r="G16" s="450">
        <v>1513149.1000000015</v>
      </c>
      <c r="H16" s="450">
        <v>1523960.0799999982</v>
      </c>
      <c r="I16" s="450">
        <v>513746.9299999997</v>
      </c>
      <c r="J16" s="450">
        <v>513746.9299999997</v>
      </c>
      <c r="K16" s="450">
        <v>513746.9299999997</v>
      </c>
      <c r="L16" s="450">
        <v>513746.9299999997</v>
      </c>
      <c r="M16" s="462">
        <v>513746.93</v>
      </c>
      <c r="N16" s="462">
        <v>513746.93</v>
      </c>
      <c r="O16" s="451">
        <v>513746.93</v>
      </c>
      <c r="P16" s="450"/>
    </row>
    <row r="17" spans="1:16">
      <c r="A17" s="449">
        <f t="shared" si="0"/>
        <v>2010</v>
      </c>
      <c r="B17" s="450">
        <v>2111915</v>
      </c>
      <c r="C17" s="450">
        <v>2319603.3200000003</v>
      </c>
      <c r="D17" s="450">
        <v>9258066.5899999999</v>
      </c>
      <c r="E17" s="450">
        <v>8455742.7300000004</v>
      </c>
      <c r="F17" s="450">
        <v>7564853.8600000031</v>
      </c>
      <c r="G17" s="450">
        <v>6465816.0699999966</v>
      </c>
      <c r="H17" s="450">
        <v>6299617.4100000001</v>
      </c>
      <c r="I17" s="450">
        <v>6299617.4100000001</v>
      </c>
      <c r="J17" s="450">
        <v>6111913.1999999993</v>
      </c>
      <c r="K17" s="450">
        <v>6111913.1999999993</v>
      </c>
      <c r="L17" s="462">
        <v>6111913.2000000002</v>
      </c>
      <c r="M17" s="462">
        <v>6111913.2000000002</v>
      </c>
      <c r="N17" s="451">
        <v>6111913.2000000002</v>
      </c>
      <c r="O17" s="450"/>
      <c r="P17" s="450"/>
    </row>
    <row r="18" spans="1:16">
      <c r="A18" s="449">
        <f t="shared" si="0"/>
        <v>2011</v>
      </c>
      <c r="B18" s="450">
        <v>634128.48999999976</v>
      </c>
      <c r="C18" s="450">
        <v>2187291.29</v>
      </c>
      <c r="D18" s="450">
        <v>4258497.9399999995</v>
      </c>
      <c r="E18" s="450">
        <v>4988660.8999999985</v>
      </c>
      <c r="F18" s="450">
        <v>2907116.4699999988</v>
      </c>
      <c r="G18" s="450">
        <v>2960790.5299999993</v>
      </c>
      <c r="H18" s="450">
        <v>2468080.629999999</v>
      </c>
      <c r="I18" s="450">
        <v>2236216.2599999979</v>
      </c>
      <c r="J18" s="450">
        <v>2261212.5300000012</v>
      </c>
      <c r="K18" s="462">
        <v>2261212.5299999998</v>
      </c>
      <c r="L18" s="462">
        <v>2261212.5299999998</v>
      </c>
      <c r="M18" s="451">
        <v>2261212.5299999998</v>
      </c>
      <c r="N18" s="450"/>
      <c r="O18" s="450"/>
      <c r="P18" s="450"/>
    </row>
    <row r="19" spans="1:16">
      <c r="A19" s="449">
        <f t="shared" si="0"/>
        <v>2012</v>
      </c>
      <c r="B19" s="450">
        <v>2800163.1300000004</v>
      </c>
      <c r="C19" s="450">
        <v>4773808.9499999993</v>
      </c>
      <c r="D19" s="450">
        <v>8416673.5600000005</v>
      </c>
      <c r="E19" s="450">
        <v>12301127.310000001</v>
      </c>
      <c r="F19" s="450">
        <v>14436157.01</v>
      </c>
      <c r="G19" s="450">
        <v>13876671.73</v>
      </c>
      <c r="H19" s="450">
        <v>13370884.159999996</v>
      </c>
      <c r="I19" s="450">
        <v>13400098.370000005</v>
      </c>
      <c r="J19" s="462">
        <v>13400098.369999999</v>
      </c>
      <c r="K19" s="462">
        <v>13400098.369999999</v>
      </c>
      <c r="L19" s="451">
        <v>13459866.99</v>
      </c>
      <c r="M19" s="450"/>
      <c r="N19" s="450"/>
      <c r="O19" s="450"/>
      <c r="P19" s="450"/>
    </row>
    <row r="20" spans="1:16">
      <c r="A20" s="449">
        <f t="shared" si="0"/>
        <v>2013</v>
      </c>
      <c r="B20" s="450">
        <v>1463302.1700000004</v>
      </c>
      <c r="C20" s="450">
        <v>6905692.209999999</v>
      </c>
      <c r="D20" s="450">
        <v>10165031.140000001</v>
      </c>
      <c r="E20" s="450">
        <v>12587029.040000001</v>
      </c>
      <c r="F20" s="450">
        <v>12845224.100000001</v>
      </c>
      <c r="G20" s="450">
        <v>12165164.710000005</v>
      </c>
      <c r="H20" s="450">
        <v>13426068.160000004</v>
      </c>
      <c r="I20" s="462">
        <v>13433268.16</v>
      </c>
      <c r="J20" s="462">
        <v>13433268.16</v>
      </c>
      <c r="K20" s="451">
        <v>13707733.67</v>
      </c>
      <c r="L20" s="450"/>
      <c r="M20" s="450"/>
      <c r="N20" s="450"/>
      <c r="O20" s="450"/>
      <c r="P20" s="450"/>
    </row>
    <row r="21" spans="1:16">
      <c r="A21" s="449">
        <f t="shared" si="0"/>
        <v>2014</v>
      </c>
      <c r="B21" s="450">
        <v>3074001.1900000004</v>
      </c>
      <c r="C21" s="450">
        <v>7041309.3799999999</v>
      </c>
      <c r="D21" s="450">
        <v>7371618.0799999991</v>
      </c>
      <c r="E21" s="450">
        <v>16294225.449999999</v>
      </c>
      <c r="F21" s="450">
        <v>16675634.289999997</v>
      </c>
      <c r="G21" s="450">
        <v>16053376.339999996</v>
      </c>
      <c r="H21" s="462">
        <v>15830443.619999999</v>
      </c>
      <c r="I21" s="462">
        <v>15434911.65</v>
      </c>
      <c r="J21" s="451">
        <v>14381318.390000001</v>
      </c>
      <c r="K21" s="450"/>
      <c r="L21" s="450"/>
      <c r="M21" s="450"/>
      <c r="N21" s="450"/>
      <c r="O21" s="450"/>
    </row>
    <row r="22" spans="1:16">
      <c r="A22" s="449">
        <f t="shared" si="0"/>
        <v>2015</v>
      </c>
      <c r="B22" s="450">
        <v>3880475.3799999994</v>
      </c>
      <c r="C22" s="450">
        <v>6092322.7799999993</v>
      </c>
      <c r="D22" s="450">
        <v>14966290.52</v>
      </c>
      <c r="E22" s="450">
        <v>19781035.110000007</v>
      </c>
      <c r="F22" s="450">
        <v>19521345.490000002</v>
      </c>
      <c r="G22" s="462">
        <v>20300307.780000001</v>
      </c>
      <c r="H22" s="462">
        <v>22015561.02</v>
      </c>
      <c r="I22" s="451">
        <v>20316729.190000001</v>
      </c>
      <c r="J22" s="450"/>
      <c r="K22" s="450"/>
      <c r="L22" s="465"/>
      <c r="M22" s="556"/>
      <c r="N22" s="450"/>
      <c r="O22" s="450"/>
      <c r="P22" s="450"/>
    </row>
    <row r="23" spans="1:16">
      <c r="A23" s="449">
        <f t="shared" si="0"/>
        <v>2016</v>
      </c>
      <c r="B23" s="450">
        <v>1817361.4300000002</v>
      </c>
      <c r="C23" s="450">
        <v>7773794.4200000009</v>
      </c>
      <c r="D23" s="450">
        <v>13243326.429999998</v>
      </c>
      <c r="E23" s="450">
        <v>16145622.289999999</v>
      </c>
      <c r="F23" s="462">
        <v>15496858.300000001</v>
      </c>
      <c r="G23" s="462">
        <v>17676511.690000001</v>
      </c>
      <c r="H23" s="451">
        <v>18168675.329999998</v>
      </c>
      <c r="I23" s="450"/>
      <c r="J23" s="450"/>
      <c r="K23" s="450"/>
      <c r="L23" s="450"/>
      <c r="M23" s="450"/>
      <c r="N23" s="450"/>
      <c r="O23" s="450"/>
      <c r="P23" s="450"/>
    </row>
    <row r="24" spans="1:16">
      <c r="A24" s="449">
        <f t="shared" si="0"/>
        <v>2017</v>
      </c>
      <c r="B24" s="450">
        <v>1771093.02</v>
      </c>
      <c r="C24" s="450">
        <v>3456190.6799999997</v>
      </c>
      <c r="D24" s="450">
        <v>6342398.8599999994</v>
      </c>
      <c r="E24" s="462">
        <v>7549916.0800000001</v>
      </c>
      <c r="F24" s="462">
        <v>11209077.5</v>
      </c>
      <c r="G24" s="451">
        <v>11805918.25</v>
      </c>
      <c r="H24" s="450"/>
      <c r="I24" s="450"/>
      <c r="J24" s="450"/>
      <c r="K24" s="450"/>
      <c r="L24" s="450"/>
      <c r="M24" s="450"/>
      <c r="N24" s="450"/>
      <c r="O24" s="450"/>
      <c r="P24" s="450"/>
    </row>
    <row r="25" spans="1:16">
      <c r="A25" s="449">
        <f t="shared" si="0"/>
        <v>2018</v>
      </c>
      <c r="B25" s="450">
        <v>1271135.0499999998</v>
      </c>
      <c r="C25" s="450">
        <v>2199152.3699999992</v>
      </c>
      <c r="D25" s="462">
        <v>5391934.9100000001</v>
      </c>
      <c r="E25" s="462">
        <v>8633316.8399999999</v>
      </c>
      <c r="F25" s="451">
        <v>7913160.4500000002</v>
      </c>
      <c r="G25" s="450"/>
      <c r="H25" s="450"/>
      <c r="I25" s="450"/>
      <c r="J25" s="450"/>
      <c r="K25" s="450"/>
      <c r="L25" s="450"/>
      <c r="M25" s="450"/>
      <c r="N25" s="450"/>
      <c r="O25" s="450"/>
      <c r="P25" s="450"/>
    </row>
    <row r="26" spans="1:16">
      <c r="A26" s="449">
        <f t="shared" si="0"/>
        <v>2019</v>
      </c>
      <c r="B26" s="450">
        <v>1346831.44</v>
      </c>
      <c r="C26" s="462">
        <v>2563094.6800000002</v>
      </c>
      <c r="D26" s="462">
        <v>8582887.4100000001</v>
      </c>
      <c r="E26" s="451">
        <v>9409569.7699999996</v>
      </c>
      <c r="F26" s="450"/>
      <c r="G26" s="450"/>
      <c r="H26" s="450"/>
      <c r="I26" s="450"/>
      <c r="J26" s="450"/>
      <c r="K26" s="450"/>
      <c r="L26" s="450"/>
      <c r="M26" s="450"/>
      <c r="N26" s="450"/>
      <c r="O26" s="450"/>
      <c r="P26" s="450"/>
    </row>
    <row r="27" spans="1:16">
      <c r="A27" s="449">
        <f t="shared" si="0"/>
        <v>2020</v>
      </c>
      <c r="B27" s="462">
        <v>1036700</v>
      </c>
      <c r="C27" s="462">
        <v>1654736.62</v>
      </c>
      <c r="D27" s="451">
        <v>2049895.83</v>
      </c>
      <c r="E27" s="450"/>
      <c r="F27" s="450"/>
      <c r="G27" s="450"/>
      <c r="H27" s="450"/>
      <c r="I27" s="450"/>
      <c r="J27" s="450"/>
      <c r="K27" s="450"/>
      <c r="L27" s="450"/>
      <c r="M27" s="450"/>
      <c r="N27" s="450"/>
      <c r="O27" s="450"/>
      <c r="P27" s="450"/>
    </row>
    <row r="28" spans="1:16">
      <c r="A28" s="449">
        <f t="shared" si="0"/>
        <v>2021</v>
      </c>
      <c r="B28" s="462">
        <v>1123773.8</v>
      </c>
      <c r="C28" s="451">
        <v>2254385.9700000002</v>
      </c>
      <c r="D28" s="450"/>
      <c r="E28" s="450"/>
      <c r="F28" s="450"/>
      <c r="G28" s="450"/>
      <c r="H28" s="450"/>
      <c r="I28" s="450"/>
      <c r="J28" s="450"/>
      <c r="K28" s="450"/>
      <c r="L28" s="450"/>
      <c r="M28" s="450"/>
      <c r="N28" s="450"/>
      <c r="O28" s="450"/>
      <c r="P28" s="450"/>
    </row>
    <row r="29" spans="1:16">
      <c r="A29" s="449">
        <f t="shared" si="0"/>
        <v>2022</v>
      </c>
      <c r="B29" s="451">
        <v>810194.5</v>
      </c>
      <c r="C29" s="451"/>
      <c r="D29" s="451"/>
      <c r="E29" s="451"/>
      <c r="F29" s="451"/>
      <c r="G29" s="451"/>
      <c r="H29" s="451"/>
      <c r="I29" s="451"/>
      <c r="J29" s="451"/>
      <c r="K29" s="451"/>
      <c r="L29" s="451"/>
      <c r="M29" s="451"/>
      <c r="N29" s="451"/>
      <c r="O29" s="451"/>
      <c r="P29" s="451"/>
    </row>
    <row r="30" spans="1:16">
      <c r="B30" s="451"/>
      <c r="C30" s="451"/>
      <c r="D30" s="451"/>
      <c r="E30" s="451"/>
      <c r="F30" s="451"/>
      <c r="G30" s="451"/>
      <c r="H30" s="451"/>
      <c r="I30" s="451"/>
      <c r="J30" s="451"/>
      <c r="K30" s="451"/>
      <c r="L30" s="451"/>
      <c r="M30" s="451"/>
      <c r="N30" s="451"/>
      <c r="O30" s="451"/>
      <c r="P30" s="451"/>
    </row>
    <row r="31" spans="1:16">
      <c r="A31" s="446"/>
      <c r="B31" s="452"/>
      <c r="C31" s="452"/>
      <c r="D31" s="452"/>
      <c r="E31" s="452"/>
      <c r="F31" s="452"/>
      <c r="G31" s="452"/>
      <c r="H31" s="452"/>
      <c r="I31" s="452"/>
      <c r="J31" s="452"/>
      <c r="K31" s="452"/>
      <c r="L31" s="452"/>
      <c r="M31" s="452"/>
      <c r="N31" s="452"/>
      <c r="O31" s="452"/>
      <c r="P31" s="452"/>
    </row>
    <row r="32" spans="1:16">
      <c r="B32" s="446" t="s">
        <v>1032</v>
      </c>
    </row>
    <row r="33" spans="1:16">
      <c r="A33" s="447" t="s">
        <v>170</v>
      </c>
      <c r="B33" s="453" t="s">
        <v>1033</v>
      </c>
      <c r="C33" s="453" t="s">
        <v>1034</v>
      </c>
      <c r="D33" s="453" t="s">
        <v>1035</v>
      </c>
      <c r="E33" s="453" t="s">
        <v>1036</v>
      </c>
      <c r="F33" s="453" t="s">
        <v>1037</v>
      </c>
      <c r="G33" s="453" t="s">
        <v>1038</v>
      </c>
      <c r="H33" s="453" t="s">
        <v>1039</v>
      </c>
      <c r="I33" s="453" t="s">
        <v>1040</v>
      </c>
      <c r="J33" s="453" t="s">
        <v>1041</v>
      </c>
      <c r="K33" s="453" t="s">
        <v>1042</v>
      </c>
      <c r="L33" s="453" t="s">
        <v>1043</v>
      </c>
      <c r="M33" s="453" t="s">
        <v>1044</v>
      </c>
      <c r="N33" s="453" t="s">
        <v>1045</v>
      </c>
      <c r="O33" s="453" t="s">
        <v>1046</v>
      </c>
      <c r="P33" s="453" t="s">
        <v>1071</v>
      </c>
    </row>
    <row r="34" spans="1:16">
      <c r="A34" s="449"/>
      <c r="B34" s="449"/>
      <c r="C34" s="449"/>
      <c r="D34" s="449"/>
      <c r="E34" s="449"/>
      <c r="F34" s="449"/>
      <c r="G34" s="449"/>
      <c r="H34" s="449"/>
      <c r="I34" s="449"/>
      <c r="J34" s="449"/>
      <c r="K34" s="449"/>
      <c r="L34" s="449"/>
      <c r="M34" s="449"/>
      <c r="N34" s="449"/>
      <c r="O34" s="449"/>
      <c r="P34" s="449"/>
    </row>
    <row r="36" spans="1:16">
      <c r="A36" s="449">
        <f>A13</f>
        <v>2006</v>
      </c>
      <c r="G36" s="454">
        <f t="shared" ref="G36:O37" si="1">IF(G13=0,0,H13/G13)</f>
        <v>1.1480922372951881</v>
      </c>
      <c r="H36" s="454">
        <f t="shared" si="1"/>
        <v>0.61224883162289889</v>
      </c>
      <c r="I36" s="454">
        <f t="shared" si="1"/>
        <v>1</v>
      </c>
      <c r="J36" s="454">
        <f t="shared" si="1"/>
        <v>1.0000000000000078</v>
      </c>
      <c r="K36" s="454">
        <f t="shared" si="1"/>
        <v>1</v>
      </c>
      <c r="L36" s="454">
        <f t="shared" si="1"/>
        <v>1</v>
      </c>
      <c r="M36" s="454">
        <f t="shared" si="1"/>
        <v>1</v>
      </c>
      <c r="N36" s="454">
        <f t="shared" si="1"/>
        <v>1</v>
      </c>
      <c r="O36" s="454">
        <f t="shared" si="1"/>
        <v>0.99999999999999778</v>
      </c>
    </row>
    <row r="37" spans="1:16">
      <c r="A37" s="449">
        <f>A36+1</f>
        <v>2007</v>
      </c>
      <c r="B37" s="463"/>
      <c r="C37" s="463"/>
      <c r="D37" s="463"/>
      <c r="E37" s="463"/>
      <c r="F37" s="463"/>
      <c r="G37" s="454">
        <f t="shared" si="1"/>
        <v>1.0004679104631757</v>
      </c>
      <c r="H37" s="454">
        <f t="shared" si="1"/>
        <v>1</v>
      </c>
      <c r="I37" s="454">
        <f t="shared" si="1"/>
        <v>1</v>
      </c>
      <c r="J37" s="454">
        <f t="shared" si="1"/>
        <v>1</v>
      </c>
      <c r="K37" s="454">
        <f t="shared" si="1"/>
        <v>1</v>
      </c>
      <c r="L37" s="454">
        <f t="shared" si="1"/>
        <v>1</v>
      </c>
      <c r="M37" s="454">
        <f t="shared" si="1"/>
        <v>1</v>
      </c>
      <c r="N37" s="454">
        <f t="shared" si="1"/>
        <v>0.99999999999999978</v>
      </c>
      <c r="O37" s="454">
        <f t="shared" si="1"/>
        <v>1</v>
      </c>
      <c r="P37" s="455"/>
    </row>
    <row r="38" spans="1:16">
      <c r="A38" s="449">
        <f>A37+1</f>
        <v>2008</v>
      </c>
      <c r="B38" s="463"/>
      <c r="C38" s="463"/>
      <c r="D38" s="463"/>
      <c r="E38" s="454"/>
      <c r="F38" s="454">
        <f t="shared" ref="F38:N38" si="2">IF(F15=0,0,G15/F15)</f>
        <v>1</v>
      </c>
      <c r="G38" s="454">
        <f t="shared" si="2"/>
        <v>1.128758133383043</v>
      </c>
      <c r="H38" s="454">
        <f t="shared" si="2"/>
        <v>0.43952019770414597</v>
      </c>
      <c r="I38" s="454">
        <f t="shared" si="2"/>
        <v>1.0020546473917959</v>
      </c>
      <c r="J38" s="454">
        <f t="shared" si="2"/>
        <v>1</v>
      </c>
      <c r="K38" s="454">
        <f t="shared" si="2"/>
        <v>1</v>
      </c>
      <c r="L38" s="454">
        <f t="shared" si="2"/>
        <v>1</v>
      </c>
      <c r="M38" s="454">
        <f t="shared" si="2"/>
        <v>0.99999999999999878</v>
      </c>
      <c r="N38" s="454">
        <f t="shared" si="2"/>
        <v>1</v>
      </c>
      <c r="O38" s="454">
        <f>IF(O15=0,0,P15/O15)</f>
        <v>1</v>
      </c>
      <c r="P38" s="455"/>
    </row>
    <row r="39" spans="1:16">
      <c r="A39" s="449">
        <f>A38+1</f>
        <v>2009</v>
      </c>
      <c r="B39" s="463"/>
      <c r="C39" s="463"/>
      <c r="D39" s="454"/>
      <c r="E39" s="454">
        <f t="shared" ref="E39:M39" si="3">IF(E16=0,0,F16/E16)</f>
        <v>0.98944115945584565</v>
      </c>
      <c r="F39" s="454">
        <f t="shared" si="3"/>
        <v>1.0000000000000024</v>
      </c>
      <c r="G39" s="454">
        <f t="shared" si="3"/>
        <v>1.0071446891783478</v>
      </c>
      <c r="H39" s="454">
        <f t="shared" si="3"/>
        <v>0.33711311519393627</v>
      </c>
      <c r="I39" s="454">
        <f t="shared" si="3"/>
        <v>1</v>
      </c>
      <c r="J39" s="454">
        <f t="shared" si="3"/>
        <v>1</v>
      </c>
      <c r="K39" s="454">
        <f t="shared" si="3"/>
        <v>1</v>
      </c>
      <c r="L39" s="454">
        <f t="shared" si="3"/>
        <v>1.0000000000000007</v>
      </c>
      <c r="M39" s="454">
        <f t="shared" si="3"/>
        <v>1</v>
      </c>
      <c r="N39" s="454">
        <f>IF(N16=0,0,O16/N16)</f>
        <v>1</v>
      </c>
      <c r="O39" s="454"/>
      <c r="P39" s="455"/>
    </row>
    <row r="40" spans="1:16">
      <c r="A40" s="449">
        <f t="shared" ref="A40:A52" si="4">A39+1</f>
        <v>2010</v>
      </c>
      <c r="B40" s="463"/>
      <c r="C40" s="463"/>
      <c r="D40" s="454">
        <f t="shared" ref="D40:L40" si="5">IF(D17=0,0,E17/D17)</f>
        <v>0.91333786031884656</v>
      </c>
      <c r="E40" s="454">
        <f t="shared" si="5"/>
        <v>0.89464096786681713</v>
      </c>
      <c r="F40" s="454">
        <f t="shared" si="5"/>
        <v>0.85471790858891672</v>
      </c>
      <c r="G40" s="454">
        <f t="shared" si="5"/>
        <v>0.97429579527151677</v>
      </c>
      <c r="H40" s="454">
        <f t="shared" si="5"/>
        <v>1</v>
      </c>
      <c r="I40" s="454">
        <f t="shared" si="5"/>
        <v>0.97020387147606146</v>
      </c>
      <c r="J40" s="454">
        <f t="shared" si="5"/>
        <v>1</v>
      </c>
      <c r="K40" s="454">
        <f t="shared" si="5"/>
        <v>1.0000000000000002</v>
      </c>
      <c r="L40" s="454">
        <f t="shared" si="5"/>
        <v>1</v>
      </c>
      <c r="M40" s="454">
        <f>IF(M17=0,0,N17/M17)</f>
        <v>1</v>
      </c>
      <c r="N40" s="454"/>
      <c r="O40" s="454"/>
      <c r="P40" s="455"/>
    </row>
    <row r="41" spans="1:16">
      <c r="A41" s="449">
        <f t="shared" si="4"/>
        <v>2011</v>
      </c>
      <c r="B41" s="463"/>
      <c r="C41" s="454">
        <f t="shared" ref="C41:K41" si="6">IF(C18=0,0,D18/C18)</f>
        <v>1.9469276723540556</v>
      </c>
      <c r="D41" s="454">
        <f t="shared" si="6"/>
        <v>1.1714602120953472</v>
      </c>
      <c r="E41" s="454">
        <f t="shared" si="6"/>
        <v>0.5827448544357865</v>
      </c>
      <c r="F41" s="454">
        <f t="shared" si="6"/>
        <v>1.0184629892038692</v>
      </c>
      <c r="G41" s="454">
        <f t="shared" si="6"/>
        <v>0.83358839640709048</v>
      </c>
      <c r="H41" s="454">
        <f t="shared" si="6"/>
        <v>0.90605478314539456</v>
      </c>
      <c r="I41" s="454">
        <f t="shared" si="6"/>
        <v>1.0111779305280624</v>
      </c>
      <c r="J41" s="454">
        <f t="shared" si="6"/>
        <v>0.99999999999999933</v>
      </c>
      <c r="K41" s="454">
        <f t="shared" si="6"/>
        <v>1</v>
      </c>
      <c r="L41" s="454">
        <f>IF(L18=0,0,M18/L18)</f>
        <v>1</v>
      </c>
      <c r="M41" s="454"/>
      <c r="N41" s="454"/>
      <c r="O41" s="454"/>
      <c r="P41" s="455"/>
    </row>
    <row r="42" spans="1:16">
      <c r="A42" s="449">
        <f t="shared" si="4"/>
        <v>2012</v>
      </c>
      <c r="B42" s="454">
        <f t="shared" ref="B42:K46" si="7">IF(B19=0,0,C19/B19)</f>
        <v>1.7048324431012698</v>
      </c>
      <c r="C42" s="454">
        <f t="shared" si="7"/>
        <v>1.7630939252397191</v>
      </c>
      <c r="D42" s="454">
        <f t="shared" si="7"/>
        <v>1.4615188794372107</v>
      </c>
      <c r="E42" s="454">
        <f t="shared" si="7"/>
        <v>1.1735637430777879</v>
      </c>
      <c r="F42" s="454">
        <f t="shared" si="7"/>
        <v>0.96124416770942289</v>
      </c>
      <c r="G42" s="454">
        <f t="shared" si="7"/>
        <v>0.96355123333309523</v>
      </c>
      <c r="H42" s="454">
        <f t="shared" si="7"/>
        <v>1.0021849123551159</v>
      </c>
      <c r="I42" s="454">
        <f t="shared" si="7"/>
        <v>0.99999999999999956</v>
      </c>
      <c r="J42" s="454">
        <f t="shared" si="7"/>
        <v>1</v>
      </c>
      <c r="K42" s="454">
        <f t="shared" si="7"/>
        <v>1.0044603120327691</v>
      </c>
      <c r="L42" s="454"/>
      <c r="M42" s="454"/>
      <c r="N42" s="454"/>
      <c r="O42" s="454"/>
      <c r="P42" s="455"/>
    </row>
    <row r="43" spans="1:16">
      <c r="A43" s="449">
        <f t="shared" si="4"/>
        <v>2013</v>
      </c>
      <c r="B43" s="454">
        <f t="shared" si="7"/>
        <v>4.7192523537363424</v>
      </c>
      <c r="C43" s="454">
        <f t="shared" si="7"/>
        <v>1.4719785983626981</v>
      </c>
      <c r="D43" s="454">
        <f t="shared" si="7"/>
        <v>1.2382676321048633</v>
      </c>
      <c r="E43" s="454">
        <f t="shared" si="7"/>
        <v>1.0205127881392415</v>
      </c>
      <c r="F43" s="454">
        <f t="shared" si="7"/>
        <v>0.94705741334633498</v>
      </c>
      <c r="G43" s="454">
        <f t="shared" si="7"/>
        <v>1.1036486952752487</v>
      </c>
      <c r="H43" s="454">
        <f t="shared" si="7"/>
        <v>1.0005362701808298</v>
      </c>
      <c r="I43" s="454">
        <f t="shared" si="7"/>
        <v>1</v>
      </c>
      <c r="J43" s="454">
        <f t="shared" si="7"/>
        <v>1.0204317748094445</v>
      </c>
      <c r="K43" s="454"/>
      <c r="L43" s="454"/>
      <c r="M43" s="454"/>
      <c r="N43" s="454"/>
      <c r="O43" s="454"/>
      <c r="P43" s="455"/>
    </row>
    <row r="44" spans="1:16">
      <c r="A44" s="449">
        <f t="shared" si="4"/>
        <v>2014</v>
      </c>
      <c r="B44" s="454">
        <f t="shared" si="7"/>
        <v>2.2906007333068077</v>
      </c>
      <c r="C44" s="454">
        <f t="shared" si="7"/>
        <v>1.0469101245484542</v>
      </c>
      <c r="D44" s="454">
        <f t="shared" si="7"/>
        <v>2.2104001147601506</v>
      </c>
      <c r="E44" s="454">
        <f t="shared" si="7"/>
        <v>1.0234076078774275</v>
      </c>
      <c r="F44" s="454">
        <f t="shared" si="7"/>
        <v>0.96268460082665908</v>
      </c>
      <c r="G44" s="454">
        <f t="shared" si="7"/>
        <v>0.98611303221961366</v>
      </c>
      <c r="H44" s="454">
        <f t="shared" si="7"/>
        <v>0.9750144734099373</v>
      </c>
      <c r="I44" s="454">
        <f t="shared" si="7"/>
        <v>0.93173959891114766</v>
      </c>
      <c r="J44" s="454"/>
      <c r="K44" s="454"/>
      <c r="L44" s="454"/>
      <c r="M44" s="454"/>
      <c r="N44" s="454"/>
      <c r="O44" s="454"/>
      <c r="P44" s="455"/>
    </row>
    <row r="45" spans="1:16">
      <c r="A45" s="449">
        <f t="shared" si="4"/>
        <v>2015</v>
      </c>
      <c r="B45" s="454">
        <f t="shared" si="7"/>
        <v>1.5699939268781034</v>
      </c>
      <c r="C45" s="454">
        <f t="shared" si="7"/>
        <v>2.4565820066414803</v>
      </c>
      <c r="D45" s="454">
        <f t="shared" si="7"/>
        <v>1.3217059420011852</v>
      </c>
      <c r="E45" s="454">
        <f t="shared" si="7"/>
        <v>0.98687178812656151</v>
      </c>
      <c r="F45" s="454">
        <f t="shared" si="7"/>
        <v>1.0399031045477387</v>
      </c>
      <c r="G45" s="454">
        <f t="shared" si="7"/>
        <v>1.0844939524360255</v>
      </c>
      <c r="H45" s="454">
        <f t="shared" si="7"/>
        <v>0.92283495167546736</v>
      </c>
      <c r="I45" s="454"/>
      <c r="J45" s="454"/>
      <c r="K45" s="454"/>
      <c r="L45" s="454"/>
      <c r="M45" s="454"/>
      <c r="N45" s="454"/>
      <c r="O45" s="454"/>
      <c r="P45" s="455"/>
    </row>
    <row r="46" spans="1:16">
      <c r="A46" s="449">
        <f t="shared" si="4"/>
        <v>2016</v>
      </c>
      <c r="B46" s="454">
        <f t="shared" si="7"/>
        <v>4.2775170044188737</v>
      </c>
      <c r="C46" s="454">
        <f t="shared" si="7"/>
        <v>1.7035858828384087</v>
      </c>
      <c r="D46" s="454">
        <f t="shared" si="7"/>
        <v>1.2191515761044336</v>
      </c>
      <c r="E46" s="454">
        <f t="shared" si="7"/>
        <v>0.959817963139035</v>
      </c>
      <c r="F46" s="454">
        <f t="shared" si="7"/>
        <v>1.1406513080138314</v>
      </c>
      <c r="G46" s="454">
        <f t="shared" si="7"/>
        <v>1.0278428034123059</v>
      </c>
      <c r="H46" s="454"/>
      <c r="I46" s="454"/>
      <c r="J46" s="454"/>
      <c r="K46" s="454"/>
      <c r="L46" s="454"/>
      <c r="M46" s="454"/>
      <c r="N46" s="454"/>
      <c r="O46" s="454"/>
      <c r="P46" s="455"/>
    </row>
    <row r="47" spans="1:16">
      <c r="A47" s="449">
        <f t="shared" si="4"/>
        <v>2017</v>
      </c>
      <c r="B47" s="454">
        <f>IF(B24=0,0,C24/B24)</f>
        <v>1.9514450347729335</v>
      </c>
      <c r="C47" s="454">
        <f>IF(C24=0,0,D24/C24)</f>
        <v>1.8350836071347776</v>
      </c>
      <c r="D47" s="454">
        <f>IF(D24=0,0,E24/D24)</f>
        <v>1.1903880923692018</v>
      </c>
      <c r="E47" s="454">
        <f>IF(E24=0,0,F24/E24)</f>
        <v>1.4846625288582016</v>
      </c>
      <c r="F47" s="454">
        <f>IF(F24=0,0,G24/F24)</f>
        <v>1.0532461971112252</v>
      </c>
      <c r="G47" s="454"/>
      <c r="H47" s="454"/>
      <c r="I47" s="454"/>
      <c r="J47" s="454"/>
      <c r="K47" s="454"/>
      <c r="L47" s="454"/>
      <c r="M47" s="454"/>
      <c r="N47" s="454"/>
      <c r="O47" s="454"/>
      <c r="P47" s="455"/>
    </row>
    <row r="48" spans="1:16">
      <c r="A48" s="449">
        <f t="shared" si="4"/>
        <v>2018</v>
      </c>
      <c r="B48" s="454">
        <f>IF(B25=0,0,C25/B25)</f>
        <v>1.7300698065087572</v>
      </c>
      <c r="C48" s="454">
        <f>IF(C25=0,0,D25/C25)</f>
        <v>2.451824158959937</v>
      </c>
      <c r="D48" s="454">
        <f>IF(D25=0,0,E25/D25)</f>
        <v>1.6011537572511236</v>
      </c>
      <c r="E48" s="454">
        <f>IF(E25=0,0,F25/E25)</f>
        <v>0.91658404257059567</v>
      </c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5"/>
    </row>
    <row r="49" spans="1:17">
      <c r="A49" s="449">
        <f t="shared" si="4"/>
        <v>2019</v>
      </c>
      <c r="B49" s="454">
        <f>IF(B26=0,0,C26/B26)</f>
        <v>1.9030552776522653</v>
      </c>
      <c r="C49" s="454">
        <f>IF(C26=0,0,D26/C26)</f>
        <v>3.3486423568246804</v>
      </c>
      <c r="D49" s="454">
        <f>IF(D26=0,0,E26/D26)</f>
        <v>1.0963175118709847</v>
      </c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5"/>
    </row>
    <row r="50" spans="1:17">
      <c r="A50" s="449">
        <f t="shared" si="4"/>
        <v>2020</v>
      </c>
      <c r="B50" s="454">
        <f>IF(B27=0,0,C27/B27)</f>
        <v>1.5961576348027395</v>
      </c>
      <c r="C50" s="454">
        <f>IF(C27=0,0,D27/C27)</f>
        <v>1.2388048981474769</v>
      </c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5"/>
    </row>
    <row r="51" spans="1:17">
      <c r="A51" s="449">
        <f t="shared" si="4"/>
        <v>2021</v>
      </c>
      <c r="B51" s="454">
        <f>IF(B28=0,0,C28/B28)</f>
        <v>2.0060851836908817</v>
      </c>
      <c r="C51" s="454"/>
      <c r="D51" s="454"/>
      <c r="E51" s="454"/>
      <c r="F51" s="454"/>
      <c r="G51" s="454"/>
      <c r="I51" s="454"/>
      <c r="J51" s="454"/>
      <c r="K51" s="454"/>
      <c r="L51" s="454"/>
      <c r="M51" s="454"/>
      <c r="N51" s="454"/>
      <c r="O51" s="454"/>
      <c r="P51" s="455"/>
    </row>
    <row r="52" spans="1:17">
      <c r="A52" s="449">
        <f t="shared" si="4"/>
        <v>2022</v>
      </c>
      <c r="B52" s="454"/>
      <c r="C52" s="454"/>
      <c r="D52" s="454"/>
      <c r="E52" s="454"/>
      <c r="F52" s="454"/>
      <c r="G52" s="454"/>
      <c r="H52" s="454"/>
      <c r="I52" s="454"/>
      <c r="J52" s="454"/>
      <c r="K52" s="454"/>
      <c r="L52" s="454"/>
      <c r="M52" s="454"/>
      <c r="N52" s="454"/>
      <c r="O52" s="454"/>
      <c r="P52" s="455"/>
    </row>
    <row r="53" spans="1:17">
      <c r="A53" s="449"/>
      <c r="B53" s="455"/>
      <c r="C53" s="455"/>
      <c r="D53" s="455"/>
      <c r="E53" s="455"/>
      <c r="F53" s="454"/>
      <c r="G53" s="455"/>
      <c r="H53" s="455"/>
      <c r="I53" s="455"/>
      <c r="J53" s="455"/>
      <c r="K53" s="455"/>
      <c r="L53" s="455"/>
      <c r="M53" s="455"/>
      <c r="N53" s="455"/>
      <c r="O53" s="455"/>
      <c r="P53" s="455"/>
    </row>
    <row r="54" spans="1:17">
      <c r="A54" s="446" t="s">
        <v>1053</v>
      </c>
      <c r="B54" s="455"/>
      <c r="C54" s="455"/>
      <c r="D54" s="455"/>
      <c r="E54" s="455"/>
      <c r="F54" s="455"/>
      <c r="G54" s="455"/>
      <c r="H54" s="455"/>
      <c r="I54" s="455"/>
      <c r="J54" s="455"/>
      <c r="K54" s="455"/>
      <c r="L54" s="455"/>
      <c r="M54" s="455"/>
      <c r="N54" s="455"/>
      <c r="O54" s="455"/>
      <c r="P54" s="455"/>
    </row>
    <row r="55" spans="1:17">
      <c r="B55" s="456" t="s">
        <v>1054</v>
      </c>
      <c r="C55" s="455"/>
      <c r="D55" s="455"/>
      <c r="E55" s="455"/>
      <c r="F55" s="455"/>
      <c r="G55" s="457"/>
      <c r="H55" s="457"/>
      <c r="I55" s="457"/>
      <c r="J55" s="457"/>
      <c r="K55" s="457"/>
      <c r="L55" s="457"/>
      <c r="M55" s="457"/>
      <c r="N55" s="457"/>
      <c r="O55" s="457"/>
      <c r="P55" s="455"/>
    </row>
    <row r="56" spans="1:17">
      <c r="A56" s="458" t="s">
        <v>1055</v>
      </c>
      <c r="B56" s="455">
        <f>SUMPRODUCT(B26:B28,B49:B51)/SUM(B26:B28)</f>
        <v>1.8453532918053066</v>
      </c>
      <c r="C56" s="455">
        <f>SUMPRODUCT(C25:C27,C48:C50)/SUM(C25:C27)</f>
        <v>2.4972353015197877</v>
      </c>
      <c r="D56" s="455">
        <f>SUMPRODUCT(D24:D26,D47:D49)/SUM(D24:D26)</f>
        <v>1.2596605836625536</v>
      </c>
      <c r="E56" s="455">
        <f>SUMPRODUCT(E23:E25,E46:E48)/SUM(E23:E25)</f>
        <v>1.0708420086366555</v>
      </c>
      <c r="F56" s="455" cm="1">
        <f t="array" ref="F56">SUMPRODUCT(F22:F24,F45:F47/SUM(F22:F24))</f>
        <v>1.0769125142293219</v>
      </c>
      <c r="G56" s="455" cm="1">
        <f t="array" ref="G56">SUMPRODUCT(G21:G23,G44:G46/SUM(G21:G23))</f>
        <v>1.0367291683890714</v>
      </c>
      <c r="H56" s="455" cm="1">
        <f t="array" ref="H56">SUMPRODUCT(H20:H22,H43:H45/SUM(H20:H22))</f>
        <v>0.95929238499598968</v>
      </c>
      <c r="I56" s="455" cm="1">
        <f t="array" ref="I56">SUMPRODUCT(I19:I21,I42:I44/SUM(I19:I21))</f>
        <v>0.97507366504229798</v>
      </c>
      <c r="J56" s="455" cm="1">
        <f t="array" ref="J56">SUMPRODUCT(J18:J20,J41:J43/SUM(J18:J20))</f>
        <v>1.0094335618134904</v>
      </c>
      <c r="K56" s="455" cm="1">
        <f t="array" ref="K56">SUMPRODUCT(K17:K19,K40:K42/SUM(K17:K19))</f>
        <v>1.0027450514322314</v>
      </c>
      <c r="L56" s="455" cm="1">
        <f t="array" ref="L56">SUMPRODUCT(L16:L18,L39:L41/SUM(L16:L18))</f>
        <v>1</v>
      </c>
      <c r="M56" s="455" cm="1">
        <f t="array" ref="M56">SUMPRODUCT(M15:M17,M38:M40/SUM(M15:M17))</f>
        <v>1</v>
      </c>
      <c r="N56" s="455">
        <f>SUMPRODUCT(N15:N16,N38:N39)/SUM(N15:N16)</f>
        <v>1</v>
      </c>
      <c r="O56" s="455">
        <f>O38</f>
        <v>1</v>
      </c>
    </row>
    <row r="57" spans="1:17">
      <c r="B57" s="456" t="s">
        <v>1056</v>
      </c>
      <c r="C57" s="457"/>
      <c r="D57" s="457"/>
      <c r="E57" s="457"/>
      <c r="F57" s="455"/>
      <c r="G57" s="455"/>
      <c r="H57" s="455"/>
      <c r="I57" s="455"/>
      <c r="J57" s="455"/>
      <c r="K57" s="455"/>
      <c r="L57" s="455"/>
      <c r="M57" s="455"/>
      <c r="N57" s="455"/>
      <c r="O57" s="455"/>
      <c r="P57" s="455"/>
    </row>
    <row r="58" spans="1:17">
      <c r="A58" s="458" t="s">
        <v>1057</v>
      </c>
      <c r="B58" s="455">
        <f>SUMPRODUCT(B24:B28,B47:B51)/SUM(B24:B28)</f>
        <v>1.8516678587592372</v>
      </c>
      <c r="C58" s="457">
        <f>SUMPRODUCT(C23:C27,C46:C50)/SUM(C23:C27)</f>
        <v>2.0179354258584095</v>
      </c>
      <c r="D58" s="457">
        <f>SUMPRODUCT(D22:D26,D45:D49)/SUM(D22:D26)</f>
        <v>1.2677409545042619</v>
      </c>
      <c r="E58" s="457">
        <f>SUMPRODUCT(E21:E25,E44:E48)/SUM(E21:E25)</f>
        <v>1.0352604552057936</v>
      </c>
      <c r="F58" s="457">
        <f>SUMPRODUCT(F20:F24,F43:F47)/SUM(F20:F24)</f>
        <v>1.0297451409304366</v>
      </c>
      <c r="G58" s="457">
        <f>SUMPRODUCT(G19:G23,G42:G46)/SUM(G19:G23)</f>
        <v>1.0342141939328633</v>
      </c>
      <c r="H58" s="457">
        <f>SUMPRODUCT(H18:H22,H41:H45)/SUM(H18:H22)</f>
        <v>0.96588021818424086</v>
      </c>
      <c r="I58" s="457">
        <f>SUMPRODUCT(I17:I21,I40:I44)/SUM(I17:I21)</f>
        <v>0.97605900082278485</v>
      </c>
      <c r="J58" s="457">
        <f>SUMPRODUCT(J16:J20,J39:J43)/SUM(J16:J20)</f>
        <v>1.0076837534188974</v>
      </c>
      <c r="K58" s="457">
        <f>SUMPRODUCT(K15:K19,K38:K42)/SUM(K15:K19)</f>
        <v>1.0026138509261464</v>
      </c>
      <c r="L58" s="457">
        <f>SUMPRODUCT(L15:L18,L38:L41)/SUM(L15:L18)</f>
        <v>1</v>
      </c>
      <c r="M58" s="457">
        <f>M56</f>
        <v>1</v>
      </c>
      <c r="N58" s="457">
        <f>N56</f>
        <v>1</v>
      </c>
      <c r="O58" s="457">
        <f>O56</f>
        <v>1</v>
      </c>
    </row>
    <row r="59" spans="1:17">
      <c r="B59" s="456" t="s">
        <v>1058</v>
      </c>
      <c r="C59" s="455"/>
      <c r="D59" s="455"/>
      <c r="E59" s="455"/>
      <c r="F59" s="455"/>
      <c r="G59" s="455"/>
      <c r="H59" s="455"/>
      <c r="I59" s="455"/>
      <c r="J59" s="455"/>
      <c r="K59" s="455"/>
      <c r="L59" s="455"/>
      <c r="M59" s="455"/>
      <c r="N59" s="455"/>
      <c r="O59" s="455"/>
      <c r="P59" s="455"/>
    </row>
    <row r="60" spans="1:17">
      <c r="A60" s="458" t="s">
        <v>1059</v>
      </c>
      <c r="B60" s="455">
        <f>SUMPRODUCT(B22:B28,B45:B51)/SUM(B22:B28)</f>
        <v>2.1223885018018875</v>
      </c>
      <c r="C60" s="455">
        <f>SUMPRODUCT(C21:C27,C44:C50)/SUM(C21:C27)</f>
        <v>1.8826257541814659</v>
      </c>
      <c r="D60" s="455">
        <f>SUMPRODUCT(D20:D26,D43:D49)/SUM(D20:D26)</f>
        <v>1.3683915004526328</v>
      </c>
      <c r="E60" s="455">
        <f>SUMPRODUCT(E19:E25,E42:E48)/SUM(E19:E25)</f>
        <v>1.0515067851903015</v>
      </c>
      <c r="F60" s="455">
        <f>SUMPRODUCT(F18:F24,F41:F47)/SUM(F18:F24)</f>
        <v>1.0187700219675127</v>
      </c>
      <c r="G60" s="455">
        <f>SUMPRODUCT(G17:G23,G40:G46)/SUM(G17:G23)</f>
        <v>1.0232483030662316</v>
      </c>
      <c r="H60" s="455">
        <f>SUMPRODUCT(H16:H22,H39:H45)/SUM(H16:H22)</f>
        <v>0.95596124559421702</v>
      </c>
      <c r="I60" s="455">
        <f>SUMPRODUCT(I15:I21,I38:I44)/SUM(I15:I21)</f>
        <v>0.97658551740344557</v>
      </c>
      <c r="J60" s="455">
        <f>SUMPRODUCT(J13:J20,J36:J43)/SUM(J13:J20)</f>
        <v>1.0073355463146634</v>
      </c>
      <c r="K60" s="455">
        <f>K58</f>
        <v>1.0026138509261464</v>
      </c>
      <c r="L60" s="455">
        <f>L58</f>
        <v>1</v>
      </c>
      <c r="M60" s="455">
        <f>M56</f>
        <v>1</v>
      </c>
      <c r="N60" s="455">
        <f>M56</f>
        <v>1</v>
      </c>
      <c r="O60" s="455">
        <f>M56</f>
        <v>1</v>
      </c>
    </row>
    <row r="61" spans="1:17">
      <c r="B61" s="456" t="s">
        <v>1060</v>
      </c>
      <c r="C61" s="455"/>
      <c r="D61" s="455"/>
      <c r="E61" s="455"/>
      <c r="F61" s="455"/>
      <c r="G61" s="455"/>
      <c r="H61" s="455"/>
      <c r="I61" s="455"/>
      <c r="J61" s="455"/>
      <c r="K61" s="455"/>
      <c r="L61" s="455"/>
      <c r="M61" s="455"/>
      <c r="N61" s="455"/>
      <c r="O61" s="455"/>
      <c r="P61" s="455"/>
    </row>
    <row r="62" spans="1:17">
      <c r="A62" s="458" t="s">
        <v>1061</v>
      </c>
      <c r="B62" s="455">
        <v>2.4</v>
      </c>
      <c r="C62" s="455">
        <v>1.825</v>
      </c>
      <c r="D62" s="455">
        <v>1.4450000000000001</v>
      </c>
      <c r="E62" s="455">
        <v>1</v>
      </c>
      <c r="F62" s="455">
        <v>1</v>
      </c>
      <c r="G62" s="455">
        <v>1</v>
      </c>
      <c r="H62" s="455">
        <v>1</v>
      </c>
      <c r="I62" s="455">
        <v>1</v>
      </c>
      <c r="J62" s="455">
        <v>1</v>
      </c>
      <c r="K62" s="455">
        <v>1</v>
      </c>
      <c r="L62" s="455">
        <v>1</v>
      </c>
      <c r="M62" s="455">
        <v>1</v>
      </c>
      <c r="N62" s="455">
        <v>1</v>
      </c>
      <c r="O62" s="455">
        <v>1</v>
      </c>
      <c r="P62" s="455"/>
    </row>
    <row r="63" spans="1:17">
      <c r="B63" s="455"/>
      <c r="C63" s="455"/>
      <c r="D63" s="455"/>
      <c r="E63" s="455"/>
      <c r="F63" s="455"/>
      <c r="G63" s="455"/>
      <c r="H63" s="455"/>
      <c r="I63" s="455"/>
      <c r="J63" s="455"/>
      <c r="K63" s="455"/>
      <c r="L63" s="455"/>
      <c r="M63" s="455"/>
      <c r="N63" s="455"/>
      <c r="O63" s="455"/>
      <c r="P63" s="455"/>
      <c r="Q63" s="323"/>
    </row>
    <row r="64" spans="1:17">
      <c r="B64" s="455"/>
      <c r="C64" s="455"/>
      <c r="D64" s="455"/>
      <c r="E64" s="455"/>
      <c r="F64" s="455"/>
      <c r="G64" s="455"/>
      <c r="H64" s="455"/>
      <c r="I64" s="455"/>
      <c r="J64" s="455"/>
      <c r="K64" s="455"/>
      <c r="L64" s="455"/>
      <c r="M64" s="455"/>
      <c r="N64" s="455"/>
      <c r="O64" s="455"/>
      <c r="P64" s="455"/>
      <c r="Q64" s="323"/>
    </row>
    <row r="65" spans="1:17">
      <c r="A65" s="446" t="s">
        <v>1062</v>
      </c>
      <c r="B65" s="455">
        <f>B62</f>
        <v>2.4</v>
      </c>
      <c r="C65" s="455">
        <f t="shared" ref="C65:O65" si="8">C62</f>
        <v>1.825</v>
      </c>
      <c r="D65" s="455">
        <f t="shared" si="8"/>
        <v>1.4450000000000001</v>
      </c>
      <c r="E65" s="559">
        <v>1</v>
      </c>
      <c r="F65" s="455">
        <v>1</v>
      </c>
      <c r="G65" s="455">
        <v>1</v>
      </c>
      <c r="H65" s="455">
        <v>1</v>
      </c>
      <c r="I65" s="455">
        <v>1</v>
      </c>
      <c r="J65" s="455">
        <f t="shared" si="8"/>
        <v>1</v>
      </c>
      <c r="K65" s="455">
        <f t="shared" si="8"/>
        <v>1</v>
      </c>
      <c r="L65" s="455">
        <f t="shared" si="8"/>
        <v>1</v>
      </c>
      <c r="M65" s="455">
        <f t="shared" si="8"/>
        <v>1</v>
      </c>
      <c r="N65" s="455">
        <f t="shared" si="8"/>
        <v>1</v>
      </c>
      <c r="O65" s="455">
        <f t="shared" si="8"/>
        <v>1</v>
      </c>
    </row>
    <row r="66" spans="1:17">
      <c r="A66" s="444" t="s">
        <v>780</v>
      </c>
      <c r="B66" s="455">
        <f>C66*B65</f>
        <v>6.3291000000000004</v>
      </c>
      <c r="C66" s="455">
        <f t="shared" ref="C66:O66" si="9">D66*C65</f>
        <v>2.6371250000000002</v>
      </c>
      <c r="D66" s="455">
        <f t="shared" si="9"/>
        <v>1.4450000000000001</v>
      </c>
      <c r="E66" s="455">
        <f t="shared" si="9"/>
        <v>1</v>
      </c>
      <c r="F66" s="455">
        <f t="shared" si="9"/>
        <v>1</v>
      </c>
      <c r="G66" s="455">
        <f t="shared" si="9"/>
        <v>1</v>
      </c>
      <c r="H66" s="455">
        <f t="shared" si="9"/>
        <v>1</v>
      </c>
      <c r="I66" s="455">
        <f t="shared" si="9"/>
        <v>1</v>
      </c>
      <c r="J66" s="455">
        <f t="shared" si="9"/>
        <v>1</v>
      </c>
      <c r="K66" s="455">
        <f t="shared" si="9"/>
        <v>1</v>
      </c>
      <c r="L66" s="455">
        <f t="shared" si="9"/>
        <v>1</v>
      </c>
      <c r="M66" s="455">
        <f t="shared" si="9"/>
        <v>1</v>
      </c>
      <c r="N66" s="455">
        <f t="shared" si="9"/>
        <v>1</v>
      </c>
      <c r="O66" s="455">
        <f t="shared" si="9"/>
        <v>1</v>
      </c>
      <c r="P66" s="455">
        <v>1</v>
      </c>
    </row>
    <row r="69" spans="1:17">
      <c r="Q69" s="323"/>
    </row>
    <row r="71" spans="1:17">
      <c r="A71" s="444" t="s">
        <v>1588</v>
      </c>
      <c r="B71" s="455"/>
      <c r="C71" s="455"/>
      <c r="D71" s="455"/>
      <c r="E71" s="455"/>
      <c r="F71" s="455"/>
      <c r="G71" s="455"/>
      <c r="H71" s="455"/>
      <c r="I71" s="455"/>
      <c r="J71" s="455"/>
      <c r="K71" s="455"/>
      <c r="L71" s="455"/>
      <c r="M71" s="455"/>
      <c r="N71" s="455"/>
      <c r="O71" s="455"/>
      <c r="P71" s="455"/>
    </row>
  </sheetData>
  <printOptions horizontalCentered="1"/>
  <pageMargins left="0.7" right="0.7" top="0.75" bottom="0.75" header="0.3" footer="0.3"/>
  <pageSetup scale="44"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124">
    <tabColor rgb="FF92D050"/>
    <pageSetUpPr fitToPage="1"/>
  </sheetPr>
  <dimension ref="A1:Q70"/>
  <sheetViews>
    <sheetView zoomScaleNormal="100" workbookViewId="0"/>
  </sheetViews>
  <sheetFormatPr baseColWidth="10" defaultColWidth="7.42578125" defaultRowHeight="15"/>
  <cols>
    <col min="1" max="1" width="11.7109375" style="444" customWidth="1"/>
    <col min="2" max="5" width="9.140625" style="444" customWidth="1"/>
    <col min="6" max="11" width="9.7109375" style="444" bestFit="1" customWidth="1"/>
    <col min="12" max="12" width="8.7109375" style="444" bestFit="1" customWidth="1"/>
    <col min="13" max="16" width="9.140625" style="444" customWidth="1"/>
    <col min="17" max="16384" width="7.42578125" style="316"/>
  </cols>
  <sheetData>
    <row r="1" spans="1:17">
      <c r="A1" s="443" t="s">
        <v>1026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549" t="s">
        <v>1063</v>
      </c>
    </row>
    <row r="2" spans="1:17">
      <c r="A2" s="445" t="s">
        <v>1027</v>
      </c>
      <c r="B2" s="466"/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549" t="s">
        <v>936</v>
      </c>
    </row>
    <row r="3" spans="1:17">
      <c r="A3" s="445" t="s">
        <v>1069</v>
      </c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</row>
    <row r="4" spans="1:17">
      <c r="A4" s="445" t="s">
        <v>1070</v>
      </c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</row>
    <row r="5" spans="1:17">
      <c r="A5" s="445" t="s">
        <v>1073</v>
      </c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</row>
    <row r="6" spans="1:17">
      <c r="A6" s="445" t="s">
        <v>260</v>
      </c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</row>
    <row r="7" spans="1:17">
      <c r="A7" s="445" t="str">
        <f>'Exhibit R,S1'!A7</f>
        <v>Data Evaluated as of 11/30/2022</v>
      </c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</row>
    <row r="9" spans="1:17">
      <c r="A9" s="466"/>
      <c r="B9" s="446" t="s">
        <v>1030</v>
      </c>
      <c r="C9" s="466"/>
      <c r="D9" s="466"/>
      <c r="E9" s="466"/>
      <c r="F9" s="466"/>
      <c r="G9" s="466"/>
      <c r="H9" s="466"/>
      <c r="I9" s="466"/>
      <c r="J9" s="466"/>
      <c r="K9" s="466"/>
      <c r="L9" s="466"/>
      <c r="M9" s="466"/>
      <c r="N9" s="466"/>
      <c r="O9" s="466"/>
      <c r="P9" s="466"/>
    </row>
    <row r="10" spans="1:17">
      <c r="A10" s="460" t="s">
        <v>170</v>
      </c>
      <c r="B10" s="461">
        <v>11</v>
      </c>
      <c r="C10" s="461">
        <v>23</v>
      </c>
      <c r="D10" s="461">
        <v>35</v>
      </c>
      <c r="E10" s="461">
        <v>47</v>
      </c>
      <c r="F10" s="461">
        <v>59</v>
      </c>
      <c r="G10" s="461">
        <v>71</v>
      </c>
      <c r="H10" s="461">
        <v>83</v>
      </c>
      <c r="I10" s="461">
        <v>95</v>
      </c>
      <c r="J10" s="461">
        <v>107</v>
      </c>
      <c r="K10" s="461">
        <v>119</v>
      </c>
      <c r="L10" s="461">
        <v>131</v>
      </c>
      <c r="M10" s="461">
        <v>143</v>
      </c>
      <c r="N10" s="461">
        <v>155</v>
      </c>
      <c r="O10" s="461">
        <v>167</v>
      </c>
      <c r="P10" s="461">
        <v>179</v>
      </c>
    </row>
    <row r="11" spans="1:17">
      <c r="A11" s="449"/>
      <c r="B11" s="449"/>
      <c r="C11" s="449"/>
      <c r="D11" s="449"/>
      <c r="E11" s="449"/>
      <c r="F11" s="449"/>
      <c r="G11" s="449"/>
      <c r="H11" s="449"/>
      <c r="I11" s="449"/>
      <c r="J11" s="449"/>
      <c r="K11" s="449"/>
      <c r="L11" s="449"/>
      <c r="M11" s="449"/>
      <c r="N11" s="449"/>
      <c r="O11" s="449"/>
      <c r="P11" s="449"/>
    </row>
    <row r="12" spans="1:17">
      <c r="A12" s="449"/>
      <c r="B12" s="466"/>
      <c r="C12" s="466"/>
      <c r="D12" s="466"/>
      <c r="E12" s="466"/>
      <c r="F12" s="466"/>
      <c r="G12" s="466"/>
      <c r="H12" s="466"/>
      <c r="I12" s="466"/>
      <c r="J12" s="466"/>
      <c r="K12" s="466"/>
      <c r="L12" s="466"/>
      <c r="M12" s="466"/>
      <c r="N12" s="466"/>
      <c r="O12" s="466"/>
      <c r="P12" s="466"/>
    </row>
    <row r="13" spans="1:17">
      <c r="A13" s="449">
        <f>'Exhibit R,S5'!A13</f>
        <v>2006</v>
      </c>
      <c r="B13" s="451"/>
      <c r="C13" s="451"/>
      <c r="D13" s="451"/>
      <c r="E13" s="451"/>
      <c r="F13" s="451">
        <v>276734.80000000075</v>
      </c>
      <c r="G13" s="451">
        <v>315964.89999999851</v>
      </c>
      <c r="H13" s="451">
        <v>363332.58000000194</v>
      </c>
      <c r="I13" s="451">
        <v>474648.87000000104</v>
      </c>
      <c r="J13" s="451">
        <v>474648.87000000104</v>
      </c>
      <c r="K13" s="451">
        <v>474648.87000000104</v>
      </c>
      <c r="L13" s="451">
        <v>474648.87000000104</v>
      </c>
      <c r="M13" s="451">
        <v>474648.87000000104</v>
      </c>
      <c r="N13" s="451">
        <v>474648.87000000104</v>
      </c>
      <c r="O13" s="451">
        <v>474648.87000000104</v>
      </c>
      <c r="P13" s="464">
        <v>474648.87</v>
      </c>
      <c r="Q13" s="315"/>
    </row>
    <row r="14" spans="1:17">
      <c r="A14" s="449">
        <f>A13+1</f>
        <v>2007</v>
      </c>
      <c r="B14" s="451"/>
      <c r="C14" s="451"/>
      <c r="D14" s="451"/>
      <c r="E14" s="451">
        <v>176022.59999999963</v>
      </c>
      <c r="F14" s="451">
        <v>210778.79999999702</v>
      </c>
      <c r="G14" s="451">
        <v>641490.25</v>
      </c>
      <c r="H14" s="451">
        <v>641790.41000000015</v>
      </c>
      <c r="I14" s="451">
        <v>641790.41000000015</v>
      </c>
      <c r="J14" s="451">
        <v>641790.41000000015</v>
      </c>
      <c r="K14" s="451">
        <v>641790.41000000015</v>
      </c>
      <c r="L14" s="451">
        <v>641790.41000000015</v>
      </c>
      <c r="M14" s="451">
        <v>641790.41000000015</v>
      </c>
      <c r="N14" s="451">
        <v>641790.41000000015</v>
      </c>
      <c r="O14" s="464">
        <v>641790.40999999992</v>
      </c>
      <c r="P14" s="464">
        <v>641790.40999999992</v>
      </c>
    </row>
    <row r="15" spans="1:17">
      <c r="A15" s="449">
        <f t="shared" ref="A15:A29" si="0">A14+1</f>
        <v>2008</v>
      </c>
      <c r="B15" s="451"/>
      <c r="C15" s="451"/>
      <c r="D15" s="451">
        <v>76062.490000000224</v>
      </c>
      <c r="E15" s="451">
        <v>104577.97000000067</v>
      </c>
      <c r="F15" s="451">
        <v>130369.98000000045</v>
      </c>
      <c r="G15" s="451">
        <v>204115.10000000149</v>
      </c>
      <c r="H15" s="451">
        <v>274952.61000000313</v>
      </c>
      <c r="I15" s="451">
        <v>577958.05000000075</v>
      </c>
      <c r="J15" s="451">
        <v>579145.55000000075</v>
      </c>
      <c r="K15" s="451">
        <v>579145.55000000075</v>
      </c>
      <c r="L15" s="451">
        <v>579145.55000000075</v>
      </c>
      <c r="M15" s="451">
        <v>579145.55000000075</v>
      </c>
      <c r="N15" s="464">
        <v>579145.55000000005</v>
      </c>
      <c r="O15" s="464">
        <v>579145.55000000005</v>
      </c>
      <c r="P15" s="464">
        <v>579145.55000000005</v>
      </c>
    </row>
    <row r="16" spans="1:17">
      <c r="A16" s="449">
        <f t="shared" si="0"/>
        <v>2009</v>
      </c>
      <c r="B16" s="451"/>
      <c r="C16" s="451">
        <v>126190.10000000009</v>
      </c>
      <c r="D16" s="451">
        <v>222475.36000000034</v>
      </c>
      <c r="E16" s="451">
        <v>266029.6799999997</v>
      </c>
      <c r="F16" s="451">
        <v>310947.12999999896</v>
      </c>
      <c r="G16" s="451">
        <v>337817.41000000015</v>
      </c>
      <c r="H16" s="451">
        <v>490035.19999999925</v>
      </c>
      <c r="I16" s="451">
        <v>513746.9299999997</v>
      </c>
      <c r="J16" s="451">
        <v>513746.9299999997</v>
      </c>
      <c r="K16" s="451">
        <v>513746.9299999997</v>
      </c>
      <c r="L16" s="451">
        <v>513746.9299999997</v>
      </c>
      <c r="M16" s="464">
        <v>513746.93</v>
      </c>
      <c r="N16" s="464">
        <v>513746.93</v>
      </c>
      <c r="O16" s="464">
        <v>513746.93</v>
      </c>
      <c r="P16" s="451"/>
    </row>
    <row r="17" spans="1:16">
      <c r="A17" s="449">
        <f t="shared" si="0"/>
        <v>2010</v>
      </c>
      <c r="B17" s="451">
        <v>60388.520000000019</v>
      </c>
      <c r="C17" s="451">
        <v>883228.95</v>
      </c>
      <c r="D17" s="451">
        <v>3733527.5100000007</v>
      </c>
      <c r="E17" s="451">
        <v>5025907.32</v>
      </c>
      <c r="F17" s="451">
        <v>5876612.7599999998</v>
      </c>
      <c r="G17" s="451">
        <v>6065762.0300000012</v>
      </c>
      <c r="H17" s="451">
        <v>6075195.129999999</v>
      </c>
      <c r="I17" s="451">
        <v>6104470.3599999994</v>
      </c>
      <c r="J17" s="451">
        <v>6111913.1999999993</v>
      </c>
      <c r="K17" s="451">
        <v>6111913.1999999993</v>
      </c>
      <c r="L17" s="464">
        <v>6111913.2000000002</v>
      </c>
      <c r="M17" s="464">
        <v>6111913.2000000002</v>
      </c>
      <c r="N17" s="464">
        <v>6111913.2000000002</v>
      </c>
      <c r="O17" s="451"/>
      <c r="P17" s="451"/>
    </row>
    <row r="18" spans="1:16">
      <c r="A18" s="449">
        <f t="shared" si="0"/>
        <v>2011</v>
      </c>
      <c r="B18" s="451">
        <v>54913.299999999988</v>
      </c>
      <c r="C18" s="451">
        <v>267628.5</v>
      </c>
      <c r="D18" s="451">
        <v>488305.3600000001</v>
      </c>
      <c r="E18" s="451">
        <v>735574.61000000034</v>
      </c>
      <c r="F18" s="451">
        <v>1867859.870000001</v>
      </c>
      <c r="G18" s="451">
        <v>2016851.589999998</v>
      </c>
      <c r="H18" s="451">
        <v>2219572.9900000021</v>
      </c>
      <c r="I18" s="451">
        <v>2261212.5299999975</v>
      </c>
      <c r="J18" s="451">
        <v>2261212.5300000012</v>
      </c>
      <c r="K18" s="464">
        <v>2261212.5300000003</v>
      </c>
      <c r="L18" s="464">
        <v>2261212.5300000003</v>
      </c>
      <c r="M18" s="464">
        <v>2261212.5300000003</v>
      </c>
      <c r="N18" s="451"/>
      <c r="O18" s="451"/>
      <c r="P18" s="451"/>
    </row>
    <row r="19" spans="1:16">
      <c r="A19" s="449">
        <f t="shared" si="0"/>
        <v>2012</v>
      </c>
      <c r="B19" s="451">
        <v>141404.79999999999</v>
      </c>
      <c r="C19" s="451">
        <v>615606.00999999989</v>
      </c>
      <c r="D19" s="451">
        <v>1233560.9900000002</v>
      </c>
      <c r="E19" s="451">
        <v>4884679.1900000004</v>
      </c>
      <c r="F19" s="451">
        <v>9169454.0600000005</v>
      </c>
      <c r="G19" s="451">
        <v>11973400.68</v>
      </c>
      <c r="H19" s="451">
        <v>12367381.16</v>
      </c>
      <c r="I19" s="451">
        <v>13447834.990000002</v>
      </c>
      <c r="J19" s="464">
        <v>13454014.99</v>
      </c>
      <c r="K19" s="464">
        <v>13459866.99</v>
      </c>
      <c r="L19" s="464">
        <v>13459866.99</v>
      </c>
      <c r="M19" s="451"/>
      <c r="N19" s="451"/>
      <c r="O19" s="451"/>
      <c r="P19" s="451"/>
    </row>
    <row r="20" spans="1:16">
      <c r="A20" s="449">
        <f t="shared" si="0"/>
        <v>2013</v>
      </c>
      <c r="B20" s="451">
        <v>118505.37</v>
      </c>
      <c r="C20" s="451">
        <v>3379563.49</v>
      </c>
      <c r="D20" s="451">
        <v>4324864.32</v>
      </c>
      <c r="E20" s="451">
        <v>7090915.2400000002</v>
      </c>
      <c r="F20" s="451">
        <v>7881097.5199999996</v>
      </c>
      <c r="G20" s="451">
        <v>11591814.119999999</v>
      </c>
      <c r="H20" s="451">
        <v>13270671.350000001</v>
      </c>
      <c r="I20" s="464">
        <v>13347199.379999999</v>
      </c>
      <c r="J20" s="464">
        <v>13372145.5</v>
      </c>
      <c r="K20" s="464">
        <v>13395364.229999999</v>
      </c>
      <c r="L20" s="451"/>
      <c r="M20" s="451"/>
      <c r="N20" s="451"/>
      <c r="O20" s="451"/>
      <c r="P20" s="451"/>
    </row>
    <row r="21" spans="1:16">
      <c r="A21" s="449">
        <f t="shared" si="0"/>
        <v>2014</v>
      </c>
      <c r="B21" s="451">
        <v>222473.99000000002</v>
      </c>
      <c r="C21" s="451">
        <v>2004007.52</v>
      </c>
      <c r="D21" s="451">
        <v>3617904.1799999997</v>
      </c>
      <c r="E21" s="451">
        <v>5484687.1499999994</v>
      </c>
      <c r="F21" s="451">
        <v>11919996.34</v>
      </c>
      <c r="G21" s="451">
        <v>12301900.449999997</v>
      </c>
      <c r="H21" s="464">
        <v>12762835.060000001</v>
      </c>
      <c r="I21" s="464">
        <v>13168822.280000001</v>
      </c>
      <c r="J21" s="464">
        <v>14028742.140000001</v>
      </c>
      <c r="K21" s="451"/>
      <c r="L21" s="451"/>
      <c r="M21" s="451"/>
      <c r="N21" s="451"/>
      <c r="O21" s="451"/>
      <c r="P21" s="451"/>
    </row>
    <row r="22" spans="1:16">
      <c r="A22" s="449">
        <f t="shared" si="0"/>
        <v>2015</v>
      </c>
      <c r="B22" s="451">
        <v>264807.87000000005</v>
      </c>
      <c r="C22" s="451">
        <v>1129486.58</v>
      </c>
      <c r="D22" s="451">
        <v>2761777.3599999994</v>
      </c>
      <c r="E22" s="451">
        <v>6907226.8000000007</v>
      </c>
      <c r="F22" s="451">
        <v>10858813.6</v>
      </c>
      <c r="G22" s="464">
        <v>11791213.300000001</v>
      </c>
      <c r="H22" s="464">
        <v>12575300.66</v>
      </c>
      <c r="I22" s="464">
        <v>17128242.059999999</v>
      </c>
      <c r="J22" s="451"/>
      <c r="K22" s="451"/>
      <c r="L22" s="451"/>
      <c r="M22" s="451"/>
      <c r="N22" s="451"/>
      <c r="O22" s="451"/>
      <c r="P22" s="451"/>
    </row>
    <row r="23" spans="1:16">
      <c r="A23" s="449">
        <f t="shared" si="0"/>
        <v>2016</v>
      </c>
      <c r="B23" s="451">
        <v>306426.34999999998</v>
      </c>
      <c r="C23" s="451">
        <v>4855915.4300000006</v>
      </c>
      <c r="D23" s="451">
        <v>7290972.8600000003</v>
      </c>
      <c r="E23" s="451">
        <v>8970796.5299999993</v>
      </c>
      <c r="F23" s="464">
        <v>10127834</v>
      </c>
      <c r="G23" s="464">
        <v>13379012.579999998</v>
      </c>
      <c r="H23" s="464">
        <v>14861472.77</v>
      </c>
      <c r="I23" s="451"/>
      <c r="J23" s="451"/>
      <c r="K23" s="451"/>
      <c r="L23" s="451"/>
      <c r="M23" s="451"/>
      <c r="N23" s="451"/>
      <c r="O23" s="451"/>
      <c r="P23" s="451"/>
    </row>
    <row r="24" spans="1:16">
      <c r="A24" s="449">
        <f t="shared" si="0"/>
        <v>2017</v>
      </c>
      <c r="B24" s="451">
        <v>319907.93999999994</v>
      </c>
      <c r="C24" s="451">
        <v>1187761.1099999999</v>
      </c>
      <c r="D24" s="451">
        <v>1681136.1800000002</v>
      </c>
      <c r="E24" s="464">
        <v>5906177.0600000005</v>
      </c>
      <c r="F24" s="464">
        <v>6209566.4299999997</v>
      </c>
      <c r="G24" s="464">
        <v>9226861.9399999995</v>
      </c>
      <c r="H24" s="451"/>
      <c r="I24" s="451"/>
      <c r="J24" s="451"/>
      <c r="K24" s="451"/>
      <c r="L24" s="451"/>
      <c r="N24" s="451"/>
      <c r="O24" s="451"/>
      <c r="P24" s="451"/>
    </row>
    <row r="25" spans="1:16">
      <c r="A25" s="449">
        <f t="shared" si="0"/>
        <v>2018</v>
      </c>
      <c r="B25" s="451">
        <v>172634.21999999997</v>
      </c>
      <c r="C25" s="451">
        <v>598205.95000000019</v>
      </c>
      <c r="D25" s="464">
        <v>881264.27</v>
      </c>
      <c r="E25" s="464">
        <v>2909982.74</v>
      </c>
      <c r="F25" s="464">
        <v>5183056.71</v>
      </c>
      <c r="G25" s="451"/>
      <c r="H25" s="451"/>
      <c r="I25" s="451"/>
      <c r="J25" s="451"/>
      <c r="K25" s="451"/>
      <c r="L25" s="451"/>
      <c r="M25" s="451"/>
      <c r="N25" s="451"/>
      <c r="O25" s="451"/>
      <c r="P25" s="451"/>
    </row>
    <row r="26" spans="1:16">
      <c r="A26" s="449">
        <f t="shared" si="0"/>
        <v>2019</v>
      </c>
      <c r="B26" s="451">
        <v>247423.62999999995</v>
      </c>
      <c r="C26" s="464">
        <v>756810.41999999993</v>
      </c>
      <c r="D26" s="464">
        <v>5104399.2</v>
      </c>
      <c r="E26" s="464">
        <v>7080069.6100000003</v>
      </c>
      <c r="F26" s="451"/>
      <c r="G26" s="451"/>
      <c r="H26" s="451"/>
      <c r="I26" s="451"/>
      <c r="J26" s="451"/>
      <c r="K26" s="451"/>
      <c r="L26" s="451"/>
      <c r="M26" s="451"/>
      <c r="N26" s="451"/>
      <c r="O26" s="451"/>
    </row>
    <row r="27" spans="1:16">
      <c r="A27" s="449">
        <f t="shared" si="0"/>
        <v>2020</v>
      </c>
      <c r="B27" s="464">
        <v>147052.98000000001</v>
      </c>
      <c r="C27" s="464">
        <v>490645.01</v>
      </c>
      <c r="D27" s="464">
        <v>707758.45</v>
      </c>
      <c r="E27" s="451"/>
      <c r="F27" s="451"/>
      <c r="G27" s="451"/>
      <c r="H27" s="451"/>
      <c r="I27" s="451"/>
      <c r="J27" s="451"/>
      <c r="K27" s="451"/>
      <c r="L27" s="451"/>
      <c r="M27" s="451"/>
      <c r="N27" s="451"/>
      <c r="O27" s="451"/>
      <c r="P27" s="451"/>
    </row>
    <row r="28" spans="1:16">
      <c r="A28" s="449">
        <f t="shared" si="0"/>
        <v>2021</v>
      </c>
      <c r="B28" s="464">
        <v>329236.52</v>
      </c>
      <c r="C28" s="464">
        <v>541713.12</v>
      </c>
      <c r="D28" s="451"/>
      <c r="E28" s="451"/>
      <c r="F28" s="451"/>
      <c r="G28" s="451"/>
      <c r="H28" s="451"/>
      <c r="I28" s="451"/>
      <c r="J28" s="451"/>
      <c r="K28" s="451"/>
      <c r="L28" s="451"/>
      <c r="M28" s="451"/>
      <c r="N28" s="451"/>
      <c r="O28" s="451"/>
      <c r="P28" s="451"/>
    </row>
    <row r="29" spans="1:16">
      <c r="A29" s="449">
        <f t="shared" si="0"/>
        <v>2022</v>
      </c>
      <c r="B29" s="464">
        <v>92512.09</v>
      </c>
      <c r="C29" s="451"/>
      <c r="D29" s="451"/>
      <c r="E29" s="451"/>
      <c r="F29" s="451"/>
      <c r="G29" s="451"/>
      <c r="H29" s="451"/>
      <c r="I29" s="451"/>
      <c r="J29" s="451"/>
      <c r="K29" s="451"/>
      <c r="L29" s="451"/>
      <c r="M29" s="451"/>
      <c r="N29" s="451"/>
      <c r="O29" s="451"/>
      <c r="P29" s="451"/>
    </row>
    <row r="30" spans="1:16">
      <c r="A30" s="449"/>
      <c r="B30" s="464"/>
      <c r="C30" s="451"/>
      <c r="D30" s="451"/>
      <c r="E30" s="451"/>
      <c r="F30" s="451"/>
      <c r="G30" s="451"/>
      <c r="H30" s="451"/>
      <c r="I30" s="451"/>
      <c r="J30" s="451"/>
      <c r="K30" s="451"/>
      <c r="L30" s="451"/>
      <c r="M30" s="451"/>
      <c r="N30" s="451"/>
      <c r="O30" s="451"/>
      <c r="P30" s="451"/>
    </row>
    <row r="31" spans="1:16">
      <c r="A31" s="446"/>
      <c r="B31" s="452"/>
      <c r="C31" s="452"/>
      <c r="D31" s="452"/>
      <c r="E31" s="452"/>
      <c r="F31" s="452"/>
      <c r="G31" s="452"/>
      <c r="H31" s="452"/>
      <c r="I31" s="452"/>
      <c r="J31" s="452"/>
      <c r="K31" s="452"/>
      <c r="L31" s="452"/>
      <c r="M31" s="452"/>
      <c r="N31" s="452"/>
      <c r="O31" s="452"/>
      <c r="P31" s="452"/>
    </row>
    <row r="32" spans="1:16">
      <c r="B32" s="446" t="s">
        <v>1032</v>
      </c>
    </row>
    <row r="33" spans="1:16">
      <c r="A33" s="447" t="s">
        <v>170</v>
      </c>
      <c r="B33" s="453" t="s">
        <v>1033</v>
      </c>
      <c r="C33" s="453" t="s">
        <v>1034</v>
      </c>
      <c r="D33" s="453" t="s">
        <v>1035</v>
      </c>
      <c r="E33" s="453" t="s">
        <v>1036</v>
      </c>
      <c r="F33" s="453" t="s">
        <v>1037</v>
      </c>
      <c r="G33" s="453" t="s">
        <v>1038</v>
      </c>
      <c r="H33" s="453" t="s">
        <v>1039</v>
      </c>
      <c r="I33" s="453" t="s">
        <v>1040</v>
      </c>
      <c r="J33" s="453" t="s">
        <v>1041</v>
      </c>
      <c r="K33" s="453" t="s">
        <v>1042</v>
      </c>
      <c r="L33" s="453" t="s">
        <v>1043</v>
      </c>
      <c r="M33" s="453" t="s">
        <v>1044</v>
      </c>
      <c r="N33" s="453" t="s">
        <v>1045</v>
      </c>
      <c r="O33" s="453" t="s">
        <v>1046</v>
      </c>
      <c r="P33" s="453" t="s">
        <v>1071</v>
      </c>
    </row>
    <row r="34" spans="1:16">
      <c r="A34" s="449"/>
      <c r="B34" s="449"/>
      <c r="C34" s="449"/>
      <c r="D34" s="449"/>
      <c r="E34" s="449"/>
      <c r="F34" s="449"/>
      <c r="G34" s="449"/>
      <c r="H34" s="449"/>
      <c r="I34" s="449"/>
      <c r="J34" s="449"/>
      <c r="K34" s="449"/>
      <c r="L34" s="449"/>
      <c r="M34" s="449"/>
      <c r="N34" s="449"/>
      <c r="O34" s="449"/>
      <c r="P34" s="449"/>
    </row>
    <row r="36" spans="1:16">
      <c r="A36" s="449">
        <v>2005</v>
      </c>
      <c r="G36" s="454">
        <f t="shared" ref="G36:O37" si="1">IF(G13=0,0,H13/G13)</f>
        <v>1.1499143734003481</v>
      </c>
      <c r="H36" s="454">
        <f t="shared" si="1"/>
        <v>1.3063757453295228</v>
      </c>
      <c r="I36" s="454">
        <f t="shared" si="1"/>
        <v>1</v>
      </c>
      <c r="J36" s="454">
        <f t="shared" si="1"/>
        <v>1</v>
      </c>
      <c r="K36" s="454">
        <f t="shared" si="1"/>
        <v>1</v>
      </c>
      <c r="L36" s="454">
        <f t="shared" si="1"/>
        <v>1</v>
      </c>
      <c r="M36" s="454">
        <f t="shared" si="1"/>
        <v>1</v>
      </c>
      <c r="N36" s="454">
        <f t="shared" si="1"/>
        <v>1</v>
      </c>
      <c r="O36" s="454">
        <f t="shared" si="1"/>
        <v>0.99999999999999778</v>
      </c>
    </row>
    <row r="37" spans="1:16">
      <c r="A37" s="449">
        <f>A36+1</f>
        <v>2006</v>
      </c>
      <c r="B37" s="463"/>
      <c r="C37" s="463"/>
      <c r="D37" s="463"/>
      <c r="E37" s="463"/>
      <c r="F37" s="463"/>
      <c r="G37" s="454">
        <f t="shared" si="1"/>
        <v>1.0004679104631757</v>
      </c>
      <c r="H37" s="454">
        <f t="shared" si="1"/>
        <v>1</v>
      </c>
      <c r="I37" s="454">
        <f t="shared" si="1"/>
        <v>1</v>
      </c>
      <c r="J37" s="454">
        <f t="shared" si="1"/>
        <v>1</v>
      </c>
      <c r="K37" s="454">
        <f t="shared" si="1"/>
        <v>1</v>
      </c>
      <c r="L37" s="454">
        <f t="shared" si="1"/>
        <v>1</v>
      </c>
      <c r="M37" s="454">
        <f t="shared" si="1"/>
        <v>1</v>
      </c>
      <c r="N37" s="454">
        <f t="shared" si="1"/>
        <v>0.99999999999999967</v>
      </c>
      <c r="O37" s="454">
        <f t="shared" si="1"/>
        <v>1</v>
      </c>
      <c r="P37" s="455"/>
    </row>
    <row r="38" spans="1:16">
      <c r="A38" s="449">
        <f>A37+1</f>
        <v>2007</v>
      </c>
      <c r="B38" s="463"/>
      <c r="C38" s="463"/>
      <c r="D38" s="463"/>
      <c r="E38" s="454"/>
      <c r="F38" s="454">
        <f t="shared" ref="F38:N38" si="2">IF(F15=0,0,G15/F15)</f>
        <v>1.5656602846759722</v>
      </c>
      <c r="G38" s="454">
        <f t="shared" si="2"/>
        <v>1.3470468867810423</v>
      </c>
      <c r="H38" s="454">
        <f t="shared" si="2"/>
        <v>2.1020278730941824</v>
      </c>
      <c r="I38" s="454">
        <f t="shared" si="2"/>
        <v>1.0020546473917959</v>
      </c>
      <c r="J38" s="454">
        <f t="shared" si="2"/>
        <v>1</v>
      </c>
      <c r="K38" s="454">
        <f t="shared" si="2"/>
        <v>1</v>
      </c>
      <c r="L38" s="454">
        <f t="shared" si="2"/>
        <v>1</v>
      </c>
      <c r="M38" s="454">
        <f t="shared" si="2"/>
        <v>0.99999999999999878</v>
      </c>
      <c r="N38" s="454">
        <f t="shared" si="2"/>
        <v>1</v>
      </c>
      <c r="O38" s="454">
        <f>IF(O15=0,0,P15/O15)</f>
        <v>1</v>
      </c>
      <c r="P38" s="455"/>
    </row>
    <row r="39" spans="1:16">
      <c r="A39" s="449">
        <f t="shared" ref="A39:A52" si="3">A38+1</f>
        <v>2008</v>
      </c>
      <c r="B39" s="463"/>
      <c r="C39" s="463"/>
      <c r="D39" s="454"/>
      <c r="E39" s="454">
        <f t="shared" ref="E39:M39" si="4">IF(E16=0,0,F16/E16)</f>
        <v>1.1688437545765544</v>
      </c>
      <c r="F39" s="454">
        <f t="shared" si="4"/>
        <v>1.0864143045796926</v>
      </c>
      <c r="G39" s="454">
        <f t="shared" si="4"/>
        <v>1.4505919040703055</v>
      </c>
      <c r="H39" s="454">
        <f t="shared" si="4"/>
        <v>1.0483878096920394</v>
      </c>
      <c r="I39" s="454">
        <f t="shared" si="4"/>
        <v>1</v>
      </c>
      <c r="J39" s="454">
        <f t="shared" si="4"/>
        <v>1</v>
      </c>
      <c r="K39" s="454">
        <f t="shared" si="4"/>
        <v>1</v>
      </c>
      <c r="L39" s="454">
        <f t="shared" si="4"/>
        <v>1.0000000000000007</v>
      </c>
      <c r="M39" s="454">
        <f t="shared" si="4"/>
        <v>1</v>
      </c>
      <c r="N39" s="454">
        <f>IF(N16=0,0,O16/N16)</f>
        <v>1</v>
      </c>
      <c r="O39" s="454"/>
      <c r="P39" s="455"/>
    </row>
    <row r="40" spans="1:16">
      <c r="A40" s="449">
        <f t="shared" si="3"/>
        <v>2009</v>
      </c>
      <c r="B40" s="463"/>
      <c r="C40" s="463"/>
      <c r="D40" s="454">
        <f t="shared" ref="D40:L40" si="5">IF(D17=0,0,E17/D17)</f>
        <v>1.3461551593067007</v>
      </c>
      <c r="E40" s="454">
        <f t="shared" si="5"/>
        <v>1.1692640524059643</v>
      </c>
      <c r="F40" s="454">
        <f t="shared" si="5"/>
        <v>1.0321867847559181</v>
      </c>
      <c r="G40" s="454">
        <f t="shared" si="5"/>
        <v>1.0015551384893346</v>
      </c>
      <c r="H40" s="454">
        <f t="shared" si="5"/>
        <v>1.0048188131201641</v>
      </c>
      <c r="I40" s="454">
        <f t="shared" si="5"/>
        <v>1.0012192441868126</v>
      </c>
      <c r="J40" s="454">
        <f t="shared" si="5"/>
        <v>1</v>
      </c>
      <c r="K40" s="454">
        <f t="shared" si="5"/>
        <v>1.0000000000000002</v>
      </c>
      <c r="L40" s="454">
        <f t="shared" si="5"/>
        <v>1</v>
      </c>
      <c r="M40" s="454">
        <f>IF(M17=0,0,N17/M17)</f>
        <v>1</v>
      </c>
      <c r="N40" s="454"/>
      <c r="O40" s="454"/>
      <c r="P40" s="455"/>
    </row>
    <row r="41" spans="1:16">
      <c r="A41" s="449">
        <f t="shared" si="3"/>
        <v>2010</v>
      </c>
      <c r="B41" s="463"/>
      <c r="C41" s="454">
        <f t="shared" ref="C41:K41" si="6">IF(C18=0,0,D18/C18)</f>
        <v>1.8245641252706648</v>
      </c>
      <c r="D41" s="454">
        <f t="shared" si="6"/>
        <v>1.5063824202134504</v>
      </c>
      <c r="E41" s="454">
        <f t="shared" si="6"/>
        <v>2.5393207495294057</v>
      </c>
      <c r="F41" s="454">
        <f t="shared" si="6"/>
        <v>1.0797660051446991</v>
      </c>
      <c r="G41" s="454">
        <f t="shared" si="6"/>
        <v>1.1005137913990013</v>
      </c>
      <c r="H41" s="454">
        <f t="shared" si="6"/>
        <v>1.0187601580067864</v>
      </c>
      <c r="I41" s="454">
        <f t="shared" si="6"/>
        <v>1.0000000000000016</v>
      </c>
      <c r="J41" s="454">
        <f t="shared" si="6"/>
        <v>0.99999999999999956</v>
      </c>
      <c r="K41" s="454">
        <f t="shared" si="6"/>
        <v>1</v>
      </c>
      <c r="L41" s="454">
        <f>IF(L18=0,0,M18/L18)</f>
        <v>1</v>
      </c>
      <c r="M41" s="454"/>
      <c r="N41" s="454"/>
      <c r="O41" s="454"/>
      <c r="P41" s="455"/>
    </row>
    <row r="42" spans="1:16">
      <c r="A42" s="449">
        <f t="shared" si="3"/>
        <v>2011</v>
      </c>
      <c r="B42" s="454">
        <f t="shared" ref="B42:K46" si="7">IF(B19=0,0,C19/B19)</f>
        <v>4.3535015077281676</v>
      </c>
      <c r="C42" s="454">
        <f t="shared" si="7"/>
        <v>2.0038157034886654</v>
      </c>
      <c r="D42" s="454">
        <f t="shared" si="7"/>
        <v>3.9598197653769835</v>
      </c>
      <c r="E42" s="454">
        <f t="shared" si="7"/>
        <v>1.877186546615357</v>
      </c>
      <c r="F42" s="454">
        <f t="shared" si="7"/>
        <v>1.3057921007785711</v>
      </c>
      <c r="G42" s="454">
        <f t="shared" si="7"/>
        <v>1.0329046434283364</v>
      </c>
      <c r="H42" s="454">
        <f t="shared" si="7"/>
        <v>1.087363186758934</v>
      </c>
      <c r="I42" s="454">
        <f t="shared" si="7"/>
        <v>1.0004595535269873</v>
      </c>
      <c r="J42" s="454">
        <f t="shared" si="7"/>
        <v>1.0004349630949831</v>
      </c>
      <c r="K42" s="454">
        <f t="shared" si="7"/>
        <v>1</v>
      </c>
      <c r="L42" s="454"/>
      <c r="M42" s="454"/>
      <c r="N42" s="454"/>
      <c r="O42" s="454"/>
      <c r="P42" s="455"/>
    </row>
    <row r="43" spans="1:16">
      <c r="A43" s="449">
        <f t="shared" si="3"/>
        <v>2012</v>
      </c>
      <c r="B43" s="454">
        <f t="shared" si="7"/>
        <v>28.518230777221323</v>
      </c>
      <c r="C43" s="454">
        <f t="shared" si="7"/>
        <v>1.279710925034286</v>
      </c>
      <c r="D43" s="454">
        <f t="shared" si="7"/>
        <v>1.6395694096595381</v>
      </c>
      <c r="E43" s="454">
        <f t="shared" si="7"/>
        <v>1.1114358659292054</v>
      </c>
      <c r="F43" s="454">
        <f t="shared" si="7"/>
        <v>1.470837543956695</v>
      </c>
      <c r="G43" s="454">
        <f t="shared" si="7"/>
        <v>1.144831275986679</v>
      </c>
      <c r="H43" s="454">
        <f t="shared" si="7"/>
        <v>1.0057667037319855</v>
      </c>
      <c r="I43" s="454">
        <f t="shared" si="7"/>
        <v>1.0018690153109859</v>
      </c>
      <c r="J43" s="454">
        <f t="shared" si="7"/>
        <v>1.0017363503859571</v>
      </c>
      <c r="K43" s="454"/>
      <c r="L43" s="454"/>
      <c r="M43" s="454"/>
      <c r="N43" s="454"/>
      <c r="O43" s="454"/>
      <c r="P43" s="455"/>
    </row>
    <row r="44" spans="1:16">
      <c r="A44" s="449">
        <f t="shared" si="3"/>
        <v>2013</v>
      </c>
      <c r="B44" s="454">
        <f t="shared" si="7"/>
        <v>9.0078283758024913</v>
      </c>
      <c r="C44" s="454">
        <f t="shared" si="7"/>
        <v>1.8053346326764281</v>
      </c>
      <c r="D44" s="454">
        <f t="shared" si="7"/>
        <v>1.5159846356129862</v>
      </c>
      <c r="E44" s="454">
        <f t="shared" si="7"/>
        <v>2.1733229287289433</v>
      </c>
      <c r="F44" s="454">
        <f t="shared" si="7"/>
        <v>1.0320389452401457</v>
      </c>
      <c r="G44" s="454">
        <f t="shared" si="7"/>
        <v>1.0374685693380004</v>
      </c>
      <c r="H44" s="454">
        <f t="shared" si="7"/>
        <v>1.0318101125722767</v>
      </c>
      <c r="I44" s="454">
        <f t="shared" si="7"/>
        <v>1.0652996784158895</v>
      </c>
      <c r="J44" s="454"/>
      <c r="K44" s="454"/>
      <c r="L44" s="454"/>
      <c r="M44" s="454"/>
      <c r="N44" s="454"/>
      <c r="O44" s="454"/>
      <c r="P44" s="455"/>
    </row>
    <row r="45" spans="1:16">
      <c r="A45" s="449">
        <f t="shared" si="3"/>
        <v>2014</v>
      </c>
      <c r="B45" s="454">
        <f t="shared" si="7"/>
        <v>4.265305936715551</v>
      </c>
      <c r="C45" s="454">
        <f t="shared" si="7"/>
        <v>2.4451617300313555</v>
      </c>
      <c r="D45" s="454">
        <f t="shared" si="7"/>
        <v>2.5010078292480471</v>
      </c>
      <c r="E45" s="454">
        <f t="shared" si="7"/>
        <v>1.5720945488571474</v>
      </c>
      <c r="F45" s="454">
        <f t="shared" si="7"/>
        <v>1.0858657063604076</v>
      </c>
      <c r="G45" s="454">
        <f t="shared" si="7"/>
        <v>1.0664975978341431</v>
      </c>
      <c r="H45" s="454">
        <f t="shared" si="7"/>
        <v>1.3620542779133837</v>
      </c>
      <c r="I45" s="454"/>
      <c r="J45" s="454"/>
      <c r="K45" s="454"/>
      <c r="L45" s="454"/>
      <c r="M45" s="454"/>
      <c r="N45" s="454"/>
      <c r="O45" s="454"/>
      <c r="P45" s="455"/>
    </row>
    <row r="46" spans="1:16">
      <c r="A46" s="449">
        <f t="shared" si="3"/>
        <v>2015</v>
      </c>
      <c r="B46" s="454">
        <f t="shared" ref="B46:B51" si="8">IF(B23=0,0,C23/B23)</f>
        <v>15.846925142044739</v>
      </c>
      <c r="C46" s="454">
        <f t="shared" si="7"/>
        <v>1.501462075504062</v>
      </c>
      <c r="D46" s="454">
        <f t="shared" si="7"/>
        <v>1.2303977400897907</v>
      </c>
      <c r="E46" s="454">
        <f t="shared" si="7"/>
        <v>1.1289782313232335</v>
      </c>
      <c r="F46" s="454">
        <f t="shared" si="7"/>
        <v>1.3210142050116538</v>
      </c>
      <c r="G46" s="454">
        <f t="shared" si="7"/>
        <v>1.1108049029130969</v>
      </c>
      <c r="H46" s="454"/>
      <c r="I46" s="454"/>
      <c r="J46" s="454"/>
      <c r="K46" s="454"/>
      <c r="L46" s="454"/>
      <c r="M46" s="454"/>
      <c r="N46" s="454"/>
      <c r="O46" s="454"/>
      <c r="P46" s="455"/>
    </row>
    <row r="47" spans="1:16">
      <c r="A47" s="449">
        <f t="shared" si="3"/>
        <v>2016</v>
      </c>
      <c r="B47" s="454">
        <f t="shared" si="8"/>
        <v>3.7128216011143707</v>
      </c>
      <c r="C47" s="454">
        <f>IF(C24=0,0,D24/C24)</f>
        <v>1.4153824079995347</v>
      </c>
      <c r="D47" s="454">
        <f>IF(D24=0,0,E24/D24)</f>
        <v>3.5132056107435625</v>
      </c>
      <c r="E47" s="454">
        <f>IF(E24=0,0,F24/E24)</f>
        <v>1.0513681467585394</v>
      </c>
      <c r="F47" s="454">
        <f>IF(F24=0,0,G24/F24)</f>
        <v>1.4859108190585859</v>
      </c>
      <c r="G47" s="454"/>
      <c r="H47" s="454"/>
      <c r="I47" s="454"/>
      <c r="J47" s="454"/>
      <c r="K47" s="454"/>
      <c r="L47" s="454"/>
      <c r="M47" s="454"/>
      <c r="N47" s="454"/>
      <c r="O47" s="454"/>
      <c r="P47" s="455"/>
    </row>
    <row r="48" spans="1:16">
      <c r="A48" s="449">
        <f t="shared" si="3"/>
        <v>2017</v>
      </c>
      <c r="B48" s="454">
        <f t="shared" si="8"/>
        <v>3.4651643805034729</v>
      </c>
      <c r="C48" s="454">
        <f>IF(C25=0,0,D25/C25)</f>
        <v>1.4731787104424483</v>
      </c>
      <c r="D48" s="454">
        <f>IF(D25=0,0,E25/D25)</f>
        <v>3.3020546038931093</v>
      </c>
      <c r="E48" s="454">
        <f>IF(E25=0,0,F25/E25)</f>
        <v>1.7811297086937359</v>
      </c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5"/>
    </row>
    <row r="49" spans="1:17">
      <c r="A49" s="449">
        <f t="shared" si="3"/>
        <v>2018</v>
      </c>
      <c r="B49" s="454">
        <f t="shared" si="8"/>
        <v>3.0587637082197854</v>
      </c>
      <c r="C49" s="454">
        <f>IF(C26=0,0,D26/C26)</f>
        <v>6.744620667352863</v>
      </c>
      <c r="D49" s="454">
        <f>IF(D26=0,0,E26/D26)</f>
        <v>1.3870524879793884</v>
      </c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5"/>
    </row>
    <row r="50" spans="1:17">
      <c r="A50" s="449">
        <f t="shared" si="3"/>
        <v>2019</v>
      </c>
      <c r="B50" s="454">
        <f t="shared" si="8"/>
        <v>3.3365186479049931</v>
      </c>
      <c r="C50" s="454">
        <f>IF(C27=0,0,D27/C27)</f>
        <v>1.4425061614302364</v>
      </c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5"/>
    </row>
    <row r="51" spans="1:17">
      <c r="A51" s="449">
        <f t="shared" si="3"/>
        <v>2020</v>
      </c>
      <c r="B51" s="454">
        <f t="shared" si="8"/>
        <v>1.6453615777496371</v>
      </c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5"/>
      <c r="Q51" s="314"/>
    </row>
    <row r="52" spans="1:17">
      <c r="A52" s="449">
        <f t="shared" si="3"/>
        <v>2021</v>
      </c>
      <c r="B52" s="454"/>
      <c r="C52" s="454"/>
      <c r="D52" s="454"/>
      <c r="E52" s="454"/>
      <c r="F52" s="454"/>
      <c r="G52" s="454"/>
      <c r="H52" s="454"/>
      <c r="I52" s="454"/>
      <c r="J52" s="454"/>
      <c r="K52" s="454"/>
      <c r="L52" s="454"/>
      <c r="M52" s="454"/>
      <c r="N52" s="454"/>
      <c r="O52" s="454"/>
      <c r="P52" s="455"/>
      <c r="Q52" s="314"/>
    </row>
    <row r="53" spans="1:17">
      <c r="B53" s="455"/>
      <c r="C53" s="455"/>
      <c r="D53" s="455"/>
      <c r="E53" s="455"/>
      <c r="F53" s="455"/>
      <c r="G53" s="455"/>
      <c r="H53" s="455"/>
      <c r="I53" s="455"/>
      <c r="J53" s="455"/>
      <c r="K53" s="455"/>
      <c r="L53" s="455"/>
      <c r="M53" s="455"/>
      <c r="N53" s="455"/>
      <c r="O53" s="455"/>
      <c r="P53" s="455"/>
      <c r="Q53" s="314"/>
    </row>
    <row r="54" spans="1:17">
      <c r="A54" s="446" t="s">
        <v>1053</v>
      </c>
      <c r="B54" s="455"/>
      <c r="C54" s="455"/>
      <c r="D54" s="455"/>
      <c r="E54" s="455"/>
      <c r="F54" s="455"/>
      <c r="G54" s="455"/>
      <c r="H54" s="455"/>
      <c r="I54" s="455"/>
      <c r="J54" s="455"/>
      <c r="K54" s="455"/>
      <c r="L54" s="455"/>
      <c r="M54" s="455"/>
      <c r="N54" s="455"/>
      <c r="O54" s="455"/>
      <c r="P54" s="455"/>
      <c r="Q54" s="314"/>
    </row>
    <row r="55" spans="1:17">
      <c r="B55" s="456" t="s">
        <v>1054</v>
      </c>
      <c r="C55" s="455"/>
      <c r="D55" s="455"/>
      <c r="E55" s="455"/>
      <c r="F55" s="455"/>
      <c r="G55" s="457"/>
      <c r="H55" s="457"/>
      <c r="I55" s="457"/>
      <c r="J55" s="457"/>
      <c r="K55" s="457"/>
      <c r="L55" s="457"/>
      <c r="M55" s="457"/>
      <c r="N55" s="457"/>
      <c r="O55" s="457"/>
      <c r="P55" s="455"/>
      <c r="Q55" s="314"/>
    </row>
    <row r="56" spans="1:17">
      <c r="A56" s="458" t="s">
        <v>1055</v>
      </c>
      <c r="B56" s="455">
        <f>SUMPRODUCT(B26:B28,B49:B51)/SUM(B26:B28)</f>
        <v>2.4722068397460188</v>
      </c>
      <c r="C56" s="455">
        <f>SUMPRODUCT(C25:C27,C48:C50)/SUM(C25:C27)</f>
        <v>3.6265709368638359</v>
      </c>
      <c r="D56" s="455">
        <f>SUMPRODUCT(D24:D26,D47:D49)/SUM(D24:D26)</f>
        <v>2.0733852631717067</v>
      </c>
      <c r="E56" s="455">
        <f>SUMPRODUCT(E23:E25,E46:E48)/SUM(E23:E25)</f>
        <v>1.2099010500016223</v>
      </c>
      <c r="F56" s="455" cm="1">
        <f t="array" ref="F56">SUMPRODUCT(F22:F24,F45:F47/SUM(F22:F24))</f>
        <v>1.2647748610176677</v>
      </c>
      <c r="G56" s="455" cm="1">
        <f t="array" ref="G56">SUMPRODUCT(G21:G23,G44:G46/SUM(G21:G23))</f>
        <v>1.0727869599920834</v>
      </c>
      <c r="H56" s="455" cm="1">
        <f t="array" ref="H56">SUMPRODUCT(H20:H22,H43:H45/SUM(H20:H22))</f>
        <v>1.1304224873063395</v>
      </c>
      <c r="I56" s="455" cm="1">
        <f t="array" ref="I56">SUMPRODUCT(I19:I21,I42:I44/SUM(I19:I21))</f>
        <v>1.0222962960708148</v>
      </c>
      <c r="J56" s="455" cm="1">
        <f t="array" ref="J56">SUMPRODUCT(J18:J20,J41:J43/SUM(J18:J20))</f>
        <v>1.0009994278266383</v>
      </c>
      <c r="K56" s="455" cm="1">
        <f t="array" ref="K56">SUMPRODUCT(K17:K19,K40:K42/SUM(K17:K19))</f>
        <v>1.0000000000000002</v>
      </c>
      <c r="L56" s="455" cm="1">
        <f t="array" ref="L56">SUMPRODUCT(L16:L18,L39:L41/SUM(L16:L18))</f>
        <v>1</v>
      </c>
      <c r="M56" s="455" cm="1">
        <f t="array" ref="M56">SUMPRODUCT(M15:M17,M38:M40/SUM(M15:M17))</f>
        <v>1</v>
      </c>
      <c r="N56" s="455">
        <f>SUMPRODUCT(N15:N16,N38:N39)/SUM(N15:N16)</f>
        <v>1</v>
      </c>
      <c r="O56" s="455">
        <f>O38</f>
        <v>1</v>
      </c>
      <c r="Q56" s="314"/>
    </row>
    <row r="57" spans="1:17">
      <c r="B57" s="456" t="s">
        <v>1056</v>
      </c>
      <c r="C57" s="457"/>
      <c r="D57" s="457"/>
      <c r="E57" s="457"/>
      <c r="F57" s="455"/>
      <c r="G57" s="455"/>
      <c r="H57" s="455"/>
      <c r="I57" s="455"/>
      <c r="J57" s="455"/>
      <c r="K57" s="455"/>
      <c r="L57" s="455"/>
      <c r="M57" s="455"/>
      <c r="N57" s="455"/>
      <c r="O57" s="455"/>
      <c r="P57" s="455"/>
      <c r="Q57" s="314"/>
    </row>
    <row r="58" spans="1:17">
      <c r="A58" s="458" t="s">
        <v>1057</v>
      </c>
      <c r="B58" s="455">
        <f>SUMPRODUCT(B24:B28,B47:B51)/SUM(B24:B28)</f>
        <v>2.9394615089402825</v>
      </c>
      <c r="C58" s="457">
        <f>SUMPRODUCT(C23:C27,C46:C50)/SUM(C23:C27)</f>
        <v>1.9856585075772746</v>
      </c>
      <c r="D58" s="457">
        <f>SUMPRODUCT(D22:D26,D45:D49)/SUM(D22:D26)</f>
        <v>1.7931749380267981</v>
      </c>
      <c r="E58" s="457">
        <f>SUMPRODUCT(E21:E25,E44:E48)/SUM(E21:E25)</f>
        <v>1.4678901717987038</v>
      </c>
      <c r="F58" s="457">
        <f>SUMPRODUCT(F20:F24,F43:F47)/SUM(F20:F24)</f>
        <v>1.2403008812001124</v>
      </c>
      <c r="G58" s="457">
        <f>SUMPRODUCT(G19:G23,G42:G46)/SUM(G19:G23)</f>
        <v>1.0786456254668118</v>
      </c>
      <c r="H58" s="457">
        <f>SUMPRODUCT(H18:H22,H41:H45)/SUM(H18:H22)</f>
        <v>1.1157526441728018</v>
      </c>
      <c r="I58" s="457">
        <f>SUMPRODUCT(I17:I21,I40:I44)/SUM(I17:I21)</f>
        <v>1.0185908831027939</v>
      </c>
      <c r="J58" s="457">
        <f>SUMPRODUCT(J16:J20,J39:J43)/SUM(J16:J20)</f>
        <v>1.0008140089887603</v>
      </c>
      <c r="K58" s="457">
        <f>SUMPRODUCT(K15:K19,K38:K42)/SUM(K15:K19)</f>
        <v>1</v>
      </c>
      <c r="L58" s="457">
        <f>SUMPRODUCT(L15:L18,L38:L41)/SUM(L15:L18)</f>
        <v>1</v>
      </c>
      <c r="M58" s="457">
        <f>M56</f>
        <v>1</v>
      </c>
      <c r="N58" s="457">
        <f>N56</f>
        <v>1</v>
      </c>
      <c r="O58" s="457">
        <f>O56</f>
        <v>1</v>
      </c>
      <c r="Q58" s="314"/>
    </row>
    <row r="59" spans="1:17">
      <c r="B59" s="456" t="s">
        <v>1058</v>
      </c>
      <c r="C59" s="455"/>
      <c r="D59" s="455"/>
      <c r="E59" s="455"/>
      <c r="F59" s="455"/>
      <c r="G59" s="455"/>
      <c r="H59" s="455"/>
      <c r="I59" s="455"/>
      <c r="J59" s="455"/>
      <c r="K59" s="455"/>
      <c r="L59" s="455"/>
      <c r="M59" s="455"/>
      <c r="N59" s="455"/>
      <c r="O59" s="455"/>
      <c r="P59" s="455"/>
      <c r="Q59" s="314"/>
    </row>
    <row r="60" spans="1:17">
      <c r="A60" s="458" t="s">
        <v>1059</v>
      </c>
      <c r="B60" s="455">
        <f>SUMPRODUCT(B22:B28,B45:B51)/SUM(B22:B28)</f>
        <v>5.3485839030182625</v>
      </c>
      <c r="C60" s="455">
        <f>SUMPRODUCT(C21:C27,C44:C50)/SUM(C21:C27)</f>
        <v>1.9999590359356667</v>
      </c>
      <c r="D60" s="455">
        <f>SUMPRODUCT(D20:D26,D43:D49)/SUM(D20:D26)</f>
        <v>1.7282092167419403</v>
      </c>
      <c r="E60" s="455">
        <f>SUMPRODUCT(E19:E25,E42:E48)/SUM(E19:E25)</f>
        <v>1.4553575542247703</v>
      </c>
      <c r="F60" s="455">
        <f>SUMPRODUCT(F18:F24,F41:F47)/SUM(F18:F24)</f>
        <v>1.2454816175797039</v>
      </c>
      <c r="G60" s="455">
        <f>SUMPRODUCT(G17:G23,G40:G46)/SUM(G17:G23)</f>
        <v>1.0725184845408195</v>
      </c>
      <c r="H60" s="455">
        <f>SUMPRODUCT(H16:H22,H39:H45)/SUM(H16:H22)</f>
        <v>1.1039229239495443</v>
      </c>
      <c r="I60" s="455">
        <f>SUMPRODUCT(I15:I21,I38:I44)/SUM(I15:I21)</f>
        <v>1.0182042425021476</v>
      </c>
      <c r="J60" s="455">
        <f>SUMPRODUCT(J13:J20,J36:J43)/SUM(J13:J20)</f>
        <v>1.0007771131779191</v>
      </c>
      <c r="K60" s="455">
        <f>K58</f>
        <v>1</v>
      </c>
      <c r="L60" s="455">
        <f>L58</f>
        <v>1</v>
      </c>
      <c r="M60" s="455">
        <f>M56</f>
        <v>1</v>
      </c>
      <c r="N60" s="455">
        <f>M56</f>
        <v>1</v>
      </c>
      <c r="O60" s="455">
        <f>M56</f>
        <v>1</v>
      </c>
      <c r="Q60" s="314"/>
    </row>
    <row r="61" spans="1:17">
      <c r="B61" s="456" t="s">
        <v>1060</v>
      </c>
      <c r="C61" s="455"/>
      <c r="D61" s="455"/>
      <c r="E61" s="455"/>
      <c r="F61" s="455"/>
      <c r="G61" s="455"/>
      <c r="H61" s="455"/>
      <c r="I61" s="455"/>
      <c r="J61" s="455"/>
      <c r="K61" s="455"/>
      <c r="L61" s="455"/>
      <c r="M61" s="455"/>
      <c r="N61" s="455"/>
      <c r="O61" s="455"/>
      <c r="P61" s="455"/>
      <c r="Q61" s="314"/>
    </row>
    <row r="62" spans="1:17">
      <c r="A62" s="458" t="s">
        <v>1061</v>
      </c>
      <c r="B62" s="455">
        <v>8</v>
      </c>
      <c r="C62" s="455">
        <v>1.6</v>
      </c>
      <c r="D62" s="455">
        <v>1.65</v>
      </c>
      <c r="E62" s="455">
        <v>1.6</v>
      </c>
      <c r="F62" s="455">
        <v>1.2150000000000001</v>
      </c>
      <c r="G62" s="455">
        <v>1.08</v>
      </c>
      <c r="H62" s="455">
        <v>1.06</v>
      </c>
      <c r="I62" s="455">
        <v>1.0009999999999999</v>
      </c>
      <c r="J62" s="455">
        <v>1</v>
      </c>
      <c r="K62" s="455">
        <v>1</v>
      </c>
      <c r="L62" s="455">
        <v>1</v>
      </c>
      <c r="M62" s="455">
        <v>1</v>
      </c>
      <c r="N62" s="455">
        <v>1</v>
      </c>
      <c r="O62" s="455">
        <v>1</v>
      </c>
      <c r="P62" s="455"/>
      <c r="Q62" s="314"/>
    </row>
    <row r="63" spans="1:17">
      <c r="B63" s="455"/>
      <c r="C63" s="455"/>
      <c r="D63" s="455"/>
      <c r="E63" s="455"/>
      <c r="F63" s="455"/>
      <c r="G63" s="455"/>
      <c r="H63" s="455"/>
      <c r="I63" s="455"/>
      <c r="J63" s="455"/>
      <c r="K63" s="455"/>
      <c r="L63" s="455"/>
      <c r="M63" s="455"/>
      <c r="N63" s="455"/>
      <c r="O63" s="455"/>
      <c r="P63" s="455"/>
      <c r="Q63" s="323"/>
    </row>
    <row r="64" spans="1:17">
      <c r="B64" s="455"/>
      <c r="C64" s="455"/>
      <c r="D64" s="455"/>
      <c r="E64" s="455"/>
      <c r="F64" s="455"/>
      <c r="G64" s="455"/>
      <c r="H64" s="455"/>
      <c r="I64" s="455"/>
      <c r="J64" s="455"/>
      <c r="K64" s="455"/>
      <c r="L64" s="455"/>
      <c r="M64" s="455"/>
      <c r="N64" s="455"/>
      <c r="O64" s="455"/>
      <c r="P64" s="455"/>
      <c r="Q64" s="323"/>
    </row>
    <row r="65" spans="1:16">
      <c r="A65" s="446" t="s">
        <v>1062</v>
      </c>
      <c r="B65" s="455">
        <f>B62</f>
        <v>8</v>
      </c>
      <c r="C65" s="455">
        <v>1.6</v>
      </c>
      <c r="D65" s="455">
        <v>1.8</v>
      </c>
      <c r="E65" s="455">
        <v>1.5</v>
      </c>
      <c r="F65" s="455">
        <v>1.18</v>
      </c>
      <c r="G65" s="455">
        <v>1.07</v>
      </c>
      <c r="H65" s="455">
        <v>1.05</v>
      </c>
      <c r="I65" s="455">
        <f t="shared" ref="I65:O65" si="9">I62</f>
        <v>1.0009999999999999</v>
      </c>
      <c r="J65" s="455">
        <f t="shared" si="9"/>
        <v>1</v>
      </c>
      <c r="K65" s="455">
        <f t="shared" si="9"/>
        <v>1</v>
      </c>
      <c r="L65" s="455">
        <f t="shared" si="9"/>
        <v>1</v>
      </c>
      <c r="M65" s="455">
        <f t="shared" si="9"/>
        <v>1</v>
      </c>
      <c r="N65" s="455">
        <f t="shared" si="9"/>
        <v>1</v>
      </c>
      <c r="O65" s="455">
        <f t="shared" si="9"/>
        <v>1</v>
      </c>
      <c r="P65" s="455"/>
    </row>
    <row r="66" spans="1:16">
      <c r="A66" s="444" t="s">
        <v>780</v>
      </c>
      <c r="B66" s="455">
        <f>C66*B65</f>
        <v>45.863046028799999</v>
      </c>
      <c r="C66" s="455">
        <f>D66*C65</f>
        <v>5.7328807535999999</v>
      </c>
      <c r="D66" s="455">
        <f t="shared" ref="D66:O66" si="10">E66*D65</f>
        <v>3.583050471</v>
      </c>
      <c r="E66" s="455">
        <f t="shared" si="10"/>
        <v>1.9905835949999999</v>
      </c>
      <c r="F66" s="455">
        <f t="shared" si="10"/>
        <v>1.3270557299999999</v>
      </c>
      <c r="G66" s="455">
        <f t="shared" si="10"/>
        <v>1.1246235</v>
      </c>
      <c r="H66" s="455">
        <f t="shared" si="10"/>
        <v>1.05105</v>
      </c>
      <c r="I66" s="455">
        <f t="shared" si="10"/>
        <v>1.0009999999999999</v>
      </c>
      <c r="J66" s="455">
        <f t="shared" si="10"/>
        <v>1</v>
      </c>
      <c r="K66" s="455">
        <f t="shared" si="10"/>
        <v>1</v>
      </c>
      <c r="L66" s="455">
        <f t="shared" si="10"/>
        <v>1</v>
      </c>
      <c r="M66" s="455">
        <f t="shared" si="10"/>
        <v>1</v>
      </c>
      <c r="N66" s="455">
        <f t="shared" si="10"/>
        <v>1</v>
      </c>
      <c r="O66" s="455">
        <f t="shared" si="10"/>
        <v>1</v>
      </c>
      <c r="P66" s="455">
        <v>1</v>
      </c>
    </row>
    <row r="70" spans="1:16">
      <c r="B70" s="455"/>
      <c r="C70" s="455"/>
      <c r="D70" s="455"/>
      <c r="E70" s="455"/>
      <c r="F70" s="455"/>
      <c r="G70" s="455"/>
      <c r="H70" s="455"/>
      <c r="I70" s="455"/>
      <c r="J70" s="455"/>
      <c r="K70" s="455"/>
      <c r="L70" s="455"/>
      <c r="M70" s="455"/>
      <c r="N70" s="455"/>
      <c r="O70" s="455"/>
      <c r="P70" s="455"/>
    </row>
  </sheetData>
  <printOptions horizontalCentered="1"/>
  <pageMargins left="0.7" right="0.7" top="0.75" bottom="0.75" header="0.3" footer="0.3"/>
  <pageSetup scale="44" orientation="portrait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125">
    <tabColor rgb="FF92D050"/>
    <pageSetUpPr fitToPage="1"/>
  </sheetPr>
  <dimension ref="A1:AM115"/>
  <sheetViews>
    <sheetView zoomScaleNormal="100" workbookViewId="0"/>
  </sheetViews>
  <sheetFormatPr baseColWidth="10" defaultColWidth="7.42578125" defaultRowHeight="14"/>
  <cols>
    <col min="1" max="1" width="11.7109375" style="444" customWidth="1"/>
    <col min="2" max="39" width="8.140625" style="444" customWidth="1"/>
    <col min="40" max="16384" width="7.42578125" style="343"/>
  </cols>
  <sheetData>
    <row r="1" spans="1:39">
      <c r="A1" s="443" t="s">
        <v>1026</v>
      </c>
      <c r="AM1" s="549" t="s">
        <v>1063</v>
      </c>
    </row>
    <row r="2" spans="1:39">
      <c r="A2" s="445" t="s">
        <v>1027</v>
      </c>
      <c r="AM2" s="549" t="s">
        <v>937</v>
      </c>
    </row>
    <row r="3" spans="1:39">
      <c r="A3" s="445" t="s">
        <v>1028</v>
      </c>
    </row>
    <row r="4" spans="1:39">
      <c r="A4" s="445" t="s">
        <v>1029</v>
      </c>
    </row>
    <row r="5" spans="1:39">
      <c r="A5" s="445" t="s">
        <v>1312</v>
      </c>
    </row>
    <row r="6" spans="1:39">
      <c r="A6" s="445" t="s">
        <v>261</v>
      </c>
    </row>
    <row r="7" spans="1:39">
      <c r="A7" s="445" t="str">
        <f>'Exhibit R,S1'!A7</f>
        <v>Data Evaluated as of 11/30/2022</v>
      </c>
    </row>
    <row r="9" spans="1:39">
      <c r="B9" s="446" t="s">
        <v>1030</v>
      </c>
    </row>
    <row r="10" spans="1:39">
      <c r="A10" s="447" t="s">
        <v>170</v>
      </c>
      <c r="B10" s="448">
        <v>11</v>
      </c>
      <c r="C10" s="448">
        <v>23</v>
      </c>
      <c r="D10" s="448">
        <v>35</v>
      </c>
      <c r="E10" s="448">
        <v>47</v>
      </c>
      <c r="F10" s="448">
        <v>59</v>
      </c>
      <c r="G10" s="448">
        <v>71</v>
      </c>
      <c r="H10" s="448">
        <v>83</v>
      </c>
      <c r="I10" s="448">
        <v>95</v>
      </c>
      <c r="J10" s="448">
        <v>107</v>
      </c>
      <c r="K10" s="448">
        <v>119</v>
      </c>
      <c r="L10" s="448">
        <v>131</v>
      </c>
      <c r="M10" s="448">
        <v>143</v>
      </c>
      <c r="N10" s="448">
        <v>155</v>
      </c>
      <c r="O10" s="448">
        <v>167</v>
      </c>
      <c r="P10" s="448">
        <v>179</v>
      </c>
      <c r="Q10" s="448">
        <v>191</v>
      </c>
      <c r="R10" s="448">
        <v>203</v>
      </c>
      <c r="S10" s="448">
        <v>215</v>
      </c>
      <c r="T10" s="448">
        <v>227</v>
      </c>
      <c r="U10" s="448">
        <v>239</v>
      </c>
      <c r="V10" s="448">
        <v>251</v>
      </c>
      <c r="W10" s="448">
        <v>263</v>
      </c>
      <c r="X10" s="448">
        <v>275</v>
      </c>
      <c r="Y10" s="448">
        <v>287</v>
      </c>
      <c r="Z10" s="448">
        <v>299</v>
      </c>
      <c r="AA10" s="448">
        <v>311</v>
      </c>
      <c r="AB10" s="448">
        <v>323</v>
      </c>
      <c r="AC10" s="448">
        <v>335</v>
      </c>
      <c r="AD10" s="448">
        <v>347</v>
      </c>
      <c r="AE10" s="448">
        <v>359</v>
      </c>
      <c r="AF10" s="448">
        <v>371</v>
      </c>
      <c r="AG10" s="448">
        <v>383</v>
      </c>
      <c r="AH10" s="448">
        <v>395</v>
      </c>
      <c r="AI10" s="448">
        <v>407</v>
      </c>
      <c r="AJ10" s="448">
        <v>419</v>
      </c>
      <c r="AK10" s="448">
        <v>431</v>
      </c>
      <c r="AL10" s="448">
        <v>443</v>
      </c>
      <c r="AM10" s="448">
        <v>455</v>
      </c>
    </row>
    <row r="11" spans="1:39">
      <c r="A11" s="449"/>
      <c r="B11" s="449"/>
      <c r="C11" s="449"/>
      <c r="D11" s="449"/>
      <c r="E11" s="449"/>
      <c r="F11" s="449"/>
      <c r="G11" s="449"/>
      <c r="H11" s="449"/>
      <c r="I11" s="449"/>
      <c r="J11" s="449"/>
      <c r="K11" s="449"/>
      <c r="L11" s="449"/>
      <c r="M11" s="449"/>
      <c r="N11" s="449"/>
      <c r="O11" s="449"/>
      <c r="P11" s="449"/>
      <c r="Q11" s="449"/>
      <c r="R11" s="449"/>
      <c r="S11" s="449"/>
      <c r="T11" s="449"/>
      <c r="U11" s="449"/>
      <c r="V11" s="449"/>
      <c r="W11" s="449"/>
      <c r="X11" s="449"/>
      <c r="Y11" s="449"/>
      <c r="Z11" s="449"/>
      <c r="AA11" s="449"/>
      <c r="AB11" s="449"/>
      <c r="AC11" s="449"/>
      <c r="AD11" s="449"/>
      <c r="AE11" s="449"/>
      <c r="AF11" s="449"/>
      <c r="AG11" s="449"/>
      <c r="AH11" s="449"/>
      <c r="AI11" s="449"/>
      <c r="AJ11" s="449"/>
      <c r="AK11" s="449"/>
      <c r="AL11" s="449"/>
      <c r="AM11" s="449"/>
    </row>
    <row r="12" spans="1:39">
      <c r="A12" s="449"/>
      <c r="B12" s="465"/>
      <c r="C12" s="465"/>
      <c r="D12" s="465"/>
      <c r="E12" s="465"/>
      <c r="F12" s="465"/>
      <c r="G12" s="465"/>
      <c r="H12" s="465"/>
      <c r="I12" s="465"/>
      <c r="J12" s="465"/>
      <c r="K12" s="465"/>
      <c r="L12" s="465"/>
      <c r="M12" s="465"/>
      <c r="N12" s="465"/>
      <c r="O12" s="465"/>
      <c r="P12" s="465"/>
      <c r="Q12" s="465"/>
      <c r="R12" s="465"/>
      <c r="S12" s="465"/>
      <c r="T12" s="465"/>
      <c r="U12" s="465"/>
      <c r="V12" s="465"/>
      <c r="W12" s="465"/>
      <c r="X12" s="465"/>
      <c r="Y12" s="465"/>
      <c r="Z12" s="465"/>
      <c r="AA12" s="465"/>
      <c r="AB12" s="465"/>
      <c r="AC12" s="465"/>
      <c r="AD12" s="465"/>
      <c r="AE12" s="465"/>
      <c r="AF12" s="465"/>
      <c r="AG12" s="465"/>
      <c r="AH12" s="465"/>
      <c r="AI12" s="465"/>
      <c r="AJ12" s="465"/>
      <c r="AK12" s="465"/>
      <c r="AL12" s="465"/>
    </row>
    <row r="13" spans="1:39">
      <c r="A13" s="449">
        <f>'Exhibit R,S1'!A13</f>
        <v>1985</v>
      </c>
      <c r="B13" s="465" t="s">
        <v>1031</v>
      </c>
      <c r="C13" s="465" t="s">
        <v>1031</v>
      </c>
      <c r="D13" s="465" t="s">
        <v>1031</v>
      </c>
      <c r="E13" s="465" t="s">
        <v>1031</v>
      </c>
      <c r="F13" s="465" t="s">
        <v>1031</v>
      </c>
      <c r="G13" s="465" t="s">
        <v>1031</v>
      </c>
      <c r="H13" s="465" t="s">
        <v>1031</v>
      </c>
      <c r="I13" s="465" t="s">
        <v>1031</v>
      </c>
      <c r="J13" s="465" t="s">
        <v>1031</v>
      </c>
      <c r="K13" s="465" t="s">
        <v>1031</v>
      </c>
      <c r="L13" s="465" t="s">
        <v>1031</v>
      </c>
      <c r="M13" s="465" t="s">
        <v>1031</v>
      </c>
      <c r="N13" s="465" t="s">
        <v>1031</v>
      </c>
      <c r="O13" s="465" t="s">
        <v>1031</v>
      </c>
      <c r="P13" s="465" t="s">
        <v>1031</v>
      </c>
      <c r="Q13" s="465" t="s">
        <v>1031</v>
      </c>
      <c r="R13" s="465" t="s">
        <v>1031</v>
      </c>
      <c r="S13" s="465" t="s">
        <v>1031</v>
      </c>
      <c r="T13" s="465" t="s">
        <v>1031</v>
      </c>
      <c r="U13" s="465" t="s">
        <v>1031</v>
      </c>
      <c r="V13" s="465" t="s">
        <v>1031</v>
      </c>
      <c r="W13" s="465" t="s">
        <v>1031</v>
      </c>
      <c r="X13" s="465" t="s">
        <v>1031</v>
      </c>
      <c r="Y13" s="465" t="s">
        <v>1031</v>
      </c>
      <c r="Z13" s="465" t="s">
        <v>1031</v>
      </c>
      <c r="AA13" s="465">
        <v>0.13155743432931888</v>
      </c>
      <c r="AB13" s="465">
        <v>0.13155743432931888</v>
      </c>
      <c r="AC13" s="465">
        <v>0.13155743432931888</v>
      </c>
      <c r="AD13" s="465">
        <v>0.13155743432931888</v>
      </c>
      <c r="AE13" s="465">
        <v>0.13155743432931888</v>
      </c>
      <c r="AF13" s="465">
        <v>0.13155743432931888</v>
      </c>
      <c r="AG13" s="465">
        <v>0.13155743432931888</v>
      </c>
      <c r="AH13" s="465">
        <v>0.13155743432931888</v>
      </c>
      <c r="AI13" s="465">
        <v>0.13165495038924677</v>
      </c>
      <c r="AJ13" s="465">
        <v>0.13155743432931888</v>
      </c>
      <c r="AK13" s="465">
        <v>0.13155743432931888</v>
      </c>
      <c r="AL13" s="465">
        <v>0.13155743432931888</v>
      </c>
      <c r="AM13" s="465">
        <v>0.13155743432931888</v>
      </c>
    </row>
    <row r="14" spans="1:39">
      <c r="A14" s="449">
        <f>A13+1</f>
        <v>1986</v>
      </c>
      <c r="B14" s="465" t="s">
        <v>1031</v>
      </c>
      <c r="C14" s="465" t="s">
        <v>1031</v>
      </c>
      <c r="D14" s="465" t="s">
        <v>1031</v>
      </c>
      <c r="E14" s="465" t="s">
        <v>1031</v>
      </c>
      <c r="F14" s="465" t="s">
        <v>1031</v>
      </c>
      <c r="G14" s="465" t="s">
        <v>1031</v>
      </c>
      <c r="H14" s="465" t="s">
        <v>1031</v>
      </c>
      <c r="I14" s="465" t="s">
        <v>1031</v>
      </c>
      <c r="J14" s="465" t="s">
        <v>1031</v>
      </c>
      <c r="K14" s="465" t="s">
        <v>1031</v>
      </c>
      <c r="L14" s="465" t="s">
        <v>1031</v>
      </c>
      <c r="M14" s="465" t="s">
        <v>1031</v>
      </c>
      <c r="N14" s="465" t="s">
        <v>1031</v>
      </c>
      <c r="O14" s="465" t="s">
        <v>1031</v>
      </c>
      <c r="P14" s="465" t="s">
        <v>1031</v>
      </c>
      <c r="Q14" s="465" t="s">
        <v>1031</v>
      </c>
      <c r="R14" s="465" t="s">
        <v>1031</v>
      </c>
      <c r="S14" s="465" t="s">
        <v>1031</v>
      </c>
      <c r="T14" s="465" t="s">
        <v>1031</v>
      </c>
      <c r="U14" s="465" t="s">
        <v>1031</v>
      </c>
      <c r="V14" s="465" t="s">
        <v>1031</v>
      </c>
      <c r="W14" s="465" t="s">
        <v>1031</v>
      </c>
      <c r="X14" s="465" t="s">
        <v>1031</v>
      </c>
      <c r="Y14" s="465" t="s">
        <v>1031</v>
      </c>
      <c r="Z14" s="465">
        <v>0.23897638254596446</v>
      </c>
      <c r="AA14" s="465">
        <v>0.23897638254596446</v>
      </c>
      <c r="AB14" s="465">
        <v>0.23897638254596446</v>
      </c>
      <c r="AC14" s="465">
        <v>0.23897638254596446</v>
      </c>
      <c r="AD14" s="465">
        <v>0.23897638254596446</v>
      </c>
      <c r="AE14" s="465">
        <v>0.23897638254596446</v>
      </c>
      <c r="AF14" s="465">
        <v>0.23897638254596446</v>
      </c>
      <c r="AG14" s="465">
        <v>0.23897638254596446</v>
      </c>
      <c r="AH14" s="465">
        <v>0.23897638254596446</v>
      </c>
      <c r="AI14" s="465">
        <v>0.23897638254596446</v>
      </c>
      <c r="AJ14" s="465">
        <v>0.23897638254596446</v>
      </c>
      <c r="AK14" s="465">
        <v>0.23897638254596446</v>
      </c>
      <c r="AL14" s="465">
        <v>0.23897638254596446</v>
      </c>
      <c r="AM14" s="465"/>
    </row>
    <row r="15" spans="1:39">
      <c r="A15" s="449">
        <f t="shared" ref="A15:A50" si="0">A14+1</f>
        <v>1987</v>
      </c>
      <c r="B15" s="465" t="s">
        <v>1031</v>
      </c>
      <c r="C15" s="465" t="s">
        <v>1031</v>
      </c>
      <c r="D15" s="465" t="s">
        <v>1031</v>
      </c>
      <c r="E15" s="465" t="s">
        <v>1031</v>
      </c>
      <c r="F15" s="465" t="s">
        <v>1031</v>
      </c>
      <c r="G15" s="465" t="s">
        <v>1031</v>
      </c>
      <c r="H15" s="465" t="s">
        <v>1031</v>
      </c>
      <c r="I15" s="465" t="s">
        <v>1031</v>
      </c>
      <c r="J15" s="465" t="s">
        <v>1031</v>
      </c>
      <c r="K15" s="465" t="s">
        <v>1031</v>
      </c>
      <c r="L15" s="465" t="s">
        <v>1031</v>
      </c>
      <c r="M15" s="465" t="s">
        <v>1031</v>
      </c>
      <c r="N15" s="465" t="s">
        <v>1031</v>
      </c>
      <c r="O15" s="465" t="s">
        <v>1031</v>
      </c>
      <c r="P15" s="465" t="s">
        <v>1031</v>
      </c>
      <c r="Q15" s="465" t="s">
        <v>1031</v>
      </c>
      <c r="R15" s="465" t="s">
        <v>1031</v>
      </c>
      <c r="S15" s="465" t="s">
        <v>1031</v>
      </c>
      <c r="T15" s="465" t="s">
        <v>1031</v>
      </c>
      <c r="U15" s="465" t="s">
        <v>1031</v>
      </c>
      <c r="V15" s="465" t="s">
        <v>1031</v>
      </c>
      <c r="W15" s="465" t="s">
        <v>1031</v>
      </c>
      <c r="X15" s="465" t="s">
        <v>1031</v>
      </c>
      <c r="Y15" s="465">
        <v>0.19935220336609377</v>
      </c>
      <c r="Z15" s="465">
        <v>0.19935220336609377</v>
      </c>
      <c r="AA15" s="465">
        <v>0.19935220336609377</v>
      </c>
      <c r="AB15" s="465">
        <v>0.19935220336609377</v>
      </c>
      <c r="AC15" s="465">
        <v>0.19935220336609377</v>
      </c>
      <c r="AD15" s="465">
        <v>0.19935220336609377</v>
      </c>
      <c r="AE15" s="465">
        <v>0.19935220336609377</v>
      </c>
      <c r="AF15" s="465">
        <v>0.19935220336609377</v>
      </c>
      <c r="AG15" s="465">
        <v>0.19935220336609377</v>
      </c>
      <c r="AH15" s="465">
        <v>0.19935220336609377</v>
      </c>
      <c r="AI15" s="465">
        <v>0.19935220336609377</v>
      </c>
      <c r="AJ15" s="465">
        <v>0.19935220336609377</v>
      </c>
      <c r="AK15" s="465">
        <v>0.19935220336609377</v>
      </c>
      <c r="AL15" s="465"/>
      <c r="AM15" s="465"/>
    </row>
    <row r="16" spans="1:39">
      <c r="A16" s="449">
        <f t="shared" si="0"/>
        <v>1988</v>
      </c>
      <c r="B16" s="465" t="s">
        <v>1031</v>
      </c>
      <c r="C16" s="465" t="s">
        <v>1031</v>
      </c>
      <c r="D16" s="465" t="s">
        <v>1031</v>
      </c>
      <c r="E16" s="465" t="s">
        <v>1031</v>
      </c>
      <c r="F16" s="465" t="s">
        <v>1031</v>
      </c>
      <c r="G16" s="465" t="s">
        <v>1031</v>
      </c>
      <c r="H16" s="465" t="s">
        <v>1031</v>
      </c>
      <c r="I16" s="465" t="s">
        <v>1031</v>
      </c>
      <c r="J16" s="465" t="s">
        <v>1031</v>
      </c>
      <c r="K16" s="465" t="s">
        <v>1031</v>
      </c>
      <c r="L16" s="465" t="s">
        <v>1031</v>
      </c>
      <c r="M16" s="465" t="s">
        <v>1031</v>
      </c>
      <c r="N16" s="465" t="s">
        <v>1031</v>
      </c>
      <c r="O16" s="465" t="s">
        <v>1031</v>
      </c>
      <c r="P16" s="465" t="s">
        <v>1031</v>
      </c>
      <c r="Q16" s="465" t="s">
        <v>1031</v>
      </c>
      <c r="R16" s="465" t="s">
        <v>1031</v>
      </c>
      <c r="S16" s="465" t="s">
        <v>1031</v>
      </c>
      <c r="T16" s="465" t="s">
        <v>1031</v>
      </c>
      <c r="U16" s="465" t="s">
        <v>1031</v>
      </c>
      <c r="V16" s="465" t="s">
        <v>1031</v>
      </c>
      <c r="W16" s="465" t="s">
        <v>1031</v>
      </c>
      <c r="X16" s="465">
        <v>0.20527759337347853</v>
      </c>
      <c r="Y16" s="465">
        <v>0.20527759337347853</v>
      </c>
      <c r="Z16" s="465">
        <v>0.20527759337347853</v>
      </c>
      <c r="AA16" s="465">
        <v>0.20527759337347853</v>
      </c>
      <c r="AB16" s="465">
        <v>0.20527759337347853</v>
      </c>
      <c r="AC16" s="465">
        <v>0.20527759337347853</v>
      </c>
      <c r="AD16" s="465">
        <v>0.20527759337347853</v>
      </c>
      <c r="AE16" s="465">
        <v>0.20527759337347853</v>
      </c>
      <c r="AF16" s="465">
        <v>0.20527759337347853</v>
      </c>
      <c r="AG16" s="465">
        <v>0.20527759337347853</v>
      </c>
      <c r="AH16" s="465">
        <v>0.20527759337347853</v>
      </c>
      <c r="AI16" s="465">
        <v>0.20527759337347853</v>
      </c>
      <c r="AJ16" s="465">
        <v>0.20527759337347853</v>
      </c>
      <c r="AK16" s="465"/>
      <c r="AL16" s="465"/>
      <c r="AM16" s="465"/>
    </row>
    <row r="17" spans="1:39">
      <c r="A17" s="449">
        <f t="shared" si="0"/>
        <v>1989</v>
      </c>
      <c r="B17" s="465" t="s">
        <v>1031</v>
      </c>
      <c r="C17" s="465" t="s">
        <v>1031</v>
      </c>
      <c r="D17" s="465" t="s">
        <v>1031</v>
      </c>
      <c r="E17" s="465" t="s">
        <v>1031</v>
      </c>
      <c r="F17" s="465" t="s">
        <v>1031</v>
      </c>
      <c r="G17" s="465" t="s">
        <v>1031</v>
      </c>
      <c r="H17" s="465" t="s">
        <v>1031</v>
      </c>
      <c r="I17" s="465" t="s">
        <v>1031</v>
      </c>
      <c r="J17" s="465" t="s">
        <v>1031</v>
      </c>
      <c r="K17" s="465" t="s">
        <v>1031</v>
      </c>
      <c r="L17" s="465" t="s">
        <v>1031</v>
      </c>
      <c r="M17" s="465" t="s">
        <v>1031</v>
      </c>
      <c r="N17" s="465" t="s">
        <v>1031</v>
      </c>
      <c r="O17" s="465" t="s">
        <v>1031</v>
      </c>
      <c r="P17" s="465" t="s">
        <v>1031</v>
      </c>
      <c r="Q17" s="465" t="s">
        <v>1031</v>
      </c>
      <c r="R17" s="465" t="s">
        <v>1031</v>
      </c>
      <c r="S17" s="465" t="s">
        <v>1031</v>
      </c>
      <c r="T17" s="465" t="s">
        <v>1031</v>
      </c>
      <c r="U17" s="465" t="s">
        <v>1031</v>
      </c>
      <c r="V17" s="465" t="s">
        <v>1031</v>
      </c>
      <c r="W17" s="465">
        <v>0.15795490123298953</v>
      </c>
      <c r="X17" s="465">
        <v>0.15795490123298953</v>
      </c>
      <c r="Y17" s="465">
        <v>0.15795490123298953</v>
      </c>
      <c r="Z17" s="465">
        <v>0.15795490123298953</v>
      </c>
      <c r="AA17" s="465">
        <v>0.15795490123298953</v>
      </c>
      <c r="AB17" s="465">
        <v>0.15795490123298953</v>
      </c>
      <c r="AC17" s="465">
        <v>0.15795490123298953</v>
      </c>
      <c r="AD17" s="465">
        <v>0.15795490123298953</v>
      </c>
      <c r="AE17" s="465">
        <v>0.15795490123298953</v>
      </c>
      <c r="AF17" s="465">
        <v>0.15795490123298953</v>
      </c>
      <c r="AG17" s="465">
        <v>0.15795490123298953</v>
      </c>
      <c r="AH17" s="465">
        <v>0.15795490123298953</v>
      </c>
      <c r="AI17" s="465">
        <v>0.15795490123298953</v>
      </c>
      <c r="AJ17" s="465"/>
      <c r="AK17" s="465"/>
      <c r="AL17" s="465"/>
      <c r="AM17" s="465"/>
    </row>
    <row r="18" spans="1:39">
      <c r="A18" s="449">
        <f t="shared" si="0"/>
        <v>1990</v>
      </c>
      <c r="B18" s="465" t="s">
        <v>1031</v>
      </c>
      <c r="C18" s="465" t="s">
        <v>1031</v>
      </c>
      <c r="D18" s="465" t="s">
        <v>1031</v>
      </c>
      <c r="E18" s="465" t="s">
        <v>1031</v>
      </c>
      <c r="F18" s="465" t="s">
        <v>1031</v>
      </c>
      <c r="G18" s="465" t="s">
        <v>1031</v>
      </c>
      <c r="H18" s="465" t="s">
        <v>1031</v>
      </c>
      <c r="I18" s="465" t="s">
        <v>1031</v>
      </c>
      <c r="J18" s="465" t="s">
        <v>1031</v>
      </c>
      <c r="K18" s="465" t="s">
        <v>1031</v>
      </c>
      <c r="L18" s="465" t="s">
        <v>1031</v>
      </c>
      <c r="M18" s="465" t="s">
        <v>1031</v>
      </c>
      <c r="N18" s="465" t="s">
        <v>1031</v>
      </c>
      <c r="O18" s="465" t="s">
        <v>1031</v>
      </c>
      <c r="P18" s="465" t="s">
        <v>1031</v>
      </c>
      <c r="Q18" s="465" t="s">
        <v>1031</v>
      </c>
      <c r="R18" s="465" t="s">
        <v>1031</v>
      </c>
      <c r="S18" s="465" t="s">
        <v>1031</v>
      </c>
      <c r="T18" s="465" t="s">
        <v>1031</v>
      </c>
      <c r="U18" s="465" t="s">
        <v>1031</v>
      </c>
      <c r="V18" s="465">
        <v>0.1293012764030658</v>
      </c>
      <c r="W18" s="465">
        <v>0.1293012764030658</v>
      </c>
      <c r="X18" s="465">
        <v>0.1293012764030658</v>
      </c>
      <c r="Y18" s="465">
        <v>0.1293012764030658</v>
      </c>
      <c r="Z18" s="465">
        <v>0.1293012764030658</v>
      </c>
      <c r="AA18" s="465">
        <v>0.1293012764030658</v>
      </c>
      <c r="AB18" s="465">
        <v>0.1293012764030658</v>
      </c>
      <c r="AC18" s="465">
        <v>0.1293012764030658</v>
      </c>
      <c r="AD18" s="465">
        <v>0.1293012764030658</v>
      </c>
      <c r="AE18" s="465">
        <v>0.1293012764030658</v>
      </c>
      <c r="AF18" s="465">
        <v>0.12930127640306582</v>
      </c>
      <c r="AG18" s="465">
        <v>0.12930127640306582</v>
      </c>
      <c r="AH18" s="465">
        <v>0.12930127640306582</v>
      </c>
      <c r="AI18" s="462"/>
      <c r="AJ18" s="465"/>
      <c r="AK18" s="465"/>
      <c r="AL18" s="465"/>
      <c r="AM18" s="465"/>
    </row>
    <row r="19" spans="1:39">
      <c r="A19" s="449">
        <f t="shared" si="0"/>
        <v>1991</v>
      </c>
      <c r="B19" s="465" t="s">
        <v>1031</v>
      </c>
      <c r="C19" s="465" t="s">
        <v>1031</v>
      </c>
      <c r="D19" s="465" t="s">
        <v>1031</v>
      </c>
      <c r="E19" s="465" t="s">
        <v>1031</v>
      </c>
      <c r="F19" s="465" t="s">
        <v>1031</v>
      </c>
      <c r="G19" s="465" t="s">
        <v>1031</v>
      </c>
      <c r="H19" s="465" t="s">
        <v>1031</v>
      </c>
      <c r="I19" s="465" t="s">
        <v>1031</v>
      </c>
      <c r="J19" s="465" t="s">
        <v>1031</v>
      </c>
      <c r="K19" s="465" t="s">
        <v>1031</v>
      </c>
      <c r="L19" s="465" t="s">
        <v>1031</v>
      </c>
      <c r="M19" s="465" t="s">
        <v>1031</v>
      </c>
      <c r="N19" s="465" t="s">
        <v>1031</v>
      </c>
      <c r="O19" s="465" t="s">
        <v>1031</v>
      </c>
      <c r="P19" s="465" t="s">
        <v>1031</v>
      </c>
      <c r="Q19" s="465" t="s">
        <v>1031</v>
      </c>
      <c r="R19" s="465" t="s">
        <v>1031</v>
      </c>
      <c r="S19" s="465" t="s">
        <v>1031</v>
      </c>
      <c r="T19" s="465" t="s">
        <v>1031</v>
      </c>
      <c r="U19" s="465">
        <v>0.12819750339235317</v>
      </c>
      <c r="V19" s="465">
        <v>0.12819750339235317</v>
      </c>
      <c r="W19" s="465">
        <v>0.12819750339235317</v>
      </c>
      <c r="X19" s="465">
        <v>0.12819750339235317</v>
      </c>
      <c r="Y19" s="465">
        <v>0.12819750339235317</v>
      </c>
      <c r="Z19" s="465">
        <v>0.12819750339235317</v>
      </c>
      <c r="AA19" s="465">
        <v>0.12819750339235317</v>
      </c>
      <c r="AB19" s="465">
        <v>0.12819750339235317</v>
      </c>
      <c r="AC19" s="465">
        <v>0.12819750339235317</v>
      </c>
      <c r="AD19" s="465">
        <v>0.12819750339235317</v>
      </c>
      <c r="AE19" s="465">
        <v>0.12819750339235317</v>
      </c>
      <c r="AF19" s="465">
        <v>0.12819750339235317</v>
      </c>
      <c r="AG19" s="465">
        <v>0.12819750339235317</v>
      </c>
      <c r="AH19" s="462"/>
      <c r="AI19" s="462"/>
      <c r="AJ19" s="465"/>
      <c r="AK19" s="465"/>
      <c r="AL19" s="465"/>
      <c r="AM19" s="465"/>
    </row>
    <row r="20" spans="1:39">
      <c r="A20" s="449">
        <f t="shared" si="0"/>
        <v>1992</v>
      </c>
      <c r="B20" s="465" t="s">
        <v>1031</v>
      </c>
      <c r="C20" s="465" t="s">
        <v>1031</v>
      </c>
      <c r="D20" s="465" t="s">
        <v>1031</v>
      </c>
      <c r="E20" s="465" t="s">
        <v>1031</v>
      </c>
      <c r="F20" s="465" t="s">
        <v>1031</v>
      </c>
      <c r="G20" s="465" t="s">
        <v>1031</v>
      </c>
      <c r="H20" s="465" t="s">
        <v>1031</v>
      </c>
      <c r="I20" s="465" t="s">
        <v>1031</v>
      </c>
      <c r="J20" s="465" t="s">
        <v>1031</v>
      </c>
      <c r="K20" s="465" t="s">
        <v>1031</v>
      </c>
      <c r="L20" s="465" t="s">
        <v>1031</v>
      </c>
      <c r="M20" s="465" t="s">
        <v>1031</v>
      </c>
      <c r="N20" s="465" t="s">
        <v>1031</v>
      </c>
      <c r="O20" s="465" t="s">
        <v>1031</v>
      </c>
      <c r="P20" s="465" t="s">
        <v>1031</v>
      </c>
      <c r="Q20" s="465" t="s">
        <v>1031</v>
      </c>
      <c r="R20" s="465" t="s">
        <v>1031</v>
      </c>
      <c r="S20" s="465" t="s">
        <v>1031</v>
      </c>
      <c r="T20" s="465">
        <v>0.16896770561650859</v>
      </c>
      <c r="U20" s="465">
        <v>0.16896770561650859</v>
      </c>
      <c r="V20" s="465">
        <v>0.16896770561650859</v>
      </c>
      <c r="W20" s="465">
        <v>0.16896770561650859</v>
      </c>
      <c r="X20" s="465">
        <v>0.16896770561650859</v>
      </c>
      <c r="Y20" s="465">
        <v>0.16896770561650859</v>
      </c>
      <c r="Z20" s="465">
        <v>0.16896770561650859</v>
      </c>
      <c r="AA20" s="465">
        <v>0.16896770561650859</v>
      </c>
      <c r="AB20" s="465">
        <v>0.16896770561650859</v>
      </c>
      <c r="AC20" s="465">
        <v>0.16896770561650859</v>
      </c>
      <c r="AD20" s="465">
        <v>0.16896770561650859</v>
      </c>
      <c r="AE20" s="465">
        <v>0.16896770561650862</v>
      </c>
      <c r="AF20" s="465">
        <v>0.16896770561650862</v>
      </c>
      <c r="AH20" s="459"/>
      <c r="AI20" s="459"/>
      <c r="AJ20" s="465"/>
      <c r="AK20" s="465"/>
      <c r="AL20" s="465"/>
      <c r="AM20" s="465"/>
    </row>
    <row r="21" spans="1:39">
      <c r="A21" s="449">
        <f t="shared" si="0"/>
        <v>1993</v>
      </c>
      <c r="B21" s="465" t="s">
        <v>1031</v>
      </c>
      <c r="C21" s="465" t="s">
        <v>1031</v>
      </c>
      <c r="D21" s="465" t="s">
        <v>1031</v>
      </c>
      <c r="E21" s="465" t="s">
        <v>1031</v>
      </c>
      <c r="F21" s="465" t="s">
        <v>1031</v>
      </c>
      <c r="G21" s="465" t="s">
        <v>1031</v>
      </c>
      <c r="H21" s="465" t="s">
        <v>1031</v>
      </c>
      <c r="I21" s="465" t="s">
        <v>1031</v>
      </c>
      <c r="J21" s="465" t="s">
        <v>1031</v>
      </c>
      <c r="K21" s="465" t="s">
        <v>1031</v>
      </c>
      <c r="L21" s="465" t="s">
        <v>1031</v>
      </c>
      <c r="M21" s="465" t="s">
        <v>1031</v>
      </c>
      <c r="N21" s="465" t="s">
        <v>1031</v>
      </c>
      <c r="O21" s="465" t="s">
        <v>1031</v>
      </c>
      <c r="P21" s="465" t="s">
        <v>1031</v>
      </c>
      <c r="Q21" s="465" t="s">
        <v>1031</v>
      </c>
      <c r="R21" s="465" t="s">
        <v>1031</v>
      </c>
      <c r="S21" s="465">
        <v>0.17084809884732935</v>
      </c>
      <c r="T21" s="465">
        <v>0.17084809884732935</v>
      </c>
      <c r="U21" s="465">
        <v>0.17084809884732935</v>
      </c>
      <c r="V21" s="465">
        <v>0.17084809884732935</v>
      </c>
      <c r="W21" s="465">
        <v>0.17084809884732935</v>
      </c>
      <c r="X21" s="465">
        <v>0.17084809884732935</v>
      </c>
      <c r="Y21" s="465">
        <v>0.17084809884732935</v>
      </c>
      <c r="Z21" s="465">
        <v>0.17084809884732935</v>
      </c>
      <c r="AA21" s="465">
        <v>0.17084809884732935</v>
      </c>
      <c r="AB21" s="465">
        <v>0.17084809884732935</v>
      </c>
      <c r="AC21" s="465">
        <v>0.17084809884732935</v>
      </c>
      <c r="AD21" s="465">
        <v>0.17084809884732935</v>
      </c>
      <c r="AE21" s="465">
        <v>0.17084809884732935</v>
      </c>
      <c r="AF21" s="465"/>
      <c r="AH21" s="459"/>
      <c r="AI21" s="459"/>
      <c r="AJ21" s="465"/>
      <c r="AK21" s="465"/>
      <c r="AL21" s="465"/>
      <c r="AM21" s="465"/>
    </row>
    <row r="22" spans="1:39">
      <c r="A22" s="449">
        <f t="shared" si="0"/>
        <v>1994</v>
      </c>
      <c r="B22" s="465" t="s">
        <v>1031</v>
      </c>
      <c r="C22" s="465" t="s">
        <v>1031</v>
      </c>
      <c r="D22" s="465" t="s">
        <v>1031</v>
      </c>
      <c r="E22" s="465" t="s">
        <v>1031</v>
      </c>
      <c r="F22" s="465" t="s">
        <v>1031</v>
      </c>
      <c r="G22" s="465" t="s">
        <v>1031</v>
      </c>
      <c r="H22" s="465" t="s">
        <v>1031</v>
      </c>
      <c r="I22" s="465" t="s">
        <v>1031</v>
      </c>
      <c r="J22" s="465" t="s">
        <v>1031</v>
      </c>
      <c r="K22" s="465" t="s">
        <v>1031</v>
      </c>
      <c r="L22" s="465" t="s">
        <v>1031</v>
      </c>
      <c r="M22" s="465" t="s">
        <v>1031</v>
      </c>
      <c r="N22" s="465" t="s">
        <v>1031</v>
      </c>
      <c r="O22" s="465" t="s">
        <v>1031</v>
      </c>
      <c r="P22" s="465" t="s">
        <v>1031</v>
      </c>
      <c r="Q22" s="465" t="s">
        <v>1031</v>
      </c>
      <c r="R22" s="465">
        <v>0.14836663679833467</v>
      </c>
      <c r="S22" s="465">
        <v>0.14836663679833467</v>
      </c>
      <c r="T22" s="465">
        <v>0.14836663679833467</v>
      </c>
      <c r="U22" s="465">
        <v>0.14836663679833467</v>
      </c>
      <c r="V22" s="465">
        <v>0.14836663679833467</v>
      </c>
      <c r="W22" s="465">
        <v>0.14836663679833467</v>
      </c>
      <c r="X22" s="465">
        <v>0.14836663679833467</v>
      </c>
      <c r="Y22" s="465">
        <v>0.14836663679833467</v>
      </c>
      <c r="Z22" s="465">
        <v>0.14836663679833467</v>
      </c>
      <c r="AA22" s="465">
        <v>0.14836663679833467</v>
      </c>
      <c r="AB22" s="465">
        <v>0.14836663679833467</v>
      </c>
      <c r="AC22" s="465">
        <v>0.14836663679833467</v>
      </c>
      <c r="AD22" s="465">
        <v>0.14836663679833467</v>
      </c>
      <c r="AE22" s="465"/>
      <c r="AF22" s="465"/>
      <c r="AH22" s="459"/>
      <c r="AI22" s="459"/>
      <c r="AJ22" s="465"/>
      <c r="AK22" s="465"/>
      <c r="AL22" s="465"/>
      <c r="AM22" s="465"/>
    </row>
    <row r="23" spans="1:39">
      <c r="A23" s="449">
        <f t="shared" si="0"/>
        <v>1995</v>
      </c>
      <c r="B23" s="465" t="s">
        <v>1031</v>
      </c>
      <c r="C23" s="465" t="s">
        <v>1031</v>
      </c>
      <c r="D23" s="465" t="s">
        <v>1031</v>
      </c>
      <c r="E23" s="465" t="s">
        <v>1031</v>
      </c>
      <c r="F23" s="465" t="s">
        <v>1031</v>
      </c>
      <c r="G23" s="465" t="s">
        <v>1031</v>
      </c>
      <c r="H23" s="465" t="s">
        <v>1031</v>
      </c>
      <c r="I23" s="465" t="s">
        <v>1031</v>
      </c>
      <c r="J23" s="465" t="s">
        <v>1031</v>
      </c>
      <c r="K23" s="465" t="s">
        <v>1031</v>
      </c>
      <c r="L23" s="465" t="s">
        <v>1031</v>
      </c>
      <c r="M23" s="465" t="s">
        <v>1031</v>
      </c>
      <c r="N23" s="465" t="s">
        <v>1031</v>
      </c>
      <c r="O23" s="465" t="s">
        <v>1031</v>
      </c>
      <c r="P23" s="465" t="s">
        <v>1031</v>
      </c>
      <c r="Q23" s="465">
        <v>0.1293560284989512</v>
      </c>
      <c r="R23" s="465">
        <v>0.1293560284989512</v>
      </c>
      <c r="S23" s="465">
        <v>0.1293560284989512</v>
      </c>
      <c r="T23" s="465">
        <v>0.1293560284989512</v>
      </c>
      <c r="U23" s="465">
        <v>0.1293560284989512</v>
      </c>
      <c r="V23" s="465">
        <v>0.1293560284989512</v>
      </c>
      <c r="W23" s="465">
        <v>0.1293560284989512</v>
      </c>
      <c r="X23" s="465">
        <v>0.1293560284989512</v>
      </c>
      <c r="Y23" s="465">
        <v>0.1293560284989512</v>
      </c>
      <c r="Z23" s="465">
        <v>0.1293560284989512</v>
      </c>
      <c r="AA23" s="465">
        <v>0.1293560284989512</v>
      </c>
      <c r="AB23" s="465">
        <v>0.1293560284989512</v>
      </c>
      <c r="AC23" s="465">
        <v>0.1293560284989512</v>
      </c>
      <c r="AD23" s="465"/>
      <c r="AE23" s="465"/>
      <c r="AF23" s="465"/>
      <c r="AH23" s="459"/>
      <c r="AI23" s="459"/>
      <c r="AJ23" s="465"/>
      <c r="AK23" s="465"/>
      <c r="AL23" s="465"/>
      <c r="AM23" s="465"/>
    </row>
    <row r="24" spans="1:39">
      <c r="A24" s="449">
        <f t="shared" si="0"/>
        <v>1996</v>
      </c>
      <c r="B24" s="465" t="s">
        <v>1031</v>
      </c>
      <c r="C24" s="465" t="s">
        <v>1031</v>
      </c>
      <c r="D24" s="465" t="s">
        <v>1031</v>
      </c>
      <c r="E24" s="465" t="s">
        <v>1031</v>
      </c>
      <c r="F24" s="465" t="s">
        <v>1031</v>
      </c>
      <c r="G24" s="465" t="s">
        <v>1031</v>
      </c>
      <c r="H24" s="465" t="s">
        <v>1031</v>
      </c>
      <c r="I24" s="465" t="s">
        <v>1031</v>
      </c>
      <c r="J24" s="465" t="s">
        <v>1031</v>
      </c>
      <c r="K24" s="465" t="s">
        <v>1031</v>
      </c>
      <c r="L24" s="465" t="s">
        <v>1031</v>
      </c>
      <c r="M24" s="465" t="s">
        <v>1031</v>
      </c>
      <c r="N24" s="465" t="s">
        <v>1031</v>
      </c>
      <c r="O24" s="465" t="s">
        <v>1031</v>
      </c>
      <c r="P24" s="465">
        <v>0.13263493365965348</v>
      </c>
      <c r="Q24" s="465">
        <v>0.13263493365965348</v>
      </c>
      <c r="R24" s="465">
        <v>0.13263493365965348</v>
      </c>
      <c r="S24" s="465">
        <v>0.13263493365965348</v>
      </c>
      <c r="T24" s="465">
        <v>0.13263493365965348</v>
      </c>
      <c r="U24" s="465">
        <v>0.13263493365965348</v>
      </c>
      <c r="V24" s="465">
        <v>0.13263493365965348</v>
      </c>
      <c r="W24" s="465">
        <v>0.13263493365965348</v>
      </c>
      <c r="X24" s="465">
        <v>0.13263493365965348</v>
      </c>
      <c r="Y24" s="465">
        <v>0.13263493365965348</v>
      </c>
      <c r="Z24" s="465">
        <v>0.13263493365965348</v>
      </c>
      <c r="AA24" s="465">
        <v>0.13263493365965348</v>
      </c>
      <c r="AB24" s="465">
        <v>0.13263493365965348</v>
      </c>
      <c r="AC24" s="465"/>
      <c r="AD24" s="465"/>
      <c r="AE24" s="465"/>
      <c r="AF24" s="465"/>
      <c r="AH24" s="459"/>
      <c r="AI24" s="459"/>
      <c r="AJ24" s="465"/>
      <c r="AK24" s="465"/>
      <c r="AL24" s="465"/>
      <c r="AM24" s="465"/>
    </row>
    <row r="25" spans="1:39">
      <c r="A25" s="449">
        <f t="shared" si="0"/>
        <v>1997</v>
      </c>
      <c r="B25" s="465" t="s">
        <v>1031</v>
      </c>
      <c r="C25" s="465" t="s">
        <v>1031</v>
      </c>
      <c r="D25" s="465" t="s">
        <v>1031</v>
      </c>
      <c r="E25" s="465" t="s">
        <v>1031</v>
      </c>
      <c r="F25" s="465" t="s">
        <v>1031</v>
      </c>
      <c r="G25" s="465" t="s">
        <v>1031</v>
      </c>
      <c r="H25" s="465" t="s">
        <v>1031</v>
      </c>
      <c r="I25" s="465" t="s">
        <v>1031</v>
      </c>
      <c r="J25" s="465" t="s">
        <v>1031</v>
      </c>
      <c r="K25" s="465" t="s">
        <v>1031</v>
      </c>
      <c r="L25" s="465" t="s">
        <v>1031</v>
      </c>
      <c r="M25" s="465" t="s">
        <v>1031</v>
      </c>
      <c r="N25" s="465" t="s">
        <v>1031</v>
      </c>
      <c r="O25" s="465">
        <v>0.15233175926021009</v>
      </c>
      <c r="P25" s="465">
        <v>0.15233175926021009</v>
      </c>
      <c r="Q25" s="465">
        <v>0.15233175926021009</v>
      </c>
      <c r="R25" s="465">
        <v>0.15233175926021009</v>
      </c>
      <c r="S25" s="465">
        <v>0.15233175926021009</v>
      </c>
      <c r="T25" s="465">
        <v>0.15233175926021009</v>
      </c>
      <c r="U25" s="465">
        <v>0.15233175926021009</v>
      </c>
      <c r="V25" s="465">
        <v>0.15233175926021009</v>
      </c>
      <c r="W25" s="465">
        <v>0.15233175926021009</v>
      </c>
      <c r="X25" s="465">
        <v>0.15233175926021009</v>
      </c>
      <c r="Y25" s="465">
        <v>0.15233175926021009</v>
      </c>
      <c r="Z25" s="465">
        <v>0.15233175926021009</v>
      </c>
      <c r="AA25" s="465">
        <v>0.15233175926021009</v>
      </c>
      <c r="AB25" s="465"/>
      <c r="AC25" s="465"/>
      <c r="AD25" s="465"/>
      <c r="AE25" s="465"/>
      <c r="AF25" s="465"/>
      <c r="AH25" s="459"/>
      <c r="AI25" s="459"/>
      <c r="AJ25" s="465"/>
      <c r="AK25" s="465"/>
      <c r="AL25" s="465"/>
      <c r="AM25" s="465"/>
    </row>
    <row r="26" spans="1:39">
      <c r="A26" s="449">
        <f t="shared" si="0"/>
        <v>1998</v>
      </c>
      <c r="B26" s="465" t="s">
        <v>1031</v>
      </c>
      <c r="C26" s="465" t="s">
        <v>1031</v>
      </c>
      <c r="D26" s="465" t="s">
        <v>1031</v>
      </c>
      <c r="E26" s="465" t="s">
        <v>1031</v>
      </c>
      <c r="F26" s="465" t="s">
        <v>1031</v>
      </c>
      <c r="G26" s="465" t="s">
        <v>1031</v>
      </c>
      <c r="H26" s="465" t="s">
        <v>1031</v>
      </c>
      <c r="I26" s="465" t="s">
        <v>1031</v>
      </c>
      <c r="J26" s="465" t="s">
        <v>1031</v>
      </c>
      <c r="K26" s="465" t="s">
        <v>1031</v>
      </c>
      <c r="L26" s="465" t="s">
        <v>1031</v>
      </c>
      <c r="M26" s="465" t="s">
        <v>1031</v>
      </c>
      <c r="N26" s="465">
        <v>0.1263121662060063</v>
      </c>
      <c r="O26" s="465">
        <v>0.1263121662060063</v>
      </c>
      <c r="P26" s="465">
        <v>0.1263121662060063</v>
      </c>
      <c r="Q26" s="465">
        <v>0.1263121662060063</v>
      </c>
      <c r="R26" s="465">
        <v>0.1263121662060063</v>
      </c>
      <c r="S26" s="465">
        <v>0.1263121662060063</v>
      </c>
      <c r="T26" s="465">
        <v>0.1263121662060063</v>
      </c>
      <c r="U26" s="465">
        <v>0.1263121662060063</v>
      </c>
      <c r="V26" s="465">
        <v>0.1263121662060063</v>
      </c>
      <c r="W26" s="465">
        <v>0.1263121662060063</v>
      </c>
      <c r="X26" s="465">
        <v>0.1263121662060063</v>
      </c>
      <c r="Y26" s="465">
        <v>0.12631216620600627</v>
      </c>
      <c r="Z26" s="465">
        <v>0.12631216620600627</v>
      </c>
      <c r="AA26" s="465"/>
      <c r="AB26" s="465"/>
      <c r="AC26" s="465"/>
      <c r="AD26" s="465"/>
      <c r="AE26" s="465"/>
      <c r="AF26" s="465"/>
      <c r="AH26" s="459"/>
      <c r="AI26" s="459"/>
      <c r="AJ26" s="465"/>
      <c r="AK26" s="465"/>
      <c r="AL26" s="465"/>
      <c r="AM26" s="465"/>
    </row>
    <row r="27" spans="1:39">
      <c r="A27" s="449">
        <f t="shared" si="0"/>
        <v>1999</v>
      </c>
      <c r="B27" s="465" t="s">
        <v>1031</v>
      </c>
      <c r="C27" s="465" t="s">
        <v>1031</v>
      </c>
      <c r="D27" s="465" t="s">
        <v>1031</v>
      </c>
      <c r="E27" s="465" t="s">
        <v>1031</v>
      </c>
      <c r="F27" s="465" t="s">
        <v>1031</v>
      </c>
      <c r="G27" s="465" t="s">
        <v>1031</v>
      </c>
      <c r="H27" s="465" t="s">
        <v>1031</v>
      </c>
      <c r="I27" s="465" t="s">
        <v>1031</v>
      </c>
      <c r="J27" s="465" t="s">
        <v>1031</v>
      </c>
      <c r="K27" s="465" t="s">
        <v>1031</v>
      </c>
      <c r="L27" s="465" t="s">
        <v>1031</v>
      </c>
      <c r="M27" s="465">
        <v>0.15058757099962775</v>
      </c>
      <c r="N27" s="465">
        <v>0.15065257529183382</v>
      </c>
      <c r="O27" s="465">
        <v>0.15068123020193552</v>
      </c>
      <c r="P27" s="465">
        <v>0.15070484720156035</v>
      </c>
      <c r="Q27" s="465">
        <v>0.15056201367908098</v>
      </c>
      <c r="R27" s="465">
        <v>0.15056201367908098</v>
      </c>
      <c r="S27" s="465">
        <v>0.15056201367908098</v>
      </c>
      <c r="T27" s="465">
        <v>0.15056201367908098</v>
      </c>
      <c r="U27" s="465">
        <v>0.15056201367908098</v>
      </c>
      <c r="V27" s="465">
        <v>0.15056201367908098</v>
      </c>
      <c r="W27" s="465">
        <v>0.15056201367908098</v>
      </c>
      <c r="X27" s="465">
        <v>0.15056201367908101</v>
      </c>
      <c r="Y27" s="465">
        <v>0.15056201367908101</v>
      </c>
      <c r="Z27" s="465"/>
      <c r="AA27" s="465"/>
      <c r="AB27" s="465"/>
      <c r="AC27" s="465"/>
      <c r="AD27" s="465"/>
      <c r="AE27" s="465"/>
      <c r="AF27" s="465"/>
      <c r="AH27" s="459"/>
      <c r="AI27" s="459"/>
      <c r="AJ27" s="465"/>
      <c r="AK27" s="465"/>
      <c r="AL27" s="465"/>
      <c r="AM27" s="465"/>
    </row>
    <row r="28" spans="1:39">
      <c r="A28" s="449">
        <f t="shared" si="0"/>
        <v>2000</v>
      </c>
      <c r="B28" s="465" t="s">
        <v>1031</v>
      </c>
      <c r="C28" s="465" t="s">
        <v>1031</v>
      </c>
      <c r="D28" s="465" t="s">
        <v>1031</v>
      </c>
      <c r="E28" s="465" t="s">
        <v>1031</v>
      </c>
      <c r="F28" s="465" t="s">
        <v>1031</v>
      </c>
      <c r="G28" s="465" t="s">
        <v>1031</v>
      </c>
      <c r="H28" s="465" t="s">
        <v>1031</v>
      </c>
      <c r="I28" s="465" t="s">
        <v>1031</v>
      </c>
      <c r="J28" s="465" t="s">
        <v>1031</v>
      </c>
      <c r="K28" s="465" t="s">
        <v>1031</v>
      </c>
      <c r="L28" s="465">
        <v>0.16676961864318743</v>
      </c>
      <c r="M28" s="465">
        <v>0.16676961864318743</v>
      </c>
      <c r="N28" s="465">
        <v>0.16676961864318743</v>
      </c>
      <c r="O28" s="465">
        <v>0.16676961864318743</v>
      </c>
      <c r="P28" s="465">
        <v>0.16676961864318743</v>
      </c>
      <c r="Q28" s="465">
        <v>0.16676961864318743</v>
      </c>
      <c r="R28" s="465">
        <v>0.16676961864318743</v>
      </c>
      <c r="S28" s="465">
        <v>0.16676961864318743</v>
      </c>
      <c r="T28" s="465">
        <v>0.16676961864318743</v>
      </c>
      <c r="U28" s="465">
        <v>0.16676961864318743</v>
      </c>
      <c r="V28" s="465">
        <v>0.16676961864318743</v>
      </c>
      <c r="W28" s="465">
        <v>0.16676961864318743</v>
      </c>
      <c r="X28" s="465">
        <v>0.16676961864318743</v>
      </c>
      <c r="Y28" s="465"/>
      <c r="Z28" s="465"/>
      <c r="AA28" s="465"/>
      <c r="AB28" s="465"/>
      <c r="AC28" s="465"/>
      <c r="AD28" s="465"/>
      <c r="AE28" s="465"/>
      <c r="AF28" s="465"/>
      <c r="AH28" s="459"/>
      <c r="AI28" s="459"/>
      <c r="AJ28" s="465"/>
      <c r="AK28" s="465"/>
      <c r="AL28" s="465"/>
      <c r="AM28" s="465"/>
    </row>
    <row r="29" spans="1:39">
      <c r="A29" s="449">
        <f t="shared" si="0"/>
        <v>2001</v>
      </c>
      <c r="B29" s="465" t="s">
        <v>1031</v>
      </c>
      <c r="C29" s="465" t="s">
        <v>1031</v>
      </c>
      <c r="D29" s="465" t="s">
        <v>1031</v>
      </c>
      <c r="E29" s="465" t="s">
        <v>1031</v>
      </c>
      <c r="F29" s="465" t="s">
        <v>1031</v>
      </c>
      <c r="G29" s="465" t="s">
        <v>1031</v>
      </c>
      <c r="H29" s="465" t="s">
        <v>1031</v>
      </c>
      <c r="I29" s="465" t="s">
        <v>1031</v>
      </c>
      <c r="J29" s="465" t="s">
        <v>1031</v>
      </c>
      <c r="K29" s="465">
        <v>0.17341691115457369</v>
      </c>
      <c r="L29" s="465">
        <v>0.17341691115457369</v>
      </c>
      <c r="M29" s="465">
        <v>0.17341691115457369</v>
      </c>
      <c r="N29" s="465">
        <v>0.17341691115457369</v>
      </c>
      <c r="O29" s="465">
        <v>0.17341691115457369</v>
      </c>
      <c r="P29" s="465">
        <v>0.17341691115457369</v>
      </c>
      <c r="Q29" s="465">
        <v>0.17341691115457369</v>
      </c>
      <c r="R29" s="465">
        <v>0.17341691115457369</v>
      </c>
      <c r="S29" s="465">
        <v>0.17341691115457369</v>
      </c>
      <c r="T29" s="465">
        <v>0.17341691115457369</v>
      </c>
      <c r="U29" s="465">
        <v>0.17341691115457369</v>
      </c>
      <c r="V29" s="465">
        <v>0.17341691115457369</v>
      </c>
      <c r="W29" s="465">
        <v>0.17341691115457369</v>
      </c>
      <c r="X29" s="465"/>
      <c r="Y29" s="465"/>
      <c r="Z29" s="465"/>
      <c r="AA29" s="465"/>
      <c r="AB29" s="465"/>
      <c r="AC29" s="465"/>
      <c r="AD29" s="465"/>
      <c r="AE29" s="465"/>
      <c r="AF29" s="465"/>
      <c r="AH29" s="459"/>
      <c r="AI29" s="459"/>
      <c r="AJ29" s="465"/>
      <c r="AK29" s="465"/>
      <c r="AL29" s="465"/>
      <c r="AM29" s="465"/>
    </row>
    <row r="30" spans="1:39">
      <c r="A30" s="449">
        <f t="shared" si="0"/>
        <v>2002</v>
      </c>
      <c r="B30" s="465" t="s">
        <v>1031</v>
      </c>
      <c r="C30" s="465" t="s">
        <v>1031</v>
      </c>
      <c r="D30" s="465" t="s">
        <v>1031</v>
      </c>
      <c r="E30" s="465" t="s">
        <v>1031</v>
      </c>
      <c r="F30" s="465" t="s">
        <v>1031</v>
      </c>
      <c r="G30" s="465" t="s">
        <v>1031</v>
      </c>
      <c r="H30" s="465" t="s">
        <v>1031</v>
      </c>
      <c r="I30" s="465" t="s">
        <v>1031</v>
      </c>
      <c r="J30" s="465">
        <v>0.21567558938503201</v>
      </c>
      <c r="K30" s="465">
        <v>0.21579436353226855</v>
      </c>
      <c r="L30" s="465">
        <v>0.21579436353226855</v>
      </c>
      <c r="M30" s="465">
        <v>0.21579436353226855</v>
      </c>
      <c r="N30" s="465">
        <v>0.22141884084742228</v>
      </c>
      <c r="O30" s="465">
        <v>0.21683230878227594</v>
      </c>
      <c r="P30" s="465">
        <v>0.21683230878227594</v>
      </c>
      <c r="Q30" s="465">
        <v>0.21665975147890137</v>
      </c>
      <c r="R30" s="465">
        <v>0.21665975147890137</v>
      </c>
      <c r="S30" s="465">
        <v>0.21665975147890137</v>
      </c>
      <c r="T30" s="465">
        <v>0.21665975147890137</v>
      </c>
      <c r="U30" s="465">
        <v>0.21665975147890137</v>
      </c>
      <c r="V30" s="465">
        <v>0.21665975147890137</v>
      </c>
      <c r="W30" s="465"/>
      <c r="X30" s="465"/>
      <c r="Y30" s="465"/>
      <c r="Z30" s="465"/>
      <c r="AA30" s="465"/>
      <c r="AB30" s="465"/>
      <c r="AC30" s="465"/>
      <c r="AD30" s="465"/>
      <c r="AE30" s="465"/>
      <c r="AF30" s="465"/>
      <c r="AH30" s="459"/>
      <c r="AI30" s="459"/>
      <c r="AJ30" s="465"/>
      <c r="AK30" s="465"/>
      <c r="AL30" s="465"/>
      <c r="AM30" s="465"/>
    </row>
    <row r="31" spans="1:39">
      <c r="A31" s="449">
        <f t="shared" si="0"/>
        <v>2003</v>
      </c>
      <c r="B31" s="465" t="s">
        <v>1031</v>
      </c>
      <c r="C31" s="465" t="s">
        <v>1031</v>
      </c>
      <c r="D31" s="465" t="s">
        <v>1031</v>
      </c>
      <c r="E31" s="465" t="s">
        <v>1031</v>
      </c>
      <c r="F31" s="465" t="s">
        <v>1031</v>
      </c>
      <c r="G31" s="465" t="s">
        <v>1031</v>
      </c>
      <c r="H31" s="465" t="s">
        <v>1031</v>
      </c>
      <c r="I31" s="465">
        <v>0.1956482815819775</v>
      </c>
      <c r="J31" s="465">
        <v>0.20609614010692415</v>
      </c>
      <c r="K31" s="465">
        <v>0.2067844865339771</v>
      </c>
      <c r="L31" s="465">
        <v>0.2067844865339771</v>
      </c>
      <c r="M31" s="465">
        <v>0.2067844865339771</v>
      </c>
      <c r="N31" s="465">
        <v>0.2067844865339771</v>
      </c>
      <c r="O31" s="465">
        <v>0.2067844865339771</v>
      </c>
      <c r="P31" s="465">
        <v>0.2067844865339771</v>
      </c>
      <c r="Q31" s="465">
        <v>0.2067844865339771</v>
      </c>
      <c r="R31" s="465">
        <v>0.2067844865339771</v>
      </c>
      <c r="S31" s="465">
        <v>0.2067844865339771</v>
      </c>
      <c r="T31" s="465">
        <v>0.20678448653397707</v>
      </c>
      <c r="U31" s="465">
        <v>0.20678448653397707</v>
      </c>
      <c r="V31" s="465"/>
      <c r="W31" s="465"/>
      <c r="X31" s="465"/>
      <c r="Y31" s="465"/>
      <c r="Z31" s="465"/>
      <c r="AA31" s="465"/>
      <c r="AB31" s="465"/>
      <c r="AC31" s="465"/>
      <c r="AD31" s="465"/>
      <c r="AE31" s="465"/>
      <c r="AF31" s="465"/>
      <c r="AH31" s="459"/>
      <c r="AI31" s="459"/>
      <c r="AJ31" s="465"/>
      <c r="AK31" s="465"/>
      <c r="AL31" s="465"/>
      <c r="AM31" s="465"/>
    </row>
    <row r="32" spans="1:39">
      <c r="A32" s="449">
        <f t="shared" si="0"/>
        <v>2004</v>
      </c>
      <c r="B32" s="465" t="s">
        <v>1031</v>
      </c>
      <c r="C32" s="465" t="s">
        <v>1031</v>
      </c>
      <c r="D32" s="465" t="s">
        <v>1031</v>
      </c>
      <c r="E32" s="465" t="s">
        <v>1031</v>
      </c>
      <c r="F32" s="465" t="s">
        <v>1031</v>
      </c>
      <c r="G32" s="465" t="s">
        <v>1031</v>
      </c>
      <c r="H32" s="465">
        <v>0.25123535082787163</v>
      </c>
      <c r="I32" s="465">
        <v>0.25462460348423521</v>
      </c>
      <c r="J32" s="465">
        <v>0.25521491589958822</v>
      </c>
      <c r="K32" s="465">
        <v>0.25504015978519357</v>
      </c>
      <c r="L32" s="465">
        <v>0.25242234660716267</v>
      </c>
      <c r="M32" s="465">
        <v>0.25242234660716267</v>
      </c>
      <c r="N32" s="465">
        <v>0.25242234660716267</v>
      </c>
      <c r="O32" s="465">
        <v>0.25222870042274725</v>
      </c>
      <c r="P32" s="465">
        <v>0.25222870042274725</v>
      </c>
      <c r="Q32" s="465">
        <v>0.25222870042274725</v>
      </c>
      <c r="R32" s="465">
        <v>0.25222870042274725</v>
      </c>
      <c r="S32" s="465">
        <v>0.25222870042274725</v>
      </c>
      <c r="T32" s="465">
        <v>0.25222870042274725</v>
      </c>
      <c r="U32" s="465"/>
      <c r="V32" s="465"/>
      <c r="W32" s="465"/>
      <c r="X32" s="465"/>
      <c r="Y32" s="465"/>
      <c r="Z32" s="465"/>
      <c r="AA32" s="465"/>
      <c r="AB32" s="465"/>
      <c r="AC32" s="465"/>
      <c r="AD32" s="465"/>
      <c r="AE32" s="465"/>
      <c r="AF32" s="465"/>
      <c r="AH32" s="459"/>
      <c r="AI32" s="459"/>
      <c r="AJ32" s="465"/>
      <c r="AK32" s="465"/>
      <c r="AL32" s="465"/>
      <c r="AM32" s="465"/>
    </row>
    <row r="33" spans="1:39">
      <c r="A33" s="449">
        <f t="shared" si="0"/>
        <v>2005</v>
      </c>
      <c r="B33" s="465" t="s">
        <v>1031</v>
      </c>
      <c r="C33" s="465" t="s">
        <v>1031</v>
      </c>
      <c r="D33" s="465" t="s">
        <v>1031</v>
      </c>
      <c r="E33" s="465" t="s">
        <v>1031</v>
      </c>
      <c r="F33" s="465" t="s">
        <v>1031</v>
      </c>
      <c r="G33" s="465">
        <v>0.21093663957909797</v>
      </c>
      <c r="H33" s="465">
        <v>0.23134551466866435</v>
      </c>
      <c r="I33" s="465">
        <v>0.23454561224896286</v>
      </c>
      <c r="J33" s="465">
        <v>0.24591516228143345</v>
      </c>
      <c r="K33" s="465">
        <v>0.24591516228143345</v>
      </c>
      <c r="L33" s="465">
        <v>0.24591516228143345</v>
      </c>
      <c r="M33" s="465">
        <v>0.24591516228143345</v>
      </c>
      <c r="N33" s="465">
        <v>0.24591516228143345</v>
      </c>
      <c r="O33" s="465">
        <v>0.24591516228143345</v>
      </c>
      <c r="P33" s="465">
        <v>0.24591516228143345</v>
      </c>
      <c r="Q33" s="465">
        <v>0.24591516228143345</v>
      </c>
      <c r="R33" s="465">
        <v>0.24591516228143345</v>
      </c>
      <c r="S33" s="465">
        <v>0.24591516228143345</v>
      </c>
      <c r="T33" s="465"/>
      <c r="U33" s="465"/>
      <c r="V33" s="465"/>
      <c r="W33" s="465"/>
      <c r="X33" s="465"/>
      <c r="Y33" s="465"/>
      <c r="Z33" s="465"/>
      <c r="AA33" s="465"/>
      <c r="AB33" s="465"/>
      <c r="AC33" s="465"/>
      <c r="AD33" s="465"/>
      <c r="AE33" s="465"/>
      <c r="AF33" s="465"/>
      <c r="AH33" s="459"/>
      <c r="AI33" s="459"/>
      <c r="AJ33" s="465"/>
      <c r="AK33" s="465"/>
      <c r="AL33" s="465"/>
      <c r="AM33" s="465"/>
    </row>
    <row r="34" spans="1:39">
      <c r="A34" s="449">
        <f t="shared" si="0"/>
        <v>2006</v>
      </c>
      <c r="B34" s="465" t="s">
        <v>1031</v>
      </c>
      <c r="C34" s="465" t="s">
        <v>1031</v>
      </c>
      <c r="D34" s="465" t="s">
        <v>1031</v>
      </c>
      <c r="E34" s="465" t="s">
        <v>1031</v>
      </c>
      <c r="F34" s="465">
        <v>0.17257175975805633</v>
      </c>
      <c r="G34" s="465">
        <v>0.19259582209025103</v>
      </c>
      <c r="H34" s="465">
        <v>0.21509600178457716</v>
      </c>
      <c r="I34" s="465">
        <v>0.22079007831373446</v>
      </c>
      <c r="J34" s="465">
        <v>0.22307871232734555</v>
      </c>
      <c r="K34" s="465">
        <v>0.23036840676759185</v>
      </c>
      <c r="L34" s="465">
        <v>0.23036840676759185</v>
      </c>
      <c r="M34" s="465">
        <v>0.23127258577819484</v>
      </c>
      <c r="N34" s="465">
        <v>0.23217464278560818</v>
      </c>
      <c r="O34" s="465">
        <v>0.23217464278560818</v>
      </c>
      <c r="P34" s="465">
        <v>0.23217464278560818</v>
      </c>
      <c r="Q34" s="465">
        <v>0.23217464278560818</v>
      </c>
      <c r="R34" s="465">
        <v>0.23413946773510741</v>
      </c>
      <c r="S34" s="465"/>
      <c r="T34" s="465"/>
      <c r="U34" s="465"/>
      <c r="V34" s="465"/>
      <c r="W34" s="465"/>
      <c r="X34" s="465"/>
      <c r="Y34" s="465"/>
      <c r="Z34" s="465"/>
      <c r="AA34" s="465"/>
      <c r="AB34" s="465"/>
      <c r="AC34" s="465"/>
      <c r="AD34" s="465"/>
      <c r="AE34" s="465"/>
      <c r="AF34" s="465"/>
      <c r="AH34" s="459"/>
      <c r="AI34" s="459"/>
      <c r="AJ34" s="465"/>
      <c r="AK34" s="465"/>
      <c r="AL34" s="465"/>
      <c r="AM34" s="465"/>
    </row>
    <row r="35" spans="1:39">
      <c r="A35" s="449">
        <f t="shared" si="0"/>
        <v>2007</v>
      </c>
      <c r="B35" s="465" t="s">
        <v>1031</v>
      </c>
      <c r="C35" s="465" t="s">
        <v>1031</v>
      </c>
      <c r="D35" s="465" t="s">
        <v>1031</v>
      </c>
      <c r="E35" s="465">
        <v>0.15601284750703429</v>
      </c>
      <c r="F35" s="465">
        <v>0.19209266225521218</v>
      </c>
      <c r="G35" s="465">
        <v>0.22401799681883833</v>
      </c>
      <c r="H35" s="465">
        <v>0.23138485886484186</v>
      </c>
      <c r="I35" s="465">
        <v>0.28149163054993925</v>
      </c>
      <c r="J35" s="465">
        <v>0.28151965417451991</v>
      </c>
      <c r="K35" s="465">
        <v>0.28150807550138929</v>
      </c>
      <c r="L35" s="465">
        <v>0.28151209764074347</v>
      </c>
      <c r="M35" s="465">
        <v>0.28151209764074347</v>
      </c>
      <c r="N35" s="465">
        <v>0.28151209764074347</v>
      </c>
      <c r="O35" s="465">
        <v>0.28151209764074347</v>
      </c>
      <c r="P35" s="465">
        <v>0.28151209764074347</v>
      </c>
      <c r="Q35" s="465">
        <v>0.28151209764074347</v>
      </c>
      <c r="R35" s="465"/>
      <c r="S35" s="465"/>
      <c r="T35" s="465"/>
      <c r="U35" s="465"/>
      <c r="V35" s="465"/>
      <c r="W35" s="465"/>
      <c r="X35" s="465"/>
      <c r="Y35" s="465"/>
      <c r="Z35" s="465"/>
      <c r="AA35" s="465"/>
      <c r="AB35" s="465"/>
      <c r="AC35" s="465"/>
      <c r="AD35" s="465"/>
      <c r="AE35" s="465"/>
      <c r="AF35" s="465"/>
      <c r="AG35" s="465"/>
      <c r="AH35" s="459"/>
      <c r="AI35" s="459"/>
      <c r="AJ35" s="465"/>
      <c r="AK35" s="465"/>
      <c r="AL35" s="465"/>
      <c r="AM35" s="465"/>
    </row>
    <row r="36" spans="1:39">
      <c r="A36" s="449">
        <f t="shared" si="0"/>
        <v>2008</v>
      </c>
      <c r="B36" s="465" t="s">
        <v>1031</v>
      </c>
      <c r="C36" s="465" t="s">
        <v>1031</v>
      </c>
      <c r="D36" s="465">
        <v>0.14368441511644112</v>
      </c>
      <c r="E36" s="465">
        <v>0.15878802785486026</v>
      </c>
      <c r="F36" s="465">
        <v>0.15948505957557782</v>
      </c>
      <c r="G36" s="465">
        <v>0.1834270803315243</v>
      </c>
      <c r="H36" s="465">
        <v>0.20443352148905614</v>
      </c>
      <c r="I36" s="465">
        <v>0.20625134774384069</v>
      </c>
      <c r="J36" s="465">
        <v>0.20625134774384069</v>
      </c>
      <c r="K36" s="465">
        <v>0.20625134774384069</v>
      </c>
      <c r="L36" s="465">
        <v>0.20715714920043252</v>
      </c>
      <c r="M36" s="465">
        <v>0.20783221627649207</v>
      </c>
      <c r="N36" s="465">
        <v>0.20783221627649207</v>
      </c>
      <c r="O36" s="465">
        <v>0.20783221627649207</v>
      </c>
      <c r="P36" s="465">
        <v>0.20783221627649207</v>
      </c>
      <c r="Q36" s="465"/>
      <c r="R36" s="465"/>
      <c r="S36" s="465"/>
      <c r="T36" s="465"/>
      <c r="U36" s="465"/>
      <c r="V36" s="465"/>
      <c r="W36" s="465"/>
      <c r="X36" s="465"/>
      <c r="Y36" s="465"/>
      <c r="Z36" s="465"/>
      <c r="AA36" s="465"/>
      <c r="AB36" s="465"/>
      <c r="AC36" s="465"/>
      <c r="AD36" s="465"/>
      <c r="AE36" s="465"/>
      <c r="AF36" s="465"/>
      <c r="AG36" s="465"/>
      <c r="AH36" s="459"/>
      <c r="AI36" s="459"/>
      <c r="AJ36" s="465"/>
      <c r="AK36" s="465"/>
      <c r="AL36" s="465"/>
      <c r="AM36" s="465"/>
    </row>
    <row r="37" spans="1:39">
      <c r="A37" s="449">
        <f t="shared" si="0"/>
        <v>2009</v>
      </c>
      <c r="B37" s="465" t="s">
        <v>1031</v>
      </c>
      <c r="C37" s="465">
        <v>0.14304188060727446</v>
      </c>
      <c r="D37" s="465">
        <v>0.15478525024621245</v>
      </c>
      <c r="E37" s="465">
        <v>0.15469889834364392</v>
      </c>
      <c r="F37" s="465">
        <v>0.1702578111387251</v>
      </c>
      <c r="G37" s="465">
        <v>0.18817542442903304</v>
      </c>
      <c r="H37" s="465">
        <v>0.19278824599619387</v>
      </c>
      <c r="I37" s="465">
        <v>0.20395301091996332</v>
      </c>
      <c r="J37" s="465">
        <v>0.2054022388415695</v>
      </c>
      <c r="K37" s="465">
        <v>0.2054022388415695</v>
      </c>
      <c r="L37" s="465">
        <v>0.2054022388415695</v>
      </c>
      <c r="M37" s="465">
        <v>0.2054022388415695</v>
      </c>
      <c r="N37" s="465">
        <v>0.2054022388415695</v>
      </c>
      <c r="O37" s="465">
        <v>0.2054022388415695</v>
      </c>
      <c r="P37" s="465"/>
      <c r="Q37" s="465"/>
      <c r="R37" s="465"/>
      <c r="S37" s="465"/>
      <c r="T37" s="465"/>
      <c r="U37" s="465"/>
      <c r="V37" s="465"/>
      <c r="W37" s="465"/>
      <c r="X37" s="465"/>
      <c r="Y37" s="465"/>
      <c r="Z37" s="465"/>
      <c r="AA37" s="465"/>
      <c r="AB37" s="465"/>
      <c r="AC37" s="465"/>
      <c r="AD37" s="465"/>
      <c r="AE37" s="465"/>
      <c r="AF37" s="465"/>
      <c r="AG37" s="465"/>
      <c r="AH37" s="459"/>
      <c r="AI37" s="459"/>
      <c r="AJ37" s="465"/>
      <c r="AK37" s="465"/>
      <c r="AL37" s="465"/>
      <c r="AM37" s="465"/>
    </row>
    <row r="38" spans="1:39">
      <c r="A38" s="449">
        <f t="shared" si="0"/>
        <v>2010</v>
      </c>
      <c r="B38" s="465">
        <v>0.25836997484133473</v>
      </c>
      <c r="C38" s="465">
        <v>0.18884515950504049</v>
      </c>
      <c r="D38" s="465">
        <v>0.13648301290319292</v>
      </c>
      <c r="E38" s="465">
        <v>0.13840593883340066</v>
      </c>
      <c r="F38" s="465">
        <v>0.1333254801224871</v>
      </c>
      <c r="G38" s="465">
        <v>0.15672373619956864</v>
      </c>
      <c r="H38" s="465">
        <v>0.17456093706396375</v>
      </c>
      <c r="I38" s="465">
        <v>0.17212462136342807</v>
      </c>
      <c r="J38" s="465">
        <v>0.1708271212477038</v>
      </c>
      <c r="K38" s="465">
        <v>0.1708271212477038</v>
      </c>
      <c r="L38" s="465">
        <v>0.1708271212477038</v>
      </c>
      <c r="M38" s="465">
        <v>0.1708271212477038</v>
      </c>
      <c r="N38" s="465">
        <v>0.1708271212477038</v>
      </c>
      <c r="P38" s="465"/>
      <c r="Q38" s="465"/>
      <c r="R38" s="465"/>
      <c r="S38" s="465"/>
      <c r="T38" s="465"/>
      <c r="U38" s="465"/>
      <c r="V38" s="465"/>
      <c r="W38" s="465"/>
      <c r="X38" s="465"/>
      <c r="Y38" s="465"/>
      <c r="Z38" s="465"/>
      <c r="AA38" s="465"/>
      <c r="AB38" s="465"/>
      <c r="AC38" s="465"/>
      <c r="AD38" s="465"/>
      <c r="AE38" s="465"/>
      <c r="AF38" s="465"/>
      <c r="AG38" s="465"/>
      <c r="AH38" s="459"/>
      <c r="AI38" s="459"/>
      <c r="AJ38" s="465"/>
      <c r="AK38" s="465"/>
      <c r="AL38" s="465"/>
      <c r="AM38" s="465"/>
    </row>
    <row r="39" spans="1:39">
      <c r="A39" s="449">
        <f t="shared" si="0"/>
        <v>2011</v>
      </c>
      <c r="B39" s="465">
        <v>0.35203266980479492</v>
      </c>
      <c r="C39" s="465">
        <v>0.25289273767396969</v>
      </c>
      <c r="D39" s="465">
        <v>0.15940054424784147</v>
      </c>
      <c r="E39" s="465">
        <v>0.21182524721698173</v>
      </c>
      <c r="F39" s="465">
        <v>0.19953742886847312</v>
      </c>
      <c r="G39" s="465">
        <v>0.19507907586871545</v>
      </c>
      <c r="H39" s="465">
        <v>0.19420392569742528</v>
      </c>
      <c r="I39" s="465">
        <v>0.19420392569742528</v>
      </c>
      <c r="J39" s="465">
        <v>0.19451231317315557</v>
      </c>
      <c r="K39" s="465">
        <v>0.19451231317315557</v>
      </c>
      <c r="L39" s="465">
        <v>0.19731800396926358</v>
      </c>
      <c r="M39" s="465">
        <v>0.19731800396926358</v>
      </c>
      <c r="N39" s="465"/>
      <c r="P39" s="465"/>
      <c r="Q39" s="465"/>
      <c r="R39" s="465"/>
      <c r="S39" s="465"/>
      <c r="T39" s="465"/>
      <c r="U39" s="465"/>
      <c r="V39" s="465"/>
      <c r="W39" s="465"/>
      <c r="X39" s="465"/>
      <c r="Y39" s="465"/>
      <c r="Z39" s="465"/>
      <c r="AA39" s="465"/>
      <c r="AB39" s="465"/>
      <c r="AC39" s="465"/>
      <c r="AD39" s="465"/>
      <c r="AE39" s="465"/>
      <c r="AF39" s="465"/>
      <c r="AG39" s="465"/>
      <c r="AH39" s="459"/>
      <c r="AI39" s="459"/>
      <c r="AJ39" s="465"/>
      <c r="AK39" s="465"/>
      <c r="AL39" s="465"/>
      <c r="AM39" s="465"/>
    </row>
    <row r="40" spans="1:39">
      <c r="A40" s="449">
        <f t="shared" si="0"/>
        <v>2012</v>
      </c>
      <c r="B40" s="465">
        <v>0.31120051368516588</v>
      </c>
      <c r="C40" s="465">
        <v>0.34136080809608021</v>
      </c>
      <c r="D40" s="465">
        <v>0.17951378432311002</v>
      </c>
      <c r="E40" s="465">
        <v>0.18694670938532282</v>
      </c>
      <c r="F40" s="465">
        <v>0.21724239818830682</v>
      </c>
      <c r="G40" s="465">
        <v>0.17446016125498948</v>
      </c>
      <c r="H40" s="465">
        <v>0.19418924639783253</v>
      </c>
      <c r="I40" s="465">
        <v>0.20193357606616114</v>
      </c>
      <c r="J40" s="465">
        <v>0.20522254318546385</v>
      </c>
      <c r="K40" s="465">
        <v>0.18918138989843258</v>
      </c>
      <c r="L40" s="465">
        <v>0.18978430547871114</v>
      </c>
      <c r="M40" s="465"/>
      <c r="N40" s="465"/>
      <c r="P40" s="465"/>
      <c r="Q40" s="465"/>
      <c r="R40" s="465"/>
      <c r="S40" s="465"/>
      <c r="T40" s="465"/>
      <c r="U40" s="465"/>
      <c r="V40" s="465"/>
      <c r="W40" s="465"/>
      <c r="X40" s="465"/>
      <c r="Y40" s="465"/>
      <c r="Z40" s="465"/>
      <c r="AA40" s="465"/>
      <c r="AB40" s="465"/>
      <c r="AC40" s="465"/>
      <c r="AD40" s="465"/>
      <c r="AE40" s="465"/>
      <c r="AF40" s="465"/>
      <c r="AG40" s="465"/>
      <c r="AH40" s="459"/>
      <c r="AI40" s="459"/>
      <c r="AJ40" s="465"/>
      <c r="AK40" s="465"/>
      <c r="AL40" s="465"/>
      <c r="AM40" s="465"/>
    </row>
    <row r="41" spans="1:39">
      <c r="A41" s="449">
        <f t="shared" si="0"/>
        <v>2013</v>
      </c>
      <c r="B41" s="465">
        <v>0.22700307843744533</v>
      </c>
      <c r="C41" s="465">
        <v>0.27140007321692811</v>
      </c>
      <c r="D41" s="465">
        <v>0.15418898602510664</v>
      </c>
      <c r="E41" s="465">
        <v>0.15853717163557504</v>
      </c>
      <c r="F41" s="465">
        <v>0.15863727378608544</v>
      </c>
      <c r="G41" s="465">
        <v>0.14805007367364917</v>
      </c>
      <c r="H41" s="465">
        <v>0.14984187810872043</v>
      </c>
      <c r="I41" s="465">
        <v>0.14854315578514457</v>
      </c>
      <c r="J41" s="465">
        <v>0.14998310883564434</v>
      </c>
      <c r="K41" s="465">
        <v>0.14998310883564434</v>
      </c>
      <c r="L41" s="465"/>
      <c r="M41" s="465"/>
      <c r="N41" s="465"/>
      <c r="P41" s="465"/>
      <c r="Q41" s="465"/>
      <c r="R41" s="465"/>
      <c r="S41" s="465"/>
      <c r="T41" s="465"/>
      <c r="U41" s="465"/>
      <c r="V41" s="465"/>
      <c r="W41" s="465"/>
      <c r="X41" s="465"/>
      <c r="Y41" s="465"/>
      <c r="Z41" s="465"/>
      <c r="AA41" s="465"/>
      <c r="AB41" s="465"/>
      <c r="AC41" s="465"/>
      <c r="AD41" s="465"/>
      <c r="AE41" s="465"/>
      <c r="AF41" s="465"/>
      <c r="AG41" s="465"/>
      <c r="AH41" s="459"/>
      <c r="AI41" s="459"/>
      <c r="AJ41" s="465"/>
      <c r="AK41" s="465"/>
      <c r="AL41" s="465"/>
      <c r="AM41" s="465"/>
    </row>
    <row r="42" spans="1:39">
      <c r="A42" s="449">
        <f t="shared" si="0"/>
        <v>2014</v>
      </c>
      <c r="B42" s="465">
        <v>0.33730606580255851</v>
      </c>
      <c r="C42" s="465">
        <v>0.23860047069019275</v>
      </c>
      <c r="D42" s="465">
        <v>0.19765936951632795</v>
      </c>
      <c r="E42" s="465">
        <v>0.22663670793464771</v>
      </c>
      <c r="F42" s="465">
        <v>0.19054225824299753</v>
      </c>
      <c r="G42" s="465">
        <v>0.18417867537862001</v>
      </c>
      <c r="H42" s="465">
        <v>0.20032900915735022</v>
      </c>
      <c r="I42" s="465">
        <v>0.20143766762975143</v>
      </c>
      <c r="J42" s="465">
        <v>0.20143766762975143</v>
      </c>
      <c r="K42" s="465"/>
      <c r="L42" s="465"/>
      <c r="M42" s="465"/>
      <c r="N42" s="465"/>
      <c r="P42" s="465"/>
      <c r="Q42" s="465"/>
      <c r="R42" s="465"/>
      <c r="S42" s="465"/>
      <c r="T42" s="465"/>
      <c r="U42" s="465"/>
      <c r="V42" s="465"/>
      <c r="W42" s="465"/>
      <c r="X42" s="465"/>
      <c r="Y42" s="465"/>
      <c r="Z42" s="465"/>
      <c r="AA42" s="465"/>
      <c r="AB42" s="465"/>
      <c r="AC42" s="465"/>
      <c r="AD42" s="465"/>
      <c r="AE42" s="465"/>
      <c r="AF42" s="465"/>
      <c r="AG42" s="465"/>
      <c r="AH42" s="459"/>
      <c r="AI42" s="459"/>
      <c r="AJ42" s="465"/>
      <c r="AK42" s="465"/>
      <c r="AL42" s="465"/>
      <c r="AM42" s="465"/>
    </row>
    <row r="43" spans="1:39">
      <c r="A43" s="449">
        <f t="shared" si="0"/>
        <v>2015</v>
      </c>
      <c r="B43" s="465">
        <v>0.33316010071278157</v>
      </c>
      <c r="C43" s="465">
        <v>0.21051833316438287</v>
      </c>
      <c r="D43" s="465">
        <v>0.12660554956122416</v>
      </c>
      <c r="E43" s="465">
        <v>0.12910746531651851</v>
      </c>
      <c r="F43" s="465">
        <v>0.14093749349408888</v>
      </c>
      <c r="G43" s="465">
        <v>0.1458078407088032</v>
      </c>
      <c r="H43" s="465">
        <v>0.14669055759887523</v>
      </c>
      <c r="I43" s="465">
        <v>0.14709401437735631</v>
      </c>
      <c r="J43" s="465"/>
      <c r="K43" s="465"/>
      <c r="L43" s="465"/>
      <c r="M43" s="465"/>
      <c r="N43" s="465"/>
      <c r="P43" s="465"/>
      <c r="Q43" s="465"/>
      <c r="R43" s="465"/>
      <c r="S43" s="465"/>
      <c r="T43" s="465"/>
      <c r="U43" s="465"/>
      <c r="V43" s="465"/>
      <c r="W43" s="465"/>
      <c r="X43" s="465"/>
      <c r="Y43" s="465"/>
      <c r="Z43" s="465"/>
      <c r="AA43" s="465"/>
      <c r="AB43" s="465"/>
      <c r="AC43" s="465"/>
      <c r="AD43" s="465"/>
      <c r="AE43" s="465"/>
      <c r="AF43" s="465"/>
      <c r="AG43" s="465"/>
      <c r="AH43" s="459"/>
      <c r="AI43" s="459"/>
      <c r="AJ43" s="465"/>
      <c r="AK43" s="465"/>
      <c r="AL43" s="465"/>
      <c r="AM43" s="465"/>
    </row>
    <row r="44" spans="1:39">
      <c r="A44" s="449">
        <f t="shared" si="0"/>
        <v>2016</v>
      </c>
      <c r="B44" s="465">
        <v>0.24622297732039625</v>
      </c>
      <c r="C44" s="465">
        <v>0.15129055030089239</v>
      </c>
      <c r="D44" s="465">
        <v>0.13300909327059096</v>
      </c>
      <c r="E44" s="465">
        <v>0.15858139729869844</v>
      </c>
      <c r="F44" s="465">
        <v>0.14610171842433217</v>
      </c>
      <c r="G44" s="465">
        <v>0.1386597324417489</v>
      </c>
      <c r="H44" s="465">
        <v>0.14728510075268733</v>
      </c>
      <c r="I44" s="465"/>
      <c r="J44" s="465"/>
      <c r="K44" s="465"/>
      <c r="L44" s="465"/>
      <c r="M44" s="465"/>
      <c r="N44" s="465"/>
      <c r="P44" s="465"/>
      <c r="Q44" s="465"/>
      <c r="R44" s="465"/>
      <c r="S44" s="465"/>
      <c r="T44" s="465"/>
      <c r="U44" s="465"/>
      <c r="V44" s="465"/>
      <c r="W44" s="465"/>
      <c r="X44" s="465"/>
      <c r="Y44" s="465"/>
      <c r="Z44" s="465"/>
      <c r="AA44" s="465"/>
      <c r="AB44" s="465"/>
      <c r="AC44" s="465"/>
      <c r="AD44" s="465"/>
      <c r="AE44" s="465"/>
      <c r="AF44" s="465"/>
      <c r="AG44" s="465"/>
      <c r="AH44" s="459"/>
      <c r="AI44" s="459"/>
      <c r="AJ44" s="465"/>
      <c r="AK44" s="465"/>
      <c r="AL44" s="465"/>
      <c r="AM44" s="465"/>
    </row>
    <row r="45" spans="1:39">
      <c r="A45" s="449">
        <f t="shared" si="0"/>
        <v>2017</v>
      </c>
      <c r="B45" s="465">
        <v>0.27260864930710466</v>
      </c>
      <c r="C45" s="465">
        <v>0.22961778140402112</v>
      </c>
      <c r="D45" s="465">
        <v>0.17411142666142584</v>
      </c>
      <c r="E45" s="465">
        <v>0.17681785930650695</v>
      </c>
      <c r="F45" s="465">
        <v>0.15358478180532073</v>
      </c>
      <c r="G45" s="465">
        <v>0.20456770832697813</v>
      </c>
      <c r="H45" s="465"/>
      <c r="I45" s="465"/>
      <c r="J45" s="465"/>
      <c r="K45" s="465"/>
      <c r="L45" s="465"/>
      <c r="M45" s="465"/>
      <c r="N45" s="465"/>
      <c r="P45" s="465"/>
      <c r="Q45" s="465"/>
      <c r="R45" s="465"/>
      <c r="S45" s="465"/>
      <c r="T45" s="465"/>
      <c r="U45" s="465"/>
      <c r="V45" s="465"/>
      <c r="W45" s="465"/>
      <c r="X45" s="465"/>
      <c r="Y45" s="465"/>
      <c r="Z45" s="465"/>
      <c r="AA45" s="465"/>
      <c r="AB45" s="465"/>
      <c r="AC45" s="465"/>
      <c r="AD45" s="465"/>
      <c r="AE45" s="465"/>
      <c r="AF45" s="465"/>
      <c r="AG45" s="465"/>
      <c r="AH45" s="459"/>
      <c r="AI45" s="459"/>
      <c r="AJ45" s="465"/>
      <c r="AK45" s="465"/>
      <c r="AL45" s="465"/>
      <c r="AM45" s="465"/>
    </row>
    <row r="46" spans="1:39">
      <c r="A46" s="449">
        <f t="shared" si="0"/>
        <v>2018</v>
      </c>
      <c r="B46" s="465">
        <v>0.3313090538410185</v>
      </c>
      <c r="C46" s="465">
        <v>0.16986667123720037</v>
      </c>
      <c r="D46" s="465">
        <v>0.17866246384707857</v>
      </c>
      <c r="E46" s="465">
        <v>0.13689460371241507</v>
      </c>
      <c r="F46" s="465">
        <v>0.1191191863603553</v>
      </c>
      <c r="G46" s="465"/>
      <c r="H46" s="465"/>
      <c r="I46" s="465"/>
      <c r="J46" s="465"/>
      <c r="K46" s="465"/>
      <c r="L46" s="465"/>
      <c r="M46" s="465"/>
      <c r="N46" s="465"/>
      <c r="P46" s="465"/>
      <c r="Q46" s="465"/>
      <c r="R46" s="465"/>
      <c r="S46" s="465"/>
      <c r="T46" s="465"/>
      <c r="U46" s="465"/>
      <c r="V46" s="465"/>
      <c r="W46" s="465"/>
      <c r="X46" s="465"/>
      <c r="Y46" s="465"/>
      <c r="Z46" s="465"/>
      <c r="AA46" s="465"/>
      <c r="AB46" s="465"/>
      <c r="AC46" s="465"/>
      <c r="AD46" s="465"/>
      <c r="AE46" s="465"/>
      <c r="AF46" s="465"/>
      <c r="AG46" s="465"/>
      <c r="AH46" s="459"/>
      <c r="AI46" s="459"/>
      <c r="AJ46" s="465"/>
      <c r="AK46" s="465"/>
      <c r="AL46" s="465"/>
      <c r="AM46" s="465"/>
    </row>
    <row r="47" spans="1:39">
      <c r="A47" s="449">
        <f t="shared" si="0"/>
        <v>2019</v>
      </c>
      <c r="B47" s="465">
        <v>0.40941038531330098</v>
      </c>
      <c r="C47" s="465">
        <v>0.25467809472911479</v>
      </c>
      <c r="D47" s="465">
        <v>0.1915614421314315</v>
      </c>
      <c r="E47" s="465">
        <v>0.17426533028197841</v>
      </c>
      <c r="F47" s="465"/>
      <c r="G47" s="465"/>
      <c r="H47" s="465"/>
      <c r="I47" s="465"/>
      <c r="J47" s="465"/>
      <c r="K47" s="465"/>
      <c r="L47" s="465"/>
      <c r="M47" s="465"/>
      <c r="N47" s="465"/>
      <c r="P47" s="465"/>
      <c r="Q47" s="465"/>
      <c r="R47" s="465"/>
      <c r="S47" s="465"/>
      <c r="T47" s="465"/>
      <c r="U47" s="465"/>
      <c r="V47" s="465"/>
      <c r="W47" s="465"/>
      <c r="X47" s="465"/>
      <c r="Y47" s="465"/>
      <c r="Z47" s="465"/>
      <c r="AA47" s="465"/>
      <c r="AB47" s="465"/>
      <c r="AC47" s="465"/>
      <c r="AD47" s="465"/>
      <c r="AE47" s="465"/>
      <c r="AF47" s="465"/>
      <c r="AG47" s="465"/>
      <c r="AH47" s="459"/>
      <c r="AI47" s="459"/>
      <c r="AJ47" s="465"/>
      <c r="AK47" s="465"/>
      <c r="AL47" s="465"/>
      <c r="AM47" s="465"/>
    </row>
    <row r="48" spans="1:39">
      <c r="A48" s="449">
        <f t="shared" si="0"/>
        <v>2020</v>
      </c>
      <c r="B48" s="465">
        <v>0.2766013890138786</v>
      </c>
      <c r="C48" s="465">
        <v>0.38091486016569265</v>
      </c>
      <c r="D48" s="465">
        <v>0.15460144860042713</v>
      </c>
      <c r="E48" s="451"/>
      <c r="F48" s="451"/>
      <c r="G48" s="451"/>
      <c r="H48" s="451"/>
      <c r="I48" s="451"/>
      <c r="J48" s="451"/>
      <c r="K48" s="451"/>
      <c r="L48" s="451"/>
      <c r="M48" s="451"/>
      <c r="N48" s="451"/>
      <c r="P48" s="451"/>
      <c r="Q48" s="451"/>
      <c r="R48" s="451"/>
      <c r="S48" s="451"/>
      <c r="T48" s="451"/>
      <c r="U48" s="451"/>
      <c r="V48" s="451"/>
      <c r="W48" s="451"/>
      <c r="X48" s="451"/>
      <c r="Y48" s="451"/>
      <c r="Z48" s="451"/>
      <c r="AA48" s="451"/>
      <c r="AB48" s="451"/>
      <c r="AC48" s="451"/>
      <c r="AD48" s="451"/>
      <c r="AE48" s="451"/>
      <c r="AF48" s="451"/>
      <c r="AG48" s="465"/>
      <c r="AH48" s="459"/>
      <c r="AI48" s="459"/>
      <c r="AJ48" s="451"/>
      <c r="AK48" s="451"/>
      <c r="AL48" s="451"/>
      <c r="AM48" s="465"/>
    </row>
    <row r="49" spans="1:39">
      <c r="A49" s="449">
        <f t="shared" si="0"/>
        <v>2021</v>
      </c>
      <c r="B49" s="465">
        <v>0.62637717338029886</v>
      </c>
      <c r="C49" s="465">
        <v>0.53245717844568818</v>
      </c>
      <c r="D49" s="451"/>
      <c r="E49" s="451"/>
      <c r="F49" s="451"/>
      <c r="G49" s="451"/>
      <c r="H49" s="451"/>
      <c r="I49" s="451"/>
      <c r="J49" s="451"/>
      <c r="K49" s="451"/>
      <c r="L49" s="451"/>
      <c r="M49" s="451"/>
      <c r="N49" s="451"/>
      <c r="P49" s="451"/>
      <c r="Q49" s="451"/>
      <c r="R49" s="451"/>
      <c r="S49" s="451"/>
      <c r="T49" s="451"/>
      <c r="U49" s="451"/>
      <c r="V49" s="451"/>
      <c r="W49" s="451"/>
      <c r="X49" s="451"/>
      <c r="Y49" s="451"/>
      <c r="Z49" s="451"/>
      <c r="AA49" s="451"/>
      <c r="AB49" s="451"/>
      <c r="AC49" s="451"/>
      <c r="AD49" s="451"/>
      <c r="AE49" s="451"/>
      <c r="AF49" s="451"/>
      <c r="AG49" s="465"/>
      <c r="AH49" s="459"/>
      <c r="AI49" s="459"/>
      <c r="AJ49" s="451"/>
      <c r="AK49" s="451"/>
      <c r="AL49" s="451"/>
      <c r="AM49" s="451"/>
    </row>
    <row r="50" spans="1:39">
      <c r="A50" s="449">
        <f t="shared" si="0"/>
        <v>2022</v>
      </c>
      <c r="B50" s="465">
        <v>0.59094275267913721</v>
      </c>
      <c r="C50" s="451"/>
      <c r="D50" s="451"/>
      <c r="E50" s="451"/>
      <c r="F50" s="451"/>
      <c r="G50" s="451"/>
      <c r="H50" s="451"/>
      <c r="I50" s="451"/>
      <c r="J50" s="451"/>
      <c r="K50" s="451"/>
      <c r="L50" s="451"/>
      <c r="M50" s="451"/>
      <c r="N50" s="451"/>
      <c r="P50" s="451"/>
      <c r="Q50" s="451"/>
      <c r="R50" s="451"/>
      <c r="S50" s="451"/>
      <c r="T50" s="451"/>
      <c r="U50" s="451"/>
      <c r="V50" s="451"/>
      <c r="W50" s="451"/>
      <c r="X50" s="451"/>
      <c r="Y50" s="451"/>
      <c r="Z50" s="451"/>
      <c r="AA50" s="451"/>
      <c r="AB50" s="451"/>
      <c r="AC50" s="451"/>
      <c r="AD50" s="451"/>
      <c r="AE50" s="451"/>
      <c r="AF50" s="451"/>
      <c r="AG50" s="465"/>
      <c r="AH50" s="459"/>
      <c r="AI50" s="459"/>
      <c r="AJ50" s="451"/>
      <c r="AK50" s="451"/>
      <c r="AL50" s="451"/>
      <c r="AM50" s="451"/>
    </row>
    <row r="51" spans="1:39">
      <c r="A51" s="449"/>
      <c r="B51" s="465"/>
      <c r="C51" s="451"/>
      <c r="D51" s="451"/>
      <c r="E51" s="451"/>
      <c r="F51" s="451"/>
      <c r="G51" s="451"/>
      <c r="H51" s="451"/>
      <c r="I51" s="451"/>
      <c r="J51" s="451"/>
      <c r="K51" s="451"/>
      <c r="L51" s="451"/>
      <c r="M51" s="451"/>
      <c r="N51" s="451"/>
      <c r="P51" s="451"/>
      <c r="Q51" s="451"/>
      <c r="R51" s="451"/>
      <c r="S51" s="451"/>
      <c r="T51" s="451"/>
      <c r="U51" s="451"/>
      <c r="V51" s="451"/>
      <c r="W51" s="451"/>
      <c r="X51" s="451"/>
      <c r="Y51" s="451"/>
      <c r="Z51" s="451"/>
      <c r="AA51" s="451"/>
      <c r="AB51" s="451"/>
      <c r="AC51" s="451"/>
      <c r="AD51" s="451"/>
      <c r="AE51" s="451"/>
      <c r="AF51" s="451"/>
      <c r="AG51" s="465"/>
      <c r="AH51" s="459"/>
      <c r="AI51" s="459"/>
      <c r="AJ51" s="451"/>
      <c r="AK51" s="451"/>
      <c r="AL51" s="451"/>
      <c r="AM51" s="451"/>
    </row>
    <row r="52" spans="1:39">
      <c r="A52" s="446"/>
      <c r="B52" s="452"/>
      <c r="C52" s="452"/>
      <c r="D52" s="452"/>
      <c r="E52" s="452"/>
      <c r="F52" s="452"/>
      <c r="G52" s="452"/>
      <c r="H52" s="452"/>
      <c r="I52" s="452"/>
      <c r="J52" s="452"/>
      <c r="K52" s="452"/>
      <c r="L52" s="452"/>
      <c r="M52" s="452"/>
      <c r="N52" s="452"/>
      <c r="O52" s="452"/>
      <c r="P52" s="452"/>
      <c r="Q52" s="452"/>
      <c r="R52" s="452"/>
      <c r="S52" s="452"/>
      <c r="T52" s="452"/>
      <c r="U52" s="452"/>
      <c r="V52" s="452"/>
      <c r="W52" s="452"/>
      <c r="X52" s="452"/>
      <c r="Y52" s="452"/>
      <c r="Z52" s="452"/>
      <c r="AA52" s="452"/>
      <c r="AB52" s="452"/>
      <c r="AC52" s="452"/>
      <c r="AD52" s="452"/>
      <c r="AE52" s="452"/>
      <c r="AF52" s="452"/>
      <c r="AG52" s="452"/>
      <c r="AJ52" s="452"/>
      <c r="AK52" s="452"/>
      <c r="AL52" s="452"/>
      <c r="AM52" s="452"/>
    </row>
    <row r="53" spans="1:39">
      <c r="B53" s="446" t="s">
        <v>1032</v>
      </c>
    </row>
    <row r="54" spans="1:39">
      <c r="A54" s="447" t="s">
        <v>170</v>
      </c>
      <c r="B54" s="453" t="s">
        <v>1033</v>
      </c>
      <c r="C54" s="453" t="s">
        <v>1034</v>
      </c>
      <c r="D54" s="453" t="s">
        <v>1035</v>
      </c>
      <c r="E54" s="453" t="s">
        <v>1036</v>
      </c>
      <c r="F54" s="453" t="s">
        <v>1037</v>
      </c>
      <c r="G54" s="453" t="s">
        <v>1038</v>
      </c>
      <c r="H54" s="453" t="s">
        <v>1039</v>
      </c>
      <c r="I54" s="453" t="s">
        <v>1040</v>
      </c>
      <c r="J54" s="453" t="s">
        <v>1041</v>
      </c>
      <c r="K54" s="453" t="s">
        <v>1042</v>
      </c>
      <c r="L54" s="453" t="s">
        <v>1043</v>
      </c>
      <c r="M54" s="453" t="s">
        <v>1044</v>
      </c>
      <c r="N54" s="453" t="s">
        <v>1045</v>
      </c>
      <c r="O54" s="453" t="s">
        <v>1046</v>
      </c>
      <c r="P54" s="453" t="s">
        <v>1047</v>
      </c>
      <c r="Q54" s="453" t="s">
        <v>1048</v>
      </c>
      <c r="R54" s="453" t="s">
        <v>1049</v>
      </c>
      <c r="S54" s="453" t="s">
        <v>1050</v>
      </c>
      <c r="T54" s="453" t="s">
        <v>1051</v>
      </c>
      <c r="U54" s="453" t="s">
        <v>1313</v>
      </c>
      <c r="V54" s="453" t="s">
        <v>1314</v>
      </c>
      <c r="W54" s="453" t="s">
        <v>1315</v>
      </c>
      <c r="X54" s="453" t="s">
        <v>1316</v>
      </c>
      <c r="Y54" s="453" t="s">
        <v>1317</v>
      </c>
      <c r="Z54" s="453" t="s">
        <v>1318</v>
      </c>
      <c r="AA54" s="453" t="s">
        <v>1319</v>
      </c>
      <c r="AB54" s="453" t="s">
        <v>1320</v>
      </c>
      <c r="AC54" s="453" t="s">
        <v>1321</v>
      </c>
      <c r="AD54" s="453" t="s">
        <v>1322</v>
      </c>
      <c r="AE54" s="453" t="s">
        <v>1323</v>
      </c>
      <c r="AF54" s="453" t="s">
        <v>1324</v>
      </c>
      <c r="AG54" s="453" t="s">
        <v>1325</v>
      </c>
      <c r="AH54" s="453" t="s">
        <v>1326</v>
      </c>
      <c r="AI54" s="453" t="s">
        <v>1327</v>
      </c>
      <c r="AJ54" s="453" t="s">
        <v>1328</v>
      </c>
      <c r="AK54" s="453" t="s">
        <v>1329</v>
      </c>
      <c r="AL54" s="453" t="s">
        <v>1330</v>
      </c>
      <c r="AM54" s="453" t="s">
        <v>1331</v>
      </c>
    </row>
    <row r="55" spans="1:39">
      <c r="A55" s="449"/>
      <c r="B55" s="449"/>
      <c r="C55" s="449"/>
      <c r="D55" s="449"/>
      <c r="E55" s="449"/>
      <c r="F55" s="449"/>
      <c r="G55" s="449"/>
      <c r="H55" s="449"/>
      <c r="I55" s="449"/>
      <c r="J55" s="449"/>
      <c r="K55" s="449"/>
      <c r="L55" s="449"/>
      <c r="M55" s="449"/>
      <c r="N55" s="449"/>
      <c r="O55" s="449"/>
      <c r="P55" s="449"/>
      <c r="Q55" s="449"/>
      <c r="R55" s="449"/>
      <c r="S55" s="449"/>
      <c r="T55" s="449"/>
      <c r="U55" s="449"/>
      <c r="V55" s="449"/>
      <c r="W55" s="449"/>
      <c r="X55" s="449"/>
      <c r="Y55" s="449"/>
      <c r="Z55" s="449"/>
      <c r="AA55" s="449"/>
      <c r="AB55" s="449"/>
      <c r="AC55" s="449"/>
      <c r="AD55" s="449"/>
      <c r="AE55" s="449"/>
      <c r="AF55" s="449"/>
      <c r="AG55" s="449"/>
      <c r="AH55" s="449"/>
      <c r="AI55" s="449"/>
      <c r="AJ55" s="449"/>
      <c r="AK55" s="449"/>
      <c r="AL55" s="449"/>
      <c r="AM55" s="449"/>
    </row>
    <row r="57" spans="1:39">
      <c r="A57" s="449">
        <f>A13</f>
        <v>1985</v>
      </c>
      <c r="B57" s="454">
        <v>0</v>
      </c>
      <c r="C57" s="454">
        <v>0</v>
      </c>
      <c r="D57" s="454">
        <v>0</v>
      </c>
      <c r="E57" s="454">
        <v>0</v>
      </c>
      <c r="F57" s="454">
        <v>0</v>
      </c>
      <c r="G57" s="454">
        <v>0</v>
      </c>
      <c r="H57" s="454">
        <v>0</v>
      </c>
      <c r="I57" s="454">
        <v>0</v>
      </c>
      <c r="J57" s="454">
        <v>0</v>
      </c>
      <c r="K57" s="454">
        <v>0</v>
      </c>
      <c r="L57" s="454">
        <v>0</v>
      </c>
      <c r="M57" s="454">
        <v>0</v>
      </c>
      <c r="N57" s="454">
        <v>0</v>
      </c>
      <c r="O57" s="454">
        <v>0</v>
      </c>
      <c r="P57" s="454">
        <v>0</v>
      </c>
      <c r="Q57" s="454">
        <v>0</v>
      </c>
      <c r="R57" s="454">
        <v>0</v>
      </c>
      <c r="S57" s="454">
        <v>0</v>
      </c>
      <c r="T57" s="454">
        <v>0</v>
      </c>
      <c r="U57" s="454">
        <v>0</v>
      </c>
      <c r="V57" s="454">
        <v>0</v>
      </c>
      <c r="W57" s="454">
        <v>0</v>
      </c>
      <c r="X57" s="454">
        <v>0</v>
      </c>
      <c r="Y57" s="454">
        <v>0</v>
      </c>
      <c r="Z57" s="454">
        <v>0</v>
      </c>
      <c r="AA57" s="454">
        <v>0</v>
      </c>
      <c r="AB57" s="454">
        <v>0</v>
      </c>
      <c r="AC57" s="454">
        <v>0</v>
      </c>
      <c r="AD57" s="454">
        <v>0</v>
      </c>
      <c r="AE57" s="454">
        <v>0</v>
      </c>
      <c r="AF57" s="454">
        <v>0</v>
      </c>
      <c r="AG57" s="454">
        <v>0</v>
      </c>
      <c r="AH57" s="454">
        <v>0</v>
      </c>
      <c r="AI57" s="454">
        <v>0</v>
      </c>
      <c r="AJ57" s="454">
        <v>0</v>
      </c>
      <c r="AK57" s="454">
        <v>0</v>
      </c>
      <c r="AL57" s="454">
        <v>0</v>
      </c>
      <c r="AM57" s="455"/>
    </row>
    <row r="58" spans="1:39">
      <c r="A58" s="449">
        <f>A57+1</f>
        <v>1986</v>
      </c>
      <c r="B58" s="454">
        <v>0</v>
      </c>
      <c r="C58" s="454">
        <v>0</v>
      </c>
      <c r="D58" s="454">
        <v>0</v>
      </c>
      <c r="E58" s="454">
        <v>0</v>
      </c>
      <c r="F58" s="454">
        <v>0</v>
      </c>
      <c r="G58" s="454">
        <v>0</v>
      </c>
      <c r="H58" s="454">
        <v>0</v>
      </c>
      <c r="I58" s="454">
        <v>0</v>
      </c>
      <c r="J58" s="454">
        <v>0</v>
      </c>
      <c r="K58" s="454">
        <v>0</v>
      </c>
      <c r="L58" s="454">
        <v>0</v>
      </c>
      <c r="M58" s="454">
        <v>0</v>
      </c>
      <c r="N58" s="454">
        <v>0</v>
      </c>
      <c r="O58" s="454">
        <v>0</v>
      </c>
      <c r="P58" s="454">
        <v>0</v>
      </c>
      <c r="Q58" s="454">
        <v>0</v>
      </c>
      <c r="R58" s="454">
        <v>0</v>
      </c>
      <c r="S58" s="454">
        <v>0</v>
      </c>
      <c r="T58" s="454">
        <v>0</v>
      </c>
      <c r="U58" s="454">
        <v>0</v>
      </c>
      <c r="V58" s="454">
        <v>0</v>
      </c>
      <c r="W58" s="454">
        <v>0</v>
      </c>
      <c r="X58" s="454">
        <v>0</v>
      </c>
      <c r="Y58" s="454">
        <v>0</v>
      </c>
      <c r="Z58" s="454">
        <v>0</v>
      </c>
      <c r="AA58" s="454">
        <v>0</v>
      </c>
      <c r="AB58" s="454">
        <v>0</v>
      </c>
      <c r="AC58" s="454">
        <v>0</v>
      </c>
      <c r="AD58" s="454">
        <v>0</v>
      </c>
      <c r="AE58" s="454">
        <v>0</v>
      </c>
      <c r="AF58" s="454">
        <v>0</v>
      </c>
      <c r="AG58" s="454">
        <v>0</v>
      </c>
      <c r="AH58" s="454">
        <v>0</v>
      </c>
      <c r="AI58" s="454">
        <v>0</v>
      </c>
      <c r="AJ58" s="454">
        <v>0</v>
      </c>
      <c r="AK58" s="454">
        <v>0</v>
      </c>
      <c r="AL58" s="454"/>
      <c r="AM58" s="455"/>
    </row>
    <row r="59" spans="1:39">
      <c r="A59" s="449">
        <f t="shared" ref="A59:A94" si="1">A58+1</f>
        <v>1987</v>
      </c>
      <c r="B59" s="454">
        <v>0</v>
      </c>
      <c r="C59" s="454">
        <v>0</v>
      </c>
      <c r="D59" s="454">
        <v>0</v>
      </c>
      <c r="E59" s="454">
        <v>0</v>
      </c>
      <c r="F59" s="454">
        <v>0</v>
      </c>
      <c r="G59" s="454">
        <v>0</v>
      </c>
      <c r="H59" s="454">
        <v>0</v>
      </c>
      <c r="I59" s="454">
        <v>0</v>
      </c>
      <c r="J59" s="454">
        <v>0</v>
      </c>
      <c r="K59" s="454">
        <v>0</v>
      </c>
      <c r="L59" s="454">
        <v>0</v>
      </c>
      <c r="M59" s="454">
        <v>0</v>
      </c>
      <c r="N59" s="454">
        <v>0</v>
      </c>
      <c r="O59" s="454">
        <v>0</v>
      </c>
      <c r="P59" s="454">
        <v>0</v>
      </c>
      <c r="Q59" s="454">
        <v>0</v>
      </c>
      <c r="R59" s="454">
        <v>0</v>
      </c>
      <c r="S59" s="454">
        <v>0</v>
      </c>
      <c r="T59" s="454">
        <v>0</v>
      </c>
      <c r="U59" s="454">
        <v>0</v>
      </c>
      <c r="V59" s="454">
        <v>0</v>
      </c>
      <c r="W59" s="454">
        <v>0</v>
      </c>
      <c r="X59" s="454">
        <v>0</v>
      </c>
      <c r="Y59" s="454">
        <v>0</v>
      </c>
      <c r="Z59" s="454">
        <v>0</v>
      </c>
      <c r="AA59" s="454">
        <v>0</v>
      </c>
      <c r="AB59" s="454">
        <v>1</v>
      </c>
      <c r="AC59" s="454">
        <v>1</v>
      </c>
      <c r="AD59" s="454">
        <v>1</v>
      </c>
      <c r="AE59" s="454">
        <v>1</v>
      </c>
      <c r="AF59" s="454">
        <v>1</v>
      </c>
      <c r="AG59" s="454">
        <v>1</v>
      </c>
      <c r="AH59" s="454">
        <v>1</v>
      </c>
      <c r="AI59" s="454">
        <v>1</v>
      </c>
      <c r="AJ59" s="454">
        <v>1</v>
      </c>
      <c r="AK59" s="454"/>
      <c r="AL59" s="454"/>
      <c r="AM59" s="455"/>
    </row>
    <row r="60" spans="1:39">
      <c r="A60" s="449">
        <f t="shared" si="1"/>
        <v>1988</v>
      </c>
      <c r="B60" s="454">
        <v>0</v>
      </c>
      <c r="C60" s="454">
        <v>0</v>
      </c>
      <c r="D60" s="454">
        <v>0</v>
      </c>
      <c r="E60" s="454">
        <v>0</v>
      </c>
      <c r="F60" s="454">
        <v>0</v>
      </c>
      <c r="G60" s="454">
        <v>0</v>
      </c>
      <c r="H60" s="454">
        <v>0</v>
      </c>
      <c r="I60" s="454">
        <v>0</v>
      </c>
      <c r="J60" s="454">
        <v>0</v>
      </c>
      <c r="K60" s="454">
        <v>0</v>
      </c>
      <c r="L60" s="454">
        <v>0</v>
      </c>
      <c r="M60" s="454">
        <v>0</v>
      </c>
      <c r="N60" s="454">
        <v>0</v>
      </c>
      <c r="O60" s="454">
        <v>0</v>
      </c>
      <c r="P60" s="454">
        <v>0</v>
      </c>
      <c r="Q60" s="454">
        <v>0</v>
      </c>
      <c r="R60" s="454">
        <v>0</v>
      </c>
      <c r="S60" s="454">
        <v>0</v>
      </c>
      <c r="T60" s="454">
        <v>0</v>
      </c>
      <c r="U60" s="454">
        <v>0</v>
      </c>
      <c r="V60" s="454">
        <v>0</v>
      </c>
      <c r="W60" s="454">
        <v>0</v>
      </c>
      <c r="X60" s="454">
        <v>0</v>
      </c>
      <c r="Y60" s="454">
        <v>0</v>
      </c>
      <c r="Z60" s="454">
        <v>0</v>
      </c>
      <c r="AA60" s="454">
        <v>1</v>
      </c>
      <c r="AB60" s="454">
        <v>1</v>
      </c>
      <c r="AC60" s="454">
        <v>1</v>
      </c>
      <c r="AD60" s="454">
        <v>1</v>
      </c>
      <c r="AE60" s="454">
        <v>1</v>
      </c>
      <c r="AF60" s="454">
        <v>1</v>
      </c>
      <c r="AG60" s="454">
        <v>1</v>
      </c>
      <c r="AH60" s="454">
        <v>1.0007412432480538</v>
      </c>
      <c r="AI60" s="454">
        <v>0.99925930578653077</v>
      </c>
      <c r="AJ60" s="454"/>
      <c r="AK60" s="454"/>
      <c r="AL60" s="454"/>
      <c r="AM60" s="455"/>
    </row>
    <row r="61" spans="1:39">
      <c r="A61" s="449">
        <f t="shared" si="1"/>
        <v>1989</v>
      </c>
      <c r="B61" s="454">
        <v>0</v>
      </c>
      <c r="C61" s="454">
        <v>0</v>
      </c>
      <c r="D61" s="454">
        <v>0</v>
      </c>
      <c r="E61" s="454">
        <v>0</v>
      </c>
      <c r="F61" s="454">
        <v>0</v>
      </c>
      <c r="G61" s="454">
        <v>0</v>
      </c>
      <c r="H61" s="454">
        <v>0</v>
      </c>
      <c r="I61" s="454">
        <v>0</v>
      </c>
      <c r="J61" s="454">
        <v>0</v>
      </c>
      <c r="K61" s="454">
        <v>0</v>
      </c>
      <c r="L61" s="454">
        <v>0</v>
      </c>
      <c r="M61" s="454">
        <v>0</v>
      </c>
      <c r="N61" s="454">
        <v>0</v>
      </c>
      <c r="O61" s="454">
        <v>0</v>
      </c>
      <c r="P61" s="454">
        <v>0</v>
      </c>
      <c r="Q61" s="454">
        <v>0</v>
      </c>
      <c r="R61" s="454">
        <v>0</v>
      </c>
      <c r="S61" s="454">
        <v>0</v>
      </c>
      <c r="T61" s="454">
        <v>0</v>
      </c>
      <c r="U61" s="454">
        <v>0</v>
      </c>
      <c r="V61" s="454">
        <v>0</v>
      </c>
      <c r="W61" s="454">
        <v>0</v>
      </c>
      <c r="X61" s="454">
        <v>0</v>
      </c>
      <c r="Y61" s="454">
        <v>0</v>
      </c>
      <c r="Z61" s="454">
        <v>1</v>
      </c>
      <c r="AA61" s="454">
        <v>1</v>
      </c>
      <c r="AB61" s="454">
        <v>1</v>
      </c>
      <c r="AC61" s="454">
        <v>1</v>
      </c>
      <c r="AD61" s="454">
        <v>1</v>
      </c>
      <c r="AE61" s="454">
        <v>1</v>
      </c>
      <c r="AF61" s="454">
        <v>1</v>
      </c>
      <c r="AG61" s="454">
        <v>1</v>
      </c>
      <c r="AH61" s="454">
        <v>1</v>
      </c>
      <c r="AI61" s="454"/>
      <c r="AJ61" s="454"/>
      <c r="AK61" s="454"/>
      <c r="AL61" s="454"/>
      <c r="AM61" s="455"/>
    </row>
    <row r="62" spans="1:39">
      <c r="A62" s="449">
        <f t="shared" si="1"/>
        <v>1990</v>
      </c>
      <c r="B62" s="454">
        <v>0</v>
      </c>
      <c r="C62" s="454">
        <v>0</v>
      </c>
      <c r="D62" s="454">
        <v>0</v>
      </c>
      <c r="E62" s="454">
        <v>0</v>
      </c>
      <c r="F62" s="454">
        <v>0</v>
      </c>
      <c r="G62" s="454">
        <v>0</v>
      </c>
      <c r="H62" s="454">
        <v>0</v>
      </c>
      <c r="I62" s="454">
        <v>0</v>
      </c>
      <c r="J62" s="454">
        <v>0</v>
      </c>
      <c r="K62" s="454">
        <v>0</v>
      </c>
      <c r="L62" s="454">
        <v>0</v>
      </c>
      <c r="M62" s="454">
        <v>0</v>
      </c>
      <c r="N62" s="454">
        <v>0</v>
      </c>
      <c r="O62" s="454">
        <v>0</v>
      </c>
      <c r="P62" s="454">
        <v>0</v>
      </c>
      <c r="Q62" s="454">
        <v>0</v>
      </c>
      <c r="R62" s="454">
        <v>0</v>
      </c>
      <c r="S62" s="454">
        <v>0</v>
      </c>
      <c r="T62" s="454">
        <v>0</v>
      </c>
      <c r="U62" s="454">
        <v>0</v>
      </c>
      <c r="V62" s="454">
        <v>0</v>
      </c>
      <c r="W62" s="454">
        <v>0</v>
      </c>
      <c r="X62" s="454">
        <v>0</v>
      </c>
      <c r="Y62" s="454">
        <v>1</v>
      </c>
      <c r="Z62" s="454">
        <v>1</v>
      </c>
      <c r="AA62" s="454">
        <v>1</v>
      </c>
      <c r="AB62" s="454">
        <v>1</v>
      </c>
      <c r="AC62" s="454">
        <v>1</v>
      </c>
      <c r="AD62" s="454">
        <v>1</v>
      </c>
      <c r="AE62" s="454">
        <v>1</v>
      </c>
      <c r="AF62" s="454">
        <v>1</v>
      </c>
      <c r="AG62" s="454">
        <v>1</v>
      </c>
      <c r="AH62" s="454"/>
      <c r="AI62" s="454"/>
      <c r="AJ62" s="454"/>
      <c r="AK62" s="454"/>
      <c r="AL62" s="454"/>
      <c r="AM62" s="455"/>
    </row>
    <row r="63" spans="1:39">
      <c r="A63" s="449">
        <f t="shared" si="1"/>
        <v>1991</v>
      </c>
      <c r="B63" s="454">
        <v>0</v>
      </c>
      <c r="C63" s="454">
        <v>0</v>
      </c>
      <c r="D63" s="454">
        <v>0</v>
      </c>
      <c r="E63" s="454">
        <v>0</v>
      </c>
      <c r="F63" s="454">
        <v>0</v>
      </c>
      <c r="G63" s="454">
        <v>0</v>
      </c>
      <c r="H63" s="454">
        <v>0</v>
      </c>
      <c r="I63" s="454">
        <v>0</v>
      </c>
      <c r="J63" s="454">
        <v>0</v>
      </c>
      <c r="K63" s="454">
        <v>0</v>
      </c>
      <c r="L63" s="454">
        <v>0</v>
      </c>
      <c r="M63" s="454">
        <v>0</v>
      </c>
      <c r="N63" s="454">
        <v>0</v>
      </c>
      <c r="O63" s="454">
        <v>0</v>
      </c>
      <c r="P63" s="454">
        <v>0</v>
      </c>
      <c r="Q63" s="454">
        <v>0</v>
      </c>
      <c r="R63" s="454">
        <v>0</v>
      </c>
      <c r="S63" s="454">
        <v>0</v>
      </c>
      <c r="T63" s="454">
        <v>0</v>
      </c>
      <c r="U63" s="454">
        <v>0</v>
      </c>
      <c r="V63" s="454">
        <v>0</v>
      </c>
      <c r="W63" s="454">
        <v>0</v>
      </c>
      <c r="X63" s="454">
        <v>1</v>
      </c>
      <c r="Y63" s="454">
        <v>1</v>
      </c>
      <c r="Z63" s="454">
        <v>1</v>
      </c>
      <c r="AA63" s="454">
        <v>1</v>
      </c>
      <c r="AB63" s="454">
        <v>1</v>
      </c>
      <c r="AC63" s="454">
        <v>1</v>
      </c>
      <c r="AD63" s="454">
        <v>1</v>
      </c>
      <c r="AE63" s="454">
        <v>1</v>
      </c>
      <c r="AF63" s="454">
        <v>1</v>
      </c>
      <c r="AG63" s="454"/>
      <c r="AH63" s="454"/>
      <c r="AI63" s="454"/>
      <c r="AJ63" s="454"/>
      <c r="AK63" s="454"/>
      <c r="AL63" s="454"/>
      <c r="AM63" s="455"/>
    </row>
    <row r="64" spans="1:39">
      <c r="A64" s="449">
        <f t="shared" si="1"/>
        <v>1992</v>
      </c>
      <c r="B64" s="454">
        <v>0</v>
      </c>
      <c r="C64" s="454">
        <v>0</v>
      </c>
      <c r="D64" s="454">
        <v>0</v>
      </c>
      <c r="E64" s="454">
        <v>0</v>
      </c>
      <c r="F64" s="454">
        <v>0</v>
      </c>
      <c r="G64" s="454">
        <v>0</v>
      </c>
      <c r="H64" s="454">
        <v>0</v>
      </c>
      <c r="I64" s="454">
        <v>0</v>
      </c>
      <c r="J64" s="454">
        <v>0</v>
      </c>
      <c r="K64" s="454">
        <v>0</v>
      </c>
      <c r="L64" s="454">
        <v>0</v>
      </c>
      <c r="M64" s="454">
        <v>0</v>
      </c>
      <c r="N64" s="454">
        <v>0</v>
      </c>
      <c r="O64" s="454">
        <v>0</v>
      </c>
      <c r="P64" s="454">
        <v>0</v>
      </c>
      <c r="Q64" s="454">
        <v>0</v>
      </c>
      <c r="R64" s="454">
        <v>0</v>
      </c>
      <c r="S64" s="454">
        <v>0</v>
      </c>
      <c r="T64" s="454">
        <v>0</v>
      </c>
      <c r="U64" s="454">
        <v>0</v>
      </c>
      <c r="V64" s="454">
        <v>0</v>
      </c>
      <c r="W64" s="454">
        <v>1</v>
      </c>
      <c r="X64" s="454">
        <v>1</v>
      </c>
      <c r="Y64" s="454">
        <v>1</v>
      </c>
      <c r="Z64" s="454">
        <v>1</v>
      </c>
      <c r="AA64" s="454">
        <v>1</v>
      </c>
      <c r="AB64" s="454">
        <v>1</v>
      </c>
      <c r="AC64" s="454">
        <v>1</v>
      </c>
      <c r="AD64" s="454">
        <v>1</v>
      </c>
      <c r="AE64" s="454">
        <v>1</v>
      </c>
      <c r="AF64" s="454"/>
      <c r="AG64" s="454"/>
      <c r="AH64" s="454"/>
      <c r="AI64" s="454"/>
      <c r="AJ64" s="454"/>
      <c r="AK64" s="454"/>
      <c r="AL64" s="454"/>
      <c r="AM64" s="455"/>
    </row>
    <row r="65" spans="1:39">
      <c r="A65" s="449">
        <f t="shared" si="1"/>
        <v>1993</v>
      </c>
      <c r="B65" s="454">
        <v>0</v>
      </c>
      <c r="C65" s="454">
        <v>0</v>
      </c>
      <c r="D65" s="454">
        <v>0</v>
      </c>
      <c r="E65" s="454">
        <v>0</v>
      </c>
      <c r="F65" s="454">
        <v>0</v>
      </c>
      <c r="G65" s="454">
        <v>0</v>
      </c>
      <c r="H65" s="454">
        <v>0</v>
      </c>
      <c r="I65" s="454">
        <v>0</v>
      </c>
      <c r="J65" s="454">
        <v>0</v>
      </c>
      <c r="K65" s="454">
        <v>0</v>
      </c>
      <c r="L65" s="454">
        <v>0</v>
      </c>
      <c r="M65" s="454">
        <v>0</v>
      </c>
      <c r="N65" s="454">
        <v>0</v>
      </c>
      <c r="O65" s="454">
        <v>0</v>
      </c>
      <c r="P65" s="454">
        <v>0</v>
      </c>
      <c r="Q65" s="454">
        <v>0</v>
      </c>
      <c r="R65" s="454">
        <v>0</v>
      </c>
      <c r="S65" s="454">
        <v>0</v>
      </c>
      <c r="T65" s="454">
        <v>0</v>
      </c>
      <c r="U65" s="454">
        <v>0</v>
      </c>
      <c r="V65" s="454">
        <v>1</v>
      </c>
      <c r="W65" s="454">
        <v>1</v>
      </c>
      <c r="X65" s="454">
        <v>1</v>
      </c>
      <c r="Y65" s="454">
        <v>1</v>
      </c>
      <c r="Z65" s="454">
        <v>1</v>
      </c>
      <c r="AA65" s="454">
        <v>1</v>
      </c>
      <c r="AB65" s="454">
        <v>1</v>
      </c>
      <c r="AC65" s="454">
        <v>1</v>
      </c>
      <c r="AD65" s="454">
        <v>1</v>
      </c>
      <c r="AE65" s="454"/>
      <c r="AF65" s="454"/>
      <c r="AG65" s="454"/>
      <c r="AH65" s="454"/>
      <c r="AI65" s="454"/>
      <c r="AJ65" s="454"/>
      <c r="AK65" s="454"/>
      <c r="AL65" s="454"/>
      <c r="AM65" s="455"/>
    </row>
    <row r="66" spans="1:39">
      <c r="A66" s="449">
        <f t="shared" si="1"/>
        <v>1994</v>
      </c>
      <c r="B66" s="454">
        <v>0</v>
      </c>
      <c r="C66" s="454">
        <v>0</v>
      </c>
      <c r="D66" s="454">
        <v>0</v>
      </c>
      <c r="E66" s="454">
        <v>0</v>
      </c>
      <c r="F66" s="454">
        <v>0</v>
      </c>
      <c r="G66" s="454">
        <v>0</v>
      </c>
      <c r="H66" s="454">
        <v>0</v>
      </c>
      <c r="I66" s="454">
        <v>0</v>
      </c>
      <c r="J66" s="454">
        <v>0</v>
      </c>
      <c r="K66" s="454">
        <v>0</v>
      </c>
      <c r="L66" s="454">
        <v>0</v>
      </c>
      <c r="M66" s="454">
        <v>0</v>
      </c>
      <c r="N66" s="454">
        <v>0</v>
      </c>
      <c r="O66" s="454">
        <v>0</v>
      </c>
      <c r="P66" s="454">
        <v>0</v>
      </c>
      <c r="Q66" s="454">
        <v>0</v>
      </c>
      <c r="R66" s="454">
        <v>0</v>
      </c>
      <c r="S66" s="454">
        <v>0</v>
      </c>
      <c r="T66" s="454">
        <v>0</v>
      </c>
      <c r="U66" s="454">
        <v>1</v>
      </c>
      <c r="V66" s="454">
        <v>1</v>
      </c>
      <c r="W66" s="454">
        <v>1</v>
      </c>
      <c r="X66" s="454">
        <v>1</v>
      </c>
      <c r="Y66" s="454">
        <v>1</v>
      </c>
      <c r="Z66" s="454">
        <v>1</v>
      </c>
      <c r="AA66" s="454">
        <v>1</v>
      </c>
      <c r="AB66" s="454">
        <v>1</v>
      </c>
      <c r="AC66" s="454">
        <v>1</v>
      </c>
      <c r="AD66" s="454"/>
      <c r="AE66" s="454"/>
      <c r="AF66" s="454"/>
      <c r="AG66" s="454"/>
      <c r="AH66" s="454"/>
      <c r="AI66" s="454"/>
      <c r="AJ66" s="454"/>
      <c r="AK66" s="454"/>
      <c r="AL66" s="454"/>
      <c r="AM66" s="455"/>
    </row>
    <row r="67" spans="1:39">
      <c r="A67" s="449">
        <f t="shared" si="1"/>
        <v>1995</v>
      </c>
      <c r="B67" s="454">
        <v>0</v>
      </c>
      <c r="C67" s="454">
        <v>0</v>
      </c>
      <c r="D67" s="454">
        <v>0</v>
      </c>
      <c r="E67" s="454">
        <v>0</v>
      </c>
      <c r="F67" s="454">
        <v>0</v>
      </c>
      <c r="G67" s="454">
        <v>0</v>
      </c>
      <c r="H67" s="454">
        <v>0</v>
      </c>
      <c r="I67" s="454">
        <v>0</v>
      </c>
      <c r="J67" s="454">
        <v>0</v>
      </c>
      <c r="K67" s="454">
        <v>0</v>
      </c>
      <c r="L67" s="454">
        <v>0</v>
      </c>
      <c r="M67" s="454">
        <v>0</v>
      </c>
      <c r="N67" s="454">
        <v>0</v>
      </c>
      <c r="O67" s="454">
        <v>0</v>
      </c>
      <c r="P67" s="454">
        <v>0</v>
      </c>
      <c r="Q67" s="454">
        <v>0</v>
      </c>
      <c r="R67" s="454">
        <v>0</v>
      </c>
      <c r="S67" s="454">
        <v>0</v>
      </c>
      <c r="T67" s="454">
        <v>1</v>
      </c>
      <c r="U67" s="454">
        <v>1</v>
      </c>
      <c r="V67" s="454">
        <v>1</v>
      </c>
      <c r="W67" s="454">
        <v>1</v>
      </c>
      <c r="X67" s="454">
        <v>1</v>
      </c>
      <c r="Y67" s="454">
        <v>1</v>
      </c>
      <c r="Z67" s="454">
        <v>1</v>
      </c>
      <c r="AA67" s="454">
        <v>1</v>
      </c>
      <c r="AB67" s="454">
        <v>1</v>
      </c>
      <c r="AC67" s="454"/>
      <c r="AD67" s="454"/>
      <c r="AE67" s="454"/>
      <c r="AF67" s="454"/>
      <c r="AG67" s="454"/>
      <c r="AH67" s="454"/>
      <c r="AI67" s="454"/>
      <c r="AJ67" s="454"/>
      <c r="AK67" s="454"/>
      <c r="AL67" s="454"/>
      <c r="AM67" s="455"/>
    </row>
    <row r="68" spans="1:39">
      <c r="A68" s="449">
        <f t="shared" si="1"/>
        <v>1996</v>
      </c>
      <c r="B68" s="454">
        <v>0</v>
      </c>
      <c r="C68" s="454">
        <v>0</v>
      </c>
      <c r="D68" s="454">
        <v>0</v>
      </c>
      <c r="E68" s="454">
        <v>0</v>
      </c>
      <c r="F68" s="454">
        <v>0</v>
      </c>
      <c r="G68" s="454">
        <v>0</v>
      </c>
      <c r="H68" s="454">
        <v>0</v>
      </c>
      <c r="I68" s="454">
        <v>0</v>
      </c>
      <c r="J68" s="454">
        <v>0</v>
      </c>
      <c r="K68" s="454">
        <v>0</v>
      </c>
      <c r="L68" s="454">
        <v>0</v>
      </c>
      <c r="M68" s="454">
        <v>0</v>
      </c>
      <c r="N68" s="454">
        <v>0</v>
      </c>
      <c r="O68" s="454">
        <v>0</v>
      </c>
      <c r="P68" s="454">
        <v>0</v>
      </c>
      <c r="Q68" s="454">
        <v>0</v>
      </c>
      <c r="R68" s="454">
        <v>0</v>
      </c>
      <c r="S68" s="454">
        <v>1</v>
      </c>
      <c r="T68" s="454">
        <v>1</v>
      </c>
      <c r="U68" s="454">
        <v>1</v>
      </c>
      <c r="V68" s="454">
        <v>1</v>
      </c>
      <c r="W68" s="454">
        <v>1</v>
      </c>
      <c r="X68" s="454">
        <v>1</v>
      </c>
      <c r="Y68" s="454">
        <v>1</v>
      </c>
      <c r="Z68" s="454">
        <v>1</v>
      </c>
      <c r="AA68" s="454">
        <v>1</v>
      </c>
      <c r="AB68" s="454"/>
      <c r="AC68" s="454"/>
      <c r="AD68" s="454"/>
      <c r="AE68" s="454"/>
      <c r="AF68" s="454"/>
      <c r="AG68" s="454"/>
      <c r="AH68" s="454"/>
      <c r="AI68" s="454"/>
      <c r="AJ68" s="454"/>
      <c r="AK68" s="454"/>
      <c r="AL68" s="454"/>
      <c r="AM68" s="455"/>
    </row>
    <row r="69" spans="1:39">
      <c r="A69" s="449">
        <f t="shared" si="1"/>
        <v>1997</v>
      </c>
      <c r="B69" s="454">
        <v>0</v>
      </c>
      <c r="C69" s="454">
        <v>0</v>
      </c>
      <c r="D69" s="454">
        <v>0</v>
      </c>
      <c r="E69" s="454">
        <v>0</v>
      </c>
      <c r="F69" s="454">
        <v>0</v>
      </c>
      <c r="G69" s="454">
        <v>0</v>
      </c>
      <c r="H69" s="454">
        <v>0</v>
      </c>
      <c r="I69" s="454">
        <v>0</v>
      </c>
      <c r="J69" s="454">
        <v>0</v>
      </c>
      <c r="K69" s="454">
        <v>0</v>
      </c>
      <c r="L69" s="454">
        <v>0</v>
      </c>
      <c r="M69" s="454">
        <v>0</v>
      </c>
      <c r="N69" s="454">
        <v>0</v>
      </c>
      <c r="O69" s="454">
        <v>0</v>
      </c>
      <c r="P69" s="454">
        <v>0</v>
      </c>
      <c r="Q69" s="454">
        <v>0</v>
      </c>
      <c r="R69" s="454">
        <f>IF(R25=0,0,S25/R25)</f>
        <v>1</v>
      </c>
      <c r="S69" s="454">
        <v>1</v>
      </c>
      <c r="T69" s="454">
        <v>1</v>
      </c>
      <c r="U69" s="454">
        <v>1</v>
      </c>
      <c r="V69" s="454">
        <v>1</v>
      </c>
      <c r="W69" s="454">
        <v>1</v>
      </c>
      <c r="X69" s="454">
        <v>1</v>
      </c>
      <c r="Y69" s="454">
        <v>1</v>
      </c>
      <c r="Z69" s="454">
        <v>1</v>
      </c>
      <c r="AA69" s="454"/>
      <c r="AB69" s="454"/>
      <c r="AC69" s="454"/>
      <c r="AD69" s="454"/>
      <c r="AE69" s="454"/>
      <c r="AF69" s="454"/>
      <c r="AG69" s="454"/>
      <c r="AH69" s="454"/>
      <c r="AI69" s="454"/>
      <c r="AJ69" s="454"/>
      <c r="AK69" s="454"/>
      <c r="AL69" s="454"/>
      <c r="AM69" s="455"/>
    </row>
    <row r="70" spans="1:39">
      <c r="A70" s="449">
        <f t="shared" si="1"/>
        <v>1998</v>
      </c>
      <c r="B70" s="454">
        <v>0</v>
      </c>
      <c r="C70" s="454">
        <v>0</v>
      </c>
      <c r="D70" s="454">
        <v>0</v>
      </c>
      <c r="E70" s="454">
        <v>0</v>
      </c>
      <c r="F70" s="454">
        <v>0</v>
      </c>
      <c r="G70" s="454">
        <v>0</v>
      </c>
      <c r="H70" s="454">
        <v>0</v>
      </c>
      <c r="I70" s="454">
        <v>0</v>
      </c>
      <c r="J70" s="454">
        <v>0</v>
      </c>
      <c r="K70" s="454">
        <v>0</v>
      </c>
      <c r="L70" s="454">
        <v>0</v>
      </c>
      <c r="M70" s="454">
        <v>0</v>
      </c>
      <c r="N70" s="454">
        <v>0</v>
      </c>
      <c r="O70" s="454">
        <v>0</v>
      </c>
      <c r="P70" s="454">
        <v>0</v>
      </c>
      <c r="Q70" s="454">
        <f>IF(Q26=0,0,R26/Q26)</f>
        <v>1</v>
      </c>
      <c r="R70" s="454">
        <f>IF(R26=0,0,S26/R26)</f>
        <v>1</v>
      </c>
      <c r="S70" s="454">
        <v>1</v>
      </c>
      <c r="T70" s="454">
        <v>1</v>
      </c>
      <c r="U70" s="454">
        <v>1</v>
      </c>
      <c r="V70" s="454">
        <v>1</v>
      </c>
      <c r="W70" s="454">
        <v>1</v>
      </c>
      <c r="X70" s="454">
        <v>1</v>
      </c>
      <c r="Y70" s="454">
        <v>1</v>
      </c>
      <c r="Z70" s="454"/>
      <c r="AA70" s="454"/>
      <c r="AB70" s="454"/>
      <c r="AC70" s="454"/>
      <c r="AD70" s="454"/>
      <c r="AE70" s="454"/>
      <c r="AF70" s="454"/>
      <c r="AG70" s="454"/>
      <c r="AH70" s="454"/>
      <c r="AI70" s="454"/>
      <c r="AJ70" s="454"/>
      <c r="AK70" s="454"/>
      <c r="AL70" s="454"/>
      <c r="AM70" s="455"/>
    </row>
    <row r="71" spans="1:39">
      <c r="A71" s="449">
        <f t="shared" si="1"/>
        <v>1999</v>
      </c>
      <c r="B71" s="454">
        <v>0</v>
      </c>
      <c r="C71" s="454">
        <v>0</v>
      </c>
      <c r="D71" s="454">
        <v>0</v>
      </c>
      <c r="E71" s="454">
        <v>0</v>
      </c>
      <c r="F71" s="454">
        <v>0</v>
      </c>
      <c r="G71" s="454">
        <v>0</v>
      </c>
      <c r="H71" s="454">
        <v>0</v>
      </c>
      <c r="I71" s="454">
        <v>0</v>
      </c>
      <c r="J71" s="454">
        <v>0</v>
      </c>
      <c r="K71" s="454">
        <v>0</v>
      </c>
      <c r="L71" s="454">
        <v>0</v>
      </c>
      <c r="M71" s="454">
        <v>0</v>
      </c>
      <c r="N71" s="454">
        <v>0</v>
      </c>
      <c r="O71" s="454">
        <v>0</v>
      </c>
      <c r="P71" s="454">
        <f>IF(P27=0,0,Q27/P27)</f>
        <v>0.99905223007002331</v>
      </c>
      <c r="Q71" s="454">
        <f t="shared" ref="P71:R77" si="2">IF(Q27=0,0,R27/Q27)</f>
        <v>1</v>
      </c>
      <c r="R71" s="454">
        <f t="shared" si="2"/>
        <v>1</v>
      </c>
      <c r="S71" s="454">
        <v>1</v>
      </c>
      <c r="T71" s="454">
        <v>1</v>
      </c>
      <c r="U71" s="454">
        <v>1</v>
      </c>
      <c r="V71" s="454">
        <v>1</v>
      </c>
      <c r="W71" s="454">
        <v>1</v>
      </c>
      <c r="X71" s="454">
        <v>1</v>
      </c>
      <c r="Y71" s="454"/>
      <c r="Z71" s="454"/>
      <c r="AA71" s="454"/>
      <c r="AB71" s="454"/>
      <c r="AC71" s="454"/>
      <c r="AD71" s="454"/>
      <c r="AE71" s="454"/>
      <c r="AF71" s="454"/>
      <c r="AG71" s="454"/>
      <c r="AH71" s="454"/>
      <c r="AI71" s="454"/>
      <c r="AJ71" s="454"/>
      <c r="AK71" s="454"/>
      <c r="AL71" s="454"/>
      <c r="AM71" s="455"/>
    </row>
    <row r="72" spans="1:39">
      <c r="A72" s="449">
        <f t="shared" si="1"/>
        <v>2000</v>
      </c>
      <c r="B72" s="454">
        <v>0</v>
      </c>
      <c r="C72" s="454">
        <v>0</v>
      </c>
      <c r="D72" s="454">
        <v>0</v>
      </c>
      <c r="E72" s="454">
        <v>0</v>
      </c>
      <c r="F72" s="454">
        <v>0</v>
      </c>
      <c r="G72" s="454">
        <v>0</v>
      </c>
      <c r="H72" s="454">
        <v>0</v>
      </c>
      <c r="I72" s="454">
        <v>0</v>
      </c>
      <c r="J72" s="454">
        <v>0</v>
      </c>
      <c r="K72" s="454">
        <v>0</v>
      </c>
      <c r="L72" s="454">
        <v>0</v>
      </c>
      <c r="M72" s="454">
        <v>0</v>
      </c>
      <c r="N72" s="454">
        <v>0</v>
      </c>
      <c r="O72" s="454">
        <f>IF(O28=0,0,P28/O28)</f>
        <v>1</v>
      </c>
      <c r="P72" s="454">
        <f t="shared" si="2"/>
        <v>1</v>
      </c>
      <c r="Q72" s="454">
        <f t="shared" si="2"/>
        <v>1</v>
      </c>
      <c r="R72" s="454">
        <f t="shared" si="2"/>
        <v>1</v>
      </c>
      <c r="S72" s="454">
        <v>1</v>
      </c>
      <c r="T72" s="454">
        <v>1</v>
      </c>
      <c r="U72" s="454">
        <v>1</v>
      </c>
      <c r="V72" s="454">
        <v>1</v>
      </c>
      <c r="W72" s="454">
        <v>1</v>
      </c>
      <c r="X72" s="454"/>
      <c r="Y72" s="454"/>
      <c r="Z72" s="454"/>
      <c r="AA72" s="454"/>
      <c r="AB72" s="454"/>
      <c r="AC72" s="454"/>
      <c r="AD72" s="454"/>
      <c r="AE72" s="454"/>
      <c r="AF72" s="454"/>
      <c r="AG72" s="454"/>
      <c r="AH72" s="454"/>
      <c r="AI72" s="454"/>
      <c r="AJ72" s="454"/>
      <c r="AK72" s="454"/>
      <c r="AL72" s="454"/>
      <c r="AM72" s="455"/>
    </row>
    <row r="73" spans="1:39">
      <c r="A73" s="449">
        <f t="shared" si="1"/>
        <v>2001</v>
      </c>
      <c r="B73" s="454">
        <v>0</v>
      </c>
      <c r="C73" s="454">
        <v>0</v>
      </c>
      <c r="D73" s="454">
        <v>0</v>
      </c>
      <c r="E73" s="454">
        <v>0</v>
      </c>
      <c r="F73" s="454">
        <v>0</v>
      </c>
      <c r="G73" s="454">
        <v>0</v>
      </c>
      <c r="H73" s="454">
        <v>0</v>
      </c>
      <c r="I73" s="454">
        <v>0</v>
      </c>
      <c r="J73" s="454">
        <v>0</v>
      </c>
      <c r="K73" s="454">
        <v>0</v>
      </c>
      <c r="L73" s="454">
        <v>0</v>
      </c>
      <c r="M73" s="454">
        <v>0</v>
      </c>
      <c r="N73" s="454">
        <f>IF(N29=0,0,O29/N29)</f>
        <v>1</v>
      </c>
      <c r="O73" s="454">
        <f t="shared" ref="N73:Q78" si="3">IF(O29=0,0,P29/O29)</f>
        <v>1</v>
      </c>
      <c r="P73" s="454">
        <f t="shared" si="2"/>
        <v>1</v>
      </c>
      <c r="Q73" s="454">
        <f t="shared" si="2"/>
        <v>1</v>
      </c>
      <c r="R73" s="454">
        <f t="shared" si="2"/>
        <v>1</v>
      </c>
      <c r="S73" s="454">
        <v>1</v>
      </c>
      <c r="T73" s="454">
        <v>1</v>
      </c>
      <c r="U73" s="454">
        <v>1</v>
      </c>
      <c r="V73" s="454">
        <v>1</v>
      </c>
      <c r="W73" s="454"/>
      <c r="X73" s="454"/>
      <c r="Y73" s="454"/>
      <c r="Z73" s="454"/>
      <c r="AA73" s="454"/>
      <c r="AB73" s="454"/>
      <c r="AC73" s="454"/>
      <c r="AD73" s="454"/>
      <c r="AE73" s="454"/>
      <c r="AF73" s="454"/>
      <c r="AG73" s="454"/>
      <c r="AH73" s="454"/>
      <c r="AI73" s="454"/>
      <c r="AJ73" s="454"/>
      <c r="AK73" s="454"/>
      <c r="AL73" s="454"/>
      <c r="AM73" s="455"/>
    </row>
    <row r="74" spans="1:39">
      <c r="A74" s="449">
        <f t="shared" si="1"/>
        <v>2002</v>
      </c>
      <c r="B74" s="454">
        <v>0</v>
      </c>
      <c r="C74" s="454">
        <v>0</v>
      </c>
      <c r="D74" s="454">
        <v>0</v>
      </c>
      <c r="E74" s="454">
        <v>0</v>
      </c>
      <c r="F74" s="454">
        <v>0</v>
      </c>
      <c r="G74" s="454">
        <v>0</v>
      </c>
      <c r="H74" s="454">
        <v>0</v>
      </c>
      <c r="I74" s="454">
        <v>0</v>
      </c>
      <c r="J74" s="454">
        <v>0</v>
      </c>
      <c r="K74" s="454">
        <v>0</v>
      </c>
      <c r="L74" s="454">
        <v>0</v>
      </c>
      <c r="M74" s="454">
        <f>IF(M30=0,0,N30/M30)</f>
        <v>1.0260640603539799</v>
      </c>
      <c r="N74" s="454">
        <f t="shared" si="3"/>
        <v>0.9792857191032498</v>
      </c>
      <c r="O74" s="454">
        <f t="shared" si="3"/>
        <v>1</v>
      </c>
      <c r="P74" s="454">
        <f t="shared" si="3"/>
        <v>0.99920419007506933</v>
      </c>
      <c r="Q74" s="454">
        <f t="shared" si="2"/>
        <v>1</v>
      </c>
      <c r="R74" s="454">
        <f t="shared" si="2"/>
        <v>1</v>
      </c>
      <c r="S74" s="454">
        <v>1</v>
      </c>
      <c r="T74" s="454">
        <v>1</v>
      </c>
      <c r="U74" s="454">
        <v>1</v>
      </c>
      <c r="V74" s="454"/>
      <c r="W74" s="454"/>
      <c r="X74" s="454"/>
      <c r="Y74" s="454"/>
      <c r="Z74" s="454"/>
      <c r="AA74" s="454"/>
      <c r="AB74" s="454"/>
      <c r="AC74" s="454"/>
      <c r="AD74" s="454"/>
      <c r="AE74" s="454"/>
      <c r="AF74" s="454"/>
      <c r="AG74" s="454"/>
      <c r="AH74" s="454"/>
      <c r="AI74" s="454"/>
      <c r="AJ74" s="454"/>
      <c r="AK74" s="454"/>
      <c r="AL74" s="454"/>
      <c r="AM74" s="455"/>
    </row>
    <row r="75" spans="1:39">
      <c r="A75" s="449">
        <f t="shared" si="1"/>
        <v>2003</v>
      </c>
      <c r="B75" s="454">
        <v>0</v>
      </c>
      <c r="C75" s="454">
        <v>0</v>
      </c>
      <c r="D75" s="454">
        <v>0</v>
      </c>
      <c r="E75" s="454">
        <v>0</v>
      </c>
      <c r="F75" s="454">
        <v>0</v>
      </c>
      <c r="G75" s="454">
        <v>0</v>
      </c>
      <c r="H75" s="454">
        <v>0</v>
      </c>
      <c r="I75" s="454">
        <v>0</v>
      </c>
      <c r="J75" s="454">
        <v>0</v>
      </c>
      <c r="K75" s="454">
        <v>0</v>
      </c>
      <c r="L75" s="454">
        <f>IF(L31=0,0,M31/L31)</f>
        <v>1</v>
      </c>
      <c r="M75" s="454">
        <f t="shared" ref="L75:P79" si="4">IF(M31=0,0,N31/M31)</f>
        <v>1</v>
      </c>
      <c r="N75" s="454">
        <f t="shared" si="4"/>
        <v>1</v>
      </c>
      <c r="O75" s="454">
        <f t="shared" si="3"/>
        <v>1</v>
      </c>
      <c r="P75" s="454">
        <f t="shared" si="2"/>
        <v>1</v>
      </c>
      <c r="Q75" s="454">
        <f t="shared" si="2"/>
        <v>1</v>
      </c>
      <c r="R75" s="454">
        <f t="shared" si="2"/>
        <v>1</v>
      </c>
      <c r="S75" s="454">
        <v>1</v>
      </c>
      <c r="T75" s="454">
        <v>1</v>
      </c>
      <c r="U75" s="454"/>
      <c r="V75" s="454"/>
      <c r="W75" s="454"/>
      <c r="X75" s="454"/>
      <c r="Y75" s="454"/>
      <c r="Z75" s="454"/>
      <c r="AA75" s="454"/>
      <c r="AB75" s="454"/>
      <c r="AC75" s="454"/>
      <c r="AD75" s="454"/>
      <c r="AE75" s="454"/>
      <c r="AF75" s="454"/>
      <c r="AG75" s="454"/>
      <c r="AH75" s="454"/>
      <c r="AI75" s="454"/>
      <c r="AJ75" s="454"/>
      <c r="AK75" s="454"/>
      <c r="AL75" s="454"/>
      <c r="AM75" s="455"/>
    </row>
    <row r="76" spans="1:39">
      <c r="A76" s="449">
        <f t="shared" si="1"/>
        <v>2004</v>
      </c>
      <c r="B76" s="454">
        <v>0</v>
      </c>
      <c r="C76" s="454">
        <v>0</v>
      </c>
      <c r="D76" s="454">
        <v>0</v>
      </c>
      <c r="E76" s="454">
        <v>0</v>
      </c>
      <c r="F76" s="454">
        <v>0</v>
      </c>
      <c r="G76" s="454">
        <v>0</v>
      </c>
      <c r="H76" s="454">
        <v>0</v>
      </c>
      <c r="I76" s="454">
        <v>0</v>
      </c>
      <c r="J76" s="454">
        <v>0</v>
      </c>
      <c r="K76" s="454">
        <f>IF(K32=0,0,L32/K32)</f>
        <v>0.98973568248923727</v>
      </c>
      <c r="L76" s="454">
        <f t="shared" si="4"/>
        <v>1</v>
      </c>
      <c r="M76" s="454">
        <f t="shared" si="4"/>
        <v>1</v>
      </c>
      <c r="N76" s="454">
        <f t="shared" si="3"/>
        <v>0.99923284848977023</v>
      </c>
      <c r="O76" s="454">
        <f t="shared" si="3"/>
        <v>1</v>
      </c>
      <c r="P76" s="454">
        <f t="shared" si="3"/>
        <v>1</v>
      </c>
      <c r="Q76" s="454">
        <f t="shared" si="2"/>
        <v>1</v>
      </c>
      <c r="R76" s="454">
        <f t="shared" si="2"/>
        <v>1</v>
      </c>
      <c r="S76" s="454">
        <v>1</v>
      </c>
      <c r="T76" s="454"/>
      <c r="U76" s="454"/>
      <c r="V76" s="454"/>
      <c r="W76" s="454"/>
      <c r="X76" s="454"/>
      <c r="Y76" s="454"/>
      <c r="Z76" s="454"/>
      <c r="AA76" s="454"/>
      <c r="AB76" s="454"/>
      <c r="AC76" s="454"/>
      <c r="AD76" s="454"/>
      <c r="AE76" s="454"/>
      <c r="AF76" s="454"/>
      <c r="AG76" s="454"/>
      <c r="AH76" s="454"/>
      <c r="AI76" s="454"/>
      <c r="AJ76" s="454"/>
      <c r="AK76" s="454"/>
      <c r="AL76" s="454"/>
      <c r="AM76" s="455"/>
    </row>
    <row r="77" spans="1:39">
      <c r="A77" s="449">
        <f t="shared" si="1"/>
        <v>2005</v>
      </c>
      <c r="B77" s="454">
        <v>0</v>
      </c>
      <c r="C77" s="454">
        <v>0</v>
      </c>
      <c r="D77" s="454">
        <v>0</v>
      </c>
      <c r="E77" s="454">
        <v>0</v>
      </c>
      <c r="F77" s="454">
        <v>0</v>
      </c>
      <c r="G77" s="454">
        <v>0</v>
      </c>
      <c r="H77" s="454">
        <v>0</v>
      </c>
      <c r="I77" s="454">
        <v>0</v>
      </c>
      <c r="J77" s="454">
        <f>IF(J33=0,0,K33/J33)</f>
        <v>1</v>
      </c>
      <c r="K77" s="454">
        <f>IF(K33=0,0,L33/K33)</f>
        <v>1</v>
      </c>
      <c r="L77" s="454">
        <f t="shared" si="4"/>
        <v>1</v>
      </c>
      <c r="M77" s="454">
        <f t="shared" si="4"/>
        <v>1</v>
      </c>
      <c r="N77" s="454">
        <f t="shared" si="4"/>
        <v>1</v>
      </c>
      <c r="O77" s="454">
        <f t="shared" si="3"/>
        <v>1</v>
      </c>
      <c r="P77" s="454">
        <f t="shared" si="2"/>
        <v>1</v>
      </c>
      <c r="Q77" s="454">
        <f t="shared" si="2"/>
        <v>1</v>
      </c>
      <c r="R77" s="454">
        <f t="shared" si="2"/>
        <v>1</v>
      </c>
      <c r="S77" s="454"/>
      <c r="T77" s="454"/>
      <c r="U77" s="454"/>
      <c r="V77" s="454"/>
      <c r="W77" s="454"/>
      <c r="X77" s="454"/>
      <c r="Y77" s="454"/>
      <c r="Z77" s="454"/>
      <c r="AA77" s="454"/>
      <c r="AB77" s="454"/>
      <c r="AC77" s="454"/>
      <c r="AD77" s="454"/>
      <c r="AE77" s="454"/>
      <c r="AF77" s="454"/>
      <c r="AG77" s="454"/>
      <c r="AH77" s="454"/>
      <c r="AI77" s="454"/>
      <c r="AJ77" s="454"/>
      <c r="AK77" s="454"/>
      <c r="AL77" s="454"/>
      <c r="AM77" s="455"/>
    </row>
    <row r="78" spans="1:39">
      <c r="A78" s="449">
        <f t="shared" si="1"/>
        <v>2006</v>
      </c>
      <c r="B78" s="454">
        <v>0</v>
      </c>
      <c r="C78" s="454">
        <v>0</v>
      </c>
      <c r="D78" s="454">
        <v>0</v>
      </c>
      <c r="E78" s="454">
        <v>0</v>
      </c>
      <c r="F78" s="454">
        <v>0</v>
      </c>
      <c r="G78" s="454">
        <v>0</v>
      </c>
      <c r="H78" s="454">
        <v>0</v>
      </c>
      <c r="I78" s="454">
        <f>IF(I34=0,0,J34/I34)</f>
        <v>1.0103656560615872</v>
      </c>
      <c r="J78" s="454">
        <f>IF(J34=0,0,K34/J34)</f>
        <v>1.0326776784938108</v>
      </c>
      <c r="K78" s="454">
        <f>IF(K34=0,0,L34/K34)</f>
        <v>1</v>
      </c>
      <c r="L78" s="454">
        <f>IF(L34=0,0,M34/L34)</f>
        <v>1.0039249262661054</v>
      </c>
      <c r="M78" s="454">
        <f t="shared" si="4"/>
        <v>1.0039004061133232</v>
      </c>
      <c r="N78" s="454">
        <f t="shared" si="3"/>
        <v>1</v>
      </c>
      <c r="O78" s="454">
        <f t="shared" si="3"/>
        <v>1</v>
      </c>
      <c r="P78" s="454">
        <f t="shared" si="3"/>
        <v>1</v>
      </c>
      <c r="Q78" s="454">
        <f t="shared" si="3"/>
        <v>1.0084627025842505</v>
      </c>
      <c r="R78" s="454"/>
      <c r="S78" s="454"/>
      <c r="T78" s="454"/>
      <c r="U78" s="454"/>
      <c r="V78" s="454"/>
      <c r="W78" s="454"/>
      <c r="X78" s="454"/>
      <c r="Y78" s="454"/>
      <c r="Z78" s="454"/>
      <c r="AA78" s="454"/>
      <c r="AB78" s="454"/>
      <c r="AC78" s="454"/>
      <c r="AD78" s="454"/>
      <c r="AE78" s="454"/>
      <c r="AF78" s="454"/>
      <c r="AG78" s="454"/>
      <c r="AH78" s="454"/>
      <c r="AI78" s="454"/>
      <c r="AJ78" s="454"/>
      <c r="AK78" s="454"/>
      <c r="AL78" s="454"/>
      <c r="AM78" s="455"/>
    </row>
    <row r="79" spans="1:39">
      <c r="A79" s="449">
        <f t="shared" si="1"/>
        <v>2007</v>
      </c>
      <c r="B79" s="454">
        <v>0</v>
      </c>
      <c r="C79" s="454">
        <v>0</v>
      </c>
      <c r="D79" s="454">
        <v>0</v>
      </c>
      <c r="E79" s="454">
        <v>0</v>
      </c>
      <c r="F79" s="454">
        <v>0</v>
      </c>
      <c r="G79" s="454">
        <v>0</v>
      </c>
      <c r="H79" s="454">
        <f>IF(H35=0,0,I35/H35)</f>
        <v>1.2165516444374007</v>
      </c>
      <c r="I79" s="454">
        <f t="shared" ref="H79:N81" si="5">IF(I35=0,0,J35/I35)</f>
        <v>1.0000995540241318</v>
      </c>
      <c r="J79" s="454">
        <f t="shared" si="5"/>
        <v>0.99995887081786683</v>
      </c>
      <c r="K79" s="454">
        <f>IF(K35=0,0,L35/K35)</f>
        <v>1.0000142878293883</v>
      </c>
      <c r="L79" s="454">
        <f t="shared" si="4"/>
        <v>1</v>
      </c>
      <c r="M79" s="454">
        <f t="shared" si="4"/>
        <v>1</v>
      </c>
      <c r="N79" s="454">
        <f t="shared" si="4"/>
        <v>1</v>
      </c>
      <c r="O79" s="454">
        <f t="shared" si="4"/>
        <v>1</v>
      </c>
      <c r="P79" s="454">
        <f t="shared" si="4"/>
        <v>1</v>
      </c>
      <c r="Q79" s="454"/>
      <c r="R79" s="454"/>
      <c r="S79" s="454"/>
      <c r="T79" s="454"/>
      <c r="U79" s="454"/>
      <c r="V79" s="454"/>
      <c r="W79" s="454"/>
      <c r="X79" s="454"/>
      <c r="Y79" s="454"/>
      <c r="Z79" s="454"/>
      <c r="AA79" s="454"/>
      <c r="AB79" s="454"/>
      <c r="AC79" s="454"/>
      <c r="AD79" s="454"/>
      <c r="AE79" s="454"/>
      <c r="AF79" s="454"/>
      <c r="AG79" s="454"/>
      <c r="AH79" s="454"/>
      <c r="AI79" s="454"/>
      <c r="AJ79" s="454"/>
      <c r="AK79" s="454"/>
      <c r="AL79" s="454"/>
      <c r="AM79" s="455"/>
    </row>
    <row r="80" spans="1:39">
      <c r="A80" s="449">
        <f t="shared" si="1"/>
        <v>2008</v>
      </c>
      <c r="B80" s="454">
        <v>0</v>
      </c>
      <c r="C80" s="454">
        <v>0</v>
      </c>
      <c r="D80" s="454">
        <v>0</v>
      </c>
      <c r="E80" s="454">
        <v>0</v>
      </c>
      <c r="F80" s="454">
        <v>0</v>
      </c>
      <c r="G80" s="454">
        <f>IF(G36=0,0,H36/G36)</f>
        <v>1.1145220276066381</v>
      </c>
      <c r="H80" s="454">
        <f t="shared" si="5"/>
        <v>1.0088920165418267</v>
      </c>
      <c r="I80" s="454">
        <f t="shared" si="5"/>
        <v>1</v>
      </c>
      <c r="J80" s="454">
        <f>IF(J36=0,0,K36/J36)</f>
        <v>1</v>
      </c>
      <c r="K80" s="454">
        <f>IF(K36=0,0,L36/K36)</f>
        <v>1.004391735940154</v>
      </c>
      <c r="L80" s="454">
        <f>IF(L36=0,0,M36/L36)</f>
        <v>1.0032587196660367</v>
      </c>
      <c r="M80" s="454">
        <f>IF(M36=0,0,N36/M36)</f>
        <v>1</v>
      </c>
      <c r="N80" s="454">
        <f>IF(N36=0,0,O36/N36)</f>
        <v>1</v>
      </c>
      <c r="O80" s="454">
        <f>IF(O36=0,0,P36/O36)</f>
        <v>1</v>
      </c>
      <c r="P80" s="454"/>
      <c r="Q80" s="454"/>
      <c r="R80" s="454"/>
      <c r="S80" s="454"/>
      <c r="T80" s="454"/>
      <c r="U80" s="454"/>
      <c r="V80" s="454"/>
      <c r="W80" s="454"/>
      <c r="X80" s="454"/>
      <c r="Y80" s="454"/>
      <c r="Z80" s="454"/>
      <c r="AA80" s="454"/>
      <c r="AB80" s="454"/>
      <c r="AC80" s="454"/>
      <c r="AD80" s="454"/>
      <c r="AE80" s="454"/>
      <c r="AF80" s="454"/>
      <c r="AG80" s="454"/>
      <c r="AH80" s="454"/>
      <c r="AI80" s="454"/>
      <c r="AJ80" s="454"/>
      <c r="AK80" s="454"/>
      <c r="AL80" s="454"/>
      <c r="AM80" s="455"/>
    </row>
    <row r="81" spans="1:39">
      <c r="A81" s="449">
        <f t="shared" si="1"/>
        <v>2009</v>
      </c>
      <c r="B81" s="454">
        <v>0</v>
      </c>
      <c r="C81" s="454">
        <v>0</v>
      </c>
      <c r="D81" s="454">
        <v>0</v>
      </c>
      <c r="E81" s="454">
        <v>0</v>
      </c>
      <c r="F81" s="454">
        <f>IF(F37=0,0,G37/F37)</f>
        <v>1.1052381278161081</v>
      </c>
      <c r="G81" s="454">
        <f t="shared" ref="F81:M82" si="6">IF(G37=0,0,H37/G37)</f>
        <v>1.0245134112552539</v>
      </c>
      <c r="H81" s="454">
        <f t="shared" si="5"/>
        <v>1.0579120623566951</v>
      </c>
      <c r="I81" s="454">
        <f t="shared" si="5"/>
        <v>1.0071056951553163</v>
      </c>
      <c r="J81" s="454">
        <f t="shared" si="5"/>
        <v>1</v>
      </c>
      <c r="K81" s="454">
        <f t="shared" si="5"/>
        <v>1</v>
      </c>
      <c r="L81" s="454">
        <f t="shared" si="5"/>
        <v>1</v>
      </c>
      <c r="M81" s="454">
        <f t="shared" si="5"/>
        <v>1</v>
      </c>
      <c r="N81" s="454">
        <f t="shared" si="5"/>
        <v>1</v>
      </c>
      <c r="O81" s="454"/>
      <c r="P81" s="454"/>
      <c r="Q81" s="454"/>
      <c r="R81" s="454"/>
      <c r="S81" s="454"/>
      <c r="T81" s="454"/>
      <c r="U81" s="454"/>
      <c r="V81" s="454"/>
      <c r="W81" s="454"/>
      <c r="X81" s="454"/>
      <c r="Y81" s="454"/>
      <c r="Z81" s="454"/>
      <c r="AA81" s="454"/>
      <c r="AB81" s="454"/>
      <c r="AC81" s="454"/>
      <c r="AD81" s="454"/>
      <c r="AE81" s="454"/>
      <c r="AF81" s="454"/>
      <c r="AG81" s="454"/>
      <c r="AH81" s="454"/>
      <c r="AI81" s="454"/>
      <c r="AJ81" s="454"/>
      <c r="AK81" s="454"/>
      <c r="AL81" s="454"/>
      <c r="AM81" s="455"/>
    </row>
    <row r="82" spans="1:39">
      <c r="A82" s="449">
        <f t="shared" si="1"/>
        <v>2010</v>
      </c>
      <c r="B82" s="454">
        <v>0</v>
      </c>
      <c r="C82" s="454">
        <v>0</v>
      </c>
      <c r="D82" s="454">
        <v>0</v>
      </c>
      <c r="E82" s="454">
        <f>IF(E38=0,0,F38/E38)</f>
        <v>0.96329305842122204</v>
      </c>
      <c r="F82" s="454">
        <f t="shared" si="6"/>
        <v>1.1754972572053399</v>
      </c>
      <c r="G82" s="454">
        <f t="shared" si="6"/>
        <v>1.1138130145243705</v>
      </c>
      <c r="H82" s="454">
        <f t="shared" si="6"/>
        <v>0.98604317929593288</v>
      </c>
      <c r="I82" s="454">
        <f t="shared" si="6"/>
        <v>0.99246185638378426</v>
      </c>
      <c r="J82" s="454">
        <f t="shared" si="6"/>
        <v>1</v>
      </c>
      <c r="K82" s="454">
        <f t="shared" si="6"/>
        <v>1</v>
      </c>
      <c r="L82" s="454">
        <f t="shared" si="6"/>
        <v>1</v>
      </c>
      <c r="M82" s="454">
        <f t="shared" si="6"/>
        <v>1</v>
      </c>
      <c r="N82" s="454"/>
      <c r="O82" s="454"/>
      <c r="P82" s="454"/>
      <c r="Q82" s="454"/>
      <c r="R82" s="454"/>
      <c r="S82" s="454"/>
      <c r="T82" s="454"/>
      <c r="U82" s="454"/>
      <c r="V82" s="454"/>
      <c r="W82" s="454"/>
      <c r="X82" s="454"/>
      <c r="Y82" s="454"/>
      <c r="Z82" s="454"/>
      <c r="AA82" s="454"/>
      <c r="AB82" s="454"/>
      <c r="AC82" s="454"/>
      <c r="AD82" s="454"/>
      <c r="AE82" s="454"/>
      <c r="AF82" s="454"/>
      <c r="AG82" s="454"/>
      <c r="AH82" s="454"/>
      <c r="AI82" s="454"/>
      <c r="AJ82" s="454"/>
      <c r="AK82" s="454"/>
      <c r="AL82" s="454"/>
      <c r="AM82" s="455"/>
    </row>
    <row r="83" spans="1:39">
      <c r="A83" s="449">
        <f t="shared" si="1"/>
        <v>2011</v>
      </c>
      <c r="B83" s="454">
        <v>0</v>
      </c>
      <c r="C83" s="454">
        <v>0</v>
      </c>
      <c r="D83" s="454">
        <f>IF(D39=0,0,E39/D39)</f>
        <v>1.328886599581671</v>
      </c>
      <c r="E83" s="454">
        <f t="shared" ref="D83:L91" si="7">IF(E39=0,0,F39/E39)</f>
        <v>0.94199077536814257</v>
      </c>
      <c r="F83" s="454">
        <f t="shared" si="7"/>
        <v>0.97765655784461158</v>
      </c>
      <c r="G83" s="454">
        <f t="shared" si="7"/>
        <v>0.99551386960701449</v>
      </c>
      <c r="H83" s="454">
        <f t="shared" si="7"/>
        <v>1</v>
      </c>
      <c r="I83" s="454">
        <f t="shared" si="7"/>
        <v>1.0015879569613375</v>
      </c>
      <c r="J83" s="454">
        <f t="shared" si="7"/>
        <v>1</v>
      </c>
      <c r="K83" s="454">
        <f t="shared" si="7"/>
        <v>1.0144242323292427</v>
      </c>
      <c r="L83" s="454">
        <f t="shared" si="7"/>
        <v>1</v>
      </c>
      <c r="M83" s="454"/>
      <c r="N83" s="454"/>
      <c r="O83" s="454"/>
      <c r="P83" s="454"/>
      <c r="Q83" s="454"/>
      <c r="R83" s="454"/>
      <c r="S83" s="454"/>
      <c r="T83" s="454"/>
      <c r="U83" s="454"/>
      <c r="V83" s="454"/>
      <c r="W83" s="454"/>
      <c r="X83" s="454"/>
      <c r="Y83" s="454"/>
      <c r="Z83" s="454"/>
      <c r="AA83" s="454"/>
      <c r="AB83" s="454"/>
      <c r="AC83" s="454"/>
      <c r="AD83" s="454"/>
      <c r="AE83" s="454"/>
      <c r="AF83" s="454"/>
      <c r="AG83" s="454"/>
      <c r="AH83" s="454"/>
      <c r="AI83" s="454"/>
      <c r="AJ83" s="454"/>
      <c r="AK83" s="454"/>
      <c r="AL83" s="454"/>
      <c r="AM83" s="455"/>
    </row>
    <row r="84" spans="1:39">
      <c r="A84" s="449">
        <f t="shared" si="1"/>
        <v>2012</v>
      </c>
      <c r="B84" s="454">
        <v>0</v>
      </c>
      <c r="C84" s="454">
        <f>IF(C40=0,0,D40/C40)</f>
        <v>0.52587696087414826</v>
      </c>
      <c r="D84" s="454">
        <f t="shared" si="7"/>
        <v>1.0414058735948331</v>
      </c>
      <c r="E84" s="454">
        <f t="shared" si="7"/>
        <v>1.1620552129673511</v>
      </c>
      <c r="F84" s="454">
        <f t="shared" si="7"/>
        <v>0.80306681711259009</v>
      </c>
      <c r="G84" s="454">
        <f t="shared" si="7"/>
        <v>1.1130864777432321</v>
      </c>
      <c r="H84" s="454">
        <f t="shared" si="7"/>
        <v>1.0398803219641881</v>
      </c>
      <c r="I84" s="454">
        <f t="shared" si="7"/>
        <v>1.0162873712404574</v>
      </c>
      <c r="J84" s="454">
        <f t="shared" si="7"/>
        <v>0.92183532550547076</v>
      </c>
      <c r="K84" s="454">
        <f t="shared" si="7"/>
        <v>1.003186970878067</v>
      </c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454"/>
      <c r="AE84" s="454"/>
      <c r="AF84" s="454"/>
      <c r="AG84" s="454"/>
      <c r="AH84" s="454"/>
      <c r="AI84" s="454"/>
      <c r="AJ84" s="454"/>
      <c r="AK84" s="454"/>
      <c r="AL84" s="454"/>
      <c r="AM84" s="455"/>
    </row>
    <row r="85" spans="1:39">
      <c r="A85" s="449">
        <f t="shared" si="1"/>
        <v>2013</v>
      </c>
      <c r="B85" s="454">
        <f>IF(B41=0,0,C41/B41)</f>
        <v>1.195578822477146</v>
      </c>
      <c r="C85" s="454">
        <f t="shared" ref="B85:C92" si="8">IF(C41=0,0,D41/C41)</f>
        <v>0.56812433466760526</v>
      </c>
      <c r="D85" s="454">
        <f t="shared" si="7"/>
        <v>1.0282003645173488</v>
      </c>
      <c r="E85" s="454">
        <f t="shared" si="7"/>
        <v>1.0006314112297936</v>
      </c>
      <c r="F85" s="454">
        <f t="shared" si="7"/>
        <v>0.93326158563016792</v>
      </c>
      <c r="G85" s="454">
        <f t="shared" si="7"/>
        <v>1.0121026919515148</v>
      </c>
      <c r="H85" s="454">
        <f t="shared" si="7"/>
        <v>0.99133271459242156</v>
      </c>
      <c r="I85" s="454">
        <f t="shared" si="7"/>
        <v>1.0096938363998578</v>
      </c>
      <c r="J85" s="454">
        <f t="shared" si="7"/>
        <v>1</v>
      </c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454"/>
      <c r="V85" s="454"/>
      <c r="W85" s="454"/>
      <c r="X85" s="454"/>
      <c r="Y85" s="454"/>
      <c r="Z85" s="454"/>
      <c r="AA85" s="454"/>
      <c r="AB85" s="454"/>
      <c r="AC85" s="454"/>
      <c r="AD85" s="454"/>
      <c r="AE85" s="454"/>
      <c r="AF85" s="454"/>
      <c r="AG85" s="454"/>
      <c r="AH85" s="454"/>
      <c r="AI85" s="454"/>
      <c r="AJ85" s="454"/>
      <c r="AK85" s="454"/>
      <c r="AL85" s="454"/>
      <c r="AM85" s="455"/>
    </row>
    <row r="86" spans="1:39">
      <c r="A86" s="449">
        <f t="shared" si="1"/>
        <v>2014</v>
      </c>
      <c r="B86" s="454">
        <f t="shared" si="8"/>
        <v>0.70737082691497488</v>
      </c>
      <c r="C86" s="454">
        <f t="shared" si="8"/>
        <v>0.82841148194118963</v>
      </c>
      <c r="D86" s="454">
        <f t="shared" si="7"/>
        <v>1.1466024023512129</v>
      </c>
      <c r="E86" s="454">
        <f t="shared" si="7"/>
        <v>0.84073873107061603</v>
      </c>
      <c r="F86" s="454">
        <f t="shared" si="7"/>
        <v>0.96660277398275574</v>
      </c>
      <c r="G86" s="454">
        <f t="shared" si="7"/>
        <v>1.0876884022839757</v>
      </c>
      <c r="H86" s="454">
        <f t="shared" si="7"/>
        <v>1.005534188368747</v>
      </c>
      <c r="I86" s="454">
        <f t="shared" si="7"/>
        <v>1</v>
      </c>
      <c r="J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454"/>
      <c r="V86" s="454"/>
      <c r="W86" s="454"/>
      <c r="X86" s="454"/>
      <c r="Y86" s="454"/>
      <c r="Z86" s="454"/>
      <c r="AA86" s="454"/>
      <c r="AB86" s="454"/>
      <c r="AC86" s="454"/>
      <c r="AD86" s="454"/>
      <c r="AE86" s="454"/>
      <c r="AF86" s="454"/>
      <c r="AG86" s="454"/>
      <c r="AH86" s="454"/>
      <c r="AI86" s="454"/>
      <c r="AJ86" s="454"/>
      <c r="AK86" s="454"/>
      <c r="AL86" s="454"/>
      <c r="AM86" s="455"/>
    </row>
    <row r="87" spans="1:39">
      <c r="A87" s="449">
        <f t="shared" si="1"/>
        <v>2015</v>
      </c>
      <c r="B87" s="454">
        <f t="shared" si="8"/>
        <v>0.63188338793867582</v>
      </c>
      <c r="C87" s="454">
        <f t="shared" si="8"/>
        <v>0.60139916395007953</v>
      </c>
      <c r="D87" s="454">
        <f t="shared" si="7"/>
        <v>1.0197615014820853</v>
      </c>
      <c r="E87" s="454">
        <f t="shared" si="7"/>
        <v>1.091629311663489</v>
      </c>
      <c r="F87" s="454">
        <f t="shared" si="7"/>
        <v>1.0345567889279839</v>
      </c>
      <c r="G87" s="454">
        <f t="shared" si="7"/>
        <v>1.0060539740920718</v>
      </c>
      <c r="H87" s="454">
        <f t="shared" si="7"/>
        <v>1.0027503936523599</v>
      </c>
      <c r="I87" s="454"/>
      <c r="J87" s="454"/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  <c r="Y87" s="454"/>
      <c r="Z87" s="454"/>
      <c r="AA87" s="454"/>
      <c r="AB87" s="454"/>
      <c r="AC87" s="454"/>
      <c r="AD87" s="454"/>
      <c r="AE87" s="454"/>
      <c r="AF87" s="454"/>
      <c r="AG87" s="454"/>
      <c r="AH87" s="454"/>
      <c r="AI87" s="454"/>
      <c r="AJ87" s="454"/>
      <c r="AK87" s="454"/>
      <c r="AL87" s="454"/>
      <c r="AM87" s="455"/>
    </row>
    <row r="88" spans="1:39">
      <c r="A88" s="449">
        <f t="shared" si="1"/>
        <v>2016</v>
      </c>
      <c r="B88" s="454">
        <f t="shared" si="8"/>
        <v>0.61444529648435864</v>
      </c>
      <c r="C88" s="454">
        <f t="shared" si="8"/>
        <v>0.87916325908034199</v>
      </c>
      <c r="D88" s="454">
        <f t="shared" si="7"/>
        <v>1.1922598177260235</v>
      </c>
      <c r="E88" s="454">
        <f t="shared" si="7"/>
        <v>0.92130426968769874</v>
      </c>
      <c r="F88" s="454">
        <f t="shared" si="7"/>
        <v>0.9490629811692628</v>
      </c>
      <c r="G88" s="454">
        <f t="shared" si="7"/>
        <v>1.0622052859835278</v>
      </c>
      <c r="H88" s="454"/>
      <c r="I88" s="454"/>
      <c r="J88" s="454"/>
      <c r="K88" s="454"/>
      <c r="L88" s="454"/>
      <c r="M88" s="454"/>
      <c r="N88" s="454"/>
      <c r="O88" s="454"/>
      <c r="P88" s="454"/>
      <c r="Q88" s="454"/>
      <c r="R88" s="454"/>
      <c r="S88" s="454"/>
      <c r="T88" s="454"/>
      <c r="U88" s="454"/>
      <c r="V88" s="454"/>
      <c r="W88" s="454"/>
      <c r="X88" s="454"/>
      <c r="Y88" s="454"/>
      <c r="Z88" s="454"/>
      <c r="AA88" s="454"/>
      <c r="AB88" s="454"/>
      <c r="AC88" s="454"/>
      <c r="AD88" s="454"/>
      <c r="AE88" s="454"/>
      <c r="AF88" s="454"/>
      <c r="AG88" s="454"/>
      <c r="AH88" s="454"/>
      <c r="AI88" s="454"/>
      <c r="AJ88" s="454"/>
      <c r="AK88" s="454"/>
      <c r="AL88" s="454"/>
      <c r="AM88" s="455"/>
    </row>
    <row r="89" spans="1:39">
      <c r="A89" s="449">
        <f t="shared" si="1"/>
        <v>2017</v>
      </c>
      <c r="B89" s="454">
        <f t="shared" si="8"/>
        <v>0.84229822490095463</v>
      </c>
      <c r="C89" s="454">
        <f t="shared" si="8"/>
        <v>0.75826630497343861</v>
      </c>
      <c r="D89" s="454">
        <f t="shared" si="7"/>
        <v>1.015544256324681</v>
      </c>
      <c r="E89" s="454">
        <f t="shared" si="7"/>
        <v>0.86860446341614972</v>
      </c>
      <c r="F89" s="454">
        <f t="shared" si="7"/>
        <v>1.3319529833774921</v>
      </c>
      <c r="G89" s="454"/>
      <c r="H89" s="454"/>
      <c r="I89" s="454"/>
      <c r="J89" s="454"/>
      <c r="K89" s="454"/>
      <c r="L89" s="454"/>
      <c r="M89" s="454"/>
      <c r="N89" s="454"/>
      <c r="O89" s="454"/>
      <c r="P89" s="454"/>
      <c r="Q89" s="454"/>
      <c r="R89" s="454"/>
      <c r="S89" s="454"/>
      <c r="T89" s="454"/>
      <c r="U89" s="454"/>
      <c r="V89" s="454"/>
      <c r="W89" s="454"/>
      <c r="X89" s="454"/>
      <c r="Y89" s="454"/>
      <c r="Z89" s="454"/>
      <c r="AA89" s="454"/>
      <c r="AB89" s="454"/>
      <c r="AC89" s="454"/>
      <c r="AD89" s="454"/>
      <c r="AE89" s="454"/>
      <c r="AF89" s="454"/>
      <c r="AG89" s="454"/>
      <c r="AH89" s="454"/>
      <c r="AI89" s="454"/>
      <c r="AJ89" s="454"/>
      <c r="AK89" s="454"/>
      <c r="AL89" s="454"/>
      <c r="AM89" s="455"/>
    </row>
    <row r="90" spans="1:39">
      <c r="A90" s="449">
        <f t="shared" si="1"/>
        <v>2018</v>
      </c>
      <c r="B90" s="454">
        <f t="shared" si="8"/>
        <v>0.5127136408373324</v>
      </c>
      <c r="C90" s="454">
        <f t="shared" si="8"/>
        <v>1.0517805673462326</v>
      </c>
      <c r="D90" s="454">
        <f t="shared" si="7"/>
        <v>0.76621916414175506</v>
      </c>
      <c r="E90" s="454">
        <f t="shared" si="7"/>
        <v>0.87015253435846207</v>
      </c>
      <c r="F90" s="454"/>
      <c r="G90" s="454"/>
      <c r="H90" s="454"/>
      <c r="I90" s="454"/>
      <c r="J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54"/>
      <c r="X90" s="454"/>
      <c r="Y90" s="454"/>
      <c r="Z90" s="454"/>
      <c r="AA90" s="454"/>
      <c r="AB90" s="454"/>
      <c r="AC90" s="454"/>
      <c r="AD90" s="454"/>
      <c r="AE90" s="454"/>
      <c r="AF90" s="454"/>
      <c r="AG90" s="454"/>
      <c r="AH90" s="454"/>
      <c r="AI90" s="454"/>
      <c r="AJ90" s="454"/>
      <c r="AK90" s="454"/>
      <c r="AL90" s="454"/>
      <c r="AM90" s="455"/>
    </row>
    <row r="91" spans="1:39">
      <c r="A91" s="449">
        <f t="shared" si="1"/>
        <v>2019</v>
      </c>
      <c r="B91" s="454">
        <f t="shared" si="8"/>
        <v>0.62206066056243925</v>
      </c>
      <c r="C91" s="454">
        <f t="shared" si="8"/>
        <v>0.75217086233970565</v>
      </c>
      <c r="D91" s="454">
        <f t="shared" si="7"/>
        <v>0.90970984736277916</v>
      </c>
      <c r="E91" s="454"/>
      <c r="F91" s="454"/>
      <c r="G91" s="454"/>
      <c r="H91" s="454"/>
      <c r="I91" s="454"/>
      <c r="J91" s="454"/>
      <c r="K91" s="454"/>
      <c r="L91" s="454"/>
      <c r="M91" s="454"/>
      <c r="N91" s="454"/>
      <c r="O91" s="454"/>
      <c r="P91" s="454"/>
      <c r="Q91" s="454"/>
      <c r="R91" s="454"/>
      <c r="S91" s="454"/>
      <c r="T91" s="454"/>
      <c r="U91" s="454"/>
      <c r="V91" s="454"/>
      <c r="W91" s="454"/>
      <c r="X91" s="454"/>
      <c r="Y91" s="454"/>
      <c r="Z91" s="454"/>
      <c r="AA91" s="454"/>
      <c r="AB91" s="454"/>
      <c r="AC91" s="454"/>
      <c r="AD91" s="454"/>
      <c r="AE91" s="454"/>
      <c r="AF91" s="454"/>
      <c r="AG91" s="454"/>
      <c r="AH91" s="454"/>
      <c r="AI91" s="454"/>
      <c r="AJ91" s="454"/>
      <c r="AK91" s="454"/>
      <c r="AL91" s="454"/>
      <c r="AM91" s="455"/>
    </row>
    <row r="92" spans="1:39">
      <c r="A92" s="449">
        <f t="shared" si="1"/>
        <v>2020</v>
      </c>
      <c r="B92" s="454">
        <f>IF(B48=0,0,C48/B48)</f>
        <v>1.3771256229902016</v>
      </c>
      <c r="C92" s="454">
        <f t="shared" si="8"/>
        <v>0.40586877743015237</v>
      </c>
      <c r="D92" s="454"/>
      <c r="E92" s="454"/>
      <c r="F92" s="454"/>
      <c r="G92" s="454"/>
      <c r="H92" s="454"/>
      <c r="I92" s="454"/>
      <c r="J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  <c r="Y92" s="454"/>
      <c r="Z92" s="454"/>
      <c r="AA92" s="454"/>
      <c r="AB92" s="454"/>
      <c r="AC92" s="454"/>
      <c r="AD92" s="454"/>
      <c r="AE92" s="454"/>
      <c r="AF92" s="454"/>
      <c r="AG92" s="454"/>
      <c r="AH92" s="454"/>
      <c r="AI92" s="454"/>
      <c r="AJ92" s="454"/>
      <c r="AK92" s="454"/>
      <c r="AL92" s="454"/>
      <c r="AM92" s="455"/>
    </row>
    <row r="93" spans="1:39">
      <c r="A93" s="449">
        <f t="shared" si="1"/>
        <v>2021</v>
      </c>
      <c r="B93" s="454">
        <f>IF(B49=0,0,C49/B49)</f>
        <v>0.8500584010305432</v>
      </c>
      <c r="C93" s="454"/>
      <c r="D93" s="454"/>
      <c r="E93" s="454"/>
      <c r="F93" s="454"/>
      <c r="G93" s="454"/>
      <c r="H93" s="454"/>
      <c r="I93" s="454"/>
      <c r="J93" s="454"/>
      <c r="K93" s="454"/>
      <c r="L93" s="454"/>
      <c r="M93" s="454"/>
      <c r="N93" s="454"/>
      <c r="O93" s="454"/>
      <c r="P93" s="454"/>
      <c r="Q93" s="454"/>
      <c r="R93" s="454" t="s">
        <v>1064</v>
      </c>
      <c r="S93" s="454"/>
      <c r="T93" s="454"/>
      <c r="U93" s="454"/>
      <c r="V93" s="454"/>
      <c r="W93" s="454"/>
      <c r="X93" s="454"/>
      <c r="Y93" s="454"/>
      <c r="Z93" s="454"/>
      <c r="AA93" s="454"/>
      <c r="AB93" s="454"/>
      <c r="AC93" s="454"/>
      <c r="AD93" s="454"/>
      <c r="AE93" s="454"/>
      <c r="AF93" s="454"/>
      <c r="AG93" s="454"/>
      <c r="AH93" s="454"/>
      <c r="AI93" s="454"/>
      <c r="AJ93" s="454"/>
      <c r="AK93" s="454"/>
      <c r="AL93" s="454"/>
      <c r="AM93" s="455"/>
    </row>
    <row r="94" spans="1:39">
      <c r="A94" s="449">
        <f t="shared" si="1"/>
        <v>2022</v>
      </c>
      <c r="B94" s="454"/>
      <c r="C94" s="454"/>
      <c r="D94" s="454"/>
      <c r="E94" s="454"/>
      <c r="F94" s="454"/>
      <c r="G94" s="454"/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454"/>
      <c r="V94" s="454"/>
      <c r="W94" s="454"/>
      <c r="X94" s="454"/>
      <c r="Y94" s="454"/>
      <c r="Z94" s="454"/>
      <c r="AA94" s="454"/>
      <c r="AB94" s="454"/>
      <c r="AC94" s="454"/>
      <c r="AD94" s="454"/>
      <c r="AE94" s="454"/>
      <c r="AF94" s="454"/>
      <c r="AG94" s="454"/>
      <c r="AH94" s="454"/>
      <c r="AI94" s="454"/>
      <c r="AJ94" s="454"/>
      <c r="AK94" s="454"/>
      <c r="AL94" s="454"/>
      <c r="AM94" s="455"/>
    </row>
    <row r="95" spans="1:39">
      <c r="B95" s="455"/>
      <c r="C95" s="455"/>
      <c r="D95" s="455"/>
      <c r="E95" s="455"/>
      <c r="F95" s="455"/>
      <c r="G95" s="455"/>
      <c r="H95" s="455"/>
      <c r="I95" s="455"/>
      <c r="J95" s="455"/>
      <c r="K95" s="455"/>
      <c r="L95" s="455"/>
      <c r="M95" s="455"/>
      <c r="N95" s="455"/>
      <c r="O95" s="455"/>
      <c r="P95" s="455"/>
      <c r="Q95" s="455"/>
      <c r="R95" s="455"/>
      <c r="S95" s="455"/>
      <c r="T95" s="455"/>
      <c r="U95" s="455"/>
      <c r="V95" s="455"/>
      <c r="W95" s="455"/>
      <c r="X95" s="455"/>
      <c r="Y95" s="455"/>
      <c r="Z95" s="455"/>
      <c r="AA95" s="455"/>
      <c r="AB95" s="455"/>
      <c r="AC95" s="455"/>
      <c r="AD95" s="455"/>
      <c r="AE95" s="455"/>
      <c r="AF95" s="455"/>
      <c r="AG95" s="455"/>
      <c r="AH95" s="455"/>
      <c r="AI95" s="455"/>
      <c r="AJ95" s="455"/>
      <c r="AK95" s="455"/>
      <c r="AL95" s="455"/>
      <c r="AM95" s="455"/>
    </row>
    <row r="96" spans="1:39">
      <c r="A96" s="446" t="s">
        <v>1053</v>
      </c>
      <c r="B96" s="455"/>
      <c r="C96" s="455"/>
      <c r="D96" s="455"/>
      <c r="E96" s="455"/>
      <c r="F96" s="455"/>
      <c r="G96" s="455"/>
      <c r="H96" s="455"/>
      <c r="I96" s="455"/>
      <c r="J96" s="455"/>
      <c r="K96" s="455"/>
      <c r="L96" s="455"/>
      <c r="M96" s="455"/>
      <c r="N96" s="455"/>
      <c r="O96" s="455"/>
      <c r="P96" s="455"/>
      <c r="Q96" s="455"/>
      <c r="R96" s="455"/>
      <c r="S96" s="455"/>
      <c r="T96" s="455"/>
      <c r="U96" s="455"/>
      <c r="V96" s="455"/>
      <c r="W96" s="455"/>
      <c r="X96" s="455"/>
      <c r="Y96" s="455"/>
      <c r="Z96" s="455"/>
      <c r="AA96" s="455"/>
      <c r="AB96" s="455"/>
      <c r="AC96" s="455"/>
      <c r="AD96" s="455"/>
      <c r="AE96" s="455"/>
      <c r="AF96" s="455"/>
      <c r="AG96" s="455"/>
      <c r="AH96" s="455"/>
      <c r="AI96" s="455"/>
      <c r="AJ96" s="455"/>
      <c r="AK96" s="455"/>
      <c r="AL96" s="455"/>
      <c r="AM96" s="455"/>
    </row>
    <row r="97" spans="1:39">
      <c r="B97" s="456" t="s">
        <v>1054</v>
      </c>
      <c r="C97" s="455"/>
      <c r="D97" s="455"/>
      <c r="E97" s="455"/>
      <c r="F97" s="455"/>
      <c r="G97" s="457"/>
      <c r="H97" s="457"/>
      <c r="I97" s="457"/>
      <c r="J97" s="457"/>
      <c r="K97" s="457"/>
      <c r="L97" s="457"/>
      <c r="M97" s="457"/>
      <c r="N97" s="457"/>
      <c r="O97" s="457"/>
      <c r="P97" s="457"/>
      <c r="Q97" s="457"/>
      <c r="R97" s="455"/>
      <c r="S97" s="455"/>
      <c r="T97" s="455"/>
      <c r="U97" s="455"/>
      <c r="V97" s="455"/>
      <c r="W97" s="455"/>
      <c r="X97" s="455"/>
      <c r="Y97" s="455"/>
      <c r="Z97" s="455"/>
      <c r="AA97" s="455"/>
      <c r="AB97" s="455"/>
      <c r="AC97" s="455"/>
      <c r="AD97" s="455"/>
      <c r="AE97" s="455"/>
      <c r="AF97" s="455"/>
      <c r="AG97" s="455"/>
      <c r="AH97" s="455"/>
      <c r="AI97" s="455"/>
      <c r="AJ97" s="455"/>
      <c r="AK97" s="455"/>
      <c r="AL97" s="455"/>
      <c r="AM97" s="455"/>
    </row>
    <row r="98" spans="1:39">
      <c r="A98" s="458" t="s">
        <v>1055</v>
      </c>
      <c r="B98" s="455">
        <f>SUMPRODUCT(B47:B49,B91:B93)/SUM(B47:B49)</f>
        <v>0.8900182643117206</v>
      </c>
      <c r="C98" s="455">
        <f>SUMPRODUCT(C46:C48,C90:C92)/SUM(C46:C48)</f>
        <v>0.65158493058089406</v>
      </c>
      <c r="D98" s="455">
        <f>SUMPRODUCT(D45:D47,D89:D91)/SUM(D45:D47)</f>
        <v>0.89646540292413002</v>
      </c>
      <c r="E98" s="455">
        <f>SUMPRODUCT(E44:E46,E88:E90)/SUM(E44:E46)</f>
        <v>0.88674810701193285</v>
      </c>
      <c r="F98" s="455">
        <f>SUMPRODUCT(F43:F45,F87:F89)/SUM(F43:F45)</f>
        <v>1.1098698401434326</v>
      </c>
      <c r="G98" s="457">
        <f>SUMPRODUCT(G42:G44,G86:G88)/SUM(G42:G44)</f>
        <v>1.0547500786793207</v>
      </c>
      <c r="H98" s="457">
        <f>SUMPRODUCT(H41:H43,H85:H87)/SUM(H41:H43)</f>
        <v>1.0004294817589729</v>
      </c>
      <c r="I98" s="457">
        <f>SUMPRODUCT(I40:I42,I84:I86)/SUM(I40:I42)</f>
        <v>1.00856821306755</v>
      </c>
      <c r="J98" s="457">
        <f>SUMPRODUCT(J39:J41,J83:J85)/SUM(J39:J41)</f>
        <v>0.97081930316510123</v>
      </c>
      <c r="K98" s="457">
        <f>SUMPRODUCT(K38:K40,K82:K84)/SUM(K38:K40)</f>
        <v>1.0061469402534537</v>
      </c>
      <c r="L98" s="457">
        <f>SUMPRODUCT(L37:L39,L81:L83)/SUM(L37:L39)</f>
        <v>1</v>
      </c>
      <c r="M98" s="457">
        <f>SUMPRODUCT(M36:M38,M80:M82)/SUM(M36:M38)</f>
        <v>1</v>
      </c>
      <c r="N98" s="457">
        <f>SUMPRODUCT(N35:N37,N79:N81)/SUM(N35:N37)</f>
        <v>1</v>
      </c>
      <c r="O98" s="457">
        <f>SUMPRODUCT(O34:O36,O78:O80)/SUM(O34:O36)</f>
        <v>1</v>
      </c>
      <c r="P98" s="457">
        <f>SUMPRODUCT(P33:P35,P77:P79)/SUM(P33:P35)</f>
        <v>1</v>
      </c>
      <c r="Q98" s="457">
        <f>SUMPRODUCT(Q32:Q34,Q76:Q78)/SUM(Q32:Q34)</f>
        <v>1.002690367195586</v>
      </c>
      <c r="R98" s="455">
        <v>1</v>
      </c>
      <c r="S98" s="455">
        <v>1</v>
      </c>
      <c r="T98" s="455">
        <v>1</v>
      </c>
      <c r="U98" s="455">
        <v>1</v>
      </c>
      <c r="V98" s="455">
        <v>1</v>
      </c>
      <c r="W98" s="455">
        <v>1</v>
      </c>
      <c r="X98" s="455">
        <v>1</v>
      </c>
      <c r="Y98" s="455">
        <v>1</v>
      </c>
      <c r="Z98" s="455">
        <v>1</v>
      </c>
      <c r="AA98" s="455">
        <v>1</v>
      </c>
      <c r="AB98" s="455">
        <v>1</v>
      </c>
      <c r="AC98" s="455">
        <v>1</v>
      </c>
      <c r="AD98" s="455">
        <v>1</v>
      </c>
      <c r="AE98" s="455">
        <v>1</v>
      </c>
      <c r="AF98" s="455">
        <v>1</v>
      </c>
      <c r="AG98" s="455">
        <v>1</v>
      </c>
      <c r="AH98" s="455">
        <v>1.0002470810826847</v>
      </c>
      <c r="AI98" s="455">
        <v>0.99962965289326533</v>
      </c>
      <c r="AJ98" s="455">
        <v>1</v>
      </c>
      <c r="AK98" s="455">
        <v>1</v>
      </c>
      <c r="AL98" s="455">
        <v>1</v>
      </c>
    </row>
    <row r="99" spans="1:39">
      <c r="B99" s="456" t="s">
        <v>1056</v>
      </c>
      <c r="C99" s="457"/>
      <c r="D99" s="455"/>
      <c r="E99" s="455"/>
      <c r="F99" s="455"/>
      <c r="G99" s="455"/>
      <c r="H99" s="455"/>
      <c r="I99" s="455"/>
      <c r="J99" s="455"/>
      <c r="K99" s="455"/>
      <c r="L99" s="455"/>
      <c r="M99" s="455"/>
      <c r="N99" s="455"/>
      <c r="O99" s="455"/>
      <c r="P99" s="455"/>
      <c r="Q99" s="455"/>
      <c r="R99" s="455"/>
      <c r="S99" s="455"/>
      <c r="T99" s="455"/>
      <c r="U99" s="455"/>
      <c r="V99" s="455"/>
      <c r="W99" s="455"/>
      <c r="X99" s="455"/>
      <c r="Y99" s="455"/>
      <c r="Z99" s="455"/>
      <c r="AA99" s="455"/>
      <c r="AB99" s="455"/>
      <c r="AC99" s="455"/>
      <c r="AD99" s="455"/>
      <c r="AE99" s="455"/>
      <c r="AF99" s="455"/>
      <c r="AG99" s="455"/>
      <c r="AH99" s="455"/>
      <c r="AI99" s="455"/>
      <c r="AJ99" s="455"/>
      <c r="AK99" s="455"/>
      <c r="AL99" s="455"/>
      <c r="AM99" s="455"/>
    </row>
    <row r="100" spans="1:39">
      <c r="A100" s="458" t="s">
        <v>1057</v>
      </c>
      <c r="B100" s="455">
        <f>SUMPRODUCT(B45:B49,B89:B93)/SUM(B45:B49)</f>
        <v>0.81799777988655265</v>
      </c>
      <c r="C100" s="457">
        <f>SUMPRODUCT(C44:C48,C88:C92)/SUM(C44:C48)</f>
        <v>0.70125450457025384</v>
      </c>
      <c r="D100" s="457">
        <f>SUMPRODUCT(D43:D47,D87:D91)/SUM(D43:D47)</f>
        <v>0.96481955293420185</v>
      </c>
      <c r="E100" s="457">
        <f>SUMPRODUCT(E42:E46,E86:E90)/SUM(E42:E46)</f>
        <v>0.90610021268397101</v>
      </c>
      <c r="F100" s="457">
        <f>SUMPRODUCT(F41:F45,F85:F89)/SUM(F41:F45)</f>
        <v>1.039833330380473</v>
      </c>
      <c r="G100" s="457">
        <f>SUMPRODUCT(G40:G44,G84:G88)/SUM(G40:G44)</f>
        <v>1.0596333463026861</v>
      </c>
      <c r="H100" s="457">
        <f>SUMPRODUCT(H39:H43,H83:H87)/SUM(H39:H43)</f>
        <v>1.0089891907290587</v>
      </c>
      <c r="I100" s="457">
        <f>SUMPRODUCT(I38:I42,I82:I86)/SUM(I38:I42)</f>
        <v>1.004072786558168</v>
      </c>
      <c r="J100" s="457">
        <f>SUMPRODUCT(J37:J41,J81:J85)/SUM(J37:J41)</f>
        <v>0.98267595483131909</v>
      </c>
      <c r="K100" s="457">
        <f>SUMPRODUCT(K36:K40,K80:K84)/SUM(K36:K40)</f>
        <v>1.0044654544606895</v>
      </c>
      <c r="L100" s="457">
        <f>SUMPRODUCT(L35:L39,L79:L83)/SUM(L35:L39)</f>
        <v>1.0006355267552141</v>
      </c>
      <c r="M100" s="457">
        <f>SUMPRODUCT(M34:M38,M78:M82)/SUM(M34:M38)</f>
        <v>1.000822409703608</v>
      </c>
      <c r="N100" s="457">
        <f>SUMPRODUCT(N33:N37,N77:N81)/SUM(N33:N37)</f>
        <v>1</v>
      </c>
      <c r="O100" s="457">
        <f>SUMPRODUCT(O32:O36,O76:O80)/SUM(O32:O36)</f>
        <v>1</v>
      </c>
      <c r="P100" s="457">
        <f>SUMPRODUCT(P31:P35,P75:P79)/SUM(P31:P35)</f>
        <v>1</v>
      </c>
      <c r="Q100" s="457">
        <f>SUMPRODUCT(Q30:Q34,Q74:Q78)/SUM(Q30:Q34)</f>
        <v>1.0017029713956045</v>
      </c>
      <c r="R100" s="455">
        <v>1</v>
      </c>
      <c r="S100" s="455">
        <v>1</v>
      </c>
      <c r="T100" s="455">
        <v>1</v>
      </c>
      <c r="U100" s="455">
        <v>1</v>
      </c>
      <c r="V100" s="455">
        <v>1</v>
      </c>
      <c r="W100" s="455">
        <v>1</v>
      </c>
      <c r="X100" s="455">
        <v>1</v>
      </c>
      <c r="Y100" s="455">
        <v>1</v>
      </c>
      <c r="Z100" s="455">
        <v>1</v>
      </c>
      <c r="AA100" s="455">
        <v>1</v>
      </c>
      <c r="AB100" s="455">
        <v>1</v>
      </c>
      <c r="AC100" s="455">
        <v>1</v>
      </c>
      <c r="AD100" s="455">
        <v>1</v>
      </c>
      <c r="AE100" s="455">
        <v>1</v>
      </c>
      <c r="AF100" s="455">
        <v>1</v>
      </c>
      <c r="AG100" s="455">
        <v>1</v>
      </c>
      <c r="AH100" s="455">
        <v>1.0002470810826847</v>
      </c>
      <c r="AI100" s="455">
        <v>0.99962965289326533</v>
      </c>
      <c r="AJ100" s="455">
        <v>1</v>
      </c>
      <c r="AK100" s="455">
        <v>1</v>
      </c>
      <c r="AL100" s="455">
        <v>1</v>
      </c>
    </row>
    <row r="101" spans="1:39">
      <c r="B101" s="456" t="s">
        <v>1058</v>
      </c>
      <c r="C101" s="455"/>
      <c r="D101" s="455"/>
      <c r="E101" s="455"/>
      <c r="F101" s="455"/>
      <c r="G101" s="455"/>
      <c r="H101" s="455"/>
      <c r="I101" s="455"/>
      <c r="J101" s="455"/>
      <c r="K101" s="455"/>
      <c r="L101" s="455"/>
      <c r="M101" s="455"/>
      <c r="N101" s="455"/>
      <c r="O101" s="455"/>
      <c r="P101" s="455"/>
      <c r="Q101" s="455"/>
      <c r="R101" s="455"/>
      <c r="S101" s="455"/>
      <c r="T101" s="455"/>
      <c r="U101" s="455"/>
      <c r="V101" s="455"/>
      <c r="W101" s="455"/>
      <c r="X101" s="455"/>
      <c r="Y101" s="455"/>
      <c r="Z101" s="455"/>
      <c r="AA101" s="455"/>
      <c r="AB101" s="455"/>
      <c r="AC101" s="455"/>
      <c r="AD101" s="455"/>
      <c r="AE101" s="455"/>
      <c r="AF101" s="455"/>
      <c r="AG101" s="455"/>
      <c r="AH101" s="455"/>
      <c r="AI101" s="455"/>
      <c r="AJ101" s="455"/>
      <c r="AK101" s="455"/>
      <c r="AL101" s="455"/>
      <c r="AM101" s="455"/>
    </row>
    <row r="102" spans="1:39">
      <c r="A102" s="458" t="s">
        <v>1059</v>
      </c>
      <c r="B102" s="455">
        <f>SUMPRODUCT(B43:B49,B87:B93)/SUM(B43:B49)</f>
        <v>0.77307024471589414</v>
      </c>
      <c r="C102" s="455">
        <f>SUMPRODUCT(C42:C48,C86:C92)/SUM(C42:C48)</f>
        <v>0.70695209565175499</v>
      </c>
      <c r="D102" s="455">
        <f>SUMPRODUCT(D41:D47,D85:D91)/SUM(D41:D47)</f>
        <v>1.0043625296367527</v>
      </c>
      <c r="E102" s="455">
        <f>SUMPRODUCT(E40:E46,E84:E90)/SUM(E40:E46)</f>
        <v>0.95964557312527432</v>
      </c>
      <c r="F102" s="455">
        <f>SUMPRODUCT(F39:F45,F83:F89)/SUM(F39:F45)</f>
        <v>0.9869216783744319</v>
      </c>
      <c r="G102" s="455">
        <f>SUMPRODUCT(G38:G44,G82:G88)/SUM(G38:G44)</f>
        <v>1.0561186732561954</v>
      </c>
      <c r="H102" s="455">
        <f>SUMPRODUCT(H37:H43,H81:H87)/SUM(H37:H43)</f>
        <v>1.0133211888855818</v>
      </c>
      <c r="I102" s="455">
        <f>SUMPRODUCT(I36:I42,I80:I86)/SUM(I36:I42)</f>
        <v>1.0039060905397457</v>
      </c>
      <c r="J102" s="455">
        <f>SUMPRODUCT(J35:J41,J79:J85)/SUM(J35:J41)</f>
        <v>0.98864502804322141</v>
      </c>
      <c r="K102" s="455">
        <f>SUMPRODUCT(K34:K40,K78:K84)/SUM(K34:K40)</f>
        <v>1.0029217058710744</v>
      </c>
      <c r="L102" s="455">
        <f>SUMPRODUCT(L33:L39,L77:L83)/SUM(L33:L39)</f>
        <v>1.0010264841741618</v>
      </c>
      <c r="M102" s="455">
        <f>SUMPRODUCT(M32:M38,M76:M82)/SUM(M32:M38)</f>
        <v>1.0005654878297587</v>
      </c>
      <c r="N102" s="455">
        <f>SUMPRODUCT(N31:N37,N75:N81)/SUM(N31:N37)</f>
        <v>0.99988134738989309</v>
      </c>
      <c r="O102" s="455">
        <f>SUMPRODUCT(O30:O36,O74:O80)/SUM(O30:O36)</f>
        <v>1</v>
      </c>
      <c r="P102" s="455">
        <f>SUMPRODUCT(P29:P35,P73:P79)/SUM(P29:P35)</f>
        <v>0.99989274589389243</v>
      </c>
      <c r="Q102" s="455">
        <f>SUMPRODUCT(Q28:Q34,Q72:Q78)/SUM(Q28:Q34)</f>
        <v>1.0013151885305707</v>
      </c>
      <c r="R102" s="455">
        <v>1</v>
      </c>
      <c r="S102" s="455">
        <v>1</v>
      </c>
      <c r="T102" s="455">
        <v>1</v>
      </c>
      <c r="U102" s="455">
        <v>1</v>
      </c>
      <c r="V102" s="455">
        <v>1</v>
      </c>
      <c r="W102" s="455">
        <v>1</v>
      </c>
      <c r="X102" s="455">
        <v>1</v>
      </c>
      <c r="Y102" s="455">
        <v>1</v>
      </c>
      <c r="Z102" s="455">
        <v>1</v>
      </c>
      <c r="AA102" s="455">
        <v>1</v>
      </c>
      <c r="AB102" s="455">
        <v>1</v>
      </c>
      <c r="AC102" s="455">
        <v>1</v>
      </c>
      <c r="AD102" s="455">
        <v>1</v>
      </c>
      <c r="AE102" s="455">
        <v>1</v>
      </c>
      <c r="AF102" s="455">
        <v>1</v>
      </c>
      <c r="AG102" s="455">
        <v>1</v>
      </c>
      <c r="AH102" s="455">
        <v>1.000198926391729</v>
      </c>
      <c r="AI102" s="455">
        <v>0.99961200441345532</v>
      </c>
      <c r="AJ102" s="455">
        <v>1</v>
      </c>
      <c r="AK102" s="455">
        <v>1</v>
      </c>
      <c r="AL102" s="455">
        <v>1</v>
      </c>
    </row>
    <row r="103" spans="1:39">
      <c r="B103" s="456" t="s">
        <v>1060</v>
      </c>
      <c r="C103" s="455"/>
      <c r="D103" s="455"/>
      <c r="E103" s="455"/>
      <c r="F103" s="455"/>
      <c r="G103" s="455"/>
      <c r="H103" s="455"/>
      <c r="I103" s="455"/>
      <c r="J103" s="455"/>
      <c r="K103" s="455"/>
      <c r="L103" s="455"/>
      <c r="M103" s="455"/>
      <c r="N103" s="455"/>
      <c r="O103" s="455"/>
      <c r="P103" s="455"/>
      <c r="Q103" s="455"/>
      <c r="R103" s="455"/>
      <c r="S103" s="455"/>
      <c r="T103" s="455"/>
      <c r="U103" s="455"/>
      <c r="V103" s="455"/>
      <c r="W103" s="455"/>
      <c r="X103" s="455"/>
      <c r="Y103" s="455"/>
      <c r="Z103" s="455"/>
      <c r="AA103" s="455"/>
      <c r="AB103" s="455"/>
      <c r="AC103" s="455"/>
      <c r="AD103" s="455"/>
      <c r="AE103" s="455"/>
      <c r="AF103" s="455"/>
      <c r="AG103" s="455"/>
      <c r="AH103" s="455"/>
      <c r="AI103" s="455"/>
      <c r="AJ103" s="455"/>
      <c r="AK103" s="455"/>
      <c r="AL103" s="455"/>
      <c r="AM103" s="455"/>
    </row>
    <row r="104" spans="1:39">
      <c r="A104" s="458" t="s">
        <v>1061</v>
      </c>
      <c r="B104" s="455">
        <v>0.72499999999999998</v>
      </c>
      <c r="C104" s="455">
        <v>0.7</v>
      </c>
      <c r="D104" s="455">
        <v>1.1000000000000001</v>
      </c>
      <c r="E104" s="455">
        <v>1</v>
      </c>
      <c r="F104" s="455">
        <v>1</v>
      </c>
      <c r="G104" s="455">
        <v>1.05</v>
      </c>
      <c r="H104" s="455">
        <v>1.0349999999999999</v>
      </c>
      <c r="I104" s="455">
        <v>1.0049999999999999</v>
      </c>
      <c r="J104" s="455">
        <v>1.0049999999999999</v>
      </c>
      <c r="K104" s="455">
        <v>1</v>
      </c>
      <c r="L104" s="455">
        <v>1</v>
      </c>
      <c r="M104" s="455">
        <v>1</v>
      </c>
      <c r="N104" s="455">
        <v>1</v>
      </c>
      <c r="O104" s="455">
        <v>1</v>
      </c>
      <c r="P104" s="455">
        <v>1</v>
      </c>
      <c r="Q104" s="455">
        <v>1</v>
      </c>
      <c r="R104" s="455">
        <v>1</v>
      </c>
      <c r="S104" s="455">
        <v>1</v>
      </c>
      <c r="T104" s="455">
        <v>1</v>
      </c>
      <c r="U104" s="455">
        <v>1</v>
      </c>
      <c r="V104" s="455">
        <v>1</v>
      </c>
      <c r="W104" s="455">
        <v>1</v>
      </c>
      <c r="X104" s="455">
        <v>1</v>
      </c>
      <c r="Y104" s="455">
        <v>1</v>
      </c>
      <c r="Z104" s="455">
        <v>1</v>
      </c>
      <c r="AA104" s="455">
        <v>1</v>
      </c>
      <c r="AB104" s="455">
        <v>1</v>
      </c>
      <c r="AC104" s="455">
        <v>1</v>
      </c>
      <c r="AD104" s="455">
        <v>1</v>
      </c>
      <c r="AE104" s="455">
        <v>1</v>
      </c>
      <c r="AF104" s="455">
        <v>1</v>
      </c>
      <c r="AG104" s="455">
        <v>1</v>
      </c>
      <c r="AH104" s="455">
        <v>1</v>
      </c>
      <c r="AI104" s="455">
        <v>1</v>
      </c>
      <c r="AJ104" s="455">
        <v>1</v>
      </c>
      <c r="AK104" s="455">
        <v>1</v>
      </c>
      <c r="AL104" s="455">
        <v>1</v>
      </c>
    </row>
    <row r="105" spans="1:39">
      <c r="B105" s="455"/>
      <c r="C105" s="455"/>
      <c r="D105" s="455"/>
      <c r="E105" s="455"/>
      <c r="F105" s="455"/>
      <c r="G105" s="455"/>
      <c r="H105" s="455"/>
      <c r="I105" s="455"/>
      <c r="J105" s="455"/>
      <c r="K105" s="455"/>
      <c r="L105" s="455"/>
      <c r="M105" s="455"/>
      <c r="N105" s="455"/>
      <c r="O105" s="455"/>
      <c r="P105" s="455"/>
      <c r="Q105" s="455"/>
      <c r="R105" s="455"/>
      <c r="S105" s="455"/>
      <c r="T105" s="455"/>
      <c r="U105" s="455"/>
      <c r="V105" s="455"/>
      <c r="W105" s="455"/>
      <c r="X105" s="455"/>
      <c r="Y105" s="455"/>
      <c r="Z105" s="455"/>
      <c r="AA105" s="455"/>
      <c r="AB105" s="455"/>
      <c r="AC105" s="455"/>
      <c r="AD105" s="455"/>
      <c r="AE105" s="455"/>
      <c r="AF105" s="455"/>
      <c r="AG105" s="455"/>
      <c r="AH105" s="455"/>
      <c r="AI105" s="455"/>
      <c r="AJ105" s="455"/>
      <c r="AK105" s="455"/>
      <c r="AL105" s="455"/>
      <c r="AM105" s="455"/>
    </row>
    <row r="106" spans="1:39">
      <c r="B106" s="455"/>
      <c r="C106" s="455"/>
      <c r="D106" s="455"/>
      <c r="E106" s="455"/>
      <c r="F106" s="455"/>
      <c r="G106" s="455"/>
      <c r="H106" s="455"/>
      <c r="I106" s="455"/>
      <c r="J106" s="455"/>
      <c r="K106" s="455"/>
      <c r="L106" s="455"/>
      <c r="M106" s="455"/>
      <c r="N106" s="455"/>
      <c r="O106" s="455"/>
      <c r="P106" s="455"/>
      <c r="Q106" s="455"/>
      <c r="R106" s="455"/>
      <c r="S106" s="455"/>
      <c r="T106" s="455"/>
      <c r="U106" s="455"/>
      <c r="V106" s="455"/>
      <c r="W106" s="455"/>
      <c r="X106" s="455"/>
      <c r="Y106" s="455"/>
      <c r="Z106" s="455"/>
      <c r="AA106" s="455"/>
      <c r="AB106" s="455"/>
      <c r="AC106" s="455"/>
      <c r="AD106" s="455"/>
      <c r="AE106" s="455"/>
      <c r="AF106" s="455"/>
      <c r="AG106" s="455"/>
      <c r="AH106" s="455"/>
      <c r="AI106" s="455"/>
      <c r="AJ106" s="455"/>
      <c r="AK106" s="455"/>
      <c r="AL106" s="455"/>
      <c r="AM106" s="455"/>
    </row>
    <row r="107" spans="1:39">
      <c r="A107" s="446" t="s">
        <v>1062</v>
      </c>
      <c r="B107" s="455">
        <f>B104</f>
        <v>0.72499999999999998</v>
      </c>
      <c r="C107" s="455">
        <f t="shared" ref="C107:R107" si="9">C104</f>
        <v>0.7</v>
      </c>
      <c r="D107" s="455">
        <f t="shared" si="9"/>
        <v>1.1000000000000001</v>
      </c>
      <c r="E107" s="455">
        <f t="shared" si="9"/>
        <v>1</v>
      </c>
      <c r="F107" s="455">
        <f t="shared" si="9"/>
        <v>1</v>
      </c>
      <c r="G107" s="455">
        <f t="shared" si="9"/>
        <v>1.05</v>
      </c>
      <c r="H107" s="455">
        <f t="shared" si="9"/>
        <v>1.0349999999999999</v>
      </c>
      <c r="I107" s="455">
        <f t="shared" si="9"/>
        <v>1.0049999999999999</v>
      </c>
      <c r="J107" s="455">
        <f t="shared" si="9"/>
        <v>1.0049999999999999</v>
      </c>
      <c r="K107" s="455">
        <f t="shared" si="9"/>
        <v>1</v>
      </c>
      <c r="L107" s="455">
        <f t="shared" si="9"/>
        <v>1</v>
      </c>
      <c r="M107" s="455">
        <f t="shared" si="9"/>
        <v>1</v>
      </c>
      <c r="N107" s="455">
        <f t="shared" si="9"/>
        <v>1</v>
      </c>
      <c r="O107" s="455">
        <f t="shared" si="9"/>
        <v>1</v>
      </c>
      <c r="P107" s="455">
        <f t="shared" si="9"/>
        <v>1</v>
      </c>
      <c r="Q107" s="455">
        <f t="shared" si="9"/>
        <v>1</v>
      </c>
      <c r="R107" s="455">
        <f t="shared" si="9"/>
        <v>1</v>
      </c>
      <c r="S107" s="455">
        <v>1</v>
      </c>
      <c r="T107" s="455">
        <v>1</v>
      </c>
      <c r="U107" s="455">
        <v>1</v>
      </c>
      <c r="V107" s="455">
        <v>1</v>
      </c>
      <c r="W107" s="455">
        <v>1</v>
      </c>
      <c r="X107" s="455">
        <v>1</v>
      </c>
      <c r="Y107" s="455">
        <v>1</v>
      </c>
      <c r="Z107" s="455">
        <v>1</v>
      </c>
      <c r="AA107" s="455">
        <v>1</v>
      </c>
      <c r="AB107" s="455">
        <v>1</v>
      </c>
      <c r="AC107" s="455">
        <v>1</v>
      </c>
      <c r="AD107" s="455">
        <v>1</v>
      </c>
      <c r="AE107" s="455">
        <v>1</v>
      </c>
      <c r="AF107" s="455">
        <v>1</v>
      </c>
      <c r="AG107" s="455">
        <v>1</v>
      </c>
      <c r="AH107" s="455">
        <v>1</v>
      </c>
      <c r="AI107" s="455">
        <v>1</v>
      </c>
      <c r="AJ107" s="455">
        <v>1</v>
      </c>
      <c r="AK107" s="455">
        <v>1</v>
      </c>
      <c r="AL107" s="455">
        <v>1</v>
      </c>
      <c r="AM107" s="455">
        <v>1</v>
      </c>
    </row>
    <row r="108" spans="1:39">
      <c r="A108" s="444" t="s">
        <v>780</v>
      </c>
      <c r="B108" s="455">
        <f t="shared" ref="B108:O108" si="10">C108*B107</f>
        <v>0.61276013632968729</v>
      </c>
      <c r="C108" s="455">
        <f t="shared" si="10"/>
        <v>0.8451863949374997</v>
      </c>
      <c r="D108" s="455">
        <f t="shared" si="10"/>
        <v>1.2074091356249996</v>
      </c>
      <c r="E108" s="455">
        <f t="shared" si="10"/>
        <v>1.0976446687499997</v>
      </c>
      <c r="F108" s="455">
        <f t="shared" si="10"/>
        <v>1.0976446687499997</v>
      </c>
      <c r="G108" s="455">
        <f t="shared" si="10"/>
        <v>1.0976446687499997</v>
      </c>
      <c r="H108" s="455">
        <f t="shared" si="10"/>
        <v>1.0453758749999997</v>
      </c>
      <c r="I108" s="455">
        <f t="shared" si="10"/>
        <v>1.0100249999999997</v>
      </c>
      <c r="J108" s="455">
        <f t="shared" si="10"/>
        <v>1.0049999999999999</v>
      </c>
      <c r="K108" s="455">
        <f t="shared" si="10"/>
        <v>1</v>
      </c>
      <c r="L108" s="455">
        <f t="shared" si="10"/>
        <v>1</v>
      </c>
      <c r="M108" s="455">
        <f t="shared" si="10"/>
        <v>1</v>
      </c>
      <c r="N108" s="455">
        <f t="shared" si="10"/>
        <v>1</v>
      </c>
      <c r="O108" s="455">
        <f t="shared" si="10"/>
        <v>1</v>
      </c>
      <c r="P108" s="455">
        <f>Q108*P107</f>
        <v>1</v>
      </c>
      <c r="Q108" s="455">
        <f>Q107</f>
        <v>1</v>
      </c>
      <c r="R108" s="455">
        <v>1</v>
      </c>
      <c r="S108" s="455">
        <v>1</v>
      </c>
      <c r="T108" s="455">
        <v>1</v>
      </c>
      <c r="U108" s="455">
        <v>1</v>
      </c>
      <c r="V108" s="455">
        <v>1</v>
      </c>
      <c r="W108" s="455">
        <v>1</v>
      </c>
      <c r="X108" s="455">
        <v>1</v>
      </c>
      <c r="Y108" s="455">
        <v>1</v>
      </c>
      <c r="Z108" s="455">
        <v>1</v>
      </c>
      <c r="AA108" s="455">
        <v>1</v>
      </c>
      <c r="AB108" s="455">
        <v>1</v>
      </c>
      <c r="AC108" s="455">
        <v>1</v>
      </c>
      <c r="AD108" s="455">
        <v>1</v>
      </c>
      <c r="AE108" s="455">
        <v>1</v>
      </c>
      <c r="AF108" s="455">
        <v>1</v>
      </c>
      <c r="AG108" s="455">
        <v>1</v>
      </c>
      <c r="AH108" s="455">
        <v>1</v>
      </c>
      <c r="AI108" s="455">
        <v>1</v>
      </c>
      <c r="AJ108" s="455">
        <v>1</v>
      </c>
      <c r="AK108" s="455">
        <v>1</v>
      </c>
      <c r="AL108" s="455">
        <v>1</v>
      </c>
      <c r="AM108" s="455">
        <v>1</v>
      </c>
    </row>
    <row r="115" spans="2:18">
      <c r="B115" s="455"/>
      <c r="C115" s="455"/>
      <c r="D115" s="455"/>
      <c r="E115" s="455"/>
      <c r="F115" s="455"/>
      <c r="G115" s="455"/>
      <c r="H115" s="455"/>
      <c r="I115" s="455"/>
      <c r="J115" s="455"/>
      <c r="K115" s="455"/>
      <c r="L115" s="455"/>
      <c r="M115" s="455"/>
      <c r="N115" s="455"/>
      <c r="O115" s="455"/>
      <c r="P115" s="455"/>
      <c r="Q115" s="455"/>
      <c r="R115" s="455"/>
    </row>
  </sheetData>
  <printOptions horizontalCentered="1"/>
  <pageMargins left="0.7" right="0.7" top="0.75" bottom="0.75" header="0.3" footer="0.3"/>
  <pageSetup scale="30" orientation="landscape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>
    <tabColor rgb="FF92D050"/>
    <pageSetUpPr fitToPage="1"/>
  </sheetPr>
  <dimension ref="A1:R113"/>
  <sheetViews>
    <sheetView workbookViewId="0"/>
  </sheetViews>
  <sheetFormatPr baseColWidth="10" defaultColWidth="6.85546875" defaultRowHeight="13"/>
  <cols>
    <col min="1" max="1" width="12" style="466" customWidth="1"/>
    <col min="2" max="16384" width="6.85546875" style="466"/>
  </cols>
  <sheetData>
    <row r="1" spans="1:18" ht="14">
      <c r="A1" s="443" t="s">
        <v>1026</v>
      </c>
      <c r="B1" s="444"/>
      <c r="C1" s="444"/>
      <c r="D1" s="444"/>
      <c r="E1" s="444"/>
      <c r="F1" s="444"/>
      <c r="G1" s="444"/>
      <c r="H1" s="444"/>
      <c r="I1" s="444"/>
      <c r="J1" s="444"/>
      <c r="K1" s="444"/>
      <c r="L1" s="444"/>
      <c r="M1" s="444"/>
      <c r="N1" s="444"/>
      <c r="O1" s="444"/>
      <c r="Q1" s="549" t="s">
        <v>1063</v>
      </c>
    </row>
    <row r="2" spans="1:18" ht="14">
      <c r="A2" s="445" t="s">
        <v>1027</v>
      </c>
      <c r="B2" s="444"/>
      <c r="C2" s="444"/>
      <c r="D2" s="444"/>
      <c r="E2" s="444"/>
      <c r="F2" s="444"/>
      <c r="G2" s="444"/>
      <c r="H2" s="444"/>
      <c r="I2" s="444"/>
      <c r="J2" s="444"/>
      <c r="K2" s="444"/>
      <c r="L2" s="444"/>
      <c r="M2" s="444"/>
      <c r="N2" s="444"/>
      <c r="O2" s="444"/>
      <c r="Q2" s="549" t="s">
        <v>938</v>
      </c>
    </row>
    <row r="3" spans="1:18" ht="14">
      <c r="A3" s="445" t="s">
        <v>1028</v>
      </c>
      <c r="B3" s="444"/>
      <c r="C3" s="444"/>
      <c r="D3" s="444"/>
      <c r="E3" s="444"/>
      <c r="F3" s="444"/>
      <c r="G3" s="444"/>
      <c r="H3" s="444"/>
      <c r="I3" s="444"/>
      <c r="J3" s="444"/>
      <c r="K3" s="444"/>
      <c r="L3" s="444"/>
      <c r="M3" s="444"/>
      <c r="N3" s="444"/>
      <c r="O3" s="444"/>
      <c r="P3" s="444"/>
      <c r="Q3" s="444"/>
    </row>
    <row r="4" spans="1:18" ht="14">
      <c r="A4" s="445" t="s">
        <v>1029</v>
      </c>
      <c r="B4" s="444"/>
      <c r="C4" s="444"/>
      <c r="D4" s="444"/>
      <c r="E4" s="444"/>
      <c r="F4" s="444"/>
      <c r="G4" s="444"/>
      <c r="H4" s="444"/>
      <c r="I4" s="444"/>
      <c r="J4" s="444"/>
      <c r="K4" s="444"/>
      <c r="L4" s="444"/>
      <c r="M4" s="444"/>
      <c r="N4" s="444"/>
      <c r="O4" s="444"/>
      <c r="P4" s="444"/>
      <c r="Q4" s="444"/>
    </row>
    <row r="5" spans="1:18" ht="14">
      <c r="A5" s="445" t="s">
        <v>1498</v>
      </c>
      <c r="B5" s="444"/>
      <c r="C5" s="444"/>
      <c r="D5" s="444"/>
      <c r="E5" s="444"/>
      <c r="F5" s="444"/>
      <c r="G5" s="444"/>
      <c r="H5" s="444"/>
      <c r="I5" s="444"/>
      <c r="J5" s="444"/>
      <c r="K5" s="444"/>
      <c r="L5" s="444"/>
      <c r="M5" s="444"/>
      <c r="N5" s="444"/>
      <c r="O5" s="444"/>
      <c r="P5" s="444"/>
      <c r="Q5" s="444"/>
    </row>
    <row r="6" spans="1:18" ht="14">
      <c r="A6" s="445" t="s">
        <v>261</v>
      </c>
      <c r="B6" s="444"/>
      <c r="C6" s="444"/>
      <c r="D6" s="444"/>
      <c r="E6" s="444"/>
      <c r="F6" s="444"/>
      <c r="G6" s="444"/>
      <c r="H6" s="444"/>
      <c r="I6" s="444"/>
      <c r="J6" s="444"/>
      <c r="K6" s="444"/>
      <c r="L6" s="444"/>
      <c r="M6" s="444"/>
      <c r="N6" s="444"/>
      <c r="O6" s="444"/>
      <c r="P6" s="444"/>
      <c r="Q6" s="444"/>
    </row>
    <row r="7" spans="1:18" ht="14">
      <c r="A7" s="445" t="str">
        <f>'Exhibit R,S1'!A7</f>
        <v>Data Evaluated as of 11/30/2022</v>
      </c>
      <c r="B7" s="444"/>
      <c r="C7" s="444"/>
      <c r="D7" s="444"/>
      <c r="E7" s="444"/>
      <c r="F7" s="444"/>
      <c r="G7" s="444"/>
      <c r="H7" s="444"/>
      <c r="I7" s="444"/>
      <c r="J7" s="444"/>
      <c r="K7" s="444"/>
      <c r="L7" s="444"/>
      <c r="M7" s="444"/>
      <c r="N7" s="444"/>
      <c r="O7" s="444"/>
      <c r="P7" s="444"/>
      <c r="Q7" s="444"/>
    </row>
    <row r="8" spans="1:18" ht="14">
      <c r="A8" s="444"/>
      <c r="B8" s="444"/>
      <c r="C8" s="444"/>
      <c r="D8" s="444"/>
      <c r="E8" s="444"/>
      <c r="F8" s="444"/>
      <c r="G8" s="444"/>
      <c r="H8" s="444"/>
      <c r="I8" s="444"/>
      <c r="J8" s="444"/>
      <c r="K8" s="444"/>
      <c r="L8" s="444"/>
      <c r="M8" s="444"/>
      <c r="N8" s="444"/>
      <c r="O8" s="444"/>
      <c r="P8" s="444"/>
      <c r="Q8" s="444"/>
    </row>
    <row r="9" spans="1:18" ht="14">
      <c r="A9" s="444"/>
      <c r="B9" s="446" t="s">
        <v>1030</v>
      </c>
      <c r="C9" s="444"/>
      <c r="D9" s="444"/>
      <c r="E9" s="444"/>
      <c r="F9" s="444"/>
      <c r="G9" s="444"/>
      <c r="H9" s="444"/>
      <c r="I9" s="444"/>
      <c r="J9" s="444"/>
      <c r="K9" s="444"/>
      <c r="L9" s="444"/>
      <c r="M9" s="444"/>
      <c r="N9" s="444"/>
      <c r="O9" s="444"/>
      <c r="P9" s="444"/>
      <c r="Q9" s="444"/>
    </row>
    <row r="10" spans="1:18" ht="14">
      <c r="A10" s="467" t="s">
        <v>170</v>
      </c>
      <c r="B10" s="448">
        <v>11</v>
      </c>
      <c r="C10" s="448">
        <v>23</v>
      </c>
      <c r="D10" s="448">
        <v>35</v>
      </c>
      <c r="E10" s="448">
        <v>47</v>
      </c>
      <c r="F10" s="448">
        <v>59</v>
      </c>
      <c r="G10" s="448">
        <v>71</v>
      </c>
      <c r="H10" s="448">
        <v>83</v>
      </c>
      <c r="I10" s="448">
        <v>95</v>
      </c>
      <c r="J10" s="448">
        <v>107</v>
      </c>
      <c r="K10" s="448">
        <v>119</v>
      </c>
      <c r="L10" s="448">
        <v>131</v>
      </c>
      <c r="M10" s="448">
        <v>143</v>
      </c>
      <c r="N10" s="448">
        <v>155</v>
      </c>
      <c r="O10" s="448">
        <v>167</v>
      </c>
      <c r="P10" s="448">
        <v>179</v>
      </c>
      <c r="Q10" s="448">
        <v>191</v>
      </c>
    </row>
    <row r="11" spans="1:18" ht="14">
      <c r="A11" s="449"/>
      <c r="B11" s="449"/>
      <c r="C11" s="449"/>
      <c r="D11" s="449"/>
      <c r="E11" s="449"/>
      <c r="F11" s="449"/>
      <c r="G11" s="449"/>
      <c r="H11" s="449"/>
      <c r="I11" s="449"/>
      <c r="J11" s="449"/>
      <c r="K11" s="449"/>
      <c r="L11" s="449"/>
      <c r="M11" s="449"/>
      <c r="N11" s="449"/>
      <c r="O11" s="449"/>
      <c r="P11" s="449"/>
      <c r="Q11" s="449"/>
    </row>
    <row r="12" spans="1:18" ht="14">
      <c r="A12" s="449"/>
      <c r="B12" s="444"/>
      <c r="C12" s="450"/>
      <c r="D12" s="450"/>
      <c r="E12" s="450"/>
      <c r="F12" s="450"/>
      <c r="G12" s="450"/>
      <c r="H12" s="450"/>
      <c r="I12" s="450"/>
      <c r="J12" s="450"/>
      <c r="K12" s="450"/>
      <c r="L12" s="450"/>
      <c r="M12" s="450"/>
      <c r="N12" s="450"/>
      <c r="O12" s="450"/>
      <c r="P12" s="450"/>
      <c r="Q12" s="450"/>
      <c r="R12" s="450"/>
    </row>
    <row r="13" spans="1:18" ht="14">
      <c r="A13" s="449">
        <f>'Exhibit R,S1'!A13</f>
        <v>1985</v>
      </c>
      <c r="B13" s="450" t="s">
        <v>490</v>
      </c>
      <c r="C13" s="450" t="s">
        <v>490</v>
      </c>
      <c r="D13" s="450" t="s">
        <v>490</v>
      </c>
      <c r="E13" s="450" t="s">
        <v>490</v>
      </c>
      <c r="F13" s="450" t="s">
        <v>490</v>
      </c>
      <c r="G13" s="450" t="s">
        <v>490</v>
      </c>
      <c r="H13" s="450" t="s">
        <v>490</v>
      </c>
      <c r="I13" s="450" t="s">
        <v>490</v>
      </c>
      <c r="J13" s="450" t="s">
        <v>490</v>
      </c>
      <c r="K13" s="450" t="s">
        <v>490</v>
      </c>
      <c r="L13" s="450" t="s">
        <v>490</v>
      </c>
      <c r="M13" s="450" t="s">
        <v>490</v>
      </c>
      <c r="N13" s="450" t="s">
        <v>490</v>
      </c>
      <c r="O13" s="450" t="s">
        <v>490</v>
      </c>
      <c r="P13" s="450" t="s">
        <v>490</v>
      </c>
      <c r="Q13" s="450" t="s">
        <v>490</v>
      </c>
      <c r="R13" s="450"/>
    </row>
    <row r="14" spans="1:18" ht="14">
      <c r="A14" s="449">
        <f>A13+1</f>
        <v>1986</v>
      </c>
      <c r="B14" s="450" t="s">
        <v>490</v>
      </c>
      <c r="C14" s="450" t="s">
        <v>490</v>
      </c>
      <c r="D14" s="450" t="s">
        <v>490</v>
      </c>
      <c r="E14" s="450" t="s">
        <v>490</v>
      </c>
      <c r="F14" s="450" t="s">
        <v>490</v>
      </c>
      <c r="G14" s="450" t="s">
        <v>490</v>
      </c>
      <c r="H14" s="450" t="s">
        <v>490</v>
      </c>
      <c r="I14" s="450" t="s">
        <v>490</v>
      </c>
      <c r="J14" s="450" t="s">
        <v>490</v>
      </c>
      <c r="K14" s="450" t="s">
        <v>490</v>
      </c>
      <c r="L14" s="450" t="s">
        <v>490</v>
      </c>
      <c r="M14" s="450" t="s">
        <v>490</v>
      </c>
      <c r="N14" s="450" t="s">
        <v>490</v>
      </c>
      <c r="O14" s="450" t="s">
        <v>490</v>
      </c>
      <c r="P14" s="450" t="s">
        <v>490</v>
      </c>
      <c r="Q14" s="450" t="s">
        <v>490</v>
      </c>
      <c r="R14" s="450"/>
    </row>
    <row r="15" spans="1:18" ht="14">
      <c r="A15" s="449">
        <f t="shared" ref="A15:A50" si="0">A14+1</f>
        <v>1987</v>
      </c>
      <c r="B15" s="450" t="s">
        <v>490</v>
      </c>
      <c r="C15" s="450" t="s">
        <v>490</v>
      </c>
      <c r="D15" s="450" t="s">
        <v>490</v>
      </c>
      <c r="E15" s="450" t="s">
        <v>490</v>
      </c>
      <c r="F15" s="450" t="s">
        <v>490</v>
      </c>
      <c r="G15" s="450" t="s">
        <v>490</v>
      </c>
      <c r="H15" s="450" t="s">
        <v>490</v>
      </c>
      <c r="I15" s="450" t="s">
        <v>490</v>
      </c>
      <c r="J15" s="450" t="s">
        <v>490</v>
      </c>
      <c r="K15" s="450" t="s">
        <v>490</v>
      </c>
      <c r="L15" s="450" t="s">
        <v>490</v>
      </c>
      <c r="M15" s="450" t="s">
        <v>490</v>
      </c>
      <c r="N15" s="450" t="s">
        <v>490</v>
      </c>
      <c r="O15" s="450" t="s">
        <v>490</v>
      </c>
      <c r="P15" s="450" t="s">
        <v>490</v>
      </c>
      <c r="Q15" s="450" t="s">
        <v>490</v>
      </c>
      <c r="R15" s="450"/>
    </row>
    <row r="16" spans="1:18" ht="14">
      <c r="A16" s="449">
        <f t="shared" si="0"/>
        <v>1988</v>
      </c>
      <c r="B16" s="450" t="s">
        <v>490</v>
      </c>
      <c r="C16" s="450" t="s">
        <v>490</v>
      </c>
      <c r="D16" s="450" t="s">
        <v>490</v>
      </c>
      <c r="E16" s="450" t="s">
        <v>490</v>
      </c>
      <c r="F16" s="450" t="s">
        <v>490</v>
      </c>
      <c r="G16" s="450" t="s">
        <v>490</v>
      </c>
      <c r="H16" s="450" t="s">
        <v>490</v>
      </c>
      <c r="I16" s="450" t="s">
        <v>490</v>
      </c>
      <c r="J16" s="450" t="s">
        <v>490</v>
      </c>
      <c r="K16" s="450" t="s">
        <v>490</v>
      </c>
      <c r="L16" s="450" t="s">
        <v>490</v>
      </c>
      <c r="M16" s="450" t="s">
        <v>490</v>
      </c>
      <c r="N16" s="450" t="s">
        <v>490</v>
      </c>
      <c r="O16" s="450" t="s">
        <v>490</v>
      </c>
      <c r="P16" s="450" t="s">
        <v>490</v>
      </c>
      <c r="Q16" s="450" t="s">
        <v>490</v>
      </c>
      <c r="R16" s="450"/>
    </row>
    <row r="17" spans="1:18" ht="14">
      <c r="A17" s="449">
        <f t="shared" si="0"/>
        <v>1989</v>
      </c>
      <c r="B17" s="450" t="s">
        <v>490</v>
      </c>
      <c r="C17" s="450" t="s">
        <v>490</v>
      </c>
      <c r="D17" s="450" t="s">
        <v>490</v>
      </c>
      <c r="E17" s="450" t="s">
        <v>490</v>
      </c>
      <c r="F17" s="450" t="s">
        <v>490</v>
      </c>
      <c r="G17" s="450" t="s">
        <v>490</v>
      </c>
      <c r="H17" s="450" t="s">
        <v>490</v>
      </c>
      <c r="I17" s="450" t="s">
        <v>490</v>
      </c>
      <c r="J17" s="450" t="s">
        <v>490</v>
      </c>
      <c r="K17" s="450" t="s">
        <v>490</v>
      </c>
      <c r="L17" s="450" t="s">
        <v>490</v>
      </c>
      <c r="M17" s="450" t="s">
        <v>490</v>
      </c>
      <c r="N17" s="450" t="s">
        <v>490</v>
      </c>
      <c r="O17" s="450" t="s">
        <v>490</v>
      </c>
      <c r="P17" s="450" t="s">
        <v>490</v>
      </c>
      <c r="Q17" s="450" t="s">
        <v>490</v>
      </c>
      <c r="R17" s="450"/>
    </row>
    <row r="18" spans="1:18" ht="14">
      <c r="A18" s="449">
        <f t="shared" si="0"/>
        <v>1990</v>
      </c>
      <c r="B18" s="450" t="s">
        <v>490</v>
      </c>
      <c r="C18" s="450" t="s">
        <v>490</v>
      </c>
      <c r="D18" s="450" t="s">
        <v>490</v>
      </c>
      <c r="E18" s="450" t="s">
        <v>490</v>
      </c>
      <c r="F18" s="450" t="s">
        <v>490</v>
      </c>
      <c r="G18" s="450" t="s">
        <v>490</v>
      </c>
      <c r="H18" s="450" t="s">
        <v>490</v>
      </c>
      <c r="I18" s="450" t="s">
        <v>490</v>
      </c>
      <c r="J18" s="450" t="s">
        <v>490</v>
      </c>
      <c r="K18" s="450" t="s">
        <v>490</v>
      </c>
      <c r="L18" s="450" t="s">
        <v>490</v>
      </c>
      <c r="M18" s="450" t="s">
        <v>490</v>
      </c>
      <c r="N18" s="450" t="s">
        <v>490</v>
      </c>
      <c r="O18" s="450" t="s">
        <v>490</v>
      </c>
      <c r="P18" s="450" t="s">
        <v>490</v>
      </c>
      <c r="Q18" s="450" t="s">
        <v>490</v>
      </c>
      <c r="R18" s="450"/>
    </row>
    <row r="19" spans="1:18" ht="14">
      <c r="A19" s="449">
        <f t="shared" si="0"/>
        <v>1991</v>
      </c>
      <c r="B19" s="450" t="s">
        <v>490</v>
      </c>
      <c r="C19" s="450" t="s">
        <v>490</v>
      </c>
      <c r="D19" s="450" t="s">
        <v>490</v>
      </c>
      <c r="E19" s="450" t="s">
        <v>490</v>
      </c>
      <c r="F19" s="450" t="s">
        <v>490</v>
      </c>
      <c r="G19" s="450" t="s">
        <v>490</v>
      </c>
      <c r="H19" s="450" t="s">
        <v>490</v>
      </c>
      <c r="I19" s="450" t="s">
        <v>490</v>
      </c>
      <c r="J19" s="450" t="s">
        <v>490</v>
      </c>
      <c r="K19" s="450" t="s">
        <v>490</v>
      </c>
      <c r="L19" s="450" t="s">
        <v>490</v>
      </c>
      <c r="M19" s="450" t="s">
        <v>490</v>
      </c>
      <c r="N19" s="450" t="s">
        <v>490</v>
      </c>
      <c r="O19" s="450" t="s">
        <v>490</v>
      </c>
      <c r="P19" s="450" t="s">
        <v>490</v>
      </c>
      <c r="Q19" s="450" t="s">
        <v>490</v>
      </c>
      <c r="R19" s="450"/>
    </row>
    <row r="20" spans="1:18" ht="14">
      <c r="A20" s="449">
        <f t="shared" si="0"/>
        <v>1992</v>
      </c>
      <c r="B20" s="450" t="s">
        <v>490</v>
      </c>
      <c r="C20" s="450" t="s">
        <v>490</v>
      </c>
      <c r="D20" s="450" t="s">
        <v>490</v>
      </c>
      <c r="E20" s="450" t="s">
        <v>490</v>
      </c>
      <c r="F20" s="450" t="s">
        <v>490</v>
      </c>
      <c r="G20" s="450" t="s">
        <v>490</v>
      </c>
      <c r="H20" s="450" t="s">
        <v>490</v>
      </c>
      <c r="I20" s="450" t="s">
        <v>490</v>
      </c>
      <c r="J20" s="450" t="s">
        <v>490</v>
      </c>
      <c r="K20" s="450" t="s">
        <v>490</v>
      </c>
      <c r="L20" s="450" t="s">
        <v>490</v>
      </c>
      <c r="M20" s="450" t="s">
        <v>490</v>
      </c>
      <c r="N20" s="450" t="s">
        <v>490</v>
      </c>
      <c r="O20" s="450" t="s">
        <v>490</v>
      </c>
      <c r="P20" s="450" t="s">
        <v>490</v>
      </c>
      <c r="Q20" s="450" t="s">
        <v>490</v>
      </c>
      <c r="R20" s="450"/>
    </row>
    <row r="21" spans="1:18" ht="14">
      <c r="A21" s="449">
        <f t="shared" si="0"/>
        <v>1993</v>
      </c>
      <c r="B21" s="450" t="s">
        <v>490</v>
      </c>
      <c r="C21" s="450" t="s">
        <v>490</v>
      </c>
      <c r="D21" s="450" t="s">
        <v>490</v>
      </c>
      <c r="E21" s="450" t="s">
        <v>490</v>
      </c>
      <c r="F21" s="450" t="s">
        <v>490</v>
      </c>
      <c r="G21" s="450" t="s">
        <v>490</v>
      </c>
      <c r="H21" s="450" t="s">
        <v>490</v>
      </c>
      <c r="I21" s="450" t="s">
        <v>490</v>
      </c>
      <c r="J21" s="450" t="s">
        <v>490</v>
      </c>
      <c r="K21" s="450" t="s">
        <v>490</v>
      </c>
      <c r="L21" s="450" t="s">
        <v>490</v>
      </c>
      <c r="M21" s="450" t="s">
        <v>490</v>
      </c>
      <c r="N21" s="450" t="s">
        <v>490</v>
      </c>
      <c r="O21" s="450" t="s">
        <v>490</v>
      </c>
      <c r="P21" s="450" t="s">
        <v>490</v>
      </c>
      <c r="Q21" s="450" t="s">
        <v>490</v>
      </c>
      <c r="R21" s="450"/>
    </row>
    <row r="22" spans="1:18" ht="14">
      <c r="A22" s="449">
        <f t="shared" si="0"/>
        <v>1994</v>
      </c>
      <c r="B22" s="450" t="s">
        <v>490</v>
      </c>
      <c r="C22" s="450" t="s">
        <v>490</v>
      </c>
      <c r="D22" s="450" t="s">
        <v>490</v>
      </c>
      <c r="E22" s="450" t="s">
        <v>490</v>
      </c>
      <c r="F22" s="450" t="s">
        <v>490</v>
      </c>
      <c r="G22" s="450" t="s">
        <v>490</v>
      </c>
      <c r="H22" s="450" t="s">
        <v>490</v>
      </c>
      <c r="I22" s="450" t="s">
        <v>490</v>
      </c>
      <c r="J22" s="450" t="s">
        <v>490</v>
      </c>
      <c r="K22" s="450" t="s">
        <v>490</v>
      </c>
      <c r="L22" s="450" t="s">
        <v>490</v>
      </c>
      <c r="M22" s="450" t="s">
        <v>490</v>
      </c>
      <c r="N22" s="450" t="s">
        <v>490</v>
      </c>
      <c r="O22" s="450" t="s">
        <v>490</v>
      </c>
      <c r="P22" s="450" t="s">
        <v>490</v>
      </c>
      <c r="Q22" s="450" t="s">
        <v>490</v>
      </c>
      <c r="R22" s="450"/>
    </row>
    <row r="23" spans="1:18" ht="14">
      <c r="A23" s="449">
        <f t="shared" si="0"/>
        <v>1995</v>
      </c>
      <c r="B23" s="450" t="s">
        <v>490</v>
      </c>
      <c r="C23" s="450" t="s">
        <v>490</v>
      </c>
      <c r="D23" s="450" t="s">
        <v>490</v>
      </c>
      <c r="E23" s="450" t="s">
        <v>490</v>
      </c>
      <c r="F23" s="450" t="s">
        <v>490</v>
      </c>
      <c r="G23" s="450" t="s">
        <v>490</v>
      </c>
      <c r="H23" s="450" t="s">
        <v>490</v>
      </c>
      <c r="I23" s="450" t="s">
        <v>490</v>
      </c>
      <c r="J23" s="450" t="s">
        <v>490</v>
      </c>
      <c r="K23" s="450" t="s">
        <v>490</v>
      </c>
      <c r="L23" s="450" t="s">
        <v>490</v>
      </c>
      <c r="M23" s="450" t="s">
        <v>490</v>
      </c>
      <c r="N23" s="450" t="s">
        <v>490</v>
      </c>
      <c r="O23" s="450" t="s">
        <v>490</v>
      </c>
      <c r="P23" s="450" t="s">
        <v>490</v>
      </c>
      <c r="Q23" s="553">
        <v>0.89217998641476481</v>
      </c>
      <c r="R23" s="450"/>
    </row>
    <row r="24" spans="1:18" ht="14">
      <c r="A24" s="449">
        <f t="shared" si="0"/>
        <v>1996</v>
      </c>
      <c r="B24" s="450" t="s">
        <v>490</v>
      </c>
      <c r="C24" s="450" t="s">
        <v>490</v>
      </c>
      <c r="D24" s="450" t="s">
        <v>490</v>
      </c>
      <c r="E24" s="450" t="s">
        <v>490</v>
      </c>
      <c r="F24" s="450" t="s">
        <v>490</v>
      </c>
      <c r="G24" s="450" t="s">
        <v>490</v>
      </c>
      <c r="H24" s="450" t="s">
        <v>490</v>
      </c>
      <c r="I24" s="450" t="s">
        <v>490</v>
      </c>
      <c r="J24" s="450" t="s">
        <v>490</v>
      </c>
      <c r="K24" s="450" t="s">
        <v>490</v>
      </c>
      <c r="L24" s="450" t="s">
        <v>490</v>
      </c>
      <c r="M24" s="450" t="s">
        <v>490</v>
      </c>
      <c r="N24" s="450" t="s">
        <v>490</v>
      </c>
      <c r="O24" s="450" t="s">
        <v>490</v>
      </c>
      <c r="P24" s="468">
        <v>0.52818394154421344</v>
      </c>
      <c r="Q24" s="553">
        <v>0.52818394154421344</v>
      </c>
      <c r="R24" s="450"/>
    </row>
    <row r="25" spans="1:18" ht="14">
      <c r="A25" s="449">
        <f t="shared" si="0"/>
        <v>1997</v>
      </c>
      <c r="B25" s="450" t="s">
        <v>490</v>
      </c>
      <c r="C25" s="450" t="s">
        <v>490</v>
      </c>
      <c r="D25" s="450" t="s">
        <v>490</v>
      </c>
      <c r="E25" s="450" t="s">
        <v>490</v>
      </c>
      <c r="F25" s="450" t="s">
        <v>490</v>
      </c>
      <c r="G25" s="450" t="s">
        <v>490</v>
      </c>
      <c r="H25" s="450" t="s">
        <v>490</v>
      </c>
      <c r="I25" s="450" t="s">
        <v>490</v>
      </c>
      <c r="J25" s="450" t="s">
        <v>490</v>
      </c>
      <c r="K25" s="450" t="s">
        <v>490</v>
      </c>
      <c r="L25" s="450" t="s">
        <v>490</v>
      </c>
      <c r="M25" s="450" t="s">
        <v>490</v>
      </c>
      <c r="N25" s="450" t="s">
        <v>490</v>
      </c>
      <c r="O25" s="468">
        <v>0.34807653899193974</v>
      </c>
      <c r="P25" s="468">
        <v>0.34807653899193974</v>
      </c>
      <c r="Q25" s="554">
        <v>0.34807653899193974</v>
      </c>
      <c r="R25" s="468"/>
    </row>
    <row r="26" spans="1:18" ht="14">
      <c r="A26" s="449">
        <f t="shared" si="0"/>
        <v>1998</v>
      </c>
      <c r="B26" s="450" t="s">
        <v>490</v>
      </c>
      <c r="C26" s="450" t="s">
        <v>490</v>
      </c>
      <c r="D26" s="450" t="s">
        <v>490</v>
      </c>
      <c r="E26" s="450" t="s">
        <v>490</v>
      </c>
      <c r="F26" s="450" t="s">
        <v>490</v>
      </c>
      <c r="G26" s="450" t="s">
        <v>490</v>
      </c>
      <c r="H26" s="450" t="s">
        <v>490</v>
      </c>
      <c r="I26" s="450" t="s">
        <v>490</v>
      </c>
      <c r="J26" s="450" t="s">
        <v>490</v>
      </c>
      <c r="K26" s="450" t="s">
        <v>490</v>
      </c>
      <c r="L26" s="450" t="s">
        <v>490</v>
      </c>
      <c r="M26" s="450" t="s">
        <v>490</v>
      </c>
      <c r="N26" s="468">
        <v>0.84261899357731396</v>
      </c>
      <c r="O26" s="468">
        <v>0.84261899357731396</v>
      </c>
      <c r="P26" s="468">
        <v>0.84261899357731396</v>
      </c>
      <c r="Q26" s="554">
        <v>0.84261899357731396</v>
      </c>
      <c r="R26" s="468"/>
    </row>
    <row r="27" spans="1:18" ht="14">
      <c r="A27" s="449">
        <f t="shared" si="0"/>
        <v>1999</v>
      </c>
      <c r="B27" s="450" t="s">
        <v>490</v>
      </c>
      <c r="C27" s="450" t="s">
        <v>490</v>
      </c>
      <c r="D27" s="450" t="s">
        <v>490</v>
      </c>
      <c r="E27" s="450" t="s">
        <v>490</v>
      </c>
      <c r="F27" s="450" t="s">
        <v>490</v>
      </c>
      <c r="G27" s="450" t="s">
        <v>490</v>
      </c>
      <c r="H27" s="450" t="s">
        <v>490</v>
      </c>
      <c r="I27" s="450" t="s">
        <v>490</v>
      </c>
      <c r="J27" s="450" t="s">
        <v>490</v>
      </c>
      <c r="K27" s="450" t="s">
        <v>490</v>
      </c>
      <c r="L27" s="450" t="s">
        <v>490</v>
      </c>
      <c r="M27" s="468">
        <v>0.55124766177728235</v>
      </c>
      <c r="N27" s="468">
        <v>0.55118222332760847</v>
      </c>
      <c r="O27" s="468">
        <v>0.55115337878733861</v>
      </c>
      <c r="P27" s="468">
        <v>0.55112960630343022</v>
      </c>
      <c r="Q27" s="554">
        <v>0.55127339130485387</v>
      </c>
      <c r="R27" s="468"/>
    </row>
    <row r="28" spans="1:18" ht="14">
      <c r="A28" s="449">
        <f t="shared" si="0"/>
        <v>2000</v>
      </c>
      <c r="B28" s="450" t="s">
        <v>490</v>
      </c>
      <c r="C28" s="450" t="s">
        <v>490</v>
      </c>
      <c r="D28" s="450" t="s">
        <v>490</v>
      </c>
      <c r="E28" s="450" t="s">
        <v>490</v>
      </c>
      <c r="F28" s="450" t="s">
        <v>490</v>
      </c>
      <c r="G28" s="450" t="s">
        <v>490</v>
      </c>
      <c r="H28" s="450" t="s">
        <v>490</v>
      </c>
      <c r="I28" s="450" t="s">
        <v>490</v>
      </c>
      <c r="J28" s="450" t="s">
        <v>490</v>
      </c>
      <c r="K28" s="450" t="s">
        <v>490</v>
      </c>
      <c r="L28" s="468">
        <v>0.56224789610291359</v>
      </c>
      <c r="M28" s="468">
        <v>0.56224789610291359</v>
      </c>
      <c r="N28" s="468">
        <v>0.56224789610291359</v>
      </c>
      <c r="O28" s="468">
        <v>0.56224789610291359</v>
      </c>
      <c r="P28" s="468">
        <v>0.56224789610291359</v>
      </c>
      <c r="Q28" s="554">
        <v>0.56224789610291359</v>
      </c>
      <c r="R28" s="468"/>
    </row>
    <row r="29" spans="1:18" ht="14">
      <c r="A29" s="449">
        <f t="shared" si="0"/>
        <v>2001</v>
      </c>
      <c r="B29" s="450" t="s">
        <v>490</v>
      </c>
      <c r="C29" s="450" t="s">
        <v>490</v>
      </c>
      <c r="D29" s="450" t="s">
        <v>490</v>
      </c>
      <c r="E29" s="450" t="s">
        <v>490</v>
      </c>
      <c r="F29" s="450" t="s">
        <v>490</v>
      </c>
      <c r="G29" s="450" t="s">
        <v>490</v>
      </c>
      <c r="H29" s="450" t="s">
        <v>490</v>
      </c>
      <c r="I29" s="450" t="s">
        <v>490</v>
      </c>
      <c r="J29" s="450" t="s">
        <v>490</v>
      </c>
      <c r="K29" s="468">
        <v>0.51694975842349633</v>
      </c>
      <c r="L29" s="468">
        <v>0.51694975842349633</v>
      </c>
      <c r="M29" s="468">
        <v>0.51694975842349633</v>
      </c>
      <c r="N29" s="468">
        <v>0.51694975842349633</v>
      </c>
      <c r="O29" s="468">
        <v>0.51694975842349633</v>
      </c>
      <c r="P29" s="468">
        <v>0.51694975842349633</v>
      </c>
      <c r="Q29" s="554">
        <v>0.51694975842349633</v>
      </c>
      <c r="R29" s="468"/>
    </row>
    <row r="30" spans="1:18" ht="14">
      <c r="A30" s="449">
        <f t="shared" si="0"/>
        <v>2002</v>
      </c>
      <c r="B30" s="450" t="s">
        <v>490</v>
      </c>
      <c r="C30" s="450" t="s">
        <v>490</v>
      </c>
      <c r="D30" s="450" t="s">
        <v>490</v>
      </c>
      <c r="E30" s="450" t="s">
        <v>490</v>
      </c>
      <c r="F30" s="450" t="s">
        <v>490</v>
      </c>
      <c r="G30" s="450" t="s">
        <v>490</v>
      </c>
      <c r="H30" s="450" t="s">
        <v>490</v>
      </c>
      <c r="I30" s="450" t="s">
        <v>490</v>
      </c>
      <c r="J30" s="468">
        <v>0.4652045386301088</v>
      </c>
      <c r="K30" s="468">
        <v>0.4651013248239968</v>
      </c>
      <c r="L30" s="468">
        <v>0.4651013248239968</v>
      </c>
      <c r="M30" s="468">
        <v>0.4651013248239968</v>
      </c>
      <c r="N30" s="468">
        <v>0.46023029106098418</v>
      </c>
      <c r="O30" s="468">
        <v>0.49458963155761593</v>
      </c>
      <c r="P30" s="468">
        <v>0.49458963155761593</v>
      </c>
      <c r="Q30" s="554">
        <v>0.50032247309032984</v>
      </c>
      <c r="R30" s="468"/>
    </row>
    <row r="31" spans="1:18" ht="14">
      <c r="A31" s="449">
        <f t="shared" si="0"/>
        <v>2003</v>
      </c>
      <c r="B31" s="450" t="s">
        <v>490</v>
      </c>
      <c r="C31" s="450" t="s">
        <v>490</v>
      </c>
      <c r="D31" s="450" t="s">
        <v>490</v>
      </c>
      <c r="E31" s="450" t="s">
        <v>490</v>
      </c>
      <c r="F31" s="450" t="s">
        <v>490</v>
      </c>
      <c r="G31" s="450" t="s">
        <v>490</v>
      </c>
      <c r="H31" s="450" t="s">
        <v>490</v>
      </c>
      <c r="I31" s="468">
        <v>0.73623357703188097</v>
      </c>
      <c r="J31" s="468">
        <v>0.70612590552476917</v>
      </c>
      <c r="K31" s="468">
        <v>0.7202158165903072</v>
      </c>
      <c r="L31" s="468">
        <v>0.7202158165903072</v>
      </c>
      <c r="M31" s="468">
        <v>0.7202158165903072</v>
      </c>
      <c r="N31" s="468">
        <v>0.7202158165903072</v>
      </c>
      <c r="O31" s="468">
        <v>0.7202158165903072</v>
      </c>
      <c r="P31" s="468">
        <v>0.7202158165903072</v>
      </c>
      <c r="Q31" s="554">
        <v>0.7202158165903072</v>
      </c>
      <c r="R31" s="468"/>
    </row>
    <row r="32" spans="1:18" ht="14">
      <c r="A32" s="449">
        <f t="shared" si="0"/>
        <v>2004</v>
      </c>
      <c r="B32" s="450" t="s">
        <v>490</v>
      </c>
      <c r="C32" s="450" t="s">
        <v>490</v>
      </c>
      <c r="D32" s="450" t="s">
        <v>490</v>
      </c>
      <c r="E32" s="450" t="s">
        <v>490</v>
      </c>
      <c r="F32" s="450" t="s">
        <v>490</v>
      </c>
      <c r="G32" s="450" t="s">
        <v>490</v>
      </c>
      <c r="H32" s="468">
        <v>0.38701318824934855</v>
      </c>
      <c r="I32" s="468">
        <v>0.39213639717154186</v>
      </c>
      <c r="J32" s="468">
        <v>0.3917041910105184</v>
      </c>
      <c r="K32" s="468">
        <v>0.39183211337564067</v>
      </c>
      <c r="L32" s="468">
        <v>0.3905873417528169</v>
      </c>
      <c r="M32" s="468">
        <v>0.3905873417528169</v>
      </c>
      <c r="N32" s="468">
        <v>0.3905873417528169</v>
      </c>
      <c r="O32" s="468">
        <v>0.38269719396464186</v>
      </c>
      <c r="P32" s="468">
        <v>0.38269719396464186</v>
      </c>
      <c r="Q32" s="554">
        <v>0.38269719325882429</v>
      </c>
      <c r="R32" s="468"/>
    </row>
    <row r="33" spans="1:18" ht="14">
      <c r="A33" s="449">
        <f t="shared" si="0"/>
        <v>2005</v>
      </c>
      <c r="B33" s="450" t="s">
        <v>490</v>
      </c>
      <c r="C33" s="450" t="s">
        <v>490</v>
      </c>
      <c r="D33" s="450" t="s">
        <v>490</v>
      </c>
      <c r="E33" s="450" t="s">
        <v>490</v>
      </c>
      <c r="F33" s="450" t="s">
        <v>490</v>
      </c>
      <c r="G33" s="468">
        <v>0.30312648588519958</v>
      </c>
      <c r="H33" s="468">
        <v>0.28268377682525847</v>
      </c>
      <c r="I33" s="468">
        <v>0.27685354106987159</v>
      </c>
      <c r="J33" s="468">
        <v>0.26854294410621926</v>
      </c>
      <c r="K33" s="468">
        <v>0.26854294410621926</v>
      </c>
      <c r="L33" s="468">
        <v>0.26854294410621926</v>
      </c>
      <c r="M33" s="468">
        <v>0.26854294410621926</v>
      </c>
      <c r="N33" s="468">
        <v>0.26854294410621926</v>
      </c>
      <c r="O33" s="468">
        <v>0.26854294410621926</v>
      </c>
      <c r="P33" s="468">
        <v>0.26854294410621926</v>
      </c>
      <c r="Q33" s="468">
        <v>0.26854294381862071</v>
      </c>
      <c r="R33" s="468"/>
    </row>
    <row r="34" spans="1:18" ht="14">
      <c r="A34" s="449">
        <f t="shared" si="0"/>
        <v>2006</v>
      </c>
      <c r="B34" s="450" t="s">
        <v>490</v>
      </c>
      <c r="C34" s="450" t="s">
        <v>490</v>
      </c>
      <c r="D34" s="450" t="s">
        <v>490</v>
      </c>
      <c r="E34" s="450" t="s">
        <v>490</v>
      </c>
      <c r="F34" s="468">
        <v>0.40282746878398279</v>
      </c>
      <c r="G34" s="468">
        <v>0.39032368412224472</v>
      </c>
      <c r="H34" s="468">
        <v>0.37789565079722753</v>
      </c>
      <c r="I34" s="468">
        <v>0.38222161930265924</v>
      </c>
      <c r="J34" s="468">
        <v>0.38067163419734606</v>
      </c>
      <c r="K34" s="468">
        <v>0.3775151166936167</v>
      </c>
      <c r="L34" s="468">
        <v>0.3775151166936167</v>
      </c>
      <c r="M34" s="468">
        <v>0.37690444233940168</v>
      </c>
      <c r="N34" s="468">
        <v>0.37629574046723219</v>
      </c>
      <c r="O34" s="468">
        <v>0.37629574046723219</v>
      </c>
      <c r="P34" s="468">
        <v>0.37629573317460652</v>
      </c>
      <c r="Q34" s="468">
        <v>0.37629574046723219</v>
      </c>
      <c r="R34" s="468"/>
    </row>
    <row r="35" spans="1:18" ht="14">
      <c r="A35" s="449">
        <f t="shared" si="0"/>
        <v>2007</v>
      </c>
      <c r="B35" s="450" t="s">
        <v>490</v>
      </c>
      <c r="C35" s="450" t="s">
        <v>490</v>
      </c>
      <c r="D35" s="450" t="s">
        <v>490</v>
      </c>
      <c r="E35" s="468">
        <v>0.42873167911130283</v>
      </c>
      <c r="F35" s="468">
        <v>0.33897794069409731</v>
      </c>
      <c r="G35" s="468">
        <v>0.32525231007273325</v>
      </c>
      <c r="H35" s="468">
        <v>0.33160572534149929</v>
      </c>
      <c r="I35" s="468">
        <v>0.27268043477814174</v>
      </c>
      <c r="J35" s="468">
        <v>0.27266689968646723</v>
      </c>
      <c r="K35" s="468">
        <v>0.27430544498295523</v>
      </c>
      <c r="L35" s="468">
        <v>0.27430348820060446</v>
      </c>
      <c r="M35" s="468">
        <v>0.27430348820060446</v>
      </c>
      <c r="N35" s="468">
        <v>0.27430348820060446</v>
      </c>
      <c r="O35" s="468">
        <v>0.27430348711351094</v>
      </c>
      <c r="P35" s="468">
        <v>0.27430348820060446</v>
      </c>
      <c r="Q35" s="468">
        <v>0.27430348820060446</v>
      </c>
      <c r="R35" s="468"/>
    </row>
    <row r="36" spans="1:18" ht="14">
      <c r="A36" s="449">
        <f t="shared" si="0"/>
        <v>2008</v>
      </c>
      <c r="B36" s="450" t="s">
        <v>490</v>
      </c>
      <c r="C36" s="450" t="s">
        <v>490</v>
      </c>
      <c r="D36" s="468">
        <v>0.37074086493677549</v>
      </c>
      <c r="E36" s="468">
        <v>0.44227523937001917</v>
      </c>
      <c r="F36" s="468">
        <v>0.51459426221991922</v>
      </c>
      <c r="G36" s="468">
        <v>0.44358755797677174</v>
      </c>
      <c r="H36" s="468">
        <v>0.36731187430477191</v>
      </c>
      <c r="I36" s="468">
        <v>0.36616526858347004</v>
      </c>
      <c r="J36" s="468">
        <v>0.36616526858347004</v>
      </c>
      <c r="K36" s="468">
        <v>0.36616526858347004</v>
      </c>
      <c r="L36" s="468">
        <v>0.36559464598440972</v>
      </c>
      <c r="M36" s="468">
        <v>0.37362295529697681</v>
      </c>
      <c r="N36" s="468">
        <v>0.37362295251205674</v>
      </c>
      <c r="O36" s="468">
        <v>0.37362295529697664</v>
      </c>
      <c r="P36" s="468">
        <v>0.37362295529697664</v>
      </c>
      <c r="Q36" s="468"/>
      <c r="R36" s="468"/>
    </row>
    <row r="37" spans="1:18" ht="14">
      <c r="A37" s="449">
        <f t="shared" si="0"/>
        <v>2009</v>
      </c>
      <c r="B37" s="450" t="s">
        <v>490</v>
      </c>
      <c r="C37" s="468">
        <v>0.34930290568737743</v>
      </c>
      <c r="D37" s="468">
        <v>0.35245150828919702</v>
      </c>
      <c r="E37" s="468">
        <v>0.50329860129549508</v>
      </c>
      <c r="F37" s="468">
        <v>0.45022008538464697</v>
      </c>
      <c r="G37" s="468">
        <v>0.45372134141233539</v>
      </c>
      <c r="H37" s="468">
        <v>0.48986675704765875</v>
      </c>
      <c r="I37" s="468">
        <v>0.5026163382077492</v>
      </c>
      <c r="J37" s="468">
        <v>0.50124265848630212</v>
      </c>
      <c r="K37" s="468">
        <v>0.50124265848630212</v>
      </c>
      <c r="L37" s="468">
        <v>0.50124265848630212</v>
      </c>
      <c r="M37" s="468">
        <v>0.50124266245227234</v>
      </c>
      <c r="N37" s="468">
        <v>0.50124265848630223</v>
      </c>
      <c r="O37" s="468">
        <v>0.50124265848630223</v>
      </c>
      <c r="P37" s="468"/>
      <c r="Q37" s="468"/>
      <c r="R37" s="468"/>
    </row>
    <row r="38" spans="1:18" ht="14">
      <c r="A38" s="449">
        <f t="shared" si="0"/>
        <v>2010</v>
      </c>
      <c r="B38" s="468">
        <v>0.10880131622783992</v>
      </c>
      <c r="C38" s="468">
        <v>0.26747645059646946</v>
      </c>
      <c r="D38" s="468">
        <v>0.45063971466216379</v>
      </c>
      <c r="E38" s="468">
        <v>0.47043253165336041</v>
      </c>
      <c r="F38" s="468">
        <v>0.55687734189359206</v>
      </c>
      <c r="G38" s="468">
        <v>0.54369222793508465</v>
      </c>
      <c r="H38" s="468">
        <v>0.52494342224928303</v>
      </c>
      <c r="I38" s="468">
        <v>0.51336116443010094</v>
      </c>
      <c r="J38" s="468">
        <v>0.50750834929047528</v>
      </c>
      <c r="K38" s="468">
        <v>0.50750834929047528</v>
      </c>
      <c r="L38" s="468">
        <v>0.5075083346811915</v>
      </c>
      <c r="M38" s="468">
        <v>0.50750834929047528</v>
      </c>
      <c r="N38" s="468">
        <v>0.50750834929047528</v>
      </c>
      <c r="O38" s="468"/>
      <c r="P38" s="468"/>
      <c r="Q38" s="468"/>
      <c r="R38" s="468"/>
    </row>
    <row r="39" spans="1:18" ht="14">
      <c r="A39" s="449">
        <f t="shared" si="0"/>
        <v>2011</v>
      </c>
      <c r="B39" s="468">
        <v>0</v>
      </c>
      <c r="C39" s="468">
        <v>8.9758572060317912E-2</v>
      </c>
      <c r="D39" s="468">
        <v>0.51252253912777379</v>
      </c>
      <c r="E39" s="468">
        <v>0.40151974520902056</v>
      </c>
      <c r="F39" s="468">
        <v>0.67439198410990553</v>
      </c>
      <c r="G39" s="468">
        <v>0.72980582026308505</v>
      </c>
      <c r="H39" s="468">
        <v>0.72326176348491211</v>
      </c>
      <c r="I39" s="468">
        <v>0.72326176348491211</v>
      </c>
      <c r="J39" s="468">
        <v>0.72278489552227232</v>
      </c>
      <c r="K39" s="468">
        <v>0.72278491145296231</v>
      </c>
      <c r="L39" s="468">
        <v>0.74623306189423311</v>
      </c>
      <c r="M39" s="468">
        <v>0.74623306189423311</v>
      </c>
      <c r="N39" s="468"/>
      <c r="O39" s="468"/>
      <c r="P39" s="468"/>
      <c r="Q39" s="468"/>
      <c r="R39" s="468"/>
    </row>
    <row r="40" spans="1:18" ht="14">
      <c r="A40" s="449">
        <f t="shared" si="0"/>
        <v>2012</v>
      </c>
      <c r="B40" s="468">
        <v>0</v>
      </c>
      <c r="C40" s="468">
        <v>0</v>
      </c>
      <c r="D40" s="468">
        <v>0.26278450616451787</v>
      </c>
      <c r="E40" s="468">
        <v>0.21764038716113887</v>
      </c>
      <c r="F40" s="468">
        <v>0.26021398845651195</v>
      </c>
      <c r="G40" s="468">
        <v>0.77987830184709939</v>
      </c>
      <c r="H40" s="468">
        <v>0.74870996327091521</v>
      </c>
      <c r="I40" s="468">
        <v>0.72822199827139666</v>
      </c>
      <c r="J40" s="468">
        <v>0.72305087719512007</v>
      </c>
      <c r="K40" s="468">
        <v>0.68901302495503747</v>
      </c>
      <c r="L40" s="468">
        <v>0.68814811523325514</v>
      </c>
      <c r="M40" s="468"/>
      <c r="N40" s="468"/>
      <c r="O40" s="468"/>
      <c r="P40" s="468"/>
      <c r="Q40" s="468"/>
      <c r="R40" s="468"/>
    </row>
    <row r="41" spans="1:18" ht="14">
      <c r="A41" s="449">
        <f t="shared" si="0"/>
        <v>2013</v>
      </c>
      <c r="B41" s="468">
        <v>0.18856570524669339</v>
      </c>
      <c r="C41" s="468">
        <v>0.10631810590347805</v>
      </c>
      <c r="D41" s="468">
        <v>0.24268959054962988</v>
      </c>
      <c r="E41" s="468">
        <v>0.24486504390743355</v>
      </c>
      <c r="F41" s="468">
        <v>0.42695660028853727</v>
      </c>
      <c r="G41" s="468">
        <v>0.68265525335476551</v>
      </c>
      <c r="H41" s="468">
        <v>0.74343829060038724</v>
      </c>
      <c r="I41" s="468">
        <v>0.73590671182658962</v>
      </c>
      <c r="J41" s="468">
        <v>0.74985089207579469</v>
      </c>
      <c r="K41" s="468">
        <v>0.74985089207579469</v>
      </c>
      <c r="L41" s="468"/>
      <c r="M41" s="468"/>
      <c r="N41" s="468"/>
      <c r="O41" s="468"/>
      <c r="P41" s="468"/>
      <c r="Q41" s="468"/>
      <c r="R41" s="468"/>
    </row>
    <row r="42" spans="1:18" ht="14">
      <c r="A42" s="449">
        <f t="shared" si="0"/>
        <v>2014</v>
      </c>
      <c r="B42" s="468">
        <v>0</v>
      </c>
      <c r="C42" s="468">
        <v>0.19974796055585731</v>
      </c>
      <c r="D42" s="468">
        <v>0.18103838987139673</v>
      </c>
      <c r="E42" s="468">
        <v>0.15971401089606047</v>
      </c>
      <c r="F42" s="468">
        <v>0.3581067313541561</v>
      </c>
      <c r="G42" s="468">
        <v>0.37949819621157704</v>
      </c>
      <c r="H42" s="468">
        <v>0.33740500198781548</v>
      </c>
      <c r="I42" s="468">
        <v>0.3377770232733337</v>
      </c>
      <c r="J42" s="468">
        <v>0.3377770232733337</v>
      </c>
      <c r="K42" s="468"/>
      <c r="L42" s="468"/>
      <c r="M42" s="468"/>
      <c r="N42" s="468"/>
      <c r="O42" s="468"/>
      <c r="P42" s="468"/>
      <c r="Q42" s="468"/>
      <c r="R42" s="468"/>
    </row>
    <row r="43" spans="1:18" ht="14">
      <c r="A43" s="449">
        <f t="shared" si="0"/>
        <v>2015</v>
      </c>
      <c r="B43" s="468">
        <v>0</v>
      </c>
      <c r="C43" s="468">
        <v>0.40992509660069371</v>
      </c>
      <c r="D43" s="468">
        <v>0.5374531488030232</v>
      </c>
      <c r="E43" s="468">
        <v>0.57293856967218171</v>
      </c>
      <c r="F43" s="468">
        <v>0.53356469402344231</v>
      </c>
      <c r="G43" s="468">
        <v>0.54085616547620041</v>
      </c>
      <c r="H43" s="468">
        <v>0.54137966177332975</v>
      </c>
      <c r="I43" s="468">
        <v>0.54098521276119638</v>
      </c>
      <c r="J43" s="468"/>
      <c r="K43" s="468"/>
      <c r="L43" s="468"/>
      <c r="M43" s="468"/>
      <c r="N43" s="468"/>
      <c r="O43" s="468"/>
      <c r="P43" s="468"/>
      <c r="Q43" s="468"/>
      <c r="R43" s="468"/>
    </row>
    <row r="44" spans="1:18" ht="14">
      <c r="A44" s="449">
        <f t="shared" si="0"/>
        <v>2016</v>
      </c>
      <c r="B44" s="468">
        <v>0.24978000376388493</v>
      </c>
      <c r="C44" s="468">
        <v>0.39151536927337044</v>
      </c>
      <c r="D44" s="468">
        <v>0.45251762666245954</v>
      </c>
      <c r="E44" s="468">
        <v>0.44901265596800721</v>
      </c>
      <c r="F44" s="468">
        <v>0.51773708202835578</v>
      </c>
      <c r="G44" s="468">
        <v>0.54605176242724485</v>
      </c>
      <c r="H44" s="468">
        <v>0.52909027592251123</v>
      </c>
      <c r="I44" s="468"/>
      <c r="J44" s="468"/>
      <c r="K44" s="468"/>
      <c r="L44" s="468"/>
      <c r="M44" s="468"/>
      <c r="N44" s="468"/>
      <c r="O44" s="468"/>
      <c r="P44" s="468"/>
      <c r="Q44" s="468"/>
      <c r="R44" s="468"/>
    </row>
    <row r="45" spans="1:18" ht="14">
      <c r="A45" s="449">
        <f t="shared" si="0"/>
        <v>2017</v>
      </c>
      <c r="B45" s="468">
        <v>0</v>
      </c>
      <c r="C45" s="468">
        <v>2.9945310071692696E-2</v>
      </c>
      <c r="D45" s="468">
        <v>0.18169427353134018</v>
      </c>
      <c r="E45" s="468">
        <v>0.32167544009623245</v>
      </c>
      <c r="F45" s="468">
        <v>0.38964082428496544</v>
      </c>
      <c r="G45" s="468">
        <v>0.1466363102513828</v>
      </c>
      <c r="H45" s="468"/>
      <c r="I45" s="468"/>
      <c r="J45" s="468"/>
      <c r="K45" s="468"/>
      <c r="L45" s="468"/>
      <c r="M45" s="468"/>
      <c r="N45" s="468"/>
      <c r="O45" s="468"/>
      <c r="P45" s="468"/>
      <c r="Q45" s="468"/>
      <c r="R45" s="468"/>
    </row>
    <row r="46" spans="1:18" ht="14">
      <c r="A46" s="449">
        <f t="shared" si="0"/>
        <v>2018</v>
      </c>
      <c r="B46" s="468">
        <v>0</v>
      </c>
      <c r="C46" s="468">
        <v>0.38399506108029813</v>
      </c>
      <c r="D46" s="468">
        <v>0.2540038951497321</v>
      </c>
      <c r="E46" s="468">
        <v>0.38827549170397302</v>
      </c>
      <c r="F46" s="468">
        <v>0.46592567597206619</v>
      </c>
      <c r="G46" s="468"/>
      <c r="H46" s="468"/>
      <c r="I46" s="468"/>
      <c r="J46" s="468"/>
      <c r="K46" s="468"/>
      <c r="L46" s="468"/>
      <c r="M46" s="468"/>
      <c r="N46" s="468"/>
      <c r="O46" s="468"/>
      <c r="P46" s="468"/>
      <c r="Q46" s="468"/>
      <c r="R46" s="468"/>
    </row>
    <row r="47" spans="1:18" ht="14">
      <c r="A47" s="449">
        <f t="shared" si="0"/>
        <v>2019</v>
      </c>
      <c r="B47" s="468">
        <v>0</v>
      </c>
      <c r="C47" s="468">
        <v>0.14446078456429851</v>
      </c>
      <c r="D47" s="468">
        <v>0.20107940347169387</v>
      </c>
      <c r="E47" s="468">
        <v>0.23467709791916061</v>
      </c>
      <c r="F47" s="468"/>
      <c r="G47" s="468"/>
      <c r="H47" s="468"/>
      <c r="I47" s="468"/>
      <c r="J47" s="468"/>
      <c r="K47" s="468"/>
      <c r="L47" s="468"/>
      <c r="M47" s="468"/>
      <c r="N47" s="468"/>
      <c r="O47" s="468"/>
      <c r="P47" s="468"/>
      <c r="Q47" s="468"/>
      <c r="R47" s="468"/>
    </row>
    <row r="48" spans="1:18" ht="14">
      <c r="A48" s="449">
        <f t="shared" si="0"/>
        <v>2020</v>
      </c>
      <c r="B48" s="468">
        <v>0</v>
      </c>
      <c r="C48" s="468">
        <v>0</v>
      </c>
      <c r="D48" s="468">
        <v>0.2521554642864231</v>
      </c>
      <c r="E48" s="468"/>
      <c r="F48" s="468"/>
      <c r="G48" s="468"/>
      <c r="H48" s="468"/>
      <c r="I48" s="468"/>
      <c r="J48" s="468"/>
      <c r="K48" s="468"/>
      <c r="L48" s="468"/>
      <c r="M48" s="468"/>
      <c r="N48" s="468"/>
      <c r="O48" s="468"/>
      <c r="P48" s="468"/>
      <c r="Q48" s="468"/>
      <c r="R48" s="468"/>
    </row>
    <row r="49" spans="1:18" ht="14">
      <c r="A49" s="449">
        <f t="shared" si="0"/>
        <v>2021</v>
      </c>
      <c r="B49" s="468">
        <v>0</v>
      </c>
      <c r="C49" s="468">
        <v>0</v>
      </c>
      <c r="D49" s="468"/>
      <c r="E49" s="468"/>
      <c r="F49" s="468"/>
      <c r="G49" s="468"/>
      <c r="H49" s="468"/>
      <c r="I49" s="468"/>
      <c r="J49" s="468"/>
      <c r="K49" s="468"/>
      <c r="L49" s="468"/>
      <c r="M49" s="468"/>
      <c r="N49" s="468"/>
      <c r="O49" s="468"/>
      <c r="P49" s="468"/>
      <c r="Q49" s="468"/>
      <c r="R49" s="468"/>
    </row>
    <row r="50" spans="1:18" ht="14">
      <c r="A50" s="449">
        <f t="shared" si="0"/>
        <v>2022</v>
      </c>
      <c r="B50" s="468">
        <v>0</v>
      </c>
      <c r="C50" s="451"/>
      <c r="D50" s="451"/>
      <c r="E50" s="451"/>
      <c r="F50" s="451"/>
      <c r="G50" s="451"/>
      <c r="H50" s="451"/>
      <c r="I50" s="451"/>
      <c r="J50" s="451"/>
      <c r="K50" s="451"/>
      <c r="L50" s="451"/>
      <c r="M50" s="451"/>
      <c r="N50" s="451"/>
      <c r="O50" s="451"/>
      <c r="P50" s="451"/>
      <c r="Q50" s="451"/>
    </row>
    <row r="51" spans="1:18" ht="14">
      <c r="A51" s="444"/>
      <c r="B51" s="451"/>
      <c r="C51" s="451"/>
      <c r="D51" s="451"/>
      <c r="E51" s="451"/>
      <c r="F51" s="451"/>
      <c r="G51" s="451"/>
      <c r="H51" s="451"/>
      <c r="I51" s="451"/>
      <c r="J51" s="451"/>
      <c r="K51" s="451"/>
      <c r="L51" s="451"/>
      <c r="M51" s="451"/>
      <c r="N51" s="451"/>
      <c r="O51" s="451"/>
      <c r="P51" s="451"/>
      <c r="Q51" s="451"/>
    </row>
    <row r="52" spans="1:18" ht="14">
      <c r="A52" s="446"/>
      <c r="B52" s="452"/>
      <c r="C52" s="452"/>
      <c r="D52" s="452"/>
      <c r="E52" s="452"/>
      <c r="F52" s="452"/>
      <c r="G52" s="452"/>
      <c r="H52" s="452"/>
      <c r="I52" s="452"/>
      <c r="J52" s="452"/>
      <c r="K52" s="452"/>
      <c r="L52" s="452"/>
      <c r="M52" s="452"/>
      <c r="N52" s="452"/>
      <c r="O52" s="452"/>
      <c r="P52" s="452"/>
      <c r="Q52" s="452"/>
    </row>
    <row r="53" spans="1:18" ht="14">
      <c r="A53" s="444"/>
      <c r="B53" s="446" t="s">
        <v>1032</v>
      </c>
      <c r="C53" s="444"/>
      <c r="D53" s="444"/>
      <c r="E53" s="444"/>
      <c r="F53" s="444"/>
      <c r="G53" s="444"/>
      <c r="H53" s="444"/>
      <c r="I53" s="444"/>
      <c r="J53" s="444"/>
      <c r="K53" s="444"/>
      <c r="L53" s="444"/>
      <c r="M53" s="444"/>
      <c r="N53" s="444"/>
      <c r="O53" s="444"/>
      <c r="P53" s="444"/>
      <c r="Q53" s="444"/>
    </row>
    <row r="54" spans="1:18" ht="14">
      <c r="A54" s="467" t="s">
        <v>170</v>
      </c>
      <c r="B54" s="453" t="s">
        <v>1033</v>
      </c>
      <c r="C54" s="453" t="s">
        <v>1034</v>
      </c>
      <c r="D54" s="453" t="s">
        <v>1035</v>
      </c>
      <c r="E54" s="453" t="s">
        <v>1036</v>
      </c>
      <c r="F54" s="453" t="s">
        <v>1037</v>
      </c>
      <c r="G54" s="453" t="s">
        <v>1038</v>
      </c>
      <c r="H54" s="453" t="s">
        <v>1039</v>
      </c>
      <c r="I54" s="453" t="s">
        <v>1040</v>
      </c>
      <c r="J54" s="453" t="s">
        <v>1041</v>
      </c>
      <c r="K54" s="453" t="s">
        <v>1042</v>
      </c>
      <c r="L54" s="453" t="s">
        <v>1043</v>
      </c>
      <c r="M54" s="453" t="s">
        <v>1044</v>
      </c>
      <c r="N54" s="453" t="s">
        <v>1045</v>
      </c>
      <c r="O54" s="453" t="s">
        <v>1046</v>
      </c>
      <c r="P54" s="453" t="s">
        <v>1047</v>
      </c>
      <c r="Q54" s="453" t="s">
        <v>1048</v>
      </c>
    </row>
    <row r="55" spans="1:18" ht="14">
      <c r="A55" s="449"/>
      <c r="B55" s="449"/>
      <c r="C55" s="449"/>
      <c r="D55" s="449"/>
      <c r="E55" s="449"/>
      <c r="F55" s="449"/>
      <c r="G55" s="449"/>
      <c r="H55" s="449"/>
      <c r="I55" s="449"/>
      <c r="J55" s="449"/>
      <c r="K55" s="449"/>
      <c r="L55" s="449"/>
      <c r="M55" s="449"/>
      <c r="N55" s="449"/>
      <c r="O55" s="449"/>
      <c r="P55" s="449"/>
      <c r="Q55" s="449"/>
    </row>
    <row r="56" spans="1:18" ht="14">
      <c r="A56" s="444"/>
      <c r="B56" s="444"/>
      <c r="C56" s="444"/>
      <c r="D56" s="444"/>
      <c r="E56" s="444"/>
      <c r="F56" s="444"/>
      <c r="G56" s="444"/>
      <c r="H56" s="444"/>
      <c r="I56" s="444"/>
      <c r="J56" s="444"/>
      <c r="K56" s="444"/>
      <c r="L56" s="444"/>
      <c r="M56" s="444"/>
      <c r="N56" s="444"/>
      <c r="O56" s="444"/>
      <c r="P56" s="444"/>
      <c r="Q56" s="444"/>
    </row>
    <row r="57" spans="1:18" ht="14">
      <c r="A57" s="449">
        <f>A13</f>
        <v>1985</v>
      </c>
      <c r="B57" s="454">
        <v>0</v>
      </c>
      <c r="C57" s="454">
        <v>0</v>
      </c>
      <c r="D57" s="454">
        <v>0</v>
      </c>
      <c r="E57" s="454">
        <v>0</v>
      </c>
      <c r="F57" s="454">
        <v>0</v>
      </c>
      <c r="G57" s="454">
        <v>0</v>
      </c>
      <c r="H57" s="454">
        <v>0</v>
      </c>
      <c r="I57" s="454">
        <v>0</v>
      </c>
      <c r="J57" s="454">
        <v>0</v>
      </c>
      <c r="K57" s="454">
        <v>0</v>
      </c>
      <c r="L57" s="454">
        <v>0</v>
      </c>
      <c r="M57" s="454">
        <v>0</v>
      </c>
      <c r="N57" s="454">
        <v>0</v>
      </c>
      <c r="O57" s="454">
        <v>0</v>
      </c>
      <c r="P57" s="454">
        <v>0</v>
      </c>
      <c r="Q57" s="454">
        <v>0</v>
      </c>
    </row>
    <row r="58" spans="1:18" ht="14">
      <c r="A58" s="449">
        <f>A57+1</f>
        <v>1986</v>
      </c>
      <c r="B58" s="454">
        <v>0</v>
      </c>
      <c r="C58" s="454">
        <v>0</v>
      </c>
      <c r="D58" s="454">
        <v>0</v>
      </c>
      <c r="E58" s="454">
        <v>0</v>
      </c>
      <c r="F58" s="454">
        <v>0</v>
      </c>
      <c r="G58" s="454">
        <v>0</v>
      </c>
      <c r="H58" s="454">
        <v>0</v>
      </c>
      <c r="I58" s="454">
        <v>0</v>
      </c>
      <c r="J58" s="454">
        <v>0</v>
      </c>
      <c r="K58" s="454">
        <v>0</v>
      </c>
      <c r="L58" s="454">
        <v>0</v>
      </c>
      <c r="M58" s="454">
        <v>0</v>
      </c>
      <c r="N58" s="454">
        <v>0</v>
      </c>
      <c r="O58" s="454">
        <v>0</v>
      </c>
      <c r="P58" s="454">
        <v>0</v>
      </c>
      <c r="Q58" s="454">
        <v>0</v>
      </c>
    </row>
    <row r="59" spans="1:18" ht="14">
      <c r="A59" s="449">
        <f t="shared" ref="A59:A94" si="1">A58+1</f>
        <v>1987</v>
      </c>
      <c r="B59" s="454">
        <v>0</v>
      </c>
      <c r="C59" s="454">
        <v>0</v>
      </c>
      <c r="D59" s="454">
        <v>0</v>
      </c>
      <c r="E59" s="454">
        <v>0</v>
      </c>
      <c r="F59" s="454">
        <v>0</v>
      </c>
      <c r="G59" s="454">
        <v>0</v>
      </c>
      <c r="H59" s="454">
        <v>0</v>
      </c>
      <c r="I59" s="454">
        <v>0</v>
      </c>
      <c r="J59" s="454">
        <v>0</v>
      </c>
      <c r="K59" s="454">
        <v>0</v>
      </c>
      <c r="L59" s="454">
        <v>0</v>
      </c>
      <c r="M59" s="454">
        <v>0</v>
      </c>
      <c r="N59" s="454">
        <v>0</v>
      </c>
      <c r="O59" s="454">
        <v>0</v>
      </c>
      <c r="P59" s="454">
        <v>0</v>
      </c>
      <c r="Q59" s="454">
        <v>0</v>
      </c>
    </row>
    <row r="60" spans="1:18" ht="14">
      <c r="A60" s="449">
        <f t="shared" si="1"/>
        <v>1988</v>
      </c>
      <c r="B60" s="454">
        <v>0</v>
      </c>
      <c r="C60" s="454">
        <v>0</v>
      </c>
      <c r="D60" s="454">
        <v>0</v>
      </c>
      <c r="E60" s="454">
        <v>0</v>
      </c>
      <c r="F60" s="454">
        <v>0</v>
      </c>
      <c r="G60" s="454">
        <v>0</v>
      </c>
      <c r="H60" s="454">
        <v>0</v>
      </c>
      <c r="I60" s="454">
        <v>0</v>
      </c>
      <c r="J60" s="454">
        <v>0</v>
      </c>
      <c r="K60" s="454">
        <v>0</v>
      </c>
      <c r="L60" s="454">
        <v>0</v>
      </c>
      <c r="M60" s="454">
        <v>0</v>
      </c>
      <c r="N60" s="454">
        <v>0</v>
      </c>
      <c r="O60" s="454">
        <v>0</v>
      </c>
      <c r="P60" s="454">
        <v>0</v>
      </c>
      <c r="Q60" s="454">
        <v>0</v>
      </c>
    </row>
    <row r="61" spans="1:18" ht="14">
      <c r="A61" s="449">
        <f t="shared" si="1"/>
        <v>1989</v>
      </c>
      <c r="B61" s="454">
        <v>0</v>
      </c>
      <c r="C61" s="454">
        <v>0</v>
      </c>
      <c r="D61" s="454">
        <v>0</v>
      </c>
      <c r="E61" s="454">
        <v>0</v>
      </c>
      <c r="F61" s="454">
        <v>0</v>
      </c>
      <c r="G61" s="454">
        <v>0</v>
      </c>
      <c r="H61" s="454">
        <v>0</v>
      </c>
      <c r="I61" s="454">
        <v>0</v>
      </c>
      <c r="J61" s="454">
        <v>0</v>
      </c>
      <c r="K61" s="454">
        <v>0</v>
      </c>
      <c r="L61" s="454">
        <v>0</v>
      </c>
      <c r="M61" s="454">
        <v>0</v>
      </c>
      <c r="N61" s="454">
        <v>0</v>
      </c>
      <c r="O61" s="454">
        <v>0</v>
      </c>
      <c r="P61" s="454">
        <v>0</v>
      </c>
      <c r="Q61" s="454">
        <v>0</v>
      </c>
    </row>
    <row r="62" spans="1:18" ht="14">
      <c r="A62" s="449">
        <f t="shared" si="1"/>
        <v>1990</v>
      </c>
      <c r="B62" s="454">
        <v>0</v>
      </c>
      <c r="C62" s="454">
        <v>0</v>
      </c>
      <c r="D62" s="454">
        <v>0</v>
      </c>
      <c r="E62" s="454">
        <v>0</v>
      </c>
      <c r="F62" s="454">
        <v>0</v>
      </c>
      <c r="G62" s="454">
        <v>0</v>
      </c>
      <c r="H62" s="454">
        <v>0</v>
      </c>
      <c r="I62" s="454">
        <v>0</v>
      </c>
      <c r="J62" s="454">
        <v>0</v>
      </c>
      <c r="K62" s="454">
        <v>0</v>
      </c>
      <c r="L62" s="454">
        <v>0</v>
      </c>
      <c r="M62" s="454">
        <v>0</v>
      </c>
      <c r="N62" s="454">
        <v>0</v>
      </c>
      <c r="O62" s="454">
        <v>0</v>
      </c>
      <c r="P62" s="454">
        <v>0</v>
      </c>
      <c r="Q62" s="454">
        <v>0</v>
      </c>
    </row>
    <row r="63" spans="1:18" ht="14">
      <c r="A63" s="449">
        <f t="shared" si="1"/>
        <v>1991</v>
      </c>
      <c r="B63" s="454">
        <v>0</v>
      </c>
      <c r="C63" s="454">
        <v>0</v>
      </c>
      <c r="D63" s="454">
        <v>0</v>
      </c>
      <c r="E63" s="454">
        <v>0</v>
      </c>
      <c r="F63" s="454">
        <v>0</v>
      </c>
      <c r="G63" s="454">
        <v>0</v>
      </c>
      <c r="H63" s="454">
        <v>0</v>
      </c>
      <c r="I63" s="454">
        <v>0</v>
      </c>
      <c r="J63" s="454">
        <v>0</v>
      </c>
      <c r="K63" s="454">
        <v>0</v>
      </c>
      <c r="L63" s="454">
        <v>0</v>
      </c>
      <c r="M63" s="454">
        <v>0</v>
      </c>
      <c r="N63" s="454">
        <v>0</v>
      </c>
      <c r="O63" s="454">
        <v>0</v>
      </c>
      <c r="P63" s="454">
        <v>0</v>
      </c>
      <c r="Q63" s="454">
        <v>0</v>
      </c>
    </row>
    <row r="64" spans="1:18" ht="14">
      <c r="A64" s="449">
        <f t="shared" si="1"/>
        <v>1992</v>
      </c>
      <c r="B64" s="454">
        <v>0</v>
      </c>
      <c r="C64" s="454">
        <v>0</v>
      </c>
      <c r="D64" s="454">
        <v>0</v>
      </c>
      <c r="E64" s="454">
        <v>0</v>
      </c>
      <c r="F64" s="454">
        <v>0</v>
      </c>
      <c r="G64" s="454">
        <v>0</v>
      </c>
      <c r="H64" s="454">
        <v>0</v>
      </c>
      <c r="I64" s="454">
        <v>0</v>
      </c>
      <c r="J64" s="454">
        <v>0</v>
      </c>
      <c r="K64" s="454">
        <v>0</v>
      </c>
      <c r="L64" s="454">
        <v>0</v>
      </c>
      <c r="M64" s="454">
        <v>0</v>
      </c>
      <c r="N64" s="454">
        <v>0</v>
      </c>
      <c r="O64" s="454">
        <v>0</v>
      </c>
      <c r="P64" s="454">
        <v>0</v>
      </c>
      <c r="Q64" s="454">
        <v>0</v>
      </c>
    </row>
    <row r="65" spans="1:17" ht="14">
      <c r="A65" s="449">
        <f t="shared" si="1"/>
        <v>1993</v>
      </c>
      <c r="B65" s="454">
        <v>0</v>
      </c>
      <c r="C65" s="454">
        <v>0</v>
      </c>
      <c r="D65" s="454">
        <v>0</v>
      </c>
      <c r="E65" s="454">
        <v>0</v>
      </c>
      <c r="F65" s="454">
        <v>0</v>
      </c>
      <c r="G65" s="454">
        <v>0</v>
      </c>
      <c r="H65" s="454">
        <v>0</v>
      </c>
      <c r="I65" s="454">
        <v>0</v>
      </c>
      <c r="J65" s="454">
        <v>0</v>
      </c>
      <c r="K65" s="454">
        <v>0</v>
      </c>
      <c r="L65" s="454">
        <v>0</v>
      </c>
      <c r="M65" s="454">
        <v>0</v>
      </c>
      <c r="N65" s="454">
        <v>0</v>
      </c>
      <c r="O65" s="454">
        <v>0</v>
      </c>
      <c r="P65" s="454">
        <v>0</v>
      </c>
      <c r="Q65" s="454">
        <v>0</v>
      </c>
    </row>
    <row r="66" spans="1:17" ht="14">
      <c r="A66" s="449">
        <f t="shared" si="1"/>
        <v>1994</v>
      </c>
      <c r="B66" s="454">
        <v>0</v>
      </c>
      <c r="C66" s="454">
        <v>0</v>
      </c>
      <c r="D66" s="454">
        <v>0</v>
      </c>
      <c r="E66" s="454">
        <v>0</v>
      </c>
      <c r="F66" s="454">
        <v>0</v>
      </c>
      <c r="G66" s="454">
        <v>0</v>
      </c>
      <c r="H66" s="454">
        <v>0</v>
      </c>
      <c r="I66" s="454">
        <v>0</v>
      </c>
      <c r="J66" s="454">
        <v>0</v>
      </c>
      <c r="K66" s="454">
        <v>0</v>
      </c>
      <c r="L66" s="454">
        <v>0</v>
      </c>
      <c r="M66" s="454">
        <v>0</v>
      </c>
      <c r="N66" s="454">
        <v>0</v>
      </c>
      <c r="O66" s="454">
        <v>0</v>
      </c>
      <c r="P66" s="454">
        <v>0</v>
      </c>
      <c r="Q66" s="454">
        <v>0</v>
      </c>
    </row>
    <row r="67" spans="1:17" ht="14">
      <c r="A67" s="449">
        <f t="shared" si="1"/>
        <v>1995</v>
      </c>
      <c r="B67" s="454">
        <v>0</v>
      </c>
      <c r="C67" s="454">
        <v>0</v>
      </c>
      <c r="D67" s="454">
        <v>0</v>
      </c>
      <c r="E67" s="454">
        <v>0</v>
      </c>
      <c r="F67" s="454">
        <v>0</v>
      </c>
      <c r="G67" s="454">
        <v>0</v>
      </c>
      <c r="H67" s="454">
        <v>0</v>
      </c>
      <c r="I67" s="454">
        <v>0</v>
      </c>
      <c r="J67" s="454">
        <v>0</v>
      </c>
      <c r="K67" s="454">
        <v>0</v>
      </c>
      <c r="L67" s="454">
        <v>0</v>
      </c>
      <c r="M67" s="454">
        <v>0</v>
      </c>
      <c r="N67" s="454">
        <v>0</v>
      </c>
      <c r="O67" s="454">
        <v>0</v>
      </c>
      <c r="P67" s="454">
        <v>0</v>
      </c>
      <c r="Q67" s="454">
        <v>0</v>
      </c>
    </row>
    <row r="68" spans="1:17" ht="14">
      <c r="A68" s="449">
        <f t="shared" si="1"/>
        <v>1996</v>
      </c>
      <c r="B68" s="454">
        <v>0</v>
      </c>
      <c r="C68" s="454">
        <v>0</v>
      </c>
      <c r="D68" s="454">
        <v>0</v>
      </c>
      <c r="E68" s="454">
        <v>0</v>
      </c>
      <c r="F68" s="454">
        <v>0</v>
      </c>
      <c r="G68" s="454">
        <v>0</v>
      </c>
      <c r="H68" s="454">
        <v>0</v>
      </c>
      <c r="I68" s="454">
        <v>0</v>
      </c>
      <c r="J68" s="454">
        <v>0</v>
      </c>
      <c r="K68" s="454">
        <v>0</v>
      </c>
      <c r="L68" s="454">
        <v>0</v>
      </c>
      <c r="M68" s="454">
        <v>0</v>
      </c>
      <c r="N68" s="454">
        <v>0</v>
      </c>
      <c r="O68" s="454">
        <v>0</v>
      </c>
      <c r="P68" s="454">
        <v>0</v>
      </c>
      <c r="Q68" s="454">
        <v>0</v>
      </c>
    </row>
    <row r="69" spans="1:17" ht="14">
      <c r="A69" s="449">
        <f t="shared" si="1"/>
        <v>1997</v>
      </c>
      <c r="B69" s="454">
        <v>0</v>
      </c>
      <c r="C69" s="454">
        <v>0</v>
      </c>
      <c r="D69" s="454">
        <v>0</v>
      </c>
      <c r="E69" s="454">
        <v>0</v>
      </c>
      <c r="F69" s="454">
        <v>0</v>
      </c>
      <c r="G69" s="454">
        <v>0</v>
      </c>
      <c r="H69" s="454">
        <v>0</v>
      </c>
      <c r="I69" s="454">
        <v>0</v>
      </c>
      <c r="J69" s="454">
        <v>0</v>
      </c>
      <c r="K69" s="454">
        <v>0</v>
      </c>
      <c r="L69" s="454">
        <v>0</v>
      </c>
      <c r="M69" s="454">
        <v>0</v>
      </c>
      <c r="N69" s="454">
        <v>0</v>
      </c>
      <c r="O69" s="454">
        <v>0</v>
      </c>
      <c r="P69" s="454">
        <v>0</v>
      </c>
      <c r="Q69" s="454">
        <v>0</v>
      </c>
    </row>
    <row r="70" spans="1:17" ht="14">
      <c r="A70" s="449">
        <f t="shared" si="1"/>
        <v>1998</v>
      </c>
      <c r="B70" s="454">
        <v>0</v>
      </c>
      <c r="C70" s="454">
        <v>0</v>
      </c>
      <c r="D70" s="454">
        <v>0</v>
      </c>
      <c r="E70" s="454">
        <v>0</v>
      </c>
      <c r="F70" s="454">
        <v>0</v>
      </c>
      <c r="G70" s="454">
        <v>0</v>
      </c>
      <c r="H70" s="454">
        <v>0</v>
      </c>
      <c r="I70" s="454">
        <v>0</v>
      </c>
      <c r="J70" s="454">
        <v>0</v>
      </c>
      <c r="K70" s="454">
        <v>0</v>
      </c>
      <c r="L70" s="454">
        <v>0</v>
      </c>
      <c r="M70" s="454">
        <v>0</v>
      </c>
      <c r="N70" s="454">
        <v>0</v>
      </c>
      <c r="O70" s="454">
        <v>0</v>
      </c>
      <c r="P70" s="454">
        <v>0</v>
      </c>
      <c r="Q70" s="454">
        <f t="shared" ref="Q70:Q78" si="2">IF(P25=0,0,R26/P25)</f>
        <v>0</v>
      </c>
    </row>
    <row r="71" spans="1:17" ht="14">
      <c r="A71" s="449">
        <f t="shared" si="1"/>
        <v>1999</v>
      </c>
      <c r="B71" s="454">
        <v>0</v>
      </c>
      <c r="C71" s="454">
        <v>0</v>
      </c>
      <c r="D71" s="454">
        <v>0</v>
      </c>
      <c r="E71" s="454">
        <v>0</v>
      </c>
      <c r="F71" s="454">
        <v>0</v>
      </c>
      <c r="G71" s="454">
        <v>0</v>
      </c>
      <c r="H71" s="454">
        <v>0</v>
      </c>
      <c r="I71" s="454">
        <v>0</v>
      </c>
      <c r="J71" s="454">
        <v>0</v>
      </c>
      <c r="K71" s="454">
        <v>0</v>
      </c>
      <c r="L71" s="454">
        <v>0</v>
      </c>
      <c r="M71" s="454">
        <v>0</v>
      </c>
      <c r="N71" s="454">
        <v>0</v>
      </c>
      <c r="O71" s="454">
        <v>0</v>
      </c>
      <c r="P71" s="454">
        <f t="shared" ref="P71:P79" si="3">IF(O26=0,0,P26/O26)</f>
        <v>1</v>
      </c>
      <c r="Q71" s="454">
        <f t="shared" si="2"/>
        <v>0</v>
      </c>
    </row>
    <row r="72" spans="1:17" ht="14">
      <c r="A72" s="449">
        <f t="shared" si="1"/>
        <v>2000</v>
      </c>
      <c r="B72" s="454">
        <v>0</v>
      </c>
      <c r="C72" s="454">
        <v>0</v>
      </c>
      <c r="D72" s="454">
        <v>0</v>
      </c>
      <c r="E72" s="454">
        <v>0</v>
      </c>
      <c r="F72" s="454">
        <v>0</v>
      </c>
      <c r="G72" s="454">
        <v>0</v>
      </c>
      <c r="H72" s="454">
        <v>0</v>
      </c>
      <c r="I72" s="454">
        <v>0</v>
      </c>
      <c r="J72" s="454">
        <v>0</v>
      </c>
      <c r="K72" s="454">
        <v>0</v>
      </c>
      <c r="L72" s="454">
        <v>0</v>
      </c>
      <c r="M72" s="454">
        <v>0</v>
      </c>
      <c r="N72" s="454">
        <v>0</v>
      </c>
      <c r="O72" s="454">
        <f t="shared" ref="O72:O80" si="4">IF(N27=0,0,O27/N27)</f>
        <v>0.99994766786908384</v>
      </c>
      <c r="P72" s="454">
        <f t="shared" si="3"/>
        <v>0.9999568677525652</v>
      </c>
      <c r="Q72" s="454">
        <f t="shared" si="2"/>
        <v>0</v>
      </c>
    </row>
    <row r="73" spans="1:17" ht="14">
      <c r="A73" s="449">
        <f t="shared" si="1"/>
        <v>2001</v>
      </c>
      <c r="B73" s="454">
        <v>0</v>
      </c>
      <c r="C73" s="454">
        <v>0</v>
      </c>
      <c r="D73" s="454">
        <v>0</v>
      </c>
      <c r="E73" s="454">
        <v>0</v>
      </c>
      <c r="F73" s="454">
        <v>0</v>
      </c>
      <c r="G73" s="454">
        <v>0</v>
      </c>
      <c r="H73" s="454">
        <v>0</v>
      </c>
      <c r="I73" s="454">
        <v>0</v>
      </c>
      <c r="J73" s="454">
        <v>0</v>
      </c>
      <c r="K73" s="454">
        <v>0</v>
      </c>
      <c r="L73" s="454">
        <v>0</v>
      </c>
      <c r="M73" s="454">
        <v>0</v>
      </c>
      <c r="N73" s="454">
        <f t="shared" ref="N73:N81" si="5">IF(M28=0,0,N28/M28)</f>
        <v>1</v>
      </c>
      <c r="O73" s="454">
        <f t="shared" si="4"/>
        <v>1</v>
      </c>
      <c r="P73" s="454">
        <f t="shared" si="3"/>
        <v>1</v>
      </c>
      <c r="Q73" s="454">
        <f t="shared" si="2"/>
        <v>0</v>
      </c>
    </row>
    <row r="74" spans="1:17" ht="14">
      <c r="A74" s="449">
        <f t="shared" si="1"/>
        <v>2002</v>
      </c>
      <c r="B74" s="454">
        <v>0</v>
      </c>
      <c r="C74" s="454">
        <v>0</v>
      </c>
      <c r="D74" s="454">
        <v>0</v>
      </c>
      <c r="E74" s="454">
        <v>0</v>
      </c>
      <c r="F74" s="454">
        <v>0</v>
      </c>
      <c r="G74" s="454">
        <v>0</v>
      </c>
      <c r="H74" s="454">
        <v>0</v>
      </c>
      <c r="I74" s="454">
        <v>0</v>
      </c>
      <c r="J74" s="454">
        <v>0</v>
      </c>
      <c r="K74" s="454">
        <v>0</v>
      </c>
      <c r="L74" s="454">
        <v>0</v>
      </c>
      <c r="M74" s="454">
        <f t="shared" ref="M74:M82" si="6">IF(L29=0,0,M29/L29)</f>
        <v>1</v>
      </c>
      <c r="N74" s="454">
        <f t="shared" si="5"/>
        <v>1</v>
      </c>
      <c r="O74" s="454">
        <f t="shared" si="4"/>
        <v>1</v>
      </c>
      <c r="P74" s="454">
        <f t="shared" si="3"/>
        <v>1</v>
      </c>
      <c r="Q74" s="454">
        <f t="shared" si="2"/>
        <v>0</v>
      </c>
    </row>
    <row r="75" spans="1:17" ht="14">
      <c r="A75" s="449">
        <f t="shared" si="1"/>
        <v>2003</v>
      </c>
      <c r="B75" s="454">
        <v>0</v>
      </c>
      <c r="C75" s="454">
        <v>0</v>
      </c>
      <c r="D75" s="454">
        <v>0</v>
      </c>
      <c r="E75" s="454">
        <v>0</v>
      </c>
      <c r="F75" s="454">
        <v>0</v>
      </c>
      <c r="G75" s="454">
        <v>0</v>
      </c>
      <c r="H75" s="454">
        <v>0</v>
      </c>
      <c r="I75" s="454">
        <v>0</v>
      </c>
      <c r="J75" s="454">
        <v>0</v>
      </c>
      <c r="K75" s="454">
        <v>0</v>
      </c>
      <c r="L75" s="454">
        <f t="shared" ref="L75:L83" si="7">IF(K30=0,0,L30/K30)</f>
        <v>1</v>
      </c>
      <c r="M75" s="454">
        <f t="shared" si="6"/>
        <v>1</v>
      </c>
      <c r="N75" s="454">
        <f t="shared" si="5"/>
        <v>0.98952694068361147</v>
      </c>
      <c r="O75" s="454">
        <f t="shared" si="4"/>
        <v>1.0746568428110674</v>
      </c>
      <c r="P75" s="454">
        <f t="shared" si="3"/>
        <v>1</v>
      </c>
      <c r="Q75" s="454">
        <f t="shared" si="2"/>
        <v>0</v>
      </c>
    </row>
    <row r="76" spans="1:17" ht="14">
      <c r="A76" s="449">
        <f t="shared" si="1"/>
        <v>2004</v>
      </c>
      <c r="B76" s="454">
        <v>0</v>
      </c>
      <c r="C76" s="454">
        <v>0</v>
      </c>
      <c r="D76" s="454">
        <v>0</v>
      </c>
      <c r="E76" s="454">
        <v>0</v>
      </c>
      <c r="F76" s="454">
        <v>0</v>
      </c>
      <c r="G76" s="454">
        <v>0</v>
      </c>
      <c r="H76" s="454">
        <v>0</v>
      </c>
      <c r="I76" s="454">
        <v>0</v>
      </c>
      <c r="J76" s="454">
        <v>0</v>
      </c>
      <c r="K76" s="454">
        <f t="shared" ref="K76:K84" si="8">IF(J31=0,0,K31/J31)</f>
        <v>1.0199538226190228</v>
      </c>
      <c r="L76" s="454">
        <f t="shared" si="7"/>
        <v>1</v>
      </c>
      <c r="M76" s="454">
        <f t="shared" si="6"/>
        <v>1</v>
      </c>
      <c r="N76" s="454">
        <f t="shared" si="5"/>
        <v>1</v>
      </c>
      <c r="O76" s="454">
        <f t="shared" si="4"/>
        <v>1</v>
      </c>
      <c r="P76" s="454">
        <f t="shared" si="3"/>
        <v>1</v>
      </c>
      <c r="Q76" s="454">
        <f t="shared" si="2"/>
        <v>0</v>
      </c>
    </row>
    <row r="77" spans="1:17" ht="14">
      <c r="A77" s="449">
        <f t="shared" si="1"/>
        <v>2005</v>
      </c>
      <c r="B77" s="454">
        <v>0</v>
      </c>
      <c r="C77" s="454">
        <v>0</v>
      </c>
      <c r="D77" s="454">
        <v>0</v>
      </c>
      <c r="E77" s="454">
        <v>0</v>
      </c>
      <c r="F77" s="454">
        <v>0</v>
      </c>
      <c r="G77" s="454">
        <v>0</v>
      </c>
      <c r="H77" s="454">
        <v>0</v>
      </c>
      <c r="I77" s="454">
        <v>0</v>
      </c>
      <c r="J77" s="454">
        <f t="shared" ref="J77:J85" si="9">IF(I32=0,0,J32/I32)</f>
        <v>0.99889781676951961</v>
      </c>
      <c r="K77" s="454">
        <f t="shared" si="8"/>
        <v>1.0003265790054281</v>
      </c>
      <c r="L77" s="454">
        <f t="shared" si="7"/>
        <v>0.99682320162045923</v>
      </c>
      <c r="M77" s="454">
        <f t="shared" si="6"/>
        <v>1</v>
      </c>
      <c r="N77" s="454">
        <f t="shared" si="5"/>
        <v>1</v>
      </c>
      <c r="O77" s="454">
        <f t="shared" si="4"/>
        <v>0.97979927420902357</v>
      </c>
      <c r="P77" s="454">
        <f t="shared" si="3"/>
        <v>1</v>
      </c>
      <c r="Q77" s="454">
        <f t="shared" si="2"/>
        <v>0</v>
      </c>
    </row>
    <row r="78" spans="1:17" ht="14">
      <c r="A78" s="449">
        <f t="shared" si="1"/>
        <v>2006</v>
      </c>
      <c r="B78" s="454">
        <v>0</v>
      </c>
      <c r="C78" s="454">
        <v>0</v>
      </c>
      <c r="D78" s="454">
        <v>0</v>
      </c>
      <c r="E78" s="454">
        <v>0</v>
      </c>
      <c r="F78" s="454">
        <v>0</v>
      </c>
      <c r="G78" s="454">
        <v>0</v>
      </c>
      <c r="H78" s="454">
        <v>0</v>
      </c>
      <c r="I78" s="454">
        <f t="shared" ref="I78:I86" si="10">IF(H33=0,0,I33/H33)</f>
        <v>0.97937541439107467</v>
      </c>
      <c r="J78" s="454">
        <f t="shared" si="9"/>
        <v>0.96998197338731196</v>
      </c>
      <c r="K78" s="454">
        <f t="shared" si="8"/>
        <v>1</v>
      </c>
      <c r="L78" s="454">
        <f t="shared" si="7"/>
        <v>1</v>
      </c>
      <c r="M78" s="454">
        <f t="shared" si="6"/>
        <v>1</v>
      </c>
      <c r="N78" s="454">
        <f t="shared" si="5"/>
        <v>1</v>
      </c>
      <c r="O78" s="454">
        <f t="shared" si="4"/>
        <v>1</v>
      </c>
      <c r="P78" s="454">
        <f t="shared" si="3"/>
        <v>1</v>
      </c>
      <c r="Q78" s="454">
        <f t="shared" si="2"/>
        <v>0</v>
      </c>
    </row>
    <row r="79" spans="1:17" ht="14">
      <c r="A79" s="449">
        <f t="shared" si="1"/>
        <v>2007</v>
      </c>
      <c r="B79" s="454">
        <v>0</v>
      </c>
      <c r="C79" s="454">
        <v>0</v>
      </c>
      <c r="D79" s="454">
        <v>0</v>
      </c>
      <c r="E79" s="454">
        <v>0</v>
      </c>
      <c r="F79" s="454">
        <v>0</v>
      </c>
      <c r="G79" s="454">
        <v>0</v>
      </c>
      <c r="H79" s="454">
        <f t="shared" ref="H79:H87" si="11">IF(G34=0,0,H34/G34)</f>
        <v>0.96815967405881298</v>
      </c>
      <c r="I79" s="454">
        <f t="shared" si="10"/>
        <v>1.0114475212834693</v>
      </c>
      <c r="J79" s="454">
        <f t="shared" si="9"/>
        <v>0.99594480001382168</v>
      </c>
      <c r="K79" s="454">
        <f t="shared" si="8"/>
        <v>0.99170803070109248</v>
      </c>
      <c r="L79" s="454">
        <f t="shared" si="7"/>
        <v>1</v>
      </c>
      <c r="M79" s="454">
        <f t="shared" si="6"/>
        <v>0.99838238436764204</v>
      </c>
      <c r="N79" s="454">
        <f t="shared" si="5"/>
        <v>0.99838499682202908</v>
      </c>
      <c r="O79" s="454">
        <f t="shared" si="4"/>
        <v>1</v>
      </c>
      <c r="P79" s="454">
        <f t="shared" si="3"/>
        <v>0.9999999806199622</v>
      </c>
      <c r="Q79" s="454"/>
    </row>
    <row r="80" spans="1:17" ht="14">
      <c r="A80" s="449">
        <f t="shared" si="1"/>
        <v>2008</v>
      </c>
      <c r="B80" s="454">
        <v>0</v>
      </c>
      <c r="C80" s="454">
        <v>0</v>
      </c>
      <c r="D80" s="454">
        <v>0</v>
      </c>
      <c r="E80" s="454">
        <v>0</v>
      </c>
      <c r="F80" s="454">
        <v>0</v>
      </c>
      <c r="G80" s="454">
        <f t="shared" ref="G80:G88" si="12">IF(F35=0,0,G35/F35)</f>
        <v>0.95950877926375033</v>
      </c>
      <c r="H80" s="454">
        <f t="shared" si="11"/>
        <v>1.0195338052090861</v>
      </c>
      <c r="I80" s="454">
        <f t="shared" si="10"/>
        <v>0.82230315685088307</v>
      </c>
      <c r="J80" s="454">
        <f t="shared" si="9"/>
        <v>0.99995036280587746</v>
      </c>
      <c r="K80" s="454">
        <f t="shared" si="8"/>
        <v>1.0060093296926473</v>
      </c>
      <c r="L80" s="454">
        <f t="shared" si="7"/>
        <v>0.99999286641083307</v>
      </c>
      <c r="M80" s="454">
        <f t="shared" si="6"/>
        <v>1</v>
      </c>
      <c r="N80" s="454">
        <f t="shared" si="5"/>
        <v>1</v>
      </c>
      <c r="O80" s="454">
        <f t="shared" si="4"/>
        <v>0.99999999603689504</v>
      </c>
      <c r="P80" s="454"/>
      <c r="Q80" s="454"/>
    </row>
    <row r="81" spans="1:17" ht="14">
      <c r="A81" s="449">
        <f t="shared" si="1"/>
        <v>2009</v>
      </c>
      <c r="B81" s="454">
        <v>0</v>
      </c>
      <c r="C81" s="454">
        <v>0</v>
      </c>
      <c r="D81" s="454">
        <v>0</v>
      </c>
      <c r="E81" s="454">
        <v>0</v>
      </c>
      <c r="F81" s="454">
        <f t="shared" ref="F81:F89" si="13">IF(E36=0,0,F36/E36)</f>
        <v>1.1635158752113546</v>
      </c>
      <c r="G81" s="454">
        <f t="shared" si="12"/>
        <v>0.86201419359627107</v>
      </c>
      <c r="H81" s="454">
        <f t="shared" si="11"/>
        <v>0.82804818958426696</v>
      </c>
      <c r="I81" s="454">
        <f t="shared" si="10"/>
        <v>0.99687838645708882</v>
      </c>
      <c r="J81" s="454">
        <f t="shared" si="9"/>
        <v>1</v>
      </c>
      <c r="K81" s="454">
        <f t="shared" si="8"/>
        <v>1</v>
      </c>
      <c r="L81" s="454">
        <f t="shared" si="7"/>
        <v>0.99844162554993865</v>
      </c>
      <c r="M81" s="454">
        <f t="shared" si="6"/>
        <v>1.0219595921350266</v>
      </c>
      <c r="N81" s="454">
        <f t="shared" si="5"/>
        <v>0.99999999254617511</v>
      </c>
      <c r="O81" s="454"/>
      <c r="P81" s="454"/>
      <c r="Q81" s="454"/>
    </row>
    <row r="82" spans="1:17" ht="14">
      <c r="A82" s="449">
        <f t="shared" si="1"/>
        <v>2010</v>
      </c>
      <c r="B82" s="454">
        <v>0</v>
      </c>
      <c r="C82" s="454">
        <v>0</v>
      </c>
      <c r="D82" s="454">
        <v>0</v>
      </c>
      <c r="E82" s="454">
        <f t="shared" ref="E82:E90" si="14">IF(D37=0,0,E37/D37)</f>
        <v>1.4279938926591953</v>
      </c>
      <c r="F82" s="454">
        <f t="shared" si="13"/>
        <v>0.89453871762364623</v>
      </c>
      <c r="G82" s="454">
        <f t="shared" si="12"/>
        <v>1.007776765500582</v>
      </c>
      <c r="H82" s="454">
        <f t="shared" si="11"/>
        <v>1.0796643497588423</v>
      </c>
      <c r="I82" s="454">
        <f t="shared" si="10"/>
        <v>1.0260266306636725</v>
      </c>
      <c r="J82" s="454">
        <f t="shared" si="9"/>
        <v>0.99726694176646657</v>
      </c>
      <c r="K82" s="454">
        <f t="shared" si="8"/>
        <v>1</v>
      </c>
      <c r="L82" s="454">
        <f t="shared" si="7"/>
        <v>1</v>
      </c>
      <c r="M82" s="454">
        <f t="shared" si="6"/>
        <v>1.0000000079122759</v>
      </c>
      <c r="N82" s="454"/>
      <c r="O82" s="454"/>
      <c r="P82" s="454"/>
      <c r="Q82" s="454"/>
    </row>
    <row r="83" spans="1:17" ht="14">
      <c r="A83" s="449">
        <f t="shared" si="1"/>
        <v>2011</v>
      </c>
      <c r="B83" s="454">
        <v>0</v>
      </c>
      <c r="C83" s="454">
        <v>0</v>
      </c>
      <c r="D83" s="454">
        <f t="shared" ref="D83:D91" si="15">IF(C38=0,0,D38/C38)</f>
        <v>1.6847827674445444</v>
      </c>
      <c r="E83" s="454">
        <f t="shared" si="14"/>
        <v>1.0439215993335937</v>
      </c>
      <c r="F83" s="454">
        <f t="shared" si="13"/>
        <v>1.1837560211586915</v>
      </c>
      <c r="G83" s="454">
        <f t="shared" si="12"/>
        <v>0.97632312725514547</v>
      </c>
      <c r="H83" s="454">
        <f t="shared" si="11"/>
        <v>0.96551577395724664</v>
      </c>
      <c r="I83" s="454">
        <f t="shared" si="10"/>
        <v>0.9779361787798877</v>
      </c>
      <c r="J83" s="454">
        <f t="shared" si="9"/>
        <v>0.98859903018545814</v>
      </c>
      <c r="K83" s="454">
        <f t="shared" si="8"/>
        <v>1</v>
      </c>
      <c r="L83" s="454">
        <f t="shared" si="7"/>
        <v>0.99999997121370754</v>
      </c>
      <c r="M83" s="454"/>
      <c r="N83" s="454"/>
      <c r="O83" s="454"/>
      <c r="P83" s="454"/>
      <c r="Q83" s="454"/>
    </row>
    <row r="84" spans="1:17" ht="14">
      <c r="A84" s="449">
        <f t="shared" si="1"/>
        <v>2012</v>
      </c>
      <c r="B84" s="454">
        <v>0</v>
      </c>
      <c r="C84" s="454">
        <f t="shared" ref="C84:C92" si="16">IF(B39=0,0,C39/B39)</f>
        <v>0</v>
      </c>
      <c r="D84" s="454">
        <f t="shared" si="15"/>
        <v>5.7100121733594174</v>
      </c>
      <c r="E84" s="454">
        <f t="shared" si="14"/>
        <v>0.783418707579844</v>
      </c>
      <c r="F84" s="454">
        <f t="shared" si="13"/>
        <v>1.6795985556297732</v>
      </c>
      <c r="G84" s="454">
        <f t="shared" si="12"/>
        <v>1.082168586606671</v>
      </c>
      <c r="H84" s="454">
        <f t="shared" si="11"/>
        <v>0.99103315348209486</v>
      </c>
      <c r="I84" s="454">
        <f t="shared" si="10"/>
        <v>1</v>
      </c>
      <c r="J84" s="454">
        <f t="shared" si="9"/>
        <v>0.99934067029847939</v>
      </c>
      <c r="K84" s="454">
        <f t="shared" si="8"/>
        <v>1.0000000220407068</v>
      </c>
      <c r="L84" s="454"/>
      <c r="M84" s="454"/>
      <c r="N84" s="454"/>
      <c r="O84" s="454"/>
      <c r="P84" s="454"/>
      <c r="Q84" s="454"/>
    </row>
    <row r="85" spans="1:17" ht="14">
      <c r="A85" s="449">
        <f t="shared" si="1"/>
        <v>2013</v>
      </c>
      <c r="B85" s="454">
        <f t="shared" ref="B85:B91" si="17">IF(A40=0,0,B40/A40)</f>
        <v>0</v>
      </c>
      <c r="C85" s="454">
        <f t="shared" si="16"/>
        <v>0</v>
      </c>
      <c r="D85" s="454">
        <f t="shared" si="15"/>
        <v>0</v>
      </c>
      <c r="E85" s="454">
        <f t="shared" si="14"/>
        <v>0.82820859698967086</v>
      </c>
      <c r="F85" s="454">
        <f t="shared" si="13"/>
        <v>1.1956144346676427</v>
      </c>
      <c r="G85" s="454">
        <f t="shared" si="12"/>
        <v>2.9970652480023605</v>
      </c>
      <c r="H85" s="454">
        <f t="shared" si="11"/>
        <v>0.96003435599841203</v>
      </c>
      <c r="I85" s="454">
        <f t="shared" si="10"/>
        <v>0.97263564530380753</v>
      </c>
      <c r="J85" s="454">
        <f t="shared" si="9"/>
        <v>0.9928989771133645</v>
      </c>
      <c r="K85" s="454"/>
      <c r="L85" s="454"/>
      <c r="M85" s="454"/>
      <c r="N85" s="454"/>
      <c r="O85" s="454"/>
      <c r="P85" s="454"/>
      <c r="Q85" s="454"/>
    </row>
    <row r="86" spans="1:17" ht="14">
      <c r="A86" s="449">
        <f t="shared" si="1"/>
        <v>2014</v>
      </c>
      <c r="B86" s="454">
        <f t="shared" si="17"/>
        <v>9.3673971806603772E-5</v>
      </c>
      <c r="C86" s="454">
        <f t="shared" si="16"/>
        <v>0.56382525000707895</v>
      </c>
      <c r="D86" s="454">
        <f t="shared" si="15"/>
        <v>2.2826741361434526</v>
      </c>
      <c r="E86" s="454">
        <f t="shared" si="14"/>
        <v>1.0089639335287386</v>
      </c>
      <c r="F86" s="454">
        <f t="shared" si="13"/>
        <v>1.7436404701764612</v>
      </c>
      <c r="G86" s="454">
        <f t="shared" si="12"/>
        <v>1.5988867554534281</v>
      </c>
      <c r="H86" s="454">
        <f t="shared" si="11"/>
        <v>1.0890391408356066</v>
      </c>
      <c r="I86" s="454">
        <f t="shared" si="10"/>
        <v>0.98986926168718692</v>
      </c>
      <c r="J86" s="454"/>
      <c r="K86" s="454"/>
      <c r="L86" s="454"/>
      <c r="M86" s="454"/>
      <c r="N86" s="454"/>
      <c r="O86" s="454"/>
      <c r="P86" s="454"/>
      <c r="Q86" s="454"/>
    </row>
    <row r="87" spans="1:17" ht="14">
      <c r="A87" s="449">
        <f t="shared" si="1"/>
        <v>2015</v>
      </c>
      <c r="B87" s="454">
        <f t="shared" si="17"/>
        <v>0</v>
      </c>
      <c r="C87" s="454">
        <f t="shared" si="16"/>
        <v>0</v>
      </c>
      <c r="D87" s="454">
        <f t="shared" si="15"/>
        <v>0.90633410908228695</v>
      </c>
      <c r="E87" s="454">
        <f t="shared" si="14"/>
        <v>0.88221073447192966</v>
      </c>
      <c r="F87" s="454">
        <f t="shared" si="13"/>
        <v>2.2421748057357767</v>
      </c>
      <c r="G87" s="454">
        <f t="shared" si="12"/>
        <v>1.0597348862349796</v>
      </c>
      <c r="H87" s="454">
        <f t="shared" si="11"/>
        <v>0.88908196496329628</v>
      </c>
      <c r="I87" s="454"/>
      <c r="J87" s="454"/>
      <c r="K87" s="454"/>
      <c r="L87" s="454"/>
      <c r="M87" s="454"/>
      <c r="N87" s="454"/>
      <c r="O87" s="454"/>
      <c r="P87" s="454"/>
      <c r="Q87" s="454"/>
    </row>
    <row r="88" spans="1:17" ht="14">
      <c r="A88" s="449">
        <f t="shared" si="1"/>
        <v>2016</v>
      </c>
      <c r="B88" s="454">
        <f t="shared" si="17"/>
        <v>0</v>
      </c>
      <c r="C88" s="454">
        <f t="shared" si="16"/>
        <v>0</v>
      </c>
      <c r="D88" s="454">
        <f t="shared" si="15"/>
        <v>1.3111008651576999</v>
      </c>
      <c r="E88" s="454">
        <f t="shared" si="14"/>
        <v>1.0660251427462824</v>
      </c>
      <c r="F88" s="454">
        <f t="shared" si="13"/>
        <v>0.93127731709305595</v>
      </c>
      <c r="G88" s="454">
        <f t="shared" si="12"/>
        <v>1.0136655808272759</v>
      </c>
      <c r="H88" s="454"/>
      <c r="I88" s="454"/>
      <c r="J88" s="454"/>
      <c r="K88" s="454"/>
      <c r="L88" s="454"/>
      <c r="M88" s="454"/>
      <c r="N88" s="454"/>
      <c r="O88" s="454"/>
      <c r="P88" s="454"/>
      <c r="Q88" s="454"/>
    </row>
    <row r="89" spans="1:17" ht="14">
      <c r="A89" s="449">
        <f t="shared" si="1"/>
        <v>2017</v>
      </c>
      <c r="B89" s="454">
        <f t="shared" si="17"/>
        <v>1.2389881139081594E-4</v>
      </c>
      <c r="C89" s="454">
        <f t="shared" si="16"/>
        <v>1.5674408014000465</v>
      </c>
      <c r="D89" s="454">
        <f t="shared" si="15"/>
        <v>1.1558106326765811</v>
      </c>
      <c r="E89" s="454">
        <f t="shared" si="14"/>
        <v>0.99225451012747679</v>
      </c>
      <c r="F89" s="454">
        <f t="shared" si="13"/>
        <v>1.1530567683269162</v>
      </c>
      <c r="G89" s="454"/>
      <c r="H89" s="454"/>
      <c r="I89" s="454"/>
      <c r="J89" s="454"/>
      <c r="K89" s="454"/>
      <c r="L89" s="454"/>
      <c r="M89" s="454"/>
      <c r="N89" s="454"/>
      <c r="O89" s="454"/>
      <c r="P89" s="454"/>
      <c r="Q89" s="454"/>
    </row>
    <row r="90" spans="1:17" ht="14">
      <c r="A90" s="449">
        <f t="shared" si="1"/>
        <v>2018</v>
      </c>
      <c r="B90" s="454">
        <f t="shared" si="17"/>
        <v>0</v>
      </c>
      <c r="C90" s="454">
        <f t="shared" si="16"/>
        <v>0</v>
      </c>
      <c r="D90" s="454">
        <f t="shared" si="15"/>
        <v>6.0675368896278616</v>
      </c>
      <c r="E90" s="454">
        <f t="shared" si="14"/>
        <v>1.7704214549213468</v>
      </c>
      <c r="F90" s="454"/>
      <c r="G90" s="454"/>
      <c r="H90" s="454"/>
      <c r="I90" s="454"/>
      <c r="J90" s="454"/>
      <c r="K90" s="454"/>
      <c r="L90" s="454"/>
      <c r="M90" s="454"/>
      <c r="N90" s="454"/>
      <c r="O90" s="454"/>
      <c r="P90" s="454"/>
      <c r="Q90" s="454"/>
    </row>
    <row r="91" spans="1:17" ht="14">
      <c r="A91" s="449">
        <f t="shared" si="1"/>
        <v>2019</v>
      </c>
      <c r="B91" s="454">
        <f t="shared" si="17"/>
        <v>0</v>
      </c>
      <c r="C91" s="454">
        <f t="shared" si="16"/>
        <v>0</v>
      </c>
      <c r="D91" s="454">
        <f t="shared" si="15"/>
        <v>0.66147698471730276</v>
      </c>
      <c r="E91" s="454"/>
      <c r="F91" s="454"/>
      <c r="G91" s="454"/>
      <c r="H91" s="454"/>
      <c r="I91" s="454"/>
      <c r="J91" s="454"/>
      <c r="K91" s="454"/>
      <c r="L91" s="454"/>
      <c r="M91" s="454"/>
      <c r="N91" s="454"/>
      <c r="O91" s="454"/>
      <c r="P91" s="454"/>
      <c r="Q91" s="454"/>
    </row>
    <row r="92" spans="1:17" ht="14">
      <c r="A92" s="449">
        <f t="shared" si="1"/>
        <v>2020</v>
      </c>
      <c r="B92" s="454">
        <f>IF(A47=0,0,C48/A47)</f>
        <v>0</v>
      </c>
      <c r="C92" s="454">
        <f t="shared" si="16"/>
        <v>0</v>
      </c>
      <c r="D92" s="454"/>
      <c r="E92" s="454"/>
      <c r="F92" s="454"/>
      <c r="G92" s="454"/>
      <c r="H92" s="454"/>
      <c r="I92" s="454"/>
      <c r="J92" s="454"/>
      <c r="K92" s="454"/>
      <c r="L92" s="454"/>
      <c r="M92" s="454"/>
      <c r="N92" s="454"/>
      <c r="O92" s="454"/>
      <c r="P92" s="454"/>
      <c r="Q92" s="454"/>
    </row>
    <row r="93" spans="1:17" ht="14">
      <c r="A93" s="449">
        <f t="shared" si="1"/>
        <v>2021</v>
      </c>
      <c r="B93" s="454">
        <f>IF(B49=0,0,C49/B49)</f>
        <v>0</v>
      </c>
      <c r="C93" s="454"/>
      <c r="D93" s="454"/>
      <c r="E93" s="454"/>
      <c r="F93" s="454"/>
      <c r="G93" s="454"/>
      <c r="H93" s="454"/>
      <c r="I93" s="454"/>
      <c r="J93" s="454"/>
      <c r="K93" s="454"/>
      <c r="L93" s="454"/>
      <c r="M93" s="454"/>
      <c r="N93" s="454"/>
      <c r="O93" s="454"/>
      <c r="P93" s="454"/>
      <c r="Q93" s="454"/>
    </row>
    <row r="94" spans="1:17" ht="14">
      <c r="A94" s="449">
        <f t="shared" si="1"/>
        <v>2022</v>
      </c>
      <c r="B94" s="454"/>
      <c r="C94" s="454"/>
      <c r="D94" s="454"/>
      <c r="E94" s="454"/>
      <c r="F94" s="454"/>
      <c r="G94" s="454"/>
      <c r="H94" s="454"/>
      <c r="I94" s="454"/>
      <c r="J94" s="454"/>
      <c r="K94" s="454"/>
      <c r="L94" s="454"/>
      <c r="M94" s="454"/>
      <c r="N94" s="454"/>
      <c r="O94" s="454"/>
      <c r="P94" s="454"/>
      <c r="Q94" s="454"/>
    </row>
    <row r="95" spans="1:17" ht="14">
      <c r="A95" s="444"/>
      <c r="B95" s="455"/>
      <c r="C95" s="455"/>
      <c r="D95" s="455"/>
      <c r="E95" s="455"/>
      <c r="F95" s="455"/>
      <c r="G95" s="455"/>
      <c r="H95" s="455"/>
      <c r="I95" s="455"/>
      <c r="J95" s="455"/>
      <c r="K95" s="455"/>
      <c r="L95" s="455"/>
      <c r="M95" s="455"/>
      <c r="N95" s="455"/>
      <c r="O95" s="455"/>
      <c r="P95" s="455"/>
      <c r="Q95" s="455"/>
    </row>
    <row r="96" spans="1:17" ht="14">
      <c r="A96" s="446" t="s">
        <v>1053</v>
      </c>
      <c r="Q96" s="455"/>
    </row>
    <row r="97" spans="1:17" ht="14">
      <c r="A97" s="444"/>
      <c r="B97" s="456" t="s">
        <v>1054</v>
      </c>
      <c r="C97" s="455"/>
      <c r="D97" s="455"/>
      <c r="E97" s="455"/>
      <c r="F97" s="455"/>
      <c r="G97" s="457"/>
      <c r="H97" s="457"/>
      <c r="I97" s="457"/>
      <c r="J97" s="457"/>
      <c r="K97" s="457"/>
      <c r="L97" s="457"/>
      <c r="M97" s="457"/>
      <c r="N97" s="457"/>
      <c r="O97" s="457"/>
      <c r="P97" s="457"/>
      <c r="Q97" s="457"/>
    </row>
    <row r="98" spans="1:17" ht="14">
      <c r="A98" s="458" t="s">
        <v>1055</v>
      </c>
      <c r="B98" s="455">
        <f>IF(SUM(B47:B49)=0,0,SUMPRODUCT(B47:B49,B91:B93)/SUM(B47:B49))</f>
        <v>0</v>
      </c>
      <c r="C98" s="455">
        <f>IF(SUM(B45:B47)=0,0,SUMPRODUCT(B45:B47,C90:C92)/SUM(B45:B47))</f>
        <v>0</v>
      </c>
      <c r="D98" s="455">
        <f>SUMPRODUCT(C44:C46,D89:D91)/SUM(C44:C46)</f>
        <v>1.1027493514100042</v>
      </c>
      <c r="E98" s="455">
        <f>SUMPRODUCT(D43:D45,E88:E90)/SUM(D43:D45)</f>
        <v>1.1467668741052159</v>
      </c>
      <c r="F98" s="455">
        <f>SUMPRODUCT(E42:E44,F87:F89)/SUM(E42:E44)</f>
        <v>1.1927307868828199</v>
      </c>
      <c r="G98" s="457">
        <f>SUMPRODUCT(F41:F43,G86:G88)/SUM(F41:F43)</f>
        <v>1.2156647544577592</v>
      </c>
      <c r="H98" s="457">
        <f>SUMPRODUCT(G40:G42,H85:H87)/SUM(G40:G42)</f>
        <v>0.99322568921803378</v>
      </c>
      <c r="I98" s="457">
        <f>SUMPRODUCT(H39:H41,I84:I86)/SUM(H39:H41)</f>
        <v>0.98735243428809916</v>
      </c>
      <c r="J98" s="457">
        <f>SUMPRODUCT(I38:I40,J83:J85)/SUM(I38:I40)</f>
        <v>0.99414671151638201</v>
      </c>
      <c r="K98" s="457">
        <f>SUMPRODUCT(J37:J39,K82:K84)/SUM(J37:J39)</f>
        <v>1.0000000092003232</v>
      </c>
      <c r="L98" s="457">
        <f>SUMPRODUCT(K36:K38,L81:L83)/SUM(K36:K38)</f>
        <v>0.99958496584980816</v>
      </c>
      <c r="M98" s="457">
        <f>SUMPRODUCT(L35:L37,M80:M82)/SUM(L35:L37)</f>
        <v>1.0070353398372027</v>
      </c>
      <c r="N98" s="457">
        <f>SUMPRODUCT(M34:M36,N79:N81)/SUM(M34:M36)</f>
        <v>0.99940604380146814</v>
      </c>
      <c r="O98" s="457">
        <f>SUMPRODUCT(N33:N35,O78:O80)/SUM(N33:N35)</f>
        <v>0.99999999881727375</v>
      </c>
      <c r="P98" s="457">
        <f>SUMPRODUCT(O32:O34,P77:P79)/SUM(O32:O34)</f>
        <v>0.99999999290280195</v>
      </c>
      <c r="Q98" s="457"/>
    </row>
    <row r="99" spans="1:17" ht="14">
      <c r="A99" s="444"/>
      <c r="B99" s="456" t="s">
        <v>1056</v>
      </c>
      <c r="C99" s="457"/>
      <c r="D99" s="455"/>
      <c r="E99" s="455"/>
      <c r="F99" s="455"/>
      <c r="G99" s="455"/>
      <c r="H99" s="455"/>
      <c r="I99" s="455"/>
      <c r="J99" s="455"/>
      <c r="K99" s="455"/>
      <c r="L99" s="455"/>
      <c r="M99" s="455"/>
      <c r="N99" s="455"/>
      <c r="O99" s="455"/>
      <c r="P99" s="455"/>
      <c r="Q99" s="455"/>
    </row>
    <row r="100" spans="1:17" ht="14">
      <c r="A100" s="458" t="s">
        <v>1057</v>
      </c>
      <c r="B100" s="455">
        <f>IF(SUM(B45:B49)=0,0,SUMPRODUCT(B45:B49,B89:B93)/SUM(B45:B49))</f>
        <v>0</v>
      </c>
      <c r="C100" s="457">
        <f>SUMPRODUCT(B43:B47,C88:C92)/SUM(B43:B47)</f>
        <v>1.5674408014000465</v>
      </c>
      <c r="D100" s="457">
        <f>SUMPRODUCT(C42:C46,D87:D91)/SUM(C42:C46)</f>
        <v>1.135378869233244</v>
      </c>
      <c r="E100" s="457">
        <f>SUMPRODUCT(D41:D45,E86:E90)/SUM(D41:D45)</f>
        <v>1.0957837274604532</v>
      </c>
      <c r="F100" s="457">
        <f>SUMPRODUCT(E40:E44,F85:F89)/SUM(E40:E44)</f>
        <v>1.27515904368081</v>
      </c>
      <c r="G100" s="457">
        <f>SUMPRODUCT(F39:F43,G84:G88)/SUM(F39:F43)</f>
        <v>1.3814338588865329</v>
      </c>
      <c r="H100" s="457">
        <f>SUMPRODUCT(G38:G42,H83:H87)/SUM(G38:G42)</f>
        <v>0.9878764253761888</v>
      </c>
      <c r="I100" s="457">
        <f>SUMPRODUCT(H37:H41,I82:I86)/SUM(H37:H41)</f>
        <v>0.99168718576515957</v>
      </c>
      <c r="J100" s="457">
        <f>SUMPRODUCT(I36:I40,J81:J85)/SUM(I36:I40)</f>
        <v>0.99545653467379813</v>
      </c>
      <c r="K100" s="457">
        <f>SUMPRODUCT(J35:J39,K80:K84)/SUM(J35:J39)</f>
        <v>1.0006912686881129</v>
      </c>
      <c r="L100" s="457">
        <f>SUMPRODUCT(K34:K38,L79:L83)/SUM(K34:K38)</f>
        <v>0.99971747985236725</v>
      </c>
      <c r="M100" s="457">
        <f>SUMPRODUCT(L33:L37,M78:M82)/SUM(L33:L37)</f>
        <v>1.0041504273069086</v>
      </c>
      <c r="N100" s="457">
        <f>SUMPRODUCT(M32:M36,N77:N81)/SUM(M32:M36)</f>
        <v>0.99963852809238085</v>
      </c>
      <c r="O100" s="457">
        <f>SUMPRODUCT(N31:N35,O76:O80)/SUM(N31:N35)</f>
        <v>0.99611312247954653</v>
      </c>
      <c r="P100" s="457">
        <f>SUMPRODUCT(O30:O34,P75:P79)/SUM(O30:O34)</f>
        <v>0.99999999674776296</v>
      </c>
      <c r="Q100" s="457"/>
    </row>
    <row r="101" spans="1:17" ht="14">
      <c r="A101" s="444"/>
      <c r="B101" s="456" t="s">
        <v>1058</v>
      </c>
      <c r="C101" s="455"/>
      <c r="D101" s="455"/>
      <c r="E101" s="455"/>
      <c r="F101" s="455"/>
      <c r="G101" s="455"/>
      <c r="H101" s="455"/>
      <c r="I101" s="455"/>
      <c r="J101" s="455"/>
      <c r="K101" s="455"/>
      <c r="L101" s="455"/>
      <c r="M101" s="455"/>
      <c r="N101" s="455"/>
      <c r="O101" s="455"/>
      <c r="P101" s="455"/>
      <c r="Q101" s="455"/>
    </row>
    <row r="102" spans="1:17" ht="14">
      <c r="A102" s="458" t="s">
        <v>1059</v>
      </c>
      <c r="B102" s="455">
        <f>SUMPRODUCT(B43:B49,B87:B93)/SUM(B43:B49)</f>
        <v>0</v>
      </c>
      <c r="C102" s="455">
        <f>SUMPRODUCT(B41:B47,C86:C92)/SUM(B41:B47)</f>
        <v>1.1357097034223154</v>
      </c>
      <c r="D102" s="455">
        <f>SUMPRODUCT(C40:C46,D85:D91)/SUM(C40:C46)</f>
        <v>1.2155514072366973</v>
      </c>
      <c r="E102" s="455">
        <f>SUMPRODUCT(D39:D45,E84:E90)/SUM(D39:D45)</f>
        <v>0.99859357080398536</v>
      </c>
      <c r="F102" s="455">
        <f>SUMPRODUCT(E38:E44,F83:F89)/SUM(E38:E44)</f>
        <v>1.3226096242523568</v>
      </c>
      <c r="G102" s="455">
        <f>SUMPRODUCT(F37:F43,G82:G88)/SUM(F37:F43)</f>
        <v>1.2606409502850531</v>
      </c>
      <c r="H102" s="455">
        <f>SUMPRODUCT(G36:G42,H81:H87)/SUM(G36:G42)</f>
        <v>0.9805869032128367</v>
      </c>
      <c r="I102" s="455">
        <f>SUMPRODUCT(H35:H41,I80:I86)/SUM(H35:H41)</f>
        <v>0.97787705058373497</v>
      </c>
      <c r="J102" s="455">
        <f>SUMPRODUCT(I34:I40,J79:J85)/SUM(I34:I40)</f>
        <v>0.99586129116139721</v>
      </c>
      <c r="K102" s="455">
        <f>SUMPRODUCT(J33:J39,K78:K84)/SUM(J33:J39)</f>
        <v>0.99949729599995707</v>
      </c>
      <c r="L102" s="455">
        <f>SUMPRODUCT(K32:K38,L77:L83)/SUM(K32:K38)</f>
        <v>0.99932367326550531</v>
      </c>
      <c r="M102" s="455">
        <f>SUMPRODUCT(L31:L37,M76:M82)/SUM(L31:L37)</f>
        <v>1.0025595699706495</v>
      </c>
      <c r="N102" s="455">
        <f>SUMPRODUCT(M30:M36,N75:N81)/SUM(M30:M36)</f>
        <v>0.99809020324202635</v>
      </c>
      <c r="O102" s="455">
        <f>SUMPRODUCT(N29:N35,O74:O80)/SUM(N29:N35)</f>
        <v>1.0088021576327049</v>
      </c>
      <c r="P102" s="455">
        <f>SUMPRODUCT(O28:O34,P73:P79)/SUM(O28:O34)</f>
        <v>0.99999999780444382</v>
      </c>
      <c r="Q102" s="455"/>
    </row>
    <row r="103" spans="1:17" ht="14">
      <c r="A103" s="444"/>
      <c r="B103" s="456" t="s">
        <v>1060</v>
      </c>
      <c r="C103" s="455"/>
      <c r="D103" s="455"/>
      <c r="E103" s="455"/>
      <c r="F103" s="455"/>
      <c r="G103" s="455"/>
      <c r="H103" s="455"/>
      <c r="I103" s="455"/>
      <c r="J103" s="455"/>
      <c r="K103" s="455"/>
      <c r="L103" s="455"/>
      <c r="M103" s="455"/>
      <c r="N103" s="455"/>
      <c r="O103" s="455"/>
      <c r="P103" s="455"/>
      <c r="Q103" s="455"/>
    </row>
    <row r="104" spans="1:17" ht="14">
      <c r="A104" s="458" t="s">
        <v>1061</v>
      </c>
      <c r="B104" s="455">
        <v>1.5674408014000465</v>
      </c>
      <c r="C104" s="455">
        <v>1.45</v>
      </c>
      <c r="D104" s="455">
        <v>1.2</v>
      </c>
      <c r="E104" s="455">
        <v>1.1499999999999999</v>
      </c>
      <c r="F104" s="455">
        <v>1.03</v>
      </c>
      <c r="G104" s="455">
        <v>1</v>
      </c>
      <c r="H104" s="455">
        <v>1</v>
      </c>
      <c r="I104" s="455">
        <v>1</v>
      </c>
      <c r="J104" s="455">
        <v>1</v>
      </c>
      <c r="K104" s="455">
        <v>1</v>
      </c>
      <c r="L104" s="455">
        <v>1</v>
      </c>
      <c r="M104" s="455">
        <v>1</v>
      </c>
      <c r="N104" s="455">
        <v>1</v>
      </c>
      <c r="O104" s="455">
        <v>1</v>
      </c>
      <c r="P104" s="455">
        <v>1</v>
      </c>
      <c r="Q104" s="455">
        <v>1</v>
      </c>
    </row>
    <row r="105" spans="1:17" ht="14">
      <c r="A105" s="444"/>
      <c r="B105" s="455"/>
      <c r="C105" s="455"/>
      <c r="D105" s="455"/>
      <c r="E105" s="455"/>
      <c r="F105" s="455"/>
      <c r="G105" s="455"/>
      <c r="H105" s="455"/>
      <c r="I105" s="455"/>
      <c r="J105" s="455"/>
      <c r="K105" s="455"/>
      <c r="L105" s="455"/>
      <c r="M105" s="455"/>
      <c r="N105" s="455"/>
      <c r="O105" s="455"/>
      <c r="P105" s="455"/>
      <c r="Q105" s="455"/>
    </row>
    <row r="106" spans="1:17" ht="14">
      <c r="A106" s="444"/>
      <c r="B106" s="455"/>
      <c r="C106" s="455"/>
      <c r="D106" s="455"/>
      <c r="E106" s="455"/>
      <c r="F106" s="455"/>
      <c r="G106" s="455"/>
      <c r="H106" s="455"/>
      <c r="I106" s="455"/>
      <c r="J106" s="455"/>
      <c r="K106" s="455"/>
      <c r="L106" s="455"/>
      <c r="M106" s="455"/>
      <c r="N106" s="455"/>
      <c r="O106" s="455"/>
      <c r="P106" s="455"/>
      <c r="Q106" s="455"/>
    </row>
    <row r="107" spans="1:17" ht="14">
      <c r="A107" s="446" t="s">
        <v>1062</v>
      </c>
      <c r="B107" s="555">
        <v>1</v>
      </c>
      <c r="C107" s="555">
        <v>1</v>
      </c>
      <c r="D107" s="555">
        <v>1.1499999999999999</v>
      </c>
      <c r="E107" s="555">
        <v>1.1499999999999999</v>
      </c>
      <c r="F107" s="555">
        <v>1.3</v>
      </c>
      <c r="G107" s="455">
        <v>1.1000000000000001</v>
      </c>
      <c r="H107" s="455">
        <v>1</v>
      </c>
      <c r="I107" s="455">
        <v>1</v>
      </c>
      <c r="J107" s="455">
        <v>1</v>
      </c>
      <c r="K107" s="455">
        <v>1</v>
      </c>
      <c r="L107" s="455">
        <v>1</v>
      </c>
      <c r="M107" s="455">
        <v>1</v>
      </c>
      <c r="N107" s="455">
        <v>1</v>
      </c>
      <c r="O107" s="455">
        <v>1</v>
      </c>
      <c r="P107" s="455">
        <v>1</v>
      </c>
      <c r="Q107" s="455">
        <v>1.01</v>
      </c>
    </row>
    <row r="108" spans="1:17" ht="14">
      <c r="A108" s="444" t="s">
        <v>780</v>
      </c>
      <c r="B108" s="455">
        <f t="shared" ref="B108:O108" si="18">C108*B107</f>
        <v>1.9100867500000003</v>
      </c>
      <c r="C108" s="455">
        <f t="shared" si="18"/>
        <v>1.9100867500000003</v>
      </c>
      <c r="D108" s="455">
        <f>E108*D107</f>
        <v>1.9100867500000003</v>
      </c>
      <c r="E108" s="455">
        <f t="shared" si="18"/>
        <v>1.6609450000000003</v>
      </c>
      <c r="F108" s="455">
        <f t="shared" si="18"/>
        <v>1.4443000000000004</v>
      </c>
      <c r="G108" s="455">
        <f t="shared" si="18"/>
        <v>1.1110000000000002</v>
      </c>
      <c r="H108" s="455">
        <f t="shared" si="18"/>
        <v>1.01</v>
      </c>
      <c r="I108" s="455">
        <f t="shared" si="18"/>
        <v>1.01</v>
      </c>
      <c r="J108" s="455">
        <f t="shared" si="18"/>
        <v>1.01</v>
      </c>
      <c r="K108" s="455">
        <f t="shared" si="18"/>
        <v>1.01</v>
      </c>
      <c r="L108" s="455">
        <f t="shared" si="18"/>
        <v>1.01</v>
      </c>
      <c r="M108" s="455">
        <f t="shared" si="18"/>
        <v>1.01</v>
      </c>
      <c r="N108" s="455">
        <f t="shared" si="18"/>
        <v>1.01</v>
      </c>
      <c r="O108" s="455">
        <f t="shared" si="18"/>
        <v>1.01</v>
      </c>
      <c r="P108" s="455">
        <f>Q108*P107</f>
        <v>1.01</v>
      </c>
      <c r="Q108" s="455">
        <f>Q107</f>
        <v>1.01</v>
      </c>
    </row>
    <row r="109" spans="1:17" ht="14">
      <c r="A109" s="444"/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</row>
    <row r="111" spans="1:17">
      <c r="B111" s="560" t="s">
        <v>1603</v>
      </c>
    </row>
    <row r="112" spans="1:17" ht="14">
      <c r="B112" s="455"/>
      <c r="C112" s="457"/>
      <c r="D112" s="457"/>
      <c r="E112" s="457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</row>
    <row r="113" spans="1:17" ht="14">
      <c r="A113" s="444" t="s">
        <v>780</v>
      </c>
      <c r="B113" s="567">
        <f t="shared" ref="B113:N113" si="19">B102*C113</f>
        <v>0</v>
      </c>
      <c r="C113" s="567">
        <f t="shared" si="19"/>
        <v>2.2130717591232263</v>
      </c>
      <c r="D113" s="567">
        <f t="shared" si="19"/>
        <v>1.9486245054122708</v>
      </c>
      <c r="E113" s="567">
        <f t="shared" si="19"/>
        <v>1.6030786471154375</v>
      </c>
      <c r="F113" s="567">
        <f t="shared" si="19"/>
        <v>1.6053364391528882</v>
      </c>
      <c r="G113" s="567">
        <f t="shared" si="19"/>
        <v>1.213764371373262</v>
      </c>
      <c r="H113" s="567">
        <f t="shared" si="19"/>
        <v>0.96281528146361461</v>
      </c>
      <c r="I113" s="567">
        <f t="shared" si="19"/>
        <v>0.98187654588186479</v>
      </c>
      <c r="J113" s="567">
        <f t="shared" si="19"/>
        <v>1.0040899776671743</v>
      </c>
      <c r="K113" s="567">
        <f t="shared" si="19"/>
        <v>1.0082628841775552</v>
      </c>
      <c r="L113" s="567">
        <f t="shared" si="19"/>
        <v>1.0087699968901152</v>
      </c>
      <c r="M113" s="567">
        <f t="shared" si="19"/>
        <v>1.0094527167496612</v>
      </c>
      <c r="N113" s="567">
        <f t="shared" si="19"/>
        <v>1.0068755483319694</v>
      </c>
      <c r="O113" s="567">
        <f>O102*P113</f>
        <v>1.008802155417823</v>
      </c>
      <c r="P113" s="566">
        <f>P102</f>
        <v>0.99999999780444382</v>
      </c>
      <c r="Q113" s="466">
        <v>1</v>
      </c>
    </row>
  </sheetData>
  <printOptions horizontalCentered="1"/>
  <pageMargins left="0.7" right="0.7" top="0.75" bottom="0.75" header="0.3" footer="0.3"/>
  <pageSetup scale="42" orientation="portrait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>
    <tabColor theme="9"/>
  </sheetPr>
  <dimension ref="A2:AJ186"/>
  <sheetViews>
    <sheetView zoomScale="80" zoomScaleNormal="80" workbookViewId="0">
      <selection activeCell="R46" sqref="R46"/>
    </sheetView>
  </sheetViews>
  <sheetFormatPr baseColWidth="10" defaultColWidth="8.7109375" defaultRowHeight="16"/>
  <cols>
    <col min="2" max="2" width="12.7109375" customWidth="1"/>
    <col min="3" max="3" width="12.7109375" bestFit="1" customWidth="1"/>
    <col min="4" max="6" width="13.42578125" bestFit="1" customWidth="1"/>
    <col min="7" max="7" width="12.7109375" bestFit="1" customWidth="1"/>
    <col min="8" max="8" width="13.7109375" bestFit="1" customWidth="1"/>
    <col min="9" max="11" width="13.7109375" customWidth="1"/>
    <col min="12" max="12" width="4.7109375" customWidth="1"/>
    <col min="13" max="23" width="12.7109375" customWidth="1"/>
    <col min="24" max="24" width="4.7109375" customWidth="1"/>
    <col min="25" max="35" width="12.7109375" customWidth="1"/>
  </cols>
  <sheetData>
    <row r="2" spans="1:35">
      <c r="D2" s="4" t="s">
        <v>873</v>
      </c>
      <c r="J2" s="4" t="s">
        <v>1455</v>
      </c>
      <c r="P2" s="4" t="s">
        <v>873</v>
      </c>
      <c r="V2" s="4" t="s">
        <v>1455</v>
      </c>
      <c r="AB2" s="4" t="s">
        <v>873</v>
      </c>
      <c r="AH2" s="4" t="s">
        <v>1455</v>
      </c>
    </row>
    <row r="4" spans="1:35">
      <c r="A4" s="1"/>
      <c r="B4" s="1"/>
      <c r="C4" s="1"/>
      <c r="D4" s="6" t="s">
        <v>1448</v>
      </c>
      <c r="E4" s="1"/>
      <c r="F4" s="1"/>
      <c r="G4" s="1"/>
      <c r="H4" s="1"/>
      <c r="I4" s="1"/>
      <c r="J4" s="6" t="s">
        <v>1448</v>
      </c>
      <c r="K4" s="1"/>
      <c r="M4" s="1"/>
      <c r="N4" s="1"/>
      <c r="O4" s="1"/>
      <c r="P4" s="6" t="s">
        <v>1453</v>
      </c>
      <c r="Q4" s="1"/>
      <c r="R4" s="1"/>
      <c r="S4" s="1"/>
      <c r="T4" s="1"/>
      <c r="U4" s="1"/>
      <c r="V4" s="6" t="s">
        <v>1453</v>
      </c>
      <c r="W4" s="1"/>
      <c r="Y4" s="1"/>
      <c r="Z4" s="1"/>
      <c r="AA4" s="1"/>
      <c r="AB4" s="6" t="s">
        <v>1454</v>
      </c>
      <c r="AC4" s="1"/>
      <c r="AD4" s="1"/>
      <c r="AE4" s="1"/>
      <c r="AF4" s="1"/>
      <c r="AH4" s="6" t="s">
        <v>1454</v>
      </c>
    </row>
    <row r="5" spans="1:35">
      <c r="A5" s="1"/>
      <c r="B5" s="1"/>
      <c r="C5" s="1"/>
      <c r="D5" s="6" t="s">
        <v>1449</v>
      </c>
      <c r="E5" s="1"/>
      <c r="F5" s="1"/>
      <c r="G5" s="1"/>
      <c r="H5" s="1"/>
      <c r="I5" s="1"/>
      <c r="J5" s="6" t="s">
        <v>1449</v>
      </c>
      <c r="K5" s="1"/>
      <c r="M5" s="1"/>
      <c r="N5" s="1"/>
      <c r="O5" s="1"/>
      <c r="P5" s="6" t="s">
        <v>1449</v>
      </c>
      <c r="Q5" s="1"/>
      <c r="R5" s="1"/>
      <c r="S5" s="1"/>
      <c r="T5" s="1"/>
      <c r="U5" s="1"/>
      <c r="V5" s="6" t="s">
        <v>1449</v>
      </c>
      <c r="W5" s="1"/>
      <c r="Y5" s="1"/>
      <c r="Z5" s="1"/>
      <c r="AA5" s="1"/>
      <c r="AB5" s="6" t="s">
        <v>1449</v>
      </c>
      <c r="AC5" s="1"/>
      <c r="AD5" s="1"/>
      <c r="AE5" s="1"/>
      <c r="AF5" s="1"/>
      <c r="AH5" s="6" t="s">
        <v>1449</v>
      </c>
    </row>
    <row r="6" spans="1:35">
      <c r="A6" s="1"/>
      <c r="B6" s="1"/>
      <c r="C6" s="1"/>
      <c r="D6" s="6"/>
      <c r="E6" s="1"/>
      <c r="F6" s="1"/>
      <c r="G6" s="1"/>
      <c r="H6" s="1"/>
      <c r="I6" s="1"/>
      <c r="J6" s="6"/>
      <c r="K6" s="1"/>
      <c r="M6" s="1"/>
      <c r="N6" s="1"/>
      <c r="O6" s="1"/>
      <c r="P6" s="6"/>
      <c r="Q6" s="1"/>
      <c r="R6" s="1"/>
      <c r="S6" s="1"/>
      <c r="T6" s="1"/>
      <c r="U6" s="1"/>
      <c r="V6" s="6"/>
      <c r="W6" s="1"/>
      <c r="Y6" s="1"/>
      <c r="Z6" s="1"/>
      <c r="AA6" s="1"/>
      <c r="AB6" s="6"/>
      <c r="AC6" s="1"/>
      <c r="AD6" s="1"/>
      <c r="AE6" s="1"/>
      <c r="AF6" s="1"/>
      <c r="AH6" s="6"/>
    </row>
    <row r="7" spans="1:35">
      <c r="A7" s="6" t="s">
        <v>3</v>
      </c>
      <c r="B7" s="6"/>
      <c r="C7" s="6"/>
      <c r="D7" s="6"/>
      <c r="E7" s="6"/>
      <c r="F7" s="6" t="s">
        <v>329</v>
      </c>
      <c r="G7" s="6" t="s">
        <v>478</v>
      </c>
      <c r="H7" s="6" t="s">
        <v>1385</v>
      </c>
      <c r="K7" s="6" t="s">
        <v>703</v>
      </c>
      <c r="M7" s="6" t="s">
        <v>3</v>
      </c>
      <c r="N7" s="6"/>
      <c r="O7" s="6"/>
      <c r="P7" s="6"/>
      <c r="Q7" s="6"/>
      <c r="R7" s="6" t="s">
        <v>329</v>
      </c>
      <c r="S7" s="6" t="s">
        <v>478</v>
      </c>
      <c r="T7" s="6" t="s">
        <v>1385</v>
      </c>
      <c r="W7" s="6" t="s">
        <v>703</v>
      </c>
      <c r="Y7" s="6" t="s">
        <v>3</v>
      </c>
      <c r="Z7" s="6"/>
      <c r="AA7" s="6"/>
      <c r="AB7" s="6"/>
      <c r="AC7" s="6"/>
      <c r="AD7" s="6" t="s">
        <v>329</v>
      </c>
      <c r="AE7" s="6" t="s">
        <v>478</v>
      </c>
      <c r="AF7" s="6" t="s">
        <v>1385</v>
      </c>
      <c r="AI7" s="6" t="s">
        <v>703</v>
      </c>
    </row>
    <row r="8" spans="1:35">
      <c r="A8" s="6" t="s">
        <v>4</v>
      </c>
      <c r="B8" s="6" t="s">
        <v>664</v>
      </c>
      <c r="C8" s="6" t="s">
        <v>1447</v>
      </c>
      <c r="D8" s="6" t="s">
        <v>531</v>
      </c>
      <c r="E8" s="6" t="s">
        <v>505</v>
      </c>
      <c r="F8" s="6" t="s">
        <v>287</v>
      </c>
      <c r="G8" s="6" t="s">
        <v>287</v>
      </c>
      <c r="H8" s="6" t="s">
        <v>0</v>
      </c>
      <c r="I8" s="6" t="s">
        <v>329</v>
      </c>
      <c r="J8" s="6" t="s">
        <v>478</v>
      </c>
      <c r="K8" s="6" t="s">
        <v>0</v>
      </c>
      <c r="M8" s="6" t="s">
        <v>4</v>
      </c>
      <c r="N8" s="6" t="s">
        <v>664</v>
      </c>
      <c r="O8" s="6" t="s">
        <v>1447</v>
      </c>
      <c r="P8" s="6" t="s">
        <v>531</v>
      </c>
      <c r="Q8" s="6" t="s">
        <v>505</v>
      </c>
      <c r="R8" s="6" t="s">
        <v>287</v>
      </c>
      <c r="S8" s="6" t="s">
        <v>287</v>
      </c>
      <c r="T8" s="6" t="s">
        <v>0</v>
      </c>
      <c r="U8" s="6" t="s">
        <v>329</v>
      </c>
      <c r="V8" s="6" t="s">
        <v>478</v>
      </c>
      <c r="W8" s="6" t="s">
        <v>0</v>
      </c>
      <c r="Y8" s="6" t="s">
        <v>4</v>
      </c>
      <c r="Z8" s="6" t="s">
        <v>664</v>
      </c>
      <c r="AA8" s="6" t="s">
        <v>1447</v>
      </c>
      <c r="AB8" s="6" t="s">
        <v>531</v>
      </c>
      <c r="AC8" s="6" t="s">
        <v>505</v>
      </c>
      <c r="AD8" s="6" t="s">
        <v>287</v>
      </c>
      <c r="AE8" s="6" t="s">
        <v>287</v>
      </c>
      <c r="AF8" s="6" t="s">
        <v>0</v>
      </c>
      <c r="AG8" s="6" t="s">
        <v>329</v>
      </c>
      <c r="AH8" s="6" t="s">
        <v>478</v>
      </c>
      <c r="AI8" s="6" t="s">
        <v>0</v>
      </c>
    </row>
    <row r="9" spans="1:35">
      <c r="A9" s="9">
        <v>-1</v>
      </c>
      <c r="B9" s="9">
        <f>A9-1</f>
        <v>-2</v>
      </c>
      <c r="C9" s="9">
        <f t="shared" ref="C9:K9" si="0">B9-1</f>
        <v>-3</v>
      </c>
      <c r="D9" s="9">
        <f t="shared" si="0"/>
        <v>-4</v>
      </c>
      <c r="E9" s="9">
        <f t="shared" si="0"/>
        <v>-5</v>
      </c>
      <c r="F9" s="9">
        <f t="shared" si="0"/>
        <v>-6</v>
      </c>
      <c r="G9" s="9">
        <f t="shared" si="0"/>
        <v>-7</v>
      </c>
      <c r="H9" s="9">
        <f t="shared" si="0"/>
        <v>-8</v>
      </c>
      <c r="I9" s="9">
        <f t="shared" si="0"/>
        <v>-9</v>
      </c>
      <c r="J9" s="9">
        <f t="shared" si="0"/>
        <v>-10</v>
      </c>
      <c r="K9" s="9">
        <f t="shared" si="0"/>
        <v>-11</v>
      </c>
      <c r="M9" s="9">
        <v>-1</v>
      </c>
      <c r="N9" s="9">
        <f>M9-1</f>
        <v>-2</v>
      </c>
      <c r="O9" s="9">
        <f t="shared" ref="O9:W9" si="1">N9-1</f>
        <v>-3</v>
      </c>
      <c r="P9" s="9">
        <f t="shared" si="1"/>
        <v>-4</v>
      </c>
      <c r="Q9" s="9">
        <f t="shared" si="1"/>
        <v>-5</v>
      </c>
      <c r="R9" s="9">
        <f t="shared" si="1"/>
        <v>-6</v>
      </c>
      <c r="S9" s="9">
        <f t="shared" si="1"/>
        <v>-7</v>
      </c>
      <c r="T9" s="9">
        <f t="shared" si="1"/>
        <v>-8</v>
      </c>
      <c r="U9" s="9">
        <f t="shared" si="1"/>
        <v>-9</v>
      </c>
      <c r="V9" s="9">
        <f t="shared" si="1"/>
        <v>-10</v>
      </c>
      <c r="W9" s="9">
        <f t="shared" si="1"/>
        <v>-11</v>
      </c>
      <c r="Y9" s="9">
        <v>-1</v>
      </c>
      <c r="Z9" s="9">
        <f>Y9-1</f>
        <v>-2</v>
      </c>
      <c r="AA9" s="9">
        <f t="shared" ref="AA9:AF9" si="2">Z9-1</f>
        <v>-3</v>
      </c>
      <c r="AB9" s="9">
        <f t="shared" si="2"/>
        <v>-4</v>
      </c>
      <c r="AC9" s="9">
        <f t="shared" si="2"/>
        <v>-5</v>
      </c>
      <c r="AD9" s="9">
        <f t="shared" si="2"/>
        <v>-6</v>
      </c>
      <c r="AE9" s="9">
        <f t="shared" si="2"/>
        <v>-7</v>
      </c>
      <c r="AF9" s="9">
        <f t="shared" si="2"/>
        <v>-8</v>
      </c>
      <c r="AG9" s="9">
        <f>AF9-1</f>
        <v>-9</v>
      </c>
      <c r="AH9" s="9">
        <f>AG9-1</f>
        <v>-10</v>
      </c>
      <c r="AI9" s="9">
        <f>AH9-1</f>
        <v>-11</v>
      </c>
    </row>
    <row r="10" spans="1:35">
      <c r="A10" s="11"/>
      <c r="B10" s="1"/>
      <c r="C10" s="1"/>
      <c r="D10" s="1"/>
      <c r="E10" s="1"/>
      <c r="F10" s="1"/>
      <c r="G10" s="1"/>
      <c r="H10" s="1"/>
      <c r="I10" s="1"/>
      <c r="J10" s="1"/>
      <c r="K10" s="1"/>
      <c r="M10" s="11"/>
      <c r="N10" s="1"/>
      <c r="O10" s="1"/>
      <c r="P10" s="1"/>
      <c r="Q10" s="1"/>
      <c r="R10" s="1"/>
      <c r="S10" s="1"/>
      <c r="T10" s="1"/>
      <c r="U10" s="1"/>
      <c r="V10" s="1"/>
      <c r="W10" s="1"/>
      <c r="Y10" s="11"/>
      <c r="Z10" s="1"/>
      <c r="AA10" s="1"/>
      <c r="AB10" s="1"/>
      <c r="AC10" s="1"/>
      <c r="AD10" s="1"/>
      <c r="AE10" s="1"/>
      <c r="AF10" s="1"/>
    </row>
    <row r="11" spans="1: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Y11" s="1"/>
      <c r="Z11" s="1"/>
      <c r="AA11" s="1"/>
      <c r="AB11" s="1"/>
      <c r="AC11" s="1"/>
      <c r="AD11" s="1"/>
      <c r="AE11" s="1"/>
      <c r="AF11" s="1"/>
    </row>
    <row r="12" spans="1:35">
      <c r="A12" s="6">
        <v>1994</v>
      </c>
      <c r="B12" s="16">
        <f>'Exhibit K,1'!G16-'Exhibit B,S2'!AB57-'Exhibit B,S2'!AC57</f>
        <v>0</v>
      </c>
      <c r="C12" s="16">
        <f>'Exhibit K,1'!M16-'Exhibit B,S2'!AD57-'Exhibit B,S2'!AE57</f>
        <v>0</v>
      </c>
      <c r="D12" s="16">
        <v>0</v>
      </c>
      <c r="E12" s="16">
        <v>0</v>
      </c>
      <c r="F12" s="16">
        <v>0</v>
      </c>
      <c r="G12" s="16">
        <v>0</v>
      </c>
      <c r="H12" s="16">
        <f>SUM(B12:F12)</f>
        <v>0</v>
      </c>
      <c r="I12" s="16">
        <v>0</v>
      </c>
      <c r="J12" s="16">
        <v>0</v>
      </c>
      <c r="K12" s="16">
        <f>I12+J12</f>
        <v>0</v>
      </c>
      <c r="M12" s="6">
        <f>A12</f>
        <v>1994</v>
      </c>
      <c r="N12" s="16">
        <f>B12-Z12</f>
        <v>0</v>
      </c>
      <c r="O12" s="16">
        <f>C12-AA12</f>
        <v>0</v>
      </c>
      <c r="P12" s="16">
        <v>0</v>
      </c>
      <c r="Q12" s="16">
        <v>0</v>
      </c>
      <c r="R12" s="16">
        <v>0</v>
      </c>
      <c r="S12" s="16">
        <v>0</v>
      </c>
      <c r="T12" s="16">
        <f>SUM(N12:R12)</f>
        <v>0</v>
      </c>
      <c r="U12" s="16">
        <v>0</v>
      </c>
      <c r="V12" s="16">
        <v>0</v>
      </c>
      <c r="W12" s="16">
        <f>U12+V12</f>
        <v>0</v>
      </c>
      <c r="Y12" s="6">
        <f>A12</f>
        <v>1994</v>
      </c>
      <c r="Z12" s="16">
        <f>'Exhibit F,1'!M16-'Exhibit F,1'!U16</f>
        <v>0</v>
      </c>
      <c r="AA12" s="16">
        <f>'Exhibit F,1'!O16-'Exhibit F,1'!W16</f>
        <v>0</v>
      </c>
      <c r="AB12" s="16">
        <v>0</v>
      </c>
      <c r="AC12" s="16">
        <v>0</v>
      </c>
      <c r="AD12" s="16">
        <v>0</v>
      </c>
      <c r="AE12" s="16">
        <v>0</v>
      </c>
      <c r="AF12" s="16">
        <f>SUM(Z12:AD12)</f>
        <v>0</v>
      </c>
      <c r="AG12" s="16">
        <v>0</v>
      </c>
      <c r="AH12" s="16">
        <v>0</v>
      </c>
      <c r="AI12" s="16">
        <f>AG12+AH12</f>
        <v>0</v>
      </c>
    </row>
    <row r="13" spans="1:35">
      <c r="A13" s="6">
        <f>A12+1</f>
        <v>1995</v>
      </c>
      <c r="B13" s="17">
        <f>'Exhibit K,1'!G17-'Exhibit B,S2'!AB58-'Exhibit B,S2'!AC58</f>
        <v>0</v>
      </c>
      <c r="C13" s="17">
        <f>'Exhibit K,1'!M17-'Exhibit B,S2'!AD58-'Exhibit B,S2'!AE58</f>
        <v>0</v>
      </c>
      <c r="D13" s="17">
        <v>0</v>
      </c>
      <c r="E13" s="17">
        <v>0</v>
      </c>
      <c r="F13" s="17">
        <v>0</v>
      </c>
      <c r="G13" s="17">
        <v>0</v>
      </c>
      <c r="H13" s="17">
        <f t="shared" ref="H13:H40" si="3">SUM(B13:G13)</f>
        <v>0</v>
      </c>
      <c r="I13" s="17">
        <v>0</v>
      </c>
      <c r="J13" s="17">
        <v>0</v>
      </c>
      <c r="K13" s="417">
        <f t="shared" ref="K13:K40" si="4">I13+J13</f>
        <v>0</v>
      </c>
      <c r="M13" s="6">
        <f>M12+1</f>
        <v>1995</v>
      </c>
      <c r="N13" s="17">
        <f t="shared" ref="N13:N40" si="5">B13-Z13</f>
        <v>0</v>
      </c>
      <c r="O13" s="17">
        <f t="shared" ref="O13:O40" si="6">C13-AA13</f>
        <v>0</v>
      </c>
      <c r="P13" s="17">
        <v>0</v>
      </c>
      <c r="Q13" s="17">
        <v>0</v>
      </c>
      <c r="R13" s="17">
        <v>0</v>
      </c>
      <c r="S13" s="17">
        <v>0</v>
      </c>
      <c r="T13" s="17">
        <f t="shared" ref="T13:T40" si="7">SUM(N13:S13)</f>
        <v>0</v>
      </c>
      <c r="U13" s="17">
        <v>0</v>
      </c>
      <c r="V13" s="17">
        <v>0</v>
      </c>
      <c r="W13" s="417">
        <f t="shared" ref="W13:W40" si="8">U13+V13</f>
        <v>0</v>
      </c>
      <c r="Y13" s="6">
        <f>Y12+1</f>
        <v>1995</v>
      </c>
      <c r="Z13" s="17">
        <f>'Exhibit F,1'!M17-'Exhibit F,1'!U17</f>
        <v>0</v>
      </c>
      <c r="AA13" s="17">
        <f>'Exhibit F,1'!O17-'Exhibit F,1'!W17</f>
        <v>0</v>
      </c>
      <c r="AB13" s="17">
        <v>0</v>
      </c>
      <c r="AC13" s="17">
        <v>0</v>
      </c>
      <c r="AD13" s="17">
        <v>0</v>
      </c>
      <c r="AE13" s="17">
        <v>0</v>
      </c>
      <c r="AF13" s="17">
        <f t="shared" ref="AF13:AF40" si="9">SUM(Z13:AE13)</f>
        <v>0</v>
      </c>
      <c r="AG13" s="17">
        <v>0</v>
      </c>
      <c r="AH13" s="17">
        <v>0</v>
      </c>
      <c r="AI13" s="417">
        <f t="shared" ref="AI13:AI40" si="10">AG13+AH13</f>
        <v>0</v>
      </c>
    </row>
    <row r="14" spans="1:35">
      <c r="A14" s="6">
        <f t="shared" ref="A14:A40" si="11">A13+1</f>
        <v>1996</v>
      </c>
      <c r="B14" s="17">
        <f>'Exhibit K,1'!G18-'Exhibit B,S2'!AB59-'Exhibit B,S2'!AC59</f>
        <v>0</v>
      </c>
      <c r="C14" s="17">
        <f>'Exhibit K,1'!M18-'Exhibit B,S2'!AD59-'Exhibit B,S2'!AE59</f>
        <v>0</v>
      </c>
      <c r="D14" s="17">
        <v>0</v>
      </c>
      <c r="E14" s="17">
        <v>0</v>
      </c>
      <c r="F14" s="17">
        <v>0</v>
      </c>
      <c r="G14" s="17">
        <v>0</v>
      </c>
      <c r="H14" s="17">
        <f t="shared" si="3"/>
        <v>0</v>
      </c>
      <c r="I14" s="17">
        <v>0</v>
      </c>
      <c r="J14" s="17">
        <v>0</v>
      </c>
      <c r="K14" s="417">
        <f t="shared" si="4"/>
        <v>0</v>
      </c>
      <c r="M14" s="6">
        <f t="shared" ref="M14:M40" si="12">M13+1</f>
        <v>1996</v>
      </c>
      <c r="N14" s="17">
        <f t="shared" si="5"/>
        <v>0</v>
      </c>
      <c r="O14" s="17">
        <f t="shared" si="6"/>
        <v>0</v>
      </c>
      <c r="P14" s="17">
        <v>0</v>
      </c>
      <c r="Q14" s="17">
        <v>0</v>
      </c>
      <c r="R14" s="17">
        <v>0</v>
      </c>
      <c r="S14" s="17">
        <v>0</v>
      </c>
      <c r="T14" s="17">
        <f t="shared" si="7"/>
        <v>0</v>
      </c>
      <c r="U14" s="17">
        <v>0</v>
      </c>
      <c r="V14" s="17">
        <v>0</v>
      </c>
      <c r="W14" s="417">
        <f t="shared" si="8"/>
        <v>0</v>
      </c>
      <c r="Y14" s="6">
        <f t="shared" ref="Y14:Y40" si="13">Y13+1</f>
        <v>1996</v>
      </c>
      <c r="Z14" s="17">
        <f>'Exhibit F,1'!M18-'Exhibit F,1'!U18</f>
        <v>0</v>
      </c>
      <c r="AA14" s="17">
        <f>'Exhibit F,1'!O18-'Exhibit F,1'!W18</f>
        <v>0</v>
      </c>
      <c r="AB14" s="17">
        <v>0</v>
      </c>
      <c r="AC14" s="17">
        <v>0</v>
      </c>
      <c r="AD14" s="17">
        <v>0</v>
      </c>
      <c r="AE14" s="17">
        <v>0</v>
      </c>
      <c r="AF14" s="17">
        <f t="shared" si="9"/>
        <v>0</v>
      </c>
      <c r="AG14" s="17">
        <v>0</v>
      </c>
      <c r="AH14" s="17">
        <v>0</v>
      </c>
      <c r="AI14" s="417">
        <f t="shared" si="10"/>
        <v>0</v>
      </c>
    </row>
    <row r="15" spans="1:35">
      <c r="A15" s="6">
        <f t="shared" si="11"/>
        <v>1997</v>
      </c>
      <c r="B15" s="17">
        <f>'Exhibit K,1'!G19-'Exhibit B,S2'!AB60-'Exhibit B,S2'!AC60</f>
        <v>0</v>
      </c>
      <c r="C15" s="17">
        <f>'Exhibit K,1'!M19-'Exhibit B,S2'!AD60-'Exhibit B,S2'!AE60</f>
        <v>0</v>
      </c>
      <c r="D15" s="17">
        <v>0</v>
      </c>
      <c r="E15" s="17">
        <v>0</v>
      </c>
      <c r="F15" s="17">
        <v>0</v>
      </c>
      <c r="G15" s="17">
        <v>0</v>
      </c>
      <c r="H15" s="17">
        <f t="shared" si="3"/>
        <v>0</v>
      </c>
      <c r="I15" s="17">
        <v>0</v>
      </c>
      <c r="J15" s="17">
        <v>0</v>
      </c>
      <c r="K15" s="417">
        <f t="shared" si="4"/>
        <v>0</v>
      </c>
      <c r="M15" s="6">
        <f t="shared" si="12"/>
        <v>1997</v>
      </c>
      <c r="N15" s="17">
        <f t="shared" si="5"/>
        <v>0</v>
      </c>
      <c r="O15" s="17">
        <f t="shared" si="6"/>
        <v>0</v>
      </c>
      <c r="P15" s="17">
        <v>0</v>
      </c>
      <c r="Q15" s="17">
        <v>0</v>
      </c>
      <c r="R15" s="17">
        <v>0</v>
      </c>
      <c r="S15" s="17">
        <v>0</v>
      </c>
      <c r="T15" s="17">
        <f t="shared" si="7"/>
        <v>0</v>
      </c>
      <c r="U15" s="17">
        <v>0</v>
      </c>
      <c r="V15" s="17">
        <v>0</v>
      </c>
      <c r="W15" s="417">
        <f t="shared" si="8"/>
        <v>0</v>
      </c>
      <c r="Y15" s="6">
        <f t="shared" si="13"/>
        <v>1997</v>
      </c>
      <c r="Z15" s="17">
        <f>'Exhibit F,1'!M19-'Exhibit F,1'!U19</f>
        <v>0</v>
      </c>
      <c r="AA15" s="17">
        <f>'Exhibit F,1'!O19-'Exhibit F,1'!W19</f>
        <v>0</v>
      </c>
      <c r="AB15" s="17">
        <v>0</v>
      </c>
      <c r="AC15" s="17">
        <v>0</v>
      </c>
      <c r="AD15" s="17">
        <v>0</v>
      </c>
      <c r="AE15" s="17">
        <v>0</v>
      </c>
      <c r="AF15" s="17">
        <f t="shared" si="9"/>
        <v>0</v>
      </c>
      <c r="AG15" s="17">
        <v>0</v>
      </c>
      <c r="AH15" s="17">
        <v>0</v>
      </c>
      <c r="AI15" s="417">
        <f t="shared" si="10"/>
        <v>0</v>
      </c>
    </row>
    <row r="16" spans="1:35">
      <c r="A16" s="6">
        <f t="shared" si="11"/>
        <v>1998</v>
      </c>
      <c r="B16" s="17">
        <f>'Exhibit K,1'!G20-'Exhibit B,S2'!AB61-'Exhibit B,S2'!AC61</f>
        <v>0</v>
      </c>
      <c r="C16" s="17">
        <f>'Exhibit K,1'!M20-'Exhibit B,S2'!AD61-'Exhibit B,S2'!AE61</f>
        <v>0</v>
      </c>
      <c r="D16" s="17">
        <v>0</v>
      </c>
      <c r="E16" s="17">
        <v>0</v>
      </c>
      <c r="F16" s="17">
        <v>0</v>
      </c>
      <c r="G16" s="17">
        <v>0</v>
      </c>
      <c r="H16" s="17">
        <f t="shared" si="3"/>
        <v>0</v>
      </c>
      <c r="I16" s="17">
        <v>0</v>
      </c>
      <c r="J16" s="17">
        <v>0</v>
      </c>
      <c r="K16" s="417">
        <f t="shared" si="4"/>
        <v>0</v>
      </c>
      <c r="M16" s="6">
        <f t="shared" si="12"/>
        <v>1998</v>
      </c>
      <c r="N16" s="17">
        <f t="shared" si="5"/>
        <v>0</v>
      </c>
      <c r="O16" s="17">
        <f t="shared" si="6"/>
        <v>0</v>
      </c>
      <c r="P16" s="17">
        <v>0</v>
      </c>
      <c r="Q16" s="17">
        <v>0</v>
      </c>
      <c r="R16" s="17">
        <v>0</v>
      </c>
      <c r="S16" s="17">
        <v>0</v>
      </c>
      <c r="T16" s="17">
        <f t="shared" si="7"/>
        <v>0</v>
      </c>
      <c r="U16" s="17">
        <v>0</v>
      </c>
      <c r="V16" s="17">
        <v>0</v>
      </c>
      <c r="W16" s="417">
        <f t="shared" si="8"/>
        <v>0</v>
      </c>
      <c r="Y16" s="6">
        <f t="shared" si="13"/>
        <v>1998</v>
      </c>
      <c r="Z16" s="17">
        <f>'Exhibit F,1'!M20-'Exhibit F,1'!U20</f>
        <v>0</v>
      </c>
      <c r="AA16" s="17">
        <f>'Exhibit F,1'!O20-'Exhibit F,1'!W20</f>
        <v>0</v>
      </c>
      <c r="AB16" s="17">
        <v>0</v>
      </c>
      <c r="AC16" s="17">
        <v>0</v>
      </c>
      <c r="AD16" s="17">
        <v>0</v>
      </c>
      <c r="AE16" s="17">
        <v>0</v>
      </c>
      <c r="AF16" s="17">
        <f t="shared" si="9"/>
        <v>0</v>
      </c>
      <c r="AG16" s="17">
        <v>0</v>
      </c>
      <c r="AH16" s="17">
        <v>0</v>
      </c>
      <c r="AI16" s="417">
        <f t="shared" si="10"/>
        <v>0</v>
      </c>
    </row>
    <row r="17" spans="1:36">
      <c r="A17" s="6">
        <f t="shared" si="11"/>
        <v>1999</v>
      </c>
      <c r="B17" s="17">
        <f>'Exhibit K,1'!G21-'Exhibit B,S2'!AB62-'Exhibit B,S2'!AC62</f>
        <v>0</v>
      </c>
      <c r="C17" s="17">
        <f>'Exhibit K,1'!M21-'Exhibit B,S2'!AD62-'Exhibit B,S2'!AE62</f>
        <v>0</v>
      </c>
      <c r="D17" s="17">
        <v>0</v>
      </c>
      <c r="E17" s="17">
        <v>0</v>
      </c>
      <c r="F17" s="17">
        <v>0</v>
      </c>
      <c r="G17" s="17">
        <v>0</v>
      </c>
      <c r="H17" s="17">
        <f t="shared" si="3"/>
        <v>0</v>
      </c>
      <c r="I17" s="17">
        <v>0</v>
      </c>
      <c r="J17" s="17">
        <v>0</v>
      </c>
      <c r="K17" s="417">
        <f t="shared" si="4"/>
        <v>0</v>
      </c>
      <c r="M17" s="6">
        <f t="shared" si="12"/>
        <v>1999</v>
      </c>
      <c r="N17" s="17">
        <f t="shared" si="5"/>
        <v>0</v>
      </c>
      <c r="O17" s="17">
        <f t="shared" si="6"/>
        <v>0</v>
      </c>
      <c r="P17" s="17">
        <v>0</v>
      </c>
      <c r="Q17" s="17">
        <v>0</v>
      </c>
      <c r="R17" s="17">
        <v>0</v>
      </c>
      <c r="S17" s="17">
        <v>0</v>
      </c>
      <c r="T17" s="17">
        <f t="shared" si="7"/>
        <v>0</v>
      </c>
      <c r="U17" s="17">
        <v>0</v>
      </c>
      <c r="V17" s="17">
        <v>0</v>
      </c>
      <c r="W17" s="417">
        <f t="shared" si="8"/>
        <v>0</v>
      </c>
      <c r="Y17" s="6">
        <f t="shared" si="13"/>
        <v>1999</v>
      </c>
      <c r="Z17" s="17">
        <f>'Exhibit F,1'!M21-'Exhibit F,1'!U21</f>
        <v>0</v>
      </c>
      <c r="AA17" s="17">
        <f>'Exhibit F,1'!O21-'Exhibit F,1'!W21</f>
        <v>0</v>
      </c>
      <c r="AB17" s="17">
        <v>0</v>
      </c>
      <c r="AC17" s="17">
        <v>0</v>
      </c>
      <c r="AD17" s="17">
        <v>0</v>
      </c>
      <c r="AE17" s="17">
        <v>0</v>
      </c>
      <c r="AF17" s="17">
        <f t="shared" si="9"/>
        <v>0</v>
      </c>
      <c r="AG17" s="17">
        <v>0</v>
      </c>
      <c r="AH17" s="17">
        <v>0</v>
      </c>
      <c r="AI17" s="417">
        <f t="shared" si="10"/>
        <v>0</v>
      </c>
    </row>
    <row r="18" spans="1:36">
      <c r="A18" s="6">
        <f t="shared" si="11"/>
        <v>2000</v>
      </c>
      <c r="B18" s="17">
        <f>'Exhibit K,1'!G22-'Exhibit B,S2'!AB63-'Exhibit B,S2'!AC63</f>
        <v>0</v>
      </c>
      <c r="C18" s="17">
        <f>'Exhibit K,1'!M22-'Exhibit B,S2'!AD63-'Exhibit B,S2'!AE63</f>
        <v>0</v>
      </c>
      <c r="D18" s="17">
        <v>0</v>
      </c>
      <c r="E18" s="17">
        <v>0</v>
      </c>
      <c r="F18" s="17">
        <v>0</v>
      </c>
      <c r="G18" s="17">
        <v>0</v>
      </c>
      <c r="H18" s="17">
        <f t="shared" si="3"/>
        <v>0</v>
      </c>
      <c r="I18" s="17">
        <v>0</v>
      </c>
      <c r="J18" s="17">
        <v>0</v>
      </c>
      <c r="K18" s="417">
        <f t="shared" si="4"/>
        <v>0</v>
      </c>
      <c r="M18" s="6">
        <f t="shared" si="12"/>
        <v>2000</v>
      </c>
      <c r="N18" s="17">
        <f t="shared" si="5"/>
        <v>0</v>
      </c>
      <c r="O18" s="17">
        <f t="shared" si="6"/>
        <v>0</v>
      </c>
      <c r="P18" s="17">
        <v>0</v>
      </c>
      <c r="Q18" s="17">
        <v>0</v>
      </c>
      <c r="R18" s="17">
        <v>0</v>
      </c>
      <c r="S18" s="17">
        <v>0</v>
      </c>
      <c r="T18" s="17">
        <f t="shared" si="7"/>
        <v>0</v>
      </c>
      <c r="U18" s="17">
        <v>0</v>
      </c>
      <c r="V18" s="17">
        <v>0</v>
      </c>
      <c r="W18" s="417">
        <f t="shared" si="8"/>
        <v>0</v>
      </c>
      <c r="Y18" s="6">
        <f t="shared" si="13"/>
        <v>2000</v>
      </c>
      <c r="Z18" s="17">
        <f>'Exhibit F,1'!M22-'Exhibit F,1'!U22</f>
        <v>0</v>
      </c>
      <c r="AA18" s="17">
        <f>'Exhibit F,1'!O22-'Exhibit F,1'!W22</f>
        <v>0</v>
      </c>
      <c r="AB18" s="17">
        <v>0</v>
      </c>
      <c r="AC18" s="17">
        <v>0</v>
      </c>
      <c r="AD18" s="17">
        <v>0</v>
      </c>
      <c r="AE18" s="17">
        <v>0</v>
      </c>
      <c r="AF18" s="17">
        <f t="shared" si="9"/>
        <v>0</v>
      </c>
      <c r="AG18" s="17">
        <v>0</v>
      </c>
      <c r="AH18" s="17">
        <v>0</v>
      </c>
      <c r="AI18" s="417">
        <f t="shared" si="10"/>
        <v>0</v>
      </c>
    </row>
    <row r="19" spans="1:36">
      <c r="A19" s="6">
        <f t="shared" si="11"/>
        <v>2001</v>
      </c>
      <c r="B19" s="17">
        <f>'Exhibit K,1'!G23-'Exhibit B,S2'!AB64-'Exhibit B,S2'!AC64</f>
        <v>0</v>
      </c>
      <c r="C19" s="17">
        <f>'Exhibit K,1'!M23-'Exhibit B,S2'!AD64-'Exhibit B,S2'!AE64</f>
        <v>0</v>
      </c>
      <c r="D19" s="17">
        <v>0</v>
      </c>
      <c r="E19" s="17">
        <v>0</v>
      </c>
      <c r="F19" s="17">
        <v>0</v>
      </c>
      <c r="G19" s="17">
        <v>0</v>
      </c>
      <c r="H19" s="17">
        <f t="shared" si="3"/>
        <v>0</v>
      </c>
      <c r="I19" s="17">
        <v>0</v>
      </c>
      <c r="J19" s="17">
        <v>0</v>
      </c>
      <c r="K19" s="417">
        <f t="shared" si="4"/>
        <v>0</v>
      </c>
      <c r="M19" s="6">
        <f t="shared" si="12"/>
        <v>2001</v>
      </c>
      <c r="N19" s="17">
        <f t="shared" si="5"/>
        <v>0</v>
      </c>
      <c r="O19" s="17">
        <f t="shared" si="6"/>
        <v>0</v>
      </c>
      <c r="P19" s="17">
        <v>0</v>
      </c>
      <c r="Q19" s="17">
        <v>0</v>
      </c>
      <c r="R19" s="17">
        <v>0</v>
      </c>
      <c r="S19" s="17">
        <v>0</v>
      </c>
      <c r="T19" s="17">
        <f t="shared" si="7"/>
        <v>0</v>
      </c>
      <c r="U19" s="17">
        <v>0</v>
      </c>
      <c r="V19" s="17">
        <v>0</v>
      </c>
      <c r="W19" s="417">
        <f t="shared" si="8"/>
        <v>0</v>
      </c>
      <c r="Y19" s="6">
        <f t="shared" si="13"/>
        <v>2001</v>
      </c>
      <c r="Z19" s="17">
        <f>'Exhibit F,1'!M23-'Exhibit F,1'!U23</f>
        <v>0</v>
      </c>
      <c r="AA19" s="17">
        <f>'Exhibit F,1'!O23-'Exhibit F,1'!W23</f>
        <v>0</v>
      </c>
      <c r="AB19" s="17">
        <v>0</v>
      </c>
      <c r="AC19" s="17">
        <v>0</v>
      </c>
      <c r="AD19" s="17">
        <v>0</v>
      </c>
      <c r="AE19" s="17">
        <v>0</v>
      </c>
      <c r="AF19" s="17">
        <f t="shared" si="9"/>
        <v>0</v>
      </c>
      <c r="AG19" s="17">
        <v>0</v>
      </c>
      <c r="AH19" s="17">
        <v>0</v>
      </c>
      <c r="AI19" s="417">
        <f t="shared" si="10"/>
        <v>0</v>
      </c>
    </row>
    <row r="20" spans="1:36">
      <c r="A20" s="6">
        <f t="shared" si="11"/>
        <v>2002</v>
      </c>
      <c r="B20" s="17">
        <f>'Exhibit K,1'!G24-'Exhibit B,S2'!AB65-'Exhibit B,S2'!AC65</f>
        <v>0</v>
      </c>
      <c r="C20" s="17">
        <f>'Exhibit K,1'!M24-'Exhibit B,S2'!AD65-'Exhibit B,S2'!AE65</f>
        <v>0</v>
      </c>
      <c r="D20" s="17">
        <v>0</v>
      </c>
      <c r="E20" s="17">
        <v>0</v>
      </c>
      <c r="F20" s="17">
        <v>0</v>
      </c>
      <c r="G20" s="17">
        <v>0</v>
      </c>
      <c r="H20" s="17">
        <f t="shared" si="3"/>
        <v>0</v>
      </c>
      <c r="I20" s="17">
        <v>0</v>
      </c>
      <c r="J20" s="17">
        <v>0</v>
      </c>
      <c r="K20" s="417">
        <f t="shared" si="4"/>
        <v>0</v>
      </c>
      <c r="M20" s="6">
        <f t="shared" si="12"/>
        <v>2002</v>
      </c>
      <c r="N20" s="17">
        <f t="shared" si="5"/>
        <v>0</v>
      </c>
      <c r="O20" s="17">
        <f t="shared" si="6"/>
        <v>0</v>
      </c>
      <c r="P20" s="17">
        <v>0</v>
      </c>
      <c r="Q20" s="17">
        <v>0</v>
      </c>
      <c r="R20" s="17">
        <v>0</v>
      </c>
      <c r="S20" s="17">
        <v>0</v>
      </c>
      <c r="T20" s="17">
        <f t="shared" si="7"/>
        <v>0</v>
      </c>
      <c r="U20" s="17">
        <v>0</v>
      </c>
      <c r="V20" s="17">
        <v>0</v>
      </c>
      <c r="W20" s="417">
        <f t="shared" si="8"/>
        <v>0</v>
      </c>
      <c r="Y20" s="6">
        <f t="shared" si="13"/>
        <v>2002</v>
      </c>
      <c r="Z20" s="17">
        <f>'Exhibit F,1'!M24-'Exhibit F,1'!U24</f>
        <v>0</v>
      </c>
      <c r="AA20" s="17">
        <f>'Exhibit F,1'!O24-'Exhibit F,1'!W24</f>
        <v>0</v>
      </c>
      <c r="AB20" s="17">
        <v>0</v>
      </c>
      <c r="AC20" s="17">
        <v>0</v>
      </c>
      <c r="AD20" s="17">
        <v>0</v>
      </c>
      <c r="AE20" s="17">
        <v>0</v>
      </c>
      <c r="AF20" s="17">
        <f t="shared" si="9"/>
        <v>0</v>
      </c>
      <c r="AG20" s="17">
        <v>0</v>
      </c>
      <c r="AH20" s="17">
        <v>0</v>
      </c>
      <c r="AI20" s="417">
        <f t="shared" si="10"/>
        <v>0</v>
      </c>
    </row>
    <row r="21" spans="1:36">
      <c r="A21" s="6">
        <f t="shared" si="11"/>
        <v>2003</v>
      </c>
      <c r="B21" s="17">
        <f>'Exhibit K,1'!G25-'Exhibit B,S2'!AB66-'Exhibit B,S2'!AC66</f>
        <v>0</v>
      </c>
      <c r="C21" s="17">
        <f>'Exhibit K,1'!M25-'Exhibit B,S2'!AD66-'Exhibit B,S2'!AE66</f>
        <v>0</v>
      </c>
      <c r="D21" s="17">
        <v>0</v>
      </c>
      <c r="E21" s="17">
        <v>0</v>
      </c>
      <c r="F21" s="17">
        <v>0</v>
      </c>
      <c r="G21" s="17">
        <v>0</v>
      </c>
      <c r="H21" s="17">
        <f t="shared" si="3"/>
        <v>0</v>
      </c>
      <c r="I21" s="17">
        <v>0</v>
      </c>
      <c r="J21" s="17">
        <v>0</v>
      </c>
      <c r="K21" s="417">
        <f t="shared" si="4"/>
        <v>0</v>
      </c>
      <c r="M21" s="6">
        <f t="shared" si="12"/>
        <v>2003</v>
      </c>
      <c r="N21" s="17">
        <f t="shared" si="5"/>
        <v>0</v>
      </c>
      <c r="O21" s="17">
        <f t="shared" si="6"/>
        <v>0</v>
      </c>
      <c r="P21" s="17">
        <v>0</v>
      </c>
      <c r="Q21" s="17">
        <v>0</v>
      </c>
      <c r="R21" s="17">
        <v>0</v>
      </c>
      <c r="S21" s="17">
        <v>0</v>
      </c>
      <c r="T21" s="17">
        <f t="shared" si="7"/>
        <v>0</v>
      </c>
      <c r="U21" s="17">
        <v>0</v>
      </c>
      <c r="V21" s="17">
        <v>0</v>
      </c>
      <c r="W21" s="417">
        <f t="shared" si="8"/>
        <v>0</v>
      </c>
      <c r="Y21" s="6">
        <f t="shared" si="13"/>
        <v>2003</v>
      </c>
      <c r="Z21" s="17">
        <f>'Exhibit F,1'!M25-'Exhibit F,1'!U25</f>
        <v>0</v>
      </c>
      <c r="AA21" s="17">
        <f>'Exhibit F,1'!O25-'Exhibit F,1'!W25</f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f t="shared" si="9"/>
        <v>0</v>
      </c>
      <c r="AG21" s="17">
        <v>0</v>
      </c>
      <c r="AH21" s="17">
        <v>0</v>
      </c>
      <c r="AI21" s="417">
        <f t="shared" si="10"/>
        <v>0</v>
      </c>
    </row>
    <row r="22" spans="1:36">
      <c r="A22" s="6">
        <f t="shared" si="11"/>
        <v>2004</v>
      </c>
      <c r="B22" s="17">
        <f>'Exhibit K,1'!G26-'Exhibit B,S2'!AB67-'Exhibit B,S2'!AC67</f>
        <v>0</v>
      </c>
      <c r="C22" s="17">
        <f>'Exhibit K,1'!M26-'Exhibit B,S2'!AD67-'Exhibit B,S2'!AE67</f>
        <v>0</v>
      </c>
      <c r="D22" s="17">
        <v>0</v>
      </c>
      <c r="E22" s="17">
        <v>0</v>
      </c>
      <c r="F22" s="17">
        <v>0</v>
      </c>
      <c r="G22" s="17">
        <v>0</v>
      </c>
      <c r="H22" s="17">
        <f t="shared" si="3"/>
        <v>0</v>
      </c>
      <c r="I22" s="17">
        <v>0</v>
      </c>
      <c r="J22" s="17">
        <v>0</v>
      </c>
      <c r="K22" s="417">
        <f t="shared" si="4"/>
        <v>0</v>
      </c>
      <c r="M22" s="6">
        <f t="shared" si="12"/>
        <v>2004</v>
      </c>
      <c r="N22" s="17">
        <f t="shared" si="5"/>
        <v>0</v>
      </c>
      <c r="O22" s="17">
        <f t="shared" si="6"/>
        <v>0</v>
      </c>
      <c r="P22" s="17">
        <v>0</v>
      </c>
      <c r="Q22" s="17">
        <v>0</v>
      </c>
      <c r="R22" s="17">
        <v>0</v>
      </c>
      <c r="S22" s="17">
        <v>0</v>
      </c>
      <c r="T22" s="17">
        <f t="shared" si="7"/>
        <v>0</v>
      </c>
      <c r="U22" s="17">
        <v>0</v>
      </c>
      <c r="V22" s="17">
        <v>0</v>
      </c>
      <c r="W22" s="417">
        <f t="shared" si="8"/>
        <v>0</v>
      </c>
      <c r="Y22" s="6">
        <f t="shared" si="13"/>
        <v>2004</v>
      </c>
      <c r="Z22" s="17">
        <f>'Exhibit F,1'!M26-'Exhibit F,1'!U26</f>
        <v>0</v>
      </c>
      <c r="AA22" s="17">
        <f>'Exhibit F,1'!O26-'Exhibit F,1'!W26</f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f t="shared" si="9"/>
        <v>0</v>
      </c>
      <c r="AG22" s="17">
        <v>0</v>
      </c>
      <c r="AH22" s="17">
        <v>0</v>
      </c>
      <c r="AI22" s="417">
        <f t="shared" si="10"/>
        <v>0</v>
      </c>
    </row>
    <row r="23" spans="1:36">
      <c r="A23" s="6">
        <f t="shared" si="11"/>
        <v>2005</v>
      </c>
      <c r="B23" s="17">
        <f>'Exhibit K,1'!G27-'Exhibit B,S2'!AB68-'Exhibit B,S2'!AC68</f>
        <v>0</v>
      </c>
      <c r="C23" s="17">
        <f>'Exhibit K,1'!M27-'Exhibit B,S2'!AD68-'Exhibit B,S2'!AE68</f>
        <v>0</v>
      </c>
      <c r="D23" s="17">
        <v>0</v>
      </c>
      <c r="E23" s="17">
        <v>0</v>
      </c>
      <c r="F23" s="17">
        <v>0</v>
      </c>
      <c r="G23" s="17">
        <v>0</v>
      </c>
      <c r="H23" s="17">
        <f t="shared" si="3"/>
        <v>0</v>
      </c>
      <c r="I23" s="17">
        <v>0</v>
      </c>
      <c r="J23" s="17">
        <v>0</v>
      </c>
      <c r="K23" s="417">
        <f t="shared" si="4"/>
        <v>0</v>
      </c>
      <c r="M23" s="6">
        <f t="shared" si="12"/>
        <v>2005</v>
      </c>
      <c r="N23" s="17">
        <f t="shared" si="5"/>
        <v>0</v>
      </c>
      <c r="O23" s="17">
        <f t="shared" si="6"/>
        <v>0</v>
      </c>
      <c r="P23" s="17">
        <v>0</v>
      </c>
      <c r="Q23" s="17">
        <v>0</v>
      </c>
      <c r="R23" s="17">
        <v>0</v>
      </c>
      <c r="S23" s="17">
        <v>0</v>
      </c>
      <c r="T23" s="17">
        <f t="shared" si="7"/>
        <v>0</v>
      </c>
      <c r="U23" s="17">
        <v>0</v>
      </c>
      <c r="V23" s="17">
        <v>0</v>
      </c>
      <c r="W23" s="417">
        <f t="shared" si="8"/>
        <v>0</v>
      </c>
      <c r="Y23" s="6">
        <f t="shared" si="13"/>
        <v>2005</v>
      </c>
      <c r="Z23" s="17">
        <f>'Exhibit F,1'!M27-'Exhibit F,1'!U27</f>
        <v>0</v>
      </c>
      <c r="AA23" s="17">
        <f>'Exhibit F,1'!O27-'Exhibit F,1'!W27</f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f t="shared" si="9"/>
        <v>0</v>
      </c>
      <c r="AG23" s="17">
        <v>0</v>
      </c>
      <c r="AH23" s="17">
        <v>0</v>
      </c>
      <c r="AI23" s="417">
        <f t="shared" si="10"/>
        <v>0</v>
      </c>
    </row>
    <row r="24" spans="1:36">
      <c r="A24" s="6">
        <f t="shared" si="11"/>
        <v>2006</v>
      </c>
      <c r="B24" s="17">
        <f>'Exhibit K,1'!G28-'Exhibit B,S2'!AB69-'Exhibit B,S2'!AC69</f>
        <v>0</v>
      </c>
      <c r="C24" s="17">
        <f>'Exhibit K,1'!M28-'Exhibit B,S2'!AD69-'Exhibit B,S2'!AE69</f>
        <v>0</v>
      </c>
      <c r="D24" s="17">
        <v>0</v>
      </c>
      <c r="E24" s="17">
        <v>0</v>
      </c>
      <c r="F24" s="17">
        <v>0</v>
      </c>
      <c r="G24" s="17">
        <v>0</v>
      </c>
      <c r="H24" s="17">
        <f t="shared" si="3"/>
        <v>0</v>
      </c>
      <c r="I24" s="17">
        <v>0</v>
      </c>
      <c r="J24" s="17">
        <v>0</v>
      </c>
      <c r="K24" s="417">
        <f t="shared" si="4"/>
        <v>0</v>
      </c>
      <c r="M24" s="6">
        <f t="shared" si="12"/>
        <v>2006</v>
      </c>
      <c r="N24" s="17">
        <f t="shared" si="5"/>
        <v>0</v>
      </c>
      <c r="O24" s="17">
        <f t="shared" si="6"/>
        <v>0</v>
      </c>
      <c r="P24" s="17">
        <v>-0.20999999999185093</v>
      </c>
      <c r="Q24" s="17">
        <v>0</v>
      </c>
      <c r="R24" s="17">
        <v>0</v>
      </c>
      <c r="S24" s="17">
        <v>0</v>
      </c>
      <c r="T24" s="17">
        <f t="shared" si="7"/>
        <v>-0.20999999999185093</v>
      </c>
      <c r="U24" s="17">
        <v>0</v>
      </c>
      <c r="V24" s="17">
        <v>0</v>
      </c>
      <c r="W24" s="417">
        <f t="shared" si="8"/>
        <v>0</v>
      </c>
      <c r="Y24" s="6">
        <f t="shared" si="13"/>
        <v>2006</v>
      </c>
      <c r="Z24" s="17">
        <f>'Exhibit F,1'!M28-'Exhibit F,1'!U28</f>
        <v>0</v>
      </c>
      <c r="AA24" s="17">
        <f>'Exhibit F,1'!O28-'Exhibit F,1'!W28</f>
        <v>0</v>
      </c>
      <c r="AB24" s="17">
        <v>0</v>
      </c>
      <c r="AC24" s="17">
        <v>0</v>
      </c>
      <c r="AD24" s="17">
        <v>0</v>
      </c>
      <c r="AE24" s="17">
        <v>0</v>
      </c>
      <c r="AF24" s="17">
        <f t="shared" si="9"/>
        <v>0</v>
      </c>
      <c r="AG24" s="17">
        <v>0</v>
      </c>
      <c r="AH24" s="17">
        <v>0</v>
      </c>
      <c r="AI24" s="417">
        <f t="shared" si="10"/>
        <v>0</v>
      </c>
    </row>
    <row r="25" spans="1:36">
      <c r="A25" s="6">
        <f t="shared" si="11"/>
        <v>2007</v>
      </c>
      <c r="B25" s="17">
        <f>'Exhibit K,1'!G29-'Exhibit B,S2'!AB70-'Exhibit B,S2'!AC70</f>
        <v>0</v>
      </c>
      <c r="C25" s="17">
        <f>'Exhibit K,1'!M29-'Exhibit B,S2'!AD70-'Exhibit B,S2'!AE70</f>
        <v>0</v>
      </c>
      <c r="D25" s="17">
        <v>0</v>
      </c>
      <c r="E25" s="17">
        <v>-0.27999999999883585</v>
      </c>
      <c r="F25" s="17">
        <v>0</v>
      </c>
      <c r="G25" s="17">
        <v>0</v>
      </c>
      <c r="H25" s="17">
        <f t="shared" si="3"/>
        <v>-0.27999999999883585</v>
      </c>
      <c r="I25" s="17">
        <v>0</v>
      </c>
      <c r="J25" s="17">
        <v>0</v>
      </c>
      <c r="K25" s="417">
        <f t="shared" si="4"/>
        <v>0</v>
      </c>
      <c r="M25" s="6">
        <f t="shared" si="12"/>
        <v>2007</v>
      </c>
      <c r="N25" s="17">
        <f t="shared" si="5"/>
        <v>0</v>
      </c>
      <c r="O25" s="17">
        <f t="shared" si="6"/>
        <v>0</v>
      </c>
      <c r="P25" s="17">
        <v>0</v>
      </c>
      <c r="Q25" s="17">
        <v>-0.27999999999883585</v>
      </c>
      <c r="R25" s="17">
        <v>0</v>
      </c>
      <c r="S25" s="17">
        <v>0</v>
      </c>
      <c r="T25" s="17">
        <f t="shared" si="7"/>
        <v>-0.27999999999883585</v>
      </c>
      <c r="U25" s="17">
        <v>0</v>
      </c>
      <c r="V25" s="17">
        <v>0</v>
      </c>
      <c r="W25" s="417">
        <f t="shared" si="8"/>
        <v>0</v>
      </c>
      <c r="Y25" s="6">
        <f t="shared" si="13"/>
        <v>2007</v>
      </c>
      <c r="Z25" s="17">
        <f>'Exhibit F,1'!M29-'Exhibit F,1'!U29</f>
        <v>0</v>
      </c>
      <c r="AA25" s="17">
        <f>'Exhibit F,1'!O29-'Exhibit F,1'!W29</f>
        <v>0</v>
      </c>
      <c r="AB25" s="17">
        <v>0</v>
      </c>
      <c r="AC25" s="17">
        <v>0</v>
      </c>
      <c r="AD25" s="17">
        <v>0</v>
      </c>
      <c r="AE25" s="17">
        <v>0</v>
      </c>
      <c r="AF25" s="17">
        <f t="shared" si="9"/>
        <v>0</v>
      </c>
      <c r="AG25" s="17">
        <v>0</v>
      </c>
      <c r="AH25" s="17">
        <v>0</v>
      </c>
      <c r="AI25" s="417">
        <f t="shared" si="10"/>
        <v>0</v>
      </c>
    </row>
    <row r="26" spans="1:36">
      <c r="A26" s="6">
        <f t="shared" si="11"/>
        <v>2008</v>
      </c>
      <c r="B26" s="17">
        <f>'Exhibit K,1'!G30-'Exhibit B,S2'!AB71-'Exhibit B,S2'!AC71</f>
        <v>0</v>
      </c>
      <c r="C26" s="17">
        <f>'Exhibit K,1'!M30-'Exhibit B,S2'!AD71-'Exhibit B,S2'!AE71</f>
        <v>0</v>
      </c>
      <c r="D26" s="17">
        <f>'Exhibit U,2'!O17</f>
        <v>0</v>
      </c>
      <c r="E26" s="17">
        <f>'Exhibit U,2'!Q17</f>
        <v>0</v>
      </c>
      <c r="F26" s="17">
        <v>0</v>
      </c>
      <c r="G26" s="17">
        <v>0</v>
      </c>
      <c r="H26" s="17">
        <f t="shared" si="3"/>
        <v>0</v>
      </c>
      <c r="I26" s="17">
        <v>0</v>
      </c>
      <c r="J26" s="17">
        <v>0</v>
      </c>
      <c r="K26" s="417">
        <f t="shared" si="4"/>
        <v>0</v>
      </c>
      <c r="M26" s="6">
        <f t="shared" si="12"/>
        <v>2008</v>
      </c>
      <c r="N26" s="17">
        <f t="shared" si="5"/>
        <v>0</v>
      </c>
      <c r="O26" s="17">
        <f t="shared" si="6"/>
        <v>0</v>
      </c>
      <c r="P26" s="17">
        <f t="shared" ref="P26:P40" si="14">D26-AB26</f>
        <v>0</v>
      </c>
      <c r="Q26" s="17">
        <f t="shared" ref="Q26:Q40" si="15">E26-AC26</f>
        <v>0</v>
      </c>
      <c r="R26" s="17">
        <v>0</v>
      </c>
      <c r="S26" s="17">
        <v>0</v>
      </c>
      <c r="T26" s="17">
        <f t="shared" si="7"/>
        <v>0</v>
      </c>
      <c r="U26" s="17">
        <v>0</v>
      </c>
      <c r="V26" s="17">
        <v>0</v>
      </c>
      <c r="W26" s="417">
        <f t="shared" si="8"/>
        <v>0</v>
      </c>
      <c r="Y26" s="6">
        <f t="shared" si="13"/>
        <v>2008</v>
      </c>
      <c r="Z26" s="17">
        <f>'Exhibit F,1'!M30-'Exhibit F,1'!U30</f>
        <v>0</v>
      </c>
      <c r="AA26" s="17">
        <f>'Exhibit F,1'!O30-'Exhibit F,1'!W30</f>
        <v>0</v>
      </c>
      <c r="AB26" s="17">
        <v>0</v>
      </c>
      <c r="AC26" s="17">
        <v>0</v>
      </c>
      <c r="AD26" s="17">
        <v>0</v>
      </c>
      <c r="AE26" s="17">
        <v>0</v>
      </c>
      <c r="AF26" s="17">
        <f t="shared" si="9"/>
        <v>0</v>
      </c>
      <c r="AG26" s="17">
        <v>0</v>
      </c>
      <c r="AH26" s="17">
        <v>0</v>
      </c>
      <c r="AI26" s="417">
        <f t="shared" si="10"/>
        <v>0</v>
      </c>
    </row>
    <row r="27" spans="1:36">
      <c r="A27" s="6">
        <f t="shared" si="11"/>
        <v>2009</v>
      </c>
      <c r="B27" s="17">
        <f>'Exhibit K,1'!G31-'Exhibit B,S2'!AB72-'Exhibit B,S2'!AC72</f>
        <v>0</v>
      </c>
      <c r="C27" s="17">
        <f>'Exhibit K,1'!M31-'Exhibit B,S2'!AD72-'Exhibit B,S2'!AE72</f>
        <v>0</v>
      </c>
      <c r="D27" s="17">
        <f>'Exhibit U,2'!O18</f>
        <v>0</v>
      </c>
      <c r="E27" s="17">
        <f>'Exhibit U,2'!Q18</f>
        <v>0</v>
      </c>
      <c r="F27" s="17">
        <v>0</v>
      </c>
      <c r="G27" s="17">
        <v>0</v>
      </c>
      <c r="H27" s="17">
        <f t="shared" si="3"/>
        <v>0</v>
      </c>
      <c r="I27" s="17">
        <v>0</v>
      </c>
      <c r="J27" s="17">
        <v>0</v>
      </c>
      <c r="K27" s="417">
        <f t="shared" si="4"/>
        <v>0</v>
      </c>
      <c r="M27" s="6">
        <f t="shared" si="12"/>
        <v>2009</v>
      </c>
      <c r="N27" s="17">
        <f t="shared" si="5"/>
        <v>0</v>
      </c>
      <c r="O27" s="17">
        <f t="shared" si="6"/>
        <v>0</v>
      </c>
      <c r="P27" s="17">
        <f t="shared" si="14"/>
        <v>0</v>
      </c>
      <c r="Q27" s="17">
        <f t="shared" si="15"/>
        <v>0</v>
      </c>
      <c r="R27" s="17">
        <v>0</v>
      </c>
      <c r="S27" s="17">
        <v>0</v>
      </c>
      <c r="T27" s="17">
        <f t="shared" si="7"/>
        <v>0</v>
      </c>
      <c r="U27" s="17">
        <v>0</v>
      </c>
      <c r="V27" s="17">
        <v>0</v>
      </c>
      <c r="W27" s="417">
        <f t="shared" si="8"/>
        <v>0</v>
      </c>
      <c r="Y27" s="6">
        <f t="shared" si="13"/>
        <v>2009</v>
      </c>
      <c r="Z27" s="17">
        <f>'Exhibit F,1'!M31-'Exhibit F,1'!U31</f>
        <v>0</v>
      </c>
      <c r="AA27" s="17">
        <f>'Exhibit F,1'!O31-'Exhibit F,1'!W31</f>
        <v>0</v>
      </c>
      <c r="AB27" s="17">
        <f>'Exhibit U,2'!O37</f>
        <v>0</v>
      </c>
      <c r="AC27" s="17">
        <f>'Exhibit U,2'!Q37</f>
        <v>0</v>
      </c>
      <c r="AD27" s="17">
        <v>0</v>
      </c>
      <c r="AE27" s="17">
        <v>0</v>
      </c>
      <c r="AF27" s="17">
        <f t="shared" si="9"/>
        <v>0</v>
      </c>
      <c r="AG27" s="17">
        <v>0</v>
      </c>
      <c r="AH27" s="17">
        <v>0</v>
      </c>
      <c r="AI27" s="417">
        <f t="shared" si="10"/>
        <v>0</v>
      </c>
    </row>
    <row r="28" spans="1:36">
      <c r="A28" s="6">
        <f t="shared" si="11"/>
        <v>2010</v>
      </c>
      <c r="B28" s="17">
        <f>'Exhibit K,1'!G32-'Exhibit B,S2'!AB73-'Exhibit B,S2'!AC73</f>
        <v>0</v>
      </c>
      <c r="C28" s="17">
        <f>'Exhibit K,1'!M32-'Exhibit B,S2'!AD73-'Exhibit B,S2'!AE73</f>
        <v>0</v>
      </c>
      <c r="D28" s="17">
        <f>'Exhibit U,2'!O19</f>
        <v>0</v>
      </c>
      <c r="E28" s="17">
        <f>'Exhibit U,2'!Q19</f>
        <v>0</v>
      </c>
      <c r="F28" s="17">
        <v>0</v>
      </c>
      <c r="G28" s="17">
        <v>0</v>
      </c>
      <c r="H28" s="17">
        <f t="shared" si="3"/>
        <v>0</v>
      </c>
      <c r="I28" s="17">
        <v>0</v>
      </c>
      <c r="J28" s="17">
        <v>0</v>
      </c>
      <c r="K28" s="417">
        <f t="shared" si="4"/>
        <v>0</v>
      </c>
      <c r="M28" s="6">
        <f t="shared" si="12"/>
        <v>2010</v>
      </c>
      <c r="N28" s="17">
        <f t="shared" si="5"/>
        <v>0</v>
      </c>
      <c r="O28" s="17">
        <f t="shared" si="6"/>
        <v>0</v>
      </c>
      <c r="P28" s="17">
        <f t="shared" si="14"/>
        <v>0</v>
      </c>
      <c r="Q28" s="17">
        <f t="shared" si="15"/>
        <v>0</v>
      </c>
      <c r="R28" s="17">
        <v>0</v>
      </c>
      <c r="S28" s="17">
        <v>0</v>
      </c>
      <c r="T28" s="17">
        <f t="shared" si="7"/>
        <v>0</v>
      </c>
      <c r="U28" s="17">
        <v>0</v>
      </c>
      <c r="V28" s="17">
        <v>0</v>
      </c>
      <c r="W28" s="417">
        <f t="shared" si="8"/>
        <v>0</v>
      </c>
      <c r="Y28" s="6">
        <f t="shared" si="13"/>
        <v>2010</v>
      </c>
      <c r="Z28" s="17">
        <f>'Exhibit F,1'!M32-'Exhibit F,1'!U32</f>
        <v>0</v>
      </c>
      <c r="AA28" s="17">
        <f>'Exhibit F,1'!O32-'Exhibit F,1'!W32</f>
        <v>0</v>
      </c>
      <c r="AB28" s="17">
        <f>'Exhibit U,2'!O38</f>
        <v>0</v>
      </c>
      <c r="AC28" s="17">
        <f>'Exhibit U,2'!Q38</f>
        <v>0</v>
      </c>
      <c r="AD28" s="17">
        <v>0</v>
      </c>
      <c r="AE28" s="17">
        <v>0</v>
      </c>
      <c r="AF28" s="17">
        <f t="shared" si="9"/>
        <v>0</v>
      </c>
      <c r="AG28" s="17">
        <v>0</v>
      </c>
      <c r="AH28" s="17">
        <v>0</v>
      </c>
      <c r="AI28" s="417">
        <f t="shared" si="10"/>
        <v>0</v>
      </c>
    </row>
    <row r="29" spans="1:36">
      <c r="A29" s="6">
        <f t="shared" si="11"/>
        <v>2011</v>
      </c>
      <c r="B29" s="17">
        <f>'Exhibit K,1'!G33-'Exhibit B,S2'!AB74-'Exhibit B,S2'!AC74</f>
        <v>0</v>
      </c>
      <c r="C29" s="17">
        <f>'Exhibit K,1'!M33-'Exhibit B,S2'!AD74-'Exhibit B,S2'!AE74</f>
        <v>63.790521473332774</v>
      </c>
      <c r="D29" s="17">
        <f>'Exhibit U,2'!O20</f>
        <v>0</v>
      </c>
      <c r="E29" s="17">
        <f>'Exhibit U,2'!Q20</f>
        <v>0</v>
      </c>
      <c r="F29" s="17">
        <f>'Exhibit V,1'!K15</f>
        <v>0</v>
      </c>
      <c r="G29" s="17">
        <f>'Exhibit V,1'!AA15</f>
        <v>0</v>
      </c>
      <c r="H29" s="17">
        <f t="shared" si="3"/>
        <v>63.790521473332774</v>
      </c>
      <c r="I29" s="17">
        <v>0</v>
      </c>
      <c r="J29" s="17">
        <v>0</v>
      </c>
      <c r="K29" s="417">
        <f t="shared" si="4"/>
        <v>0</v>
      </c>
      <c r="M29" s="6">
        <f t="shared" si="12"/>
        <v>2011</v>
      </c>
      <c r="N29" s="17">
        <f t="shared" si="5"/>
        <v>0</v>
      </c>
      <c r="O29" s="17">
        <f t="shared" si="6"/>
        <v>0</v>
      </c>
      <c r="P29" s="17">
        <f t="shared" si="14"/>
        <v>0</v>
      </c>
      <c r="Q29" s="17">
        <f t="shared" si="15"/>
        <v>0</v>
      </c>
      <c r="R29" s="17">
        <v>0</v>
      </c>
      <c r="S29" s="17">
        <v>0</v>
      </c>
      <c r="T29" s="17">
        <f t="shared" si="7"/>
        <v>0</v>
      </c>
      <c r="U29" s="17">
        <v>0</v>
      </c>
      <c r="V29" s="17">
        <v>0</v>
      </c>
      <c r="W29" s="417">
        <f t="shared" si="8"/>
        <v>0</v>
      </c>
      <c r="Y29" s="6">
        <f t="shared" si="13"/>
        <v>2011</v>
      </c>
      <c r="Z29" s="17">
        <f>'Exhibit F,1'!M33-'Exhibit F,1'!U33</f>
        <v>0</v>
      </c>
      <c r="AA29" s="17">
        <f>'Exhibit F,1'!O33-'Exhibit F,1'!W33</f>
        <v>63.790521473332774</v>
      </c>
      <c r="AB29" s="17">
        <f>'Exhibit U,2'!O39</f>
        <v>0</v>
      </c>
      <c r="AC29" s="17">
        <f>'Exhibit U,2'!Q39</f>
        <v>0</v>
      </c>
      <c r="AD29" s="17">
        <v>0</v>
      </c>
      <c r="AE29" s="17">
        <v>0</v>
      </c>
      <c r="AF29" s="17">
        <f t="shared" si="9"/>
        <v>63.790521473332774</v>
      </c>
      <c r="AG29" s="17">
        <v>0</v>
      </c>
      <c r="AH29" s="17">
        <v>0</v>
      </c>
      <c r="AI29" s="417">
        <f t="shared" si="10"/>
        <v>0</v>
      </c>
    </row>
    <row r="30" spans="1:36">
      <c r="A30" s="6">
        <f t="shared" si="11"/>
        <v>2012</v>
      </c>
      <c r="B30" s="17">
        <f>'Exhibit K,1'!G34-'Exhibit B,S2'!AB75-'Exhibit B,S2'!AC75</f>
        <v>0</v>
      </c>
      <c r="C30" s="17">
        <f>'Exhibit K,1'!M34-'Exhibit B,S2'!AD75-'Exhibit B,S2'!AE75</f>
        <v>792.05025251349434</v>
      </c>
      <c r="D30" s="17">
        <f>'Exhibit U,2'!O21</f>
        <v>0</v>
      </c>
      <c r="E30" s="17">
        <f>'Exhibit U,2'!Q21</f>
        <v>0</v>
      </c>
      <c r="F30" s="17">
        <f>'Exhibit V,1'!K16</f>
        <v>0</v>
      </c>
      <c r="G30" s="17">
        <f>'Exhibit V,1'!AA16</f>
        <v>0</v>
      </c>
      <c r="H30" s="17">
        <f t="shared" si="3"/>
        <v>792.05025251349434</v>
      </c>
      <c r="I30" s="17">
        <v>0</v>
      </c>
      <c r="J30" s="17">
        <v>0</v>
      </c>
      <c r="K30" s="417">
        <f t="shared" si="4"/>
        <v>0</v>
      </c>
      <c r="L30" s="374"/>
      <c r="M30" s="6">
        <f t="shared" si="12"/>
        <v>2012</v>
      </c>
      <c r="N30" s="17">
        <f t="shared" si="5"/>
        <v>0</v>
      </c>
      <c r="O30" s="17">
        <f t="shared" si="6"/>
        <v>0</v>
      </c>
      <c r="P30" s="17">
        <f t="shared" si="14"/>
        <v>0</v>
      </c>
      <c r="Q30" s="17">
        <f t="shared" si="15"/>
        <v>0</v>
      </c>
      <c r="R30" s="17">
        <v>0</v>
      </c>
      <c r="S30" s="17">
        <v>0</v>
      </c>
      <c r="T30" s="17">
        <f t="shared" si="7"/>
        <v>0</v>
      </c>
      <c r="U30" s="17">
        <v>0</v>
      </c>
      <c r="V30" s="17">
        <v>0</v>
      </c>
      <c r="W30" s="417">
        <f t="shared" si="8"/>
        <v>0</v>
      </c>
      <c r="Y30" s="6">
        <f t="shared" si="13"/>
        <v>2012</v>
      </c>
      <c r="Z30" s="17">
        <f>'Exhibit F,1'!M34-'Exhibit F,1'!U34</f>
        <v>0</v>
      </c>
      <c r="AA30" s="17">
        <f>'Exhibit F,1'!O34-'Exhibit F,1'!W34</f>
        <v>792.05025251349434</v>
      </c>
      <c r="AB30" s="17">
        <f>'Exhibit U,2'!O40</f>
        <v>0</v>
      </c>
      <c r="AC30" s="17">
        <f>'Exhibit U,2'!Q40</f>
        <v>0</v>
      </c>
      <c r="AD30" s="17">
        <f>-'Exhibit B,S2'!AZ75</f>
        <v>0</v>
      </c>
      <c r="AE30" s="17">
        <v>0</v>
      </c>
      <c r="AF30" s="17">
        <f t="shared" si="9"/>
        <v>792.05025251349434</v>
      </c>
      <c r="AG30" s="17">
        <v>0</v>
      </c>
      <c r="AH30" s="17">
        <v>0</v>
      </c>
      <c r="AI30" s="417">
        <f t="shared" si="10"/>
        <v>0</v>
      </c>
    </row>
    <row r="31" spans="1:36">
      <c r="A31" s="6">
        <f t="shared" si="11"/>
        <v>2013</v>
      </c>
      <c r="B31" s="17">
        <f>'Exhibit K,1'!G35-'Exhibit B,S2'!AB76-'Exhibit B,S2'!AC76</f>
        <v>0</v>
      </c>
      <c r="C31" s="17">
        <f>'Exhibit K,1'!M35-'Exhibit B,S2'!AD76-'Exhibit B,S2'!AE76</f>
        <v>6700.9899071324617</v>
      </c>
      <c r="D31" s="17">
        <f>'Exhibit U,2'!O22</f>
        <v>0</v>
      </c>
      <c r="E31" s="17">
        <f>'Exhibit U,2'!Q22</f>
        <v>0</v>
      </c>
      <c r="F31" s="17">
        <f>'Exhibit V,1'!K17</f>
        <v>0</v>
      </c>
      <c r="G31" s="17">
        <f>'Exhibit V,1'!AA17</f>
        <v>0</v>
      </c>
      <c r="H31" s="17">
        <f t="shared" si="3"/>
        <v>6700.9899071324617</v>
      </c>
      <c r="I31" s="17">
        <f>'Exhibit A, 1a'!V19</f>
        <v>0</v>
      </c>
      <c r="J31" s="17">
        <f>'Exhibit A, 1a'!AB19</f>
        <v>0</v>
      </c>
      <c r="K31" s="417">
        <f t="shared" si="4"/>
        <v>0</v>
      </c>
      <c r="L31" s="374"/>
      <c r="M31" s="6">
        <f t="shared" si="12"/>
        <v>2013</v>
      </c>
      <c r="N31" s="17">
        <f t="shared" si="5"/>
        <v>0</v>
      </c>
      <c r="O31" s="17">
        <f t="shared" si="6"/>
        <v>0.34302503382787108</v>
      </c>
      <c r="P31" s="17">
        <f t="shared" si="14"/>
        <v>0</v>
      </c>
      <c r="Q31" s="17">
        <f t="shared" si="15"/>
        <v>0</v>
      </c>
      <c r="R31" s="17">
        <v>0</v>
      </c>
      <c r="S31" s="17">
        <v>0</v>
      </c>
      <c r="T31" s="17">
        <f t="shared" si="7"/>
        <v>0.34302503382787108</v>
      </c>
      <c r="U31" s="17">
        <v>0</v>
      </c>
      <c r="V31" s="17">
        <v>0</v>
      </c>
      <c r="W31" s="417">
        <f t="shared" si="8"/>
        <v>0</v>
      </c>
      <c r="Y31" s="6">
        <f t="shared" si="13"/>
        <v>2013</v>
      </c>
      <c r="Z31" s="17">
        <f>'Exhibit F,1'!M35-'Exhibit F,1'!U35</f>
        <v>0</v>
      </c>
      <c r="AA31" s="17">
        <f>'Exhibit F,1'!O35-'Exhibit F,1'!W35</f>
        <v>6700.6468820986338</v>
      </c>
      <c r="AB31" s="17">
        <f>'Exhibit U,2'!O41</f>
        <v>0</v>
      </c>
      <c r="AC31" s="17">
        <f>'Exhibit U,2'!Q41</f>
        <v>0</v>
      </c>
      <c r="AD31" s="17">
        <f>'Exhibit V,1'!K45</f>
        <v>0</v>
      </c>
      <c r="AE31" s="17">
        <f>'Exhibit V,1'!AA45</f>
        <v>0</v>
      </c>
      <c r="AF31" s="17">
        <f t="shared" si="9"/>
        <v>6700.6468820986338</v>
      </c>
      <c r="AG31" s="17">
        <f>'Exhibit A, 1a'!V44</f>
        <v>0</v>
      </c>
      <c r="AH31" s="17">
        <f>'Exhibit A, 1a'!AB44</f>
        <v>0</v>
      </c>
      <c r="AI31" s="417">
        <f t="shared" si="10"/>
        <v>0</v>
      </c>
      <c r="AJ31" s="618"/>
    </row>
    <row r="32" spans="1:36">
      <c r="A32" s="6">
        <f t="shared" si="11"/>
        <v>2014</v>
      </c>
      <c r="B32" s="17">
        <f>'Exhibit K,1'!G36-'Exhibit B,S2'!AB77-'Exhibit B,S2'!AC77</f>
        <v>0</v>
      </c>
      <c r="C32" s="17">
        <f>'Exhibit K,1'!M36-'Exhibit B,S2'!AD77-'Exhibit B,S2'!AE77</f>
        <v>5190.4826820908347</v>
      </c>
      <c r="D32" s="17">
        <f>'Exhibit U,2'!O23</f>
        <v>0</v>
      </c>
      <c r="E32" s="17">
        <f>'Exhibit U,2'!Q23</f>
        <v>32797.858735244721</v>
      </c>
      <c r="F32" s="17">
        <f>'Exhibit V,1'!K18</f>
        <v>2157.0156734837219</v>
      </c>
      <c r="G32" s="17">
        <f>'Exhibit V,1'!AA18</f>
        <v>20256.450973857893</v>
      </c>
      <c r="H32" s="17">
        <f t="shared" si="3"/>
        <v>60401.80806467717</v>
      </c>
      <c r="I32" s="17">
        <f>'Exhibit A, 1a'!V20</f>
        <v>2270.5428141932935</v>
      </c>
      <c r="J32" s="17">
        <f>'Exhibit A, 1a'!AB20</f>
        <v>21322.579972481821</v>
      </c>
      <c r="K32" s="17">
        <f t="shared" si="4"/>
        <v>23593.122786675114</v>
      </c>
      <c r="L32" s="374"/>
      <c r="M32" s="6">
        <f t="shared" si="12"/>
        <v>2014</v>
      </c>
      <c r="N32" s="17">
        <f t="shared" si="5"/>
        <v>0</v>
      </c>
      <c r="O32" s="17">
        <f t="shared" si="6"/>
        <v>59.926478012464941</v>
      </c>
      <c r="P32" s="17">
        <f t="shared" si="14"/>
        <v>0</v>
      </c>
      <c r="Q32" s="17">
        <f t="shared" si="15"/>
        <v>9079.8790646959096</v>
      </c>
      <c r="R32" s="17">
        <f t="shared" ref="R32:R40" si="16">F32-AD32</f>
        <v>0</v>
      </c>
      <c r="S32" s="17">
        <f t="shared" ref="S32:S40" si="17">G32-AE32</f>
        <v>2010.1832910382655</v>
      </c>
      <c r="T32" s="17">
        <f t="shared" si="7"/>
        <v>11149.98883374664</v>
      </c>
      <c r="U32" s="17">
        <f t="shared" ref="U32:U40" si="18">I32-AG32</f>
        <v>2157.0156734837219</v>
      </c>
      <c r="V32" s="17">
        <f t="shared" ref="V32:V40" si="19">J32-AH32</f>
        <v>20256.450973857784</v>
      </c>
      <c r="W32" s="417">
        <f t="shared" si="8"/>
        <v>22413.466647341505</v>
      </c>
      <c r="Y32" s="6">
        <f t="shared" si="13"/>
        <v>2014</v>
      </c>
      <c r="Z32" s="17">
        <f>'Exhibit F,1'!M36-'Exhibit F,1'!U36</f>
        <v>0</v>
      </c>
      <c r="AA32" s="17">
        <f>'Exhibit F,1'!O36-'Exhibit F,1'!W36</f>
        <v>5130.5562040783698</v>
      </c>
      <c r="AB32" s="17">
        <f>'Exhibit U,2'!O42</f>
        <v>0</v>
      </c>
      <c r="AC32" s="17">
        <f>'Exhibit U,2'!Q42</f>
        <v>23717.979670548812</v>
      </c>
      <c r="AD32" s="17">
        <f>'Exhibit V,1'!K46</f>
        <v>2157.0156734837219</v>
      </c>
      <c r="AE32" s="17">
        <f>'Exhibit V,1'!AA46</f>
        <v>18246.267682819627</v>
      </c>
      <c r="AF32" s="17">
        <f t="shared" si="9"/>
        <v>49251.81923093053</v>
      </c>
      <c r="AG32" s="17">
        <f>'Exhibit A, 1a'!V45</f>
        <v>113.52714070957154</v>
      </c>
      <c r="AH32" s="17">
        <f>'Exhibit A, 1a'!AB45</f>
        <v>1066.1289986240372</v>
      </c>
      <c r="AI32" s="17">
        <f t="shared" si="10"/>
        <v>1179.6561393336087</v>
      </c>
      <c r="AJ32" s="618"/>
    </row>
    <row r="33" spans="1:36">
      <c r="A33" s="6">
        <f t="shared" si="11"/>
        <v>2015</v>
      </c>
      <c r="B33" s="17">
        <f>'Exhibit K,1'!G37-'Exhibit B,S2'!AB78-'Exhibit B,S2'!AC78</f>
        <v>31007.865524087101</v>
      </c>
      <c r="C33" s="17">
        <f>'Exhibit K,1'!M37-'Exhibit B,S2'!AD78-'Exhibit B,S2'!AE78</f>
        <v>20085.667083529173</v>
      </c>
      <c r="D33" s="17">
        <f>'Exhibit U,2'!O24</f>
        <v>0</v>
      </c>
      <c r="E33" s="17">
        <f>'Exhibit U,2'!Q24</f>
        <v>78273.374631842133</v>
      </c>
      <c r="F33" s="17">
        <f>'Exhibit V,1'!K19</f>
        <v>12300.019507784862</v>
      </c>
      <c r="G33" s="17">
        <f>'Exhibit V,1'!AA19</f>
        <v>14960.050711015938</v>
      </c>
      <c r="H33" s="17">
        <f t="shared" si="3"/>
        <v>156626.97745825921</v>
      </c>
      <c r="I33" s="17">
        <f>'Exhibit A, 1a'!V21</f>
        <v>12947.388955562841</v>
      </c>
      <c r="J33" s="17">
        <f>'Exhibit A, 1a'!AB21</f>
        <v>15747.421801069402</v>
      </c>
      <c r="K33" s="17">
        <f t="shared" si="4"/>
        <v>28694.810756632243</v>
      </c>
      <c r="L33" s="374"/>
      <c r="M33" s="6">
        <f t="shared" si="12"/>
        <v>2015</v>
      </c>
      <c r="N33" s="17">
        <f t="shared" si="5"/>
        <v>0</v>
      </c>
      <c r="O33" s="17">
        <f t="shared" si="6"/>
        <v>1034.0409760990879</v>
      </c>
      <c r="P33" s="17">
        <f t="shared" si="14"/>
        <v>0</v>
      </c>
      <c r="Q33" s="17">
        <f t="shared" si="15"/>
        <v>13990.522779813968</v>
      </c>
      <c r="R33" s="17">
        <f t="shared" si="16"/>
        <v>0</v>
      </c>
      <c r="S33" s="17">
        <f t="shared" si="17"/>
        <v>1325.7292469891836</v>
      </c>
      <c r="T33" s="17">
        <f t="shared" si="7"/>
        <v>16350.293002902239</v>
      </c>
      <c r="U33" s="17">
        <f t="shared" si="18"/>
        <v>12300.019507784804</v>
      </c>
      <c r="V33" s="17">
        <f t="shared" si="19"/>
        <v>14960.05071101596</v>
      </c>
      <c r="W33" s="417">
        <f t="shared" si="8"/>
        <v>27260.070218800764</v>
      </c>
      <c r="Y33" s="6">
        <f t="shared" si="13"/>
        <v>2015</v>
      </c>
      <c r="Z33" s="17">
        <f>'Exhibit F,1'!M37-'Exhibit F,1'!U37</f>
        <v>31007.865524087101</v>
      </c>
      <c r="AA33" s="17">
        <f>'Exhibit F,1'!O37-'Exhibit F,1'!W37</f>
        <v>19051.626107430086</v>
      </c>
      <c r="AB33" s="17">
        <f>'Exhibit U,2'!O43</f>
        <v>0</v>
      </c>
      <c r="AC33" s="17">
        <f>'Exhibit U,2'!Q43</f>
        <v>64282.851852028165</v>
      </c>
      <c r="AD33" s="17">
        <f>'Exhibit V,1'!K47</f>
        <v>12300.019507784862</v>
      </c>
      <c r="AE33" s="17">
        <f>'Exhibit V,1'!AA47</f>
        <v>13634.321464026754</v>
      </c>
      <c r="AF33" s="17">
        <f t="shared" si="9"/>
        <v>140276.68445535697</v>
      </c>
      <c r="AG33" s="17">
        <f>'Exhibit A, 1a'!V46</f>
        <v>647.36944777803728</v>
      </c>
      <c r="AH33" s="17">
        <f>'Exhibit A, 1a'!AB46</f>
        <v>787.37109005344246</v>
      </c>
      <c r="AI33" s="17">
        <f t="shared" si="10"/>
        <v>1434.7405378314797</v>
      </c>
      <c r="AJ33" s="618"/>
    </row>
    <row r="34" spans="1:36">
      <c r="A34" s="6">
        <f t="shared" si="11"/>
        <v>2016</v>
      </c>
      <c r="B34" s="17">
        <f>'Exhibit K,1'!G38-'Exhibit B,S2'!AB79-'Exhibit B,S2'!AC79</f>
        <v>150382.73417278379</v>
      </c>
      <c r="C34" s="17">
        <f>'Exhibit K,1'!M38-'Exhibit B,S2'!AD79-'Exhibit B,S2'!AE79</f>
        <v>642939.67270056903</v>
      </c>
      <c r="D34" s="17">
        <f>'Exhibit U,2'!O25</f>
        <v>395200</v>
      </c>
      <c r="E34" s="17">
        <f>'Exhibit U,2'!Q25</f>
        <v>1641599.5358403884</v>
      </c>
      <c r="F34" s="17">
        <f>'Exhibit V,1'!K20</f>
        <v>51450.804126561154</v>
      </c>
      <c r="G34" s="17">
        <f>'Exhibit V,1'!AA20</f>
        <v>129552.58878091909</v>
      </c>
      <c r="H34" s="17">
        <f t="shared" si="3"/>
        <v>3011125.3356212215</v>
      </c>
      <c r="I34" s="17">
        <f>'Exhibit A, 1a'!V22</f>
        <v>54158.741185854189</v>
      </c>
      <c r="J34" s="17">
        <f>'Exhibit A, 1a'!AB22</f>
        <v>136371.14608517662</v>
      </c>
      <c r="K34" s="17">
        <f t="shared" si="4"/>
        <v>190529.88727103081</v>
      </c>
      <c r="L34" s="374"/>
      <c r="M34" s="6">
        <f t="shared" si="12"/>
        <v>2016</v>
      </c>
      <c r="N34" s="17">
        <f t="shared" si="5"/>
        <v>15775.641734881327</v>
      </c>
      <c r="O34" s="17">
        <f t="shared" si="6"/>
        <v>226383.33810389927</v>
      </c>
      <c r="P34" s="17">
        <f t="shared" si="14"/>
        <v>0</v>
      </c>
      <c r="Q34" s="17">
        <f t="shared" si="15"/>
        <v>712870.53156335652</v>
      </c>
      <c r="R34" s="17">
        <f t="shared" si="16"/>
        <v>0</v>
      </c>
      <c r="S34" s="17">
        <f t="shared" si="17"/>
        <v>17408.777372896671</v>
      </c>
      <c r="T34" s="17">
        <f t="shared" si="7"/>
        <v>972438.28877503378</v>
      </c>
      <c r="U34" s="17">
        <f t="shared" si="18"/>
        <v>51450.804126561299</v>
      </c>
      <c r="V34" s="17">
        <f t="shared" si="19"/>
        <v>129552.58878091746</v>
      </c>
      <c r="W34" s="417">
        <f t="shared" si="8"/>
        <v>181003.39290747876</v>
      </c>
      <c r="Y34" s="6">
        <f t="shared" si="13"/>
        <v>2016</v>
      </c>
      <c r="Z34" s="17">
        <f>'Exhibit F,1'!M38-'Exhibit F,1'!U38</f>
        <v>134607.09243790247</v>
      </c>
      <c r="AA34" s="17">
        <f>'Exhibit F,1'!O38-'Exhibit F,1'!W38</f>
        <v>416556.33459666977</v>
      </c>
      <c r="AB34" s="17">
        <f>'Exhibit U,2'!O44</f>
        <v>395200</v>
      </c>
      <c r="AC34" s="17">
        <f>'Exhibit U,2'!Q44</f>
        <v>928729.00427703187</v>
      </c>
      <c r="AD34" s="17">
        <f>'Exhibit V,1'!K48</f>
        <v>51450.804126561154</v>
      </c>
      <c r="AE34" s="17">
        <f>'Exhibit V,1'!AA48</f>
        <v>112143.81140802242</v>
      </c>
      <c r="AF34" s="17">
        <f t="shared" si="9"/>
        <v>2038687.0468461877</v>
      </c>
      <c r="AG34" s="17">
        <f>'Exhibit A, 1a'!V47</f>
        <v>2707.9370592928899</v>
      </c>
      <c r="AH34" s="17">
        <f>'Exhibit A, 1a'!AB47</f>
        <v>6818.5573042591568</v>
      </c>
      <c r="AI34" s="17">
        <f t="shared" si="10"/>
        <v>9526.4943635520467</v>
      </c>
      <c r="AJ34" s="618"/>
    </row>
    <row r="35" spans="1:36">
      <c r="A35" s="6">
        <f t="shared" si="11"/>
        <v>2017</v>
      </c>
      <c r="B35" s="17">
        <f>'Exhibit K,1'!G39-'Exhibit B,S2'!AB80-'Exhibit B,S2'!AC80</f>
        <v>790531.10632803105</v>
      </c>
      <c r="C35" s="17">
        <f>'Exhibit K,1'!M39-'Exhibit B,S2'!AD80-'Exhibit B,S2'!AE80</f>
        <v>440525.80884363275</v>
      </c>
      <c r="D35" s="17">
        <f>'Exhibit U,2'!O26</f>
        <v>0</v>
      </c>
      <c r="E35" s="17">
        <f>'Exhibit U,2'!Q26</f>
        <v>3095140.0938822888</v>
      </c>
      <c r="F35" s="17">
        <f>'Exhibit V,1'!K21</f>
        <v>87332.176867540926</v>
      </c>
      <c r="G35" s="17">
        <f>'Exhibit V,1'!AA21</f>
        <v>-17322.420829298906</v>
      </c>
      <c r="H35" s="17">
        <f t="shared" si="3"/>
        <v>4396206.765092195</v>
      </c>
      <c r="I35" s="17">
        <f>'Exhibit A, 1a'!V23</f>
        <v>91928.607228990411</v>
      </c>
      <c r="J35" s="17">
        <f>'Exhibit A, 1a'!AB23</f>
        <v>-18234.12718873471</v>
      </c>
      <c r="K35" s="17">
        <f t="shared" si="4"/>
        <v>73694.480040255701</v>
      </c>
      <c r="L35" s="374"/>
      <c r="M35" s="6">
        <f t="shared" si="12"/>
        <v>2017</v>
      </c>
      <c r="N35" s="17">
        <f t="shared" si="5"/>
        <v>18793.738284613937</v>
      </c>
      <c r="O35" s="17">
        <f t="shared" si="6"/>
        <v>12412.341926720343</v>
      </c>
      <c r="P35" s="17">
        <f t="shared" si="14"/>
        <v>0</v>
      </c>
      <c r="Q35" s="17">
        <f t="shared" si="15"/>
        <v>224396.6341710072</v>
      </c>
      <c r="R35" s="17">
        <f t="shared" si="16"/>
        <v>0</v>
      </c>
      <c r="S35" s="17">
        <f t="shared" si="17"/>
        <v>55227.733998700976</v>
      </c>
      <c r="T35" s="17">
        <f t="shared" si="7"/>
        <v>310830.44838104246</v>
      </c>
      <c r="U35" s="17">
        <f t="shared" si="18"/>
        <v>87332.176867540955</v>
      </c>
      <c r="V35" s="17">
        <f t="shared" si="19"/>
        <v>-17322.420829298324</v>
      </c>
      <c r="W35" s="417">
        <f t="shared" si="8"/>
        <v>70009.756038242631</v>
      </c>
      <c r="Y35" s="6">
        <f t="shared" si="13"/>
        <v>2017</v>
      </c>
      <c r="Z35" s="17">
        <f>'Exhibit F,1'!M39-'Exhibit F,1'!U39</f>
        <v>771737.36804341711</v>
      </c>
      <c r="AA35" s="17">
        <f>'Exhibit F,1'!O39-'Exhibit F,1'!W39</f>
        <v>428113.46691691241</v>
      </c>
      <c r="AB35" s="17">
        <f>'Exhibit U,2'!O45</f>
        <v>0</v>
      </c>
      <c r="AC35" s="17">
        <f>'Exhibit U,2'!Q45</f>
        <v>2870743.4597112816</v>
      </c>
      <c r="AD35" s="17">
        <f>'Exhibit V,1'!K49</f>
        <v>87332.176867540926</v>
      </c>
      <c r="AE35" s="17">
        <f>'Exhibit V,1'!AA49</f>
        <v>-72550.154827999882</v>
      </c>
      <c r="AF35" s="17">
        <f t="shared" si="9"/>
        <v>4085376.316711152</v>
      </c>
      <c r="AG35" s="17">
        <f>'Exhibit A, 1a'!V48</f>
        <v>4596.4303614494565</v>
      </c>
      <c r="AH35" s="17">
        <f>'Exhibit A, 1a'!AB48</f>
        <v>-911.70635943638626</v>
      </c>
      <c r="AI35" s="17">
        <f t="shared" si="10"/>
        <v>3684.7240020130703</v>
      </c>
      <c r="AJ35" s="618"/>
    </row>
    <row r="36" spans="1:36">
      <c r="A36" s="6">
        <f t="shared" si="11"/>
        <v>2018</v>
      </c>
      <c r="B36" s="17">
        <f>'Exhibit K,1'!G40-'Exhibit B,S2'!AB81-'Exhibit B,S2'!AC81</f>
        <v>2766621.9044878371</v>
      </c>
      <c r="C36" s="17">
        <f>'Exhibit K,1'!M40-'Exhibit B,S2'!AD81-'Exhibit B,S2'!AE81</f>
        <v>626069.63282177551</v>
      </c>
      <c r="D36" s="17">
        <f>'Exhibit U,2'!O27</f>
        <v>0</v>
      </c>
      <c r="E36" s="17">
        <f>'Exhibit U,2'!Q27</f>
        <v>3761756.7162927808</v>
      </c>
      <c r="F36" s="17">
        <f>'Exhibit V,1'!K22</f>
        <v>520963.38888452848</v>
      </c>
      <c r="G36" s="17">
        <f>'Exhibit V,1'!AA22</f>
        <v>6825352.3247816116</v>
      </c>
      <c r="H36" s="17">
        <f t="shared" si="3"/>
        <v>14500763.967268534</v>
      </c>
      <c r="I36" s="17">
        <f>'Exhibit A, 1a'!V24</f>
        <v>548382.51461529313</v>
      </c>
      <c r="J36" s="17">
        <f>'Exhibit A, 1a'!AB24</f>
        <v>7184581.3945069611</v>
      </c>
      <c r="K36" s="17">
        <f t="shared" si="4"/>
        <v>7732963.9091222547</v>
      </c>
      <c r="L36" s="374"/>
      <c r="M36" s="6">
        <f t="shared" si="12"/>
        <v>2018</v>
      </c>
      <c r="N36" s="17">
        <f t="shared" si="5"/>
        <v>825999.54514441639</v>
      </c>
      <c r="O36" s="17">
        <f t="shared" si="6"/>
        <v>84989.088760994375</v>
      </c>
      <c r="P36" s="17">
        <f t="shared" si="14"/>
        <v>0</v>
      </c>
      <c r="Q36" s="17">
        <f t="shared" si="15"/>
        <v>732343.34173495136</v>
      </c>
      <c r="R36" s="17">
        <f t="shared" si="16"/>
        <v>0</v>
      </c>
      <c r="S36" s="17">
        <f t="shared" si="17"/>
        <v>504501.68527819961</v>
      </c>
      <c r="T36" s="17">
        <f t="shared" si="7"/>
        <v>2147833.6609185617</v>
      </c>
      <c r="U36" s="17">
        <f t="shared" si="18"/>
        <v>520963.38888452848</v>
      </c>
      <c r="V36" s="17">
        <f t="shared" si="19"/>
        <v>6825352.3247816116</v>
      </c>
      <c r="W36" s="417">
        <f t="shared" si="8"/>
        <v>7346315.7136661401</v>
      </c>
      <c r="Y36" s="6">
        <f t="shared" si="13"/>
        <v>2018</v>
      </c>
      <c r="Z36" s="17">
        <f>'Exhibit F,1'!M40-'Exhibit F,1'!U40</f>
        <v>1940622.3593434207</v>
      </c>
      <c r="AA36" s="17">
        <f>'Exhibit F,1'!O40-'Exhibit F,1'!W40</f>
        <v>541080.54406078113</v>
      </c>
      <c r="AB36" s="17">
        <f>'Exhibit U,2'!O46</f>
        <v>0</v>
      </c>
      <c r="AC36" s="17">
        <f>'Exhibit U,2'!Q46</f>
        <v>3029413.3745578295</v>
      </c>
      <c r="AD36" s="17">
        <f>'Exhibit V,1'!K50</f>
        <v>520963.38888452848</v>
      </c>
      <c r="AE36" s="17">
        <f>'Exhibit V,1'!AA50</f>
        <v>6320850.6395034119</v>
      </c>
      <c r="AF36" s="17">
        <f t="shared" si="9"/>
        <v>12352930.30634997</v>
      </c>
      <c r="AG36" s="17">
        <f>'Exhibit A, 1a'!V49</f>
        <v>27419.125730764645</v>
      </c>
      <c r="AH36" s="17">
        <f>'Exhibit A, 1a'!AB49</f>
        <v>359229.06972534931</v>
      </c>
      <c r="AI36" s="17">
        <f t="shared" si="10"/>
        <v>386648.19545611396</v>
      </c>
      <c r="AJ36" s="618"/>
    </row>
    <row r="37" spans="1:36">
      <c r="A37" s="6">
        <f t="shared" si="11"/>
        <v>2019</v>
      </c>
      <c r="B37" s="17">
        <f>'Exhibit K,1'!G41-'Exhibit B,S2'!AB82-'Exhibit B,S2'!AC82</f>
        <v>3301825.610762978</v>
      </c>
      <c r="C37" s="17">
        <f>'Exhibit K,1'!M41-'Exhibit B,S2'!AD82-'Exhibit B,S2'!AE82</f>
        <v>633582.24432173977</v>
      </c>
      <c r="D37" s="17">
        <f>'Exhibit U,2'!O28</f>
        <v>69939.840684617579</v>
      </c>
      <c r="E37" s="17">
        <f>'Exhibit U,2'!Q28</f>
        <v>5104495.9059857586</v>
      </c>
      <c r="F37" s="17">
        <f>'Exhibit V,1'!K23</f>
        <v>517479.46278762911</v>
      </c>
      <c r="G37" s="17">
        <f>'Exhibit V,1'!AA23</f>
        <v>7721550.2291482026</v>
      </c>
      <c r="H37" s="17">
        <f t="shared" si="3"/>
        <v>17348873.293690924</v>
      </c>
      <c r="I37" s="17">
        <f>'Exhibit A, 1a'!V25</f>
        <v>544715.22398697818</v>
      </c>
      <c r="J37" s="17">
        <f>'Exhibit A, 1a'!AB25</f>
        <v>8127947.6096296851</v>
      </c>
      <c r="K37" s="17">
        <f t="shared" si="4"/>
        <v>8672662.8336166628</v>
      </c>
      <c r="L37" s="374"/>
      <c r="M37" s="6">
        <f t="shared" si="12"/>
        <v>2019</v>
      </c>
      <c r="N37" s="17">
        <f t="shared" si="5"/>
        <v>509275.59809703939</v>
      </c>
      <c r="O37" s="17">
        <f t="shared" si="6"/>
        <v>181243.52213521767</v>
      </c>
      <c r="P37" s="17">
        <f t="shared" si="14"/>
        <v>42038.343167717627</v>
      </c>
      <c r="Q37" s="17">
        <f t="shared" si="15"/>
        <v>1763080.45808791</v>
      </c>
      <c r="R37" s="17">
        <f t="shared" si="16"/>
        <v>0</v>
      </c>
      <c r="S37" s="17">
        <f t="shared" si="17"/>
        <v>693203.2918976536</v>
      </c>
      <c r="T37" s="17">
        <f t="shared" si="7"/>
        <v>3188841.2133855382</v>
      </c>
      <c r="U37" s="17">
        <f t="shared" si="18"/>
        <v>517479.46278762945</v>
      </c>
      <c r="V37" s="17">
        <f t="shared" si="19"/>
        <v>7721550.2291482016</v>
      </c>
      <c r="W37" s="417">
        <f t="shared" si="8"/>
        <v>8239029.6919358307</v>
      </c>
      <c r="Y37" s="6">
        <f t="shared" si="13"/>
        <v>2019</v>
      </c>
      <c r="Z37" s="17">
        <f>'Exhibit F,1'!M41-'Exhibit F,1'!U41</f>
        <v>2792550.0126659386</v>
      </c>
      <c r="AA37" s="17">
        <f>'Exhibit F,1'!O41-'Exhibit F,1'!W41</f>
        <v>452338.72218652209</v>
      </c>
      <c r="AB37" s="17">
        <f>'Exhibit U,2'!O47</f>
        <v>27901.497516899952</v>
      </c>
      <c r="AC37" s="17">
        <f>'Exhibit U,2'!Q47</f>
        <v>3341415.4478978487</v>
      </c>
      <c r="AD37" s="17">
        <f>'Exhibit V,1'!K51</f>
        <v>517479.46278762911</v>
      </c>
      <c r="AE37" s="17">
        <f>'Exhibit V,1'!AA51</f>
        <v>7028346.937250549</v>
      </c>
      <c r="AF37" s="17">
        <f t="shared" si="9"/>
        <v>14160032.080305386</v>
      </c>
      <c r="AG37" s="17">
        <f>'Exhibit A, 1a'!V50</f>
        <v>27235.761199348723</v>
      </c>
      <c r="AH37" s="17">
        <f>'Exhibit A, 1a'!AB50</f>
        <v>406397.38048148341</v>
      </c>
      <c r="AI37" s="17">
        <f t="shared" si="10"/>
        <v>433633.14168083214</v>
      </c>
      <c r="AJ37" s="618"/>
    </row>
    <row r="38" spans="1:36">
      <c r="A38" s="6">
        <f t="shared" si="11"/>
        <v>2020</v>
      </c>
      <c r="B38" s="17">
        <f>'Exhibit K,1'!G42-'Exhibit B,S2'!AB83-'Exhibit B,S2'!AC83</f>
        <v>4538876.5177861005</v>
      </c>
      <c r="C38" s="17">
        <f>'Exhibit K,1'!M42-'Exhibit B,S2'!AD83-'Exhibit B,S2'!AE83</f>
        <v>681629.76965709997</v>
      </c>
      <c r="D38" s="17">
        <f>'Exhibit U,2'!O29</f>
        <v>383662.55518209329</v>
      </c>
      <c r="E38" s="17">
        <f>'Exhibit U,2'!Q29</f>
        <v>5470640.0804675305</v>
      </c>
      <c r="F38" s="17">
        <f>'Exhibit V,1'!K24</f>
        <v>479356.43102752278</v>
      </c>
      <c r="G38" s="17">
        <f>'Exhibit V,1'!AA24</f>
        <v>2394187.954647033</v>
      </c>
      <c r="H38" s="17">
        <f t="shared" si="3"/>
        <v>13948353.308767378</v>
      </c>
      <c r="I38" s="17">
        <f>'Exhibit A, 1a'!V26</f>
        <v>504585.7168710765</v>
      </c>
      <c r="J38" s="17">
        <f>'Exhibit A, 1a'!AB26</f>
        <v>2520197.8469968764</v>
      </c>
      <c r="K38" s="17">
        <f t="shared" si="4"/>
        <v>3024783.5638679527</v>
      </c>
      <c r="L38" s="374"/>
      <c r="M38" s="6">
        <f t="shared" si="12"/>
        <v>2020</v>
      </c>
      <c r="N38" s="17">
        <f t="shared" si="5"/>
        <v>656249.17807414383</v>
      </c>
      <c r="O38" s="17">
        <f t="shared" si="6"/>
        <v>91331.300374089507</v>
      </c>
      <c r="P38" s="17">
        <f t="shared" si="14"/>
        <v>227211.71119767422</v>
      </c>
      <c r="Q38" s="17">
        <f t="shared" si="15"/>
        <v>1423744.1888644751</v>
      </c>
      <c r="R38" s="17">
        <f t="shared" si="16"/>
        <v>0</v>
      </c>
      <c r="S38" s="17">
        <f t="shared" si="17"/>
        <v>523874.67054594518</v>
      </c>
      <c r="T38" s="17">
        <f t="shared" si="7"/>
        <v>2922411.0490563279</v>
      </c>
      <c r="U38" s="17">
        <f t="shared" si="18"/>
        <v>479356.43102752272</v>
      </c>
      <c r="V38" s="17">
        <f t="shared" si="19"/>
        <v>2394187.954647033</v>
      </c>
      <c r="W38" s="417">
        <f t="shared" si="8"/>
        <v>2873544.3856745558</v>
      </c>
      <c r="Y38" s="6">
        <f t="shared" si="13"/>
        <v>2020</v>
      </c>
      <c r="Z38" s="17">
        <f>'Exhibit F,1'!M42-'Exhibit F,1'!U42</f>
        <v>3882627.3397119567</v>
      </c>
      <c r="AA38" s="17">
        <f>'Exhibit F,1'!O42-'Exhibit F,1'!W42</f>
        <v>590298.46928301046</v>
      </c>
      <c r="AB38" s="17">
        <f>'Exhibit U,2'!O48</f>
        <v>156450.84398441907</v>
      </c>
      <c r="AC38" s="17">
        <f>'Exhibit U,2'!Q48</f>
        <v>4046895.8916030554</v>
      </c>
      <c r="AD38" s="17">
        <f>'Exhibit V,1'!K52</f>
        <v>479356.43102752278</v>
      </c>
      <c r="AE38" s="17">
        <f>'Exhibit V,1'!AA52</f>
        <v>1870313.2841010878</v>
      </c>
      <c r="AF38" s="17">
        <f t="shared" si="9"/>
        <v>11025942.259711051</v>
      </c>
      <c r="AG38" s="17">
        <f>'Exhibit A, 1a'!V51</f>
        <v>25229.285843553778</v>
      </c>
      <c r="AH38" s="17">
        <f>'Exhibit A, 1a'!AB51</f>
        <v>126009.89234984352</v>
      </c>
      <c r="AI38" s="17">
        <f t="shared" si="10"/>
        <v>151239.1781933973</v>
      </c>
      <c r="AJ38" s="618"/>
    </row>
    <row r="39" spans="1:36">
      <c r="A39" s="6">
        <f t="shared" si="11"/>
        <v>2021</v>
      </c>
      <c r="B39" s="17">
        <f>'Exhibit K,1'!G43-'Exhibit B,S2'!AB84-'Exhibit B,S2'!AC84</f>
        <v>8515874.1697916724</v>
      </c>
      <c r="C39" s="17">
        <f>'Exhibit K,1'!M43-'Exhibit B,S2'!AD84-'Exhibit B,S2'!AE84</f>
        <v>833037.187957132</v>
      </c>
      <c r="D39" s="17">
        <f>'Exhibit U,2'!O30</f>
        <v>1153956.919150156</v>
      </c>
      <c r="E39" s="17">
        <f>'Exhibit U,2'!Q30</f>
        <v>4658776.9587716796</v>
      </c>
      <c r="F39" s="17">
        <f>'Exhibit V,1'!K25</f>
        <v>2173553.2922288855</v>
      </c>
      <c r="G39" s="17">
        <f>'Exhibit V,1'!AA25</f>
        <v>3867827.5025019371</v>
      </c>
      <c r="H39" s="17">
        <f t="shared" si="3"/>
        <v>21203026.030401465</v>
      </c>
      <c r="I39" s="17">
        <f>'Exhibit A, 1a'!V27</f>
        <v>2287950.8339251438</v>
      </c>
      <c r="J39" s="17">
        <f>'Exhibit A, 1a'!AB27</f>
        <v>4071397.3710546708</v>
      </c>
      <c r="K39" s="17">
        <f t="shared" si="4"/>
        <v>6359348.2049798146</v>
      </c>
      <c r="L39" s="374"/>
      <c r="M39" s="6">
        <f t="shared" si="12"/>
        <v>2021</v>
      </c>
      <c r="N39" s="17">
        <f t="shared" si="5"/>
        <v>576697.19209940359</v>
      </c>
      <c r="O39" s="17">
        <f t="shared" si="6"/>
        <v>52297.666762789013</v>
      </c>
      <c r="P39" s="17">
        <f t="shared" si="14"/>
        <v>534053.72073123627</v>
      </c>
      <c r="Q39" s="17">
        <f t="shared" si="15"/>
        <v>967561.85829848005</v>
      </c>
      <c r="R39" s="17">
        <f t="shared" si="16"/>
        <v>0</v>
      </c>
      <c r="S39" s="17">
        <f t="shared" si="17"/>
        <v>751429.37524167867</v>
      </c>
      <c r="T39" s="17">
        <f t="shared" si="7"/>
        <v>2882039.8131335876</v>
      </c>
      <c r="U39" s="17">
        <f t="shared" si="18"/>
        <v>2173553.2922288859</v>
      </c>
      <c r="V39" s="17">
        <f t="shared" si="19"/>
        <v>3867827.5025019371</v>
      </c>
      <c r="W39" s="417">
        <f t="shared" si="8"/>
        <v>6041380.7947308235</v>
      </c>
      <c r="Y39" s="6">
        <f t="shared" si="13"/>
        <v>2021</v>
      </c>
      <c r="Z39" s="17">
        <f>'Exhibit F,1'!M43-'Exhibit F,1'!U43</f>
        <v>7939176.9776922688</v>
      </c>
      <c r="AA39" s="17">
        <f>'Exhibit F,1'!O43-'Exhibit F,1'!W43</f>
        <v>780739.52119434299</v>
      </c>
      <c r="AB39" s="17">
        <f>'Exhibit U,2'!O49</f>
        <v>619903.1984189197</v>
      </c>
      <c r="AC39" s="17">
        <f>'Exhibit U,2'!Q49</f>
        <v>3691215.1004731995</v>
      </c>
      <c r="AD39" s="17">
        <f>'Exhibit V,1'!K53</f>
        <v>2173553.2922288855</v>
      </c>
      <c r="AE39" s="17">
        <f>'Exhibit V,1'!AA53</f>
        <v>3116398.1272602584</v>
      </c>
      <c r="AF39" s="17">
        <f t="shared" si="9"/>
        <v>18320986.217267871</v>
      </c>
      <c r="AG39" s="17">
        <f>'Exhibit A, 1a'!V52</f>
        <v>114397.54169625792</v>
      </c>
      <c r="AH39" s="17">
        <f>'Exhibit A, 1a'!AB52</f>
        <v>203569.86855273385</v>
      </c>
      <c r="AI39" s="17">
        <f t="shared" si="10"/>
        <v>317967.4102489918</v>
      </c>
      <c r="AJ39" s="618"/>
    </row>
    <row r="40" spans="1:36">
      <c r="A40" s="6">
        <f t="shared" si="11"/>
        <v>2022</v>
      </c>
      <c r="B40" s="17">
        <f>'Exhibit K,1'!G44-'Exhibit B,S2'!AB85-'Exhibit B,S2'!AC85</f>
        <v>10725189.433999998</v>
      </c>
      <c r="C40" s="17">
        <f>'Exhibit K,1'!M44-'Exhibit B,S2'!AD85-'Exhibit B,S2'!AE85</f>
        <v>3086891.6849870766</v>
      </c>
      <c r="D40" s="17">
        <f>'Exhibit U,2'!O31</f>
        <v>1366653.4039999996</v>
      </c>
      <c r="E40" s="17">
        <f>'Exhibit U,2'!Q31</f>
        <v>3589432.1370738312</v>
      </c>
      <c r="F40" s="17">
        <f>'Exhibit V,1'!K26</f>
        <v>2068737.0603191541</v>
      </c>
      <c r="G40" s="17">
        <f>'Exhibit V,1'!AA26</f>
        <v>2374659.3762991414</v>
      </c>
      <c r="H40" s="17">
        <f t="shared" si="3"/>
        <v>23211563.096679203</v>
      </c>
      <c r="I40" s="17">
        <f>'Exhibit A, 1a'!V28</f>
        <v>2177617.9582306887</v>
      </c>
      <c r="J40" s="17">
        <f>'Exhibit A, 1a'!AB28</f>
        <v>2499641.4487359389</v>
      </c>
      <c r="K40" s="17">
        <f t="shared" si="4"/>
        <v>4677259.4069666276</v>
      </c>
      <c r="L40" s="374"/>
      <c r="M40" s="6">
        <f t="shared" si="12"/>
        <v>2022</v>
      </c>
      <c r="N40" s="17">
        <f t="shared" si="5"/>
        <v>683774.17505687289</v>
      </c>
      <c r="O40" s="17">
        <f t="shared" si="6"/>
        <v>163137.10463878326</v>
      </c>
      <c r="P40" s="17">
        <f t="shared" si="14"/>
        <v>226060.70830917498</v>
      </c>
      <c r="Q40" s="17">
        <f t="shared" si="15"/>
        <v>583547.72016846295</v>
      </c>
      <c r="R40" s="17">
        <f t="shared" si="16"/>
        <v>0</v>
      </c>
      <c r="S40" s="17">
        <f t="shared" si="17"/>
        <v>440958.02553148358</v>
      </c>
      <c r="T40" s="17">
        <f t="shared" si="7"/>
        <v>2097477.7337047774</v>
      </c>
      <c r="U40" s="17">
        <f t="shared" si="18"/>
        <v>2068737.0603191541</v>
      </c>
      <c r="V40" s="17">
        <f t="shared" si="19"/>
        <v>2374659.3762991419</v>
      </c>
      <c r="W40" s="417">
        <f t="shared" si="8"/>
        <v>4443396.4366182964</v>
      </c>
      <c r="Y40" s="6">
        <f t="shared" si="13"/>
        <v>2022</v>
      </c>
      <c r="Z40" s="17">
        <f>'Exhibit F,1'!M44-'Exhibit F,1'!U44</f>
        <v>10041415.258943126</v>
      </c>
      <c r="AA40" s="17">
        <f>'Exhibit F,1'!O44-'Exhibit F,1'!W44</f>
        <v>2923754.5803482933</v>
      </c>
      <c r="AB40" s="17">
        <f>'Exhibit U,2'!O50</f>
        <v>1140592.6956908247</v>
      </c>
      <c r="AC40" s="17">
        <f>'Exhibit U,2'!Q50</f>
        <v>3005884.4169053682</v>
      </c>
      <c r="AD40" s="17">
        <f>'Exhibit V,1'!K54</f>
        <v>2068737.0603191541</v>
      </c>
      <c r="AE40" s="17">
        <f>'Exhibit V,1'!AA54</f>
        <v>1933701.3507676579</v>
      </c>
      <c r="AF40" s="17">
        <f t="shared" si="9"/>
        <v>21114085.362974428</v>
      </c>
      <c r="AG40" s="17">
        <f>'Exhibit A, 1a'!V53</f>
        <v>108880.89791153457</v>
      </c>
      <c r="AH40" s="17">
        <f>'Exhibit A, 1a'!AB53</f>
        <v>124982.07243679717</v>
      </c>
      <c r="AI40" s="17">
        <f t="shared" si="10"/>
        <v>233862.97034833173</v>
      </c>
      <c r="AJ40" s="618"/>
    </row>
    <row r="41" spans="1:36">
      <c r="A41" s="1"/>
      <c r="B41" s="200"/>
      <c r="C41" s="200"/>
      <c r="D41" s="200"/>
      <c r="E41" s="200"/>
      <c r="F41" s="200"/>
      <c r="G41" s="200"/>
      <c r="H41" s="200"/>
      <c r="I41" s="200"/>
      <c r="J41" s="200"/>
      <c r="K41" s="200"/>
      <c r="M41" s="1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Y41" s="1"/>
      <c r="Z41" s="200"/>
      <c r="AA41" s="200"/>
      <c r="AB41" s="200"/>
      <c r="AC41" s="200"/>
      <c r="AD41" s="200"/>
      <c r="AE41" s="200"/>
      <c r="AF41" s="200"/>
      <c r="AG41" s="200"/>
      <c r="AH41" s="200"/>
      <c r="AI41" s="200"/>
    </row>
    <row r="42" spans="1:36">
      <c r="A42" s="1"/>
      <c r="B42" s="191"/>
      <c r="C42" s="191"/>
      <c r="D42" s="1"/>
      <c r="E42" s="1"/>
      <c r="F42" s="1"/>
      <c r="G42" s="1"/>
      <c r="H42" s="1"/>
      <c r="I42" s="1"/>
      <c r="J42" s="1"/>
      <c r="K42" s="1"/>
      <c r="M42" s="1"/>
      <c r="N42" s="191"/>
      <c r="O42" s="191"/>
      <c r="P42" s="1"/>
      <c r="Q42" s="1"/>
      <c r="R42" s="1"/>
      <c r="S42" s="1"/>
      <c r="T42" s="1"/>
      <c r="U42" s="1"/>
      <c r="V42" s="1"/>
      <c r="W42" s="1"/>
      <c r="Y42" s="1"/>
      <c r="Z42" s="191"/>
      <c r="AA42" s="191"/>
      <c r="AB42" s="1"/>
      <c r="AC42" s="1"/>
      <c r="AD42" s="1"/>
      <c r="AE42" s="1"/>
      <c r="AF42" s="1"/>
      <c r="AG42" s="1"/>
      <c r="AH42" s="1"/>
      <c r="AI42" s="1"/>
    </row>
    <row r="43" spans="1:36">
      <c r="A43" s="2" t="s">
        <v>0</v>
      </c>
      <c r="B43" s="16">
        <f>SUM(B12:B40)</f>
        <v>30820309.342853487</v>
      </c>
      <c r="C43" s="16">
        <f t="shared" ref="C43:H43" si="20">SUM(C12:C40)</f>
        <v>6977508.981735765</v>
      </c>
      <c r="D43" s="16">
        <f t="shared" si="20"/>
        <v>3369412.7190168668</v>
      </c>
      <c r="E43" s="16">
        <f t="shared" si="20"/>
        <v>27432912.381681342</v>
      </c>
      <c r="F43" s="16">
        <f t="shared" si="20"/>
        <v>5913329.6514230911</v>
      </c>
      <c r="G43" s="16">
        <f t="shared" si="20"/>
        <v>23331024.057014424</v>
      </c>
      <c r="H43" s="16">
        <f t="shared" si="20"/>
        <v>97844497.133724988</v>
      </c>
      <c r="I43" s="16">
        <f>SUM(I12:I40)</f>
        <v>6224557.5278137811</v>
      </c>
      <c r="J43" s="16">
        <f>SUM(J12:J40)</f>
        <v>24558972.691594124</v>
      </c>
      <c r="K43" s="16">
        <f>SUM(K12:K40)</f>
        <v>30783530.219407905</v>
      </c>
      <c r="M43" s="2" t="s">
        <v>0</v>
      </c>
      <c r="N43" s="16">
        <f>SUM(N12:N40)</f>
        <v>3286565.0684913713</v>
      </c>
      <c r="O43" s="16">
        <f t="shared" ref="O43:W43" si="21">SUM(O12:O40)</f>
        <v>812888.67318163882</v>
      </c>
      <c r="P43" s="16">
        <f t="shared" si="21"/>
        <v>1029364.2734058031</v>
      </c>
      <c r="Q43" s="16">
        <f t="shared" si="21"/>
        <v>6430614.8547331532</v>
      </c>
      <c r="R43" s="16">
        <f t="shared" si="21"/>
        <v>0</v>
      </c>
      <c r="S43" s="16">
        <f t="shared" si="21"/>
        <v>2989939.4724045862</v>
      </c>
      <c r="T43" s="16">
        <f t="shared" si="21"/>
        <v>14549372.342216551</v>
      </c>
      <c r="U43" s="16">
        <f t="shared" si="21"/>
        <v>5913329.6514230911</v>
      </c>
      <c r="V43" s="16">
        <f t="shared" si="21"/>
        <v>23331024.057014421</v>
      </c>
      <c r="W43" s="16">
        <f t="shared" si="21"/>
        <v>29244353.70843751</v>
      </c>
      <c r="Y43" s="2" t="s">
        <v>0</v>
      </c>
      <c r="Z43" s="16">
        <f>SUM(Z12:Z40)</f>
        <v>27533744.274362117</v>
      </c>
      <c r="AA43" s="16">
        <f t="shared" ref="AA43:AI43" si="22">SUM(AA12:AA40)</f>
        <v>6164620.3085541259</v>
      </c>
      <c r="AB43" s="16">
        <f t="shared" si="22"/>
        <v>2340048.2356110634</v>
      </c>
      <c r="AC43" s="16">
        <f t="shared" si="22"/>
        <v>21002297.526948195</v>
      </c>
      <c r="AD43" s="16">
        <f t="shared" si="22"/>
        <v>5913329.6514230911</v>
      </c>
      <c r="AE43" s="16">
        <f t="shared" si="22"/>
        <v>20341084.584609833</v>
      </c>
      <c r="AF43" s="16">
        <f t="shared" si="22"/>
        <v>83295124.581508428</v>
      </c>
      <c r="AG43" s="16">
        <f t="shared" si="22"/>
        <v>311227.87639068958</v>
      </c>
      <c r="AH43" s="16">
        <f t="shared" si="22"/>
        <v>1227948.6345797076</v>
      </c>
      <c r="AI43" s="16">
        <f t="shared" si="22"/>
        <v>1539176.5109703969</v>
      </c>
    </row>
    <row r="44" spans="1:3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Y44" s="1"/>
      <c r="Z44" s="1"/>
      <c r="AA44" s="1"/>
      <c r="AB44" s="1"/>
      <c r="AC44" s="1"/>
      <c r="AD44" s="1"/>
      <c r="AE44" s="1"/>
      <c r="AF44" s="1"/>
    </row>
    <row r="45" spans="1:36">
      <c r="D45" s="4" t="s">
        <v>873</v>
      </c>
      <c r="J45" s="4" t="s">
        <v>1455</v>
      </c>
      <c r="P45" s="4" t="s">
        <v>873</v>
      </c>
      <c r="V45" s="4" t="s">
        <v>1455</v>
      </c>
      <c r="AB45" s="4" t="s">
        <v>873</v>
      </c>
      <c r="AH45" s="4" t="s">
        <v>1455</v>
      </c>
    </row>
    <row r="47" spans="1:36">
      <c r="A47" s="1"/>
      <c r="B47" s="1"/>
      <c r="C47" s="1"/>
      <c r="D47" s="6" t="s">
        <v>1448</v>
      </c>
      <c r="E47" s="1"/>
      <c r="F47" s="1"/>
      <c r="G47" s="1"/>
      <c r="H47" s="1"/>
      <c r="I47" s="1"/>
      <c r="J47" s="6" t="s">
        <v>1448</v>
      </c>
      <c r="K47" s="1"/>
      <c r="M47" s="1"/>
      <c r="N47" s="1"/>
      <c r="O47" s="1"/>
      <c r="P47" s="6" t="s">
        <v>1453</v>
      </c>
      <c r="Q47" s="1"/>
      <c r="R47" s="1"/>
      <c r="S47" s="1"/>
      <c r="T47" s="1"/>
      <c r="U47" s="1"/>
      <c r="V47" s="6" t="s">
        <v>1453</v>
      </c>
      <c r="W47" s="1"/>
      <c r="Y47" s="1"/>
      <c r="Z47" s="1"/>
      <c r="AA47" s="1"/>
      <c r="AB47" s="6" t="s">
        <v>1454</v>
      </c>
      <c r="AC47" s="1"/>
      <c r="AD47" s="1"/>
      <c r="AE47" s="1"/>
      <c r="AF47" s="1"/>
      <c r="AH47" s="6" t="s">
        <v>1454</v>
      </c>
    </row>
    <row r="48" spans="1:36">
      <c r="A48" s="1"/>
      <c r="B48" s="1"/>
      <c r="C48" s="1"/>
      <c r="D48" s="6" t="s">
        <v>1450</v>
      </c>
      <c r="F48" s="1">
        <v>0.77500000000000002</v>
      </c>
      <c r="G48" s="1"/>
      <c r="H48" s="1"/>
      <c r="I48" s="1"/>
      <c r="J48" s="6" t="s">
        <v>1450</v>
      </c>
      <c r="K48" s="1"/>
      <c r="M48" s="1"/>
      <c r="N48" s="1"/>
      <c r="O48" s="1"/>
      <c r="P48" s="6" t="s">
        <v>1450</v>
      </c>
      <c r="Q48" s="1"/>
      <c r="R48" s="60">
        <v>0.9</v>
      </c>
      <c r="S48" s="1"/>
      <c r="T48" s="1"/>
      <c r="U48" s="1"/>
      <c r="V48" s="6" t="s">
        <v>1450</v>
      </c>
      <c r="W48" s="1">
        <f>F48</f>
        <v>0.77500000000000002</v>
      </c>
      <c r="Y48" s="1"/>
      <c r="Z48" s="1"/>
      <c r="AA48" s="1"/>
      <c r="AB48" s="6" t="s">
        <v>1450</v>
      </c>
      <c r="AC48" s="1"/>
      <c r="AD48" s="1"/>
      <c r="AE48" s="1"/>
      <c r="AF48" s="1"/>
      <c r="AH48" s="6" t="s">
        <v>1450</v>
      </c>
    </row>
    <row r="49" spans="1:35">
      <c r="A49" s="1"/>
      <c r="B49" s="1"/>
      <c r="C49" s="1"/>
      <c r="D49" s="6"/>
      <c r="F49" s="1"/>
      <c r="G49" s="1"/>
      <c r="H49" s="1"/>
      <c r="I49" s="1"/>
      <c r="J49" s="6"/>
      <c r="K49" s="1"/>
      <c r="M49" s="1"/>
      <c r="N49" s="1"/>
      <c r="O49" s="1"/>
      <c r="P49" s="6"/>
      <c r="Q49" s="1"/>
      <c r="R49" s="1"/>
      <c r="S49" s="1"/>
      <c r="T49" s="1"/>
      <c r="U49" s="1"/>
      <c r="V49" s="6"/>
      <c r="W49" s="1"/>
      <c r="Y49" s="1"/>
      <c r="Z49" s="1"/>
      <c r="AA49" s="1"/>
      <c r="AB49" s="6"/>
      <c r="AC49" s="1"/>
      <c r="AD49" s="1"/>
      <c r="AE49" s="1"/>
      <c r="AF49" s="1"/>
      <c r="AH49" s="6"/>
    </row>
    <row r="50" spans="1:35">
      <c r="A50" s="6" t="s">
        <v>3</v>
      </c>
      <c r="B50" s="6"/>
      <c r="C50" s="6"/>
      <c r="D50" s="6"/>
      <c r="E50" s="6"/>
      <c r="F50" s="6" t="s">
        <v>329</v>
      </c>
      <c r="G50" s="6" t="s">
        <v>478</v>
      </c>
      <c r="H50" s="6" t="s">
        <v>1385</v>
      </c>
      <c r="K50" s="6" t="s">
        <v>703</v>
      </c>
      <c r="M50" s="6" t="s">
        <v>3</v>
      </c>
      <c r="N50" s="6"/>
      <c r="O50" s="6"/>
      <c r="P50" s="6"/>
      <c r="Q50" s="6"/>
      <c r="R50" s="6" t="s">
        <v>329</v>
      </c>
      <c r="S50" s="6" t="s">
        <v>478</v>
      </c>
      <c r="T50" s="6" t="s">
        <v>1385</v>
      </c>
      <c r="W50" s="6" t="s">
        <v>703</v>
      </c>
      <c r="Y50" s="6" t="s">
        <v>3</v>
      </c>
      <c r="Z50" s="6"/>
      <c r="AA50" s="6"/>
      <c r="AB50" s="6"/>
      <c r="AC50" s="6"/>
      <c r="AD50" s="6" t="s">
        <v>329</v>
      </c>
      <c r="AE50" s="6" t="s">
        <v>478</v>
      </c>
      <c r="AF50" s="6" t="s">
        <v>1385</v>
      </c>
      <c r="AI50" s="6" t="s">
        <v>703</v>
      </c>
    </row>
    <row r="51" spans="1:35">
      <c r="A51" s="6" t="s">
        <v>4</v>
      </c>
      <c r="B51" s="6" t="s">
        <v>664</v>
      </c>
      <c r="C51" s="6" t="s">
        <v>1447</v>
      </c>
      <c r="D51" s="6" t="s">
        <v>505</v>
      </c>
      <c r="E51" s="6" t="s">
        <v>505</v>
      </c>
      <c r="F51" s="6" t="s">
        <v>287</v>
      </c>
      <c r="G51" s="6" t="s">
        <v>287</v>
      </c>
      <c r="H51" s="6" t="s">
        <v>0</v>
      </c>
      <c r="I51" s="6" t="s">
        <v>329</v>
      </c>
      <c r="J51" s="6" t="s">
        <v>478</v>
      </c>
      <c r="K51" s="6" t="s">
        <v>0</v>
      </c>
      <c r="M51" s="6" t="s">
        <v>4</v>
      </c>
      <c r="N51" s="6" t="s">
        <v>664</v>
      </c>
      <c r="O51" s="6" t="s">
        <v>1447</v>
      </c>
      <c r="P51" s="6" t="s">
        <v>505</v>
      </c>
      <c r="Q51" s="6" t="s">
        <v>505</v>
      </c>
      <c r="R51" s="6" t="s">
        <v>287</v>
      </c>
      <c r="S51" s="6" t="s">
        <v>287</v>
      </c>
      <c r="T51" s="6" t="s">
        <v>0</v>
      </c>
      <c r="U51" s="6" t="s">
        <v>329</v>
      </c>
      <c r="V51" s="6" t="s">
        <v>478</v>
      </c>
      <c r="W51" s="6" t="s">
        <v>0</v>
      </c>
      <c r="Y51" s="6" t="s">
        <v>4</v>
      </c>
      <c r="Z51" s="6" t="s">
        <v>664</v>
      </c>
      <c r="AA51" s="6" t="s">
        <v>1447</v>
      </c>
      <c r="AB51" s="6" t="s">
        <v>505</v>
      </c>
      <c r="AC51" s="6" t="s">
        <v>505</v>
      </c>
      <c r="AD51" s="6" t="s">
        <v>287</v>
      </c>
      <c r="AE51" s="6" t="s">
        <v>287</v>
      </c>
      <c r="AF51" s="6" t="s">
        <v>0</v>
      </c>
      <c r="AG51" s="6" t="s">
        <v>329</v>
      </c>
      <c r="AH51" s="6" t="s">
        <v>478</v>
      </c>
      <c r="AI51" s="6" t="s">
        <v>0</v>
      </c>
    </row>
    <row r="52" spans="1:35">
      <c r="A52" s="9">
        <v>-1</v>
      </c>
      <c r="B52" s="9">
        <f>A52-1</f>
        <v>-2</v>
      </c>
      <c r="C52" s="9">
        <f t="shared" ref="C52:K52" si="23">B52-1</f>
        <v>-3</v>
      </c>
      <c r="D52" s="9">
        <f t="shared" si="23"/>
        <v>-4</v>
      </c>
      <c r="E52" s="9">
        <f t="shared" si="23"/>
        <v>-5</v>
      </c>
      <c r="F52" s="9">
        <f t="shared" si="23"/>
        <v>-6</v>
      </c>
      <c r="G52" s="9">
        <f t="shared" si="23"/>
        <v>-7</v>
      </c>
      <c r="H52" s="9">
        <f t="shared" si="23"/>
        <v>-8</v>
      </c>
      <c r="I52" s="9">
        <f t="shared" si="23"/>
        <v>-9</v>
      </c>
      <c r="J52" s="9">
        <f t="shared" si="23"/>
        <v>-10</v>
      </c>
      <c r="K52" s="9">
        <f t="shared" si="23"/>
        <v>-11</v>
      </c>
      <c r="M52" s="9">
        <v>-1</v>
      </c>
      <c r="N52" s="9">
        <f>M52-1</f>
        <v>-2</v>
      </c>
      <c r="O52" s="9">
        <f t="shared" ref="O52:W52" si="24">N52-1</f>
        <v>-3</v>
      </c>
      <c r="P52" s="9">
        <f t="shared" si="24"/>
        <v>-4</v>
      </c>
      <c r="Q52" s="9">
        <f t="shared" si="24"/>
        <v>-5</v>
      </c>
      <c r="R52" s="9">
        <f t="shared" si="24"/>
        <v>-6</v>
      </c>
      <c r="S52" s="9">
        <f t="shared" si="24"/>
        <v>-7</v>
      </c>
      <c r="T52" s="9">
        <f t="shared" si="24"/>
        <v>-8</v>
      </c>
      <c r="U52" s="9">
        <f t="shared" si="24"/>
        <v>-9</v>
      </c>
      <c r="V52" s="9">
        <f t="shared" si="24"/>
        <v>-10</v>
      </c>
      <c r="W52" s="9">
        <f t="shared" si="24"/>
        <v>-11</v>
      </c>
      <c r="Y52" s="9">
        <v>-1</v>
      </c>
      <c r="Z52" s="9">
        <f>Y52-1</f>
        <v>-2</v>
      </c>
      <c r="AA52" s="9">
        <f t="shared" ref="AA52:AI52" si="25">Z52-1</f>
        <v>-3</v>
      </c>
      <c r="AB52" s="9">
        <f t="shared" si="25"/>
        <v>-4</v>
      </c>
      <c r="AC52" s="9">
        <f t="shared" si="25"/>
        <v>-5</v>
      </c>
      <c r="AD52" s="9">
        <f t="shared" si="25"/>
        <v>-6</v>
      </c>
      <c r="AE52" s="9">
        <f t="shared" si="25"/>
        <v>-7</v>
      </c>
      <c r="AF52" s="9">
        <f t="shared" si="25"/>
        <v>-8</v>
      </c>
      <c r="AG52" s="9">
        <f t="shared" si="25"/>
        <v>-9</v>
      </c>
      <c r="AH52" s="9">
        <f t="shared" si="25"/>
        <v>-10</v>
      </c>
      <c r="AI52" s="9">
        <f t="shared" si="25"/>
        <v>-11</v>
      </c>
    </row>
    <row r="53" spans="1:35">
      <c r="A53" s="11"/>
      <c r="B53" s="1"/>
      <c r="C53" s="1"/>
      <c r="D53" s="1"/>
      <c r="E53" s="1"/>
      <c r="F53" s="1"/>
      <c r="G53" s="1"/>
      <c r="H53" s="1"/>
      <c r="I53" s="1"/>
      <c r="J53" s="1"/>
      <c r="K53" s="1"/>
      <c r="M53" s="11"/>
      <c r="N53" s="1"/>
      <c r="O53" s="1"/>
      <c r="P53" s="1"/>
      <c r="Q53" s="1"/>
      <c r="R53" s="1"/>
      <c r="S53" s="1"/>
      <c r="T53" s="1"/>
      <c r="U53" s="1"/>
      <c r="V53" s="1"/>
      <c r="W53" s="1"/>
      <c r="Y53" s="11"/>
      <c r="Z53" s="1"/>
      <c r="AA53" s="1"/>
      <c r="AB53" s="1"/>
      <c r="AC53" s="1"/>
      <c r="AD53" s="1"/>
      <c r="AE53" s="1"/>
      <c r="AF53" s="1"/>
    </row>
    <row r="54" spans="1: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Y54" s="1"/>
      <c r="Z54" s="1"/>
      <c r="AA54" s="1"/>
      <c r="AB54" s="1"/>
      <c r="AC54" s="1"/>
      <c r="AD54" s="1"/>
      <c r="AE54" s="1"/>
      <c r="AF54" s="1"/>
    </row>
    <row r="55" spans="1:35">
      <c r="A55" s="6">
        <f>A12</f>
        <v>1994</v>
      </c>
      <c r="B55" s="16">
        <f t="shared" ref="B55:G83" si="26">B12*$F$48</f>
        <v>0</v>
      </c>
      <c r="C55" s="16">
        <f t="shared" si="26"/>
        <v>0</v>
      </c>
      <c r="D55" s="16">
        <v>0</v>
      </c>
      <c r="E55" s="16">
        <v>0</v>
      </c>
      <c r="F55" s="16">
        <v>0</v>
      </c>
      <c r="G55" s="16">
        <v>0</v>
      </c>
      <c r="H55" s="16">
        <f>SUM(B55:F55)</f>
        <v>0</v>
      </c>
      <c r="I55" s="16">
        <v>0</v>
      </c>
      <c r="J55" s="16">
        <v>0</v>
      </c>
      <c r="K55" s="16">
        <f>I55+J55</f>
        <v>0</v>
      </c>
      <c r="M55" s="6">
        <f>A55</f>
        <v>1994</v>
      </c>
      <c r="N55" s="16">
        <f t="shared" ref="N55:S55" si="27">N12*$R$48</f>
        <v>0</v>
      </c>
      <c r="O55" s="16">
        <f t="shared" si="27"/>
        <v>0</v>
      </c>
      <c r="P55" s="16">
        <f t="shared" si="27"/>
        <v>0</v>
      </c>
      <c r="Q55" s="16">
        <f t="shared" si="27"/>
        <v>0</v>
      </c>
      <c r="R55" s="16">
        <f t="shared" si="27"/>
        <v>0</v>
      </c>
      <c r="S55" s="16">
        <f t="shared" si="27"/>
        <v>0</v>
      </c>
      <c r="T55" s="16">
        <f>SUM(N55:R55)</f>
        <v>0</v>
      </c>
      <c r="U55" s="16">
        <v>0</v>
      </c>
      <c r="V55" s="16">
        <v>0</v>
      </c>
      <c r="W55" s="16">
        <f>U55+V55</f>
        <v>0</v>
      </c>
      <c r="Y55" s="6">
        <f>A55</f>
        <v>1994</v>
      </c>
      <c r="Z55" s="16">
        <f t="shared" ref="Z55:AE55" si="28">B55-N55</f>
        <v>0</v>
      </c>
      <c r="AA55" s="16">
        <f t="shared" si="28"/>
        <v>0</v>
      </c>
      <c r="AB55" s="16">
        <f t="shared" si="28"/>
        <v>0</v>
      </c>
      <c r="AC55" s="16">
        <f t="shared" si="28"/>
        <v>0</v>
      </c>
      <c r="AD55" s="16">
        <f t="shared" si="28"/>
        <v>0</v>
      </c>
      <c r="AE55" s="16">
        <f t="shared" si="28"/>
        <v>0</v>
      </c>
      <c r="AF55" s="16">
        <f>SUM(Z55:AD55)</f>
        <v>0</v>
      </c>
      <c r="AG55" s="16">
        <f t="shared" ref="AG55:AH74" si="29">AG12*$F$48</f>
        <v>0</v>
      </c>
      <c r="AH55" s="16">
        <f t="shared" si="29"/>
        <v>0</v>
      </c>
      <c r="AI55" s="16">
        <f>AG55+AH55</f>
        <v>0</v>
      </c>
    </row>
    <row r="56" spans="1:35">
      <c r="A56" s="6">
        <f>A55+1</f>
        <v>1995</v>
      </c>
      <c r="B56" s="17">
        <f t="shared" si="26"/>
        <v>0</v>
      </c>
      <c r="C56" s="17">
        <f t="shared" si="26"/>
        <v>0</v>
      </c>
      <c r="D56" s="17">
        <v>0</v>
      </c>
      <c r="E56" s="17">
        <v>0</v>
      </c>
      <c r="F56" s="17">
        <v>0</v>
      </c>
      <c r="G56" s="17">
        <v>0</v>
      </c>
      <c r="H56" s="17">
        <f t="shared" ref="H56:H83" si="30">SUM(B56:G56)</f>
        <v>0</v>
      </c>
      <c r="I56" s="17">
        <v>0</v>
      </c>
      <c r="J56" s="17">
        <v>0</v>
      </c>
      <c r="K56" s="417">
        <f t="shared" ref="K56:K83" si="31">I56+J56</f>
        <v>0</v>
      </c>
      <c r="M56" s="6">
        <f>M55+1</f>
        <v>1995</v>
      </c>
      <c r="N56" s="17">
        <f t="shared" ref="N56:S56" si="32">N13*$R$48</f>
        <v>0</v>
      </c>
      <c r="O56" s="17">
        <f t="shared" si="32"/>
        <v>0</v>
      </c>
      <c r="P56" s="17">
        <f t="shared" si="32"/>
        <v>0</v>
      </c>
      <c r="Q56" s="17">
        <f t="shared" si="32"/>
        <v>0</v>
      </c>
      <c r="R56" s="17">
        <f t="shared" si="32"/>
        <v>0</v>
      </c>
      <c r="S56" s="17">
        <f t="shared" si="32"/>
        <v>0</v>
      </c>
      <c r="T56" s="17">
        <f t="shared" ref="T56:T83" si="33">SUM(N56:S56)</f>
        <v>0</v>
      </c>
      <c r="U56" s="17">
        <v>0</v>
      </c>
      <c r="V56" s="17">
        <v>0</v>
      </c>
      <c r="W56" s="417">
        <f t="shared" ref="W56:W83" si="34">U56+V56</f>
        <v>0</v>
      </c>
      <c r="Y56" s="6">
        <f>Y55+1</f>
        <v>1995</v>
      </c>
      <c r="Z56" s="17">
        <f t="shared" ref="Z56:Z83" si="35">B56-N56</f>
        <v>0</v>
      </c>
      <c r="AA56" s="17">
        <f t="shared" ref="AA56:AA83" si="36">C56-O56</f>
        <v>0</v>
      </c>
      <c r="AB56" s="17">
        <f t="shared" ref="AB56:AB83" si="37">D56-P56</f>
        <v>0</v>
      </c>
      <c r="AC56" s="17">
        <f t="shared" ref="AC56:AC83" si="38">E56-Q56</f>
        <v>0</v>
      </c>
      <c r="AD56" s="17">
        <f t="shared" ref="AD56:AD83" si="39">F56-R56</f>
        <v>0</v>
      </c>
      <c r="AE56" s="17">
        <f t="shared" ref="AE56:AE83" si="40">G56-S56</f>
        <v>0</v>
      </c>
      <c r="AF56" s="17">
        <f t="shared" ref="AF56:AF83" si="41">SUM(Z56:AE56)</f>
        <v>0</v>
      </c>
      <c r="AG56" s="17">
        <f t="shared" si="29"/>
        <v>0</v>
      </c>
      <c r="AH56" s="17">
        <f t="shared" si="29"/>
        <v>0</v>
      </c>
      <c r="AI56" s="417">
        <f t="shared" ref="AI56:AI83" si="42">AG56+AH56</f>
        <v>0</v>
      </c>
    </row>
    <row r="57" spans="1:35">
      <c r="A57" s="6">
        <f t="shared" ref="A57:A83" si="43">A56+1</f>
        <v>1996</v>
      </c>
      <c r="B57" s="17">
        <f t="shared" si="26"/>
        <v>0</v>
      </c>
      <c r="C57" s="17">
        <f t="shared" si="26"/>
        <v>0</v>
      </c>
      <c r="D57" s="17">
        <v>0</v>
      </c>
      <c r="E57" s="17">
        <v>0</v>
      </c>
      <c r="F57" s="17">
        <v>0</v>
      </c>
      <c r="G57" s="17">
        <v>0</v>
      </c>
      <c r="H57" s="17">
        <f t="shared" si="30"/>
        <v>0</v>
      </c>
      <c r="I57" s="17">
        <v>0</v>
      </c>
      <c r="J57" s="17">
        <v>0</v>
      </c>
      <c r="K57" s="417">
        <f t="shared" si="31"/>
        <v>0</v>
      </c>
      <c r="M57" s="6">
        <f t="shared" ref="M57:M83" si="44">M56+1</f>
        <v>1996</v>
      </c>
      <c r="N57" s="17">
        <f t="shared" ref="N57:S57" si="45">N14*$R$48</f>
        <v>0</v>
      </c>
      <c r="O57" s="17">
        <f t="shared" si="45"/>
        <v>0</v>
      </c>
      <c r="P57" s="17">
        <f t="shared" si="45"/>
        <v>0</v>
      </c>
      <c r="Q57" s="17">
        <f t="shared" si="45"/>
        <v>0</v>
      </c>
      <c r="R57" s="17">
        <f t="shared" si="45"/>
        <v>0</v>
      </c>
      <c r="S57" s="17">
        <f t="shared" si="45"/>
        <v>0</v>
      </c>
      <c r="T57" s="17">
        <f t="shared" si="33"/>
        <v>0</v>
      </c>
      <c r="U57" s="17">
        <v>0</v>
      </c>
      <c r="V57" s="17">
        <v>0</v>
      </c>
      <c r="W57" s="417">
        <f t="shared" si="34"/>
        <v>0</v>
      </c>
      <c r="Y57" s="6">
        <f t="shared" ref="Y57:Y83" si="46">Y56+1</f>
        <v>1996</v>
      </c>
      <c r="Z57" s="17">
        <f t="shared" si="35"/>
        <v>0</v>
      </c>
      <c r="AA57" s="17">
        <f t="shared" si="36"/>
        <v>0</v>
      </c>
      <c r="AB57" s="17">
        <f t="shared" si="37"/>
        <v>0</v>
      </c>
      <c r="AC57" s="17">
        <f t="shared" si="38"/>
        <v>0</v>
      </c>
      <c r="AD57" s="17">
        <f t="shared" si="39"/>
        <v>0</v>
      </c>
      <c r="AE57" s="17">
        <f t="shared" si="40"/>
        <v>0</v>
      </c>
      <c r="AF57" s="17">
        <f t="shared" si="41"/>
        <v>0</v>
      </c>
      <c r="AG57" s="17">
        <f t="shared" si="29"/>
        <v>0</v>
      </c>
      <c r="AH57" s="17">
        <f t="shared" si="29"/>
        <v>0</v>
      </c>
      <c r="AI57" s="417">
        <f t="shared" si="42"/>
        <v>0</v>
      </c>
    </row>
    <row r="58" spans="1:35">
      <c r="A58" s="6">
        <f t="shared" si="43"/>
        <v>1997</v>
      </c>
      <c r="B58" s="17">
        <f t="shared" si="26"/>
        <v>0</v>
      </c>
      <c r="C58" s="17">
        <f t="shared" si="26"/>
        <v>0</v>
      </c>
      <c r="D58" s="17">
        <v>0</v>
      </c>
      <c r="E58" s="17">
        <v>0</v>
      </c>
      <c r="F58" s="17">
        <v>0</v>
      </c>
      <c r="G58" s="17">
        <v>0</v>
      </c>
      <c r="H58" s="17">
        <f t="shared" si="30"/>
        <v>0</v>
      </c>
      <c r="I58" s="17">
        <v>0</v>
      </c>
      <c r="J58" s="17">
        <v>0</v>
      </c>
      <c r="K58" s="417">
        <f t="shared" si="31"/>
        <v>0</v>
      </c>
      <c r="M58" s="6">
        <f t="shared" si="44"/>
        <v>1997</v>
      </c>
      <c r="N58" s="17">
        <f t="shared" ref="N58:S58" si="47">N15*$R$48</f>
        <v>0</v>
      </c>
      <c r="O58" s="17">
        <f t="shared" si="47"/>
        <v>0</v>
      </c>
      <c r="P58" s="17">
        <f t="shared" si="47"/>
        <v>0</v>
      </c>
      <c r="Q58" s="17">
        <f t="shared" si="47"/>
        <v>0</v>
      </c>
      <c r="R58" s="17">
        <f t="shared" si="47"/>
        <v>0</v>
      </c>
      <c r="S58" s="17">
        <f t="shared" si="47"/>
        <v>0</v>
      </c>
      <c r="T58" s="17">
        <f t="shared" si="33"/>
        <v>0</v>
      </c>
      <c r="U58" s="17">
        <v>0</v>
      </c>
      <c r="V58" s="17">
        <v>0</v>
      </c>
      <c r="W58" s="417">
        <f t="shared" si="34"/>
        <v>0</v>
      </c>
      <c r="Y58" s="6">
        <f t="shared" si="46"/>
        <v>1997</v>
      </c>
      <c r="Z58" s="17">
        <f t="shared" si="35"/>
        <v>0</v>
      </c>
      <c r="AA58" s="17">
        <f t="shared" si="36"/>
        <v>0</v>
      </c>
      <c r="AB58" s="17">
        <f t="shared" si="37"/>
        <v>0</v>
      </c>
      <c r="AC58" s="17">
        <f t="shared" si="38"/>
        <v>0</v>
      </c>
      <c r="AD58" s="17">
        <f t="shared" si="39"/>
        <v>0</v>
      </c>
      <c r="AE58" s="17">
        <f t="shared" si="40"/>
        <v>0</v>
      </c>
      <c r="AF58" s="17">
        <f t="shared" si="41"/>
        <v>0</v>
      </c>
      <c r="AG58" s="17">
        <f t="shared" si="29"/>
        <v>0</v>
      </c>
      <c r="AH58" s="17">
        <f t="shared" si="29"/>
        <v>0</v>
      </c>
      <c r="AI58" s="417">
        <f t="shared" si="42"/>
        <v>0</v>
      </c>
    </row>
    <row r="59" spans="1:35">
      <c r="A59" s="6">
        <f t="shared" si="43"/>
        <v>1998</v>
      </c>
      <c r="B59" s="17">
        <f t="shared" si="26"/>
        <v>0</v>
      </c>
      <c r="C59" s="17">
        <f t="shared" si="26"/>
        <v>0</v>
      </c>
      <c r="D59" s="17">
        <v>0</v>
      </c>
      <c r="E59" s="17">
        <v>0</v>
      </c>
      <c r="F59" s="17">
        <v>0</v>
      </c>
      <c r="G59" s="17">
        <v>0</v>
      </c>
      <c r="H59" s="17">
        <f t="shared" si="30"/>
        <v>0</v>
      </c>
      <c r="I59" s="17">
        <v>0</v>
      </c>
      <c r="J59" s="17">
        <v>0</v>
      </c>
      <c r="K59" s="417">
        <f t="shared" si="31"/>
        <v>0</v>
      </c>
      <c r="M59" s="6">
        <f t="shared" si="44"/>
        <v>1998</v>
      </c>
      <c r="N59" s="17">
        <f t="shared" ref="N59:S59" si="48">N16*$R$48</f>
        <v>0</v>
      </c>
      <c r="O59" s="17">
        <f t="shared" si="48"/>
        <v>0</v>
      </c>
      <c r="P59" s="17">
        <f t="shared" si="48"/>
        <v>0</v>
      </c>
      <c r="Q59" s="17">
        <f t="shared" si="48"/>
        <v>0</v>
      </c>
      <c r="R59" s="17">
        <f t="shared" si="48"/>
        <v>0</v>
      </c>
      <c r="S59" s="17">
        <f t="shared" si="48"/>
        <v>0</v>
      </c>
      <c r="T59" s="17">
        <f t="shared" si="33"/>
        <v>0</v>
      </c>
      <c r="U59" s="17">
        <v>0</v>
      </c>
      <c r="V59" s="17">
        <v>0</v>
      </c>
      <c r="W59" s="417">
        <f t="shared" si="34"/>
        <v>0</v>
      </c>
      <c r="Y59" s="6">
        <f t="shared" si="46"/>
        <v>1998</v>
      </c>
      <c r="Z59" s="17">
        <f t="shared" si="35"/>
        <v>0</v>
      </c>
      <c r="AA59" s="17">
        <f t="shared" si="36"/>
        <v>0</v>
      </c>
      <c r="AB59" s="17">
        <f t="shared" si="37"/>
        <v>0</v>
      </c>
      <c r="AC59" s="17">
        <f t="shared" si="38"/>
        <v>0</v>
      </c>
      <c r="AD59" s="17">
        <f t="shared" si="39"/>
        <v>0</v>
      </c>
      <c r="AE59" s="17">
        <f t="shared" si="40"/>
        <v>0</v>
      </c>
      <c r="AF59" s="17">
        <f t="shared" si="41"/>
        <v>0</v>
      </c>
      <c r="AG59" s="17">
        <f t="shared" si="29"/>
        <v>0</v>
      </c>
      <c r="AH59" s="17">
        <f t="shared" si="29"/>
        <v>0</v>
      </c>
      <c r="AI59" s="417">
        <f t="shared" si="42"/>
        <v>0</v>
      </c>
    </row>
    <row r="60" spans="1:35">
      <c r="A60" s="6">
        <f t="shared" si="43"/>
        <v>1999</v>
      </c>
      <c r="B60" s="17">
        <f t="shared" si="26"/>
        <v>0</v>
      </c>
      <c r="C60" s="17">
        <f t="shared" si="26"/>
        <v>0</v>
      </c>
      <c r="D60" s="17">
        <v>0</v>
      </c>
      <c r="E60" s="17">
        <v>0</v>
      </c>
      <c r="F60" s="17">
        <v>0</v>
      </c>
      <c r="G60" s="17">
        <v>0</v>
      </c>
      <c r="H60" s="17">
        <f t="shared" si="30"/>
        <v>0</v>
      </c>
      <c r="I60" s="17">
        <v>0</v>
      </c>
      <c r="J60" s="17">
        <v>0</v>
      </c>
      <c r="K60" s="417">
        <f t="shared" si="31"/>
        <v>0</v>
      </c>
      <c r="M60" s="6">
        <f t="shared" si="44"/>
        <v>1999</v>
      </c>
      <c r="N60" s="17">
        <f t="shared" ref="N60:S60" si="49">N17*$R$48</f>
        <v>0</v>
      </c>
      <c r="O60" s="17">
        <f t="shared" si="49"/>
        <v>0</v>
      </c>
      <c r="P60" s="17">
        <f t="shared" si="49"/>
        <v>0</v>
      </c>
      <c r="Q60" s="17">
        <f t="shared" si="49"/>
        <v>0</v>
      </c>
      <c r="R60" s="17">
        <f t="shared" si="49"/>
        <v>0</v>
      </c>
      <c r="S60" s="17">
        <f t="shared" si="49"/>
        <v>0</v>
      </c>
      <c r="T60" s="17">
        <f t="shared" si="33"/>
        <v>0</v>
      </c>
      <c r="U60" s="17">
        <v>0</v>
      </c>
      <c r="V60" s="17">
        <v>0</v>
      </c>
      <c r="W60" s="417">
        <f t="shared" si="34"/>
        <v>0</v>
      </c>
      <c r="Y60" s="6">
        <f t="shared" si="46"/>
        <v>1999</v>
      </c>
      <c r="Z60" s="17">
        <f t="shared" si="35"/>
        <v>0</v>
      </c>
      <c r="AA60" s="17">
        <f t="shared" si="36"/>
        <v>0</v>
      </c>
      <c r="AB60" s="17">
        <f t="shared" si="37"/>
        <v>0</v>
      </c>
      <c r="AC60" s="17">
        <f t="shared" si="38"/>
        <v>0</v>
      </c>
      <c r="AD60" s="17">
        <f t="shared" si="39"/>
        <v>0</v>
      </c>
      <c r="AE60" s="17">
        <f t="shared" si="40"/>
        <v>0</v>
      </c>
      <c r="AF60" s="17">
        <f t="shared" si="41"/>
        <v>0</v>
      </c>
      <c r="AG60" s="17">
        <f t="shared" si="29"/>
        <v>0</v>
      </c>
      <c r="AH60" s="17">
        <f t="shared" si="29"/>
        <v>0</v>
      </c>
      <c r="AI60" s="417">
        <f t="shared" si="42"/>
        <v>0</v>
      </c>
    </row>
    <row r="61" spans="1:35">
      <c r="A61" s="6">
        <f t="shared" si="43"/>
        <v>2000</v>
      </c>
      <c r="B61" s="17">
        <f t="shared" si="26"/>
        <v>0</v>
      </c>
      <c r="C61" s="17">
        <f t="shared" si="26"/>
        <v>0</v>
      </c>
      <c r="D61" s="17">
        <f t="shared" si="26"/>
        <v>0</v>
      </c>
      <c r="E61" s="17">
        <f t="shared" si="26"/>
        <v>0</v>
      </c>
      <c r="F61" s="17">
        <f t="shared" si="26"/>
        <v>0</v>
      </c>
      <c r="G61" s="17">
        <f t="shared" si="26"/>
        <v>0</v>
      </c>
      <c r="H61" s="17">
        <f t="shared" si="30"/>
        <v>0</v>
      </c>
      <c r="I61" s="17">
        <f t="shared" ref="I61:J61" si="50">I18*$F$48</f>
        <v>0</v>
      </c>
      <c r="J61" s="17">
        <f t="shared" si="50"/>
        <v>0</v>
      </c>
      <c r="K61" s="17">
        <f t="shared" ref="K61:K74" si="51">I61+J61</f>
        <v>0</v>
      </c>
      <c r="M61" s="6">
        <f t="shared" si="44"/>
        <v>2000</v>
      </c>
      <c r="N61" s="17">
        <f t="shared" ref="N61:S61" si="52">N18*$R$48</f>
        <v>0</v>
      </c>
      <c r="O61" s="17">
        <f t="shared" si="52"/>
        <v>0</v>
      </c>
      <c r="P61" s="17">
        <f t="shared" si="52"/>
        <v>0</v>
      </c>
      <c r="Q61" s="17">
        <f t="shared" si="52"/>
        <v>0</v>
      </c>
      <c r="R61" s="17">
        <f t="shared" si="52"/>
        <v>0</v>
      </c>
      <c r="S61" s="17">
        <f t="shared" si="52"/>
        <v>0</v>
      </c>
      <c r="T61" s="17">
        <f t="shared" si="33"/>
        <v>0</v>
      </c>
      <c r="U61" s="17">
        <v>0</v>
      </c>
      <c r="V61" s="17">
        <v>0</v>
      </c>
      <c r="W61" s="417">
        <f t="shared" si="34"/>
        <v>0</v>
      </c>
      <c r="Y61" s="6">
        <f t="shared" si="46"/>
        <v>2000</v>
      </c>
      <c r="Z61" s="17">
        <f t="shared" si="35"/>
        <v>0</v>
      </c>
      <c r="AA61" s="17">
        <f t="shared" si="36"/>
        <v>0</v>
      </c>
      <c r="AB61" s="17">
        <f t="shared" si="37"/>
        <v>0</v>
      </c>
      <c r="AC61" s="17">
        <f t="shared" si="38"/>
        <v>0</v>
      </c>
      <c r="AD61" s="17">
        <f t="shared" si="39"/>
        <v>0</v>
      </c>
      <c r="AE61" s="17">
        <f t="shared" si="40"/>
        <v>0</v>
      </c>
      <c r="AF61" s="17">
        <f t="shared" si="41"/>
        <v>0</v>
      </c>
      <c r="AG61" s="17">
        <f t="shared" si="29"/>
        <v>0</v>
      </c>
      <c r="AH61" s="17">
        <f t="shared" si="29"/>
        <v>0</v>
      </c>
      <c r="AI61" s="417">
        <f t="shared" si="42"/>
        <v>0</v>
      </c>
    </row>
    <row r="62" spans="1:35">
      <c r="A62" s="6">
        <f t="shared" si="43"/>
        <v>2001</v>
      </c>
      <c r="B62" s="17">
        <f t="shared" si="26"/>
        <v>0</v>
      </c>
      <c r="C62" s="17">
        <f t="shared" si="26"/>
        <v>0</v>
      </c>
      <c r="D62" s="17">
        <f t="shared" si="26"/>
        <v>0</v>
      </c>
      <c r="E62" s="17">
        <f t="shared" si="26"/>
        <v>0</v>
      </c>
      <c r="F62" s="17">
        <f t="shared" si="26"/>
        <v>0</v>
      </c>
      <c r="G62" s="17">
        <f t="shared" si="26"/>
        <v>0</v>
      </c>
      <c r="H62" s="17">
        <f t="shared" si="30"/>
        <v>0</v>
      </c>
      <c r="I62" s="17">
        <f t="shared" ref="I62:J62" si="53">I19*$F$48</f>
        <v>0</v>
      </c>
      <c r="J62" s="17">
        <f t="shared" si="53"/>
        <v>0</v>
      </c>
      <c r="K62" s="17">
        <f t="shared" si="51"/>
        <v>0</v>
      </c>
      <c r="M62" s="6">
        <f t="shared" si="44"/>
        <v>2001</v>
      </c>
      <c r="N62" s="17">
        <f t="shared" ref="N62:S62" si="54">N19*$R$48</f>
        <v>0</v>
      </c>
      <c r="O62" s="17">
        <f t="shared" si="54"/>
        <v>0</v>
      </c>
      <c r="P62" s="17">
        <f t="shared" si="54"/>
        <v>0</v>
      </c>
      <c r="Q62" s="17">
        <f t="shared" si="54"/>
        <v>0</v>
      </c>
      <c r="R62" s="17">
        <f t="shared" si="54"/>
        <v>0</v>
      </c>
      <c r="S62" s="17">
        <f t="shared" si="54"/>
        <v>0</v>
      </c>
      <c r="T62" s="17">
        <f t="shared" si="33"/>
        <v>0</v>
      </c>
      <c r="U62" s="17">
        <v>0</v>
      </c>
      <c r="V62" s="17">
        <v>0</v>
      </c>
      <c r="W62" s="417">
        <f t="shared" si="34"/>
        <v>0</v>
      </c>
      <c r="Y62" s="6">
        <f t="shared" si="46"/>
        <v>2001</v>
      </c>
      <c r="Z62" s="17">
        <f t="shared" si="35"/>
        <v>0</v>
      </c>
      <c r="AA62" s="17">
        <f t="shared" si="36"/>
        <v>0</v>
      </c>
      <c r="AB62" s="17">
        <f t="shared" si="37"/>
        <v>0</v>
      </c>
      <c r="AC62" s="17">
        <f t="shared" si="38"/>
        <v>0</v>
      </c>
      <c r="AD62" s="17">
        <f t="shared" si="39"/>
        <v>0</v>
      </c>
      <c r="AE62" s="17">
        <f t="shared" si="40"/>
        <v>0</v>
      </c>
      <c r="AF62" s="17">
        <f t="shared" si="41"/>
        <v>0</v>
      </c>
      <c r="AG62" s="17">
        <f t="shared" si="29"/>
        <v>0</v>
      </c>
      <c r="AH62" s="17">
        <f t="shared" si="29"/>
        <v>0</v>
      </c>
      <c r="AI62" s="417">
        <f t="shared" si="42"/>
        <v>0</v>
      </c>
    </row>
    <row r="63" spans="1:35">
      <c r="A63" s="6">
        <f t="shared" si="43"/>
        <v>2002</v>
      </c>
      <c r="B63" s="17">
        <f t="shared" si="26"/>
        <v>0</v>
      </c>
      <c r="C63" s="17">
        <f t="shared" si="26"/>
        <v>0</v>
      </c>
      <c r="D63" s="17">
        <f t="shared" si="26"/>
        <v>0</v>
      </c>
      <c r="E63" s="17">
        <f t="shared" si="26"/>
        <v>0</v>
      </c>
      <c r="F63" s="17">
        <f t="shared" si="26"/>
        <v>0</v>
      </c>
      <c r="G63" s="17">
        <f t="shared" si="26"/>
        <v>0</v>
      </c>
      <c r="H63" s="17">
        <f t="shared" si="30"/>
        <v>0</v>
      </c>
      <c r="I63" s="17">
        <f t="shared" ref="I63:J63" si="55">I20*$F$48</f>
        <v>0</v>
      </c>
      <c r="J63" s="17">
        <f t="shared" si="55"/>
        <v>0</v>
      </c>
      <c r="K63" s="17">
        <f t="shared" si="51"/>
        <v>0</v>
      </c>
      <c r="M63" s="6">
        <f t="shared" si="44"/>
        <v>2002</v>
      </c>
      <c r="N63" s="17">
        <f t="shared" ref="N63:S63" si="56">N20*$R$48</f>
        <v>0</v>
      </c>
      <c r="O63" s="17">
        <f t="shared" si="56"/>
        <v>0</v>
      </c>
      <c r="P63" s="17">
        <f t="shared" si="56"/>
        <v>0</v>
      </c>
      <c r="Q63" s="17">
        <f t="shared" si="56"/>
        <v>0</v>
      </c>
      <c r="R63" s="17">
        <f t="shared" si="56"/>
        <v>0</v>
      </c>
      <c r="S63" s="17">
        <f t="shared" si="56"/>
        <v>0</v>
      </c>
      <c r="T63" s="17">
        <f t="shared" si="33"/>
        <v>0</v>
      </c>
      <c r="U63" s="17">
        <v>0</v>
      </c>
      <c r="V63" s="17">
        <v>0</v>
      </c>
      <c r="W63" s="417">
        <f t="shared" si="34"/>
        <v>0</v>
      </c>
      <c r="Y63" s="6">
        <f t="shared" si="46"/>
        <v>2002</v>
      </c>
      <c r="Z63" s="17">
        <f t="shared" si="35"/>
        <v>0</v>
      </c>
      <c r="AA63" s="17">
        <f t="shared" si="36"/>
        <v>0</v>
      </c>
      <c r="AB63" s="17">
        <f t="shared" si="37"/>
        <v>0</v>
      </c>
      <c r="AC63" s="17">
        <f t="shared" si="38"/>
        <v>0</v>
      </c>
      <c r="AD63" s="17">
        <f t="shared" si="39"/>
        <v>0</v>
      </c>
      <c r="AE63" s="17">
        <f t="shared" si="40"/>
        <v>0</v>
      </c>
      <c r="AF63" s="17">
        <f t="shared" si="41"/>
        <v>0</v>
      </c>
      <c r="AG63" s="17">
        <f t="shared" si="29"/>
        <v>0</v>
      </c>
      <c r="AH63" s="17">
        <f t="shared" si="29"/>
        <v>0</v>
      </c>
      <c r="AI63" s="417">
        <f t="shared" si="42"/>
        <v>0</v>
      </c>
    </row>
    <row r="64" spans="1:35">
      <c r="A64" s="6">
        <f t="shared" si="43"/>
        <v>2003</v>
      </c>
      <c r="B64" s="17">
        <f t="shared" si="26"/>
        <v>0</v>
      </c>
      <c r="C64" s="17">
        <f t="shared" si="26"/>
        <v>0</v>
      </c>
      <c r="D64" s="17">
        <f t="shared" si="26"/>
        <v>0</v>
      </c>
      <c r="E64" s="17">
        <f t="shared" si="26"/>
        <v>0</v>
      </c>
      <c r="F64" s="17">
        <f t="shared" si="26"/>
        <v>0</v>
      </c>
      <c r="G64" s="17">
        <f t="shared" si="26"/>
        <v>0</v>
      </c>
      <c r="H64" s="17">
        <f t="shared" si="30"/>
        <v>0</v>
      </c>
      <c r="I64" s="17">
        <f t="shared" ref="I64:J64" si="57">I21*$F$48</f>
        <v>0</v>
      </c>
      <c r="J64" s="17">
        <f t="shared" si="57"/>
        <v>0</v>
      </c>
      <c r="K64" s="17">
        <f t="shared" si="51"/>
        <v>0</v>
      </c>
      <c r="M64" s="6">
        <f t="shared" si="44"/>
        <v>2003</v>
      </c>
      <c r="N64" s="17">
        <f t="shared" ref="N64:S64" si="58">N21*$R$48</f>
        <v>0</v>
      </c>
      <c r="O64" s="17">
        <f t="shared" si="58"/>
        <v>0</v>
      </c>
      <c r="P64" s="17">
        <f t="shared" si="58"/>
        <v>0</v>
      </c>
      <c r="Q64" s="17">
        <f t="shared" si="58"/>
        <v>0</v>
      </c>
      <c r="R64" s="17">
        <f t="shared" si="58"/>
        <v>0</v>
      </c>
      <c r="S64" s="17">
        <f t="shared" si="58"/>
        <v>0</v>
      </c>
      <c r="T64" s="17">
        <f t="shared" si="33"/>
        <v>0</v>
      </c>
      <c r="U64" s="17">
        <v>0</v>
      </c>
      <c r="V64" s="17">
        <v>0</v>
      </c>
      <c r="W64" s="417">
        <f t="shared" si="34"/>
        <v>0</v>
      </c>
      <c r="Y64" s="6">
        <f t="shared" si="46"/>
        <v>2003</v>
      </c>
      <c r="Z64" s="17">
        <f t="shared" si="35"/>
        <v>0</v>
      </c>
      <c r="AA64" s="17">
        <f t="shared" si="36"/>
        <v>0</v>
      </c>
      <c r="AB64" s="17">
        <f t="shared" si="37"/>
        <v>0</v>
      </c>
      <c r="AC64" s="17">
        <f t="shared" si="38"/>
        <v>0</v>
      </c>
      <c r="AD64" s="17">
        <f t="shared" si="39"/>
        <v>0</v>
      </c>
      <c r="AE64" s="17">
        <f t="shared" si="40"/>
        <v>0</v>
      </c>
      <c r="AF64" s="17">
        <f t="shared" si="41"/>
        <v>0</v>
      </c>
      <c r="AG64" s="17">
        <f t="shared" si="29"/>
        <v>0</v>
      </c>
      <c r="AH64" s="17">
        <f t="shared" si="29"/>
        <v>0</v>
      </c>
      <c r="AI64" s="417">
        <f t="shared" si="42"/>
        <v>0</v>
      </c>
    </row>
    <row r="65" spans="1:35">
      <c r="A65" s="6">
        <f t="shared" si="43"/>
        <v>2004</v>
      </c>
      <c r="B65" s="17">
        <f t="shared" si="26"/>
        <v>0</v>
      </c>
      <c r="C65" s="17">
        <f t="shared" si="26"/>
        <v>0</v>
      </c>
      <c r="D65" s="17">
        <f t="shared" si="26"/>
        <v>0</v>
      </c>
      <c r="E65" s="17">
        <f t="shared" si="26"/>
        <v>0</v>
      </c>
      <c r="F65" s="17">
        <f t="shared" si="26"/>
        <v>0</v>
      </c>
      <c r="G65" s="17">
        <f t="shared" si="26"/>
        <v>0</v>
      </c>
      <c r="H65" s="17">
        <f t="shared" si="30"/>
        <v>0</v>
      </c>
      <c r="I65" s="17">
        <f t="shared" ref="I65:J65" si="59">I22*$F$48</f>
        <v>0</v>
      </c>
      <c r="J65" s="17">
        <f t="shared" si="59"/>
        <v>0</v>
      </c>
      <c r="K65" s="17">
        <f t="shared" si="51"/>
        <v>0</v>
      </c>
      <c r="M65" s="6">
        <f t="shared" si="44"/>
        <v>2004</v>
      </c>
      <c r="N65" s="17">
        <f t="shared" ref="N65:S65" si="60">N22*$R$48</f>
        <v>0</v>
      </c>
      <c r="O65" s="17">
        <f t="shared" si="60"/>
        <v>0</v>
      </c>
      <c r="P65" s="17">
        <f t="shared" si="60"/>
        <v>0</v>
      </c>
      <c r="Q65" s="17">
        <f t="shared" si="60"/>
        <v>0</v>
      </c>
      <c r="R65" s="17">
        <f t="shared" si="60"/>
        <v>0</v>
      </c>
      <c r="S65" s="17">
        <f t="shared" si="60"/>
        <v>0</v>
      </c>
      <c r="T65" s="17">
        <f t="shared" si="33"/>
        <v>0</v>
      </c>
      <c r="U65" s="17">
        <v>0</v>
      </c>
      <c r="V65" s="17">
        <v>0</v>
      </c>
      <c r="W65" s="417">
        <f t="shared" si="34"/>
        <v>0</v>
      </c>
      <c r="Y65" s="6">
        <f t="shared" si="46"/>
        <v>2004</v>
      </c>
      <c r="Z65" s="17">
        <f t="shared" si="35"/>
        <v>0</v>
      </c>
      <c r="AA65" s="17">
        <f t="shared" si="36"/>
        <v>0</v>
      </c>
      <c r="AB65" s="17">
        <f t="shared" si="37"/>
        <v>0</v>
      </c>
      <c r="AC65" s="17">
        <f t="shared" si="38"/>
        <v>0</v>
      </c>
      <c r="AD65" s="17">
        <f t="shared" si="39"/>
        <v>0</v>
      </c>
      <c r="AE65" s="17">
        <f t="shared" si="40"/>
        <v>0</v>
      </c>
      <c r="AF65" s="17">
        <f t="shared" si="41"/>
        <v>0</v>
      </c>
      <c r="AG65" s="17">
        <f t="shared" si="29"/>
        <v>0</v>
      </c>
      <c r="AH65" s="17">
        <f t="shared" si="29"/>
        <v>0</v>
      </c>
      <c r="AI65" s="417">
        <f t="shared" si="42"/>
        <v>0</v>
      </c>
    </row>
    <row r="66" spans="1:35">
      <c r="A66" s="6">
        <f t="shared" si="43"/>
        <v>2005</v>
      </c>
      <c r="B66" s="17">
        <f t="shared" si="26"/>
        <v>0</v>
      </c>
      <c r="C66" s="17">
        <f t="shared" si="26"/>
        <v>0</v>
      </c>
      <c r="D66" s="17">
        <f t="shared" si="26"/>
        <v>0</v>
      </c>
      <c r="E66" s="17">
        <f t="shared" si="26"/>
        <v>0</v>
      </c>
      <c r="F66" s="17">
        <f t="shared" si="26"/>
        <v>0</v>
      </c>
      <c r="G66" s="17">
        <f t="shared" si="26"/>
        <v>0</v>
      </c>
      <c r="H66" s="17">
        <f t="shared" si="30"/>
        <v>0</v>
      </c>
      <c r="I66" s="17">
        <f t="shared" ref="I66:J66" si="61">I23*$F$48</f>
        <v>0</v>
      </c>
      <c r="J66" s="17">
        <f t="shared" si="61"/>
        <v>0</v>
      </c>
      <c r="K66" s="17">
        <f t="shared" si="51"/>
        <v>0</v>
      </c>
      <c r="M66" s="6">
        <f t="shared" si="44"/>
        <v>2005</v>
      </c>
      <c r="N66" s="17">
        <f t="shared" ref="N66:S66" si="62">N23*$R$48</f>
        <v>0</v>
      </c>
      <c r="O66" s="17">
        <f t="shared" si="62"/>
        <v>0</v>
      </c>
      <c r="P66" s="17">
        <f t="shared" si="62"/>
        <v>0</v>
      </c>
      <c r="Q66" s="17">
        <f t="shared" si="62"/>
        <v>0</v>
      </c>
      <c r="R66" s="17">
        <f t="shared" si="62"/>
        <v>0</v>
      </c>
      <c r="S66" s="17">
        <f t="shared" si="62"/>
        <v>0</v>
      </c>
      <c r="T66" s="17">
        <f t="shared" si="33"/>
        <v>0</v>
      </c>
      <c r="U66" s="17">
        <v>0</v>
      </c>
      <c r="V66" s="17">
        <v>0</v>
      </c>
      <c r="W66" s="417">
        <f t="shared" si="34"/>
        <v>0</v>
      </c>
      <c r="Y66" s="6">
        <f t="shared" si="46"/>
        <v>2005</v>
      </c>
      <c r="Z66" s="17">
        <f t="shared" si="35"/>
        <v>0</v>
      </c>
      <c r="AA66" s="17">
        <f t="shared" si="36"/>
        <v>0</v>
      </c>
      <c r="AB66" s="17">
        <f t="shared" si="37"/>
        <v>0</v>
      </c>
      <c r="AC66" s="17">
        <f t="shared" si="38"/>
        <v>0</v>
      </c>
      <c r="AD66" s="17">
        <f t="shared" si="39"/>
        <v>0</v>
      </c>
      <c r="AE66" s="17">
        <f t="shared" si="40"/>
        <v>0</v>
      </c>
      <c r="AF66" s="17">
        <f t="shared" si="41"/>
        <v>0</v>
      </c>
      <c r="AG66" s="17">
        <f t="shared" si="29"/>
        <v>0</v>
      </c>
      <c r="AH66" s="17">
        <f t="shared" si="29"/>
        <v>0</v>
      </c>
      <c r="AI66" s="417">
        <f t="shared" si="42"/>
        <v>0</v>
      </c>
    </row>
    <row r="67" spans="1:35">
      <c r="A67" s="6">
        <f t="shared" si="43"/>
        <v>2006</v>
      </c>
      <c r="B67" s="17">
        <f t="shared" si="26"/>
        <v>0</v>
      </c>
      <c r="C67" s="17">
        <f t="shared" si="26"/>
        <v>0</v>
      </c>
      <c r="D67" s="17">
        <f t="shared" si="26"/>
        <v>0</v>
      </c>
      <c r="E67" s="17">
        <f t="shared" si="26"/>
        <v>0</v>
      </c>
      <c r="F67" s="17">
        <f t="shared" si="26"/>
        <v>0</v>
      </c>
      <c r="G67" s="17">
        <f t="shared" si="26"/>
        <v>0</v>
      </c>
      <c r="H67" s="17">
        <f t="shared" si="30"/>
        <v>0</v>
      </c>
      <c r="I67" s="17">
        <f t="shared" ref="I67:J67" si="63">I24*$F$48</f>
        <v>0</v>
      </c>
      <c r="J67" s="17">
        <f t="shared" si="63"/>
        <v>0</v>
      </c>
      <c r="K67" s="17">
        <f t="shared" si="51"/>
        <v>0</v>
      </c>
      <c r="M67" s="6">
        <f t="shared" si="44"/>
        <v>2006</v>
      </c>
      <c r="N67" s="17">
        <f t="shared" ref="N67:S67" si="64">N24*$R$48</f>
        <v>0</v>
      </c>
      <c r="O67" s="17">
        <f t="shared" si="64"/>
        <v>0</v>
      </c>
      <c r="P67" s="17">
        <f t="shared" si="64"/>
        <v>-0.18899999999266584</v>
      </c>
      <c r="Q67" s="17">
        <f t="shared" si="64"/>
        <v>0</v>
      </c>
      <c r="R67" s="17">
        <f t="shared" si="64"/>
        <v>0</v>
      </c>
      <c r="S67" s="17">
        <f t="shared" si="64"/>
        <v>0</v>
      </c>
      <c r="T67" s="17">
        <f t="shared" si="33"/>
        <v>-0.18899999999266584</v>
      </c>
      <c r="U67" s="17">
        <v>0</v>
      </c>
      <c r="V67" s="17">
        <v>0</v>
      </c>
      <c r="W67" s="417">
        <f t="shared" si="34"/>
        <v>0</v>
      </c>
      <c r="Y67" s="6">
        <f t="shared" si="46"/>
        <v>2006</v>
      </c>
      <c r="Z67" s="17">
        <f t="shared" si="35"/>
        <v>0</v>
      </c>
      <c r="AA67" s="17">
        <f t="shared" si="36"/>
        <v>0</v>
      </c>
      <c r="AB67" s="17">
        <f t="shared" si="37"/>
        <v>0.18899999999266584</v>
      </c>
      <c r="AC67" s="17">
        <f t="shared" si="38"/>
        <v>0</v>
      </c>
      <c r="AD67" s="17">
        <f t="shared" si="39"/>
        <v>0</v>
      </c>
      <c r="AE67" s="17">
        <f t="shared" si="40"/>
        <v>0</v>
      </c>
      <c r="AF67" s="17">
        <f t="shared" si="41"/>
        <v>0.18899999999266584</v>
      </c>
      <c r="AG67" s="17">
        <f t="shared" si="29"/>
        <v>0</v>
      </c>
      <c r="AH67" s="17">
        <f t="shared" si="29"/>
        <v>0</v>
      </c>
      <c r="AI67" s="417">
        <f t="shared" si="42"/>
        <v>0</v>
      </c>
    </row>
    <row r="68" spans="1:35">
      <c r="A68" s="6">
        <f t="shared" si="43"/>
        <v>2007</v>
      </c>
      <c r="B68" s="17">
        <f t="shared" si="26"/>
        <v>0</v>
      </c>
      <c r="C68" s="17">
        <f t="shared" si="26"/>
        <v>0</v>
      </c>
      <c r="D68" s="17">
        <f t="shared" si="26"/>
        <v>0</v>
      </c>
      <c r="E68" s="17">
        <f t="shared" si="26"/>
        <v>-0.21699999999909778</v>
      </c>
      <c r="F68" s="17">
        <f t="shared" si="26"/>
        <v>0</v>
      </c>
      <c r="G68" s="17">
        <f t="shared" si="26"/>
        <v>0</v>
      </c>
      <c r="H68" s="17">
        <f t="shared" si="30"/>
        <v>-0.21699999999909778</v>
      </c>
      <c r="I68" s="17">
        <f t="shared" ref="I68:J68" si="65">I25*$F$48</f>
        <v>0</v>
      </c>
      <c r="J68" s="17">
        <f t="shared" si="65"/>
        <v>0</v>
      </c>
      <c r="K68" s="17">
        <f t="shared" si="51"/>
        <v>0</v>
      </c>
      <c r="M68" s="6">
        <f t="shared" si="44"/>
        <v>2007</v>
      </c>
      <c r="N68" s="17">
        <f t="shared" ref="N68:S68" si="66">N25*$R$48</f>
        <v>0</v>
      </c>
      <c r="O68" s="17">
        <f t="shared" si="66"/>
        <v>0</v>
      </c>
      <c r="P68" s="17">
        <f t="shared" si="66"/>
        <v>0</v>
      </c>
      <c r="Q68" s="17">
        <f t="shared" si="66"/>
        <v>-0.25199999999895228</v>
      </c>
      <c r="R68" s="17">
        <f t="shared" si="66"/>
        <v>0</v>
      </c>
      <c r="S68" s="17">
        <f t="shared" si="66"/>
        <v>0</v>
      </c>
      <c r="T68" s="17">
        <f t="shared" si="33"/>
        <v>-0.25199999999895228</v>
      </c>
      <c r="U68" s="17">
        <v>0</v>
      </c>
      <c r="V68" s="17">
        <v>0</v>
      </c>
      <c r="W68" s="417">
        <f t="shared" si="34"/>
        <v>0</v>
      </c>
      <c r="Y68" s="6">
        <f t="shared" si="46"/>
        <v>2007</v>
      </c>
      <c r="Z68" s="17">
        <f t="shared" si="35"/>
        <v>0</v>
      </c>
      <c r="AA68" s="17">
        <f t="shared" si="36"/>
        <v>0</v>
      </c>
      <c r="AB68" s="17">
        <f t="shared" si="37"/>
        <v>0</v>
      </c>
      <c r="AC68" s="17">
        <f t="shared" si="38"/>
        <v>3.4999999999854509E-2</v>
      </c>
      <c r="AD68" s="17">
        <f t="shared" si="39"/>
        <v>0</v>
      </c>
      <c r="AE68" s="17">
        <f t="shared" si="40"/>
        <v>0</v>
      </c>
      <c r="AF68" s="17">
        <f t="shared" si="41"/>
        <v>3.4999999999854509E-2</v>
      </c>
      <c r="AG68" s="17">
        <f t="shared" si="29"/>
        <v>0</v>
      </c>
      <c r="AH68" s="17">
        <f t="shared" si="29"/>
        <v>0</v>
      </c>
      <c r="AI68" s="417">
        <f t="shared" si="42"/>
        <v>0</v>
      </c>
    </row>
    <row r="69" spans="1:35">
      <c r="A69" s="6">
        <f t="shared" si="43"/>
        <v>2008</v>
      </c>
      <c r="B69" s="17">
        <f t="shared" si="26"/>
        <v>0</v>
      </c>
      <c r="C69" s="17">
        <f t="shared" si="26"/>
        <v>0</v>
      </c>
      <c r="D69" s="17">
        <f t="shared" si="26"/>
        <v>0</v>
      </c>
      <c r="E69" s="17">
        <f t="shared" si="26"/>
        <v>0</v>
      </c>
      <c r="F69" s="17">
        <f t="shared" si="26"/>
        <v>0</v>
      </c>
      <c r="G69" s="17">
        <f t="shared" si="26"/>
        <v>0</v>
      </c>
      <c r="H69" s="17">
        <f t="shared" si="30"/>
        <v>0</v>
      </c>
      <c r="I69" s="17">
        <f t="shared" ref="I69:J69" si="67">I26*$F$48</f>
        <v>0</v>
      </c>
      <c r="J69" s="17">
        <f t="shared" si="67"/>
        <v>0</v>
      </c>
      <c r="K69" s="17">
        <f t="shared" si="51"/>
        <v>0</v>
      </c>
      <c r="M69" s="6">
        <f t="shared" si="44"/>
        <v>2008</v>
      </c>
      <c r="N69" s="17">
        <f t="shared" ref="N69:S69" si="68">N26*$R$48</f>
        <v>0</v>
      </c>
      <c r="O69" s="17">
        <f t="shared" si="68"/>
        <v>0</v>
      </c>
      <c r="P69" s="17">
        <f t="shared" si="68"/>
        <v>0</v>
      </c>
      <c r="Q69" s="17">
        <f t="shared" si="68"/>
        <v>0</v>
      </c>
      <c r="R69" s="17">
        <f t="shared" si="68"/>
        <v>0</v>
      </c>
      <c r="S69" s="17">
        <f t="shared" si="68"/>
        <v>0</v>
      </c>
      <c r="T69" s="17">
        <f t="shared" si="33"/>
        <v>0</v>
      </c>
      <c r="U69" s="17">
        <v>0</v>
      </c>
      <c r="V69" s="17">
        <v>0</v>
      </c>
      <c r="W69" s="417">
        <f t="shared" si="34"/>
        <v>0</v>
      </c>
      <c r="Y69" s="6">
        <f t="shared" si="46"/>
        <v>2008</v>
      </c>
      <c r="Z69" s="17">
        <f t="shared" si="35"/>
        <v>0</v>
      </c>
      <c r="AA69" s="17">
        <f t="shared" si="36"/>
        <v>0</v>
      </c>
      <c r="AB69" s="17">
        <f t="shared" si="37"/>
        <v>0</v>
      </c>
      <c r="AC69" s="17">
        <f t="shared" si="38"/>
        <v>0</v>
      </c>
      <c r="AD69" s="17">
        <f t="shared" si="39"/>
        <v>0</v>
      </c>
      <c r="AE69" s="17">
        <f t="shared" si="40"/>
        <v>0</v>
      </c>
      <c r="AF69" s="17">
        <f t="shared" si="41"/>
        <v>0</v>
      </c>
      <c r="AG69" s="17">
        <f t="shared" si="29"/>
        <v>0</v>
      </c>
      <c r="AH69" s="17">
        <f t="shared" si="29"/>
        <v>0</v>
      </c>
      <c r="AI69" s="417">
        <f t="shared" si="42"/>
        <v>0</v>
      </c>
    </row>
    <row r="70" spans="1:35">
      <c r="A70" s="6">
        <f t="shared" si="43"/>
        <v>2009</v>
      </c>
      <c r="B70" s="17">
        <f t="shared" si="26"/>
        <v>0</v>
      </c>
      <c r="C70" s="17">
        <f t="shared" si="26"/>
        <v>0</v>
      </c>
      <c r="D70" s="17">
        <f t="shared" si="26"/>
        <v>0</v>
      </c>
      <c r="E70" s="17">
        <f t="shared" si="26"/>
        <v>0</v>
      </c>
      <c r="F70" s="17">
        <f t="shared" si="26"/>
        <v>0</v>
      </c>
      <c r="G70" s="17">
        <f t="shared" si="26"/>
        <v>0</v>
      </c>
      <c r="H70" s="17">
        <f t="shared" si="30"/>
        <v>0</v>
      </c>
      <c r="I70" s="17">
        <f t="shared" ref="I70:J70" si="69">I27*$F$48</f>
        <v>0</v>
      </c>
      <c r="J70" s="17">
        <f t="shared" si="69"/>
        <v>0</v>
      </c>
      <c r="K70" s="17">
        <f t="shared" si="51"/>
        <v>0</v>
      </c>
      <c r="M70" s="6">
        <f t="shared" si="44"/>
        <v>2009</v>
      </c>
      <c r="N70" s="17">
        <f t="shared" ref="N70:S70" si="70">N27*$R$48</f>
        <v>0</v>
      </c>
      <c r="O70" s="17">
        <f t="shared" si="70"/>
        <v>0</v>
      </c>
      <c r="P70" s="17">
        <f t="shared" si="70"/>
        <v>0</v>
      </c>
      <c r="Q70" s="17">
        <f t="shared" si="70"/>
        <v>0</v>
      </c>
      <c r="R70" s="17">
        <f t="shared" si="70"/>
        <v>0</v>
      </c>
      <c r="S70" s="17">
        <f t="shared" si="70"/>
        <v>0</v>
      </c>
      <c r="T70" s="17">
        <f t="shared" si="33"/>
        <v>0</v>
      </c>
      <c r="U70" s="17">
        <v>0</v>
      </c>
      <c r="V70" s="17">
        <v>0</v>
      </c>
      <c r="W70" s="417">
        <f t="shared" si="34"/>
        <v>0</v>
      </c>
      <c r="Y70" s="6">
        <f t="shared" si="46"/>
        <v>2009</v>
      </c>
      <c r="Z70" s="17">
        <f t="shared" si="35"/>
        <v>0</v>
      </c>
      <c r="AA70" s="17">
        <f t="shared" si="36"/>
        <v>0</v>
      </c>
      <c r="AB70" s="17">
        <f t="shared" si="37"/>
        <v>0</v>
      </c>
      <c r="AC70" s="17">
        <f t="shared" si="38"/>
        <v>0</v>
      </c>
      <c r="AD70" s="17">
        <f t="shared" si="39"/>
        <v>0</v>
      </c>
      <c r="AE70" s="17">
        <f t="shared" si="40"/>
        <v>0</v>
      </c>
      <c r="AF70" s="17">
        <f t="shared" si="41"/>
        <v>0</v>
      </c>
      <c r="AG70" s="17">
        <f t="shared" si="29"/>
        <v>0</v>
      </c>
      <c r="AH70" s="17">
        <f t="shared" si="29"/>
        <v>0</v>
      </c>
      <c r="AI70" s="417">
        <f t="shared" si="42"/>
        <v>0</v>
      </c>
    </row>
    <row r="71" spans="1:35">
      <c r="A71" s="6">
        <f t="shared" si="43"/>
        <v>2010</v>
      </c>
      <c r="B71" s="17">
        <f t="shared" si="26"/>
        <v>0</v>
      </c>
      <c r="C71" s="17">
        <f t="shared" si="26"/>
        <v>0</v>
      </c>
      <c r="D71" s="17">
        <f t="shared" si="26"/>
        <v>0</v>
      </c>
      <c r="E71" s="17">
        <f t="shared" si="26"/>
        <v>0</v>
      </c>
      <c r="F71" s="17">
        <f t="shared" si="26"/>
        <v>0</v>
      </c>
      <c r="G71" s="17">
        <f t="shared" si="26"/>
        <v>0</v>
      </c>
      <c r="H71" s="17">
        <f t="shared" si="30"/>
        <v>0</v>
      </c>
      <c r="I71" s="17">
        <f t="shared" ref="I71:J71" si="71">I28*$F$48</f>
        <v>0</v>
      </c>
      <c r="J71" s="17">
        <f t="shared" si="71"/>
        <v>0</v>
      </c>
      <c r="K71" s="17">
        <f t="shared" si="51"/>
        <v>0</v>
      </c>
      <c r="M71" s="6">
        <f t="shared" si="44"/>
        <v>2010</v>
      </c>
      <c r="N71" s="17">
        <f t="shared" ref="N71:S71" si="72">N28*$R$48</f>
        <v>0</v>
      </c>
      <c r="O71" s="17">
        <f t="shared" si="72"/>
        <v>0</v>
      </c>
      <c r="P71" s="17">
        <f t="shared" si="72"/>
        <v>0</v>
      </c>
      <c r="Q71" s="17">
        <f t="shared" si="72"/>
        <v>0</v>
      </c>
      <c r="R71" s="17">
        <f t="shared" si="72"/>
        <v>0</v>
      </c>
      <c r="S71" s="17">
        <f t="shared" si="72"/>
        <v>0</v>
      </c>
      <c r="T71" s="17">
        <f t="shared" si="33"/>
        <v>0</v>
      </c>
      <c r="U71" s="17">
        <v>0</v>
      </c>
      <c r="V71" s="17">
        <v>0</v>
      </c>
      <c r="W71" s="417">
        <f t="shared" si="34"/>
        <v>0</v>
      </c>
      <c r="Y71" s="6">
        <f t="shared" si="46"/>
        <v>2010</v>
      </c>
      <c r="Z71" s="17">
        <f t="shared" si="35"/>
        <v>0</v>
      </c>
      <c r="AA71" s="17">
        <f t="shared" si="36"/>
        <v>0</v>
      </c>
      <c r="AB71" s="17">
        <f t="shared" si="37"/>
        <v>0</v>
      </c>
      <c r="AC71" s="17">
        <f t="shared" si="38"/>
        <v>0</v>
      </c>
      <c r="AD71" s="17">
        <f t="shared" si="39"/>
        <v>0</v>
      </c>
      <c r="AE71" s="17">
        <f t="shared" si="40"/>
        <v>0</v>
      </c>
      <c r="AF71" s="17">
        <f t="shared" si="41"/>
        <v>0</v>
      </c>
      <c r="AG71" s="17">
        <f t="shared" si="29"/>
        <v>0</v>
      </c>
      <c r="AH71" s="17">
        <f t="shared" si="29"/>
        <v>0</v>
      </c>
      <c r="AI71" s="417">
        <f t="shared" si="42"/>
        <v>0</v>
      </c>
    </row>
    <row r="72" spans="1:35">
      <c r="A72" s="6">
        <f t="shared" si="43"/>
        <v>2011</v>
      </c>
      <c r="B72" s="17">
        <f t="shared" si="26"/>
        <v>0</v>
      </c>
      <c r="C72" s="17">
        <f t="shared" si="26"/>
        <v>49.437654141832901</v>
      </c>
      <c r="D72" s="17">
        <f t="shared" si="26"/>
        <v>0</v>
      </c>
      <c r="E72" s="17">
        <f t="shared" si="26"/>
        <v>0</v>
      </c>
      <c r="F72" s="17">
        <f t="shared" si="26"/>
        <v>0</v>
      </c>
      <c r="G72" s="17">
        <f t="shared" si="26"/>
        <v>0</v>
      </c>
      <c r="H72" s="17">
        <f t="shared" si="30"/>
        <v>49.437654141832901</v>
      </c>
      <c r="I72" s="17">
        <f t="shared" ref="I72:J72" si="73">I29*$F$48</f>
        <v>0</v>
      </c>
      <c r="J72" s="17">
        <f t="shared" si="73"/>
        <v>0</v>
      </c>
      <c r="K72" s="17">
        <f t="shared" si="51"/>
        <v>0</v>
      </c>
      <c r="M72" s="6">
        <f t="shared" si="44"/>
        <v>2011</v>
      </c>
      <c r="N72" s="17">
        <f t="shared" ref="N72:S72" si="74">N29*$R$48</f>
        <v>0</v>
      </c>
      <c r="O72" s="17">
        <f t="shared" si="74"/>
        <v>0</v>
      </c>
      <c r="P72" s="17">
        <f t="shared" si="74"/>
        <v>0</v>
      </c>
      <c r="Q72" s="17">
        <f t="shared" si="74"/>
        <v>0</v>
      </c>
      <c r="R72" s="17">
        <f t="shared" si="74"/>
        <v>0</v>
      </c>
      <c r="S72" s="17">
        <f t="shared" si="74"/>
        <v>0</v>
      </c>
      <c r="T72" s="17">
        <f t="shared" si="33"/>
        <v>0</v>
      </c>
      <c r="U72" s="17">
        <v>0</v>
      </c>
      <c r="V72" s="17">
        <v>0</v>
      </c>
      <c r="W72" s="417">
        <f t="shared" si="34"/>
        <v>0</v>
      </c>
      <c r="Y72" s="6">
        <f t="shared" si="46"/>
        <v>2011</v>
      </c>
      <c r="Z72" s="17">
        <f t="shared" si="35"/>
        <v>0</v>
      </c>
      <c r="AA72" s="17">
        <f t="shared" si="36"/>
        <v>49.437654141832901</v>
      </c>
      <c r="AB72" s="17">
        <f t="shared" si="37"/>
        <v>0</v>
      </c>
      <c r="AC72" s="17">
        <f t="shared" si="38"/>
        <v>0</v>
      </c>
      <c r="AD72" s="17">
        <f t="shared" si="39"/>
        <v>0</v>
      </c>
      <c r="AE72" s="17">
        <f t="shared" si="40"/>
        <v>0</v>
      </c>
      <c r="AF72" s="17">
        <f t="shared" si="41"/>
        <v>49.437654141832901</v>
      </c>
      <c r="AG72" s="17">
        <f t="shared" si="29"/>
        <v>0</v>
      </c>
      <c r="AH72" s="17">
        <f t="shared" si="29"/>
        <v>0</v>
      </c>
      <c r="AI72" s="417">
        <f t="shared" si="42"/>
        <v>0</v>
      </c>
    </row>
    <row r="73" spans="1:35">
      <c r="A73" s="6">
        <f t="shared" si="43"/>
        <v>2012</v>
      </c>
      <c r="B73" s="17">
        <f t="shared" si="26"/>
        <v>0</v>
      </c>
      <c r="C73" s="17">
        <f t="shared" si="26"/>
        <v>613.83894569795814</v>
      </c>
      <c r="D73" s="17">
        <f t="shared" si="26"/>
        <v>0</v>
      </c>
      <c r="E73" s="17">
        <f t="shared" si="26"/>
        <v>0</v>
      </c>
      <c r="F73" s="17">
        <f t="shared" si="26"/>
        <v>0</v>
      </c>
      <c r="G73" s="17">
        <f t="shared" si="26"/>
        <v>0</v>
      </c>
      <c r="H73" s="17">
        <f t="shared" si="30"/>
        <v>613.83894569795814</v>
      </c>
      <c r="I73" s="17">
        <f t="shared" ref="I73:J73" si="75">I30*$F$48</f>
        <v>0</v>
      </c>
      <c r="J73" s="17">
        <f t="shared" si="75"/>
        <v>0</v>
      </c>
      <c r="K73" s="17">
        <f t="shared" si="51"/>
        <v>0</v>
      </c>
      <c r="M73" s="6">
        <f t="shared" si="44"/>
        <v>2012</v>
      </c>
      <c r="N73" s="17">
        <f t="shared" ref="N73:S73" si="76">N30*$R$48</f>
        <v>0</v>
      </c>
      <c r="O73" s="17">
        <f t="shared" si="76"/>
        <v>0</v>
      </c>
      <c r="P73" s="17">
        <f t="shared" si="76"/>
        <v>0</v>
      </c>
      <c r="Q73" s="17">
        <f t="shared" si="76"/>
        <v>0</v>
      </c>
      <c r="R73" s="17">
        <f t="shared" si="76"/>
        <v>0</v>
      </c>
      <c r="S73" s="17">
        <f t="shared" si="76"/>
        <v>0</v>
      </c>
      <c r="T73" s="17">
        <f t="shared" si="33"/>
        <v>0</v>
      </c>
      <c r="U73" s="17">
        <v>0</v>
      </c>
      <c r="V73" s="17">
        <v>0</v>
      </c>
      <c r="W73" s="417">
        <f t="shared" si="34"/>
        <v>0</v>
      </c>
      <c r="Y73" s="6">
        <f t="shared" si="46"/>
        <v>2012</v>
      </c>
      <c r="Z73" s="17">
        <f t="shared" si="35"/>
        <v>0</v>
      </c>
      <c r="AA73" s="17">
        <f t="shared" si="36"/>
        <v>613.83894569795814</v>
      </c>
      <c r="AB73" s="17">
        <f t="shared" si="37"/>
        <v>0</v>
      </c>
      <c r="AC73" s="17">
        <f t="shared" si="38"/>
        <v>0</v>
      </c>
      <c r="AD73" s="17">
        <f t="shared" si="39"/>
        <v>0</v>
      </c>
      <c r="AE73" s="17">
        <f t="shared" si="40"/>
        <v>0</v>
      </c>
      <c r="AF73" s="17">
        <f t="shared" si="41"/>
        <v>613.83894569795814</v>
      </c>
      <c r="AG73" s="17">
        <f t="shared" si="29"/>
        <v>0</v>
      </c>
      <c r="AH73" s="17">
        <f t="shared" si="29"/>
        <v>0</v>
      </c>
      <c r="AI73" s="417">
        <f t="shared" si="42"/>
        <v>0</v>
      </c>
    </row>
    <row r="74" spans="1:35">
      <c r="A74" s="6">
        <f t="shared" si="43"/>
        <v>2013</v>
      </c>
      <c r="B74" s="17">
        <f t="shared" si="26"/>
        <v>0</v>
      </c>
      <c r="C74" s="17">
        <f t="shared" si="26"/>
        <v>5193.2671780276578</v>
      </c>
      <c r="D74" s="17">
        <f t="shared" si="26"/>
        <v>0</v>
      </c>
      <c r="E74" s="17">
        <f t="shared" si="26"/>
        <v>0</v>
      </c>
      <c r="F74" s="17">
        <f t="shared" si="26"/>
        <v>0</v>
      </c>
      <c r="G74" s="17">
        <f t="shared" si="26"/>
        <v>0</v>
      </c>
      <c r="H74" s="17">
        <f t="shared" si="30"/>
        <v>5193.2671780276578</v>
      </c>
      <c r="I74" s="17">
        <f t="shared" ref="I74:J74" si="77">I31*$F$48</f>
        <v>0</v>
      </c>
      <c r="J74" s="17">
        <f t="shared" si="77"/>
        <v>0</v>
      </c>
      <c r="K74" s="17">
        <f t="shared" si="51"/>
        <v>0</v>
      </c>
      <c r="M74" s="6">
        <f t="shared" si="44"/>
        <v>2013</v>
      </c>
      <c r="N74" s="17">
        <f t="shared" ref="N74:S74" si="78">N31*$R$48</f>
        <v>0</v>
      </c>
      <c r="O74" s="17">
        <f t="shared" si="78"/>
        <v>0.30872253044508396</v>
      </c>
      <c r="P74" s="17">
        <f t="shared" si="78"/>
        <v>0</v>
      </c>
      <c r="Q74" s="17">
        <f t="shared" si="78"/>
        <v>0</v>
      </c>
      <c r="R74" s="17">
        <f t="shared" si="78"/>
        <v>0</v>
      </c>
      <c r="S74" s="17">
        <f t="shared" si="78"/>
        <v>0</v>
      </c>
      <c r="T74" s="17">
        <f t="shared" si="33"/>
        <v>0.30872253044508396</v>
      </c>
      <c r="U74" s="17">
        <v>0</v>
      </c>
      <c r="V74" s="17">
        <v>0</v>
      </c>
      <c r="W74" s="417">
        <f t="shared" si="34"/>
        <v>0</v>
      </c>
      <c r="Y74" s="6">
        <f t="shared" si="46"/>
        <v>2013</v>
      </c>
      <c r="Z74" s="17">
        <f t="shared" si="35"/>
        <v>0</v>
      </c>
      <c r="AA74" s="17">
        <f t="shared" si="36"/>
        <v>5192.9584554972125</v>
      </c>
      <c r="AB74" s="17">
        <f t="shared" si="37"/>
        <v>0</v>
      </c>
      <c r="AC74" s="17">
        <f t="shared" si="38"/>
        <v>0</v>
      </c>
      <c r="AD74" s="17">
        <f t="shared" si="39"/>
        <v>0</v>
      </c>
      <c r="AE74" s="17">
        <f t="shared" si="40"/>
        <v>0</v>
      </c>
      <c r="AF74" s="17">
        <f t="shared" si="41"/>
        <v>5192.9584554972125</v>
      </c>
      <c r="AG74" s="17">
        <f t="shared" si="29"/>
        <v>0</v>
      </c>
      <c r="AH74" s="17">
        <f t="shared" si="29"/>
        <v>0</v>
      </c>
      <c r="AI74" s="417">
        <f t="shared" si="42"/>
        <v>0</v>
      </c>
    </row>
    <row r="75" spans="1:35">
      <c r="A75" s="6">
        <f t="shared" si="43"/>
        <v>2014</v>
      </c>
      <c r="B75" s="17">
        <f t="shared" si="26"/>
        <v>0</v>
      </c>
      <c r="C75" s="17">
        <f t="shared" si="26"/>
        <v>4022.6240786203971</v>
      </c>
      <c r="D75" s="17">
        <f t="shared" si="26"/>
        <v>0</v>
      </c>
      <c r="E75" s="17">
        <f t="shared" ref="D75:E83" si="79">E32*$F$48</f>
        <v>25418.340519814661</v>
      </c>
      <c r="F75" s="17">
        <f t="shared" ref="F75:G83" si="80">F32*$F$48</f>
        <v>1671.6871469498844</v>
      </c>
      <c r="G75" s="17">
        <f t="shared" si="80"/>
        <v>15698.749504739868</v>
      </c>
      <c r="H75" s="17">
        <f t="shared" si="30"/>
        <v>46811.401250124807</v>
      </c>
      <c r="I75" s="17">
        <f t="shared" ref="I75:J83" si="81">I32*$F$48</f>
        <v>1759.6706809998025</v>
      </c>
      <c r="J75" s="17">
        <f t="shared" si="81"/>
        <v>16524.999478673413</v>
      </c>
      <c r="K75" s="17">
        <f t="shared" si="31"/>
        <v>18284.670159673216</v>
      </c>
      <c r="M75" s="6">
        <f t="shared" si="44"/>
        <v>2014</v>
      </c>
      <c r="N75" s="17">
        <f t="shared" ref="N75:S75" si="82">N32*$R$48</f>
        <v>0</v>
      </c>
      <c r="O75" s="17">
        <f t="shared" si="82"/>
        <v>53.933830211218449</v>
      </c>
      <c r="P75" s="17">
        <f t="shared" si="82"/>
        <v>0</v>
      </c>
      <c r="Q75" s="17">
        <f t="shared" si="82"/>
        <v>8171.891158226319</v>
      </c>
      <c r="R75" s="17">
        <f t="shared" si="82"/>
        <v>0</v>
      </c>
      <c r="S75" s="17">
        <f t="shared" si="82"/>
        <v>1809.1649619344389</v>
      </c>
      <c r="T75" s="17">
        <f t="shared" si="33"/>
        <v>10034.989950371977</v>
      </c>
      <c r="U75" s="17">
        <f t="shared" ref="U75:V83" si="83">U32*$W$48</f>
        <v>1671.6871469498844</v>
      </c>
      <c r="V75" s="17">
        <f t="shared" si="83"/>
        <v>15698.749504739782</v>
      </c>
      <c r="W75" s="17">
        <f t="shared" si="34"/>
        <v>17370.436651689666</v>
      </c>
      <c r="Y75" s="6">
        <f t="shared" si="46"/>
        <v>2014</v>
      </c>
      <c r="Z75" s="17">
        <f t="shared" si="35"/>
        <v>0</v>
      </c>
      <c r="AA75" s="17">
        <f t="shared" si="36"/>
        <v>3968.6902484091788</v>
      </c>
      <c r="AB75" s="17">
        <f t="shared" si="37"/>
        <v>0</v>
      </c>
      <c r="AC75" s="17">
        <f t="shared" si="38"/>
        <v>17246.44936158834</v>
      </c>
      <c r="AD75" s="17">
        <f t="shared" si="39"/>
        <v>1671.6871469498844</v>
      </c>
      <c r="AE75" s="17">
        <f t="shared" si="40"/>
        <v>13889.584542805429</v>
      </c>
      <c r="AF75" s="17">
        <f t="shared" si="41"/>
        <v>36776.411299752828</v>
      </c>
      <c r="AG75" s="17">
        <f t="shared" ref="AG75:AG83" si="84">I75-U75</f>
        <v>87.983534049918035</v>
      </c>
      <c r="AH75" s="17">
        <f t="shared" ref="AH75:AH83" si="85">J75-V75</f>
        <v>826.24997393363083</v>
      </c>
      <c r="AI75" s="17">
        <f t="shared" si="42"/>
        <v>914.23350798354886</v>
      </c>
    </row>
    <row r="76" spans="1:35">
      <c r="A76" s="6">
        <f t="shared" si="43"/>
        <v>2015</v>
      </c>
      <c r="B76" s="17">
        <f t="shared" si="26"/>
        <v>24031.095781167503</v>
      </c>
      <c r="C76" s="17">
        <f t="shared" si="26"/>
        <v>15566.39198973511</v>
      </c>
      <c r="D76" s="17">
        <f t="shared" si="79"/>
        <v>0</v>
      </c>
      <c r="E76" s="17">
        <f t="shared" si="79"/>
        <v>60661.865339677657</v>
      </c>
      <c r="F76" s="17">
        <f t="shared" si="80"/>
        <v>9532.5151185332688</v>
      </c>
      <c r="G76" s="17">
        <f t="shared" si="80"/>
        <v>11594.039301037352</v>
      </c>
      <c r="H76" s="17">
        <f t="shared" si="30"/>
        <v>121385.90753015089</v>
      </c>
      <c r="I76" s="17">
        <f t="shared" si="81"/>
        <v>10034.226440561202</v>
      </c>
      <c r="J76" s="17">
        <f t="shared" si="81"/>
        <v>12204.251895828787</v>
      </c>
      <c r="K76" s="17">
        <f t="shared" si="31"/>
        <v>22238.478336389991</v>
      </c>
      <c r="M76" s="6">
        <f t="shared" si="44"/>
        <v>2015</v>
      </c>
      <c r="N76" s="17">
        <f t="shared" ref="N76:S76" si="86">N33*$R$48</f>
        <v>0</v>
      </c>
      <c r="O76" s="17">
        <f t="shared" si="86"/>
        <v>930.63687848917914</v>
      </c>
      <c r="P76" s="17">
        <f t="shared" si="86"/>
        <v>0</v>
      </c>
      <c r="Q76" s="17">
        <f t="shared" si="86"/>
        <v>12591.470501832571</v>
      </c>
      <c r="R76" s="17">
        <f t="shared" si="86"/>
        <v>0</v>
      </c>
      <c r="S76" s="17">
        <f t="shared" si="86"/>
        <v>1193.1563222902653</v>
      </c>
      <c r="T76" s="17">
        <f t="shared" si="33"/>
        <v>14715.263702612016</v>
      </c>
      <c r="U76" s="17">
        <f t="shared" si="83"/>
        <v>9532.5151185332234</v>
      </c>
      <c r="V76" s="17">
        <f t="shared" si="83"/>
        <v>11594.039301037368</v>
      </c>
      <c r="W76" s="17">
        <f t="shared" si="34"/>
        <v>21126.554419570592</v>
      </c>
      <c r="Y76" s="6">
        <f t="shared" si="46"/>
        <v>2015</v>
      </c>
      <c r="Z76" s="17">
        <f t="shared" si="35"/>
        <v>24031.095781167503</v>
      </c>
      <c r="AA76" s="17">
        <f t="shared" si="36"/>
        <v>14635.755111245931</v>
      </c>
      <c r="AB76" s="17">
        <f t="shared" si="37"/>
        <v>0</v>
      </c>
      <c r="AC76" s="17">
        <f t="shared" si="38"/>
        <v>48070.394837845088</v>
      </c>
      <c r="AD76" s="17">
        <f t="shared" si="39"/>
        <v>9532.5151185332688</v>
      </c>
      <c r="AE76" s="17">
        <f t="shared" si="40"/>
        <v>10400.882978747086</v>
      </c>
      <c r="AF76" s="17">
        <f t="shared" si="41"/>
        <v>106670.64382753888</v>
      </c>
      <c r="AG76" s="17">
        <f t="shared" si="84"/>
        <v>501.71132202797889</v>
      </c>
      <c r="AH76" s="17">
        <f t="shared" si="85"/>
        <v>610.21259479141918</v>
      </c>
      <c r="AI76" s="17">
        <f t="shared" si="42"/>
        <v>1111.9239168193981</v>
      </c>
    </row>
    <row r="77" spans="1:35">
      <c r="A77" s="6">
        <f t="shared" si="43"/>
        <v>2016</v>
      </c>
      <c r="B77" s="17">
        <f t="shared" si="26"/>
        <v>116546.61898390744</v>
      </c>
      <c r="C77" s="17">
        <f t="shared" si="26"/>
        <v>498278.24634294101</v>
      </c>
      <c r="D77" s="17">
        <f t="shared" si="79"/>
        <v>306280</v>
      </c>
      <c r="E77" s="17">
        <f t="shared" si="79"/>
        <v>1272239.640276301</v>
      </c>
      <c r="F77" s="17">
        <f t="shared" si="80"/>
        <v>39874.373198084897</v>
      </c>
      <c r="G77" s="17">
        <f t="shared" si="80"/>
        <v>100403.2563052123</v>
      </c>
      <c r="H77" s="17">
        <f t="shared" si="30"/>
        <v>2333622.1351064467</v>
      </c>
      <c r="I77" s="17">
        <f t="shared" si="81"/>
        <v>41973.024419036999</v>
      </c>
      <c r="J77" s="17">
        <f t="shared" si="81"/>
        <v>105687.63821601188</v>
      </c>
      <c r="K77" s="17">
        <f t="shared" si="31"/>
        <v>147660.66263504888</v>
      </c>
      <c r="M77" s="6">
        <f t="shared" si="44"/>
        <v>2016</v>
      </c>
      <c r="N77" s="17">
        <f t="shared" ref="N77:S77" si="87">N34*$R$48</f>
        <v>14198.077561393195</v>
      </c>
      <c r="O77" s="17">
        <f t="shared" si="87"/>
        <v>203745.00429350935</v>
      </c>
      <c r="P77" s="17">
        <f t="shared" si="87"/>
        <v>0</v>
      </c>
      <c r="Q77" s="17">
        <f t="shared" si="87"/>
        <v>641583.47840702091</v>
      </c>
      <c r="R77" s="17">
        <f t="shared" si="87"/>
        <v>0</v>
      </c>
      <c r="S77" s="17">
        <f t="shared" si="87"/>
        <v>15667.899635607004</v>
      </c>
      <c r="T77" s="17">
        <f t="shared" si="33"/>
        <v>875194.4598975305</v>
      </c>
      <c r="U77" s="17">
        <f t="shared" si="83"/>
        <v>39874.373198085006</v>
      </c>
      <c r="V77" s="17">
        <f t="shared" si="83"/>
        <v>100403.25630521103</v>
      </c>
      <c r="W77" s="17">
        <f t="shared" si="34"/>
        <v>140277.62950329605</v>
      </c>
      <c r="Y77" s="6">
        <f t="shared" si="46"/>
        <v>2016</v>
      </c>
      <c r="Z77" s="17">
        <f t="shared" si="35"/>
        <v>102348.54142251424</v>
      </c>
      <c r="AA77" s="17">
        <f t="shared" si="36"/>
        <v>294533.24204943166</v>
      </c>
      <c r="AB77" s="17">
        <f t="shared" si="37"/>
        <v>306280</v>
      </c>
      <c r="AC77" s="17">
        <f t="shared" si="38"/>
        <v>630656.16186928004</v>
      </c>
      <c r="AD77" s="17">
        <f t="shared" si="39"/>
        <v>39874.373198084897</v>
      </c>
      <c r="AE77" s="17">
        <f t="shared" si="40"/>
        <v>84735.356669605302</v>
      </c>
      <c r="AF77" s="17">
        <f t="shared" si="41"/>
        <v>1458427.6752089162</v>
      </c>
      <c r="AG77" s="17">
        <f t="shared" si="84"/>
        <v>2098.6512209519933</v>
      </c>
      <c r="AH77" s="17">
        <f t="shared" si="85"/>
        <v>5284.3819108008465</v>
      </c>
      <c r="AI77" s="17">
        <f t="shared" si="42"/>
        <v>7383.0331317528398</v>
      </c>
    </row>
    <row r="78" spans="1:35">
      <c r="A78" s="6">
        <f t="shared" si="43"/>
        <v>2017</v>
      </c>
      <c r="B78" s="17">
        <f t="shared" si="26"/>
        <v>612661.60740422411</v>
      </c>
      <c r="C78" s="17">
        <f t="shared" si="26"/>
        <v>341407.5018538154</v>
      </c>
      <c r="D78" s="17">
        <f t="shared" si="79"/>
        <v>0</v>
      </c>
      <c r="E78" s="17">
        <f t="shared" si="79"/>
        <v>2398733.5727587738</v>
      </c>
      <c r="F78" s="17">
        <f t="shared" si="80"/>
        <v>67682.437072344226</v>
      </c>
      <c r="G78" s="17">
        <f t="shared" si="80"/>
        <v>-13424.876142706653</v>
      </c>
      <c r="H78" s="17">
        <f t="shared" si="30"/>
        <v>3407060.2429464506</v>
      </c>
      <c r="I78" s="17">
        <f t="shared" si="81"/>
        <v>71244.670602467566</v>
      </c>
      <c r="J78" s="17">
        <f t="shared" si="81"/>
        <v>-14131.4485712694</v>
      </c>
      <c r="K78" s="17">
        <f t="shared" si="31"/>
        <v>57113.222031198165</v>
      </c>
      <c r="M78" s="6">
        <f t="shared" si="44"/>
        <v>2017</v>
      </c>
      <c r="N78" s="17">
        <f t="shared" ref="N78:S78" si="88">N35*$R$48</f>
        <v>16914.364456152543</v>
      </c>
      <c r="O78" s="17">
        <f t="shared" si="88"/>
        <v>11171.107734048308</v>
      </c>
      <c r="P78" s="17">
        <f t="shared" si="88"/>
        <v>0</v>
      </c>
      <c r="Q78" s="17">
        <f t="shared" si="88"/>
        <v>201956.9707539065</v>
      </c>
      <c r="R78" s="17">
        <f t="shared" si="88"/>
        <v>0</v>
      </c>
      <c r="S78" s="17">
        <f t="shared" si="88"/>
        <v>49704.960598830883</v>
      </c>
      <c r="T78" s="17">
        <f t="shared" si="33"/>
        <v>279747.40354293823</v>
      </c>
      <c r="U78" s="17">
        <f t="shared" si="83"/>
        <v>67682.437072344241</v>
      </c>
      <c r="V78" s="17">
        <f t="shared" si="83"/>
        <v>-13424.876142706202</v>
      </c>
      <c r="W78" s="17">
        <f t="shared" si="34"/>
        <v>54257.560929638043</v>
      </c>
      <c r="Y78" s="6">
        <f t="shared" si="46"/>
        <v>2017</v>
      </c>
      <c r="Z78" s="17">
        <f t="shared" si="35"/>
        <v>595747.24294807157</v>
      </c>
      <c r="AA78" s="17">
        <f t="shared" si="36"/>
        <v>330236.39411976706</v>
      </c>
      <c r="AB78" s="17">
        <f t="shared" si="37"/>
        <v>0</v>
      </c>
      <c r="AC78" s="17">
        <f t="shared" si="38"/>
        <v>2196776.6020048675</v>
      </c>
      <c r="AD78" s="17">
        <f t="shared" si="39"/>
        <v>67682.437072344226</v>
      </c>
      <c r="AE78" s="17">
        <f t="shared" si="40"/>
        <v>-63129.83674153754</v>
      </c>
      <c r="AF78" s="17">
        <f t="shared" si="41"/>
        <v>3127312.8394035129</v>
      </c>
      <c r="AG78" s="17">
        <f t="shared" si="84"/>
        <v>3562.2335301233252</v>
      </c>
      <c r="AH78" s="17">
        <f t="shared" si="85"/>
        <v>-706.57242856319863</v>
      </c>
      <c r="AI78" s="17">
        <f t="shared" si="42"/>
        <v>2855.6611015601266</v>
      </c>
    </row>
    <row r="79" spans="1:35">
      <c r="A79" s="6">
        <f t="shared" si="43"/>
        <v>2018</v>
      </c>
      <c r="B79" s="17">
        <f t="shared" si="26"/>
        <v>2144131.9759780737</v>
      </c>
      <c r="C79" s="17">
        <f t="shared" si="26"/>
        <v>485203.96543687605</v>
      </c>
      <c r="D79" s="17">
        <f t="shared" si="79"/>
        <v>0</v>
      </c>
      <c r="E79" s="17">
        <f t="shared" si="79"/>
        <v>2915361.4551269053</v>
      </c>
      <c r="F79" s="17">
        <f t="shared" si="80"/>
        <v>403746.62638550956</v>
      </c>
      <c r="G79" s="17">
        <f t="shared" si="80"/>
        <v>5289648.0517057488</v>
      </c>
      <c r="H79" s="17">
        <f t="shared" si="30"/>
        <v>11238092.074633114</v>
      </c>
      <c r="I79" s="17">
        <f t="shared" si="81"/>
        <v>424996.4488268522</v>
      </c>
      <c r="J79" s="17">
        <f t="shared" si="81"/>
        <v>5568050.5807428947</v>
      </c>
      <c r="K79" s="17">
        <f t="shared" si="31"/>
        <v>5993047.0295697469</v>
      </c>
      <c r="M79" s="6">
        <f t="shared" si="44"/>
        <v>2018</v>
      </c>
      <c r="N79" s="17">
        <f t="shared" ref="N79:S79" si="89">N36*$R$48</f>
        <v>743399.59062997473</v>
      </c>
      <c r="O79" s="17">
        <f t="shared" si="89"/>
        <v>76490.17988489494</v>
      </c>
      <c r="P79" s="17">
        <f t="shared" si="89"/>
        <v>0</v>
      </c>
      <c r="Q79" s="17">
        <f t="shared" si="89"/>
        <v>659109.0075614563</v>
      </c>
      <c r="R79" s="17">
        <f t="shared" si="89"/>
        <v>0</v>
      </c>
      <c r="S79" s="17">
        <f t="shared" si="89"/>
        <v>454051.51675037964</v>
      </c>
      <c r="T79" s="17">
        <f t="shared" si="33"/>
        <v>1933050.2948267057</v>
      </c>
      <c r="U79" s="17">
        <f t="shared" si="83"/>
        <v>403746.62638550956</v>
      </c>
      <c r="V79" s="17">
        <f t="shared" si="83"/>
        <v>5289648.0517057488</v>
      </c>
      <c r="W79" s="17">
        <f t="shared" si="34"/>
        <v>5693394.6780912587</v>
      </c>
      <c r="Y79" s="6">
        <f t="shared" si="46"/>
        <v>2018</v>
      </c>
      <c r="Z79" s="17">
        <f t="shared" si="35"/>
        <v>1400732.3853480988</v>
      </c>
      <c r="AA79" s="17">
        <f t="shared" si="36"/>
        <v>408713.78555198113</v>
      </c>
      <c r="AB79" s="17">
        <f t="shared" si="37"/>
        <v>0</v>
      </c>
      <c r="AC79" s="17">
        <f t="shared" si="38"/>
        <v>2256252.4475654489</v>
      </c>
      <c r="AD79" s="17">
        <f t="shared" si="39"/>
        <v>403746.62638550956</v>
      </c>
      <c r="AE79" s="17">
        <f t="shared" si="40"/>
        <v>4835596.5349553693</v>
      </c>
      <c r="AF79" s="17">
        <f t="shared" si="41"/>
        <v>9305041.779806409</v>
      </c>
      <c r="AG79" s="17">
        <f t="shared" si="84"/>
        <v>21249.822441342636</v>
      </c>
      <c r="AH79" s="17">
        <f t="shared" si="85"/>
        <v>278402.5290371459</v>
      </c>
      <c r="AI79" s="17">
        <f t="shared" si="42"/>
        <v>299652.35147848853</v>
      </c>
    </row>
    <row r="80" spans="1:35">
      <c r="A80" s="6">
        <f t="shared" si="43"/>
        <v>2019</v>
      </c>
      <c r="B80" s="17">
        <f t="shared" si="26"/>
        <v>2558914.8483413081</v>
      </c>
      <c r="C80" s="17">
        <f t="shared" si="26"/>
        <v>491026.23934934835</v>
      </c>
      <c r="D80" s="17">
        <f t="shared" si="79"/>
        <v>54203.376530578622</v>
      </c>
      <c r="E80" s="17">
        <f t="shared" si="79"/>
        <v>3955984.3271389632</v>
      </c>
      <c r="F80" s="17">
        <f t="shared" si="80"/>
        <v>401046.58366041258</v>
      </c>
      <c r="G80" s="17">
        <f t="shared" si="80"/>
        <v>5984201.427589857</v>
      </c>
      <c r="H80" s="17">
        <f t="shared" si="30"/>
        <v>13445376.802610468</v>
      </c>
      <c r="I80" s="17">
        <f t="shared" si="81"/>
        <v>422154.29858990811</v>
      </c>
      <c r="J80" s="17">
        <f t="shared" si="81"/>
        <v>6299159.397463006</v>
      </c>
      <c r="K80" s="17">
        <f t="shared" si="31"/>
        <v>6721313.6960529145</v>
      </c>
      <c r="M80" s="6">
        <f t="shared" si="44"/>
        <v>2019</v>
      </c>
      <c r="N80" s="17">
        <f t="shared" ref="N80:S80" si="90">N37*$R$48</f>
        <v>458348.03828733548</v>
      </c>
      <c r="O80" s="17">
        <f t="shared" si="90"/>
        <v>163119.16992169592</v>
      </c>
      <c r="P80" s="17">
        <f t="shared" si="90"/>
        <v>37834.508850945866</v>
      </c>
      <c r="Q80" s="17">
        <f t="shared" si="90"/>
        <v>1586772.412279119</v>
      </c>
      <c r="R80" s="17">
        <f t="shared" si="90"/>
        <v>0</v>
      </c>
      <c r="S80" s="17">
        <f t="shared" si="90"/>
        <v>623882.96270788822</v>
      </c>
      <c r="T80" s="17">
        <f t="shared" si="33"/>
        <v>2869957.0920469845</v>
      </c>
      <c r="U80" s="17">
        <f t="shared" si="83"/>
        <v>401046.58366041281</v>
      </c>
      <c r="V80" s="17">
        <f t="shared" si="83"/>
        <v>5984201.4275898561</v>
      </c>
      <c r="W80" s="17">
        <f t="shared" si="34"/>
        <v>6385248.0112502687</v>
      </c>
      <c r="Y80" s="6">
        <f t="shared" si="46"/>
        <v>2019</v>
      </c>
      <c r="Z80" s="17">
        <f t="shared" si="35"/>
        <v>2100566.8100539725</v>
      </c>
      <c r="AA80" s="17">
        <f t="shared" si="36"/>
        <v>327907.0694276524</v>
      </c>
      <c r="AB80" s="17">
        <f t="shared" si="37"/>
        <v>16368.867679632756</v>
      </c>
      <c r="AC80" s="17">
        <f t="shared" si="38"/>
        <v>2369211.9148598444</v>
      </c>
      <c r="AD80" s="17">
        <f t="shared" si="39"/>
        <v>401046.58366041258</v>
      </c>
      <c r="AE80" s="17">
        <f t="shared" si="40"/>
        <v>5360318.4648819687</v>
      </c>
      <c r="AF80" s="17">
        <f t="shared" si="41"/>
        <v>10575419.710563485</v>
      </c>
      <c r="AG80" s="17">
        <f t="shared" si="84"/>
        <v>21107.714929495298</v>
      </c>
      <c r="AH80" s="17">
        <f t="shared" si="85"/>
        <v>314957.96987314988</v>
      </c>
      <c r="AI80" s="17">
        <f t="shared" si="42"/>
        <v>336065.68480264518</v>
      </c>
    </row>
    <row r="81" spans="1:35">
      <c r="A81" s="6">
        <f t="shared" si="43"/>
        <v>2020</v>
      </c>
      <c r="B81" s="17">
        <f t="shared" si="26"/>
        <v>3517629.301284228</v>
      </c>
      <c r="C81" s="17">
        <f t="shared" si="26"/>
        <v>528263.07148425246</v>
      </c>
      <c r="D81" s="17">
        <f t="shared" si="79"/>
        <v>297338.48026612232</v>
      </c>
      <c r="E81" s="17">
        <f t="shared" si="79"/>
        <v>4239746.0623623366</v>
      </c>
      <c r="F81" s="17">
        <f t="shared" si="80"/>
        <v>371501.23404633015</v>
      </c>
      <c r="G81" s="17">
        <f t="shared" si="80"/>
        <v>1855495.6648514506</v>
      </c>
      <c r="H81" s="17">
        <f t="shared" si="30"/>
        <v>10809973.814294722</v>
      </c>
      <c r="I81" s="17">
        <f t="shared" si="81"/>
        <v>391053.93057508429</v>
      </c>
      <c r="J81" s="17">
        <f t="shared" si="81"/>
        <v>1953153.3314225792</v>
      </c>
      <c r="K81" s="17">
        <f t="shared" si="31"/>
        <v>2344207.2619976634</v>
      </c>
      <c r="M81" s="6">
        <f t="shared" si="44"/>
        <v>2020</v>
      </c>
      <c r="N81" s="17">
        <f t="shared" ref="N81:S81" si="91">N38*$R$48</f>
        <v>590624.26026672951</v>
      </c>
      <c r="O81" s="17">
        <f t="shared" si="91"/>
        <v>82198.17033668056</v>
      </c>
      <c r="P81" s="17">
        <f t="shared" si="91"/>
        <v>204490.5400779068</v>
      </c>
      <c r="Q81" s="17">
        <f t="shared" si="91"/>
        <v>1281369.7699780276</v>
      </c>
      <c r="R81" s="17">
        <f t="shared" si="91"/>
        <v>0</v>
      </c>
      <c r="S81" s="17">
        <f t="shared" si="91"/>
        <v>471487.20349135069</v>
      </c>
      <c r="T81" s="17">
        <f t="shared" si="33"/>
        <v>2630169.9441506951</v>
      </c>
      <c r="U81" s="17">
        <f t="shared" si="83"/>
        <v>371501.23404633009</v>
      </c>
      <c r="V81" s="17">
        <f t="shared" si="83"/>
        <v>1855495.6648514506</v>
      </c>
      <c r="W81" s="17">
        <f t="shared" si="34"/>
        <v>2226996.8988977806</v>
      </c>
      <c r="Y81" s="6">
        <f t="shared" si="46"/>
        <v>2020</v>
      </c>
      <c r="Z81" s="17">
        <f t="shared" si="35"/>
        <v>2927005.0410174984</v>
      </c>
      <c r="AA81" s="17">
        <f t="shared" si="36"/>
        <v>446064.90114757192</v>
      </c>
      <c r="AB81" s="17">
        <f t="shared" si="37"/>
        <v>92847.940188215522</v>
      </c>
      <c r="AC81" s="17">
        <f t="shared" si="38"/>
        <v>2958376.2923843088</v>
      </c>
      <c r="AD81" s="17">
        <f t="shared" si="39"/>
        <v>371501.23404633015</v>
      </c>
      <c r="AE81" s="17">
        <f t="shared" si="40"/>
        <v>1384008.4613601</v>
      </c>
      <c r="AF81" s="17">
        <f t="shared" si="41"/>
        <v>8179803.8701440245</v>
      </c>
      <c r="AG81" s="17">
        <f t="shared" si="84"/>
        <v>19552.696528754197</v>
      </c>
      <c r="AH81" s="17">
        <f t="shared" si="85"/>
        <v>97657.666571128648</v>
      </c>
      <c r="AI81" s="17">
        <f t="shared" si="42"/>
        <v>117210.36309988284</v>
      </c>
    </row>
    <row r="82" spans="1:35">
      <c r="A82" s="6">
        <f t="shared" si="43"/>
        <v>2021</v>
      </c>
      <c r="B82" s="17">
        <f t="shared" si="26"/>
        <v>6599802.4815885462</v>
      </c>
      <c r="C82" s="17">
        <f t="shared" si="26"/>
        <v>645603.82066677732</v>
      </c>
      <c r="D82" s="17">
        <f t="shared" si="79"/>
        <v>894316.6123413709</v>
      </c>
      <c r="E82" s="17">
        <f t="shared" si="79"/>
        <v>3610552.1430480517</v>
      </c>
      <c r="F82" s="17">
        <f t="shared" si="80"/>
        <v>1684503.8014773864</v>
      </c>
      <c r="G82" s="17">
        <f t="shared" si="80"/>
        <v>2997566.3144390015</v>
      </c>
      <c r="H82" s="17">
        <f t="shared" si="30"/>
        <v>16432345.173561133</v>
      </c>
      <c r="I82" s="17">
        <f t="shared" si="81"/>
        <v>1773161.8962919866</v>
      </c>
      <c r="J82" s="17">
        <f t="shared" si="81"/>
        <v>3155332.9625673699</v>
      </c>
      <c r="K82" s="17">
        <f t="shared" si="31"/>
        <v>4928494.8588593565</v>
      </c>
      <c r="M82" s="6">
        <f t="shared" si="44"/>
        <v>2021</v>
      </c>
      <c r="N82" s="17">
        <f t="shared" ref="N82:S82" si="92">N39*$R$48</f>
        <v>519027.47288946324</v>
      </c>
      <c r="O82" s="17">
        <f t="shared" si="92"/>
        <v>47067.900086510112</v>
      </c>
      <c r="P82" s="17">
        <f t="shared" si="92"/>
        <v>480648.34865811263</v>
      </c>
      <c r="Q82" s="17">
        <f t="shared" si="92"/>
        <v>870805.67246863211</v>
      </c>
      <c r="R82" s="17">
        <f t="shared" si="92"/>
        <v>0</v>
      </c>
      <c r="S82" s="17">
        <f t="shared" si="92"/>
        <v>676286.43771751085</v>
      </c>
      <c r="T82" s="17">
        <f t="shared" si="33"/>
        <v>2593835.8318202291</v>
      </c>
      <c r="U82" s="17">
        <f t="shared" si="83"/>
        <v>1684503.8014773866</v>
      </c>
      <c r="V82" s="17">
        <f t="shared" si="83"/>
        <v>2997566.3144390015</v>
      </c>
      <c r="W82" s="17">
        <f t="shared" si="34"/>
        <v>4682070.1159163881</v>
      </c>
      <c r="Y82" s="6">
        <f t="shared" si="46"/>
        <v>2021</v>
      </c>
      <c r="Z82" s="17">
        <f t="shared" si="35"/>
        <v>6080775.0086990828</v>
      </c>
      <c r="AA82" s="17">
        <f t="shared" si="36"/>
        <v>598535.92058026721</v>
      </c>
      <c r="AB82" s="17">
        <f t="shared" si="37"/>
        <v>413668.26368325826</v>
      </c>
      <c r="AC82" s="17">
        <f t="shared" si="38"/>
        <v>2739746.4705794198</v>
      </c>
      <c r="AD82" s="17">
        <f t="shared" si="39"/>
        <v>1684503.8014773864</v>
      </c>
      <c r="AE82" s="17">
        <f t="shared" si="40"/>
        <v>2321279.8767214906</v>
      </c>
      <c r="AF82" s="17">
        <f t="shared" si="41"/>
        <v>13838509.341740904</v>
      </c>
      <c r="AG82" s="17">
        <f t="shared" si="84"/>
        <v>88658.094814599957</v>
      </c>
      <c r="AH82" s="17">
        <f t="shared" si="85"/>
        <v>157766.64812836843</v>
      </c>
      <c r="AI82" s="17">
        <f t="shared" si="42"/>
        <v>246424.74294296838</v>
      </c>
    </row>
    <row r="83" spans="1:35">
      <c r="A83" s="6">
        <f t="shared" si="43"/>
        <v>2022</v>
      </c>
      <c r="B83" s="17">
        <f t="shared" si="26"/>
        <v>8312021.8113499992</v>
      </c>
      <c r="C83" s="17">
        <f t="shared" si="26"/>
        <v>2392341.0558649842</v>
      </c>
      <c r="D83" s="17">
        <f t="shared" si="79"/>
        <v>1059156.3880999996</v>
      </c>
      <c r="E83" s="17">
        <f t="shared" si="79"/>
        <v>2781809.9062322192</v>
      </c>
      <c r="F83" s="17">
        <f t="shared" si="80"/>
        <v>1603271.2217473444</v>
      </c>
      <c r="G83" s="17">
        <f t="shared" si="80"/>
        <v>1840361.0166318347</v>
      </c>
      <c r="H83" s="17">
        <f t="shared" si="30"/>
        <v>17988961.399926383</v>
      </c>
      <c r="I83" s="17">
        <f t="shared" si="81"/>
        <v>1687653.9176287837</v>
      </c>
      <c r="J83" s="17">
        <f t="shared" si="81"/>
        <v>1937222.1227703528</v>
      </c>
      <c r="K83" s="17">
        <f t="shared" si="31"/>
        <v>3624876.0403991365</v>
      </c>
      <c r="M83" s="6">
        <f t="shared" si="44"/>
        <v>2022</v>
      </c>
      <c r="N83" s="17">
        <f t="shared" ref="N83:S83" si="93">N40*$R$48</f>
        <v>615396.75755118567</v>
      </c>
      <c r="O83" s="17">
        <f t="shared" si="93"/>
        <v>146823.39417490494</v>
      </c>
      <c r="P83" s="17">
        <f t="shared" si="93"/>
        <v>203454.6374782575</v>
      </c>
      <c r="Q83" s="17">
        <f t="shared" si="93"/>
        <v>525192.94815161673</v>
      </c>
      <c r="R83" s="17">
        <f t="shared" si="93"/>
        <v>0</v>
      </c>
      <c r="S83" s="17">
        <f t="shared" si="93"/>
        <v>396862.22297833522</v>
      </c>
      <c r="T83" s="17">
        <f t="shared" si="33"/>
        <v>1887729.9603343001</v>
      </c>
      <c r="U83" s="17">
        <f t="shared" si="83"/>
        <v>1603271.2217473444</v>
      </c>
      <c r="V83" s="17">
        <f t="shared" si="83"/>
        <v>1840361.0166318351</v>
      </c>
      <c r="W83" s="17">
        <f t="shared" si="34"/>
        <v>3443632.2383791795</v>
      </c>
      <c r="Y83" s="6">
        <f t="shared" si="46"/>
        <v>2022</v>
      </c>
      <c r="Z83" s="17">
        <f t="shared" si="35"/>
        <v>7696625.0537988134</v>
      </c>
      <c r="AA83" s="17">
        <f t="shared" si="36"/>
        <v>2245517.6616900791</v>
      </c>
      <c r="AB83" s="17">
        <f t="shared" si="37"/>
        <v>855701.7506217421</v>
      </c>
      <c r="AC83" s="17">
        <f t="shared" si="38"/>
        <v>2256616.9580806023</v>
      </c>
      <c r="AD83" s="17">
        <f t="shared" si="39"/>
        <v>1603271.2217473444</v>
      </c>
      <c r="AE83" s="17">
        <f t="shared" si="40"/>
        <v>1443498.7936534993</v>
      </c>
      <c r="AF83" s="17">
        <f t="shared" si="41"/>
        <v>16101231.43959208</v>
      </c>
      <c r="AG83" s="17">
        <f t="shared" si="84"/>
        <v>84382.695881439373</v>
      </c>
      <c r="AH83" s="17">
        <f t="shared" si="85"/>
        <v>96861.106138517614</v>
      </c>
      <c r="AI83" s="17">
        <f t="shared" si="42"/>
        <v>181243.80201995699</v>
      </c>
    </row>
    <row r="84" spans="1:35">
      <c r="A84" s="1"/>
      <c r="B84" s="200"/>
      <c r="C84" s="200"/>
      <c r="D84" s="200"/>
      <c r="E84" s="200"/>
      <c r="F84" s="200"/>
      <c r="G84" s="200"/>
      <c r="H84" s="200"/>
      <c r="I84" s="200"/>
      <c r="J84" s="200"/>
      <c r="K84" s="200"/>
      <c r="M84" s="1"/>
      <c r="N84" s="200"/>
      <c r="O84" s="200"/>
      <c r="P84" s="200"/>
      <c r="Q84" s="200"/>
      <c r="R84" s="200"/>
      <c r="S84" s="200"/>
      <c r="T84" s="200"/>
      <c r="U84" s="200"/>
      <c r="V84" s="200"/>
      <c r="W84" s="200"/>
      <c r="Y84" s="1"/>
      <c r="Z84" s="200"/>
      <c r="AA84" s="200"/>
      <c r="AB84" s="200"/>
      <c r="AC84" s="200"/>
      <c r="AD84" s="200"/>
      <c r="AE84" s="200"/>
      <c r="AF84" s="200"/>
      <c r="AG84" s="200"/>
      <c r="AH84" s="200"/>
      <c r="AI84" s="200"/>
    </row>
    <row r="85" spans="1:35">
      <c r="A85" s="1"/>
      <c r="B85" s="191"/>
      <c r="C85" s="191"/>
      <c r="D85" s="1"/>
      <c r="E85" s="1"/>
      <c r="F85" s="1"/>
      <c r="G85" s="1"/>
      <c r="H85" s="1"/>
      <c r="I85" s="1"/>
      <c r="J85" s="1"/>
      <c r="K85" s="1"/>
      <c r="M85" s="1"/>
      <c r="N85" s="191"/>
      <c r="O85" s="191"/>
      <c r="P85" s="1"/>
      <c r="Q85" s="1"/>
      <c r="R85" s="1"/>
      <c r="S85" s="1"/>
      <c r="T85" s="1"/>
      <c r="U85" s="1"/>
      <c r="V85" s="1"/>
      <c r="W85" s="1"/>
      <c r="Y85" s="1"/>
      <c r="Z85" s="191"/>
      <c r="AA85" s="191"/>
      <c r="AB85" s="1"/>
      <c r="AC85" s="1"/>
      <c r="AD85" s="1"/>
      <c r="AE85" s="1"/>
      <c r="AF85" s="1"/>
      <c r="AG85" s="1"/>
      <c r="AH85" s="1"/>
      <c r="AI85" s="1"/>
    </row>
    <row r="86" spans="1:35">
      <c r="A86" s="2" t="s">
        <v>0</v>
      </c>
      <c r="B86" s="16">
        <f>SUM(B55:B83)</f>
        <v>23885739.740711454</v>
      </c>
      <c r="C86" s="16">
        <f t="shared" ref="C86:J86" si="94">SUM(C55:C83)</f>
        <v>5407569.4608452171</v>
      </c>
      <c r="D86" s="16">
        <f t="shared" si="94"/>
        <v>2611294.8572380715</v>
      </c>
      <c r="E86" s="16">
        <f t="shared" si="94"/>
        <v>21260507.095803041</v>
      </c>
      <c r="F86" s="16">
        <f t="shared" si="94"/>
        <v>4582830.4798528953</v>
      </c>
      <c r="G86" s="16">
        <f t="shared" si="94"/>
        <v>18081543.644186176</v>
      </c>
      <c r="H86" s="16">
        <f t="shared" si="94"/>
        <v>75829485.278636858</v>
      </c>
      <c r="I86" s="16">
        <f t="shared" si="94"/>
        <v>4824032.0840556808</v>
      </c>
      <c r="J86" s="16">
        <f t="shared" si="94"/>
        <v>19033203.835985448</v>
      </c>
      <c r="K86" s="16">
        <f>SUM(K55:K83)</f>
        <v>23857235.920041129</v>
      </c>
      <c r="M86" s="2" t="s">
        <v>0</v>
      </c>
      <c r="N86" s="16">
        <f>SUM(N55:N83)</f>
        <v>2957908.5616422347</v>
      </c>
      <c r="O86" s="16">
        <f t="shared" ref="O86:W86" si="95">SUM(O55:O83)</f>
        <v>731599.80586347496</v>
      </c>
      <c r="P86" s="16">
        <f t="shared" si="95"/>
        <v>926427.84606522287</v>
      </c>
      <c r="Q86" s="16">
        <f t="shared" si="95"/>
        <v>5787553.369259838</v>
      </c>
      <c r="R86" s="16">
        <f t="shared" si="95"/>
        <v>0</v>
      </c>
      <c r="S86" s="16">
        <f t="shared" si="95"/>
        <v>2690945.5251641273</v>
      </c>
      <c r="T86" s="16">
        <f t="shared" si="95"/>
        <v>13094435.107994899</v>
      </c>
      <c r="U86" s="16">
        <f t="shared" si="95"/>
        <v>4582830.4798528962</v>
      </c>
      <c r="V86" s="16">
        <f t="shared" si="95"/>
        <v>18081543.644186173</v>
      </c>
      <c r="W86" s="16">
        <f t="shared" si="95"/>
        <v>22664374.124039069</v>
      </c>
      <c r="Y86" s="2" t="s">
        <v>0</v>
      </c>
      <c r="Z86" s="16">
        <f>SUM(Z55:Z83)</f>
        <v>20927831.179069221</v>
      </c>
      <c r="AA86" s="16">
        <f t="shared" ref="AA86:AI86" si="96">SUM(AA55:AA83)</f>
        <v>4675969.6549817417</v>
      </c>
      <c r="AB86" s="16">
        <f t="shared" si="96"/>
        <v>1684867.0111728488</v>
      </c>
      <c r="AC86" s="16">
        <f t="shared" si="96"/>
        <v>15472953.726543205</v>
      </c>
      <c r="AD86" s="16">
        <f t="shared" si="96"/>
        <v>4582830.4798528953</v>
      </c>
      <c r="AE86" s="16">
        <f t="shared" si="96"/>
        <v>15390598.119022049</v>
      </c>
      <c r="AF86" s="16">
        <f t="shared" si="96"/>
        <v>62735050.170641959</v>
      </c>
      <c r="AG86" s="16">
        <f t="shared" si="96"/>
        <v>241201.60420278469</v>
      </c>
      <c r="AH86" s="16">
        <f t="shared" si="96"/>
        <v>951660.19179927325</v>
      </c>
      <c r="AI86" s="16">
        <f t="shared" si="96"/>
        <v>1192861.7960020578</v>
      </c>
    </row>
    <row r="87" spans="1:35">
      <c r="A87" s="2"/>
      <c r="B87" s="16"/>
      <c r="C87" s="16"/>
      <c r="D87" s="16"/>
      <c r="E87" s="16"/>
      <c r="F87" s="16"/>
      <c r="G87" s="16"/>
      <c r="H87" s="16"/>
      <c r="I87" s="16"/>
      <c r="J87" s="16"/>
      <c r="K87" s="16"/>
      <c r="M87" s="2"/>
      <c r="N87" s="16"/>
      <c r="O87" s="16"/>
      <c r="P87" s="16"/>
      <c r="Q87" s="16"/>
      <c r="R87" s="16"/>
      <c r="S87" s="16"/>
      <c r="T87" s="16"/>
      <c r="U87" s="16"/>
      <c r="V87" s="16"/>
      <c r="W87" s="16"/>
      <c r="Y87" s="2"/>
      <c r="Z87" s="16"/>
      <c r="AA87" s="16"/>
      <c r="AB87" s="16"/>
      <c r="AC87" s="16"/>
      <c r="AD87" s="16"/>
      <c r="AE87" s="16"/>
      <c r="AF87" s="16"/>
    </row>
    <row r="88" spans="1:35">
      <c r="D88" s="4" t="s">
        <v>873</v>
      </c>
      <c r="J88" s="4" t="s">
        <v>1455</v>
      </c>
      <c r="P88" s="4" t="s">
        <v>873</v>
      </c>
      <c r="V88" s="4" t="s">
        <v>1455</v>
      </c>
      <c r="AB88" s="4" t="s">
        <v>873</v>
      </c>
      <c r="AH88" s="4" t="s">
        <v>1455</v>
      </c>
    </row>
    <row r="90" spans="1:35">
      <c r="A90" s="1"/>
      <c r="B90" s="1"/>
      <c r="C90" s="1"/>
      <c r="D90" s="6" t="s">
        <v>1448</v>
      </c>
      <c r="E90" s="1"/>
      <c r="F90" s="1"/>
      <c r="G90" s="1"/>
      <c r="H90" s="1"/>
      <c r="I90" s="1"/>
      <c r="J90" s="6" t="s">
        <v>1448</v>
      </c>
      <c r="K90" s="1"/>
      <c r="M90" s="1"/>
      <c r="N90" s="1"/>
      <c r="O90" s="1"/>
      <c r="P90" s="6" t="s">
        <v>1453</v>
      </c>
      <c r="Q90" s="1"/>
      <c r="R90" s="1"/>
      <c r="S90" s="1"/>
      <c r="T90" s="1"/>
      <c r="U90" s="1"/>
      <c r="V90" s="6" t="s">
        <v>1453</v>
      </c>
      <c r="W90" s="1"/>
      <c r="Y90" s="1"/>
      <c r="Z90" s="1"/>
      <c r="AA90" s="1"/>
      <c r="AB90" s="6" t="s">
        <v>1454</v>
      </c>
      <c r="AC90" s="1"/>
      <c r="AD90" s="1"/>
      <c r="AE90" s="1"/>
      <c r="AF90" s="1"/>
      <c r="AH90" s="6" t="s">
        <v>1454</v>
      </c>
    </row>
    <row r="91" spans="1:35">
      <c r="A91" s="1"/>
      <c r="B91" s="1"/>
      <c r="C91" s="1"/>
      <c r="D91" s="6" t="s">
        <v>1451</v>
      </c>
      <c r="F91" s="1">
        <v>0.77500000000000002</v>
      </c>
      <c r="G91" s="1"/>
      <c r="H91" s="1"/>
      <c r="I91" s="1"/>
      <c r="J91" s="6" t="s">
        <v>1451</v>
      </c>
      <c r="K91" s="1"/>
      <c r="M91" s="1"/>
      <c r="N91" s="1"/>
      <c r="O91" s="1"/>
      <c r="P91" s="6" t="s">
        <v>1451</v>
      </c>
      <c r="Q91" s="1"/>
      <c r="R91" s="1"/>
      <c r="S91" s="1"/>
      <c r="T91" s="1"/>
      <c r="U91" s="1"/>
      <c r="V91" s="6" t="s">
        <v>1451</v>
      </c>
      <c r="W91" s="1"/>
      <c r="Y91" s="1"/>
      <c r="Z91" s="1"/>
      <c r="AA91" s="1"/>
      <c r="AB91" s="6" t="s">
        <v>1451</v>
      </c>
      <c r="AC91" s="1"/>
      <c r="AD91" s="1"/>
      <c r="AE91" s="1"/>
      <c r="AF91" s="1"/>
      <c r="AH91" s="6" t="s">
        <v>1451</v>
      </c>
    </row>
    <row r="93" spans="1:35">
      <c r="A93" s="6" t="s">
        <v>3</v>
      </c>
      <c r="B93" s="6"/>
      <c r="C93" s="6"/>
      <c r="D93" s="6"/>
      <c r="E93" s="6"/>
      <c r="F93" s="6" t="s">
        <v>329</v>
      </c>
      <c r="G93" s="6" t="s">
        <v>478</v>
      </c>
      <c r="H93" s="6" t="s">
        <v>1385</v>
      </c>
      <c r="K93" s="6" t="s">
        <v>703</v>
      </c>
      <c r="M93" s="6" t="s">
        <v>3</v>
      </c>
      <c r="N93" s="6"/>
      <c r="O93" s="6"/>
      <c r="P93" s="6"/>
      <c r="Q93" s="6"/>
      <c r="R93" s="6" t="s">
        <v>329</v>
      </c>
      <c r="S93" s="6" t="s">
        <v>478</v>
      </c>
      <c r="T93" s="6" t="s">
        <v>1385</v>
      </c>
      <c r="W93" s="6" t="s">
        <v>703</v>
      </c>
      <c r="Y93" s="6" t="s">
        <v>3</v>
      </c>
      <c r="Z93" s="6"/>
      <c r="AA93" s="6"/>
      <c r="AB93" s="6"/>
      <c r="AC93" s="6"/>
      <c r="AD93" s="6" t="s">
        <v>329</v>
      </c>
      <c r="AE93" s="6" t="s">
        <v>478</v>
      </c>
      <c r="AF93" s="6" t="s">
        <v>1385</v>
      </c>
      <c r="AI93" s="6" t="s">
        <v>703</v>
      </c>
    </row>
    <row r="94" spans="1:35">
      <c r="A94" s="6" t="s">
        <v>4</v>
      </c>
      <c r="B94" s="6" t="s">
        <v>664</v>
      </c>
      <c r="C94" s="6" t="s">
        <v>1447</v>
      </c>
      <c r="D94" s="6" t="s">
        <v>505</v>
      </c>
      <c r="E94" s="6" t="s">
        <v>505</v>
      </c>
      <c r="F94" s="6" t="s">
        <v>287</v>
      </c>
      <c r="G94" s="6" t="s">
        <v>287</v>
      </c>
      <c r="H94" s="6" t="s">
        <v>0</v>
      </c>
      <c r="I94" s="6" t="s">
        <v>329</v>
      </c>
      <c r="J94" s="6" t="s">
        <v>478</v>
      </c>
      <c r="K94" s="6" t="s">
        <v>0</v>
      </c>
      <c r="M94" s="6" t="s">
        <v>4</v>
      </c>
      <c r="N94" s="6" t="s">
        <v>664</v>
      </c>
      <c r="O94" s="6" t="s">
        <v>1447</v>
      </c>
      <c r="P94" s="6" t="s">
        <v>505</v>
      </c>
      <c r="Q94" s="6" t="s">
        <v>505</v>
      </c>
      <c r="R94" s="6" t="s">
        <v>287</v>
      </c>
      <c r="S94" s="6" t="s">
        <v>287</v>
      </c>
      <c r="T94" s="6" t="s">
        <v>0</v>
      </c>
      <c r="U94" s="6" t="s">
        <v>329</v>
      </c>
      <c r="V94" s="6" t="s">
        <v>478</v>
      </c>
      <c r="W94" s="6" t="s">
        <v>0</v>
      </c>
      <c r="Y94" s="6" t="s">
        <v>4</v>
      </c>
      <c r="Z94" s="6" t="s">
        <v>664</v>
      </c>
      <c r="AA94" s="6" t="s">
        <v>1447</v>
      </c>
      <c r="AB94" s="6" t="s">
        <v>505</v>
      </c>
      <c r="AC94" s="6" t="s">
        <v>505</v>
      </c>
      <c r="AD94" s="6" t="s">
        <v>287</v>
      </c>
      <c r="AE94" s="6" t="s">
        <v>287</v>
      </c>
      <c r="AF94" s="6" t="s">
        <v>0</v>
      </c>
      <c r="AG94" s="6" t="s">
        <v>329</v>
      </c>
      <c r="AH94" s="6" t="s">
        <v>478</v>
      </c>
      <c r="AI94" s="6" t="s">
        <v>0</v>
      </c>
    </row>
    <row r="95" spans="1:35">
      <c r="A95" s="9">
        <v>-1</v>
      </c>
      <c r="B95" s="9">
        <f>A95-1</f>
        <v>-2</v>
      </c>
      <c r="C95" s="9">
        <f t="shared" ref="C95:K95" si="97">B95-1</f>
        <v>-3</v>
      </c>
      <c r="D95" s="9">
        <f t="shared" si="97"/>
        <v>-4</v>
      </c>
      <c r="E95" s="9">
        <f t="shared" si="97"/>
        <v>-5</v>
      </c>
      <c r="F95" s="9">
        <f t="shared" si="97"/>
        <v>-6</v>
      </c>
      <c r="G95" s="9">
        <f t="shared" si="97"/>
        <v>-7</v>
      </c>
      <c r="H95" s="9">
        <f t="shared" si="97"/>
        <v>-8</v>
      </c>
      <c r="I95" s="9">
        <f t="shared" si="97"/>
        <v>-9</v>
      </c>
      <c r="J95" s="9">
        <f t="shared" si="97"/>
        <v>-10</v>
      </c>
      <c r="K95" s="9">
        <f t="shared" si="97"/>
        <v>-11</v>
      </c>
      <c r="M95" s="9">
        <v>-1</v>
      </c>
      <c r="N95" s="9">
        <f>M95-1</f>
        <v>-2</v>
      </c>
      <c r="O95" s="9">
        <f t="shared" ref="O95:W95" si="98">N95-1</f>
        <v>-3</v>
      </c>
      <c r="P95" s="9">
        <f t="shared" si="98"/>
        <v>-4</v>
      </c>
      <c r="Q95" s="9">
        <f t="shared" si="98"/>
        <v>-5</v>
      </c>
      <c r="R95" s="9">
        <f t="shared" si="98"/>
        <v>-6</v>
      </c>
      <c r="S95" s="9">
        <f t="shared" si="98"/>
        <v>-7</v>
      </c>
      <c r="T95" s="9">
        <f t="shared" si="98"/>
        <v>-8</v>
      </c>
      <c r="U95" s="9">
        <f t="shared" si="98"/>
        <v>-9</v>
      </c>
      <c r="V95" s="9">
        <f t="shared" si="98"/>
        <v>-10</v>
      </c>
      <c r="W95" s="9">
        <f t="shared" si="98"/>
        <v>-11</v>
      </c>
      <c r="Y95" s="9">
        <v>-1</v>
      </c>
      <c r="Z95" s="9">
        <f>Y95-1</f>
        <v>-2</v>
      </c>
      <c r="AA95" s="9">
        <f t="shared" ref="AA95:AI95" si="99">Z95-1</f>
        <v>-3</v>
      </c>
      <c r="AB95" s="9">
        <f t="shared" si="99"/>
        <v>-4</v>
      </c>
      <c r="AC95" s="9">
        <f t="shared" si="99"/>
        <v>-5</v>
      </c>
      <c r="AD95" s="9">
        <f t="shared" si="99"/>
        <v>-6</v>
      </c>
      <c r="AE95" s="9">
        <f t="shared" si="99"/>
        <v>-7</v>
      </c>
      <c r="AF95" s="9">
        <f t="shared" si="99"/>
        <v>-8</v>
      </c>
      <c r="AG95" s="9">
        <f t="shared" si="99"/>
        <v>-9</v>
      </c>
      <c r="AH95" s="9">
        <f t="shared" si="99"/>
        <v>-10</v>
      </c>
      <c r="AI95" s="9">
        <f t="shared" si="99"/>
        <v>-11</v>
      </c>
    </row>
    <row r="96" spans="1:35">
      <c r="A96" s="11"/>
      <c r="B96" s="1"/>
      <c r="C96" s="1"/>
      <c r="D96" s="1"/>
      <c r="E96" s="1"/>
      <c r="F96" s="1"/>
      <c r="G96" s="1"/>
      <c r="H96" s="1"/>
      <c r="I96" s="1"/>
      <c r="J96" s="1"/>
      <c r="K96" s="1"/>
      <c r="M96" s="11"/>
      <c r="N96" s="1"/>
      <c r="O96" s="1"/>
      <c r="P96" s="1"/>
      <c r="Q96" s="1"/>
      <c r="R96" s="1"/>
      <c r="S96" s="1"/>
      <c r="T96" s="1"/>
      <c r="U96" s="1"/>
      <c r="V96" s="1"/>
      <c r="W96" s="1"/>
      <c r="Y96" s="11"/>
      <c r="Z96" s="1"/>
      <c r="AA96" s="1"/>
      <c r="AB96" s="1"/>
      <c r="AC96" s="1"/>
      <c r="AD96" s="1"/>
      <c r="AE96" s="1"/>
      <c r="AF96" s="1"/>
    </row>
    <row r="97" spans="1: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Y97" s="1"/>
      <c r="Z97" s="1"/>
      <c r="AA97" s="1"/>
      <c r="AB97" s="1"/>
      <c r="AC97" s="1"/>
      <c r="AD97" s="1"/>
      <c r="AE97" s="1"/>
      <c r="AF97" s="1"/>
    </row>
    <row r="98" spans="1:35">
      <c r="A98" s="6">
        <f>A12</f>
        <v>1994</v>
      </c>
      <c r="B98" s="16">
        <f t="shared" ref="B98:G98" si="100">B12-B55</f>
        <v>0</v>
      </c>
      <c r="C98" s="16">
        <f t="shared" si="100"/>
        <v>0</v>
      </c>
      <c r="D98" s="16">
        <f t="shared" si="100"/>
        <v>0</v>
      </c>
      <c r="E98" s="16">
        <f t="shared" si="100"/>
        <v>0</v>
      </c>
      <c r="F98" s="16">
        <f t="shared" si="100"/>
        <v>0</v>
      </c>
      <c r="G98" s="16">
        <f t="shared" si="100"/>
        <v>0</v>
      </c>
      <c r="H98" s="16">
        <f>SUM(B98:F98)</f>
        <v>0</v>
      </c>
      <c r="I98" s="16">
        <v>0</v>
      </c>
      <c r="J98" s="16">
        <v>0</v>
      </c>
      <c r="K98" s="16">
        <f>I98+J98</f>
        <v>0</v>
      </c>
      <c r="M98" s="6">
        <f>A98</f>
        <v>1994</v>
      </c>
      <c r="N98" s="16">
        <f t="shared" ref="N98:S98" si="101">N12-N55</f>
        <v>0</v>
      </c>
      <c r="O98" s="16">
        <f t="shared" si="101"/>
        <v>0</v>
      </c>
      <c r="P98" s="16">
        <f t="shared" si="101"/>
        <v>0</v>
      </c>
      <c r="Q98" s="16">
        <f t="shared" si="101"/>
        <v>0</v>
      </c>
      <c r="R98" s="16">
        <f t="shared" si="101"/>
        <v>0</v>
      </c>
      <c r="S98" s="16">
        <f t="shared" si="101"/>
        <v>0</v>
      </c>
      <c r="T98" s="16">
        <f>SUM(N98:R98)</f>
        <v>0</v>
      </c>
      <c r="U98" s="16">
        <v>0</v>
      </c>
      <c r="V98" s="16">
        <v>0</v>
      </c>
      <c r="W98" s="16">
        <f>U98+V98</f>
        <v>0</v>
      </c>
      <c r="Y98" s="6">
        <f>A98</f>
        <v>1994</v>
      </c>
      <c r="Z98" s="16">
        <f>B98-N98</f>
        <v>0</v>
      </c>
      <c r="AA98" s="16">
        <f t="shared" ref="AA98:AA126" si="102">C98-O98</f>
        <v>0</v>
      </c>
      <c r="AB98" s="16">
        <f t="shared" ref="AB98:AB126" si="103">D98-P98</f>
        <v>0</v>
      </c>
      <c r="AC98" s="16">
        <f t="shared" ref="AC98:AC126" si="104">E98-Q98</f>
        <v>0</v>
      </c>
      <c r="AD98" s="16">
        <f t="shared" ref="AD98:AD126" si="105">F98-R98</f>
        <v>0</v>
      </c>
      <c r="AE98" s="16">
        <f t="shared" ref="AE98:AE126" si="106">G98-S98</f>
        <v>0</v>
      </c>
      <c r="AF98" s="16">
        <f>SUM(Z98:AD98)</f>
        <v>0</v>
      </c>
      <c r="AG98" s="16">
        <f t="shared" ref="AG98:AH117" si="107">AG55*$F$48</f>
        <v>0</v>
      </c>
      <c r="AH98" s="16">
        <f t="shared" si="107"/>
        <v>0</v>
      </c>
      <c r="AI98" s="16">
        <f>AG98+AH98</f>
        <v>0</v>
      </c>
    </row>
    <row r="99" spans="1:35">
      <c r="A99" s="6">
        <f>A98+1</f>
        <v>1995</v>
      </c>
      <c r="B99" s="17">
        <f t="shared" ref="B99:G99" si="108">B13-B56</f>
        <v>0</v>
      </c>
      <c r="C99" s="17">
        <f t="shared" si="108"/>
        <v>0</v>
      </c>
      <c r="D99" s="17">
        <f t="shared" si="108"/>
        <v>0</v>
      </c>
      <c r="E99" s="17">
        <f t="shared" si="108"/>
        <v>0</v>
      </c>
      <c r="F99" s="17">
        <f t="shared" si="108"/>
        <v>0</v>
      </c>
      <c r="G99" s="17">
        <f t="shared" si="108"/>
        <v>0</v>
      </c>
      <c r="H99" s="17">
        <f t="shared" ref="H99:H126" si="109">SUM(B99:G99)</f>
        <v>0</v>
      </c>
      <c r="I99" s="17">
        <v>0</v>
      </c>
      <c r="J99" s="17">
        <v>0</v>
      </c>
      <c r="K99" s="417">
        <f t="shared" ref="K99:K126" si="110">I99+J99</f>
        <v>0</v>
      </c>
      <c r="M99" s="6">
        <f>M98+1</f>
        <v>1995</v>
      </c>
      <c r="N99" s="17">
        <f t="shared" ref="N99:S99" si="111">N13-N56</f>
        <v>0</v>
      </c>
      <c r="O99" s="17">
        <f t="shared" si="111"/>
        <v>0</v>
      </c>
      <c r="P99" s="17">
        <f t="shared" si="111"/>
        <v>0</v>
      </c>
      <c r="Q99" s="17">
        <f t="shared" si="111"/>
        <v>0</v>
      </c>
      <c r="R99" s="17">
        <f t="shared" si="111"/>
        <v>0</v>
      </c>
      <c r="S99" s="17">
        <f t="shared" si="111"/>
        <v>0</v>
      </c>
      <c r="T99" s="17">
        <f t="shared" ref="T99:T126" si="112">SUM(N99:S99)</f>
        <v>0</v>
      </c>
      <c r="U99" s="17">
        <v>0</v>
      </c>
      <c r="V99" s="17">
        <v>0</v>
      </c>
      <c r="W99" s="417">
        <f t="shared" ref="W99:W126" si="113">U99+V99</f>
        <v>0</v>
      </c>
      <c r="Y99" s="6">
        <f>Y98+1</f>
        <v>1995</v>
      </c>
      <c r="Z99" s="17">
        <f t="shared" ref="Z99:Z126" si="114">B99-N99</f>
        <v>0</v>
      </c>
      <c r="AA99" s="17">
        <f t="shared" si="102"/>
        <v>0</v>
      </c>
      <c r="AB99" s="17">
        <f t="shared" si="103"/>
        <v>0</v>
      </c>
      <c r="AC99" s="17">
        <f t="shared" si="104"/>
        <v>0</v>
      </c>
      <c r="AD99" s="17">
        <f t="shared" si="105"/>
        <v>0</v>
      </c>
      <c r="AE99" s="17">
        <f t="shared" si="106"/>
        <v>0</v>
      </c>
      <c r="AF99" s="17">
        <f t="shared" ref="AF99:AF126" si="115">SUM(Z99:AE99)</f>
        <v>0</v>
      </c>
      <c r="AG99" s="17">
        <f t="shared" si="107"/>
        <v>0</v>
      </c>
      <c r="AH99" s="17">
        <f t="shared" si="107"/>
        <v>0</v>
      </c>
      <c r="AI99" s="417">
        <f t="shared" ref="AI99:AI126" si="116">AG99+AH99</f>
        <v>0</v>
      </c>
    </row>
    <row r="100" spans="1:35">
      <c r="A100" s="6">
        <f t="shared" ref="A100:A126" si="117">A99+1</f>
        <v>1996</v>
      </c>
      <c r="B100" s="17">
        <f t="shared" ref="B100:G100" si="118">B14-B57</f>
        <v>0</v>
      </c>
      <c r="C100" s="17">
        <f t="shared" si="118"/>
        <v>0</v>
      </c>
      <c r="D100" s="17">
        <f t="shared" si="118"/>
        <v>0</v>
      </c>
      <c r="E100" s="17">
        <f t="shared" si="118"/>
        <v>0</v>
      </c>
      <c r="F100" s="17">
        <f t="shared" si="118"/>
        <v>0</v>
      </c>
      <c r="G100" s="17">
        <f t="shared" si="118"/>
        <v>0</v>
      </c>
      <c r="H100" s="17">
        <f t="shared" si="109"/>
        <v>0</v>
      </c>
      <c r="I100" s="17">
        <v>0</v>
      </c>
      <c r="J100" s="17">
        <v>0</v>
      </c>
      <c r="K100" s="417">
        <f t="shared" si="110"/>
        <v>0</v>
      </c>
      <c r="M100" s="6">
        <f t="shared" ref="M100:M126" si="119">M99+1</f>
        <v>1996</v>
      </c>
      <c r="N100" s="17">
        <f t="shared" ref="N100:S100" si="120">N14-N57</f>
        <v>0</v>
      </c>
      <c r="O100" s="17">
        <f t="shared" si="120"/>
        <v>0</v>
      </c>
      <c r="P100" s="17">
        <f t="shared" si="120"/>
        <v>0</v>
      </c>
      <c r="Q100" s="17">
        <f t="shared" si="120"/>
        <v>0</v>
      </c>
      <c r="R100" s="17">
        <f t="shared" si="120"/>
        <v>0</v>
      </c>
      <c r="S100" s="17">
        <f t="shared" si="120"/>
        <v>0</v>
      </c>
      <c r="T100" s="17">
        <f t="shared" si="112"/>
        <v>0</v>
      </c>
      <c r="U100" s="17">
        <v>0</v>
      </c>
      <c r="V100" s="17">
        <v>0</v>
      </c>
      <c r="W100" s="417">
        <f t="shared" si="113"/>
        <v>0</v>
      </c>
      <c r="Y100" s="6">
        <f t="shared" ref="Y100:Y126" si="121">Y99+1</f>
        <v>1996</v>
      </c>
      <c r="Z100" s="17">
        <f t="shared" si="114"/>
        <v>0</v>
      </c>
      <c r="AA100" s="17">
        <f t="shared" si="102"/>
        <v>0</v>
      </c>
      <c r="AB100" s="17">
        <f t="shared" si="103"/>
        <v>0</v>
      </c>
      <c r="AC100" s="17">
        <f t="shared" si="104"/>
        <v>0</v>
      </c>
      <c r="AD100" s="17">
        <f t="shared" si="105"/>
        <v>0</v>
      </c>
      <c r="AE100" s="17">
        <f t="shared" si="106"/>
        <v>0</v>
      </c>
      <c r="AF100" s="17">
        <f t="shared" si="115"/>
        <v>0</v>
      </c>
      <c r="AG100" s="17">
        <f t="shared" si="107"/>
        <v>0</v>
      </c>
      <c r="AH100" s="17">
        <f t="shared" si="107"/>
        <v>0</v>
      </c>
      <c r="AI100" s="417">
        <f t="shared" si="116"/>
        <v>0</v>
      </c>
    </row>
    <row r="101" spans="1:35">
      <c r="A101" s="6">
        <f t="shared" si="117"/>
        <v>1997</v>
      </c>
      <c r="B101" s="17">
        <f t="shared" ref="B101:G101" si="122">B15-B58</f>
        <v>0</v>
      </c>
      <c r="C101" s="17">
        <f t="shared" si="122"/>
        <v>0</v>
      </c>
      <c r="D101" s="17">
        <f t="shared" si="122"/>
        <v>0</v>
      </c>
      <c r="E101" s="17">
        <f t="shared" si="122"/>
        <v>0</v>
      </c>
      <c r="F101" s="17">
        <f t="shared" si="122"/>
        <v>0</v>
      </c>
      <c r="G101" s="17">
        <f t="shared" si="122"/>
        <v>0</v>
      </c>
      <c r="H101" s="17">
        <f t="shared" si="109"/>
        <v>0</v>
      </c>
      <c r="I101" s="17">
        <v>0</v>
      </c>
      <c r="J101" s="17">
        <v>0</v>
      </c>
      <c r="K101" s="417">
        <f t="shared" si="110"/>
        <v>0</v>
      </c>
      <c r="M101" s="6">
        <f t="shared" si="119"/>
        <v>1997</v>
      </c>
      <c r="N101" s="17">
        <f t="shared" ref="N101:S101" si="123">N15-N58</f>
        <v>0</v>
      </c>
      <c r="O101" s="17">
        <f t="shared" si="123"/>
        <v>0</v>
      </c>
      <c r="P101" s="17">
        <f t="shared" si="123"/>
        <v>0</v>
      </c>
      <c r="Q101" s="17">
        <f t="shared" si="123"/>
        <v>0</v>
      </c>
      <c r="R101" s="17">
        <f t="shared" si="123"/>
        <v>0</v>
      </c>
      <c r="S101" s="17">
        <f t="shared" si="123"/>
        <v>0</v>
      </c>
      <c r="T101" s="17">
        <f t="shared" si="112"/>
        <v>0</v>
      </c>
      <c r="U101" s="17">
        <v>0</v>
      </c>
      <c r="V101" s="17">
        <v>0</v>
      </c>
      <c r="W101" s="417">
        <f t="shared" si="113"/>
        <v>0</v>
      </c>
      <c r="Y101" s="6">
        <f t="shared" si="121"/>
        <v>1997</v>
      </c>
      <c r="Z101" s="17">
        <f t="shared" si="114"/>
        <v>0</v>
      </c>
      <c r="AA101" s="17">
        <f t="shared" si="102"/>
        <v>0</v>
      </c>
      <c r="AB101" s="17">
        <f t="shared" si="103"/>
        <v>0</v>
      </c>
      <c r="AC101" s="17">
        <f t="shared" si="104"/>
        <v>0</v>
      </c>
      <c r="AD101" s="17">
        <f t="shared" si="105"/>
        <v>0</v>
      </c>
      <c r="AE101" s="17">
        <f t="shared" si="106"/>
        <v>0</v>
      </c>
      <c r="AF101" s="17">
        <f t="shared" si="115"/>
        <v>0</v>
      </c>
      <c r="AG101" s="17">
        <f t="shared" si="107"/>
        <v>0</v>
      </c>
      <c r="AH101" s="17">
        <f t="shared" si="107"/>
        <v>0</v>
      </c>
      <c r="AI101" s="417">
        <f t="shared" si="116"/>
        <v>0</v>
      </c>
    </row>
    <row r="102" spans="1:35">
      <c r="A102" s="6">
        <f t="shared" si="117"/>
        <v>1998</v>
      </c>
      <c r="B102" s="17">
        <f t="shared" ref="B102:G102" si="124">B16-B59</f>
        <v>0</v>
      </c>
      <c r="C102" s="17">
        <f t="shared" si="124"/>
        <v>0</v>
      </c>
      <c r="D102" s="17">
        <f t="shared" si="124"/>
        <v>0</v>
      </c>
      <c r="E102" s="17">
        <f t="shared" si="124"/>
        <v>0</v>
      </c>
      <c r="F102" s="17">
        <f t="shared" si="124"/>
        <v>0</v>
      </c>
      <c r="G102" s="17">
        <f t="shared" si="124"/>
        <v>0</v>
      </c>
      <c r="H102" s="17">
        <f t="shared" si="109"/>
        <v>0</v>
      </c>
      <c r="I102" s="17">
        <v>0</v>
      </c>
      <c r="J102" s="17">
        <v>0</v>
      </c>
      <c r="K102" s="417">
        <f t="shared" si="110"/>
        <v>0</v>
      </c>
      <c r="M102" s="6">
        <f t="shared" si="119"/>
        <v>1998</v>
      </c>
      <c r="N102" s="17">
        <f t="shared" ref="N102:S102" si="125">N16-N59</f>
        <v>0</v>
      </c>
      <c r="O102" s="17">
        <f t="shared" si="125"/>
        <v>0</v>
      </c>
      <c r="P102" s="17">
        <f t="shared" si="125"/>
        <v>0</v>
      </c>
      <c r="Q102" s="17">
        <f t="shared" si="125"/>
        <v>0</v>
      </c>
      <c r="R102" s="17">
        <f t="shared" si="125"/>
        <v>0</v>
      </c>
      <c r="S102" s="17">
        <f t="shared" si="125"/>
        <v>0</v>
      </c>
      <c r="T102" s="17">
        <f t="shared" si="112"/>
        <v>0</v>
      </c>
      <c r="U102" s="17">
        <v>0</v>
      </c>
      <c r="V102" s="17">
        <v>0</v>
      </c>
      <c r="W102" s="417">
        <f t="shared" si="113"/>
        <v>0</v>
      </c>
      <c r="Y102" s="6">
        <f t="shared" si="121"/>
        <v>1998</v>
      </c>
      <c r="Z102" s="17">
        <f t="shared" si="114"/>
        <v>0</v>
      </c>
      <c r="AA102" s="17">
        <f t="shared" si="102"/>
        <v>0</v>
      </c>
      <c r="AB102" s="17">
        <f t="shared" si="103"/>
        <v>0</v>
      </c>
      <c r="AC102" s="17">
        <f t="shared" si="104"/>
        <v>0</v>
      </c>
      <c r="AD102" s="17">
        <f t="shared" si="105"/>
        <v>0</v>
      </c>
      <c r="AE102" s="17">
        <f t="shared" si="106"/>
        <v>0</v>
      </c>
      <c r="AF102" s="17">
        <f t="shared" si="115"/>
        <v>0</v>
      </c>
      <c r="AG102" s="17">
        <f t="shared" si="107"/>
        <v>0</v>
      </c>
      <c r="AH102" s="17">
        <f t="shared" si="107"/>
        <v>0</v>
      </c>
      <c r="AI102" s="417">
        <f t="shared" si="116"/>
        <v>0</v>
      </c>
    </row>
    <row r="103" spans="1:35">
      <c r="A103" s="6">
        <f t="shared" si="117"/>
        <v>1999</v>
      </c>
      <c r="B103" s="17">
        <f t="shared" ref="B103:G103" si="126">B17-B60</f>
        <v>0</v>
      </c>
      <c r="C103" s="17">
        <f t="shared" si="126"/>
        <v>0</v>
      </c>
      <c r="D103" s="17">
        <f t="shared" si="126"/>
        <v>0</v>
      </c>
      <c r="E103" s="17">
        <f t="shared" si="126"/>
        <v>0</v>
      </c>
      <c r="F103" s="17">
        <f t="shared" si="126"/>
        <v>0</v>
      </c>
      <c r="G103" s="17">
        <f t="shared" si="126"/>
        <v>0</v>
      </c>
      <c r="H103" s="17">
        <f t="shared" si="109"/>
        <v>0</v>
      </c>
      <c r="I103" s="17">
        <v>0</v>
      </c>
      <c r="J103" s="17">
        <v>0</v>
      </c>
      <c r="K103" s="417">
        <f t="shared" si="110"/>
        <v>0</v>
      </c>
      <c r="M103" s="6">
        <f t="shared" si="119"/>
        <v>1999</v>
      </c>
      <c r="N103" s="17">
        <f t="shared" ref="N103:S103" si="127">N17-N60</f>
        <v>0</v>
      </c>
      <c r="O103" s="17">
        <f t="shared" si="127"/>
        <v>0</v>
      </c>
      <c r="P103" s="17">
        <f t="shared" si="127"/>
        <v>0</v>
      </c>
      <c r="Q103" s="17">
        <f t="shared" si="127"/>
        <v>0</v>
      </c>
      <c r="R103" s="17">
        <f t="shared" si="127"/>
        <v>0</v>
      </c>
      <c r="S103" s="17">
        <f t="shared" si="127"/>
        <v>0</v>
      </c>
      <c r="T103" s="17">
        <f t="shared" si="112"/>
        <v>0</v>
      </c>
      <c r="U103" s="17">
        <v>0</v>
      </c>
      <c r="V103" s="17">
        <v>0</v>
      </c>
      <c r="W103" s="417">
        <f t="shared" si="113"/>
        <v>0</v>
      </c>
      <c r="Y103" s="6">
        <f t="shared" si="121"/>
        <v>1999</v>
      </c>
      <c r="Z103" s="17">
        <f t="shared" si="114"/>
        <v>0</v>
      </c>
      <c r="AA103" s="17">
        <f t="shared" si="102"/>
        <v>0</v>
      </c>
      <c r="AB103" s="17">
        <f t="shared" si="103"/>
        <v>0</v>
      </c>
      <c r="AC103" s="17">
        <f t="shared" si="104"/>
        <v>0</v>
      </c>
      <c r="AD103" s="17">
        <f t="shared" si="105"/>
        <v>0</v>
      </c>
      <c r="AE103" s="17">
        <f t="shared" si="106"/>
        <v>0</v>
      </c>
      <c r="AF103" s="17">
        <f t="shared" si="115"/>
        <v>0</v>
      </c>
      <c r="AG103" s="17">
        <f t="shared" si="107"/>
        <v>0</v>
      </c>
      <c r="AH103" s="17">
        <f t="shared" si="107"/>
        <v>0</v>
      </c>
      <c r="AI103" s="417">
        <f t="shared" si="116"/>
        <v>0</v>
      </c>
    </row>
    <row r="104" spans="1:35">
      <c r="A104" s="6">
        <f t="shared" si="117"/>
        <v>2000</v>
      </c>
      <c r="B104" s="17">
        <f t="shared" ref="B104:G104" si="128">B18-B61</f>
        <v>0</v>
      </c>
      <c r="C104" s="17">
        <f t="shared" si="128"/>
        <v>0</v>
      </c>
      <c r="D104" s="17">
        <f t="shared" si="128"/>
        <v>0</v>
      </c>
      <c r="E104" s="17">
        <f t="shared" si="128"/>
        <v>0</v>
      </c>
      <c r="F104" s="17">
        <f t="shared" si="128"/>
        <v>0</v>
      </c>
      <c r="G104" s="17">
        <f t="shared" si="128"/>
        <v>0</v>
      </c>
      <c r="H104" s="17">
        <f t="shared" si="109"/>
        <v>0</v>
      </c>
      <c r="I104" s="17">
        <v>0</v>
      </c>
      <c r="J104" s="17">
        <v>0</v>
      </c>
      <c r="K104" s="417">
        <f t="shared" si="110"/>
        <v>0</v>
      </c>
      <c r="M104" s="6">
        <f t="shared" si="119"/>
        <v>2000</v>
      </c>
      <c r="N104" s="17">
        <f t="shared" ref="N104:S104" si="129">N18-N61</f>
        <v>0</v>
      </c>
      <c r="O104" s="17">
        <f t="shared" si="129"/>
        <v>0</v>
      </c>
      <c r="P104" s="17">
        <f t="shared" si="129"/>
        <v>0</v>
      </c>
      <c r="Q104" s="17">
        <f t="shared" si="129"/>
        <v>0</v>
      </c>
      <c r="R104" s="17">
        <f t="shared" si="129"/>
        <v>0</v>
      </c>
      <c r="S104" s="17">
        <f t="shared" si="129"/>
        <v>0</v>
      </c>
      <c r="T104" s="17">
        <f t="shared" si="112"/>
        <v>0</v>
      </c>
      <c r="U104" s="17">
        <v>0</v>
      </c>
      <c r="V104" s="17">
        <v>0</v>
      </c>
      <c r="W104" s="417">
        <f t="shared" si="113"/>
        <v>0</v>
      </c>
      <c r="Y104" s="6">
        <f t="shared" si="121"/>
        <v>2000</v>
      </c>
      <c r="Z104" s="17">
        <f t="shared" si="114"/>
        <v>0</v>
      </c>
      <c r="AA104" s="17">
        <f t="shared" si="102"/>
        <v>0</v>
      </c>
      <c r="AB104" s="17">
        <f t="shared" si="103"/>
        <v>0</v>
      </c>
      <c r="AC104" s="17">
        <f t="shared" si="104"/>
        <v>0</v>
      </c>
      <c r="AD104" s="17">
        <f t="shared" si="105"/>
        <v>0</v>
      </c>
      <c r="AE104" s="17">
        <f t="shared" si="106"/>
        <v>0</v>
      </c>
      <c r="AF104" s="17">
        <f t="shared" si="115"/>
        <v>0</v>
      </c>
      <c r="AG104" s="17">
        <f t="shared" si="107"/>
        <v>0</v>
      </c>
      <c r="AH104" s="17">
        <f t="shared" si="107"/>
        <v>0</v>
      </c>
      <c r="AI104" s="417">
        <f t="shared" si="116"/>
        <v>0</v>
      </c>
    </row>
    <row r="105" spans="1:35">
      <c r="A105" s="6">
        <f t="shared" si="117"/>
        <v>2001</v>
      </c>
      <c r="B105" s="17">
        <f t="shared" ref="B105:G105" si="130">B19-B62</f>
        <v>0</v>
      </c>
      <c r="C105" s="17">
        <f t="shared" si="130"/>
        <v>0</v>
      </c>
      <c r="D105" s="17">
        <f t="shared" si="130"/>
        <v>0</v>
      </c>
      <c r="E105" s="17">
        <f t="shared" si="130"/>
        <v>0</v>
      </c>
      <c r="F105" s="17">
        <f t="shared" si="130"/>
        <v>0</v>
      </c>
      <c r="G105" s="17">
        <f t="shared" si="130"/>
        <v>0</v>
      </c>
      <c r="H105" s="17">
        <f t="shared" si="109"/>
        <v>0</v>
      </c>
      <c r="I105" s="17">
        <v>0</v>
      </c>
      <c r="J105" s="17">
        <v>0</v>
      </c>
      <c r="K105" s="417">
        <f t="shared" si="110"/>
        <v>0</v>
      </c>
      <c r="M105" s="6">
        <f t="shared" si="119"/>
        <v>2001</v>
      </c>
      <c r="N105" s="17">
        <f t="shared" ref="N105:S105" si="131">N19-N62</f>
        <v>0</v>
      </c>
      <c r="O105" s="17">
        <f t="shared" si="131"/>
        <v>0</v>
      </c>
      <c r="P105" s="17">
        <f t="shared" si="131"/>
        <v>0</v>
      </c>
      <c r="Q105" s="17">
        <f t="shared" si="131"/>
        <v>0</v>
      </c>
      <c r="R105" s="17">
        <f t="shared" si="131"/>
        <v>0</v>
      </c>
      <c r="S105" s="17">
        <f t="shared" si="131"/>
        <v>0</v>
      </c>
      <c r="T105" s="17">
        <f t="shared" si="112"/>
        <v>0</v>
      </c>
      <c r="U105" s="17">
        <v>0</v>
      </c>
      <c r="V105" s="17">
        <v>0</v>
      </c>
      <c r="W105" s="417">
        <f t="shared" si="113"/>
        <v>0</v>
      </c>
      <c r="Y105" s="6">
        <f t="shared" si="121"/>
        <v>2001</v>
      </c>
      <c r="Z105" s="17">
        <f t="shared" si="114"/>
        <v>0</v>
      </c>
      <c r="AA105" s="17">
        <f t="shared" si="102"/>
        <v>0</v>
      </c>
      <c r="AB105" s="17">
        <f t="shared" si="103"/>
        <v>0</v>
      </c>
      <c r="AC105" s="17">
        <f t="shared" si="104"/>
        <v>0</v>
      </c>
      <c r="AD105" s="17">
        <f t="shared" si="105"/>
        <v>0</v>
      </c>
      <c r="AE105" s="17">
        <f t="shared" si="106"/>
        <v>0</v>
      </c>
      <c r="AF105" s="17">
        <f t="shared" si="115"/>
        <v>0</v>
      </c>
      <c r="AG105" s="17">
        <f t="shared" si="107"/>
        <v>0</v>
      </c>
      <c r="AH105" s="17">
        <f t="shared" si="107"/>
        <v>0</v>
      </c>
      <c r="AI105" s="417">
        <f t="shared" si="116"/>
        <v>0</v>
      </c>
    </row>
    <row r="106" spans="1:35">
      <c r="A106" s="6">
        <f t="shared" si="117"/>
        <v>2002</v>
      </c>
      <c r="B106" s="17">
        <f t="shared" ref="B106:G106" si="132">B20-B63</f>
        <v>0</v>
      </c>
      <c r="C106" s="17">
        <f t="shared" si="132"/>
        <v>0</v>
      </c>
      <c r="D106" s="17">
        <f t="shared" si="132"/>
        <v>0</v>
      </c>
      <c r="E106" s="17">
        <f t="shared" si="132"/>
        <v>0</v>
      </c>
      <c r="F106" s="17">
        <f t="shared" si="132"/>
        <v>0</v>
      </c>
      <c r="G106" s="17">
        <f t="shared" si="132"/>
        <v>0</v>
      </c>
      <c r="H106" s="17">
        <f t="shared" si="109"/>
        <v>0</v>
      </c>
      <c r="I106" s="17">
        <v>0</v>
      </c>
      <c r="J106" s="17">
        <v>0</v>
      </c>
      <c r="K106" s="417">
        <f t="shared" si="110"/>
        <v>0</v>
      </c>
      <c r="M106" s="6">
        <f t="shared" si="119"/>
        <v>2002</v>
      </c>
      <c r="N106" s="17">
        <f t="shared" ref="N106:S106" si="133">N20-N63</f>
        <v>0</v>
      </c>
      <c r="O106" s="17">
        <f t="shared" si="133"/>
        <v>0</v>
      </c>
      <c r="P106" s="17">
        <f t="shared" si="133"/>
        <v>0</v>
      </c>
      <c r="Q106" s="17">
        <f t="shared" si="133"/>
        <v>0</v>
      </c>
      <c r="R106" s="17">
        <f t="shared" si="133"/>
        <v>0</v>
      </c>
      <c r="S106" s="17">
        <f t="shared" si="133"/>
        <v>0</v>
      </c>
      <c r="T106" s="17">
        <f t="shared" si="112"/>
        <v>0</v>
      </c>
      <c r="U106" s="17">
        <v>0</v>
      </c>
      <c r="V106" s="17">
        <v>0</v>
      </c>
      <c r="W106" s="417">
        <f t="shared" si="113"/>
        <v>0</v>
      </c>
      <c r="Y106" s="6">
        <f t="shared" si="121"/>
        <v>2002</v>
      </c>
      <c r="Z106" s="17">
        <f t="shared" si="114"/>
        <v>0</v>
      </c>
      <c r="AA106" s="17">
        <f t="shared" si="102"/>
        <v>0</v>
      </c>
      <c r="AB106" s="17">
        <f t="shared" si="103"/>
        <v>0</v>
      </c>
      <c r="AC106" s="17">
        <f t="shared" si="104"/>
        <v>0</v>
      </c>
      <c r="AD106" s="17">
        <f t="shared" si="105"/>
        <v>0</v>
      </c>
      <c r="AE106" s="17">
        <f t="shared" si="106"/>
        <v>0</v>
      </c>
      <c r="AF106" s="17">
        <f t="shared" si="115"/>
        <v>0</v>
      </c>
      <c r="AG106" s="17">
        <f t="shared" si="107"/>
        <v>0</v>
      </c>
      <c r="AH106" s="17">
        <f t="shared" si="107"/>
        <v>0</v>
      </c>
      <c r="AI106" s="417">
        <f t="shared" si="116"/>
        <v>0</v>
      </c>
    </row>
    <row r="107" spans="1:35">
      <c r="A107" s="6">
        <f t="shared" si="117"/>
        <v>2003</v>
      </c>
      <c r="B107" s="17">
        <f t="shared" ref="B107:G107" si="134">B21-B64</f>
        <v>0</v>
      </c>
      <c r="C107" s="17">
        <f t="shared" si="134"/>
        <v>0</v>
      </c>
      <c r="D107" s="17">
        <f t="shared" si="134"/>
        <v>0</v>
      </c>
      <c r="E107" s="17">
        <f t="shared" si="134"/>
        <v>0</v>
      </c>
      <c r="F107" s="17">
        <f t="shared" si="134"/>
        <v>0</v>
      </c>
      <c r="G107" s="17">
        <f t="shared" si="134"/>
        <v>0</v>
      </c>
      <c r="H107" s="17">
        <f t="shared" si="109"/>
        <v>0</v>
      </c>
      <c r="I107" s="17">
        <v>0</v>
      </c>
      <c r="J107" s="17">
        <v>0</v>
      </c>
      <c r="K107" s="417">
        <f t="shared" si="110"/>
        <v>0</v>
      </c>
      <c r="M107" s="6">
        <f t="shared" si="119"/>
        <v>2003</v>
      </c>
      <c r="N107" s="17">
        <f t="shared" ref="N107:S107" si="135">N21-N64</f>
        <v>0</v>
      </c>
      <c r="O107" s="17">
        <f t="shared" si="135"/>
        <v>0</v>
      </c>
      <c r="P107" s="17">
        <f t="shared" si="135"/>
        <v>0</v>
      </c>
      <c r="Q107" s="17">
        <f t="shared" si="135"/>
        <v>0</v>
      </c>
      <c r="R107" s="17">
        <f t="shared" si="135"/>
        <v>0</v>
      </c>
      <c r="S107" s="17">
        <f t="shared" si="135"/>
        <v>0</v>
      </c>
      <c r="T107" s="17">
        <f t="shared" si="112"/>
        <v>0</v>
      </c>
      <c r="U107" s="17">
        <v>0</v>
      </c>
      <c r="V107" s="17">
        <v>0</v>
      </c>
      <c r="W107" s="417">
        <f t="shared" si="113"/>
        <v>0</v>
      </c>
      <c r="Y107" s="6">
        <f t="shared" si="121"/>
        <v>2003</v>
      </c>
      <c r="Z107" s="17">
        <f t="shared" si="114"/>
        <v>0</v>
      </c>
      <c r="AA107" s="17">
        <f t="shared" si="102"/>
        <v>0</v>
      </c>
      <c r="AB107" s="17">
        <f t="shared" si="103"/>
        <v>0</v>
      </c>
      <c r="AC107" s="17">
        <f t="shared" si="104"/>
        <v>0</v>
      </c>
      <c r="AD107" s="17">
        <f t="shared" si="105"/>
        <v>0</v>
      </c>
      <c r="AE107" s="17">
        <f t="shared" si="106"/>
        <v>0</v>
      </c>
      <c r="AF107" s="17">
        <f t="shared" si="115"/>
        <v>0</v>
      </c>
      <c r="AG107" s="17">
        <f t="shared" si="107"/>
        <v>0</v>
      </c>
      <c r="AH107" s="17">
        <f t="shared" si="107"/>
        <v>0</v>
      </c>
      <c r="AI107" s="417">
        <f t="shared" si="116"/>
        <v>0</v>
      </c>
    </row>
    <row r="108" spans="1:35">
      <c r="A108" s="6">
        <f t="shared" si="117"/>
        <v>2004</v>
      </c>
      <c r="B108" s="17">
        <f t="shared" ref="B108:G108" si="136">B22-B65</f>
        <v>0</v>
      </c>
      <c r="C108" s="17">
        <f t="shared" si="136"/>
        <v>0</v>
      </c>
      <c r="D108" s="17">
        <f t="shared" si="136"/>
        <v>0</v>
      </c>
      <c r="E108" s="17">
        <f t="shared" si="136"/>
        <v>0</v>
      </c>
      <c r="F108" s="17">
        <f t="shared" si="136"/>
        <v>0</v>
      </c>
      <c r="G108" s="17">
        <f t="shared" si="136"/>
        <v>0</v>
      </c>
      <c r="H108" s="17">
        <f t="shared" si="109"/>
        <v>0</v>
      </c>
      <c r="I108" s="17">
        <v>0</v>
      </c>
      <c r="J108" s="17">
        <v>0</v>
      </c>
      <c r="K108" s="417">
        <f t="shared" si="110"/>
        <v>0</v>
      </c>
      <c r="M108" s="6">
        <f t="shared" si="119"/>
        <v>2004</v>
      </c>
      <c r="N108" s="17">
        <f t="shared" ref="N108:S108" si="137">N22-N65</f>
        <v>0</v>
      </c>
      <c r="O108" s="17">
        <f t="shared" si="137"/>
        <v>0</v>
      </c>
      <c r="P108" s="17">
        <f t="shared" si="137"/>
        <v>0</v>
      </c>
      <c r="Q108" s="17">
        <f t="shared" si="137"/>
        <v>0</v>
      </c>
      <c r="R108" s="17">
        <f t="shared" si="137"/>
        <v>0</v>
      </c>
      <c r="S108" s="17">
        <f t="shared" si="137"/>
        <v>0</v>
      </c>
      <c r="T108" s="17">
        <f t="shared" si="112"/>
        <v>0</v>
      </c>
      <c r="U108" s="17">
        <v>0</v>
      </c>
      <c r="V108" s="17">
        <v>0</v>
      </c>
      <c r="W108" s="417">
        <f t="shared" si="113"/>
        <v>0</v>
      </c>
      <c r="Y108" s="6">
        <f t="shared" si="121"/>
        <v>2004</v>
      </c>
      <c r="Z108" s="17">
        <f t="shared" si="114"/>
        <v>0</v>
      </c>
      <c r="AA108" s="17">
        <f t="shared" si="102"/>
        <v>0</v>
      </c>
      <c r="AB108" s="17">
        <f t="shared" si="103"/>
        <v>0</v>
      </c>
      <c r="AC108" s="17">
        <f t="shared" si="104"/>
        <v>0</v>
      </c>
      <c r="AD108" s="17">
        <f t="shared" si="105"/>
        <v>0</v>
      </c>
      <c r="AE108" s="17">
        <f t="shared" si="106"/>
        <v>0</v>
      </c>
      <c r="AF108" s="17">
        <f t="shared" si="115"/>
        <v>0</v>
      </c>
      <c r="AG108" s="17">
        <f t="shared" si="107"/>
        <v>0</v>
      </c>
      <c r="AH108" s="17">
        <f t="shared" si="107"/>
        <v>0</v>
      </c>
      <c r="AI108" s="417">
        <f t="shared" si="116"/>
        <v>0</v>
      </c>
    </row>
    <row r="109" spans="1:35">
      <c r="A109" s="6">
        <f t="shared" si="117"/>
        <v>2005</v>
      </c>
      <c r="B109" s="17">
        <f t="shared" ref="B109:G109" si="138">B23-B66</f>
        <v>0</v>
      </c>
      <c r="C109" s="17">
        <f t="shared" si="138"/>
        <v>0</v>
      </c>
      <c r="D109" s="17">
        <f t="shared" si="138"/>
        <v>0</v>
      </c>
      <c r="E109" s="17">
        <f t="shared" si="138"/>
        <v>0</v>
      </c>
      <c r="F109" s="17">
        <f t="shared" si="138"/>
        <v>0</v>
      </c>
      <c r="G109" s="17">
        <f t="shared" si="138"/>
        <v>0</v>
      </c>
      <c r="H109" s="17">
        <f t="shared" si="109"/>
        <v>0</v>
      </c>
      <c r="I109" s="17">
        <v>0</v>
      </c>
      <c r="J109" s="17">
        <v>0</v>
      </c>
      <c r="K109" s="417">
        <f t="shared" si="110"/>
        <v>0</v>
      </c>
      <c r="M109" s="6">
        <f t="shared" si="119"/>
        <v>2005</v>
      </c>
      <c r="N109" s="17">
        <f t="shared" ref="N109:S109" si="139">N23-N66</f>
        <v>0</v>
      </c>
      <c r="O109" s="17">
        <f t="shared" si="139"/>
        <v>0</v>
      </c>
      <c r="P109" s="17">
        <f t="shared" si="139"/>
        <v>0</v>
      </c>
      <c r="Q109" s="17">
        <f t="shared" si="139"/>
        <v>0</v>
      </c>
      <c r="R109" s="17">
        <f t="shared" si="139"/>
        <v>0</v>
      </c>
      <c r="S109" s="17">
        <f t="shared" si="139"/>
        <v>0</v>
      </c>
      <c r="T109" s="17">
        <f t="shared" si="112"/>
        <v>0</v>
      </c>
      <c r="U109" s="17">
        <v>0</v>
      </c>
      <c r="V109" s="17">
        <v>0</v>
      </c>
      <c r="W109" s="417">
        <f t="shared" si="113"/>
        <v>0</v>
      </c>
      <c r="Y109" s="6">
        <f t="shared" si="121"/>
        <v>2005</v>
      </c>
      <c r="Z109" s="17">
        <f t="shared" si="114"/>
        <v>0</v>
      </c>
      <c r="AA109" s="17">
        <f t="shared" si="102"/>
        <v>0</v>
      </c>
      <c r="AB109" s="17">
        <f t="shared" si="103"/>
        <v>0</v>
      </c>
      <c r="AC109" s="17">
        <f t="shared" si="104"/>
        <v>0</v>
      </c>
      <c r="AD109" s="17">
        <f t="shared" si="105"/>
        <v>0</v>
      </c>
      <c r="AE109" s="17">
        <f t="shared" si="106"/>
        <v>0</v>
      </c>
      <c r="AF109" s="17">
        <f t="shared" si="115"/>
        <v>0</v>
      </c>
      <c r="AG109" s="17">
        <f t="shared" si="107"/>
        <v>0</v>
      </c>
      <c r="AH109" s="17">
        <f t="shared" si="107"/>
        <v>0</v>
      </c>
      <c r="AI109" s="417">
        <f t="shared" si="116"/>
        <v>0</v>
      </c>
    </row>
    <row r="110" spans="1:35">
      <c r="A110" s="6">
        <f t="shared" si="117"/>
        <v>2006</v>
      </c>
      <c r="B110" s="17">
        <f t="shared" ref="B110:G110" si="140">B24-B67</f>
        <v>0</v>
      </c>
      <c r="C110" s="17">
        <f t="shared" si="140"/>
        <v>0</v>
      </c>
      <c r="D110" s="17">
        <f t="shared" si="140"/>
        <v>0</v>
      </c>
      <c r="E110" s="17">
        <f t="shared" si="140"/>
        <v>0</v>
      </c>
      <c r="F110" s="17">
        <f t="shared" si="140"/>
        <v>0</v>
      </c>
      <c r="G110" s="17">
        <f t="shared" si="140"/>
        <v>0</v>
      </c>
      <c r="H110" s="17">
        <f t="shared" si="109"/>
        <v>0</v>
      </c>
      <c r="I110" s="17">
        <v>0</v>
      </c>
      <c r="J110" s="17">
        <v>0</v>
      </c>
      <c r="K110" s="417">
        <f t="shared" si="110"/>
        <v>0</v>
      </c>
      <c r="M110" s="6">
        <f t="shared" si="119"/>
        <v>2006</v>
      </c>
      <c r="N110" s="17">
        <f t="shared" ref="N110:S110" si="141">N24-N67</f>
        <v>0</v>
      </c>
      <c r="O110" s="17">
        <f t="shared" si="141"/>
        <v>0</v>
      </c>
      <c r="P110" s="17">
        <f t="shared" si="141"/>
        <v>-2.0999999999185087E-2</v>
      </c>
      <c r="Q110" s="17">
        <f t="shared" si="141"/>
        <v>0</v>
      </c>
      <c r="R110" s="17">
        <f t="shared" si="141"/>
        <v>0</v>
      </c>
      <c r="S110" s="17">
        <f t="shared" si="141"/>
        <v>0</v>
      </c>
      <c r="T110" s="17">
        <f t="shared" si="112"/>
        <v>-2.0999999999185087E-2</v>
      </c>
      <c r="U110" s="17">
        <v>0</v>
      </c>
      <c r="V110" s="17">
        <v>0</v>
      </c>
      <c r="W110" s="417">
        <f t="shared" si="113"/>
        <v>0</v>
      </c>
      <c r="Y110" s="6">
        <f t="shared" si="121"/>
        <v>2006</v>
      </c>
      <c r="Z110" s="17">
        <f t="shared" si="114"/>
        <v>0</v>
      </c>
      <c r="AA110" s="17">
        <f t="shared" si="102"/>
        <v>0</v>
      </c>
      <c r="AB110" s="17">
        <f t="shared" si="103"/>
        <v>2.0999999999185087E-2</v>
      </c>
      <c r="AC110" s="17">
        <f t="shared" si="104"/>
        <v>0</v>
      </c>
      <c r="AD110" s="17">
        <f t="shared" si="105"/>
        <v>0</v>
      </c>
      <c r="AE110" s="17">
        <f t="shared" si="106"/>
        <v>0</v>
      </c>
      <c r="AF110" s="17">
        <f t="shared" si="115"/>
        <v>2.0999999999185087E-2</v>
      </c>
      <c r="AG110" s="17">
        <f t="shared" si="107"/>
        <v>0</v>
      </c>
      <c r="AH110" s="17">
        <f t="shared" si="107"/>
        <v>0</v>
      </c>
      <c r="AI110" s="417">
        <f t="shared" si="116"/>
        <v>0</v>
      </c>
    </row>
    <row r="111" spans="1:35">
      <c r="A111" s="6">
        <f t="shared" si="117"/>
        <v>2007</v>
      </c>
      <c r="B111" s="17">
        <f t="shared" ref="B111:G111" si="142">B25-B68</f>
        <v>0</v>
      </c>
      <c r="C111" s="17">
        <f t="shared" si="142"/>
        <v>0</v>
      </c>
      <c r="D111" s="17">
        <f t="shared" si="142"/>
        <v>0</v>
      </c>
      <c r="E111" s="17">
        <f t="shared" si="142"/>
        <v>-6.2999999999738071E-2</v>
      </c>
      <c r="F111" s="17">
        <f t="shared" si="142"/>
        <v>0</v>
      </c>
      <c r="G111" s="17">
        <f t="shared" si="142"/>
        <v>0</v>
      </c>
      <c r="H111" s="17">
        <f t="shared" si="109"/>
        <v>-6.2999999999738071E-2</v>
      </c>
      <c r="I111" s="17">
        <v>0</v>
      </c>
      <c r="J111" s="17">
        <v>0</v>
      </c>
      <c r="K111" s="417">
        <f t="shared" si="110"/>
        <v>0</v>
      </c>
      <c r="M111" s="6">
        <f t="shared" si="119"/>
        <v>2007</v>
      </c>
      <c r="N111" s="17">
        <f t="shared" ref="N111:S111" si="143">N25-N68</f>
        <v>0</v>
      </c>
      <c r="O111" s="17">
        <f t="shared" si="143"/>
        <v>0</v>
      </c>
      <c r="P111" s="17">
        <f t="shared" si="143"/>
        <v>0</v>
      </c>
      <c r="Q111" s="17">
        <f t="shared" si="143"/>
        <v>-2.7999999999883562E-2</v>
      </c>
      <c r="R111" s="17">
        <f t="shared" si="143"/>
        <v>0</v>
      </c>
      <c r="S111" s="17">
        <f t="shared" si="143"/>
        <v>0</v>
      </c>
      <c r="T111" s="17">
        <f t="shared" si="112"/>
        <v>-2.7999999999883562E-2</v>
      </c>
      <c r="U111" s="17">
        <v>0</v>
      </c>
      <c r="V111" s="17">
        <v>0</v>
      </c>
      <c r="W111" s="417">
        <f t="shared" si="113"/>
        <v>0</v>
      </c>
      <c r="Y111" s="6">
        <f t="shared" si="121"/>
        <v>2007</v>
      </c>
      <c r="Z111" s="17">
        <f t="shared" si="114"/>
        <v>0</v>
      </c>
      <c r="AA111" s="17">
        <f t="shared" si="102"/>
        <v>0</v>
      </c>
      <c r="AB111" s="17">
        <f t="shared" si="103"/>
        <v>0</v>
      </c>
      <c r="AC111" s="17">
        <f t="shared" si="104"/>
        <v>-3.4999999999854509E-2</v>
      </c>
      <c r="AD111" s="17">
        <f t="shared" si="105"/>
        <v>0</v>
      </c>
      <c r="AE111" s="17">
        <f t="shared" si="106"/>
        <v>0</v>
      </c>
      <c r="AF111" s="17">
        <f t="shared" si="115"/>
        <v>-3.4999999999854509E-2</v>
      </c>
      <c r="AG111" s="17">
        <f t="shared" si="107"/>
        <v>0</v>
      </c>
      <c r="AH111" s="17">
        <f t="shared" si="107"/>
        <v>0</v>
      </c>
      <c r="AI111" s="417">
        <f t="shared" si="116"/>
        <v>0</v>
      </c>
    </row>
    <row r="112" spans="1:35">
      <c r="A112" s="6">
        <f t="shared" si="117"/>
        <v>2008</v>
      </c>
      <c r="B112" s="17">
        <f t="shared" ref="B112:G112" si="144">B26-B69</f>
        <v>0</v>
      </c>
      <c r="C112" s="17">
        <f t="shared" si="144"/>
        <v>0</v>
      </c>
      <c r="D112" s="17">
        <f t="shared" si="144"/>
        <v>0</v>
      </c>
      <c r="E112" s="17">
        <f t="shared" si="144"/>
        <v>0</v>
      </c>
      <c r="F112" s="17">
        <f t="shared" si="144"/>
        <v>0</v>
      </c>
      <c r="G112" s="17">
        <f t="shared" si="144"/>
        <v>0</v>
      </c>
      <c r="H112" s="17">
        <f t="shared" si="109"/>
        <v>0</v>
      </c>
      <c r="I112" s="17">
        <v>0</v>
      </c>
      <c r="J112" s="17">
        <v>0</v>
      </c>
      <c r="K112" s="417">
        <f t="shared" si="110"/>
        <v>0</v>
      </c>
      <c r="M112" s="6">
        <f t="shared" si="119"/>
        <v>2008</v>
      </c>
      <c r="N112" s="17">
        <f t="shared" ref="N112:S112" si="145">N26-N69</f>
        <v>0</v>
      </c>
      <c r="O112" s="17">
        <f t="shared" si="145"/>
        <v>0</v>
      </c>
      <c r="P112" s="17">
        <f t="shared" si="145"/>
        <v>0</v>
      </c>
      <c r="Q112" s="17">
        <f t="shared" si="145"/>
        <v>0</v>
      </c>
      <c r="R112" s="17">
        <f t="shared" si="145"/>
        <v>0</v>
      </c>
      <c r="S112" s="17">
        <f t="shared" si="145"/>
        <v>0</v>
      </c>
      <c r="T112" s="17">
        <f t="shared" si="112"/>
        <v>0</v>
      </c>
      <c r="U112" s="17">
        <v>0</v>
      </c>
      <c r="V112" s="17">
        <v>0</v>
      </c>
      <c r="W112" s="417">
        <f t="shared" si="113"/>
        <v>0</v>
      </c>
      <c r="Y112" s="6">
        <f t="shared" si="121"/>
        <v>2008</v>
      </c>
      <c r="Z112" s="17">
        <f t="shared" si="114"/>
        <v>0</v>
      </c>
      <c r="AA112" s="17">
        <f t="shared" si="102"/>
        <v>0</v>
      </c>
      <c r="AB112" s="17">
        <f t="shared" si="103"/>
        <v>0</v>
      </c>
      <c r="AC112" s="17">
        <f t="shared" si="104"/>
        <v>0</v>
      </c>
      <c r="AD112" s="17">
        <f t="shared" si="105"/>
        <v>0</v>
      </c>
      <c r="AE112" s="17">
        <f t="shared" si="106"/>
        <v>0</v>
      </c>
      <c r="AF112" s="17">
        <f t="shared" si="115"/>
        <v>0</v>
      </c>
      <c r="AG112" s="17">
        <f t="shared" si="107"/>
        <v>0</v>
      </c>
      <c r="AH112" s="17">
        <f t="shared" si="107"/>
        <v>0</v>
      </c>
      <c r="AI112" s="417">
        <f t="shared" si="116"/>
        <v>0</v>
      </c>
    </row>
    <row r="113" spans="1:35">
      <c r="A113" s="6">
        <f t="shared" si="117"/>
        <v>2009</v>
      </c>
      <c r="B113" s="17">
        <f t="shared" ref="B113:G113" si="146">B27-B70</f>
        <v>0</v>
      </c>
      <c r="C113" s="17">
        <f t="shared" si="146"/>
        <v>0</v>
      </c>
      <c r="D113" s="17">
        <f t="shared" si="146"/>
        <v>0</v>
      </c>
      <c r="E113" s="17">
        <f t="shared" si="146"/>
        <v>0</v>
      </c>
      <c r="F113" s="17">
        <f t="shared" si="146"/>
        <v>0</v>
      </c>
      <c r="G113" s="17">
        <f t="shared" si="146"/>
        <v>0</v>
      </c>
      <c r="H113" s="17">
        <f t="shared" si="109"/>
        <v>0</v>
      </c>
      <c r="I113" s="17">
        <v>0</v>
      </c>
      <c r="J113" s="17">
        <v>0</v>
      </c>
      <c r="K113" s="417">
        <f t="shared" si="110"/>
        <v>0</v>
      </c>
      <c r="M113" s="6">
        <f t="shared" si="119"/>
        <v>2009</v>
      </c>
      <c r="N113" s="17">
        <f t="shared" ref="N113:S113" si="147">N27-N70</f>
        <v>0</v>
      </c>
      <c r="O113" s="17">
        <f t="shared" si="147"/>
        <v>0</v>
      </c>
      <c r="P113" s="17">
        <f t="shared" si="147"/>
        <v>0</v>
      </c>
      <c r="Q113" s="17">
        <f t="shared" si="147"/>
        <v>0</v>
      </c>
      <c r="R113" s="17">
        <f t="shared" si="147"/>
        <v>0</v>
      </c>
      <c r="S113" s="17">
        <f t="shared" si="147"/>
        <v>0</v>
      </c>
      <c r="T113" s="17">
        <f t="shared" si="112"/>
        <v>0</v>
      </c>
      <c r="U113" s="17">
        <v>0</v>
      </c>
      <c r="V113" s="17">
        <v>0</v>
      </c>
      <c r="W113" s="417">
        <f t="shared" si="113"/>
        <v>0</v>
      </c>
      <c r="Y113" s="6">
        <f t="shared" si="121"/>
        <v>2009</v>
      </c>
      <c r="Z113" s="17">
        <f t="shared" si="114"/>
        <v>0</v>
      </c>
      <c r="AA113" s="17">
        <f t="shared" si="102"/>
        <v>0</v>
      </c>
      <c r="AB113" s="17">
        <f t="shared" si="103"/>
        <v>0</v>
      </c>
      <c r="AC113" s="17">
        <f t="shared" si="104"/>
        <v>0</v>
      </c>
      <c r="AD113" s="17">
        <f t="shared" si="105"/>
        <v>0</v>
      </c>
      <c r="AE113" s="17">
        <f t="shared" si="106"/>
        <v>0</v>
      </c>
      <c r="AF113" s="17">
        <f t="shared" si="115"/>
        <v>0</v>
      </c>
      <c r="AG113" s="17">
        <f t="shared" si="107"/>
        <v>0</v>
      </c>
      <c r="AH113" s="17">
        <f t="shared" si="107"/>
        <v>0</v>
      </c>
      <c r="AI113" s="417">
        <f t="shared" si="116"/>
        <v>0</v>
      </c>
    </row>
    <row r="114" spans="1:35">
      <c r="A114" s="6">
        <f t="shared" si="117"/>
        <v>2010</v>
      </c>
      <c r="B114" s="17">
        <f t="shared" ref="B114:G114" si="148">B28-B71</f>
        <v>0</v>
      </c>
      <c r="C114" s="17">
        <f t="shared" si="148"/>
        <v>0</v>
      </c>
      <c r="D114" s="17">
        <f t="shared" si="148"/>
        <v>0</v>
      </c>
      <c r="E114" s="17">
        <f t="shared" si="148"/>
        <v>0</v>
      </c>
      <c r="F114" s="17">
        <f t="shared" si="148"/>
        <v>0</v>
      </c>
      <c r="G114" s="17">
        <f t="shared" si="148"/>
        <v>0</v>
      </c>
      <c r="H114" s="17">
        <f t="shared" si="109"/>
        <v>0</v>
      </c>
      <c r="I114" s="17">
        <v>0</v>
      </c>
      <c r="J114" s="17">
        <v>0</v>
      </c>
      <c r="K114" s="417">
        <f t="shared" si="110"/>
        <v>0</v>
      </c>
      <c r="M114" s="6">
        <f t="shared" si="119"/>
        <v>2010</v>
      </c>
      <c r="N114" s="17">
        <f t="shared" ref="N114:S114" si="149">N28-N71</f>
        <v>0</v>
      </c>
      <c r="O114" s="17">
        <f t="shared" si="149"/>
        <v>0</v>
      </c>
      <c r="P114" s="17">
        <f t="shared" si="149"/>
        <v>0</v>
      </c>
      <c r="Q114" s="17">
        <f t="shared" si="149"/>
        <v>0</v>
      </c>
      <c r="R114" s="17">
        <f t="shared" si="149"/>
        <v>0</v>
      </c>
      <c r="S114" s="17">
        <f t="shared" si="149"/>
        <v>0</v>
      </c>
      <c r="T114" s="17">
        <f t="shared" si="112"/>
        <v>0</v>
      </c>
      <c r="U114" s="17">
        <v>0</v>
      </c>
      <c r="V114" s="17">
        <v>0</v>
      </c>
      <c r="W114" s="417">
        <f t="shared" si="113"/>
        <v>0</v>
      </c>
      <c r="Y114" s="6">
        <f t="shared" si="121"/>
        <v>2010</v>
      </c>
      <c r="Z114" s="17">
        <f t="shared" si="114"/>
        <v>0</v>
      </c>
      <c r="AA114" s="17">
        <f t="shared" si="102"/>
        <v>0</v>
      </c>
      <c r="AB114" s="17">
        <f t="shared" si="103"/>
        <v>0</v>
      </c>
      <c r="AC114" s="17">
        <f t="shared" si="104"/>
        <v>0</v>
      </c>
      <c r="AD114" s="17">
        <f t="shared" si="105"/>
        <v>0</v>
      </c>
      <c r="AE114" s="17">
        <f t="shared" si="106"/>
        <v>0</v>
      </c>
      <c r="AF114" s="17">
        <f t="shared" si="115"/>
        <v>0</v>
      </c>
      <c r="AG114" s="17">
        <f t="shared" si="107"/>
        <v>0</v>
      </c>
      <c r="AH114" s="17">
        <f t="shared" si="107"/>
        <v>0</v>
      </c>
      <c r="AI114" s="417">
        <f t="shared" si="116"/>
        <v>0</v>
      </c>
    </row>
    <row r="115" spans="1:35">
      <c r="A115" s="6">
        <f t="shared" si="117"/>
        <v>2011</v>
      </c>
      <c r="B115" s="17">
        <f t="shared" ref="B115:G115" si="150">B29-B72</f>
        <v>0</v>
      </c>
      <c r="C115" s="17">
        <f t="shared" si="150"/>
        <v>14.352867331499873</v>
      </c>
      <c r="D115" s="17">
        <f t="shared" si="150"/>
        <v>0</v>
      </c>
      <c r="E115" s="17">
        <f t="shared" si="150"/>
        <v>0</v>
      </c>
      <c r="F115" s="17">
        <f t="shared" si="150"/>
        <v>0</v>
      </c>
      <c r="G115" s="17">
        <f t="shared" si="150"/>
        <v>0</v>
      </c>
      <c r="H115" s="17">
        <f t="shared" si="109"/>
        <v>14.352867331499873</v>
      </c>
      <c r="I115" s="17">
        <v>0</v>
      </c>
      <c r="J115" s="17">
        <v>0</v>
      </c>
      <c r="K115" s="417">
        <f t="shared" si="110"/>
        <v>0</v>
      </c>
      <c r="M115" s="6">
        <f t="shared" si="119"/>
        <v>2011</v>
      </c>
      <c r="N115" s="17">
        <f t="shared" ref="N115:S115" si="151">N29-N72</f>
        <v>0</v>
      </c>
      <c r="O115" s="17">
        <f t="shared" si="151"/>
        <v>0</v>
      </c>
      <c r="P115" s="17">
        <f t="shared" si="151"/>
        <v>0</v>
      </c>
      <c r="Q115" s="17">
        <f t="shared" si="151"/>
        <v>0</v>
      </c>
      <c r="R115" s="17">
        <f t="shared" si="151"/>
        <v>0</v>
      </c>
      <c r="S115" s="17">
        <f t="shared" si="151"/>
        <v>0</v>
      </c>
      <c r="T115" s="17">
        <f t="shared" si="112"/>
        <v>0</v>
      </c>
      <c r="U115" s="17">
        <v>0</v>
      </c>
      <c r="V115" s="17">
        <v>0</v>
      </c>
      <c r="W115" s="417">
        <f t="shared" si="113"/>
        <v>0</v>
      </c>
      <c r="Y115" s="6">
        <f t="shared" si="121"/>
        <v>2011</v>
      </c>
      <c r="Z115" s="17">
        <f t="shared" si="114"/>
        <v>0</v>
      </c>
      <c r="AA115" s="17">
        <f t="shared" si="102"/>
        <v>14.352867331499873</v>
      </c>
      <c r="AB115" s="17">
        <f t="shared" si="103"/>
        <v>0</v>
      </c>
      <c r="AC115" s="17">
        <f t="shared" si="104"/>
        <v>0</v>
      </c>
      <c r="AD115" s="17">
        <f t="shared" si="105"/>
        <v>0</v>
      </c>
      <c r="AE115" s="17">
        <f t="shared" si="106"/>
        <v>0</v>
      </c>
      <c r="AF115" s="17">
        <f t="shared" si="115"/>
        <v>14.352867331499873</v>
      </c>
      <c r="AG115" s="17">
        <f t="shared" si="107"/>
        <v>0</v>
      </c>
      <c r="AH115" s="17">
        <f t="shared" si="107"/>
        <v>0</v>
      </c>
      <c r="AI115" s="417">
        <f t="shared" si="116"/>
        <v>0</v>
      </c>
    </row>
    <row r="116" spans="1:35">
      <c r="A116" s="6">
        <f t="shared" si="117"/>
        <v>2012</v>
      </c>
      <c r="B116" s="17">
        <f t="shared" ref="B116:G116" si="152">B30-B73</f>
        <v>0</v>
      </c>
      <c r="C116" s="17">
        <f t="shared" si="152"/>
        <v>178.2113068155362</v>
      </c>
      <c r="D116" s="17">
        <f t="shared" si="152"/>
        <v>0</v>
      </c>
      <c r="E116" s="17">
        <f t="shared" si="152"/>
        <v>0</v>
      </c>
      <c r="F116" s="17">
        <f t="shared" si="152"/>
        <v>0</v>
      </c>
      <c r="G116" s="17">
        <f t="shared" si="152"/>
        <v>0</v>
      </c>
      <c r="H116" s="17">
        <f t="shared" si="109"/>
        <v>178.2113068155362</v>
      </c>
      <c r="I116" s="17">
        <v>0</v>
      </c>
      <c r="J116" s="17">
        <v>0</v>
      </c>
      <c r="K116" s="417">
        <f t="shared" si="110"/>
        <v>0</v>
      </c>
      <c r="M116" s="6">
        <f t="shared" si="119"/>
        <v>2012</v>
      </c>
      <c r="N116" s="17">
        <f t="shared" ref="N116:S116" si="153">N30-N73</f>
        <v>0</v>
      </c>
      <c r="O116" s="17">
        <f t="shared" si="153"/>
        <v>0</v>
      </c>
      <c r="P116" s="17">
        <f t="shared" si="153"/>
        <v>0</v>
      </c>
      <c r="Q116" s="17">
        <f t="shared" si="153"/>
        <v>0</v>
      </c>
      <c r="R116" s="17">
        <f t="shared" si="153"/>
        <v>0</v>
      </c>
      <c r="S116" s="17">
        <f t="shared" si="153"/>
        <v>0</v>
      </c>
      <c r="T116" s="17">
        <f t="shared" si="112"/>
        <v>0</v>
      </c>
      <c r="U116" s="17">
        <v>0</v>
      </c>
      <c r="V116" s="17">
        <v>0</v>
      </c>
      <c r="W116" s="417">
        <f t="shared" si="113"/>
        <v>0</v>
      </c>
      <c r="Y116" s="6">
        <f t="shared" si="121"/>
        <v>2012</v>
      </c>
      <c r="Z116" s="17">
        <f t="shared" si="114"/>
        <v>0</v>
      </c>
      <c r="AA116" s="17">
        <f t="shared" si="102"/>
        <v>178.2113068155362</v>
      </c>
      <c r="AB116" s="17">
        <f t="shared" si="103"/>
        <v>0</v>
      </c>
      <c r="AC116" s="17">
        <f t="shared" si="104"/>
        <v>0</v>
      </c>
      <c r="AD116" s="17">
        <f t="shared" si="105"/>
        <v>0</v>
      </c>
      <c r="AE116" s="17">
        <f t="shared" si="106"/>
        <v>0</v>
      </c>
      <c r="AF116" s="17">
        <f t="shared" si="115"/>
        <v>178.2113068155362</v>
      </c>
      <c r="AG116" s="17">
        <f t="shared" si="107"/>
        <v>0</v>
      </c>
      <c r="AH116" s="17">
        <f t="shared" si="107"/>
        <v>0</v>
      </c>
      <c r="AI116" s="417">
        <f t="shared" si="116"/>
        <v>0</v>
      </c>
    </row>
    <row r="117" spans="1:35">
      <c r="A117" s="6">
        <f t="shared" si="117"/>
        <v>2013</v>
      </c>
      <c r="B117" s="17">
        <f t="shared" ref="B117:G117" si="154">B31-B74</f>
        <v>0</v>
      </c>
      <c r="C117" s="17">
        <f t="shared" si="154"/>
        <v>1507.7227291048039</v>
      </c>
      <c r="D117" s="17">
        <f t="shared" si="154"/>
        <v>0</v>
      </c>
      <c r="E117" s="17">
        <f t="shared" si="154"/>
        <v>0</v>
      </c>
      <c r="F117" s="17">
        <f t="shared" si="154"/>
        <v>0</v>
      </c>
      <c r="G117" s="17">
        <f t="shared" si="154"/>
        <v>0</v>
      </c>
      <c r="H117" s="17">
        <f t="shared" si="109"/>
        <v>1507.7227291048039</v>
      </c>
      <c r="I117" s="17">
        <v>0</v>
      </c>
      <c r="J117" s="17">
        <v>0</v>
      </c>
      <c r="K117" s="17">
        <f t="shared" si="110"/>
        <v>0</v>
      </c>
      <c r="M117" s="6">
        <f t="shared" si="119"/>
        <v>2013</v>
      </c>
      <c r="N117" s="17">
        <f t="shared" ref="N117:S117" si="155">N31-N74</f>
        <v>0</v>
      </c>
      <c r="O117" s="17">
        <f t="shared" si="155"/>
        <v>3.430250338278712E-2</v>
      </c>
      <c r="P117" s="17">
        <f t="shared" si="155"/>
        <v>0</v>
      </c>
      <c r="Q117" s="17">
        <f t="shared" si="155"/>
        <v>0</v>
      </c>
      <c r="R117" s="17">
        <f t="shared" si="155"/>
        <v>0</v>
      </c>
      <c r="S117" s="17">
        <f t="shared" si="155"/>
        <v>0</v>
      </c>
      <c r="T117" s="17">
        <f t="shared" si="112"/>
        <v>3.430250338278712E-2</v>
      </c>
      <c r="U117" s="17">
        <v>0</v>
      </c>
      <c r="V117" s="17">
        <v>0</v>
      </c>
      <c r="W117" s="17">
        <f t="shared" si="113"/>
        <v>0</v>
      </c>
      <c r="Y117" s="6">
        <f t="shared" si="121"/>
        <v>2013</v>
      </c>
      <c r="Z117" s="17">
        <f t="shared" si="114"/>
        <v>0</v>
      </c>
      <c r="AA117" s="17">
        <f t="shared" si="102"/>
        <v>1507.688426601421</v>
      </c>
      <c r="AB117" s="17">
        <f t="shared" si="103"/>
        <v>0</v>
      </c>
      <c r="AC117" s="17">
        <f t="shared" si="104"/>
        <v>0</v>
      </c>
      <c r="AD117" s="17">
        <f t="shared" si="105"/>
        <v>0</v>
      </c>
      <c r="AE117" s="17">
        <f t="shared" si="106"/>
        <v>0</v>
      </c>
      <c r="AF117" s="17">
        <f t="shared" si="115"/>
        <v>1507.688426601421</v>
      </c>
      <c r="AG117" s="17">
        <f t="shared" si="107"/>
        <v>0</v>
      </c>
      <c r="AH117" s="17">
        <f t="shared" si="107"/>
        <v>0</v>
      </c>
      <c r="AI117" s="417">
        <f t="shared" si="116"/>
        <v>0</v>
      </c>
    </row>
    <row r="118" spans="1:35">
      <c r="A118" s="6">
        <f t="shared" si="117"/>
        <v>2014</v>
      </c>
      <c r="B118" s="17">
        <f t="shared" ref="B118:G118" si="156">B32-B75</f>
        <v>0</v>
      </c>
      <c r="C118" s="17">
        <f t="shared" si="156"/>
        <v>1167.8586034704376</v>
      </c>
      <c r="D118" s="17">
        <f t="shared" si="156"/>
        <v>0</v>
      </c>
      <c r="E118" s="17">
        <f t="shared" si="156"/>
        <v>7379.5182154300601</v>
      </c>
      <c r="F118" s="17">
        <f t="shared" si="156"/>
        <v>485.32852653383748</v>
      </c>
      <c r="G118" s="17">
        <f t="shared" si="156"/>
        <v>4557.7014691180248</v>
      </c>
      <c r="H118" s="17">
        <f t="shared" si="109"/>
        <v>13590.406814552362</v>
      </c>
      <c r="I118" s="17">
        <f t="shared" ref="I118:J126" si="157">I32-I75</f>
        <v>510.87213319349098</v>
      </c>
      <c r="J118" s="17">
        <f t="shared" si="157"/>
        <v>4797.5804938084075</v>
      </c>
      <c r="K118" s="17">
        <f t="shared" si="110"/>
        <v>5308.4526270018987</v>
      </c>
      <c r="M118" s="6">
        <f t="shared" si="119"/>
        <v>2014</v>
      </c>
      <c r="N118" s="17">
        <f t="shared" ref="N118:S118" si="158">N32-N75</f>
        <v>0</v>
      </c>
      <c r="O118" s="17">
        <f t="shared" si="158"/>
        <v>5.9926478012464912</v>
      </c>
      <c r="P118" s="17">
        <f t="shared" si="158"/>
        <v>0</v>
      </c>
      <c r="Q118" s="17">
        <f t="shared" si="158"/>
        <v>907.9879064695906</v>
      </c>
      <c r="R118" s="17">
        <f t="shared" si="158"/>
        <v>0</v>
      </c>
      <c r="S118" s="17">
        <f t="shared" si="158"/>
        <v>201.01832910382655</v>
      </c>
      <c r="T118" s="17">
        <f t="shared" si="112"/>
        <v>1114.9988833746636</v>
      </c>
      <c r="U118" s="17">
        <f t="shared" ref="U118:V126" si="159">U32-U75</f>
        <v>485.32852653383748</v>
      </c>
      <c r="V118" s="17">
        <f t="shared" si="159"/>
        <v>4557.7014691180011</v>
      </c>
      <c r="W118" s="17">
        <f t="shared" si="113"/>
        <v>5043.0299956518384</v>
      </c>
      <c r="Y118" s="6">
        <f t="shared" si="121"/>
        <v>2014</v>
      </c>
      <c r="Z118" s="17">
        <f t="shared" si="114"/>
        <v>0</v>
      </c>
      <c r="AA118" s="17">
        <f t="shared" si="102"/>
        <v>1161.8659556691912</v>
      </c>
      <c r="AB118" s="17">
        <f t="shared" si="103"/>
        <v>0</v>
      </c>
      <c r="AC118" s="17">
        <f t="shared" si="104"/>
        <v>6471.5303089604695</v>
      </c>
      <c r="AD118" s="17">
        <f t="shared" si="105"/>
        <v>485.32852653383748</v>
      </c>
      <c r="AE118" s="17">
        <f t="shared" si="106"/>
        <v>4356.6831400141982</v>
      </c>
      <c r="AF118" s="17">
        <f t="shared" si="115"/>
        <v>12475.407931177695</v>
      </c>
      <c r="AG118" s="17">
        <f t="shared" ref="AG118:AG126" si="160">I118-U118</f>
        <v>25.543606659653506</v>
      </c>
      <c r="AH118" s="17">
        <f t="shared" ref="AH118:AH126" si="161">J118-V118</f>
        <v>239.87902469040637</v>
      </c>
      <c r="AI118" s="17">
        <f t="shared" si="116"/>
        <v>265.42263135005987</v>
      </c>
    </row>
    <row r="119" spans="1:35">
      <c r="A119" s="6">
        <f t="shared" si="117"/>
        <v>2015</v>
      </c>
      <c r="B119" s="17">
        <f t="shared" ref="B119:G119" si="162">B33-B76</f>
        <v>6976.7697429195978</v>
      </c>
      <c r="C119" s="17">
        <f t="shared" si="162"/>
        <v>4519.2750937940637</v>
      </c>
      <c r="D119" s="17">
        <f t="shared" si="162"/>
        <v>0</v>
      </c>
      <c r="E119" s="17">
        <f t="shared" si="162"/>
        <v>17611.509292164475</v>
      </c>
      <c r="F119" s="17">
        <f t="shared" si="162"/>
        <v>2767.5043892515932</v>
      </c>
      <c r="G119" s="17">
        <f t="shared" si="162"/>
        <v>3366.011409978586</v>
      </c>
      <c r="H119" s="17">
        <f t="shared" si="109"/>
        <v>35241.069928108322</v>
      </c>
      <c r="I119" s="17">
        <f t="shared" si="157"/>
        <v>2913.1625150016389</v>
      </c>
      <c r="J119" s="17">
        <f t="shared" si="157"/>
        <v>3543.1699052406148</v>
      </c>
      <c r="K119" s="17">
        <f t="shared" si="110"/>
        <v>6456.3324202422536</v>
      </c>
      <c r="M119" s="6">
        <f t="shared" si="119"/>
        <v>2015</v>
      </c>
      <c r="N119" s="17">
        <f t="shared" ref="N119:S119" si="163">N33-N76</f>
        <v>0</v>
      </c>
      <c r="O119" s="17">
        <f t="shared" si="163"/>
        <v>103.40409760990872</v>
      </c>
      <c r="P119" s="17">
        <f t="shared" si="163"/>
        <v>0</v>
      </c>
      <c r="Q119" s="17">
        <f t="shared" si="163"/>
        <v>1399.0522779813964</v>
      </c>
      <c r="R119" s="17">
        <f t="shared" si="163"/>
        <v>0</v>
      </c>
      <c r="S119" s="17">
        <f t="shared" si="163"/>
        <v>132.57292469891831</v>
      </c>
      <c r="T119" s="17">
        <f t="shared" si="112"/>
        <v>1635.0293002902233</v>
      </c>
      <c r="U119" s="17">
        <f t="shared" si="159"/>
        <v>2767.5043892515805</v>
      </c>
      <c r="V119" s="17">
        <f t="shared" si="159"/>
        <v>3366.0114099785915</v>
      </c>
      <c r="W119" s="17">
        <f t="shared" si="113"/>
        <v>6133.515799230172</v>
      </c>
      <c r="Y119" s="6">
        <f t="shared" si="121"/>
        <v>2015</v>
      </c>
      <c r="Z119" s="17">
        <f t="shared" si="114"/>
        <v>6976.7697429195978</v>
      </c>
      <c r="AA119" s="17">
        <f t="shared" si="102"/>
        <v>4415.870996184155</v>
      </c>
      <c r="AB119" s="17">
        <f t="shared" si="103"/>
        <v>0</v>
      </c>
      <c r="AC119" s="17">
        <f t="shared" si="104"/>
        <v>16212.457014183079</v>
      </c>
      <c r="AD119" s="17">
        <f t="shared" si="105"/>
        <v>2767.5043892515932</v>
      </c>
      <c r="AE119" s="17">
        <f t="shared" si="106"/>
        <v>3233.4384852796675</v>
      </c>
      <c r="AF119" s="17">
        <f t="shared" si="115"/>
        <v>33606.040627818096</v>
      </c>
      <c r="AG119" s="17">
        <f t="shared" si="160"/>
        <v>145.65812575005839</v>
      </c>
      <c r="AH119" s="17">
        <f t="shared" si="161"/>
        <v>177.15849526202328</v>
      </c>
      <c r="AI119" s="17">
        <f t="shared" si="116"/>
        <v>322.81662101208167</v>
      </c>
    </row>
    <row r="120" spans="1:35">
      <c r="A120" s="6">
        <f t="shared" si="117"/>
        <v>2016</v>
      </c>
      <c r="B120" s="17">
        <f t="shared" ref="B120:G120" si="164">B34-B77</f>
        <v>33836.115188876356</v>
      </c>
      <c r="C120" s="17">
        <f t="shared" si="164"/>
        <v>144661.42635762802</v>
      </c>
      <c r="D120" s="17">
        <f t="shared" si="164"/>
        <v>88920</v>
      </c>
      <c r="E120" s="17">
        <f t="shared" si="164"/>
        <v>369359.89556408743</v>
      </c>
      <c r="F120" s="17">
        <f t="shared" si="164"/>
        <v>11576.430928476257</v>
      </c>
      <c r="G120" s="17">
        <f t="shared" si="164"/>
        <v>29149.332475706789</v>
      </c>
      <c r="H120" s="17">
        <f t="shared" si="109"/>
        <v>677503.20051477489</v>
      </c>
      <c r="I120" s="17">
        <f t="shared" si="157"/>
        <v>12185.71676681719</v>
      </c>
      <c r="J120" s="17">
        <f t="shared" si="157"/>
        <v>30683.507869164736</v>
      </c>
      <c r="K120" s="17">
        <f t="shared" si="110"/>
        <v>42869.224635981926</v>
      </c>
      <c r="M120" s="6">
        <f t="shared" si="119"/>
        <v>2016</v>
      </c>
      <c r="N120" s="17">
        <f t="shared" ref="N120:S120" si="165">N34-N77</f>
        <v>1577.5641734881319</v>
      </c>
      <c r="O120" s="17">
        <f t="shared" si="165"/>
        <v>22638.333810389915</v>
      </c>
      <c r="P120" s="17">
        <f t="shared" si="165"/>
        <v>0</v>
      </c>
      <c r="Q120" s="17">
        <f t="shared" si="165"/>
        <v>71287.053156335605</v>
      </c>
      <c r="R120" s="17">
        <f t="shared" si="165"/>
        <v>0</v>
      </c>
      <c r="S120" s="17">
        <f t="shared" si="165"/>
        <v>1740.8777372896675</v>
      </c>
      <c r="T120" s="17">
        <f t="shared" si="112"/>
        <v>97243.828877503329</v>
      </c>
      <c r="U120" s="17">
        <f t="shared" si="159"/>
        <v>11576.430928476293</v>
      </c>
      <c r="V120" s="17">
        <f t="shared" si="159"/>
        <v>29149.332475706426</v>
      </c>
      <c r="W120" s="17">
        <f t="shared" si="113"/>
        <v>40725.763404182719</v>
      </c>
      <c r="Y120" s="6">
        <f t="shared" si="121"/>
        <v>2016</v>
      </c>
      <c r="Z120" s="17">
        <f t="shared" si="114"/>
        <v>32258.551015388224</v>
      </c>
      <c r="AA120" s="17">
        <f t="shared" si="102"/>
        <v>122023.09254723811</v>
      </c>
      <c r="AB120" s="17">
        <f t="shared" si="103"/>
        <v>88920</v>
      </c>
      <c r="AC120" s="17">
        <f t="shared" si="104"/>
        <v>298072.84240775183</v>
      </c>
      <c r="AD120" s="17">
        <f t="shared" si="105"/>
        <v>11576.430928476257</v>
      </c>
      <c r="AE120" s="17">
        <f t="shared" si="106"/>
        <v>27408.454738417124</v>
      </c>
      <c r="AF120" s="17">
        <f t="shared" si="115"/>
        <v>580259.3716372716</v>
      </c>
      <c r="AG120" s="17">
        <f t="shared" si="160"/>
        <v>609.28583834089659</v>
      </c>
      <c r="AH120" s="17">
        <f t="shared" si="161"/>
        <v>1534.1753934583103</v>
      </c>
      <c r="AI120" s="17">
        <f t="shared" si="116"/>
        <v>2143.4612317992069</v>
      </c>
    </row>
    <row r="121" spans="1:35">
      <c r="A121" s="6">
        <f t="shared" si="117"/>
        <v>2017</v>
      </c>
      <c r="B121" s="17">
        <f t="shared" ref="B121:G121" si="166">B35-B78</f>
        <v>177869.49892380694</v>
      </c>
      <c r="C121" s="17">
        <f t="shared" si="166"/>
        <v>99118.306989817356</v>
      </c>
      <c r="D121" s="17">
        <f t="shared" si="166"/>
        <v>0</v>
      </c>
      <c r="E121" s="17">
        <f t="shared" si="166"/>
        <v>696406.52112351498</v>
      </c>
      <c r="F121" s="17">
        <f t="shared" si="166"/>
        <v>19649.7397951967</v>
      </c>
      <c r="G121" s="17">
        <f t="shared" si="166"/>
        <v>-3897.5446865922531</v>
      </c>
      <c r="H121" s="17">
        <f t="shared" si="109"/>
        <v>989146.52214574371</v>
      </c>
      <c r="I121" s="17">
        <f t="shared" si="157"/>
        <v>20683.936626522845</v>
      </c>
      <c r="J121" s="17">
        <f t="shared" si="157"/>
        <v>-4102.6786174653098</v>
      </c>
      <c r="K121" s="17">
        <f t="shared" si="110"/>
        <v>16581.258009057536</v>
      </c>
      <c r="M121" s="6">
        <f t="shared" si="119"/>
        <v>2017</v>
      </c>
      <c r="N121" s="17">
        <f t="shared" ref="N121:S121" si="167">N35-N78</f>
        <v>1879.3738284613937</v>
      </c>
      <c r="O121" s="17">
        <f t="shared" si="167"/>
        <v>1241.2341926720346</v>
      </c>
      <c r="P121" s="17">
        <f t="shared" si="167"/>
        <v>0</v>
      </c>
      <c r="Q121" s="17">
        <f t="shared" si="167"/>
        <v>22439.663417100703</v>
      </c>
      <c r="R121" s="17">
        <f t="shared" si="167"/>
        <v>0</v>
      </c>
      <c r="S121" s="17">
        <f t="shared" si="167"/>
        <v>5522.7733998700933</v>
      </c>
      <c r="T121" s="17">
        <f t="shared" si="112"/>
        <v>31083.044838104222</v>
      </c>
      <c r="U121" s="17">
        <f t="shared" si="159"/>
        <v>19649.739795196714</v>
      </c>
      <c r="V121" s="17">
        <f t="shared" si="159"/>
        <v>-3897.5446865921222</v>
      </c>
      <c r="W121" s="17">
        <f t="shared" si="113"/>
        <v>15752.195108604592</v>
      </c>
      <c r="Y121" s="6">
        <f t="shared" si="121"/>
        <v>2017</v>
      </c>
      <c r="Z121" s="17">
        <f t="shared" si="114"/>
        <v>175990.12509534555</v>
      </c>
      <c r="AA121" s="17">
        <f t="shared" si="102"/>
        <v>97877.072797145316</v>
      </c>
      <c r="AB121" s="17">
        <f t="shared" si="103"/>
        <v>0</v>
      </c>
      <c r="AC121" s="17">
        <f t="shared" si="104"/>
        <v>673966.8577064143</v>
      </c>
      <c r="AD121" s="17">
        <f t="shared" si="105"/>
        <v>19649.7397951967</v>
      </c>
      <c r="AE121" s="17">
        <f t="shared" si="106"/>
        <v>-9420.3180864623464</v>
      </c>
      <c r="AF121" s="17">
        <f t="shared" si="115"/>
        <v>958063.47730763955</v>
      </c>
      <c r="AG121" s="17">
        <f t="shared" si="160"/>
        <v>1034.1968313261314</v>
      </c>
      <c r="AH121" s="17">
        <f t="shared" si="161"/>
        <v>-205.13393087318764</v>
      </c>
      <c r="AI121" s="17">
        <f t="shared" si="116"/>
        <v>829.06290045294372</v>
      </c>
    </row>
    <row r="122" spans="1:35">
      <c r="A122" s="6">
        <f t="shared" si="117"/>
        <v>2018</v>
      </c>
      <c r="B122" s="17">
        <f t="shared" ref="B122:G122" si="168">B36-B79</f>
        <v>622489.92850976344</v>
      </c>
      <c r="C122" s="17">
        <f t="shared" si="168"/>
        <v>140865.66738489945</v>
      </c>
      <c r="D122" s="17">
        <f t="shared" si="168"/>
        <v>0</v>
      </c>
      <c r="E122" s="17">
        <f t="shared" si="168"/>
        <v>846395.26116587548</v>
      </c>
      <c r="F122" s="17">
        <f t="shared" si="168"/>
        <v>117216.76249901892</v>
      </c>
      <c r="G122" s="17">
        <f t="shared" si="168"/>
        <v>1535704.2730758628</v>
      </c>
      <c r="H122" s="17">
        <f t="shared" si="109"/>
        <v>3262671.89263542</v>
      </c>
      <c r="I122" s="17">
        <f t="shared" si="157"/>
        <v>123386.06578844093</v>
      </c>
      <c r="J122" s="17">
        <f t="shared" si="157"/>
        <v>1616530.8137640664</v>
      </c>
      <c r="K122" s="17">
        <f t="shared" si="110"/>
        <v>1739916.8795525073</v>
      </c>
      <c r="M122" s="6">
        <f t="shared" si="119"/>
        <v>2018</v>
      </c>
      <c r="N122" s="17">
        <f t="shared" ref="N122:S122" si="169">N36-N79</f>
        <v>82599.954514441662</v>
      </c>
      <c r="O122" s="17">
        <f t="shared" si="169"/>
        <v>8498.9088760994346</v>
      </c>
      <c r="P122" s="17">
        <f t="shared" si="169"/>
        <v>0</v>
      </c>
      <c r="Q122" s="17">
        <f t="shared" si="169"/>
        <v>73234.334173495066</v>
      </c>
      <c r="R122" s="17">
        <f t="shared" si="169"/>
        <v>0</v>
      </c>
      <c r="S122" s="17">
        <f t="shared" si="169"/>
        <v>50450.168527819973</v>
      </c>
      <c r="T122" s="17">
        <f t="shared" si="112"/>
        <v>214783.36609185615</v>
      </c>
      <c r="U122" s="17">
        <f t="shared" si="159"/>
        <v>117216.76249901892</v>
      </c>
      <c r="V122" s="17">
        <f t="shared" si="159"/>
        <v>1535704.2730758628</v>
      </c>
      <c r="W122" s="17">
        <f t="shared" si="113"/>
        <v>1652921.0355748818</v>
      </c>
      <c r="Y122" s="6">
        <f t="shared" si="121"/>
        <v>2018</v>
      </c>
      <c r="Z122" s="17">
        <f t="shared" si="114"/>
        <v>539889.97399532178</v>
      </c>
      <c r="AA122" s="17">
        <f t="shared" si="102"/>
        <v>132366.75850880001</v>
      </c>
      <c r="AB122" s="17">
        <f t="shared" si="103"/>
        <v>0</v>
      </c>
      <c r="AC122" s="17">
        <f t="shared" si="104"/>
        <v>773160.92699238041</v>
      </c>
      <c r="AD122" s="17">
        <f t="shared" si="105"/>
        <v>117216.76249901892</v>
      </c>
      <c r="AE122" s="17">
        <f t="shared" si="106"/>
        <v>1485254.1045480429</v>
      </c>
      <c r="AF122" s="17">
        <f t="shared" si="115"/>
        <v>3047888.5265435642</v>
      </c>
      <c r="AG122" s="17">
        <f t="shared" si="160"/>
        <v>6169.3032894220087</v>
      </c>
      <c r="AH122" s="17">
        <f t="shared" si="161"/>
        <v>80826.540688203648</v>
      </c>
      <c r="AI122" s="17">
        <f t="shared" si="116"/>
        <v>86995.843977625656</v>
      </c>
    </row>
    <row r="123" spans="1:35">
      <c r="A123" s="6">
        <f t="shared" si="117"/>
        <v>2019</v>
      </c>
      <c r="B123" s="17">
        <f t="shared" ref="B123:G123" si="170">B37-B80</f>
        <v>742910.7624216699</v>
      </c>
      <c r="C123" s="17">
        <f t="shared" si="170"/>
        <v>142556.00497239141</v>
      </c>
      <c r="D123" s="17">
        <f t="shared" si="170"/>
        <v>15736.464154038957</v>
      </c>
      <c r="E123" s="17">
        <f t="shared" si="170"/>
        <v>1148511.5788467955</v>
      </c>
      <c r="F123" s="17">
        <f t="shared" si="170"/>
        <v>116432.87912721653</v>
      </c>
      <c r="G123" s="17">
        <f t="shared" si="170"/>
        <v>1737348.8015583456</v>
      </c>
      <c r="H123" s="17">
        <f t="shared" si="109"/>
        <v>3903496.4910804578</v>
      </c>
      <c r="I123" s="17">
        <f t="shared" si="157"/>
        <v>122560.92539707007</v>
      </c>
      <c r="J123" s="17">
        <f t="shared" si="157"/>
        <v>1828788.2121666791</v>
      </c>
      <c r="K123" s="17">
        <f t="shared" si="110"/>
        <v>1951349.1375637492</v>
      </c>
      <c r="M123" s="6">
        <f t="shared" si="119"/>
        <v>2019</v>
      </c>
      <c r="N123" s="17">
        <f t="shared" ref="N123:S123" si="171">N37-N80</f>
        <v>50927.559809703904</v>
      </c>
      <c r="O123" s="17">
        <f t="shared" si="171"/>
        <v>18124.35221352175</v>
      </c>
      <c r="P123" s="17">
        <f t="shared" si="171"/>
        <v>4203.8343167717612</v>
      </c>
      <c r="Q123" s="17">
        <f t="shared" si="171"/>
        <v>176308.04580879095</v>
      </c>
      <c r="R123" s="17">
        <f t="shared" si="171"/>
        <v>0</v>
      </c>
      <c r="S123" s="17">
        <f t="shared" si="171"/>
        <v>69320.329189765383</v>
      </c>
      <c r="T123" s="17">
        <f t="shared" si="112"/>
        <v>318884.12133855373</v>
      </c>
      <c r="U123" s="17">
        <f t="shared" si="159"/>
        <v>116432.87912721664</v>
      </c>
      <c r="V123" s="17">
        <f t="shared" si="159"/>
        <v>1737348.8015583456</v>
      </c>
      <c r="W123" s="17">
        <f t="shared" si="113"/>
        <v>1853781.6806855621</v>
      </c>
      <c r="Y123" s="6">
        <f t="shared" si="121"/>
        <v>2019</v>
      </c>
      <c r="Z123" s="17">
        <f t="shared" si="114"/>
        <v>691983.20261196606</v>
      </c>
      <c r="AA123" s="17">
        <f t="shared" si="102"/>
        <v>124431.65275886966</v>
      </c>
      <c r="AB123" s="17">
        <f t="shared" si="103"/>
        <v>11532.629837267195</v>
      </c>
      <c r="AC123" s="17">
        <f t="shared" si="104"/>
        <v>972203.53303800453</v>
      </c>
      <c r="AD123" s="17">
        <f t="shared" si="105"/>
        <v>116432.87912721653</v>
      </c>
      <c r="AE123" s="17">
        <f t="shared" si="106"/>
        <v>1668028.4723685803</v>
      </c>
      <c r="AF123" s="17">
        <f t="shared" si="115"/>
        <v>3584612.3697419045</v>
      </c>
      <c r="AG123" s="17">
        <f t="shared" si="160"/>
        <v>6128.0462698534247</v>
      </c>
      <c r="AH123" s="17">
        <f t="shared" si="161"/>
        <v>91439.410608333535</v>
      </c>
      <c r="AI123" s="17">
        <f t="shared" si="116"/>
        <v>97567.45687818696</v>
      </c>
    </row>
    <row r="124" spans="1:35">
      <c r="A124" s="6">
        <f t="shared" si="117"/>
        <v>2020</v>
      </c>
      <c r="B124" s="17">
        <f t="shared" ref="B124:G124" si="172">B38-B81</f>
        <v>1021247.2165018725</v>
      </c>
      <c r="C124" s="17">
        <f t="shared" si="172"/>
        <v>153366.69817284751</v>
      </c>
      <c r="D124" s="17">
        <f t="shared" si="172"/>
        <v>86324.074915970967</v>
      </c>
      <c r="E124" s="17">
        <f t="shared" si="172"/>
        <v>1230894.018105194</v>
      </c>
      <c r="F124" s="17">
        <f t="shared" si="172"/>
        <v>107855.19698119262</v>
      </c>
      <c r="G124" s="17">
        <f t="shared" si="172"/>
        <v>538692.28979558242</v>
      </c>
      <c r="H124" s="17">
        <f t="shared" si="109"/>
        <v>3138379.4944726601</v>
      </c>
      <c r="I124" s="17">
        <f t="shared" si="157"/>
        <v>113531.78629599221</v>
      </c>
      <c r="J124" s="17">
        <f t="shared" si="157"/>
        <v>567044.51557429717</v>
      </c>
      <c r="K124" s="17">
        <f t="shared" si="110"/>
        <v>680576.30187028938</v>
      </c>
      <c r="M124" s="6">
        <f t="shared" si="119"/>
        <v>2020</v>
      </c>
      <c r="N124" s="17">
        <f t="shared" ref="N124:S124" si="173">N38-N81</f>
        <v>65624.917807414313</v>
      </c>
      <c r="O124" s="17">
        <f t="shared" si="173"/>
        <v>9133.1300374089478</v>
      </c>
      <c r="P124" s="17">
        <f t="shared" si="173"/>
        <v>22721.171119767416</v>
      </c>
      <c r="Q124" s="17">
        <f t="shared" si="173"/>
        <v>142374.41888644756</v>
      </c>
      <c r="R124" s="17">
        <f t="shared" si="173"/>
        <v>0</v>
      </c>
      <c r="S124" s="17">
        <f t="shared" si="173"/>
        <v>52387.467054594483</v>
      </c>
      <c r="T124" s="17">
        <f t="shared" si="112"/>
        <v>292241.10490563273</v>
      </c>
      <c r="U124" s="17">
        <f t="shared" si="159"/>
        <v>107855.19698119262</v>
      </c>
      <c r="V124" s="17">
        <f t="shared" si="159"/>
        <v>538692.28979558242</v>
      </c>
      <c r="W124" s="17">
        <f t="shared" si="113"/>
        <v>646547.48677677498</v>
      </c>
      <c r="Y124" s="6">
        <f t="shared" si="121"/>
        <v>2020</v>
      </c>
      <c r="Z124" s="17">
        <f t="shared" si="114"/>
        <v>955622.29869445821</v>
      </c>
      <c r="AA124" s="17">
        <f t="shared" si="102"/>
        <v>144233.56813543855</v>
      </c>
      <c r="AB124" s="17">
        <f t="shared" si="103"/>
        <v>63602.903796203551</v>
      </c>
      <c r="AC124" s="17">
        <f t="shared" si="104"/>
        <v>1088519.5992187464</v>
      </c>
      <c r="AD124" s="17">
        <f t="shared" si="105"/>
        <v>107855.19698119262</v>
      </c>
      <c r="AE124" s="17">
        <f t="shared" si="106"/>
        <v>486304.82274098793</v>
      </c>
      <c r="AF124" s="17">
        <f t="shared" si="115"/>
        <v>2846138.3895670269</v>
      </c>
      <c r="AG124" s="17">
        <f t="shared" si="160"/>
        <v>5676.5893147995812</v>
      </c>
      <c r="AH124" s="17">
        <f t="shared" si="161"/>
        <v>28352.225778714754</v>
      </c>
      <c r="AI124" s="17">
        <f t="shared" si="116"/>
        <v>34028.815093514335</v>
      </c>
    </row>
    <row r="125" spans="1:35">
      <c r="A125" s="6">
        <f t="shared" si="117"/>
        <v>2021</v>
      </c>
      <c r="B125" s="17">
        <f t="shared" ref="B125:G125" si="174">B39-B82</f>
        <v>1916071.6882031262</v>
      </c>
      <c r="C125" s="17">
        <f t="shared" si="174"/>
        <v>187433.36729035468</v>
      </c>
      <c r="D125" s="17">
        <f t="shared" si="174"/>
        <v>259640.30680878507</v>
      </c>
      <c r="E125" s="17">
        <f t="shared" si="174"/>
        <v>1048224.8157236278</v>
      </c>
      <c r="F125" s="17">
        <f t="shared" si="174"/>
        <v>489049.49075149908</v>
      </c>
      <c r="G125" s="17">
        <f t="shared" si="174"/>
        <v>870261.1880629356</v>
      </c>
      <c r="H125" s="17">
        <f t="shared" si="109"/>
        <v>4770680.8568403292</v>
      </c>
      <c r="I125" s="17">
        <f t="shared" si="157"/>
        <v>514788.93763315724</v>
      </c>
      <c r="J125" s="17">
        <f t="shared" si="157"/>
        <v>916064.40848730085</v>
      </c>
      <c r="K125" s="17">
        <f t="shared" si="110"/>
        <v>1430853.3461204581</v>
      </c>
      <c r="M125" s="6">
        <f t="shared" si="119"/>
        <v>2021</v>
      </c>
      <c r="N125" s="17">
        <f t="shared" ref="N125:S125" si="175">N39-N82</f>
        <v>57669.719209940347</v>
      </c>
      <c r="O125" s="17">
        <f t="shared" si="175"/>
        <v>5229.7666762789013</v>
      </c>
      <c r="P125" s="17">
        <f t="shared" si="175"/>
        <v>53405.372073123639</v>
      </c>
      <c r="Q125" s="17">
        <f t="shared" si="175"/>
        <v>96756.185829847935</v>
      </c>
      <c r="R125" s="17">
        <f t="shared" si="175"/>
        <v>0</v>
      </c>
      <c r="S125" s="17">
        <f t="shared" si="175"/>
        <v>75142.937524167821</v>
      </c>
      <c r="T125" s="17">
        <f t="shared" si="112"/>
        <v>288203.98131335864</v>
      </c>
      <c r="U125" s="17">
        <f t="shared" si="159"/>
        <v>489049.49075149931</v>
      </c>
      <c r="V125" s="17">
        <f t="shared" si="159"/>
        <v>870261.1880629356</v>
      </c>
      <c r="W125" s="17">
        <f t="shared" si="113"/>
        <v>1359310.6788144349</v>
      </c>
      <c r="Y125" s="6">
        <f t="shared" si="121"/>
        <v>2021</v>
      </c>
      <c r="Z125" s="17">
        <f t="shared" si="114"/>
        <v>1858401.9689931858</v>
      </c>
      <c r="AA125" s="17">
        <f t="shared" si="102"/>
        <v>182203.60061407578</v>
      </c>
      <c r="AB125" s="17">
        <f t="shared" si="103"/>
        <v>206234.93473566143</v>
      </c>
      <c r="AC125" s="17">
        <f t="shared" si="104"/>
        <v>951468.62989377987</v>
      </c>
      <c r="AD125" s="17">
        <f t="shared" si="105"/>
        <v>489049.49075149908</v>
      </c>
      <c r="AE125" s="17">
        <f t="shared" si="106"/>
        <v>795118.25053876778</v>
      </c>
      <c r="AF125" s="17">
        <f t="shared" si="115"/>
        <v>4482476.8755269703</v>
      </c>
      <c r="AG125" s="17">
        <f t="shared" si="160"/>
        <v>25739.446881657932</v>
      </c>
      <c r="AH125" s="17">
        <f t="shared" si="161"/>
        <v>45803.220424365252</v>
      </c>
      <c r="AI125" s="17">
        <f t="shared" si="116"/>
        <v>71542.667306023184</v>
      </c>
    </row>
    <row r="126" spans="1:35">
      <c r="A126" s="6">
        <f t="shared" si="117"/>
        <v>2022</v>
      </c>
      <c r="B126" s="17">
        <f t="shared" ref="B126:G126" si="176">B40-B83</f>
        <v>2413167.6226499993</v>
      </c>
      <c r="C126" s="17">
        <f t="shared" si="176"/>
        <v>694550.62912209239</v>
      </c>
      <c r="D126" s="17">
        <f t="shared" si="176"/>
        <v>307497.0159</v>
      </c>
      <c r="E126" s="17">
        <f t="shared" si="176"/>
        <v>807622.23084161198</v>
      </c>
      <c r="F126" s="17">
        <f t="shared" si="176"/>
        <v>465465.8385718097</v>
      </c>
      <c r="G126" s="17">
        <f t="shared" si="176"/>
        <v>534298.35966730677</v>
      </c>
      <c r="H126" s="17">
        <f t="shared" si="109"/>
        <v>5222601.6967528202</v>
      </c>
      <c r="I126" s="17">
        <f t="shared" si="157"/>
        <v>489964.04060190497</v>
      </c>
      <c r="J126" s="17">
        <f t="shared" si="157"/>
        <v>562419.32596558612</v>
      </c>
      <c r="K126" s="17">
        <f t="shared" si="110"/>
        <v>1052383.3665674911</v>
      </c>
      <c r="M126" s="6">
        <f t="shared" si="119"/>
        <v>2022</v>
      </c>
      <c r="N126" s="17">
        <f t="shared" ref="N126:S126" si="177">N40-N83</f>
        <v>68377.417505687219</v>
      </c>
      <c r="O126" s="17">
        <f t="shared" si="177"/>
        <v>16313.71046387832</v>
      </c>
      <c r="P126" s="17">
        <f t="shared" si="177"/>
        <v>22606.070830917481</v>
      </c>
      <c r="Q126" s="17">
        <f t="shared" si="177"/>
        <v>58354.772016846226</v>
      </c>
      <c r="R126" s="17">
        <f t="shared" si="177"/>
        <v>0</v>
      </c>
      <c r="S126" s="17">
        <f t="shared" si="177"/>
        <v>44095.802553148358</v>
      </c>
      <c r="T126" s="17">
        <f t="shared" si="112"/>
        <v>209747.7733704776</v>
      </c>
      <c r="U126" s="17">
        <f t="shared" si="159"/>
        <v>465465.8385718097</v>
      </c>
      <c r="V126" s="17">
        <f t="shared" si="159"/>
        <v>534298.35966730677</v>
      </c>
      <c r="W126" s="17">
        <f t="shared" si="113"/>
        <v>999764.19823911646</v>
      </c>
      <c r="Y126" s="6">
        <f t="shared" si="121"/>
        <v>2022</v>
      </c>
      <c r="Z126" s="17">
        <f t="shared" si="114"/>
        <v>2344790.2051443122</v>
      </c>
      <c r="AA126" s="17">
        <f t="shared" si="102"/>
        <v>678236.91865821404</v>
      </c>
      <c r="AB126" s="17">
        <f t="shared" si="103"/>
        <v>284890.94506908255</v>
      </c>
      <c r="AC126" s="17">
        <f t="shared" si="104"/>
        <v>749267.45882476575</v>
      </c>
      <c r="AD126" s="17">
        <f t="shared" si="105"/>
        <v>465465.8385718097</v>
      </c>
      <c r="AE126" s="17">
        <f t="shared" si="106"/>
        <v>490202.55711415841</v>
      </c>
      <c r="AF126" s="17">
        <f t="shared" si="115"/>
        <v>5012853.9233823428</v>
      </c>
      <c r="AG126" s="17">
        <f t="shared" si="160"/>
        <v>24498.202030095272</v>
      </c>
      <c r="AH126" s="17">
        <f t="shared" si="161"/>
        <v>28120.966298279352</v>
      </c>
      <c r="AI126" s="17">
        <f t="shared" si="116"/>
        <v>52619.168328374624</v>
      </c>
    </row>
    <row r="127" spans="1:35">
      <c r="A127" s="1"/>
      <c r="B127" s="200"/>
      <c r="C127" s="200"/>
      <c r="D127" s="200"/>
      <c r="E127" s="200"/>
      <c r="F127" s="200"/>
      <c r="G127" s="200"/>
      <c r="H127" s="200"/>
      <c r="I127" s="200"/>
      <c r="J127" s="200"/>
      <c r="K127" s="200"/>
      <c r="M127" s="1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Y127" s="1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</row>
    <row r="128" spans="1:35">
      <c r="A128" s="1"/>
      <c r="B128" s="191"/>
      <c r="C128" s="191"/>
      <c r="D128" s="1"/>
      <c r="E128" s="1"/>
      <c r="F128" s="1"/>
      <c r="G128" s="1"/>
      <c r="H128" s="1"/>
      <c r="I128" s="1"/>
      <c r="J128" s="1"/>
      <c r="K128" s="1"/>
      <c r="M128" s="1"/>
      <c r="N128" s="191"/>
      <c r="O128" s="191"/>
      <c r="P128" s="1"/>
      <c r="Q128" s="1"/>
      <c r="R128" s="1"/>
      <c r="S128" s="1"/>
      <c r="T128" s="1"/>
      <c r="U128" s="1"/>
      <c r="V128" s="1"/>
      <c r="W128" s="1"/>
      <c r="Y128" s="1"/>
      <c r="Z128" s="191"/>
      <c r="AA128" s="191"/>
      <c r="AB128" s="1"/>
      <c r="AC128" s="1"/>
      <c r="AD128" s="1"/>
      <c r="AE128" s="1"/>
      <c r="AF128" s="1"/>
      <c r="AG128" s="1"/>
      <c r="AH128" s="1"/>
      <c r="AI128" s="1"/>
    </row>
    <row r="129" spans="1:35">
      <c r="A129" s="2" t="s">
        <v>0</v>
      </c>
      <c r="B129" s="16">
        <f>SUM(B98:B126)</f>
        <v>6934569.6021420341</v>
      </c>
      <c r="C129" s="16">
        <f t="shared" ref="C129:J129" si="178">SUM(C98:C126)</f>
        <v>1569939.5208905472</v>
      </c>
      <c r="D129" s="16">
        <f t="shared" si="178"/>
        <v>758117.86177879502</v>
      </c>
      <c r="E129" s="16">
        <f t="shared" si="178"/>
        <v>6172405.2858783025</v>
      </c>
      <c r="F129" s="16">
        <f t="shared" si="178"/>
        <v>1330499.1715701954</v>
      </c>
      <c r="G129" s="16">
        <f t="shared" si="178"/>
        <v>5249480.4128282443</v>
      </c>
      <c r="H129" s="16">
        <f t="shared" si="178"/>
        <v>22015011.855088118</v>
      </c>
      <c r="I129" s="16">
        <f t="shared" si="178"/>
        <v>1400525.4437581005</v>
      </c>
      <c r="J129" s="16">
        <f t="shared" si="178"/>
        <v>5525768.8556086784</v>
      </c>
      <c r="K129" s="16">
        <f>SUM(K98:K126)</f>
        <v>6926294.2993667796</v>
      </c>
      <c r="M129" s="2" t="s">
        <v>0</v>
      </c>
      <c r="N129" s="16">
        <f>SUM(N98:N126)</f>
        <v>328656.50684913696</v>
      </c>
      <c r="O129" s="16">
        <f t="shared" ref="O129:W129" si="179">SUM(O98:O126)</f>
        <v>81288.867318163844</v>
      </c>
      <c r="P129" s="16">
        <f t="shared" si="179"/>
        <v>102936.4273405803</v>
      </c>
      <c r="Q129" s="16">
        <f t="shared" si="179"/>
        <v>643061.485473315</v>
      </c>
      <c r="R129" s="16">
        <f t="shared" si="179"/>
        <v>0</v>
      </c>
      <c r="S129" s="16">
        <f t="shared" si="179"/>
        <v>298993.94724045851</v>
      </c>
      <c r="T129" s="16">
        <f t="shared" si="179"/>
        <v>1454937.2342216547</v>
      </c>
      <c r="U129" s="16">
        <f t="shared" si="179"/>
        <v>1330499.1715701956</v>
      </c>
      <c r="V129" s="16">
        <f t="shared" si="179"/>
        <v>5249480.4128282443</v>
      </c>
      <c r="W129" s="16">
        <f t="shared" si="179"/>
        <v>6579979.5843984392</v>
      </c>
      <c r="Y129" s="2" t="s">
        <v>0</v>
      </c>
      <c r="Z129" s="16">
        <f>SUM(Z98:Z126)</f>
        <v>6605913.0952928979</v>
      </c>
      <c r="AA129" s="16">
        <f t="shared" ref="AA129:AI129" si="180">SUM(AA98:AA126)</f>
        <v>1488650.6535723833</v>
      </c>
      <c r="AB129" s="16">
        <f t="shared" si="180"/>
        <v>655181.43443821475</v>
      </c>
      <c r="AC129" s="16">
        <f t="shared" si="180"/>
        <v>5529343.8004049873</v>
      </c>
      <c r="AD129" s="16">
        <f t="shared" si="180"/>
        <v>1330499.1715701954</v>
      </c>
      <c r="AE129" s="16">
        <f t="shared" si="180"/>
        <v>4950486.4655877864</v>
      </c>
      <c r="AF129" s="16">
        <f t="shared" si="180"/>
        <v>20560074.620866466</v>
      </c>
      <c r="AG129" s="16">
        <f t="shared" si="180"/>
        <v>70026.27218790495</v>
      </c>
      <c r="AH129" s="16">
        <f t="shared" si="180"/>
        <v>276288.4427804341</v>
      </c>
      <c r="AI129" s="16">
        <f t="shared" si="180"/>
        <v>346314.71496833907</v>
      </c>
    </row>
    <row r="130" spans="1:35">
      <c r="A130" s="2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M130" s="2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Y130" s="2"/>
      <c r="Z130" s="16"/>
      <c r="AA130" s="16"/>
      <c r="AB130" s="16"/>
      <c r="AC130" s="16"/>
      <c r="AD130" s="16"/>
      <c r="AE130" s="16"/>
      <c r="AF130" s="16"/>
    </row>
    <row r="131" spans="1:35">
      <c r="D131" s="4" t="s">
        <v>873</v>
      </c>
      <c r="J131" s="4" t="s">
        <v>1455</v>
      </c>
      <c r="P131" s="4" t="s">
        <v>873</v>
      </c>
      <c r="V131" s="4" t="s">
        <v>1455</v>
      </c>
      <c r="AB131" s="4" t="s">
        <v>873</v>
      </c>
      <c r="AH131" s="4" t="s">
        <v>1455</v>
      </c>
    </row>
    <row r="133" spans="1:35">
      <c r="A133" s="1"/>
      <c r="B133" s="1"/>
      <c r="C133" s="1"/>
      <c r="D133" s="6" t="s">
        <v>1448</v>
      </c>
      <c r="E133" s="1"/>
      <c r="F133" s="1"/>
      <c r="G133" s="1"/>
      <c r="H133" s="1"/>
      <c r="I133" s="1"/>
      <c r="J133" s="6" t="s">
        <v>1448</v>
      </c>
      <c r="K133" s="1"/>
      <c r="M133" s="1"/>
      <c r="N133" s="1"/>
      <c r="O133" s="1"/>
      <c r="P133" s="6" t="s">
        <v>1453</v>
      </c>
      <c r="Q133" s="1"/>
      <c r="R133" s="1"/>
      <c r="S133" s="1"/>
      <c r="T133" s="1"/>
      <c r="U133" s="1"/>
      <c r="V133" s="6" t="s">
        <v>1453</v>
      </c>
      <c r="W133" s="1"/>
      <c r="Y133" s="1"/>
      <c r="Z133" s="1"/>
      <c r="AA133" s="1"/>
      <c r="AB133" s="6" t="s">
        <v>1454</v>
      </c>
      <c r="AC133" s="1"/>
      <c r="AD133" s="1"/>
      <c r="AE133" s="1"/>
      <c r="AF133" s="1"/>
      <c r="AH133" s="6" t="s">
        <v>1454</v>
      </c>
    </row>
    <row r="134" spans="1:35">
      <c r="A134" s="1"/>
      <c r="B134" s="1"/>
      <c r="C134" s="1"/>
      <c r="D134" s="6" t="s">
        <v>1452</v>
      </c>
      <c r="E134" s="1"/>
      <c r="F134" s="1"/>
      <c r="G134" s="1"/>
      <c r="H134" s="1"/>
      <c r="I134" s="1"/>
      <c r="J134" s="6" t="s">
        <v>1452</v>
      </c>
      <c r="K134" s="1"/>
      <c r="M134" s="1"/>
      <c r="N134" s="1"/>
      <c r="O134" s="1"/>
      <c r="P134" s="6" t="s">
        <v>1452</v>
      </c>
      <c r="Q134" s="1"/>
      <c r="R134" s="1"/>
      <c r="S134" s="1"/>
      <c r="T134" s="1"/>
      <c r="U134" s="1"/>
      <c r="V134" s="6" t="s">
        <v>1452</v>
      </c>
      <c r="W134" s="1"/>
      <c r="Y134" s="1"/>
      <c r="Z134" s="1"/>
      <c r="AA134" s="1"/>
      <c r="AB134" s="6" t="s">
        <v>1452</v>
      </c>
      <c r="AC134" s="1"/>
      <c r="AD134" s="1"/>
      <c r="AE134" s="1"/>
      <c r="AF134" s="1"/>
      <c r="AG134" s="1"/>
      <c r="AH134" s="6" t="s">
        <v>1452</v>
      </c>
    </row>
    <row r="135" spans="1:35">
      <c r="A135" s="1"/>
      <c r="B135" s="1"/>
      <c r="C135" s="1"/>
      <c r="D135" s="6"/>
      <c r="E135" s="1"/>
      <c r="F135" s="1"/>
      <c r="G135" s="1"/>
      <c r="H135" s="1"/>
      <c r="I135" s="1"/>
      <c r="J135" s="1"/>
      <c r="K135" s="1"/>
      <c r="M135" s="1"/>
      <c r="N135" s="1"/>
      <c r="O135" s="1"/>
      <c r="P135" s="6"/>
      <c r="Q135" s="1"/>
      <c r="R135" s="1"/>
      <c r="S135" s="1"/>
      <c r="T135" s="1"/>
      <c r="U135" s="1"/>
      <c r="V135" s="1"/>
      <c r="W135" s="1"/>
      <c r="Y135" s="1"/>
      <c r="Z135" s="1"/>
      <c r="AA135" s="1"/>
      <c r="AB135" s="6"/>
      <c r="AC135" s="1"/>
      <c r="AD135" s="1"/>
      <c r="AE135" s="1"/>
      <c r="AF135" s="1"/>
    </row>
    <row r="136" spans="1:35">
      <c r="A136" s="6" t="s">
        <v>3</v>
      </c>
      <c r="B136" s="6"/>
      <c r="C136" s="6"/>
      <c r="D136" s="6"/>
      <c r="E136" s="6"/>
      <c r="F136" s="6" t="s">
        <v>329</v>
      </c>
      <c r="G136" s="6" t="s">
        <v>478</v>
      </c>
      <c r="H136" s="6" t="s">
        <v>1385</v>
      </c>
      <c r="I136" s="6"/>
      <c r="J136" s="6"/>
      <c r="K136" s="6" t="s">
        <v>703</v>
      </c>
      <c r="M136" s="6" t="s">
        <v>3</v>
      </c>
      <c r="N136" s="6"/>
      <c r="O136" s="6"/>
      <c r="P136" s="6"/>
      <c r="Q136" s="6"/>
      <c r="R136" s="6" t="s">
        <v>329</v>
      </c>
      <c r="S136" s="6" t="s">
        <v>478</v>
      </c>
      <c r="T136" s="6" t="s">
        <v>1385</v>
      </c>
      <c r="W136" s="6" t="s">
        <v>703</v>
      </c>
      <c r="Y136" s="6" t="s">
        <v>3</v>
      </c>
      <c r="Z136" s="6"/>
      <c r="AA136" s="6"/>
      <c r="AB136" s="6"/>
      <c r="AC136" s="6"/>
      <c r="AD136" s="6" t="s">
        <v>329</v>
      </c>
      <c r="AE136" s="6" t="s">
        <v>478</v>
      </c>
      <c r="AF136" s="6" t="s">
        <v>1385</v>
      </c>
      <c r="AI136" s="6" t="s">
        <v>703</v>
      </c>
    </row>
    <row r="137" spans="1:35">
      <c r="A137" s="6" t="s">
        <v>4</v>
      </c>
      <c r="B137" s="6" t="s">
        <v>664</v>
      </c>
      <c r="C137" s="6" t="s">
        <v>1447</v>
      </c>
      <c r="D137" s="6" t="s">
        <v>505</v>
      </c>
      <c r="E137" s="6" t="s">
        <v>505</v>
      </c>
      <c r="F137" s="6" t="s">
        <v>287</v>
      </c>
      <c r="G137" s="6" t="s">
        <v>287</v>
      </c>
      <c r="H137" s="6" t="s">
        <v>0</v>
      </c>
      <c r="I137" s="6" t="s">
        <v>329</v>
      </c>
      <c r="J137" s="6" t="s">
        <v>478</v>
      </c>
      <c r="K137" s="6" t="s">
        <v>0</v>
      </c>
      <c r="M137" s="6" t="s">
        <v>4</v>
      </c>
      <c r="N137" s="6" t="s">
        <v>664</v>
      </c>
      <c r="O137" s="6" t="s">
        <v>1447</v>
      </c>
      <c r="P137" s="6" t="s">
        <v>505</v>
      </c>
      <c r="Q137" s="6" t="s">
        <v>505</v>
      </c>
      <c r="R137" s="6" t="s">
        <v>287</v>
      </c>
      <c r="S137" s="6" t="s">
        <v>287</v>
      </c>
      <c r="T137" s="6" t="s">
        <v>0</v>
      </c>
      <c r="U137" s="6" t="s">
        <v>329</v>
      </c>
      <c r="V137" s="6" t="s">
        <v>478</v>
      </c>
      <c r="W137" s="6" t="s">
        <v>0</v>
      </c>
      <c r="Y137" s="6" t="s">
        <v>4</v>
      </c>
      <c r="Z137" s="6" t="s">
        <v>664</v>
      </c>
      <c r="AA137" s="6" t="s">
        <v>1447</v>
      </c>
      <c r="AB137" s="6" t="s">
        <v>505</v>
      </c>
      <c r="AC137" s="6" t="s">
        <v>505</v>
      </c>
      <c r="AD137" s="6" t="s">
        <v>287</v>
      </c>
      <c r="AE137" s="6" t="s">
        <v>287</v>
      </c>
      <c r="AF137" s="6" t="s">
        <v>0</v>
      </c>
      <c r="AG137" s="6" t="s">
        <v>329</v>
      </c>
      <c r="AH137" s="6" t="s">
        <v>478</v>
      </c>
      <c r="AI137" s="6" t="s">
        <v>0</v>
      </c>
    </row>
    <row r="138" spans="1:35">
      <c r="A138" s="9">
        <v>-1</v>
      </c>
      <c r="B138" s="9">
        <f>A138-1</f>
        <v>-2</v>
      </c>
      <c r="C138" s="9">
        <f t="shared" ref="C138:K138" si="181">B138-1</f>
        <v>-3</v>
      </c>
      <c r="D138" s="9">
        <f t="shared" si="181"/>
        <v>-4</v>
      </c>
      <c r="E138" s="9">
        <f t="shared" si="181"/>
        <v>-5</v>
      </c>
      <c r="F138" s="9">
        <f t="shared" si="181"/>
        <v>-6</v>
      </c>
      <c r="G138" s="9">
        <f t="shared" si="181"/>
        <v>-7</v>
      </c>
      <c r="H138" s="9">
        <f t="shared" si="181"/>
        <v>-8</v>
      </c>
      <c r="I138" s="9">
        <f t="shared" si="181"/>
        <v>-9</v>
      </c>
      <c r="J138" s="9">
        <f t="shared" si="181"/>
        <v>-10</v>
      </c>
      <c r="K138" s="9">
        <f t="shared" si="181"/>
        <v>-11</v>
      </c>
      <c r="M138" s="9">
        <v>-1</v>
      </c>
      <c r="N138" s="9">
        <f>M138-1</f>
        <v>-2</v>
      </c>
      <c r="O138" s="9">
        <f t="shared" ref="O138:W138" si="182">N138-1</f>
        <v>-3</v>
      </c>
      <c r="P138" s="9">
        <f t="shared" si="182"/>
        <v>-4</v>
      </c>
      <c r="Q138" s="9">
        <f t="shared" si="182"/>
        <v>-5</v>
      </c>
      <c r="R138" s="9">
        <f t="shared" si="182"/>
        <v>-6</v>
      </c>
      <c r="S138" s="9">
        <f t="shared" si="182"/>
        <v>-7</v>
      </c>
      <c r="T138" s="9">
        <f t="shared" si="182"/>
        <v>-8</v>
      </c>
      <c r="U138" s="9">
        <f t="shared" si="182"/>
        <v>-9</v>
      </c>
      <c r="V138" s="9">
        <f t="shared" si="182"/>
        <v>-10</v>
      </c>
      <c r="W138" s="9">
        <f t="shared" si="182"/>
        <v>-11</v>
      </c>
      <c r="Y138" s="9">
        <v>-1</v>
      </c>
      <c r="Z138" s="9">
        <f>Y138-1</f>
        <v>-2</v>
      </c>
      <c r="AA138" s="9">
        <f t="shared" ref="AA138:AI138" si="183">Z138-1</f>
        <v>-3</v>
      </c>
      <c r="AB138" s="9">
        <f t="shared" si="183"/>
        <v>-4</v>
      </c>
      <c r="AC138" s="9">
        <f t="shared" si="183"/>
        <v>-5</v>
      </c>
      <c r="AD138" s="9">
        <f t="shared" si="183"/>
        <v>-6</v>
      </c>
      <c r="AE138" s="9">
        <f t="shared" si="183"/>
        <v>-7</v>
      </c>
      <c r="AF138" s="9">
        <f t="shared" si="183"/>
        <v>-8</v>
      </c>
      <c r="AG138" s="9">
        <f t="shared" si="183"/>
        <v>-9</v>
      </c>
      <c r="AH138" s="9">
        <f t="shared" si="183"/>
        <v>-10</v>
      </c>
      <c r="AI138" s="9">
        <f t="shared" si="183"/>
        <v>-11</v>
      </c>
    </row>
    <row r="139" spans="1:35">
      <c r="A139" s="11"/>
      <c r="B139" s="1"/>
      <c r="C139" s="1"/>
      <c r="D139" s="1"/>
      <c r="E139" s="1"/>
      <c r="F139" s="1"/>
      <c r="G139" s="1"/>
      <c r="H139" s="1"/>
      <c r="I139" s="1"/>
      <c r="J139" s="1"/>
      <c r="K139" s="1"/>
      <c r="M139" s="11"/>
      <c r="N139" s="1"/>
      <c r="O139" s="1"/>
      <c r="P139" s="1"/>
      <c r="Q139" s="1"/>
      <c r="R139" s="1"/>
      <c r="S139" s="1"/>
      <c r="T139" s="1"/>
      <c r="U139" s="1"/>
      <c r="V139" s="1"/>
      <c r="W139" s="1"/>
      <c r="Y139" s="11"/>
      <c r="Z139" s="1"/>
      <c r="AA139" s="1"/>
      <c r="AB139" s="1"/>
      <c r="AC139" s="1"/>
      <c r="AD139" s="1"/>
      <c r="AE139" s="1"/>
      <c r="AF139" s="1"/>
    </row>
    <row r="140" spans="1: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Y140" s="1"/>
      <c r="Z140" s="1"/>
      <c r="AA140" s="1"/>
      <c r="AB140" s="1"/>
      <c r="AC140" s="1"/>
      <c r="AD140" s="1"/>
      <c r="AE140" s="1"/>
      <c r="AF140" s="1"/>
    </row>
    <row r="141" spans="1:35">
      <c r="A141" s="6">
        <f>A12</f>
        <v>1994</v>
      </c>
      <c r="B141" s="16">
        <v>0</v>
      </c>
      <c r="C141" s="16">
        <v>0</v>
      </c>
      <c r="D141" s="16">
        <v>0</v>
      </c>
      <c r="E141" s="16">
        <v>0</v>
      </c>
      <c r="F141" s="16">
        <v>0</v>
      </c>
      <c r="G141" s="16">
        <v>0</v>
      </c>
      <c r="H141" s="16">
        <v>0</v>
      </c>
      <c r="I141" s="16">
        <f>F141</f>
        <v>0</v>
      </c>
      <c r="J141" s="16">
        <f>G141</f>
        <v>0</v>
      </c>
      <c r="K141" s="16">
        <f>I141+J141</f>
        <v>0</v>
      </c>
      <c r="M141" s="6">
        <f>A141</f>
        <v>1994</v>
      </c>
      <c r="N141" s="16">
        <v>0</v>
      </c>
      <c r="O141" s="16">
        <v>0</v>
      </c>
      <c r="P141" s="16">
        <v>0</v>
      </c>
      <c r="Q141" s="16">
        <v>0</v>
      </c>
      <c r="R141" s="16">
        <v>0</v>
      </c>
      <c r="S141" s="16">
        <v>0</v>
      </c>
      <c r="T141" s="16">
        <v>0</v>
      </c>
      <c r="U141" s="16">
        <f>I141</f>
        <v>0</v>
      </c>
      <c r="V141" s="16">
        <f>J141</f>
        <v>0</v>
      </c>
      <c r="W141" s="16">
        <f>U141+V141</f>
        <v>0</v>
      </c>
      <c r="Y141" s="6">
        <f>A141</f>
        <v>1994</v>
      </c>
      <c r="Z141" s="16">
        <f>B141-N141</f>
        <v>0</v>
      </c>
      <c r="AA141" s="16">
        <f t="shared" ref="AA141:AA169" si="184">C141-O141</f>
        <v>0</v>
      </c>
      <c r="AB141" s="16">
        <f t="shared" ref="AB141:AB169" si="185">D141-P141</f>
        <v>0</v>
      </c>
      <c r="AC141" s="16">
        <f t="shared" ref="AC141:AC169" si="186">E141-Q141</f>
        <v>0</v>
      </c>
      <c r="AD141" s="16">
        <f t="shared" ref="AD141:AD169" si="187">F141-R141</f>
        <v>0</v>
      </c>
      <c r="AE141" s="16">
        <f t="shared" ref="AE141:AE169" si="188">G141-S141</f>
        <v>0</v>
      </c>
      <c r="AF141" s="16">
        <f>SUM(Z141:AD141)</f>
        <v>0</v>
      </c>
      <c r="AG141" s="16">
        <v>0</v>
      </c>
      <c r="AH141" s="16">
        <v>0</v>
      </c>
      <c r="AI141" s="16">
        <f>AG141+AH141</f>
        <v>0</v>
      </c>
    </row>
    <row r="142" spans="1:35">
      <c r="A142" s="6">
        <f>A141+1</f>
        <v>1995</v>
      </c>
      <c r="B142" s="17">
        <v>0</v>
      </c>
      <c r="C142" s="17">
        <v>0</v>
      </c>
      <c r="D142" s="17">
        <v>0</v>
      </c>
      <c r="E142" s="17">
        <v>0</v>
      </c>
      <c r="F142" s="17">
        <v>0</v>
      </c>
      <c r="G142" s="17">
        <v>0</v>
      </c>
      <c r="H142" s="17">
        <v>0</v>
      </c>
      <c r="I142" s="17">
        <f t="shared" ref="I142:I152" si="189">F142</f>
        <v>0</v>
      </c>
      <c r="J142" s="17">
        <f t="shared" ref="J142:J152" si="190">G142</f>
        <v>0</v>
      </c>
      <c r="K142" s="417">
        <f t="shared" ref="K142:K169" si="191">I142+J142</f>
        <v>0</v>
      </c>
      <c r="M142" s="6">
        <f>M141+1</f>
        <v>1995</v>
      </c>
      <c r="N142" s="17">
        <v>0</v>
      </c>
      <c r="O142" s="17">
        <v>0</v>
      </c>
      <c r="P142" s="17">
        <v>0</v>
      </c>
      <c r="Q142" s="17">
        <v>0</v>
      </c>
      <c r="R142" s="17">
        <v>0</v>
      </c>
      <c r="S142" s="17">
        <v>0</v>
      </c>
      <c r="T142" s="17">
        <v>0</v>
      </c>
      <c r="U142" s="17">
        <f t="shared" ref="U142:U160" si="192">I142</f>
        <v>0</v>
      </c>
      <c r="V142" s="17">
        <f t="shared" ref="V142:V160" si="193">J142</f>
        <v>0</v>
      </c>
      <c r="W142" s="17">
        <f t="shared" ref="W142:W169" si="194">U142+V142</f>
        <v>0</v>
      </c>
      <c r="Y142" s="6">
        <f>Y141+1</f>
        <v>1995</v>
      </c>
      <c r="Z142" s="17">
        <f t="shared" ref="Z142:Z169" si="195">B142-N142</f>
        <v>0</v>
      </c>
      <c r="AA142" s="17">
        <f t="shared" si="184"/>
        <v>0</v>
      </c>
      <c r="AB142" s="17">
        <f t="shared" si="185"/>
        <v>0</v>
      </c>
      <c r="AC142" s="17">
        <f t="shared" si="186"/>
        <v>0</v>
      </c>
      <c r="AD142" s="17">
        <f t="shared" si="187"/>
        <v>0</v>
      </c>
      <c r="AE142" s="17">
        <f t="shared" si="188"/>
        <v>0</v>
      </c>
      <c r="AF142" s="17">
        <f t="shared" ref="AF142:AF169" si="196">SUM(Z142:AE142)</f>
        <v>0</v>
      </c>
      <c r="AG142" s="17">
        <v>0</v>
      </c>
      <c r="AH142" s="17">
        <v>0</v>
      </c>
      <c r="AI142" s="417">
        <f t="shared" ref="AI142:AI169" si="197">AG142+AH142</f>
        <v>0</v>
      </c>
    </row>
    <row r="143" spans="1:35">
      <c r="A143" s="6">
        <f t="shared" ref="A143:A169" si="198">A142+1</f>
        <v>1996</v>
      </c>
      <c r="B143" s="17">
        <v>0</v>
      </c>
      <c r="C143" s="17">
        <v>0</v>
      </c>
      <c r="D143" s="17">
        <v>0</v>
      </c>
      <c r="E143" s="17">
        <v>0</v>
      </c>
      <c r="F143" s="17">
        <v>0</v>
      </c>
      <c r="G143" s="17">
        <v>0</v>
      </c>
      <c r="H143" s="17">
        <v>0</v>
      </c>
      <c r="I143" s="17">
        <f t="shared" si="189"/>
        <v>0</v>
      </c>
      <c r="J143" s="17">
        <f t="shared" si="190"/>
        <v>0</v>
      </c>
      <c r="K143" s="417">
        <f t="shared" si="191"/>
        <v>0</v>
      </c>
      <c r="M143" s="6">
        <f t="shared" ref="M143:M169" si="199">M142+1</f>
        <v>1996</v>
      </c>
      <c r="N143" s="17">
        <v>0</v>
      </c>
      <c r="O143" s="17">
        <v>0</v>
      </c>
      <c r="P143" s="17">
        <v>0</v>
      </c>
      <c r="Q143" s="17">
        <v>0</v>
      </c>
      <c r="R143" s="17">
        <v>0</v>
      </c>
      <c r="S143" s="17">
        <v>0</v>
      </c>
      <c r="T143" s="17">
        <v>0</v>
      </c>
      <c r="U143" s="17">
        <f t="shared" si="192"/>
        <v>0</v>
      </c>
      <c r="V143" s="17">
        <f t="shared" si="193"/>
        <v>0</v>
      </c>
      <c r="W143" s="17">
        <f t="shared" si="194"/>
        <v>0</v>
      </c>
      <c r="Y143" s="6">
        <f t="shared" ref="Y143:Y169" si="200">Y142+1</f>
        <v>1996</v>
      </c>
      <c r="Z143" s="17">
        <f t="shared" si="195"/>
        <v>0</v>
      </c>
      <c r="AA143" s="17">
        <f t="shared" si="184"/>
        <v>0</v>
      </c>
      <c r="AB143" s="17">
        <f t="shared" si="185"/>
        <v>0</v>
      </c>
      <c r="AC143" s="17">
        <f t="shared" si="186"/>
        <v>0</v>
      </c>
      <c r="AD143" s="17">
        <f t="shared" si="187"/>
        <v>0</v>
      </c>
      <c r="AE143" s="17">
        <f t="shared" si="188"/>
        <v>0</v>
      </c>
      <c r="AF143" s="17">
        <f t="shared" si="196"/>
        <v>0</v>
      </c>
      <c r="AG143" s="17">
        <v>0</v>
      </c>
      <c r="AH143" s="17">
        <v>0</v>
      </c>
      <c r="AI143" s="417">
        <f t="shared" si="197"/>
        <v>0</v>
      </c>
    </row>
    <row r="144" spans="1:35">
      <c r="A144" s="6">
        <f t="shared" si="198"/>
        <v>1997</v>
      </c>
      <c r="B144" s="17">
        <v>0</v>
      </c>
      <c r="C144" s="17">
        <v>0</v>
      </c>
      <c r="D144" s="17">
        <v>0</v>
      </c>
      <c r="E144" s="17">
        <v>0</v>
      </c>
      <c r="F144" s="17">
        <v>0</v>
      </c>
      <c r="G144" s="17">
        <v>0</v>
      </c>
      <c r="H144" s="17">
        <v>0</v>
      </c>
      <c r="I144" s="17">
        <f t="shared" si="189"/>
        <v>0</v>
      </c>
      <c r="J144" s="17">
        <f t="shared" si="190"/>
        <v>0</v>
      </c>
      <c r="K144" s="417">
        <f t="shared" si="191"/>
        <v>0</v>
      </c>
      <c r="M144" s="6">
        <f t="shared" si="199"/>
        <v>1997</v>
      </c>
      <c r="N144" s="17">
        <v>0</v>
      </c>
      <c r="O144" s="17">
        <v>0</v>
      </c>
      <c r="P144" s="17">
        <v>0</v>
      </c>
      <c r="Q144" s="17">
        <v>0</v>
      </c>
      <c r="R144" s="17">
        <v>0</v>
      </c>
      <c r="S144" s="17">
        <v>0</v>
      </c>
      <c r="T144" s="17">
        <v>0</v>
      </c>
      <c r="U144" s="17">
        <f t="shared" si="192"/>
        <v>0</v>
      </c>
      <c r="V144" s="17">
        <f t="shared" si="193"/>
        <v>0</v>
      </c>
      <c r="W144" s="17">
        <f t="shared" si="194"/>
        <v>0</v>
      </c>
      <c r="Y144" s="6">
        <f t="shared" si="200"/>
        <v>1997</v>
      </c>
      <c r="Z144" s="17">
        <f t="shared" si="195"/>
        <v>0</v>
      </c>
      <c r="AA144" s="17">
        <f t="shared" si="184"/>
        <v>0</v>
      </c>
      <c r="AB144" s="17">
        <f t="shared" si="185"/>
        <v>0</v>
      </c>
      <c r="AC144" s="17">
        <f t="shared" si="186"/>
        <v>0</v>
      </c>
      <c r="AD144" s="17">
        <f t="shared" si="187"/>
        <v>0</v>
      </c>
      <c r="AE144" s="17">
        <f t="shared" si="188"/>
        <v>0</v>
      </c>
      <c r="AF144" s="17">
        <f t="shared" si="196"/>
        <v>0</v>
      </c>
      <c r="AG144" s="17">
        <v>0</v>
      </c>
      <c r="AH144" s="17">
        <v>0</v>
      </c>
      <c r="AI144" s="417">
        <f t="shared" si="197"/>
        <v>0</v>
      </c>
    </row>
    <row r="145" spans="1:35">
      <c r="A145" s="6">
        <f t="shared" si="198"/>
        <v>1998</v>
      </c>
      <c r="B145" s="17">
        <v>0</v>
      </c>
      <c r="C145" s="17">
        <v>0</v>
      </c>
      <c r="D145" s="17">
        <v>0</v>
      </c>
      <c r="E145" s="17">
        <v>0</v>
      </c>
      <c r="F145" s="17">
        <v>0</v>
      </c>
      <c r="G145" s="17">
        <v>0</v>
      </c>
      <c r="H145" s="17">
        <v>0</v>
      </c>
      <c r="I145" s="17">
        <f t="shared" si="189"/>
        <v>0</v>
      </c>
      <c r="J145" s="17">
        <f t="shared" si="190"/>
        <v>0</v>
      </c>
      <c r="K145" s="417">
        <f t="shared" si="191"/>
        <v>0</v>
      </c>
      <c r="M145" s="6">
        <f t="shared" si="199"/>
        <v>1998</v>
      </c>
      <c r="N145" s="17">
        <v>0</v>
      </c>
      <c r="O145" s="17">
        <v>0</v>
      </c>
      <c r="P145" s="17">
        <v>0</v>
      </c>
      <c r="Q145" s="17">
        <v>0</v>
      </c>
      <c r="R145" s="17">
        <v>0</v>
      </c>
      <c r="S145" s="17">
        <v>0</v>
      </c>
      <c r="T145" s="17">
        <v>0</v>
      </c>
      <c r="U145" s="17">
        <f t="shared" si="192"/>
        <v>0</v>
      </c>
      <c r="V145" s="17">
        <f t="shared" si="193"/>
        <v>0</v>
      </c>
      <c r="W145" s="17">
        <f t="shared" si="194"/>
        <v>0</v>
      </c>
      <c r="Y145" s="6">
        <f t="shared" si="200"/>
        <v>1998</v>
      </c>
      <c r="Z145" s="17">
        <f t="shared" si="195"/>
        <v>0</v>
      </c>
      <c r="AA145" s="17">
        <f t="shared" si="184"/>
        <v>0</v>
      </c>
      <c r="AB145" s="17">
        <f t="shared" si="185"/>
        <v>0</v>
      </c>
      <c r="AC145" s="17">
        <f t="shared" si="186"/>
        <v>0</v>
      </c>
      <c r="AD145" s="17">
        <f t="shared" si="187"/>
        <v>0</v>
      </c>
      <c r="AE145" s="17">
        <f t="shared" si="188"/>
        <v>0</v>
      </c>
      <c r="AF145" s="17">
        <f t="shared" si="196"/>
        <v>0</v>
      </c>
      <c r="AG145" s="17">
        <v>0</v>
      </c>
      <c r="AH145" s="17">
        <v>0</v>
      </c>
      <c r="AI145" s="417">
        <f t="shared" si="197"/>
        <v>0</v>
      </c>
    </row>
    <row r="146" spans="1:35">
      <c r="A146" s="6">
        <f t="shared" si="198"/>
        <v>1999</v>
      </c>
      <c r="B146" s="17">
        <v>0</v>
      </c>
      <c r="C146" s="17">
        <v>0</v>
      </c>
      <c r="D146" s="17">
        <v>0</v>
      </c>
      <c r="E146" s="17">
        <v>0</v>
      </c>
      <c r="F146" s="17">
        <v>0</v>
      </c>
      <c r="G146" s="17">
        <v>0</v>
      </c>
      <c r="H146" s="17">
        <v>0</v>
      </c>
      <c r="I146" s="17">
        <f t="shared" si="189"/>
        <v>0</v>
      </c>
      <c r="J146" s="17">
        <f t="shared" si="190"/>
        <v>0</v>
      </c>
      <c r="K146" s="417">
        <f t="shared" si="191"/>
        <v>0</v>
      </c>
      <c r="M146" s="6">
        <f t="shared" si="199"/>
        <v>1999</v>
      </c>
      <c r="N146" s="17">
        <v>0</v>
      </c>
      <c r="O146" s="17">
        <v>0</v>
      </c>
      <c r="P146" s="17">
        <v>0</v>
      </c>
      <c r="Q146" s="17">
        <v>0</v>
      </c>
      <c r="R146" s="17">
        <v>0</v>
      </c>
      <c r="S146" s="17">
        <v>0</v>
      </c>
      <c r="T146" s="17">
        <v>0</v>
      </c>
      <c r="U146" s="17">
        <f t="shared" si="192"/>
        <v>0</v>
      </c>
      <c r="V146" s="17">
        <f t="shared" si="193"/>
        <v>0</v>
      </c>
      <c r="W146" s="17">
        <f t="shared" si="194"/>
        <v>0</v>
      </c>
      <c r="Y146" s="6">
        <f t="shared" si="200"/>
        <v>1999</v>
      </c>
      <c r="Z146" s="17">
        <f t="shared" si="195"/>
        <v>0</v>
      </c>
      <c r="AA146" s="17">
        <f t="shared" si="184"/>
        <v>0</v>
      </c>
      <c r="AB146" s="17">
        <f t="shared" si="185"/>
        <v>0</v>
      </c>
      <c r="AC146" s="17">
        <f t="shared" si="186"/>
        <v>0</v>
      </c>
      <c r="AD146" s="17">
        <f t="shared" si="187"/>
        <v>0</v>
      </c>
      <c r="AE146" s="17">
        <f t="shared" si="188"/>
        <v>0</v>
      </c>
      <c r="AF146" s="17">
        <f t="shared" si="196"/>
        <v>0</v>
      </c>
      <c r="AG146" s="17">
        <v>0</v>
      </c>
      <c r="AH146" s="17">
        <v>0</v>
      </c>
      <c r="AI146" s="417">
        <f t="shared" si="197"/>
        <v>0</v>
      </c>
    </row>
    <row r="147" spans="1:35">
      <c r="A147" s="6">
        <f t="shared" si="198"/>
        <v>2000</v>
      </c>
      <c r="B147" s="17">
        <v>0</v>
      </c>
      <c r="C147" s="17">
        <v>0</v>
      </c>
      <c r="D147" s="17">
        <v>0</v>
      </c>
      <c r="E147" s="17">
        <v>0</v>
      </c>
      <c r="F147" s="17">
        <v>0</v>
      </c>
      <c r="G147" s="17">
        <v>0</v>
      </c>
      <c r="H147" s="17">
        <v>0</v>
      </c>
      <c r="I147" s="17">
        <f t="shared" si="189"/>
        <v>0</v>
      </c>
      <c r="J147" s="17">
        <f t="shared" si="190"/>
        <v>0</v>
      </c>
      <c r="K147" s="417">
        <f t="shared" si="191"/>
        <v>0</v>
      </c>
      <c r="M147" s="6">
        <f t="shared" si="199"/>
        <v>2000</v>
      </c>
      <c r="N147" s="17">
        <v>0</v>
      </c>
      <c r="O147" s="17">
        <v>0</v>
      </c>
      <c r="P147" s="17">
        <v>0</v>
      </c>
      <c r="Q147" s="17">
        <v>0</v>
      </c>
      <c r="R147" s="17">
        <v>0</v>
      </c>
      <c r="S147" s="17">
        <v>0</v>
      </c>
      <c r="T147" s="17">
        <v>0</v>
      </c>
      <c r="U147" s="17">
        <f t="shared" si="192"/>
        <v>0</v>
      </c>
      <c r="V147" s="17">
        <f t="shared" si="193"/>
        <v>0</v>
      </c>
      <c r="W147" s="17">
        <f t="shared" si="194"/>
        <v>0</v>
      </c>
      <c r="Y147" s="6">
        <f t="shared" si="200"/>
        <v>2000</v>
      </c>
      <c r="Z147" s="17">
        <f t="shared" si="195"/>
        <v>0</v>
      </c>
      <c r="AA147" s="17">
        <f t="shared" si="184"/>
        <v>0</v>
      </c>
      <c r="AB147" s="17">
        <f t="shared" si="185"/>
        <v>0</v>
      </c>
      <c r="AC147" s="17">
        <f t="shared" si="186"/>
        <v>0</v>
      </c>
      <c r="AD147" s="17">
        <f t="shared" si="187"/>
        <v>0</v>
      </c>
      <c r="AE147" s="17">
        <f t="shared" si="188"/>
        <v>0</v>
      </c>
      <c r="AF147" s="17">
        <f t="shared" si="196"/>
        <v>0</v>
      </c>
      <c r="AG147" s="17">
        <v>0</v>
      </c>
      <c r="AH147" s="17">
        <v>0</v>
      </c>
      <c r="AI147" s="417">
        <f t="shared" si="197"/>
        <v>0</v>
      </c>
    </row>
    <row r="148" spans="1:35">
      <c r="A148" s="6">
        <f t="shared" si="198"/>
        <v>2001</v>
      </c>
      <c r="B148" s="17">
        <v>0</v>
      </c>
      <c r="C148" s="17">
        <v>0</v>
      </c>
      <c r="D148" s="17">
        <v>0</v>
      </c>
      <c r="E148" s="17">
        <v>0</v>
      </c>
      <c r="F148" s="17">
        <v>0</v>
      </c>
      <c r="G148" s="17">
        <v>0</v>
      </c>
      <c r="H148" s="17">
        <v>0</v>
      </c>
      <c r="I148" s="17">
        <f t="shared" si="189"/>
        <v>0</v>
      </c>
      <c r="J148" s="17">
        <f t="shared" si="190"/>
        <v>0</v>
      </c>
      <c r="K148" s="417">
        <f t="shared" si="191"/>
        <v>0</v>
      </c>
      <c r="M148" s="6">
        <f t="shared" si="199"/>
        <v>2001</v>
      </c>
      <c r="N148" s="17">
        <v>0</v>
      </c>
      <c r="O148" s="17">
        <v>0</v>
      </c>
      <c r="P148" s="17">
        <v>0</v>
      </c>
      <c r="Q148" s="17">
        <v>0</v>
      </c>
      <c r="R148" s="17">
        <v>0</v>
      </c>
      <c r="S148" s="17">
        <v>0</v>
      </c>
      <c r="T148" s="17">
        <v>0</v>
      </c>
      <c r="U148" s="17">
        <f t="shared" si="192"/>
        <v>0</v>
      </c>
      <c r="V148" s="17">
        <f t="shared" si="193"/>
        <v>0</v>
      </c>
      <c r="W148" s="17">
        <f t="shared" si="194"/>
        <v>0</v>
      </c>
      <c r="Y148" s="6">
        <f t="shared" si="200"/>
        <v>2001</v>
      </c>
      <c r="Z148" s="17">
        <f t="shared" si="195"/>
        <v>0</v>
      </c>
      <c r="AA148" s="17">
        <f t="shared" si="184"/>
        <v>0</v>
      </c>
      <c r="AB148" s="17">
        <f t="shared" si="185"/>
        <v>0</v>
      </c>
      <c r="AC148" s="17">
        <f t="shared" si="186"/>
        <v>0</v>
      </c>
      <c r="AD148" s="17">
        <f t="shared" si="187"/>
        <v>0</v>
      </c>
      <c r="AE148" s="17">
        <f t="shared" si="188"/>
        <v>0</v>
      </c>
      <c r="AF148" s="17">
        <f t="shared" si="196"/>
        <v>0</v>
      </c>
      <c r="AG148" s="17">
        <v>0</v>
      </c>
      <c r="AH148" s="17">
        <v>0</v>
      </c>
      <c r="AI148" s="417">
        <f t="shared" si="197"/>
        <v>0</v>
      </c>
    </row>
    <row r="149" spans="1:35">
      <c r="A149" s="6">
        <f t="shared" si="198"/>
        <v>2002</v>
      </c>
      <c r="B149" s="17">
        <v>0</v>
      </c>
      <c r="C149" s="17">
        <v>0</v>
      </c>
      <c r="D149" s="17">
        <v>0</v>
      </c>
      <c r="E149" s="17">
        <v>0</v>
      </c>
      <c r="F149" s="17">
        <v>0</v>
      </c>
      <c r="G149" s="17">
        <v>0</v>
      </c>
      <c r="H149" s="17">
        <v>0</v>
      </c>
      <c r="I149" s="17">
        <f t="shared" si="189"/>
        <v>0</v>
      </c>
      <c r="J149" s="17">
        <f t="shared" si="190"/>
        <v>0</v>
      </c>
      <c r="K149" s="417">
        <f t="shared" si="191"/>
        <v>0</v>
      </c>
      <c r="M149" s="6">
        <f t="shared" si="199"/>
        <v>2002</v>
      </c>
      <c r="N149" s="17">
        <v>0</v>
      </c>
      <c r="O149" s="17">
        <v>0</v>
      </c>
      <c r="P149" s="17">
        <v>0</v>
      </c>
      <c r="Q149" s="17">
        <v>0</v>
      </c>
      <c r="R149" s="17">
        <v>0</v>
      </c>
      <c r="S149" s="17">
        <v>0</v>
      </c>
      <c r="T149" s="17">
        <v>0</v>
      </c>
      <c r="U149" s="17">
        <f t="shared" si="192"/>
        <v>0</v>
      </c>
      <c r="V149" s="17">
        <f t="shared" si="193"/>
        <v>0</v>
      </c>
      <c r="W149" s="17">
        <f t="shared" si="194"/>
        <v>0</v>
      </c>
      <c r="Y149" s="6">
        <f t="shared" si="200"/>
        <v>2002</v>
      </c>
      <c r="Z149" s="17">
        <f t="shared" si="195"/>
        <v>0</v>
      </c>
      <c r="AA149" s="17">
        <f t="shared" si="184"/>
        <v>0</v>
      </c>
      <c r="AB149" s="17">
        <f t="shared" si="185"/>
        <v>0</v>
      </c>
      <c r="AC149" s="17">
        <f t="shared" si="186"/>
        <v>0</v>
      </c>
      <c r="AD149" s="17">
        <f t="shared" si="187"/>
        <v>0</v>
      </c>
      <c r="AE149" s="17">
        <f t="shared" si="188"/>
        <v>0</v>
      </c>
      <c r="AF149" s="17">
        <f t="shared" si="196"/>
        <v>0</v>
      </c>
      <c r="AG149" s="17">
        <v>0</v>
      </c>
      <c r="AH149" s="17">
        <v>0</v>
      </c>
      <c r="AI149" s="417">
        <f t="shared" si="197"/>
        <v>0</v>
      </c>
    </row>
    <row r="150" spans="1:35">
      <c r="A150" s="6">
        <f t="shared" si="198"/>
        <v>2003</v>
      </c>
      <c r="B150" s="17">
        <v>0</v>
      </c>
      <c r="C150" s="17">
        <v>0</v>
      </c>
      <c r="D150" s="17">
        <v>0</v>
      </c>
      <c r="E150" s="17">
        <v>0</v>
      </c>
      <c r="F150" s="17">
        <v>0</v>
      </c>
      <c r="G150" s="17">
        <v>0</v>
      </c>
      <c r="H150" s="17">
        <v>0</v>
      </c>
      <c r="I150" s="17">
        <f t="shared" si="189"/>
        <v>0</v>
      </c>
      <c r="J150" s="17">
        <f t="shared" si="190"/>
        <v>0</v>
      </c>
      <c r="K150" s="417">
        <f t="shared" si="191"/>
        <v>0</v>
      </c>
      <c r="M150" s="6">
        <f t="shared" si="199"/>
        <v>2003</v>
      </c>
      <c r="N150" s="17">
        <v>0</v>
      </c>
      <c r="O150" s="17">
        <v>0</v>
      </c>
      <c r="P150" s="17">
        <v>0</v>
      </c>
      <c r="Q150" s="17">
        <v>0</v>
      </c>
      <c r="R150" s="17">
        <v>0</v>
      </c>
      <c r="S150" s="17">
        <v>0</v>
      </c>
      <c r="T150" s="17">
        <v>0</v>
      </c>
      <c r="U150" s="17">
        <f t="shared" si="192"/>
        <v>0</v>
      </c>
      <c r="V150" s="17">
        <f t="shared" si="193"/>
        <v>0</v>
      </c>
      <c r="W150" s="17">
        <f t="shared" si="194"/>
        <v>0</v>
      </c>
      <c r="Y150" s="6">
        <f t="shared" si="200"/>
        <v>2003</v>
      </c>
      <c r="Z150" s="17">
        <f t="shared" si="195"/>
        <v>0</v>
      </c>
      <c r="AA150" s="17">
        <f t="shared" si="184"/>
        <v>0</v>
      </c>
      <c r="AB150" s="17">
        <f t="shared" si="185"/>
        <v>0</v>
      </c>
      <c r="AC150" s="17">
        <f t="shared" si="186"/>
        <v>0</v>
      </c>
      <c r="AD150" s="17">
        <f t="shared" si="187"/>
        <v>0</v>
      </c>
      <c r="AE150" s="17">
        <f t="shared" si="188"/>
        <v>0</v>
      </c>
      <c r="AF150" s="17">
        <f t="shared" si="196"/>
        <v>0</v>
      </c>
      <c r="AG150" s="17">
        <v>0</v>
      </c>
      <c r="AH150" s="17">
        <v>0</v>
      </c>
      <c r="AI150" s="417">
        <f t="shared" si="197"/>
        <v>0</v>
      </c>
    </row>
    <row r="151" spans="1:35">
      <c r="A151" s="6">
        <f t="shared" si="198"/>
        <v>2004</v>
      </c>
      <c r="B151" s="17">
        <v>0</v>
      </c>
      <c r="C151" s="17">
        <v>0</v>
      </c>
      <c r="D151" s="17">
        <v>0</v>
      </c>
      <c r="E151" s="17">
        <v>0</v>
      </c>
      <c r="F151" s="17">
        <v>0</v>
      </c>
      <c r="G151" s="17">
        <v>0</v>
      </c>
      <c r="H151" s="17">
        <v>0</v>
      </c>
      <c r="I151" s="17">
        <f t="shared" si="189"/>
        <v>0</v>
      </c>
      <c r="J151" s="17">
        <f t="shared" si="190"/>
        <v>0</v>
      </c>
      <c r="K151" s="417">
        <f t="shared" si="191"/>
        <v>0</v>
      </c>
      <c r="M151" s="6">
        <f t="shared" si="199"/>
        <v>2004</v>
      </c>
      <c r="N151" s="17">
        <v>0</v>
      </c>
      <c r="O151" s="17">
        <v>0</v>
      </c>
      <c r="P151" s="17">
        <v>0</v>
      </c>
      <c r="Q151" s="17">
        <v>0</v>
      </c>
      <c r="R151" s="17">
        <v>0</v>
      </c>
      <c r="S151" s="17">
        <v>0</v>
      </c>
      <c r="T151" s="17">
        <v>0</v>
      </c>
      <c r="U151" s="17">
        <f t="shared" si="192"/>
        <v>0</v>
      </c>
      <c r="V151" s="17">
        <f t="shared" si="193"/>
        <v>0</v>
      </c>
      <c r="W151" s="17">
        <f t="shared" si="194"/>
        <v>0</v>
      </c>
      <c r="Y151" s="6">
        <f t="shared" si="200"/>
        <v>2004</v>
      </c>
      <c r="Z151" s="17">
        <f t="shared" si="195"/>
        <v>0</v>
      </c>
      <c r="AA151" s="17">
        <f t="shared" si="184"/>
        <v>0</v>
      </c>
      <c r="AB151" s="17">
        <f t="shared" si="185"/>
        <v>0</v>
      </c>
      <c r="AC151" s="17">
        <f t="shared" si="186"/>
        <v>0</v>
      </c>
      <c r="AD151" s="17">
        <f t="shared" si="187"/>
        <v>0</v>
      </c>
      <c r="AE151" s="17">
        <f t="shared" si="188"/>
        <v>0</v>
      </c>
      <c r="AF151" s="17">
        <f t="shared" si="196"/>
        <v>0</v>
      </c>
      <c r="AG151" s="17">
        <v>0</v>
      </c>
      <c r="AH151" s="17">
        <v>0</v>
      </c>
      <c r="AI151" s="417">
        <f t="shared" si="197"/>
        <v>0</v>
      </c>
    </row>
    <row r="152" spans="1:35">
      <c r="A152" s="6">
        <f t="shared" si="198"/>
        <v>2005</v>
      </c>
      <c r="B152" s="17">
        <v>0</v>
      </c>
      <c r="C152" s="17">
        <v>0</v>
      </c>
      <c r="D152" s="17">
        <v>0</v>
      </c>
      <c r="E152" s="17">
        <v>0</v>
      </c>
      <c r="F152" s="17">
        <v>0</v>
      </c>
      <c r="G152" s="17">
        <v>0</v>
      </c>
      <c r="H152" s="17">
        <v>0</v>
      </c>
      <c r="I152" s="17">
        <f t="shared" si="189"/>
        <v>0</v>
      </c>
      <c r="J152" s="17">
        <f t="shared" si="190"/>
        <v>0</v>
      </c>
      <c r="K152" s="417">
        <f t="shared" si="191"/>
        <v>0</v>
      </c>
      <c r="M152" s="6">
        <f t="shared" si="199"/>
        <v>2005</v>
      </c>
      <c r="N152" s="17">
        <v>0</v>
      </c>
      <c r="O152" s="17">
        <v>0</v>
      </c>
      <c r="P152" s="17">
        <v>0</v>
      </c>
      <c r="Q152" s="17">
        <v>0</v>
      </c>
      <c r="R152" s="17">
        <v>0</v>
      </c>
      <c r="S152" s="17">
        <v>0</v>
      </c>
      <c r="T152" s="17">
        <v>0</v>
      </c>
      <c r="U152" s="17">
        <f t="shared" si="192"/>
        <v>0</v>
      </c>
      <c r="V152" s="17">
        <f t="shared" si="193"/>
        <v>0</v>
      </c>
      <c r="W152" s="17">
        <f t="shared" si="194"/>
        <v>0</v>
      </c>
      <c r="Y152" s="6">
        <f t="shared" si="200"/>
        <v>2005</v>
      </c>
      <c r="Z152" s="17">
        <f t="shared" si="195"/>
        <v>0</v>
      </c>
      <c r="AA152" s="17">
        <f t="shared" si="184"/>
        <v>0</v>
      </c>
      <c r="AB152" s="17">
        <f t="shared" si="185"/>
        <v>0</v>
      </c>
      <c r="AC152" s="17">
        <f t="shared" si="186"/>
        <v>0</v>
      </c>
      <c r="AD152" s="17">
        <f t="shared" si="187"/>
        <v>0</v>
      </c>
      <c r="AE152" s="17">
        <f t="shared" si="188"/>
        <v>0</v>
      </c>
      <c r="AF152" s="17">
        <f t="shared" si="196"/>
        <v>0</v>
      </c>
      <c r="AG152" s="17">
        <v>0</v>
      </c>
      <c r="AH152" s="17">
        <v>0</v>
      </c>
      <c r="AI152" s="417">
        <f t="shared" si="197"/>
        <v>0</v>
      </c>
    </row>
    <row r="153" spans="1:35">
      <c r="A153" s="6">
        <f t="shared" si="198"/>
        <v>2006</v>
      </c>
      <c r="B153" s="17">
        <f>'Exhibit C,1'!X28</f>
        <v>0</v>
      </c>
      <c r="C153" s="17">
        <f>'Exhibit C,1'!Y28</f>
        <v>1146.0851942027116</v>
      </c>
      <c r="D153" s="17">
        <f>'Exhibit C,1'!Z28</f>
        <v>0</v>
      </c>
      <c r="E153" s="17">
        <f>'Exhibit C,1'!AA28</f>
        <v>0</v>
      </c>
      <c r="F153" s="17">
        <v>0</v>
      </c>
      <c r="G153" s="17">
        <v>0</v>
      </c>
      <c r="H153" s="17">
        <f t="shared" ref="H153:H169" si="201">SUM(B153:G153)</f>
        <v>1146.0851942027116</v>
      </c>
      <c r="I153" s="54">
        <f>'Exhibit C,1'!AC28</f>
        <v>0</v>
      </c>
      <c r="J153" s="54">
        <f>'Exhibit C,1'!AD28</f>
        <v>0</v>
      </c>
      <c r="K153" s="417">
        <f t="shared" ref="K153:K159" si="202">I153+J153</f>
        <v>0</v>
      </c>
      <c r="M153" s="6">
        <f t="shared" si="199"/>
        <v>2006</v>
      </c>
      <c r="N153" s="17">
        <v>0</v>
      </c>
      <c r="O153" s="17">
        <v>0</v>
      </c>
      <c r="P153" s="17">
        <v>0</v>
      </c>
      <c r="Q153" s="17">
        <v>0</v>
      </c>
      <c r="R153" s="17">
        <v>0</v>
      </c>
      <c r="S153" s="17">
        <v>0</v>
      </c>
      <c r="T153" s="17">
        <v>0</v>
      </c>
      <c r="U153" s="17">
        <f t="shared" si="192"/>
        <v>0</v>
      </c>
      <c r="V153" s="17">
        <f t="shared" si="193"/>
        <v>0</v>
      </c>
      <c r="W153" s="17">
        <f t="shared" si="194"/>
        <v>0</v>
      </c>
      <c r="Y153" s="6">
        <f t="shared" si="200"/>
        <v>2006</v>
      </c>
      <c r="Z153" s="17">
        <f t="shared" si="195"/>
        <v>0</v>
      </c>
      <c r="AA153" s="17">
        <f t="shared" si="184"/>
        <v>1146.0851942027116</v>
      </c>
      <c r="AB153" s="17">
        <f t="shared" si="185"/>
        <v>0</v>
      </c>
      <c r="AC153" s="17">
        <f t="shared" si="186"/>
        <v>0</v>
      </c>
      <c r="AD153" s="17">
        <f t="shared" si="187"/>
        <v>0</v>
      </c>
      <c r="AE153" s="17">
        <f t="shared" si="188"/>
        <v>0</v>
      </c>
      <c r="AF153" s="17">
        <f t="shared" si="196"/>
        <v>1146.0851942027116</v>
      </c>
      <c r="AG153" s="17">
        <v>0</v>
      </c>
      <c r="AH153" s="17">
        <v>0</v>
      </c>
      <c r="AI153" s="417">
        <f t="shared" si="197"/>
        <v>0</v>
      </c>
    </row>
    <row r="154" spans="1:35">
      <c r="A154" s="6">
        <f t="shared" si="198"/>
        <v>2007</v>
      </c>
      <c r="B154" s="17">
        <f>'Exhibit C,1'!X29</f>
        <v>0</v>
      </c>
      <c r="C154" s="17">
        <f>'Exhibit C,1'!Y29</f>
        <v>0</v>
      </c>
      <c r="D154" s="17">
        <f>'Exhibit C,1'!Z29</f>
        <v>0</v>
      </c>
      <c r="E154" s="17">
        <f>'Exhibit C,1'!AA29</f>
        <v>0</v>
      </c>
      <c r="F154" s="17">
        <v>0</v>
      </c>
      <c r="G154" s="17">
        <v>0</v>
      </c>
      <c r="H154" s="17">
        <f t="shared" si="201"/>
        <v>0</v>
      </c>
      <c r="I154" s="54">
        <f>'Exhibit C,1'!AC29</f>
        <v>0</v>
      </c>
      <c r="J154" s="54">
        <f>'Exhibit C,1'!AD29</f>
        <v>0</v>
      </c>
      <c r="K154" s="417">
        <f t="shared" si="202"/>
        <v>0</v>
      </c>
      <c r="M154" s="6">
        <f t="shared" si="199"/>
        <v>2007</v>
      </c>
      <c r="N154" s="17">
        <v>0</v>
      </c>
      <c r="O154" s="17">
        <v>0</v>
      </c>
      <c r="P154" s="17">
        <v>0</v>
      </c>
      <c r="Q154" s="17">
        <v>0</v>
      </c>
      <c r="R154" s="17">
        <v>0</v>
      </c>
      <c r="S154" s="17">
        <v>0</v>
      </c>
      <c r="T154" s="17">
        <v>0</v>
      </c>
      <c r="U154" s="17">
        <f t="shared" si="192"/>
        <v>0</v>
      </c>
      <c r="V154" s="17">
        <f t="shared" si="193"/>
        <v>0</v>
      </c>
      <c r="W154" s="17">
        <f t="shared" si="194"/>
        <v>0</v>
      </c>
      <c r="Y154" s="6">
        <f t="shared" si="200"/>
        <v>2007</v>
      </c>
      <c r="Z154" s="17">
        <f t="shared" si="195"/>
        <v>0</v>
      </c>
      <c r="AA154" s="17">
        <f t="shared" si="184"/>
        <v>0</v>
      </c>
      <c r="AB154" s="17">
        <f t="shared" si="185"/>
        <v>0</v>
      </c>
      <c r="AC154" s="17">
        <f t="shared" si="186"/>
        <v>0</v>
      </c>
      <c r="AD154" s="17">
        <f t="shared" si="187"/>
        <v>0</v>
      </c>
      <c r="AE154" s="17">
        <f t="shared" si="188"/>
        <v>0</v>
      </c>
      <c r="AF154" s="17">
        <f t="shared" si="196"/>
        <v>0</v>
      </c>
      <c r="AG154" s="17">
        <v>0</v>
      </c>
      <c r="AH154" s="17">
        <v>0</v>
      </c>
      <c r="AI154" s="417">
        <f t="shared" si="197"/>
        <v>0</v>
      </c>
    </row>
    <row r="155" spans="1:35">
      <c r="A155" s="6">
        <f t="shared" si="198"/>
        <v>2008</v>
      </c>
      <c r="B155" s="17">
        <f>'Exhibit C,1'!X30</f>
        <v>0</v>
      </c>
      <c r="C155" s="17">
        <f>'Exhibit C,1'!Y30</f>
        <v>0</v>
      </c>
      <c r="D155" s="17">
        <f>'Exhibit C,1'!Z30</f>
        <v>0</v>
      </c>
      <c r="E155" s="17">
        <f>'Exhibit C,1'!AA30</f>
        <v>0</v>
      </c>
      <c r="F155" s="17">
        <v>0</v>
      </c>
      <c r="G155" s="17">
        <v>0</v>
      </c>
      <c r="H155" s="17">
        <f t="shared" si="201"/>
        <v>0</v>
      </c>
      <c r="I155" s="54">
        <f>'Exhibit C,1'!AC30</f>
        <v>0</v>
      </c>
      <c r="J155" s="54">
        <f>'Exhibit C,1'!AD30</f>
        <v>0</v>
      </c>
      <c r="K155" s="417">
        <f t="shared" si="202"/>
        <v>0</v>
      </c>
      <c r="M155" s="6">
        <f t="shared" si="199"/>
        <v>2008</v>
      </c>
      <c r="N155" s="17">
        <v>0</v>
      </c>
      <c r="O155" s="17">
        <v>0</v>
      </c>
      <c r="P155" s="17">
        <v>0</v>
      </c>
      <c r="Q155" s="17">
        <v>0</v>
      </c>
      <c r="R155" s="17">
        <v>0</v>
      </c>
      <c r="S155" s="17">
        <v>0</v>
      </c>
      <c r="T155" s="17">
        <v>0</v>
      </c>
      <c r="U155" s="17">
        <f t="shared" si="192"/>
        <v>0</v>
      </c>
      <c r="V155" s="17">
        <f t="shared" si="193"/>
        <v>0</v>
      </c>
      <c r="W155" s="17">
        <f t="shared" si="194"/>
        <v>0</v>
      </c>
      <c r="Y155" s="6">
        <f t="shared" si="200"/>
        <v>2008</v>
      </c>
      <c r="Z155" s="17">
        <f t="shared" si="195"/>
        <v>0</v>
      </c>
      <c r="AA155" s="17">
        <f t="shared" si="184"/>
        <v>0</v>
      </c>
      <c r="AB155" s="17">
        <f t="shared" si="185"/>
        <v>0</v>
      </c>
      <c r="AC155" s="17">
        <f t="shared" si="186"/>
        <v>0</v>
      </c>
      <c r="AD155" s="17">
        <f t="shared" si="187"/>
        <v>0</v>
      </c>
      <c r="AE155" s="17">
        <f t="shared" si="188"/>
        <v>0</v>
      </c>
      <c r="AF155" s="17">
        <f t="shared" si="196"/>
        <v>0</v>
      </c>
      <c r="AG155" s="17">
        <v>0</v>
      </c>
      <c r="AH155" s="17">
        <v>0</v>
      </c>
      <c r="AI155" s="417">
        <f t="shared" si="197"/>
        <v>0</v>
      </c>
    </row>
    <row r="156" spans="1:35">
      <c r="A156" s="6">
        <f t="shared" si="198"/>
        <v>2009</v>
      </c>
      <c r="B156" s="17">
        <f>'Exhibit C,1'!X31</f>
        <v>0</v>
      </c>
      <c r="C156" s="17">
        <f>'Exhibit C,1'!Y31</f>
        <v>0</v>
      </c>
      <c r="D156" s="17">
        <f>'Exhibit C,1'!Z31</f>
        <v>0</v>
      </c>
      <c r="E156" s="17">
        <f>'Exhibit C,1'!AA31</f>
        <v>0</v>
      </c>
      <c r="F156" s="17">
        <v>0</v>
      </c>
      <c r="G156" s="17">
        <v>0</v>
      </c>
      <c r="H156" s="17">
        <f t="shared" si="201"/>
        <v>0</v>
      </c>
      <c r="I156" s="54">
        <f>'Exhibit C,1'!AC31</f>
        <v>0</v>
      </c>
      <c r="J156" s="54">
        <f>'Exhibit C,1'!AD31</f>
        <v>0</v>
      </c>
      <c r="K156" s="417">
        <f t="shared" si="202"/>
        <v>0</v>
      </c>
      <c r="M156" s="6">
        <f t="shared" si="199"/>
        <v>2009</v>
      </c>
      <c r="N156" s="17">
        <v>0</v>
      </c>
      <c r="O156" s="17">
        <v>0</v>
      </c>
      <c r="P156" s="17">
        <v>0</v>
      </c>
      <c r="Q156" s="17">
        <v>0</v>
      </c>
      <c r="R156" s="17">
        <v>0</v>
      </c>
      <c r="S156" s="17">
        <v>0</v>
      </c>
      <c r="T156" s="17">
        <v>0</v>
      </c>
      <c r="U156" s="17">
        <f t="shared" si="192"/>
        <v>0</v>
      </c>
      <c r="V156" s="17">
        <f t="shared" si="193"/>
        <v>0</v>
      </c>
      <c r="W156" s="17">
        <f t="shared" si="194"/>
        <v>0</v>
      </c>
      <c r="Y156" s="6">
        <f t="shared" si="200"/>
        <v>2009</v>
      </c>
      <c r="Z156" s="17">
        <f t="shared" si="195"/>
        <v>0</v>
      </c>
      <c r="AA156" s="17">
        <f t="shared" si="184"/>
        <v>0</v>
      </c>
      <c r="AB156" s="17">
        <f t="shared" si="185"/>
        <v>0</v>
      </c>
      <c r="AC156" s="17">
        <f t="shared" si="186"/>
        <v>0</v>
      </c>
      <c r="AD156" s="17">
        <f t="shared" si="187"/>
        <v>0</v>
      </c>
      <c r="AE156" s="17">
        <f t="shared" si="188"/>
        <v>0</v>
      </c>
      <c r="AF156" s="17">
        <f t="shared" si="196"/>
        <v>0</v>
      </c>
      <c r="AG156" s="17">
        <v>0</v>
      </c>
      <c r="AH156" s="17">
        <v>0</v>
      </c>
      <c r="AI156" s="417">
        <f t="shared" si="197"/>
        <v>0</v>
      </c>
    </row>
    <row r="157" spans="1:35">
      <c r="A157" s="6">
        <f t="shared" si="198"/>
        <v>2010</v>
      </c>
      <c r="B157" s="17">
        <f>'Exhibit C,1'!X32</f>
        <v>0</v>
      </c>
      <c r="C157" s="17">
        <f>'Exhibit C,1'!Y32</f>
        <v>0</v>
      </c>
      <c r="D157" s="17">
        <f>'Exhibit C,1'!Z32</f>
        <v>0</v>
      </c>
      <c r="E157" s="17">
        <f>'Exhibit C,1'!AA32</f>
        <v>0</v>
      </c>
      <c r="F157" s="17">
        <v>0</v>
      </c>
      <c r="G157" s="17">
        <v>0</v>
      </c>
      <c r="H157" s="17">
        <f t="shared" si="201"/>
        <v>0</v>
      </c>
      <c r="I157" s="54">
        <f>'Exhibit C,1'!AC32</f>
        <v>0</v>
      </c>
      <c r="J157" s="54">
        <f>'Exhibit C,1'!AD32</f>
        <v>0</v>
      </c>
      <c r="K157" s="417">
        <f t="shared" si="202"/>
        <v>0</v>
      </c>
      <c r="M157" s="6">
        <f t="shared" si="199"/>
        <v>2010</v>
      </c>
      <c r="N157" s="17">
        <v>0</v>
      </c>
      <c r="O157" s="17">
        <v>0</v>
      </c>
      <c r="P157" s="17">
        <v>0</v>
      </c>
      <c r="Q157" s="17">
        <v>0</v>
      </c>
      <c r="R157" s="17">
        <v>0</v>
      </c>
      <c r="S157" s="17">
        <v>0</v>
      </c>
      <c r="T157" s="17">
        <v>0</v>
      </c>
      <c r="U157" s="17">
        <f t="shared" si="192"/>
        <v>0</v>
      </c>
      <c r="V157" s="17">
        <f t="shared" si="193"/>
        <v>0</v>
      </c>
      <c r="W157" s="17">
        <f t="shared" si="194"/>
        <v>0</v>
      </c>
      <c r="Y157" s="6">
        <f t="shared" si="200"/>
        <v>2010</v>
      </c>
      <c r="Z157" s="17">
        <f t="shared" si="195"/>
        <v>0</v>
      </c>
      <c r="AA157" s="17">
        <f t="shared" si="184"/>
        <v>0</v>
      </c>
      <c r="AB157" s="17">
        <f t="shared" si="185"/>
        <v>0</v>
      </c>
      <c r="AC157" s="17">
        <f t="shared" si="186"/>
        <v>0</v>
      </c>
      <c r="AD157" s="17">
        <f t="shared" si="187"/>
        <v>0</v>
      </c>
      <c r="AE157" s="17">
        <f t="shared" si="188"/>
        <v>0</v>
      </c>
      <c r="AF157" s="17">
        <f t="shared" si="196"/>
        <v>0</v>
      </c>
      <c r="AG157" s="17">
        <v>0</v>
      </c>
      <c r="AH157" s="17">
        <v>0</v>
      </c>
      <c r="AI157" s="417">
        <f t="shared" si="197"/>
        <v>0</v>
      </c>
    </row>
    <row r="158" spans="1:35">
      <c r="A158" s="6">
        <f t="shared" si="198"/>
        <v>2011</v>
      </c>
      <c r="B158" s="17">
        <f>'Exhibit C,1'!X33</f>
        <v>0</v>
      </c>
      <c r="C158" s="17">
        <f>'Exhibit C,1'!Y33</f>
        <v>1.8930575690471381</v>
      </c>
      <c r="D158" s="17">
        <f>'Exhibit C,1'!Z33</f>
        <v>0</v>
      </c>
      <c r="E158" s="17">
        <f>'Exhibit C,1'!AA33</f>
        <v>0</v>
      </c>
      <c r="F158" s="17">
        <v>0</v>
      </c>
      <c r="G158" s="17">
        <v>0</v>
      </c>
      <c r="H158" s="17">
        <f t="shared" si="201"/>
        <v>1.8930575690471381</v>
      </c>
      <c r="I158" s="54">
        <f>'Exhibit C,1'!AC33</f>
        <v>0</v>
      </c>
      <c r="J158" s="54">
        <f>'Exhibit C,1'!AD33</f>
        <v>0</v>
      </c>
      <c r="K158" s="417">
        <f t="shared" si="202"/>
        <v>0</v>
      </c>
      <c r="M158" s="6">
        <f t="shared" si="199"/>
        <v>2011</v>
      </c>
      <c r="N158" s="17">
        <v>0</v>
      </c>
      <c r="O158" s="17">
        <v>0</v>
      </c>
      <c r="P158" s="17">
        <v>0</v>
      </c>
      <c r="Q158" s="17">
        <v>0</v>
      </c>
      <c r="R158" s="17">
        <v>0</v>
      </c>
      <c r="S158" s="17">
        <v>0</v>
      </c>
      <c r="T158" s="17">
        <v>0</v>
      </c>
      <c r="U158" s="17">
        <f t="shared" si="192"/>
        <v>0</v>
      </c>
      <c r="V158" s="17">
        <f t="shared" si="193"/>
        <v>0</v>
      </c>
      <c r="W158" s="17">
        <f t="shared" si="194"/>
        <v>0</v>
      </c>
      <c r="Y158" s="6">
        <f t="shared" si="200"/>
        <v>2011</v>
      </c>
      <c r="Z158" s="17">
        <f t="shared" si="195"/>
        <v>0</v>
      </c>
      <c r="AA158" s="17">
        <f t="shared" si="184"/>
        <v>1.8930575690471381</v>
      </c>
      <c r="AB158" s="17">
        <f t="shared" si="185"/>
        <v>0</v>
      </c>
      <c r="AC158" s="17">
        <f t="shared" si="186"/>
        <v>0</v>
      </c>
      <c r="AD158" s="17">
        <f t="shared" si="187"/>
        <v>0</v>
      </c>
      <c r="AE158" s="17">
        <f t="shared" si="188"/>
        <v>0</v>
      </c>
      <c r="AF158" s="17">
        <f t="shared" si="196"/>
        <v>1.8930575690471381</v>
      </c>
      <c r="AG158" s="17">
        <v>0</v>
      </c>
      <c r="AH158" s="17">
        <v>0</v>
      </c>
      <c r="AI158" s="417">
        <f t="shared" si="197"/>
        <v>0</v>
      </c>
    </row>
    <row r="159" spans="1:35">
      <c r="A159" s="6">
        <f t="shared" si="198"/>
        <v>2012</v>
      </c>
      <c r="B159" s="17">
        <f>'Exhibit C,1'!X34</f>
        <v>2937.9396030492298</v>
      </c>
      <c r="C159" s="17">
        <f>'Exhibit C,1'!Y34</f>
        <v>23.505008125904425</v>
      </c>
      <c r="D159" s="17">
        <f>'Exhibit C,1'!Z34</f>
        <v>0</v>
      </c>
      <c r="E159" s="17">
        <f>'Exhibit C,1'!AA34</f>
        <v>10229.932406359221</v>
      </c>
      <c r="F159" s="17">
        <f>'Exhibit C,1'!AC34</f>
        <v>0</v>
      </c>
      <c r="G159" s="17">
        <f>'Exhibit C,1'!AD34</f>
        <v>0</v>
      </c>
      <c r="H159" s="17">
        <f t="shared" si="201"/>
        <v>13191.377017534356</v>
      </c>
      <c r="I159" s="54">
        <f>'Exhibit C,1'!AC34</f>
        <v>0</v>
      </c>
      <c r="J159" s="54">
        <f>'Exhibit C,1'!AD34</f>
        <v>0</v>
      </c>
      <c r="K159" s="417">
        <f t="shared" si="202"/>
        <v>0</v>
      </c>
      <c r="M159" s="6">
        <f t="shared" si="199"/>
        <v>2012</v>
      </c>
      <c r="N159" s="17">
        <v>0</v>
      </c>
      <c r="O159" s="17">
        <v>0</v>
      </c>
      <c r="P159" s="17">
        <v>0</v>
      </c>
      <c r="Q159" s="17">
        <v>0</v>
      </c>
      <c r="R159" s="17">
        <v>0</v>
      </c>
      <c r="S159" s="17">
        <v>0</v>
      </c>
      <c r="T159" s="17">
        <v>0</v>
      </c>
      <c r="U159" s="17">
        <f t="shared" si="192"/>
        <v>0</v>
      </c>
      <c r="V159" s="17">
        <f t="shared" si="193"/>
        <v>0</v>
      </c>
      <c r="W159" s="17">
        <f t="shared" si="194"/>
        <v>0</v>
      </c>
      <c r="Y159" s="6">
        <f t="shared" si="200"/>
        <v>2012</v>
      </c>
      <c r="Z159" s="17">
        <f t="shared" si="195"/>
        <v>2937.9396030492298</v>
      </c>
      <c r="AA159" s="17">
        <f t="shared" si="184"/>
        <v>23.505008125904425</v>
      </c>
      <c r="AB159" s="17">
        <f t="shared" si="185"/>
        <v>0</v>
      </c>
      <c r="AC159" s="17">
        <f t="shared" si="186"/>
        <v>10229.932406359221</v>
      </c>
      <c r="AD159" s="17">
        <f t="shared" si="187"/>
        <v>0</v>
      </c>
      <c r="AE159" s="17">
        <f t="shared" si="188"/>
        <v>0</v>
      </c>
      <c r="AF159" s="17">
        <f t="shared" si="196"/>
        <v>13191.377017534356</v>
      </c>
      <c r="AG159" s="17">
        <f t="shared" ref="AG159" si="203">I159-U159</f>
        <v>0</v>
      </c>
      <c r="AH159" s="17">
        <f t="shared" ref="AH159" si="204">J159-V159</f>
        <v>0</v>
      </c>
      <c r="AI159" s="417">
        <f t="shared" si="197"/>
        <v>0</v>
      </c>
    </row>
    <row r="160" spans="1:35">
      <c r="A160" s="6">
        <f t="shared" si="198"/>
        <v>2013</v>
      </c>
      <c r="B160" s="17">
        <f>'Exhibit C,1'!X35</f>
        <v>0</v>
      </c>
      <c r="C160" s="17">
        <f>'Exhibit C,1'!Y35</f>
        <v>198.85963260401658</v>
      </c>
      <c r="D160" s="17">
        <f>'Exhibit C,1'!Z35</f>
        <v>0</v>
      </c>
      <c r="E160" s="17">
        <f>'Exhibit C,1'!AA35</f>
        <v>66452.584013162355</v>
      </c>
      <c r="F160" s="17">
        <f>'Exhibit C,1'!AC35</f>
        <v>0</v>
      </c>
      <c r="G160" s="17">
        <f>'Exhibit C,1'!AD35</f>
        <v>0</v>
      </c>
      <c r="H160" s="17">
        <f t="shared" si="201"/>
        <v>66651.443645766369</v>
      </c>
      <c r="I160" s="54">
        <f>'Exhibit C,1'!AC35</f>
        <v>0</v>
      </c>
      <c r="J160" s="54">
        <f>'Exhibit C,1'!AD35</f>
        <v>0</v>
      </c>
      <c r="K160" s="417">
        <f t="shared" si="191"/>
        <v>0</v>
      </c>
      <c r="M160" s="6">
        <f t="shared" si="199"/>
        <v>2013</v>
      </c>
      <c r="N160" s="17">
        <v>0</v>
      </c>
      <c r="O160" s="17">
        <v>0</v>
      </c>
      <c r="P160" s="17">
        <v>0</v>
      </c>
      <c r="Q160" s="17">
        <v>0</v>
      </c>
      <c r="R160" s="17">
        <v>0</v>
      </c>
      <c r="S160" s="17">
        <v>0</v>
      </c>
      <c r="T160" s="17">
        <v>0</v>
      </c>
      <c r="U160" s="17">
        <f t="shared" si="192"/>
        <v>0</v>
      </c>
      <c r="V160" s="17">
        <f t="shared" si="193"/>
        <v>0</v>
      </c>
      <c r="W160" s="17">
        <f t="shared" si="194"/>
        <v>0</v>
      </c>
      <c r="Y160" s="6">
        <f t="shared" si="200"/>
        <v>2013</v>
      </c>
      <c r="Z160" s="17">
        <f t="shared" si="195"/>
        <v>0</v>
      </c>
      <c r="AA160" s="17">
        <f t="shared" si="184"/>
        <v>198.85963260401658</v>
      </c>
      <c r="AB160" s="17">
        <f t="shared" si="185"/>
        <v>0</v>
      </c>
      <c r="AC160" s="17">
        <f t="shared" si="186"/>
        <v>66452.584013162355</v>
      </c>
      <c r="AD160" s="17">
        <f t="shared" si="187"/>
        <v>0</v>
      </c>
      <c r="AE160" s="17">
        <f t="shared" si="188"/>
        <v>0</v>
      </c>
      <c r="AF160" s="17">
        <f t="shared" si="196"/>
        <v>66651.443645766369</v>
      </c>
      <c r="AG160" s="17">
        <f t="shared" ref="AG160:AG169" si="205">I160-U160</f>
        <v>0</v>
      </c>
      <c r="AH160" s="17">
        <f t="shared" ref="AH160:AH169" si="206">J160-V160</f>
        <v>0</v>
      </c>
      <c r="AI160" s="417">
        <f t="shared" si="197"/>
        <v>0</v>
      </c>
    </row>
    <row r="161" spans="1:35">
      <c r="A161" s="6">
        <f t="shared" si="198"/>
        <v>2014</v>
      </c>
      <c r="B161" s="17">
        <f>'Exhibit C,1'!X36</f>
        <v>59841.724611231104</v>
      </c>
      <c r="C161" s="17">
        <f>'Exhibit C,1'!Y36</f>
        <v>154.03358212783689</v>
      </c>
      <c r="D161" s="17">
        <f>'Exhibit C,1'!Z36</f>
        <v>0</v>
      </c>
      <c r="E161" s="17">
        <f>'Exhibit C,1'!AA36</f>
        <v>102395.45073901722</v>
      </c>
      <c r="F161" s="54">
        <f>0.95*I161</f>
        <v>63.576262106993113</v>
      </c>
      <c r="G161" s="54">
        <f>0.95*J161</f>
        <v>32336.966246877651</v>
      </c>
      <c r="H161" s="17">
        <f t="shared" si="201"/>
        <v>194791.75144136083</v>
      </c>
      <c r="I161" s="54">
        <f>'Exhibit C,1'!AC36</f>
        <v>66.922381165255914</v>
      </c>
      <c r="J161" s="54">
        <f>'Exhibit C,1'!AD36</f>
        <v>34038.911838818582</v>
      </c>
      <c r="K161" s="417">
        <f t="shared" si="191"/>
        <v>34105.834219983837</v>
      </c>
      <c r="M161" s="6">
        <f t="shared" si="199"/>
        <v>2014</v>
      </c>
      <c r="N161" s="17">
        <v>0</v>
      </c>
      <c r="O161" s="17">
        <v>0</v>
      </c>
      <c r="P161" s="17">
        <v>0</v>
      </c>
      <c r="Q161" s="17">
        <v>0</v>
      </c>
      <c r="R161" s="17">
        <v>0</v>
      </c>
      <c r="S161" s="17">
        <v>0</v>
      </c>
      <c r="T161" s="17">
        <v>0</v>
      </c>
      <c r="U161" s="17">
        <f>F161</f>
        <v>63.576262106993113</v>
      </c>
      <c r="V161" s="17">
        <f>G161</f>
        <v>32336.966246877651</v>
      </c>
      <c r="W161" s="17">
        <f t="shared" si="194"/>
        <v>32400.542508984643</v>
      </c>
      <c r="Y161" s="6">
        <f t="shared" si="200"/>
        <v>2014</v>
      </c>
      <c r="Z161" s="17">
        <f t="shared" si="195"/>
        <v>59841.724611231104</v>
      </c>
      <c r="AA161" s="17">
        <f t="shared" si="184"/>
        <v>154.03358212783689</v>
      </c>
      <c r="AB161" s="17">
        <f t="shared" si="185"/>
        <v>0</v>
      </c>
      <c r="AC161" s="17">
        <f t="shared" si="186"/>
        <v>102395.45073901722</v>
      </c>
      <c r="AD161" s="17">
        <f t="shared" si="187"/>
        <v>63.576262106993113</v>
      </c>
      <c r="AE161" s="17">
        <f t="shared" si="188"/>
        <v>32336.966246877651</v>
      </c>
      <c r="AF161" s="17">
        <f t="shared" si="196"/>
        <v>194791.75144136083</v>
      </c>
      <c r="AG161" s="17">
        <f t="shared" si="205"/>
        <v>3.3461190582628006</v>
      </c>
      <c r="AH161" s="17">
        <f t="shared" si="206"/>
        <v>1701.9455919409302</v>
      </c>
      <c r="AI161" s="17">
        <f t="shared" si="197"/>
        <v>1705.2917109991929</v>
      </c>
    </row>
    <row r="162" spans="1:35">
      <c r="A162" s="6">
        <f t="shared" si="198"/>
        <v>2015</v>
      </c>
      <c r="B162" s="17">
        <f>'Exhibit C,1'!X37</f>
        <v>68829.520948565652</v>
      </c>
      <c r="C162" s="17">
        <f>'Exhibit C,1'!Y37</f>
        <v>596.06542200366357</v>
      </c>
      <c r="D162" s="17">
        <f>'Exhibit C,1'!Z37</f>
        <v>0</v>
      </c>
      <c r="E162" s="17">
        <f>'Exhibit C,1'!AA37</f>
        <v>34635.9149720563</v>
      </c>
      <c r="F162" s="54">
        <f t="shared" ref="F162:F169" si="207">0.95*I162</f>
        <v>362.53295410000771</v>
      </c>
      <c r="G162" s="54">
        <f t="shared" ref="G162:G169" si="208">0.95*J162</f>
        <v>1620.472538271697</v>
      </c>
      <c r="H162" s="17">
        <f t="shared" si="201"/>
        <v>106044.50683499733</v>
      </c>
      <c r="I162" s="54">
        <f>'Exhibit C,1'!AC37</f>
        <v>381.61363589474496</v>
      </c>
      <c r="J162" s="54">
        <f>'Exhibit C,1'!AD37</f>
        <v>1705.7605666017864</v>
      </c>
      <c r="K162" s="417">
        <f t="shared" si="191"/>
        <v>2087.3742024965313</v>
      </c>
      <c r="M162" s="6">
        <f t="shared" si="199"/>
        <v>2015</v>
      </c>
      <c r="N162" s="17">
        <v>0</v>
      </c>
      <c r="O162" s="17">
        <v>0</v>
      </c>
      <c r="P162" s="17">
        <v>0</v>
      </c>
      <c r="Q162" s="17">
        <v>0</v>
      </c>
      <c r="R162" s="17">
        <v>0</v>
      </c>
      <c r="S162" s="17">
        <v>0</v>
      </c>
      <c r="T162" s="17">
        <v>0</v>
      </c>
      <c r="U162" s="17">
        <f t="shared" ref="U162:U169" si="209">F162</f>
        <v>362.53295410000771</v>
      </c>
      <c r="V162" s="17">
        <f t="shared" ref="V162:V169" si="210">G162</f>
        <v>1620.472538271697</v>
      </c>
      <c r="W162" s="17">
        <f t="shared" si="194"/>
        <v>1983.0054923717048</v>
      </c>
      <c r="Y162" s="6">
        <f t="shared" si="200"/>
        <v>2015</v>
      </c>
      <c r="Z162" s="17">
        <f t="shared" si="195"/>
        <v>68829.520948565652</v>
      </c>
      <c r="AA162" s="17">
        <f t="shared" si="184"/>
        <v>596.06542200366357</v>
      </c>
      <c r="AB162" s="17">
        <f t="shared" si="185"/>
        <v>0</v>
      </c>
      <c r="AC162" s="17">
        <f t="shared" si="186"/>
        <v>34635.9149720563</v>
      </c>
      <c r="AD162" s="17">
        <f t="shared" si="187"/>
        <v>362.53295410000771</v>
      </c>
      <c r="AE162" s="17">
        <f t="shared" si="188"/>
        <v>1620.472538271697</v>
      </c>
      <c r="AF162" s="17">
        <f t="shared" si="196"/>
        <v>106044.50683499733</v>
      </c>
      <c r="AG162" s="17">
        <f t="shared" si="205"/>
        <v>19.080681794737245</v>
      </c>
      <c r="AH162" s="17">
        <f t="shared" si="206"/>
        <v>85.288028330089446</v>
      </c>
      <c r="AI162" s="17">
        <f t="shared" si="197"/>
        <v>104.36871012482669</v>
      </c>
    </row>
    <row r="163" spans="1:35">
      <c r="A163" s="6">
        <f t="shared" si="198"/>
        <v>2016</v>
      </c>
      <c r="B163" s="17">
        <f>'Exhibit C,1'!X38</f>
        <v>65274.34690335609</v>
      </c>
      <c r="C163" s="17">
        <f>'Exhibit C,1'!Y38</f>
        <v>19079.979058570825</v>
      </c>
      <c r="D163" s="17">
        <f>'Exhibit C,1'!Z38</f>
        <v>23818.290344318728</v>
      </c>
      <c r="E163" s="17">
        <f>'Exhibit C,1'!AA38</f>
        <v>150697.60019198371</v>
      </c>
      <c r="F163" s="54">
        <f t="shared" si="207"/>
        <v>1516.4701160854331</v>
      </c>
      <c r="G163" s="54">
        <f t="shared" si="208"/>
        <v>20209.207018805992</v>
      </c>
      <c r="H163" s="17">
        <f t="shared" si="201"/>
        <v>280595.89363312081</v>
      </c>
      <c r="I163" s="54">
        <f>'Exhibit C,1'!AC38</f>
        <v>1596.2843327215087</v>
      </c>
      <c r="J163" s="54">
        <f>'Exhibit C,1'!AD38</f>
        <v>21272.849493479993</v>
      </c>
      <c r="K163" s="417">
        <f t="shared" si="191"/>
        <v>22869.133826201502</v>
      </c>
      <c r="M163" s="6">
        <f t="shared" si="199"/>
        <v>2016</v>
      </c>
      <c r="N163" s="17">
        <v>0</v>
      </c>
      <c r="O163" s="17">
        <v>0</v>
      </c>
      <c r="P163" s="17">
        <v>0</v>
      </c>
      <c r="Q163" s="17">
        <v>0</v>
      </c>
      <c r="R163" s="17">
        <v>0</v>
      </c>
      <c r="S163" s="17">
        <v>0</v>
      </c>
      <c r="T163" s="17">
        <v>0</v>
      </c>
      <c r="U163" s="17">
        <f t="shared" si="209"/>
        <v>1516.4701160854331</v>
      </c>
      <c r="V163" s="17">
        <f t="shared" si="210"/>
        <v>20209.207018805992</v>
      </c>
      <c r="W163" s="17">
        <f t="shared" si="194"/>
        <v>21725.677134891426</v>
      </c>
      <c r="Y163" s="6">
        <f t="shared" si="200"/>
        <v>2016</v>
      </c>
      <c r="Z163" s="17">
        <f t="shared" si="195"/>
        <v>65274.34690335609</v>
      </c>
      <c r="AA163" s="17">
        <f t="shared" si="184"/>
        <v>19079.979058570825</v>
      </c>
      <c r="AB163" s="17">
        <f t="shared" si="185"/>
        <v>23818.290344318728</v>
      </c>
      <c r="AC163" s="17">
        <f t="shared" si="186"/>
        <v>150697.60019198371</v>
      </c>
      <c r="AD163" s="17">
        <f t="shared" si="187"/>
        <v>1516.4701160854331</v>
      </c>
      <c r="AE163" s="17">
        <f t="shared" si="188"/>
        <v>20209.207018805992</v>
      </c>
      <c r="AF163" s="17">
        <f t="shared" si="196"/>
        <v>280595.89363312081</v>
      </c>
      <c r="AG163" s="17">
        <f t="shared" si="205"/>
        <v>79.814216636075571</v>
      </c>
      <c r="AH163" s="17">
        <f t="shared" si="206"/>
        <v>1063.6424746740013</v>
      </c>
      <c r="AI163" s="17">
        <f t="shared" si="197"/>
        <v>1143.4566913100768</v>
      </c>
    </row>
    <row r="164" spans="1:35">
      <c r="A164" s="6">
        <f t="shared" si="198"/>
        <v>2017</v>
      </c>
      <c r="B164" s="17">
        <f>'Exhibit C,1'!X39</f>
        <v>75264.056516319702</v>
      </c>
      <c r="C164" s="17">
        <f>'Exhibit C,1'!Y39</f>
        <v>16210.688009407495</v>
      </c>
      <c r="D164" s="17">
        <f>'Exhibit C,1'!Z39</f>
        <v>267.0854184590209</v>
      </c>
      <c r="E164" s="17">
        <f>'Exhibit C,1'!AA39</f>
        <v>140097.96185929148</v>
      </c>
      <c r="F164" s="54">
        <f t="shared" si="207"/>
        <v>9630.1620663568465</v>
      </c>
      <c r="G164" s="54">
        <f t="shared" si="208"/>
        <v>56063.749722426364</v>
      </c>
      <c r="H164" s="17">
        <f t="shared" si="201"/>
        <v>297533.70359226089</v>
      </c>
      <c r="I164" s="54">
        <f>'Exhibit C,1'!AC39</f>
        <v>10137.012701428261</v>
      </c>
      <c r="J164" s="54">
        <f>'Exhibit C,1'!AD39</f>
        <v>59014.473392027758</v>
      </c>
      <c r="K164" s="417">
        <f t="shared" si="191"/>
        <v>69151.486093456013</v>
      </c>
      <c r="M164" s="6">
        <f t="shared" si="199"/>
        <v>2017</v>
      </c>
      <c r="N164" s="17">
        <v>0</v>
      </c>
      <c r="O164" s="17">
        <v>0</v>
      </c>
      <c r="P164" s="17">
        <v>0</v>
      </c>
      <c r="Q164" s="17">
        <v>0</v>
      </c>
      <c r="R164" s="17">
        <v>0</v>
      </c>
      <c r="S164" s="17">
        <v>0</v>
      </c>
      <c r="T164" s="17">
        <v>0</v>
      </c>
      <c r="U164" s="17">
        <f t="shared" si="209"/>
        <v>9630.1620663568465</v>
      </c>
      <c r="V164" s="17">
        <f t="shared" si="210"/>
        <v>56063.749722426364</v>
      </c>
      <c r="W164" s="17">
        <f t="shared" si="194"/>
        <v>65693.911788783211</v>
      </c>
      <c r="Y164" s="6">
        <f t="shared" si="200"/>
        <v>2017</v>
      </c>
      <c r="Z164" s="17">
        <f t="shared" si="195"/>
        <v>75264.056516319702</v>
      </c>
      <c r="AA164" s="17">
        <f t="shared" si="184"/>
        <v>16210.688009407495</v>
      </c>
      <c r="AB164" s="17">
        <f t="shared" si="185"/>
        <v>267.0854184590209</v>
      </c>
      <c r="AC164" s="17">
        <f t="shared" si="186"/>
        <v>140097.96185929148</v>
      </c>
      <c r="AD164" s="17">
        <f t="shared" si="187"/>
        <v>9630.1620663568465</v>
      </c>
      <c r="AE164" s="17">
        <f t="shared" si="188"/>
        <v>56063.749722426364</v>
      </c>
      <c r="AF164" s="17">
        <f t="shared" si="196"/>
        <v>297533.70359226089</v>
      </c>
      <c r="AG164" s="17">
        <f t="shared" si="205"/>
        <v>506.85063507141422</v>
      </c>
      <c r="AH164" s="17">
        <f t="shared" si="206"/>
        <v>2950.7236696013933</v>
      </c>
      <c r="AI164" s="17">
        <f t="shared" si="197"/>
        <v>3457.5743046728076</v>
      </c>
    </row>
    <row r="165" spans="1:35">
      <c r="A165" s="6">
        <f t="shared" si="198"/>
        <v>2018</v>
      </c>
      <c r="B165" s="17">
        <f>'Exhibit C,1'!X40</f>
        <v>288445.23543821991</v>
      </c>
      <c r="C165" s="17">
        <f>'Exhibit C,1'!Y40</f>
        <v>33966.197638031335</v>
      </c>
      <c r="D165" s="17">
        <f>'Exhibit C,1'!Z40</f>
        <v>14506.809791148456</v>
      </c>
      <c r="E165" s="17">
        <f>'Exhibit C,1'!AA40</f>
        <v>165339.46144163967</v>
      </c>
      <c r="F165" s="54">
        <f t="shared" si="207"/>
        <v>15354.967220233113</v>
      </c>
      <c r="G165" s="54">
        <f t="shared" si="208"/>
        <v>346138.10814181878</v>
      </c>
      <c r="H165" s="17">
        <f t="shared" si="201"/>
        <v>863750.77967109135</v>
      </c>
      <c r="I165" s="54">
        <f>'Exhibit C,1'!AC40</f>
        <v>16163.123389719067</v>
      </c>
      <c r="J165" s="54">
        <f>'Exhibit C,1'!AD40</f>
        <v>364355.90330717771</v>
      </c>
      <c r="K165" s="417">
        <f t="shared" si="191"/>
        <v>380519.02669689676</v>
      </c>
      <c r="M165" s="6">
        <f t="shared" si="199"/>
        <v>2018</v>
      </c>
      <c r="N165" s="17">
        <v>0</v>
      </c>
      <c r="O165" s="17">
        <v>0</v>
      </c>
      <c r="P165" s="17">
        <v>0</v>
      </c>
      <c r="Q165" s="17">
        <v>0</v>
      </c>
      <c r="R165" s="17">
        <v>0</v>
      </c>
      <c r="S165" s="17">
        <v>0</v>
      </c>
      <c r="T165" s="17">
        <v>0</v>
      </c>
      <c r="U165" s="17">
        <f t="shared" si="209"/>
        <v>15354.967220233113</v>
      </c>
      <c r="V165" s="17">
        <f t="shared" si="210"/>
        <v>346138.10814181878</v>
      </c>
      <c r="W165" s="17">
        <f t="shared" si="194"/>
        <v>361493.0753620519</v>
      </c>
      <c r="Y165" s="6">
        <f t="shared" si="200"/>
        <v>2018</v>
      </c>
      <c r="Z165" s="17">
        <f t="shared" si="195"/>
        <v>288445.23543821991</v>
      </c>
      <c r="AA165" s="17">
        <f t="shared" si="184"/>
        <v>33966.197638031335</v>
      </c>
      <c r="AB165" s="17">
        <f t="shared" si="185"/>
        <v>14506.809791148456</v>
      </c>
      <c r="AC165" s="17">
        <f t="shared" si="186"/>
        <v>165339.46144163967</v>
      </c>
      <c r="AD165" s="17">
        <f t="shared" si="187"/>
        <v>15354.967220233113</v>
      </c>
      <c r="AE165" s="17">
        <f t="shared" si="188"/>
        <v>346138.10814181878</v>
      </c>
      <c r="AF165" s="17">
        <f t="shared" si="196"/>
        <v>863750.77967109135</v>
      </c>
      <c r="AG165" s="17">
        <f t="shared" si="205"/>
        <v>808.1561694859538</v>
      </c>
      <c r="AH165" s="17">
        <f t="shared" si="206"/>
        <v>18217.795165358926</v>
      </c>
      <c r="AI165" s="17">
        <f t="shared" si="197"/>
        <v>19025.951334844882</v>
      </c>
    </row>
    <row r="166" spans="1:35">
      <c r="A166" s="6">
        <f t="shared" si="198"/>
        <v>2019</v>
      </c>
      <c r="B166" s="17">
        <f>'Exhibit C,1'!X41</f>
        <v>226534.48040203433</v>
      </c>
      <c r="C166" s="17">
        <f>'Exhibit C,1'!Y41</f>
        <v>57574.491523076686</v>
      </c>
      <c r="D166" s="17">
        <f>'Exhibit C,1'!Z41</f>
        <v>11079.444785175596</v>
      </c>
      <c r="E166" s="17">
        <f>'Exhibit C,1'!AA41</f>
        <v>177833.81523936152</v>
      </c>
      <c r="F166" s="54">
        <f t="shared" si="207"/>
        <v>57294.488918895942</v>
      </c>
      <c r="G166" s="54">
        <f t="shared" si="208"/>
        <v>273230.82442461781</v>
      </c>
      <c r="H166" s="17">
        <f t="shared" si="201"/>
        <v>803547.54529316188</v>
      </c>
      <c r="I166" s="54">
        <f>'Exhibit C,1'!AC41</f>
        <v>60309.98833567994</v>
      </c>
      <c r="J166" s="54">
        <f>'Exhibit C,1'!AD41</f>
        <v>287611.39413117664</v>
      </c>
      <c r="K166" s="417">
        <f t="shared" si="191"/>
        <v>347921.38246685656</v>
      </c>
      <c r="M166" s="6">
        <f t="shared" si="199"/>
        <v>2019</v>
      </c>
      <c r="N166" s="17">
        <v>0</v>
      </c>
      <c r="O166" s="17">
        <v>0</v>
      </c>
      <c r="P166" s="17">
        <v>0</v>
      </c>
      <c r="Q166" s="17">
        <v>0</v>
      </c>
      <c r="R166" s="17">
        <v>0</v>
      </c>
      <c r="S166" s="17">
        <v>0</v>
      </c>
      <c r="T166" s="17">
        <v>0</v>
      </c>
      <c r="U166" s="17">
        <f t="shared" si="209"/>
        <v>57294.488918895942</v>
      </c>
      <c r="V166" s="17">
        <f t="shared" si="210"/>
        <v>273230.82442461781</v>
      </c>
      <c r="W166" s="17">
        <f t="shared" si="194"/>
        <v>330525.31334351376</v>
      </c>
      <c r="Y166" s="6">
        <f t="shared" si="200"/>
        <v>2019</v>
      </c>
      <c r="Z166" s="17">
        <f t="shared" si="195"/>
        <v>226534.48040203433</v>
      </c>
      <c r="AA166" s="17">
        <f t="shared" si="184"/>
        <v>57574.491523076686</v>
      </c>
      <c r="AB166" s="17">
        <f t="shared" si="185"/>
        <v>11079.444785175596</v>
      </c>
      <c r="AC166" s="17">
        <f t="shared" si="186"/>
        <v>177833.81523936152</v>
      </c>
      <c r="AD166" s="17">
        <f t="shared" si="187"/>
        <v>57294.488918895942</v>
      </c>
      <c r="AE166" s="17">
        <f t="shared" si="188"/>
        <v>273230.82442461781</v>
      </c>
      <c r="AF166" s="17">
        <f t="shared" si="196"/>
        <v>803547.54529316188</v>
      </c>
      <c r="AG166" s="17">
        <f t="shared" si="205"/>
        <v>3015.4994167839977</v>
      </c>
      <c r="AH166" s="17">
        <f t="shared" si="206"/>
        <v>14380.569706558832</v>
      </c>
      <c r="AI166" s="17">
        <f t="shared" si="197"/>
        <v>17396.06912334283</v>
      </c>
    </row>
    <row r="167" spans="1:35">
      <c r="A167" s="6">
        <f t="shared" si="198"/>
        <v>2020</v>
      </c>
      <c r="B167" s="17">
        <f>'Exhibit C,1'!X42</f>
        <v>208611.31119606391</v>
      </c>
      <c r="C167" s="17">
        <f>'Exhibit C,1'!Y42</f>
        <v>20681.529971500033</v>
      </c>
      <c r="D167" s="17">
        <f>'Exhibit C,1'!Z42</f>
        <v>13599.147155603512</v>
      </c>
      <c r="E167" s="17">
        <f>'Exhibit C,1'!AA42</f>
        <v>180444.81690172313</v>
      </c>
      <c r="F167" s="54">
        <f t="shared" si="207"/>
        <v>15170.393796414413</v>
      </c>
      <c r="G167" s="54">
        <f t="shared" si="208"/>
        <v>85159.79643114144</v>
      </c>
      <c r="H167" s="17">
        <f t="shared" si="201"/>
        <v>523666.99545244646</v>
      </c>
      <c r="I167" s="54">
        <f>'Exhibit C,1'!AC42</f>
        <v>15968.835575173067</v>
      </c>
      <c r="J167" s="54">
        <f>'Exhibit C,1'!AD42</f>
        <v>89641.890980148892</v>
      </c>
      <c r="K167" s="417">
        <f t="shared" si="191"/>
        <v>105610.72655532196</v>
      </c>
      <c r="M167" s="6">
        <f t="shared" si="199"/>
        <v>2020</v>
      </c>
      <c r="N167" s="17">
        <v>0</v>
      </c>
      <c r="O167" s="17">
        <v>0</v>
      </c>
      <c r="P167" s="17">
        <v>0</v>
      </c>
      <c r="Q167" s="17">
        <v>0</v>
      </c>
      <c r="R167" s="17">
        <v>0</v>
      </c>
      <c r="S167" s="17">
        <v>0</v>
      </c>
      <c r="T167" s="17">
        <v>0</v>
      </c>
      <c r="U167" s="17">
        <f t="shared" si="209"/>
        <v>15170.393796414413</v>
      </c>
      <c r="V167" s="17">
        <f t="shared" si="210"/>
        <v>85159.79643114144</v>
      </c>
      <c r="W167" s="17">
        <f t="shared" si="194"/>
        <v>100330.19022755585</v>
      </c>
      <c r="Y167" s="6">
        <f t="shared" si="200"/>
        <v>2020</v>
      </c>
      <c r="Z167" s="17">
        <f t="shared" si="195"/>
        <v>208611.31119606391</v>
      </c>
      <c r="AA167" s="17">
        <f t="shared" si="184"/>
        <v>20681.529971500033</v>
      </c>
      <c r="AB167" s="17">
        <f t="shared" si="185"/>
        <v>13599.147155603512</v>
      </c>
      <c r="AC167" s="17">
        <f t="shared" si="186"/>
        <v>180444.81690172313</v>
      </c>
      <c r="AD167" s="17">
        <f t="shared" si="187"/>
        <v>15170.393796414413</v>
      </c>
      <c r="AE167" s="17">
        <f t="shared" si="188"/>
        <v>85159.79643114144</v>
      </c>
      <c r="AF167" s="17">
        <f t="shared" si="196"/>
        <v>523666.99545244646</v>
      </c>
      <c r="AG167" s="17">
        <f t="shared" si="205"/>
        <v>798.44177875865353</v>
      </c>
      <c r="AH167" s="17">
        <f t="shared" si="206"/>
        <v>4482.0945490074519</v>
      </c>
      <c r="AI167" s="17">
        <f t="shared" si="197"/>
        <v>5280.5363277661054</v>
      </c>
    </row>
    <row r="168" spans="1:35">
      <c r="A168" s="6">
        <f t="shared" si="198"/>
        <v>2021</v>
      </c>
      <c r="B168" s="17">
        <f>'Exhibit C,1'!X43</f>
        <v>301660.72656104446</v>
      </c>
      <c r="C168" s="17">
        <f>'Exhibit C,1'!Y43</f>
        <v>24937.563366261013</v>
      </c>
      <c r="D168" s="17">
        <f>'Exhibit C,1'!Z43</f>
        <v>35408.312782055065</v>
      </c>
      <c r="E168" s="17">
        <f>'Exhibit C,1'!AA43</f>
        <v>148302.20790508803</v>
      </c>
      <c r="F168" s="54">
        <f t="shared" si="207"/>
        <v>127098.77803016378</v>
      </c>
      <c r="G168" s="54">
        <f t="shared" si="208"/>
        <v>128392.13673507972</v>
      </c>
      <c r="H168" s="17">
        <f t="shared" si="201"/>
        <v>765799.72537969204</v>
      </c>
      <c r="I168" s="54">
        <f>'Exhibit C,1'!AC43</f>
        <v>133788.18740017241</v>
      </c>
      <c r="J168" s="54">
        <f>'Exhibit C,1'!AD43</f>
        <v>135149.6176158734</v>
      </c>
      <c r="K168" s="417">
        <f t="shared" si="191"/>
        <v>268937.80501604581</v>
      </c>
      <c r="M168" s="6">
        <f t="shared" si="199"/>
        <v>2021</v>
      </c>
      <c r="N168" s="17">
        <v>0</v>
      </c>
      <c r="O168" s="17">
        <v>0</v>
      </c>
      <c r="P168" s="17">
        <v>0</v>
      </c>
      <c r="Q168" s="17">
        <v>0</v>
      </c>
      <c r="R168" s="17">
        <v>0</v>
      </c>
      <c r="S168" s="17">
        <v>0</v>
      </c>
      <c r="T168" s="17">
        <v>0</v>
      </c>
      <c r="U168" s="17">
        <f t="shared" si="209"/>
        <v>127098.77803016378</v>
      </c>
      <c r="V168" s="17">
        <f t="shared" si="210"/>
        <v>128392.13673507972</v>
      </c>
      <c r="W168" s="17">
        <f t="shared" si="194"/>
        <v>255490.91476524351</v>
      </c>
      <c r="Y168" s="6">
        <f t="shared" si="200"/>
        <v>2021</v>
      </c>
      <c r="Z168" s="17">
        <f t="shared" si="195"/>
        <v>301660.72656104446</v>
      </c>
      <c r="AA168" s="17">
        <f t="shared" si="184"/>
        <v>24937.563366261013</v>
      </c>
      <c r="AB168" s="17">
        <f t="shared" si="185"/>
        <v>35408.312782055065</v>
      </c>
      <c r="AC168" s="17">
        <f t="shared" si="186"/>
        <v>148302.20790508803</v>
      </c>
      <c r="AD168" s="17">
        <f t="shared" si="187"/>
        <v>127098.77803016378</v>
      </c>
      <c r="AE168" s="17">
        <f t="shared" si="188"/>
        <v>128392.13673507972</v>
      </c>
      <c r="AF168" s="17">
        <f t="shared" si="196"/>
        <v>765799.72537969204</v>
      </c>
      <c r="AG168" s="17">
        <f t="shared" si="205"/>
        <v>6689.4093700086232</v>
      </c>
      <c r="AH168" s="17">
        <f t="shared" si="206"/>
        <v>6757.4808807936788</v>
      </c>
      <c r="AI168" s="17">
        <f t="shared" si="197"/>
        <v>13446.890250802302</v>
      </c>
    </row>
    <row r="169" spans="1:35">
      <c r="A169" s="6">
        <f t="shared" si="198"/>
        <v>2022</v>
      </c>
      <c r="B169" s="17">
        <f>'Exhibit C,1'!X44</f>
        <v>378380.97188842605</v>
      </c>
      <c r="C169" s="17">
        <f>'Exhibit C,1'!Y44</f>
        <v>91964.681857208532</v>
      </c>
      <c r="D169" s="17">
        <f>'Exhibit C,1'!Z44</f>
        <v>45084.179599361581</v>
      </c>
      <c r="E169" s="17">
        <f>'Exhibit C,1'!AA44</f>
        <v>107351.4862308305</v>
      </c>
      <c r="F169" s="54">
        <f t="shared" si="207"/>
        <v>67323.344809797825</v>
      </c>
      <c r="G169" s="54">
        <f t="shared" si="208"/>
        <v>76194.356470744111</v>
      </c>
      <c r="H169" s="17">
        <f t="shared" si="201"/>
        <v>766299.0208563687</v>
      </c>
      <c r="I169" s="54">
        <f>'Exhibit C,1'!AC44</f>
        <v>70866.678747155616</v>
      </c>
      <c r="J169" s="54">
        <f>'Exhibit C,1'!AD44</f>
        <v>80204.585758678018</v>
      </c>
      <c r="K169" s="417">
        <f t="shared" si="191"/>
        <v>151071.26450583362</v>
      </c>
      <c r="M169" s="6">
        <f t="shared" si="199"/>
        <v>2022</v>
      </c>
      <c r="N169" s="17">
        <v>0</v>
      </c>
      <c r="O169" s="17">
        <v>0</v>
      </c>
      <c r="P169" s="17">
        <v>0</v>
      </c>
      <c r="Q169" s="17">
        <v>0</v>
      </c>
      <c r="R169" s="17">
        <v>0</v>
      </c>
      <c r="S169" s="17">
        <v>0</v>
      </c>
      <c r="T169" s="17">
        <v>0</v>
      </c>
      <c r="U169" s="17">
        <f t="shared" si="209"/>
        <v>67323.344809797825</v>
      </c>
      <c r="V169" s="17">
        <f t="shared" si="210"/>
        <v>76194.356470744111</v>
      </c>
      <c r="W169" s="17">
        <f t="shared" si="194"/>
        <v>143517.70128054195</v>
      </c>
      <c r="Y169" s="6">
        <f t="shared" si="200"/>
        <v>2022</v>
      </c>
      <c r="Z169" s="17">
        <f t="shared" si="195"/>
        <v>378380.97188842605</v>
      </c>
      <c r="AA169" s="17">
        <f t="shared" si="184"/>
        <v>91964.681857208532</v>
      </c>
      <c r="AB169" s="17">
        <f t="shared" si="185"/>
        <v>45084.179599361581</v>
      </c>
      <c r="AC169" s="17">
        <f t="shared" si="186"/>
        <v>107351.4862308305</v>
      </c>
      <c r="AD169" s="17">
        <f t="shared" si="187"/>
        <v>67323.344809797825</v>
      </c>
      <c r="AE169" s="17">
        <f t="shared" si="188"/>
        <v>76194.356470744111</v>
      </c>
      <c r="AF169" s="17">
        <f t="shared" si="196"/>
        <v>766299.0208563687</v>
      </c>
      <c r="AG169" s="17">
        <f t="shared" si="205"/>
        <v>3543.333937357791</v>
      </c>
      <c r="AH169" s="17">
        <f t="shared" si="206"/>
        <v>4010.2292879339075</v>
      </c>
      <c r="AI169" s="17">
        <f t="shared" si="197"/>
        <v>7553.5632252916985</v>
      </c>
    </row>
    <row r="170" spans="1:35">
      <c r="A170" s="1"/>
      <c r="B170" s="200"/>
      <c r="C170" s="200"/>
      <c r="D170" s="200"/>
      <c r="E170" s="200"/>
      <c r="F170" s="200"/>
      <c r="G170" s="200"/>
      <c r="H170" s="200"/>
      <c r="I170" s="200"/>
      <c r="J170" s="200"/>
      <c r="K170" s="200"/>
      <c r="M170" s="1"/>
      <c r="N170" s="200"/>
      <c r="O170" s="200"/>
      <c r="P170" s="200"/>
      <c r="Q170" s="200"/>
      <c r="R170" s="200"/>
      <c r="S170" s="200"/>
      <c r="T170" s="200"/>
      <c r="U170" s="200"/>
      <c r="V170" s="200"/>
      <c r="W170" s="200"/>
      <c r="Y170" s="1"/>
      <c r="Z170" s="200"/>
      <c r="AA170" s="200"/>
      <c r="AB170" s="200"/>
      <c r="AC170" s="200"/>
      <c r="AD170" s="200"/>
      <c r="AE170" s="200"/>
      <c r="AF170" s="200"/>
      <c r="AG170" s="200"/>
      <c r="AH170" s="200"/>
      <c r="AI170" s="200"/>
    </row>
    <row r="171" spans="1:35">
      <c r="A171" s="1"/>
      <c r="B171" s="191"/>
      <c r="C171" s="191"/>
      <c r="D171" s="1"/>
      <c r="E171" s="1"/>
      <c r="F171" s="1"/>
      <c r="G171" s="1"/>
      <c r="H171" s="1"/>
      <c r="I171" s="1"/>
      <c r="J171" s="1"/>
      <c r="K171" s="1"/>
      <c r="M171" s="1"/>
      <c r="N171" s="191"/>
      <c r="O171" s="191"/>
      <c r="P171" s="1"/>
      <c r="Q171" s="1"/>
      <c r="R171" s="1"/>
      <c r="S171" s="1"/>
      <c r="T171" s="1"/>
      <c r="U171" s="1"/>
      <c r="V171" s="1"/>
      <c r="W171" s="1"/>
      <c r="Y171" s="1"/>
      <c r="Z171" s="191"/>
      <c r="AA171" s="191"/>
      <c r="AB171" s="1"/>
      <c r="AC171" s="1"/>
      <c r="AD171" s="1"/>
      <c r="AE171" s="1"/>
      <c r="AF171" s="1"/>
      <c r="AG171" s="1"/>
      <c r="AH171" s="1"/>
      <c r="AI171" s="1"/>
    </row>
    <row r="172" spans="1:35">
      <c r="A172" s="2" t="s">
        <v>0</v>
      </c>
      <c r="B172" s="16">
        <f>SUM(B141:B169)</f>
        <v>1675780.3140683104</v>
      </c>
      <c r="C172" s="16">
        <f t="shared" ref="C172:K172" si="211">SUM(C141:C169)</f>
        <v>266535.57332068915</v>
      </c>
      <c r="D172" s="16">
        <f t="shared" si="211"/>
        <v>143763.26987612195</v>
      </c>
      <c r="E172" s="16">
        <f t="shared" si="211"/>
        <v>1283781.2319005129</v>
      </c>
      <c r="F172" s="16">
        <f t="shared" si="211"/>
        <v>293814.71417415433</v>
      </c>
      <c r="G172" s="16">
        <f t="shared" si="211"/>
        <v>1019345.6177297835</v>
      </c>
      <c r="H172" s="16">
        <f t="shared" si="211"/>
        <v>4683020.7210695725</v>
      </c>
      <c r="I172" s="16">
        <f t="shared" si="211"/>
        <v>309278.64649910992</v>
      </c>
      <c r="J172" s="16">
        <f t="shared" si="211"/>
        <v>1072995.3870839828</v>
      </c>
      <c r="K172" s="16">
        <f t="shared" si="211"/>
        <v>1382274.0335830925</v>
      </c>
      <c r="M172" s="2" t="s">
        <v>0</v>
      </c>
      <c r="N172" s="16">
        <f>SUM(N141:N169)</f>
        <v>0</v>
      </c>
      <c r="O172" s="16">
        <f t="shared" ref="O172:W172" si="212">SUM(O141:O169)</f>
        <v>0</v>
      </c>
      <c r="P172" s="16">
        <f t="shared" si="212"/>
        <v>0</v>
      </c>
      <c r="Q172" s="16">
        <f t="shared" si="212"/>
        <v>0</v>
      </c>
      <c r="R172" s="16">
        <f t="shared" si="212"/>
        <v>0</v>
      </c>
      <c r="S172" s="16">
        <f t="shared" si="212"/>
        <v>0</v>
      </c>
      <c r="T172" s="16">
        <f t="shared" si="212"/>
        <v>0</v>
      </c>
      <c r="U172" s="16">
        <f t="shared" si="212"/>
        <v>293814.71417415433</v>
      </c>
      <c r="V172" s="16">
        <f t="shared" si="212"/>
        <v>1019345.6177297835</v>
      </c>
      <c r="W172" s="16">
        <f t="shared" si="212"/>
        <v>1313160.331903938</v>
      </c>
      <c r="Y172" s="2" t="s">
        <v>0</v>
      </c>
      <c r="Z172" s="16">
        <f>SUM(Z141:Z169)</f>
        <v>1675780.3140683104</v>
      </c>
      <c r="AA172" s="16">
        <f t="shared" ref="AA172:AI172" si="213">SUM(AA141:AA169)</f>
        <v>266535.57332068915</v>
      </c>
      <c r="AB172" s="16">
        <f t="shared" si="213"/>
        <v>143763.26987612195</v>
      </c>
      <c r="AC172" s="16">
        <f t="shared" si="213"/>
        <v>1283781.2319005129</v>
      </c>
      <c r="AD172" s="16">
        <f t="shared" si="213"/>
        <v>293814.71417415433</v>
      </c>
      <c r="AE172" s="16">
        <f t="shared" si="213"/>
        <v>1019345.6177297835</v>
      </c>
      <c r="AF172" s="16">
        <f t="shared" si="213"/>
        <v>4683020.7210695725</v>
      </c>
      <c r="AG172" s="16">
        <f t="shared" si="213"/>
        <v>15463.932324955509</v>
      </c>
      <c r="AH172" s="16">
        <f t="shared" si="213"/>
        <v>53649.769354199212</v>
      </c>
      <c r="AI172" s="16">
        <f t="shared" si="213"/>
        <v>69113.701679154721</v>
      </c>
    </row>
    <row r="173" spans="1: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Y173" s="1"/>
      <c r="Z173" s="1"/>
      <c r="AA173" s="1"/>
      <c r="AB173" s="1"/>
      <c r="AC173" s="1"/>
      <c r="AD173" s="1"/>
      <c r="AE173" s="1"/>
      <c r="AF173" s="1"/>
    </row>
    <row r="174" spans="1:35">
      <c r="A174" s="1"/>
      <c r="B174" s="21"/>
      <c r="C174" s="21"/>
      <c r="D174" s="21"/>
      <c r="E174" s="21"/>
      <c r="F174" s="21"/>
      <c r="G174" s="21"/>
      <c r="H174" s="1"/>
      <c r="I174" s="1"/>
      <c r="J174" s="1"/>
      <c r="K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Y174" s="2" t="s">
        <v>685</v>
      </c>
      <c r="Z174" s="619">
        <f>B172-Z172</f>
        <v>0</v>
      </c>
      <c r="AA174" s="619">
        <f t="shared" ref="AA174:AF174" si="214">C172-AA172</f>
        <v>0</v>
      </c>
      <c r="AB174" s="619">
        <f t="shared" si="214"/>
        <v>0</v>
      </c>
      <c r="AC174" s="619">
        <f t="shared" si="214"/>
        <v>0</v>
      </c>
      <c r="AD174" s="619">
        <f t="shared" si="214"/>
        <v>0</v>
      </c>
      <c r="AE174" s="619">
        <f t="shared" si="214"/>
        <v>0</v>
      </c>
      <c r="AF174" s="619">
        <f t="shared" si="214"/>
        <v>0</v>
      </c>
    </row>
    <row r="175" spans="1: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90">
    <tabColor rgb="FFFF0000"/>
    <pageSetUpPr fitToPage="1"/>
  </sheetPr>
  <dimension ref="A1:AH54"/>
  <sheetViews>
    <sheetView zoomScale="75" zoomScaleNormal="75" workbookViewId="0">
      <selection activeCell="A6" sqref="A6"/>
    </sheetView>
  </sheetViews>
  <sheetFormatPr baseColWidth="10" defaultColWidth="8.7109375" defaultRowHeight="15"/>
  <cols>
    <col min="1" max="1" width="10.7109375" style="1" customWidth="1"/>
    <col min="2" max="2" width="1.7109375" style="1" customWidth="1"/>
    <col min="3" max="3" width="10.7109375" style="1" customWidth="1"/>
    <col min="4" max="4" width="1.7109375" style="1" customWidth="1"/>
    <col min="5" max="5" width="9.7109375" style="1" customWidth="1"/>
    <col min="6" max="6" width="1.7109375" style="1" customWidth="1"/>
    <col min="7" max="7" width="10.7109375" style="1" customWidth="1"/>
    <col min="8" max="8" width="1.7109375" style="1" customWidth="1"/>
    <col min="9" max="9" width="9.7109375" style="1" customWidth="1"/>
    <col min="10" max="10" width="1.7109375" style="1" customWidth="1"/>
    <col min="11" max="11" width="9.7109375" style="1" customWidth="1"/>
    <col min="12" max="12" width="1.7109375" style="1" customWidth="1"/>
    <col min="13" max="13" width="10.7109375" style="1" customWidth="1"/>
    <col min="14" max="14" width="1.7109375" style="1" customWidth="1"/>
    <col min="15" max="15" width="10.7109375" style="1" customWidth="1"/>
    <col min="16" max="16" width="1.7109375" style="1" customWidth="1"/>
    <col min="17" max="17" width="10.7109375" style="1" customWidth="1"/>
    <col min="18" max="18" width="1.7109375" style="1" customWidth="1"/>
    <col min="19" max="19" width="10.7109375" style="1" customWidth="1"/>
    <col min="20" max="20" width="1.7109375" style="1" customWidth="1"/>
    <col min="21" max="21" width="10.7109375" style="1" customWidth="1"/>
    <col min="22" max="22" width="1.7109375" style="1" customWidth="1"/>
    <col min="23" max="23" width="10.7109375" style="1" customWidth="1"/>
    <col min="24" max="24" width="8.7109375" style="1"/>
    <col min="25" max="25" width="9.85546875" style="1" bestFit="1" customWidth="1"/>
    <col min="26" max="26" width="8.7109375" style="1"/>
    <col min="27" max="27" width="12.7109375" style="1" bestFit="1" customWidth="1"/>
    <col min="28" max="16384" width="8.7109375" style="1"/>
  </cols>
  <sheetData>
    <row r="1" spans="1:34">
      <c r="W1" s="3" t="s">
        <v>150</v>
      </c>
    </row>
    <row r="2" spans="1:34">
      <c r="W2" s="3" t="s">
        <v>126</v>
      </c>
    </row>
    <row r="3" spans="1:34">
      <c r="W3" s="3"/>
    </row>
    <row r="4" spans="1:34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34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34">
      <c r="A6" s="5" t="s">
        <v>178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34">
      <c r="A7" s="5" t="s">
        <v>307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34">
      <c r="A8" s="5" t="s">
        <v>292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34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34">
      <c r="L10" s="61" t="s">
        <v>875</v>
      </c>
    </row>
    <row r="11" spans="1:34">
      <c r="C11" s="2" t="s">
        <v>9</v>
      </c>
      <c r="I11" s="2" t="s">
        <v>7</v>
      </c>
      <c r="J11" s="2"/>
      <c r="K11" s="2" t="s">
        <v>7</v>
      </c>
      <c r="Q11" s="2" t="s">
        <v>14</v>
      </c>
      <c r="R11" s="2"/>
      <c r="S11" s="2" t="s">
        <v>12</v>
      </c>
      <c r="T11" s="2"/>
      <c r="U11" s="2" t="s">
        <v>1</v>
      </c>
      <c r="AF11" s="2" t="s">
        <v>7</v>
      </c>
      <c r="AG11" s="2"/>
      <c r="AH11" s="2" t="s">
        <v>7</v>
      </c>
    </row>
    <row r="12" spans="1:34">
      <c r="A12" s="2" t="s">
        <v>6</v>
      </c>
      <c r="C12" s="2" t="s">
        <v>177</v>
      </c>
      <c r="E12" s="2" t="s">
        <v>7</v>
      </c>
      <c r="G12" s="2" t="s">
        <v>7</v>
      </c>
      <c r="H12" s="2"/>
      <c r="I12" s="2" t="s">
        <v>62</v>
      </c>
      <c r="J12" s="2"/>
      <c r="K12" s="2" t="s">
        <v>62</v>
      </c>
      <c r="M12" s="2" t="s">
        <v>14</v>
      </c>
      <c r="N12" s="2"/>
      <c r="O12" s="2" t="s">
        <v>12</v>
      </c>
      <c r="Q12" s="2" t="s">
        <v>314</v>
      </c>
      <c r="R12" s="2"/>
      <c r="S12" s="2" t="s">
        <v>314</v>
      </c>
      <c r="T12" s="2"/>
      <c r="U12" s="2" t="s">
        <v>67</v>
      </c>
      <c r="W12" s="2" t="s">
        <v>63</v>
      </c>
      <c r="AE12" s="6" t="s">
        <v>122</v>
      </c>
      <c r="AF12" s="2" t="s">
        <v>62</v>
      </c>
      <c r="AG12" s="2"/>
      <c r="AH12" s="2" t="s">
        <v>62</v>
      </c>
    </row>
    <row r="13" spans="1:34">
      <c r="A13" s="2" t="s">
        <v>4</v>
      </c>
      <c r="B13" s="6"/>
      <c r="C13" s="107" t="s">
        <v>16</v>
      </c>
      <c r="E13" s="2" t="s">
        <v>162</v>
      </c>
      <c r="G13" s="6" t="s">
        <v>55</v>
      </c>
      <c r="H13" s="6"/>
      <c r="I13" s="2" t="s">
        <v>14</v>
      </c>
      <c r="J13" s="2"/>
      <c r="K13" s="2" t="s">
        <v>12</v>
      </c>
      <c r="M13" s="2" t="s">
        <v>55</v>
      </c>
      <c r="N13" s="2"/>
      <c r="O13" s="2" t="s">
        <v>55</v>
      </c>
      <c r="Q13" s="2" t="s">
        <v>55</v>
      </c>
      <c r="R13" s="2"/>
      <c r="S13" s="2" t="s">
        <v>55</v>
      </c>
      <c r="T13" s="2"/>
      <c r="U13" s="2" t="s">
        <v>55</v>
      </c>
      <c r="W13" s="2" t="s">
        <v>55</v>
      </c>
      <c r="AE13" s="6" t="s">
        <v>123</v>
      </c>
      <c r="AF13" s="2" t="s">
        <v>14</v>
      </c>
      <c r="AG13" s="2"/>
      <c r="AH13" s="2" t="s">
        <v>12</v>
      </c>
    </row>
    <row r="14" spans="1:34">
      <c r="A14" s="9" t="s">
        <v>27</v>
      </c>
      <c r="B14" s="11"/>
      <c r="C14" s="9">
        <v>-2</v>
      </c>
      <c r="D14" s="11"/>
      <c r="E14" s="9">
        <v>-3</v>
      </c>
      <c r="F14" s="11"/>
      <c r="G14" s="9">
        <v>-4</v>
      </c>
      <c r="H14" s="11"/>
      <c r="I14" s="10">
        <v>-5</v>
      </c>
      <c r="J14" s="11"/>
      <c r="K14" s="10">
        <v>-6</v>
      </c>
      <c r="L14" s="11"/>
      <c r="M14" s="10">
        <v>-7</v>
      </c>
      <c r="O14" s="10">
        <v>-8</v>
      </c>
      <c r="P14" s="11"/>
      <c r="Q14" s="10">
        <v>-9</v>
      </c>
      <c r="R14" s="11"/>
      <c r="S14" s="10">
        <v>-10</v>
      </c>
      <c r="T14" s="11"/>
      <c r="U14" s="10">
        <v>-11</v>
      </c>
      <c r="W14" s="10">
        <v>-12</v>
      </c>
      <c r="AE14" s="106" t="s">
        <v>38</v>
      </c>
      <c r="AF14" s="10">
        <v>-5</v>
      </c>
      <c r="AG14" s="11"/>
      <c r="AH14" s="10">
        <v>-6</v>
      </c>
    </row>
    <row r="16" spans="1:34" ht="16">
      <c r="A16" s="15" t="s">
        <v>77</v>
      </c>
      <c r="AE16" s="1">
        <f t="shared" ref="AE16:AE23" si="0">AE17+12</f>
        <v>120</v>
      </c>
      <c r="AF16" s="73">
        <f>'Exhibit Q,8'!I26</f>
        <v>1</v>
      </c>
      <c r="AH16" s="73">
        <f>'Exhibit Q,6'!I26</f>
        <v>1</v>
      </c>
    </row>
    <row r="17" spans="1:34">
      <c r="A17" s="6">
        <f>2012</f>
        <v>2012</v>
      </c>
      <c r="C17" s="19"/>
      <c r="E17" s="74">
        <v>0.95380534727665256</v>
      </c>
      <c r="G17" s="26">
        <f>C17*E17</f>
        <v>0</v>
      </c>
      <c r="H17" s="26"/>
      <c r="I17" s="74">
        <f>AF17</f>
        <v>0.99977106227106227</v>
      </c>
      <c r="J17" s="74"/>
      <c r="K17" s="74">
        <f>AH17</f>
        <v>1</v>
      </c>
      <c r="M17" s="19"/>
      <c r="N17" s="26"/>
      <c r="O17" s="19"/>
      <c r="P17" s="19"/>
      <c r="Q17" s="19">
        <f>G17*(1-I17)+M17</f>
        <v>0</v>
      </c>
      <c r="R17" s="19"/>
      <c r="S17" s="19">
        <f>MAX(M17,G17*(1-K17)+O17)</f>
        <v>0</v>
      </c>
      <c r="U17" s="26">
        <f>S17</f>
        <v>0</v>
      </c>
      <c r="W17" s="26">
        <f>U17-M17</f>
        <v>0</v>
      </c>
      <c r="Y17" s="26"/>
      <c r="AA17" s="26"/>
      <c r="AE17" s="1">
        <f t="shared" si="0"/>
        <v>108</v>
      </c>
      <c r="AF17" s="73">
        <f>'Exhibit Q,8'!I27</f>
        <v>0.99977106227106227</v>
      </c>
      <c r="AH17" s="73">
        <f>'Exhibit Q,6'!I27</f>
        <v>1</v>
      </c>
    </row>
    <row r="18" spans="1:34">
      <c r="A18" s="6">
        <f>A17+1</f>
        <v>2013</v>
      </c>
      <c r="C18" s="18"/>
      <c r="E18" s="74">
        <v>1.0300104192265696</v>
      </c>
      <c r="G18" s="174">
        <f t="shared" ref="G18:G25" si="1">C18*E18</f>
        <v>0</v>
      </c>
      <c r="H18" s="18"/>
      <c r="I18" s="74">
        <f t="shared" ref="I18:I25" si="2">AF18</f>
        <v>0.98816163994735429</v>
      </c>
      <c r="J18" s="74"/>
      <c r="K18" s="74">
        <f t="shared" ref="K18:K25" si="3">AH18</f>
        <v>1</v>
      </c>
      <c r="M18" s="18"/>
      <c r="N18" s="18"/>
      <c r="O18" s="18"/>
      <c r="P18" s="18"/>
      <c r="Q18" s="20">
        <f t="shared" ref="Q18:Q25" si="4">G18*(1-I18)+M18</f>
        <v>0</v>
      </c>
      <c r="R18" s="18"/>
      <c r="S18" s="20">
        <f t="shared" ref="S18:S25" si="5">MAX(M18,G18*(1-K18)+O18)</f>
        <v>0</v>
      </c>
      <c r="T18" s="20"/>
      <c r="U18" s="20">
        <f t="shared" ref="U18:U25" si="6">S18</f>
        <v>0</v>
      </c>
      <c r="V18" s="20"/>
      <c r="W18" s="20">
        <f t="shared" ref="W18:W25" si="7">U18-M18</f>
        <v>0</v>
      </c>
      <c r="Y18" s="26"/>
      <c r="AA18" s="26"/>
      <c r="AE18" s="1">
        <f t="shared" si="0"/>
        <v>96</v>
      </c>
      <c r="AF18" s="73">
        <f>'Exhibit Q,8'!I28</f>
        <v>0.98816163994735429</v>
      </c>
      <c r="AH18" s="73">
        <f>'Exhibit Q,6'!I28</f>
        <v>1</v>
      </c>
    </row>
    <row r="19" spans="1:34">
      <c r="A19" s="6">
        <f t="shared" ref="A19:A25" si="8">A18+1</f>
        <v>2014</v>
      </c>
      <c r="C19" s="18"/>
      <c r="E19" s="74">
        <v>1.0488930595204227</v>
      </c>
      <c r="G19" s="174">
        <f t="shared" si="1"/>
        <v>0</v>
      </c>
      <c r="H19" s="18"/>
      <c r="I19" s="74">
        <f t="shared" si="2"/>
        <v>0.94013870716140402</v>
      </c>
      <c r="J19" s="74"/>
      <c r="K19" s="74">
        <f t="shared" si="3"/>
        <v>1</v>
      </c>
      <c r="M19" s="18"/>
      <c r="N19" s="18"/>
      <c r="O19" s="18"/>
      <c r="P19" s="18"/>
      <c r="Q19" s="20">
        <f t="shared" si="4"/>
        <v>0</v>
      </c>
      <c r="R19" s="18"/>
      <c r="S19" s="20">
        <f t="shared" si="5"/>
        <v>0</v>
      </c>
      <c r="T19" s="20"/>
      <c r="U19" s="20">
        <f t="shared" si="6"/>
        <v>0</v>
      </c>
      <c r="V19" s="20"/>
      <c r="W19" s="20">
        <f t="shared" si="7"/>
        <v>0</v>
      </c>
      <c r="Y19" s="26"/>
      <c r="AA19" s="26"/>
      <c r="AE19" s="1">
        <f t="shared" si="0"/>
        <v>84</v>
      </c>
      <c r="AF19" s="73">
        <f>'Exhibit Q,8'!I29</f>
        <v>0.94013870716140402</v>
      </c>
      <c r="AH19" s="73">
        <f>'Exhibit Q,6'!I29</f>
        <v>1</v>
      </c>
    </row>
    <row r="20" spans="1:34">
      <c r="A20" s="6">
        <f t="shared" si="8"/>
        <v>2015</v>
      </c>
      <c r="C20" s="18"/>
      <c r="E20" s="74">
        <v>1.0337029373608226</v>
      </c>
      <c r="G20" s="174">
        <f t="shared" si="1"/>
        <v>0</v>
      </c>
      <c r="H20" s="18"/>
      <c r="I20" s="74">
        <f t="shared" si="2"/>
        <v>0.86199281171108022</v>
      </c>
      <c r="J20" s="74"/>
      <c r="K20" s="74">
        <f t="shared" si="3"/>
        <v>1</v>
      </c>
      <c r="M20" s="18"/>
      <c r="N20" s="18"/>
      <c r="O20" s="18"/>
      <c r="P20" s="18"/>
      <c r="Q20" s="20">
        <f t="shared" si="4"/>
        <v>0</v>
      </c>
      <c r="R20" s="18"/>
      <c r="S20" s="20">
        <f t="shared" si="5"/>
        <v>0</v>
      </c>
      <c r="T20" s="20"/>
      <c r="U20" s="20">
        <f t="shared" si="6"/>
        <v>0</v>
      </c>
      <c r="V20" s="20"/>
      <c r="W20" s="20">
        <f t="shared" si="7"/>
        <v>0</v>
      </c>
      <c r="Y20" s="26"/>
      <c r="AA20" s="26"/>
      <c r="AE20" s="1">
        <f t="shared" si="0"/>
        <v>72</v>
      </c>
      <c r="AF20" s="73">
        <f>'Exhibit Q,8'!I30</f>
        <v>0.86199281171108022</v>
      </c>
      <c r="AH20" s="73">
        <f>'Exhibit Q,6'!I30</f>
        <v>1</v>
      </c>
    </row>
    <row r="21" spans="1:34">
      <c r="A21" s="6">
        <f t="shared" si="8"/>
        <v>2016</v>
      </c>
      <c r="C21" s="18"/>
      <c r="E21" s="74">
        <v>0.98972031893946366</v>
      </c>
      <c r="G21" s="174">
        <f t="shared" si="1"/>
        <v>0</v>
      </c>
      <c r="H21" s="18"/>
      <c r="I21" s="74">
        <f t="shared" si="2"/>
        <v>0.70446258584114707</v>
      </c>
      <c r="J21" s="74"/>
      <c r="K21" s="74">
        <f t="shared" si="3"/>
        <v>1</v>
      </c>
      <c r="M21" s="18"/>
      <c r="N21" s="18"/>
      <c r="O21" s="18"/>
      <c r="P21" s="18"/>
      <c r="Q21" s="20">
        <f t="shared" si="4"/>
        <v>0</v>
      </c>
      <c r="R21" s="18"/>
      <c r="S21" s="20">
        <f t="shared" si="5"/>
        <v>0</v>
      </c>
      <c r="T21" s="20"/>
      <c r="U21" s="20">
        <f t="shared" si="6"/>
        <v>0</v>
      </c>
      <c r="V21" s="20"/>
      <c r="W21" s="20">
        <f t="shared" si="7"/>
        <v>0</v>
      </c>
      <c r="Y21" s="26"/>
      <c r="AA21" s="26"/>
      <c r="AE21" s="1">
        <f t="shared" si="0"/>
        <v>60</v>
      </c>
      <c r="AF21" s="73">
        <f>'Exhibit Q,8'!I31</f>
        <v>0.70446258584114707</v>
      </c>
      <c r="AH21" s="73">
        <f>'Exhibit Q,6'!I31</f>
        <v>1</v>
      </c>
    </row>
    <row r="22" spans="1:34">
      <c r="A22" s="6">
        <f t="shared" si="8"/>
        <v>2017</v>
      </c>
      <c r="C22" s="18"/>
      <c r="E22" s="74">
        <v>1.1092735993111111</v>
      </c>
      <c r="G22" s="174">
        <f t="shared" si="1"/>
        <v>0</v>
      </c>
      <c r="H22" s="18"/>
      <c r="I22" s="74">
        <f t="shared" si="2"/>
        <v>0.46689732120903371</v>
      </c>
      <c r="J22" s="74"/>
      <c r="K22" s="74">
        <f t="shared" si="3"/>
        <v>0.92942618223760087</v>
      </c>
      <c r="M22" s="18"/>
      <c r="N22" s="18"/>
      <c r="O22" s="18"/>
      <c r="P22" s="18"/>
      <c r="Q22" s="20">
        <f t="shared" si="4"/>
        <v>0</v>
      </c>
      <c r="R22" s="18"/>
      <c r="S22" s="20">
        <f t="shared" si="5"/>
        <v>0</v>
      </c>
      <c r="T22" s="20"/>
      <c r="U22" s="20">
        <f t="shared" si="6"/>
        <v>0</v>
      </c>
      <c r="V22" s="20"/>
      <c r="W22" s="20">
        <f t="shared" si="7"/>
        <v>0</v>
      </c>
      <c r="Y22" s="26"/>
      <c r="AA22" s="26"/>
      <c r="AE22" s="1">
        <f t="shared" si="0"/>
        <v>48</v>
      </c>
      <c r="AF22" s="73">
        <f>'Exhibit Q,8'!I32</f>
        <v>0.46689732120903371</v>
      </c>
      <c r="AH22" s="73">
        <f>'Exhibit Q,6'!I32</f>
        <v>0.92942618223760087</v>
      </c>
    </row>
    <row r="23" spans="1:34">
      <c r="A23" s="6">
        <f t="shared" si="8"/>
        <v>2018</v>
      </c>
      <c r="C23" s="18"/>
      <c r="E23" s="74">
        <v>0.82181178602635463</v>
      </c>
      <c r="G23" s="174">
        <f t="shared" si="1"/>
        <v>0</v>
      </c>
      <c r="H23" s="18"/>
      <c r="I23" s="74">
        <f t="shared" si="2"/>
        <v>0.26906193697320097</v>
      </c>
      <c r="J23" s="74"/>
      <c r="K23" s="74">
        <f t="shared" si="3"/>
        <v>0.63959626961179306</v>
      </c>
      <c r="M23" s="18"/>
      <c r="N23" s="18"/>
      <c r="O23" s="18"/>
      <c r="P23" s="18"/>
      <c r="Q23" s="20">
        <f t="shared" si="4"/>
        <v>0</v>
      </c>
      <c r="R23" s="18"/>
      <c r="S23" s="20">
        <f t="shared" si="5"/>
        <v>0</v>
      </c>
      <c r="T23" s="20"/>
      <c r="U23" s="20">
        <f t="shared" si="6"/>
        <v>0</v>
      </c>
      <c r="V23" s="20"/>
      <c r="W23" s="20">
        <f t="shared" si="7"/>
        <v>0</v>
      </c>
      <c r="Y23" s="26"/>
      <c r="AA23" s="26"/>
      <c r="AE23" s="1">
        <f t="shared" si="0"/>
        <v>36</v>
      </c>
      <c r="AF23" s="73">
        <f>'Exhibit Q,8'!I33</f>
        <v>0.26906193697320097</v>
      </c>
      <c r="AH23" s="73">
        <f>'Exhibit Q,6'!I33</f>
        <v>0.63959626961179306</v>
      </c>
    </row>
    <row r="24" spans="1:34">
      <c r="A24" s="6">
        <f t="shared" si="8"/>
        <v>2019</v>
      </c>
      <c r="C24" s="18"/>
      <c r="E24" s="74">
        <v>0.86411764705882355</v>
      </c>
      <c r="G24" s="174">
        <f t="shared" si="1"/>
        <v>0</v>
      </c>
      <c r="H24" s="18"/>
      <c r="I24" s="74">
        <f t="shared" si="2"/>
        <v>0.1459962630726411</v>
      </c>
      <c r="J24" s="74"/>
      <c r="K24" s="74">
        <f t="shared" si="3"/>
        <v>0.34806159906885126</v>
      </c>
      <c r="M24" s="18"/>
      <c r="N24" s="18"/>
      <c r="O24" s="18"/>
      <c r="P24" s="18"/>
      <c r="Q24" s="20">
        <f t="shared" si="4"/>
        <v>0</v>
      </c>
      <c r="R24" s="18"/>
      <c r="S24" s="20">
        <f t="shared" si="5"/>
        <v>0</v>
      </c>
      <c r="T24" s="20"/>
      <c r="U24" s="20">
        <f t="shared" si="6"/>
        <v>0</v>
      </c>
      <c r="V24" s="20"/>
      <c r="W24" s="20">
        <f t="shared" si="7"/>
        <v>0</v>
      </c>
      <c r="Y24" s="26"/>
      <c r="AA24" s="26"/>
      <c r="AE24" s="1">
        <f>AE25+12</f>
        <v>24</v>
      </c>
      <c r="AF24" s="73">
        <f>'Exhibit Q,8'!I34</f>
        <v>0.1459962630726411</v>
      </c>
      <c r="AH24" s="73">
        <f>'Exhibit Q,6'!I34</f>
        <v>0.34806159906885126</v>
      </c>
    </row>
    <row r="25" spans="1:34">
      <c r="A25" s="6">
        <f t="shared" si="8"/>
        <v>2020</v>
      </c>
      <c r="C25" s="18"/>
      <c r="E25" s="74">
        <v>0.95498834331186933</v>
      </c>
      <c r="G25" s="174">
        <f t="shared" si="1"/>
        <v>0</v>
      </c>
      <c r="H25" s="18"/>
      <c r="I25" s="74">
        <f t="shared" si="2"/>
        <v>1.7839674618821338E-2</v>
      </c>
      <c r="J25" s="74"/>
      <c r="K25" s="74">
        <f t="shared" si="3"/>
        <v>0.12927301167335295</v>
      </c>
      <c r="M25" s="18"/>
      <c r="N25" s="18"/>
      <c r="O25" s="18"/>
      <c r="P25" s="18"/>
      <c r="Q25" s="20">
        <f t="shared" si="4"/>
        <v>0</v>
      </c>
      <c r="R25" s="18"/>
      <c r="S25" s="20">
        <f t="shared" si="5"/>
        <v>0</v>
      </c>
      <c r="T25" s="20"/>
      <c r="U25" s="20">
        <f t="shared" si="6"/>
        <v>0</v>
      </c>
      <c r="V25" s="20"/>
      <c r="W25" s="20">
        <f t="shared" si="7"/>
        <v>0</v>
      </c>
      <c r="Y25" s="26"/>
      <c r="AA25" s="26"/>
      <c r="AE25" s="1">
        <v>12</v>
      </c>
      <c r="AF25" s="73">
        <f>'Exhibit Q,8'!I35</f>
        <v>1.7839674618821338E-2</v>
      </c>
      <c r="AH25" s="73">
        <f>'Exhibit Q,6'!I35</f>
        <v>0.12927301167335295</v>
      </c>
    </row>
    <row r="26" spans="1:34">
      <c r="C26" s="63"/>
      <c r="G26" s="63"/>
      <c r="M26" s="63"/>
      <c r="O26" s="63"/>
      <c r="Q26" s="63"/>
      <c r="S26" s="63"/>
      <c r="U26" s="63"/>
      <c r="W26" s="63"/>
      <c r="Y26" s="26"/>
      <c r="Z26" s="26"/>
      <c r="AA26" s="20"/>
    </row>
    <row r="27" spans="1:34">
      <c r="A27" s="2" t="s">
        <v>0</v>
      </c>
      <c r="C27" s="19">
        <f>SUM(C17:C26)</f>
        <v>0</v>
      </c>
      <c r="G27" s="19">
        <f>SUM(G17:G26)</f>
        <v>0</v>
      </c>
      <c r="H27" s="19"/>
      <c r="M27" s="26">
        <f>SUM(M17:M26)</f>
        <v>0</v>
      </c>
      <c r="O27" s="26">
        <f>SUM(O17:O26)</f>
        <v>0</v>
      </c>
      <c r="P27" s="26"/>
      <c r="Q27" s="26">
        <f>SUM(Q17:Q26)</f>
        <v>0</v>
      </c>
      <c r="R27" s="26"/>
      <c r="S27" s="26">
        <f>SUM(S17:S26)</f>
        <v>0</v>
      </c>
      <c r="U27" s="26">
        <f>SUM(U17:U26)</f>
        <v>0</v>
      </c>
      <c r="W27" s="26">
        <f>SUM(W17:W26)</f>
        <v>0</v>
      </c>
      <c r="Y27" s="26"/>
      <c r="AA27" s="26"/>
    </row>
    <row r="30" spans="1:34" ht="16">
      <c r="A30" s="175" t="s">
        <v>118</v>
      </c>
    </row>
    <row r="31" spans="1:34">
      <c r="A31" s="6">
        <f>2012</f>
        <v>2012</v>
      </c>
      <c r="G31" s="19">
        <f>G17*K$47</f>
        <v>0</v>
      </c>
      <c r="H31" s="19"/>
      <c r="I31" s="128">
        <f>AF16*(1/12)+AF17*(11/12)</f>
        <v>0.99979014041514047</v>
      </c>
      <c r="J31" s="74"/>
      <c r="K31" s="128">
        <f>AH16*(1/12)+AH17*(11/12)</f>
        <v>1</v>
      </c>
      <c r="M31" s="19"/>
      <c r="N31" s="26"/>
      <c r="O31" s="19"/>
      <c r="P31" s="19"/>
      <c r="Q31" s="19">
        <f>G31*(1-I31)+M31</f>
        <v>0</v>
      </c>
      <c r="R31" s="19"/>
      <c r="S31" s="19">
        <f>MAX(M31,G31*(1-K31)+O31)</f>
        <v>0</v>
      </c>
      <c r="U31" s="26">
        <f>S31</f>
        <v>0</v>
      </c>
      <c r="W31" s="26">
        <f>U31-M31</f>
        <v>0</v>
      </c>
    </row>
    <row r="32" spans="1:34">
      <c r="A32" s="6">
        <f>A31+1</f>
        <v>2013</v>
      </c>
      <c r="G32" s="20">
        <f t="shared" ref="G32:G39" si="9">G18*K$47</f>
        <v>0</v>
      </c>
      <c r="H32" s="18"/>
      <c r="I32" s="128">
        <f t="shared" ref="I32:K39" si="10">AF17*(1/12)+AF18*(11/12)</f>
        <v>0.98912909180766329</v>
      </c>
      <c r="J32" s="74"/>
      <c r="K32" s="128">
        <f t="shared" si="10"/>
        <v>1</v>
      </c>
      <c r="M32" s="18"/>
      <c r="N32" s="18"/>
      <c r="O32" s="18"/>
      <c r="P32" s="18"/>
      <c r="Q32" s="20">
        <f t="shared" ref="Q32:Q39" si="11">G32*(1-I32)+M32</f>
        <v>0</v>
      </c>
      <c r="R32" s="18"/>
      <c r="S32" s="20">
        <f t="shared" ref="S32:S39" si="12">MAX(M32,G32*(1-K32)+O32)</f>
        <v>0</v>
      </c>
      <c r="T32" s="20"/>
      <c r="U32" s="20">
        <f t="shared" ref="U32:U39" si="13">S32</f>
        <v>0</v>
      </c>
      <c r="V32" s="20"/>
      <c r="W32" s="20">
        <f t="shared" ref="W32:W39" si="14">U32-M32</f>
        <v>0</v>
      </c>
    </row>
    <row r="33" spans="1:26">
      <c r="A33" s="6">
        <f t="shared" ref="A33:A39" si="15">A32+1</f>
        <v>2014</v>
      </c>
      <c r="G33" s="20">
        <f t="shared" si="9"/>
        <v>0</v>
      </c>
      <c r="H33" s="18"/>
      <c r="I33" s="128">
        <f t="shared" si="10"/>
        <v>0.94414061822689987</v>
      </c>
      <c r="J33" s="74"/>
      <c r="K33" s="128">
        <f t="shared" si="10"/>
        <v>1</v>
      </c>
      <c r="M33" s="18"/>
      <c r="N33" s="18"/>
      <c r="O33" s="18"/>
      <c r="P33" s="18"/>
      <c r="Q33" s="20">
        <f t="shared" si="11"/>
        <v>0</v>
      </c>
      <c r="R33" s="18"/>
      <c r="S33" s="20">
        <f t="shared" si="12"/>
        <v>0</v>
      </c>
      <c r="T33" s="20"/>
      <c r="U33" s="20">
        <f t="shared" si="13"/>
        <v>0</v>
      </c>
      <c r="V33" s="20"/>
      <c r="W33" s="20">
        <f t="shared" si="14"/>
        <v>0</v>
      </c>
    </row>
    <row r="34" spans="1:26">
      <c r="A34" s="6">
        <f t="shared" si="15"/>
        <v>2015</v>
      </c>
      <c r="G34" s="20">
        <f t="shared" si="9"/>
        <v>0</v>
      </c>
      <c r="H34" s="18"/>
      <c r="I34" s="128">
        <f t="shared" si="10"/>
        <v>0.8685049696652738</v>
      </c>
      <c r="J34" s="74"/>
      <c r="K34" s="128">
        <f t="shared" si="10"/>
        <v>1</v>
      </c>
      <c r="M34" s="18"/>
      <c r="N34" s="18"/>
      <c r="O34" s="18"/>
      <c r="P34" s="18"/>
      <c r="Q34" s="20">
        <f t="shared" si="11"/>
        <v>0</v>
      </c>
      <c r="R34" s="18"/>
      <c r="S34" s="20">
        <f t="shared" si="12"/>
        <v>0</v>
      </c>
      <c r="T34" s="20"/>
      <c r="U34" s="20">
        <f t="shared" si="13"/>
        <v>0</v>
      </c>
      <c r="V34" s="20"/>
      <c r="W34" s="20">
        <f t="shared" si="14"/>
        <v>0</v>
      </c>
    </row>
    <row r="35" spans="1:26">
      <c r="A35" s="6">
        <f t="shared" si="15"/>
        <v>2016</v>
      </c>
      <c r="G35" s="20">
        <f t="shared" si="9"/>
        <v>0</v>
      </c>
      <c r="H35" s="18"/>
      <c r="I35" s="128">
        <f t="shared" si="10"/>
        <v>0.71759010466364148</v>
      </c>
      <c r="J35" s="74"/>
      <c r="K35" s="128">
        <f t="shared" si="10"/>
        <v>1</v>
      </c>
      <c r="M35" s="18"/>
      <c r="N35" s="18"/>
      <c r="O35" s="18"/>
      <c r="P35" s="18"/>
      <c r="Q35" s="20">
        <f t="shared" si="11"/>
        <v>0</v>
      </c>
      <c r="R35" s="18"/>
      <c r="S35" s="20">
        <f t="shared" si="12"/>
        <v>0</v>
      </c>
      <c r="T35" s="20"/>
      <c r="U35" s="20">
        <f t="shared" si="13"/>
        <v>0</v>
      </c>
      <c r="V35" s="20"/>
      <c r="W35" s="20">
        <f t="shared" si="14"/>
        <v>0</v>
      </c>
    </row>
    <row r="36" spans="1:26">
      <c r="A36" s="6">
        <f t="shared" si="15"/>
        <v>2017</v>
      </c>
      <c r="G36" s="20">
        <f t="shared" si="9"/>
        <v>0</v>
      </c>
      <c r="H36" s="18"/>
      <c r="I36" s="128">
        <f t="shared" si="10"/>
        <v>0.48669442659504314</v>
      </c>
      <c r="J36" s="74"/>
      <c r="K36" s="128">
        <f t="shared" si="10"/>
        <v>0.93530733371780084</v>
      </c>
      <c r="M36" s="18"/>
      <c r="N36" s="18"/>
      <c r="O36" s="18"/>
      <c r="P36" s="18"/>
      <c r="Q36" s="20">
        <f t="shared" si="11"/>
        <v>0</v>
      </c>
      <c r="R36" s="18"/>
      <c r="S36" s="20">
        <f t="shared" si="12"/>
        <v>0</v>
      </c>
      <c r="T36" s="20"/>
      <c r="U36" s="20">
        <f t="shared" si="13"/>
        <v>0</v>
      </c>
      <c r="V36" s="20"/>
      <c r="W36" s="20">
        <f t="shared" si="14"/>
        <v>0</v>
      </c>
    </row>
    <row r="37" spans="1:26">
      <c r="A37" s="6">
        <f t="shared" si="15"/>
        <v>2018</v>
      </c>
      <c r="G37" s="20">
        <f t="shared" si="9"/>
        <v>0</v>
      </c>
      <c r="H37" s="18"/>
      <c r="I37" s="128">
        <f t="shared" si="10"/>
        <v>0.28554821899285365</v>
      </c>
      <c r="J37" s="74"/>
      <c r="K37" s="128">
        <f t="shared" si="10"/>
        <v>0.66374876233061031</v>
      </c>
      <c r="M37" s="18"/>
      <c r="N37" s="18"/>
      <c r="O37" s="18"/>
      <c r="P37" s="18"/>
      <c r="Q37" s="20">
        <f t="shared" si="11"/>
        <v>0</v>
      </c>
      <c r="R37" s="18"/>
      <c r="S37" s="20">
        <f t="shared" si="12"/>
        <v>0</v>
      </c>
      <c r="T37" s="20"/>
      <c r="U37" s="20">
        <f t="shared" si="13"/>
        <v>0</v>
      </c>
      <c r="V37" s="20"/>
      <c r="W37" s="20">
        <f t="shared" si="14"/>
        <v>0</v>
      </c>
    </row>
    <row r="38" spans="1:26">
      <c r="A38" s="6">
        <f t="shared" si="15"/>
        <v>2019</v>
      </c>
      <c r="G38" s="20">
        <f t="shared" si="9"/>
        <v>0</v>
      </c>
      <c r="H38" s="18"/>
      <c r="I38" s="128">
        <f t="shared" si="10"/>
        <v>0.15625173589768776</v>
      </c>
      <c r="J38" s="74"/>
      <c r="K38" s="128">
        <f t="shared" si="10"/>
        <v>0.37235615494742974</v>
      </c>
      <c r="M38" s="18"/>
      <c r="N38" s="18"/>
      <c r="O38" s="18"/>
      <c r="P38" s="18"/>
      <c r="Q38" s="20">
        <f t="shared" si="11"/>
        <v>0</v>
      </c>
      <c r="R38" s="18"/>
      <c r="S38" s="20">
        <f t="shared" si="12"/>
        <v>0</v>
      </c>
      <c r="T38" s="20"/>
      <c r="U38" s="20">
        <f t="shared" si="13"/>
        <v>0</v>
      </c>
      <c r="V38" s="20"/>
      <c r="W38" s="20">
        <f t="shared" si="14"/>
        <v>0</v>
      </c>
    </row>
    <row r="39" spans="1:26">
      <c r="A39" s="6">
        <f t="shared" si="15"/>
        <v>2020</v>
      </c>
      <c r="G39" s="20">
        <f t="shared" si="9"/>
        <v>0</v>
      </c>
      <c r="H39" s="18"/>
      <c r="I39" s="128">
        <f t="shared" si="10"/>
        <v>2.8519390323306318E-2</v>
      </c>
      <c r="J39" s="74"/>
      <c r="K39" s="128">
        <f t="shared" si="10"/>
        <v>0.14750539395631113</v>
      </c>
      <c r="M39" s="18">
        <v>34522.58</v>
      </c>
      <c r="N39" s="18"/>
      <c r="O39" s="18">
        <v>83522.58</v>
      </c>
      <c r="P39" s="18"/>
      <c r="Q39" s="20">
        <f t="shared" si="11"/>
        <v>34522.58</v>
      </c>
      <c r="R39" s="18"/>
      <c r="S39" s="20">
        <f t="shared" si="12"/>
        <v>83522.58</v>
      </c>
      <c r="T39" s="20"/>
      <c r="U39" s="20">
        <f t="shared" si="13"/>
        <v>83522.58</v>
      </c>
      <c r="V39" s="20"/>
      <c r="W39" s="20">
        <f t="shared" si="14"/>
        <v>49000</v>
      </c>
    </row>
    <row r="40" spans="1:26">
      <c r="G40" s="63"/>
      <c r="M40" s="63"/>
      <c r="O40" s="63"/>
      <c r="Q40" s="63"/>
      <c r="S40" s="63"/>
      <c r="U40" s="63"/>
      <c r="W40" s="63"/>
    </row>
    <row r="41" spans="1:26">
      <c r="A41" s="2" t="s">
        <v>0</v>
      </c>
      <c r="C41" s="19"/>
      <c r="G41" s="19">
        <f>SUM(G31:G40)</f>
        <v>0</v>
      </c>
      <c r="H41" s="19"/>
      <c r="M41" s="26">
        <f>SUM(M31:M40)</f>
        <v>34522.58</v>
      </c>
      <c r="O41" s="26">
        <f>SUM(O31:O40)</f>
        <v>83522.58</v>
      </c>
      <c r="P41" s="26"/>
      <c r="Q41" s="26">
        <f>SUM(Q31:Q40)</f>
        <v>34522.58</v>
      </c>
      <c r="R41" s="26"/>
      <c r="S41" s="26">
        <f>SUM(S31:S40)</f>
        <v>83522.58</v>
      </c>
      <c r="U41" s="26">
        <f>SUM(U31:U40)</f>
        <v>83522.58</v>
      </c>
      <c r="W41" s="26">
        <f>SUM(W31:W40)</f>
        <v>49000</v>
      </c>
    </row>
    <row r="45" spans="1:26">
      <c r="A45" s="116" t="s">
        <v>104</v>
      </c>
      <c r="C45" s="3" t="s">
        <v>187</v>
      </c>
    </row>
    <row r="46" spans="1:26">
      <c r="A46" s="116" t="s">
        <v>36</v>
      </c>
      <c r="C46" s="3" t="s">
        <v>315</v>
      </c>
    </row>
    <row r="47" spans="1:26">
      <c r="A47" s="116" t="s">
        <v>38</v>
      </c>
      <c r="C47" s="3" t="s">
        <v>493</v>
      </c>
      <c r="K47" s="73">
        <v>0.78100000000000003</v>
      </c>
      <c r="M47" s="1" t="s">
        <v>494</v>
      </c>
      <c r="Z47" s="61" t="s">
        <v>495</v>
      </c>
    </row>
    <row r="48" spans="1:26">
      <c r="A48" s="52" t="s">
        <v>40</v>
      </c>
      <c r="C48" s="3" t="s">
        <v>476</v>
      </c>
    </row>
    <row r="49" spans="1:3">
      <c r="A49" s="64" t="s">
        <v>42</v>
      </c>
      <c r="C49" s="3" t="s">
        <v>477</v>
      </c>
    </row>
    <row r="50" spans="1:3">
      <c r="A50" s="64" t="s">
        <v>30</v>
      </c>
      <c r="C50" s="3" t="s">
        <v>34</v>
      </c>
    </row>
    <row r="51" spans="1:3">
      <c r="A51" s="64" t="s">
        <v>31</v>
      </c>
      <c r="C51" s="3" t="s">
        <v>34</v>
      </c>
    </row>
    <row r="52" spans="1:3">
      <c r="A52" s="64" t="s">
        <v>103</v>
      </c>
      <c r="C52" s="3" t="s">
        <v>317</v>
      </c>
    </row>
    <row r="53" spans="1:3">
      <c r="A53" s="64" t="s">
        <v>106</v>
      </c>
      <c r="C53" s="3" t="s">
        <v>447</v>
      </c>
    </row>
    <row r="54" spans="1:3">
      <c r="A54" s="64" t="s">
        <v>134</v>
      </c>
      <c r="C54" s="3" t="s">
        <v>316</v>
      </c>
    </row>
  </sheetData>
  <phoneticPr fontId="8" type="noConversion"/>
  <printOptions horizontalCentered="1" verticalCentered="1"/>
  <pageMargins left="0.75" right="0.75" top="1" bottom="1" header="0.5" footer="0.5"/>
  <pageSetup scale="52" orientation="portrait" blackAndWhite="1" r:id="rId1"/>
  <headerFooter alignWithMargins="0">
    <oddFooter>&amp;L&amp;6&amp;Z&amp;F
&amp;A</oddFooter>
  </headerFooter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91">
    <tabColor rgb="FFFF0000"/>
    <pageSetUpPr fitToPage="1"/>
  </sheetPr>
  <dimension ref="A1:AU80"/>
  <sheetViews>
    <sheetView zoomScale="75" zoomScaleNormal="75" workbookViewId="0">
      <selection activeCell="A6" sqref="A6"/>
    </sheetView>
  </sheetViews>
  <sheetFormatPr baseColWidth="10" defaultColWidth="8.7109375" defaultRowHeight="15"/>
  <cols>
    <col min="1" max="1" width="15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9.7109375" style="1" customWidth="1"/>
    <col min="6" max="6" width="1.7109375" style="1" customWidth="1"/>
    <col min="7" max="7" width="9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9.7109375" style="1" customWidth="1"/>
    <col min="12" max="12" width="1.7109375" style="1" customWidth="1"/>
    <col min="13" max="13" width="9.7109375" style="1" customWidth="1"/>
    <col min="14" max="14" width="1.7109375" style="1" customWidth="1"/>
    <col min="15" max="15" width="10.28515625" style="1" bestFit="1" customWidth="1"/>
    <col min="16" max="16" width="1.7109375" style="1" customWidth="1"/>
    <col min="17" max="17" width="10.28515625" style="1" bestFit="1" customWidth="1"/>
    <col min="18" max="18" width="1.7109375" style="1" customWidth="1"/>
    <col min="19" max="19" width="11.28515625" style="1" bestFit="1" customWidth="1"/>
    <col min="20" max="20" width="1.7109375" style="1" customWidth="1"/>
    <col min="21" max="21" width="11.28515625" style="1" bestFit="1" customWidth="1"/>
    <col min="22" max="22" width="1.7109375" style="1" customWidth="1"/>
    <col min="23" max="23" width="11.28515625" style="1" bestFit="1" customWidth="1"/>
    <col min="24" max="24" width="1.7109375" style="1" customWidth="1"/>
    <col min="25" max="25" width="11.7109375" style="1" customWidth="1"/>
    <col min="26" max="37" width="8.7109375" style="1"/>
    <col min="38" max="38" width="13.42578125" style="1" bestFit="1" customWidth="1"/>
    <col min="39" max="39" width="11.7109375" style="1" bestFit="1" customWidth="1"/>
    <col min="40" max="40" width="15.42578125" style="1" bestFit="1" customWidth="1"/>
    <col min="41" max="41" width="12.7109375" style="1" bestFit="1" customWidth="1"/>
    <col min="42" max="42" width="12.7109375" style="1" customWidth="1"/>
    <col min="43" max="43" width="11.7109375" style="1" bestFit="1" customWidth="1"/>
    <col min="44" max="44" width="10.5703125" style="1" bestFit="1" customWidth="1"/>
    <col min="45" max="45" width="13.42578125" style="1" bestFit="1" customWidth="1"/>
    <col min="46" max="46" width="12.7109375" style="1" bestFit="1" customWidth="1"/>
    <col min="47" max="16384" width="8.7109375" style="1"/>
  </cols>
  <sheetData>
    <row r="1" spans="1:47">
      <c r="Y1" s="3" t="s">
        <v>150</v>
      </c>
    </row>
    <row r="2" spans="1:47">
      <c r="Y2" s="3" t="s">
        <v>127</v>
      </c>
    </row>
    <row r="3" spans="1:47">
      <c r="Y3" s="3" t="s">
        <v>56</v>
      </c>
    </row>
    <row r="4" spans="1:47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</row>
    <row r="5" spans="1:47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</row>
    <row r="6" spans="1:47">
      <c r="A6" s="5" t="s">
        <v>178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</row>
    <row r="7" spans="1:47">
      <c r="A7" s="5" t="s">
        <v>303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</row>
    <row r="8" spans="1:47">
      <c r="A8" s="5" t="s">
        <v>291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</row>
    <row r="9" spans="1:47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AE9" s="61"/>
      <c r="AF9" s="61"/>
      <c r="AG9" s="61"/>
      <c r="AH9" s="61"/>
      <c r="AI9" s="61"/>
      <c r="AJ9" s="61"/>
      <c r="AK9" s="61">
        <v>2019</v>
      </c>
      <c r="AL9" s="61"/>
      <c r="AM9" s="61"/>
      <c r="AN9" s="61"/>
      <c r="AO9" s="61"/>
      <c r="AP9" s="61"/>
      <c r="AQ9" s="61"/>
      <c r="AR9" s="61"/>
      <c r="AS9" s="61"/>
      <c r="AT9" s="61"/>
      <c r="AU9" s="61"/>
    </row>
    <row r="10" spans="1:47">
      <c r="M10" s="61" t="s">
        <v>875</v>
      </c>
      <c r="AE10" s="61"/>
      <c r="AF10" s="61"/>
      <c r="AG10" s="61"/>
      <c r="AH10" s="61"/>
      <c r="AI10" s="61"/>
      <c r="AJ10" s="97" t="s">
        <v>4</v>
      </c>
      <c r="AK10" s="97" t="s">
        <v>1</v>
      </c>
      <c r="AL10" s="61"/>
      <c r="AM10" s="61"/>
      <c r="AN10" s="61"/>
      <c r="AO10" s="61"/>
      <c r="AP10" s="61"/>
      <c r="AQ10" s="61"/>
      <c r="AR10" s="61"/>
      <c r="AS10" s="61"/>
      <c r="AT10" s="61"/>
      <c r="AU10" s="61"/>
    </row>
    <row r="11" spans="1:47">
      <c r="E11" s="2" t="s">
        <v>7</v>
      </c>
      <c r="G11" s="2" t="s">
        <v>285</v>
      </c>
      <c r="K11" s="2" t="s">
        <v>7</v>
      </c>
      <c r="L11" s="2"/>
      <c r="M11" s="2" t="s">
        <v>7</v>
      </c>
      <c r="S11" s="2" t="s">
        <v>14</v>
      </c>
      <c r="T11" s="2"/>
      <c r="U11" s="2" t="s">
        <v>12</v>
      </c>
      <c r="W11" s="2" t="s">
        <v>1</v>
      </c>
      <c r="AE11" s="61"/>
      <c r="AF11" s="97" t="s">
        <v>7</v>
      </c>
      <c r="AG11" s="61"/>
      <c r="AH11" s="97" t="s">
        <v>7</v>
      </c>
      <c r="AI11" s="97"/>
      <c r="AJ11" s="143">
        <v>-1</v>
      </c>
      <c r="AK11" s="97" t="s">
        <v>67</v>
      </c>
      <c r="AL11" s="61"/>
      <c r="AM11" s="61"/>
      <c r="AN11" s="61"/>
      <c r="AO11" s="61"/>
      <c r="AP11" s="61"/>
      <c r="AQ11" s="61"/>
      <c r="AR11" s="61"/>
      <c r="AS11" s="61"/>
      <c r="AT11" s="61"/>
      <c r="AU11" s="61"/>
    </row>
    <row r="12" spans="1:47">
      <c r="C12" s="2" t="s">
        <v>177</v>
      </c>
      <c r="E12" s="2" t="s">
        <v>284</v>
      </c>
      <c r="G12" s="2" t="s">
        <v>286</v>
      </c>
      <c r="I12" s="2" t="s">
        <v>7</v>
      </c>
      <c r="J12" s="2"/>
      <c r="K12" s="2" t="s">
        <v>62</v>
      </c>
      <c r="L12" s="2"/>
      <c r="M12" s="2" t="s">
        <v>62</v>
      </c>
      <c r="O12" s="2" t="s">
        <v>14</v>
      </c>
      <c r="P12" s="2"/>
      <c r="Q12" s="2" t="s">
        <v>12</v>
      </c>
      <c r="S12" s="2" t="s">
        <v>314</v>
      </c>
      <c r="T12" s="2"/>
      <c r="U12" s="2" t="s">
        <v>314</v>
      </c>
      <c r="W12" s="2" t="s">
        <v>67</v>
      </c>
      <c r="Y12" s="2" t="s">
        <v>63</v>
      </c>
      <c r="AE12" s="25" t="s">
        <v>122</v>
      </c>
      <c r="AF12" s="97" t="s">
        <v>62</v>
      </c>
      <c r="AG12" s="61"/>
      <c r="AH12" s="97" t="s">
        <v>62</v>
      </c>
      <c r="AI12" s="97"/>
      <c r="AJ12" s="97" t="s">
        <v>4</v>
      </c>
      <c r="AK12" s="97" t="s">
        <v>55</v>
      </c>
      <c r="AL12" s="61" t="s">
        <v>18</v>
      </c>
      <c r="AM12" s="165"/>
      <c r="AN12" s="153"/>
      <c r="AO12" s="166"/>
      <c r="AP12" s="166"/>
      <c r="AQ12" s="165"/>
      <c r="AR12" s="61"/>
      <c r="AS12" s="153"/>
      <c r="AT12" s="166"/>
      <c r="AU12" s="61"/>
    </row>
    <row r="13" spans="1:47">
      <c r="A13" s="2" t="s">
        <v>4</v>
      </c>
      <c r="C13" s="2" t="s">
        <v>16</v>
      </c>
      <c r="E13" s="2" t="s">
        <v>109</v>
      </c>
      <c r="G13" s="2" t="s">
        <v>287</v>
      </c>
      <c r="I13" s="2" t="s">
        <v>55</v>
      </c>
      <c r="J13" s="2"/>
      <c r="K13" s="2" t="s">
        <v>14</v>
      </c>
      <c r="L13" s="2"/>
      <c r="M13" s="2" t="s">
        <v>12</v>
      </c>
      <c r="O13" s="2" t="s">
        <v>55</v>
      </c>
      <c r="P13" s="2"/>
      <c r="Q13" s="2" t="s">
        <v>55</v>
      </c>
      <c r="S13" s="2" t="s">
        <v>55</v>
      </c>
      <c r="T13" s="2"/>
      <c r="U13" s="2" t="s">
        <v>55</v>
      </c>
      <c r="W13" s="2" t="s">
        <v>55</v>
      </c>
      <c r="Y13" s="2" t="s">
        <v>55</v>
      </c>
      <c r="AE13" s="25" t="s">
        <v>123</v>
      </c>
      <c r="AF13" s="97" t="s">
        <v>14</v>
      </c>
      <c r="AG13" s="61"/>
      <c r="AH13" s="97" t="s">
        <v>12</v>
      </c>
      <c r="AI13" s="97"/>
      <c r="AJ13" s="143">
        <v>-1</v>
      </c>
      <c r="AK13" s="143">
        <v>-12</v>
      </c>
      <c r="AL13" s="61"/>
      <c r="AM13" s="61"/>
      <c r="AN13" s="61"/>
      <c r="AO13" s="166"/>
      <c r="AP13" s="166"/>
      <c r="AQ13" s="61"/>
      <c r="AR13" s="61"/>
      <c r="AS13" s="61"/>
      <c r="AT13" s="166"/>
      <c r="AU13" s="61"/>
    </row>
    <row r="14" spans="1:47">
      <c r="A14" s="10">
        <v>-1</v>
      </c>
      <c r="C14" s="10">
        <v>-2</v>
      </c>
      <c r="E14" s="10">
        <v>-3</v>
      </c>
      <c r="G14" s="10">
        <v>-4</v>
      </c>
      <c r="I14" s="10">
        <v>-5</v>
      </c>
      <c r="J14" s="11"/>
      <c r="K14" s="10">
        <v>-6</v>
      </c>
      <c r="L14" s="11"/>
      <c r="M14" s="10">
        <v>-7</v>
      </c>
      <c r="O14" s="10">
        <v>-8</v>
      </c>
      <c r="P14" s="11"/>
      <c r="Q14" s="10">
        <v>-9</v>
      </c>
      <c r="S14" s="10">
        <v>-10</v>
      </c>
      <c r="T14" s="11"/>
      <c r="U14" s="10">
        <v>-11</v>
      </c>
      <c r="V14" s="11"/>
      <c r="W14" s="10">
        <v>-12</v>
      </c>
      <c r="X14" s="11"/>
      <c r="Y14" s="10">
        <v>-13</v>
      </c>
      <c r="AE14" s="142" t="s">
        <v>38</v>
      </c>
      <c r="AF14" s="143">
        <v>-5</v>
      </c>
      <c r="AG14" s="61"/>
      <c r="AH14" s="143">
        <v>-6</v>
      </c>
      <c r="AI14" s="164"/>
      <c r="AJ14" s="61"/>
      <c r="AK14" s="61"/>
      <c r="AL14" s="61"/>
      <c r="AM14" s="61"/>
      <c r="AN14" s="61"/>
      <c r="AO14" s="167"/>
      <c r="AP14" s="168"/>
      <c r="AQ14" s="61"/>
      <c r="AR14" s="61"/>
      <c r="AS14" s="61"/>
      <c r="AT14" s="167"/>
      <c r="AU14" s="61"/>
    </row>
    <row r="15" spans="1:47">
      <c r="AE15" s="61"/>
      <c r="AF15" s="61"/>
      <c r="AG15" s="61"/>
      <c r="AH15" s="61"/>
      <c r="AI15" s="61"/>
      <c r="AJ15" s="68" t="s">
        <v>392</v>
      </c>
      <c r="AK15" s="61"/>
      <c r="AL15" s="61"/>
      <c r="AM15" s="61"/>
      <c r="AN15" s="61"/>
      <c r="AO15" s="61"/>
      <c r="AP15" s="61"/>
      <c r="AQ15" s="61"/>
      <c r="AR15" s="61"/>
      <c r="AS15" s="61"/>
      <c r="AT15" s="61"/>
      <c r="AU15" s="61"/>
    </row>
    <row r="16" spans="1:47">
      <c r="A16" s="26" t="s">
        <v>392</v>
      </c>
      <c r="AA16" s="40"/>
      <c r="AE16" s="61">
        <f t="shared" ref="AE16:AE23" si="0">AE17+12</f>
        <v>120</v>
      </c>
      <c r="AF16" s="144">
        <f>'Exhibit Q,3'!I26</f>
        <v>0.98813728327931161</v>
      </c>
      <c r="AG16" s="61"/>
      <c r="AH16" s="144">
        <f>'Exhibit Q,1'!I26</f>
        <v>1</v>
      </c>
      <c r="AI16" s="144"/>
      <c r="AJ16" s="25">
        <v>2011</v>
      </c>
      <c r="AK16" s="68">
        <v>2375</v>
      </c>
      <c r="AL16" s="68"/>
      <c r="AM16" s="169"/>
      <c r="AN16" s="157"/>
      <c r="AO16" s="68"/>
      <c r="AP16" s="68"/>
      <c r="AQ16" s="170"/>
      <c r="AR16" s="170"/>
      <c r="AS16" s="160"/>
      <c r="AT16" s="68"/>
      <c r="AU16" s="61"/>
    </row>
    <row r="17" spans="1:47">
      <c r="A17" s="6">
        <f>2012</f>
        <v>2012</v>
      </c>
      <c r="C17" s="148"/>
      <c r="D17" s="120"/>
      <c r="E17" s="119">
        <v>1.1837197232087942</v>
      </c>
      <c r="F17" s="120"/>
      <c r="G17" s="119">
        <v>0.95</v>
      </c>
      <c r="I17" s="26"/>
      <c r="J17" s="26"/>
      <c r="K17" s="128">
        <f t="shared" ref="K17:M24" si="1">AF17*(9/12)+AF18*(3/12)</f>
        <v>0.97727086921515149</v>
      </c>
      <c r="L17" s="74"/>
      <c r="M17" s="128">
        <f t="shared" si="1"/>
        <v>0.99943275577557755</v>
      </c>
      <c r="N17" s="26"/>
      <c r="O17" s="148"/>
      <c r="P17" s="120"/>
      <c r="Q17" s="148"/>
      <c r="R17" s="26"/>
      <c r="S17" s="19">
        <f>I17*(1-K17)+O17</f>
        <v>0</v>
      </c>
      <c r="T17" s="19"/>
      <c r="U17" s="19">
        <f>MAX(O17,I17*(1-M17)+Q17)</f>
        <v>0</v>
      </c>
      <c r="W17" s="26">
        <f>U17</f>
        <v>0</v>
      </c>
      <c r="Y17" s="26">
        <f>W17-O17</f>
        <v>0</v>
      </c>
      <c r="AA17" s="171"/>
      <c r="AE17" s="61">
        <f t="shared" si="0"/>
        <v>108</v>
      </c>
      <c r="AF17" s="144">
        <f>'Exhibit Q,3'!I27</f>
        <v>0.98223323534299367</v>
      </c>
      <c r="AG17" s="149"/>
      <c r="AH17" s="144">
        <f>'Exhibit Q,1'!I27</f>
        <v>1</v>
      </c>
      <c r="AI17" s="144"/>
      <c r="AJ17" s="25">
        <f>AJ16+1</f>
        <v>2012</v>
      </c>
      <c r="AK17" s="172">
        <v>0</v>
      </c>
      <c r="AL17" s="137">
        <f t="shared" ref="AL17:AL24" si="2">W17-AK17</f>
        <v>0</v>
      </c>
      <c r="AM17" s="169"/>
      <c r="AN17" s="137"/>
      <c r="AO17" s="137"/>
      <c r="AP17" s="137"/>
      <c r="AQ17" s="173"/>
      <c r="AR17" s="173"/>
      <c r="AS17" s="137"/>
      <c r="AT17" s="137"/>
      <c r="AU17" s="61"/>
    </row>
    <row r="18" spans="1:47">
      <c r="A18" s="6">
        <f>A17+1</f>
        <v>2013</v>
      </c>
      <c r="C18" s="150"/>
      <c r="D18" s="148"/>
      <c r="E18" s="119">
        <v>1.2142344652538077</v>
      </c>
      <c r="F18" s="120"/>
      <c r="G18" s="119">
        <v>0.95</v>
      </c>
      <c r="I18" s="18"/>
      <c r="J18" s="18"/>
      <c r="K18" s="128">
        <f t="shared" si="1"/>
        <v>0.94620016749280134</v>
      </c>
      <c r="L18" s="74"/>
      <c r="M18" s="128">
        <f t="shared" si="1"/>
        <v>0.9950295269202436</v>
      </c>
      <c r="N18" s="18"/>
      <c r="O18" s="150"/>
      <c r="P18" s="120"/>
      <c r="Q18" s="150"/>
      <c r="R18" s="18"/>
      <c r="S18" s="20">
        <f t="shared" ref="S18:S25" si="3">I18*(1-K18)+O18</f>
        <v>0</v>
      </c>
      <c r="T18" s="18"/>
      <c r="U18" s="20">
        <f t="shared" ref="U18:U25" si="4">MAX(O18,I18*(1-M18)+Q18)</f>
        <v>0</v>
      </c>
      <c r="V18" s="20"/>
      <c r="W18" s="20">
        <f t="shared" ref="W18:W25" si="5">U18</f>
        <v>0</v>
      </c>
      <c r="X18" s="20"/>
      <c r="Y18" s="20">
        <f t="shared" ref="Y18:Y25" si="6">W18-O18</f>
        <v>0</v>
      </c>
      <c r="AA18" s="40"/>
      <c r="AE18" s="61">
        <f t="shared" si="0"/>
        <v>96</v>
      </c>
      <c r="AF18" s="144">
        <f>'Exhibit Q,3'!I28</f>
        <v>0.96238377083162541</v>
      </c>
      <c r="AG18" s="149"/>
      <c r="AH18" s="144">
        <f>'Exhibit Q,1'!I28</f>
        <v>0.99773102310231021</v>
      </c>
      <c r="AI18" s="144"/>
      <c r="AJ18" s="25">
        <f t="shared" ref="AJ18:AJ24" si="7">AJ17+1</f>
        <v>2013</v>
      </c>
      <c r="AK18" s="172">
        <v>8418.1970000000001</v>
      </c>
      <c r="AL18" s="137">
        <f t="shared" si="2"/>
        <v>-8418.1970000000001</v>
      </c>
      <c r="AM18" s="169"/>
      <c r="AN18" s="137"/>
      <c r="AO18" s="137"/>
      <c r="AP18" s="137"/>
      <c r="AQ18" s="173"/>
      <c r="AR18" s="173"/>
      <c r="AS18" s="137"/>
      <c r="AT18" s="137"/>
      <c r="AU18" s="61"/>
    </row>
    <row r="19" spans="1:47">
      <c r="A19" s="6">
        <f t="shared" ref="A19:A25" si="8">A18+1</f>
        <v>2014</v>
      </c>
      <c r="C19" s="150"/>
      <c r="D19" s="120"/>
      <c r="E19" s="119">
        <v>1.2848901297161557</v>
      </c>
      <c r="F19" s="120"/>
      <c r="G19" s="119">
        <v>0.95</v>
      </c>
      <c r="I19" s="18"/>
      <c r="J19" s="18"/>
      <c r="K19" s="128">
        <f t="shared" si="1"/>
        <v>0.86874867285598234</v>
      </c>
      <c r="L19" s="74"/>
      <c r="M19" s="128">
        <f t="shared" si="1"/>
        <v>0.98169430874049524</v>
      </c>
      <c r="N19" s="18"/>
      <c r="O19" s="150"/>
      <c r="P19" s="120"/>
      <c r="Q19" s="150"/>
      <c r="R19" s="18"/>
      <c r="S19" s="20">
        <f t="shared" si="3"/>
        <v>0</v>
      </c>
      <c r="T19" s="18"/>
      <c r="U19" s="20">
        <f t="shared" si="4"/>
        <v>0</v>
      </c>
      <c r="V19" s="20"/>
      <c r="W19" s="20">
        <f t="shared" si="5"/>
        <v>0</v>
      </c>
      <c r="X19" s="20"/>
      <c r="Y19" s="20">
        <f t="shared" si="6"/>
        <v>0</v>
      </c>
      <c r="AA19" s="40"/>
      <c r="AE19" s="61">
        <f t="shared" si="0"/>
        <v>84</v>
      </c>
      <c r="AF19" s="144">
        <f>'Exhibit Q,3'!I29</f>
        <v>0.89764935747632868</v>
      </c>
      <c r="AG19" s="149"/>
      <c r="AH19" s="144">
        <f>'Exhibit Q,1'!I29</f>
        <v>0.98692503837404399</v>
      </c>
      <c r="AI19" s="144"/>
      <c r="AJ19" s="25">
        <f t="shared" si="7"/>
        <v>2014</v>
      </c>
      <c r="AK19" s="172">
        <v>3800456.0379999997</v>
      </c>
      <c r="AL19" s="137">
        <f t="shared" si="2"/>
        <v>-3800456.0379999997</v>
      </c>
      <c r="AM19" s="169"/>
      <c r="AN19" s="137"/>
      <c r="AO19" s="137"/>
      <c r="AP19" s="137"/>
      <c r="AQ19" s="173"/>
      <c r="AR19" s="173"/>
      <c r="AS19" s="137"/>
      <c r="AT19" s="137"/>
      <c r="AU19" s="61"/>
    </row>
    <row r="20" spans="1:47">
      <c r="A20" s="6">
        <f t="shared" si="8"/>
        <v>2015</v>
      </c>
      <c r="C20" s="150"/>
      <c r="D20" s="120"/>
      <c r="E20" s="119">
        <v>1.3658500727075047</v>
      </c>
      <c r="F20" s="120"/>
      <c r="G20" s="119">
        <v>0.95</v>
      </c>
      <c r="I20" s="18"/>
      <c r="J20" s="18"/>
      <c r="K20" s="128">
        <f t="shared" si="1"/>
        <v>0.74154507887500765</v>
      </c>
      <c r="L20" s="74"/>
      <c r="M20" s="128">
        <f t="shared" si="1"/>
        <v>0.95560421149717789</v>
      </c>
      <c r="N20" s="18"/>
      <c r="O20" s="150"/>
      <c r="P20" s="120"/>
      <c r="Q20" s="150"/>
      <c r="R20" s="18"/>
      <c r="S20" s="20">
        <f t="shared" si="3"/>
        <v>0</v>
      </c>
      <c r="T20" s="18"/>
      <c r="U20" s="20">
        <f t="shared" si="4"/>
        <v>0</v>
      </c>
      <c r="V20" s="20"/>
      <c r="W20" s="20">
        <f t="shared" si="5"/>
        <v>0</v>
      </c>
      <c r="X20" s="20"/>
      <c r="Y20" s="20">
        <f t="shared" si="6"/>
        <v>0</v>
      </c>
      <c r="AA20" s="40"/>
      <c r="AE20" s="61">
        <f t="shared" si="0"/>
        <v>72</v>
      </c>
      <c r="AF20" s="144">
        <f>'Exhibit Q,3'!I30</f>
        <v>0.78204661899494354</v>
      </c>
      <c r="AG20" s="149"/>
      <c r="AH20" s="144">
        <f>'Exhibit Q,1'!I30</f>
        <v>0.96600211983984874</v>
      </c>
      <c r="AI20" s="144"/>
      <c r="AJ20" s="25">
        <f t="shared" si="7"/>
        <v>2015</v>
      </c>
      <c r="AK20" s="172">
        <v>2455021.1219999995</v>
      </c>
      <c r="AL20" s="137">
        <f t="shared" si="2"/>
        <v>-2455021.1219999995</v>
      </c>
      <c r="AM20" s="169"/>
      <c r="AN20" s="137"/>
      <c r="AO20" s="137"/>
      <c r="AP20" s="137"/>
      <c r="AQ20" s="173"/>
      <c r="AR20" s="173"/>
      <c r="AS20" s="137"/>
      <c r="AT20" s="137"/>
      <c r="AU20" s="61"/>
    </row>
    <row r="21" spans="1:47">
      <c r="A21" s="6">
        <f t="shared" si="8"/>
        <v>2016</v>
      </c>
      <c r="C21" s="150"/>
      <c r="D21" s="120"/>
      <c r="E21" s="119">
        <v>1.4160557044123301</v>
      </c>
      <c r="F21" s="120"/>
      <c r="G21" s="119">
        <v>0.95</v>
      </c>
      <c r="I21" s="18"/>
      <c r="J21" s="18"/>
      <c r="K21" s="128">
        <f t="shared" si="1"/>
        <v>0.57066207490428578</v>
      </c>
      <c r="L21" s="74"/>
      <c r="M21" s="128">
        <f t="shared" si="1"/>
        <v>0.90462701625526831</v>
      </c>
      <c r="N21" s="18"/>
      <c r="O21" s="150"/>
      <c r="P21" s="120"/>
      <c r="Q21" s="150"/>
      <c r="R21" s="18"/>
      <c r="S21" s="20">
        <f t="shared" si="3"/>
        <v>0</v>
      </c>
      <c r="T21" s="18"/>
      <c r="U21" s="20">
        <f t="shared" si="4"/>
        <v>0</v>
      </c>
      <c r="V21" s="20"/>
      <c r="W21" s="20">
        <f t="shared" si="5"/>
        <v>0</v>
      </c>
      <c r="X21" s="20"/>
      <c r="Y21" s="20">
        <f t="shared" si="6"/>
        <v>0</v>
      </c>
      <c r="AA21" s="40"/>
      <c r="AE21" s="61">
        <f t="shared" si="0"/>
        <v>60</v>
      </c>
      <c r="AF21" s="144">
        <f>'Exhibit Q,3'!I31</f>
        <v>0.62004045851520007</v>
      </c>
      <c r="AG21" s="149"/>
      <c r="AH21" s="144">
        <f>'Exhibit Q,1'!I31</f>
        <v>0.92441048646916535</v>
      </c>
      <c r="AI21" s="144"/>
      <c r="AJ21" s="25">
        <f t="shared" si="7"/>
        <v>2016</v>
      </c>
      <c r="AK21" s="172">
        <v>1699864.535056988</v>
      </c>
      <c r="AL21" s="137">
        <f t="shared" si="2"/>
        <v>-1699864.535056988</v>
      </c>
      <c r="AM21" s="169"/>
      <c r="AN21" s="137"/>
      <c r="AO21" s="137"/>
      <c r="AP21" s="137"/>
      <c r="AQ21" s="173"/>
      <c r="AR21" s="173"/>
      <c r="AS21" s="137"/>
      <c r="AT21" s="137"/>
      <c r="AU21" s="61"/>
    </row>
    <row r="22" spans="1:47">
      <c r="A22" s="6">
        <f t="shared" si="8"/>
        <v>2017</v>
      </c>
      <c r="C22" s="150"/>
      <c r="D22" s="120"/>
      <c r="E22" s="119">
        <v>1.471409189118178</v>
      </c>
      <c r="F22" s="120"/>
      <c r="G22" s="119">
        <v>0.95</v>
      </c>
      <c r="I22" s="18"/>
      <c r="J22" s="18"/>
      <c r="K22" s="128">
        <f t="shared" si="1"/>
        <v>0.37902757056383773</v>
      </c>
      <c r="L22" s="74"/>
      <c r="M22" s="128">
        <f t="shared" si="1"/>
        <v>0.79961735083527929</v>
      </c>
      <c r="N22" s="18"/>
      <c r="O22" s="150"/>
      <c r="P22" s="120"/>
      <c r="Q22" s="150"/>
      <c r="R22" s="18"/>
      <c r="S22" s="20">
        <f t="shared" si="3"/>
        <v>0</v>
      </c>
      <c r="T22" s="18"/>
      <c r="U22" s="20">
        <f t="shared" si="4"/>
        <v>0</v>
      </c>
      <c r="V22" s="20"/>
      <c r="W22" s="20">
        <f t="shared" si="5"/>
        <v>0</v>
      </c>
      <c r="X22" s="20"/>
      <c r="Y22" s="20">
        <f t="shared" si="6"/>
        <v>0</v>
      </c>
      <c r="AA22" s="40"/>
      <c r="AE22" s="61">
        <f t="shared" si="0"/>
        <v>48</v>
      </c>
      <c r="AF22" s="144">
        <f>'Exhibit Q,3'!I32</f>
        <v>0.4225269240715428</v>
      </c>
      <c r="AG22" s="149"/>
      <c r="AH22" s="144">
        <f>'Exhibit Q,1'!I32</f>
        <v>0.8452766056135772</v>
      </c>
      <c r="AI22" s="144"/>
      <c r="AJ22" s="25">
        <f t="shared" si="7"/>
        <v>2017</v>
      </c>
      <c r="AK22" s="172">
        <v>2537295.7625391288</v>
      </c>
      <c r="AL22" s="137">
        <f t="shared" si="2"/>
        <v>-2537295.7625391288</v>
      </c>
      <c r="AM22" s="169"/>
      <c r="AN22" s="137"/>
      <c r="AO22" s="137"/>
      <c r="AP22" s="137"/>
      <c r="AQ22" s="173"/>
      <c r="AR22" s="173"/>
      <c r="AS22" s="137"/>
      <c r="AT22" s="137"/>
      <c r="AU22" s="61"/>
    </row>
    <row r="23" spans="1:47">
      <c r="A23" s="6">
        <f t="shared" si="8"/>
        <v>2018</v>
      </c>
      <c r="C23" s="150"/>
      <c r="D23" s="120"/>
      <c r="E23" s="119">
        <v>1.5105523945395243</v>
      </c>
      <c r="F23" s="120"/>
      <c r="G23" s="119">
        <v>0.95</v>
      </c>
      <c r="I23" s="18"/>
      <c r="J23" s="18"/>
      <c r="K23" s="128">
        <f t="shared" si="1"/>
        <v>0.21166117878459362</v>
      </c>
      <c r="L23" s="74"/>
      <c r="M23" s="128">
        <f t="shared" si="1"/>
        <v>0.58843521263179333</v>
      </c>
      <c r="N23" s="18"/>
      <c r="O23" s="150"/>
      <c r="P23" s="120"/>
      <c r="Q23" s="150"/>
      <c r="R23" s="18"/>
      <c r="S23" s="20">
        <f t="shared" si="3"/>
        <v>0</v>
      </c>
      <c r="T23" s="18"/>
      <c r="U23" s="20">
        <f t="shared" si="4"/>
        <v>0</v>
      </c>
      <c r="V23" s="20"/>
      <c r="W23" s="20">
        <f t="shared" si="5"/>
        <v>0</v>
      </c>
      <c r="X23" s="20"/>
      <c r="Y23" s="20">
        <f t="shared" si="6"/>
        <v>0</v>
      </c>
      <c r="AA23" s="41"/>
      <c r="AE23" s="61">
        <f t="shared" si="0"/>
        <v>36</v>
      </c>
      <c r="AF23" s="144">
        <f>'Exhibit Q,3'!I33</f>
        <v>0.2485295100407226</v>
      </c>
      <c r="AG23" s="149"/>
      <c r="AH23" s="144">
        <f>'Exhibit Q,1'!I33</f>
        <v>0.66263958650038568</v>
      </c>
      <c r="AI23" s="144"/>
      <c r="AJ23" s="25">
        <f t="shared" si="7"/>
        <v>2018</v>
      </c>
      <c r="AK23" s="172">
        <v>1822579.5642666998</v>
      </c>
      <c r="AL23" s="137">
        <f t="shared" si="2"/>
        <v>-1822579.5642666998</v>
      </c>
      <c r="AM23" s="169"/>
      <c r="AN23" s="137"/>
      <c r="AO23" s="137"/>
      <c r="AP23" s="137"/>
      <c r="AQ23" s="173"/>
      <c r="AR23" s="173"/>
      <c r="AS23" s="137"/>
      <c r="AT23" s="137"/>
      <c r="AU23" s="61"/>
    </row>
    <row r="24" spans="1:47">
      <c r="A24" s="6">
        <f t="shared" si="8"/>
        <v>2019</v>
      </c>
      <c r="C24" s="150"/>
      <c r="D24" s="120"/>
      <c r="E24" s="119">
        <v>1.5575815354085947</v>
      </c>
      <c r="F24" s="120"/>
      <c r="G24" s="119">
        <v>0.95</v>
      </c>
      <c r="I24" s="18"/>
      <c r="J24" s="18"/>
      <c r="K24" s="128">
        <f t="shared" si="1"/>
        <v>7.9715419926820269E-2</v>
      </c>
      <c r="L24" s="74"/>
      <c r="M24" s="128">
        <f t="shared" si="1"/>
        <v>0.30765051191110515</v>
      </c>
      <c r="N24" s="18"/>
      <c r="O24" s="150"/>
      <c r="P24" s="120"/>
      <c r="Q24" s="150"/>
      <c r="R24" s="18"/>
      <c r="S24" s="20">
        <f t="shared" si="3"/>
        <v>0</v>
      </c>
      <c r="T24" s="18"/>
      <c r="U24" s="20">
        <f t="shared" si="4"/>
        <v>0</v>
      </c>
      <c r="V24" s="20"/>
      <c r="W24" s="20">
        <f t="shared" si="5"/>
        <v>0</v>
      </c>
      <c r="X24" s="20"/>
      <c r="Y24" s="20">
        <f t="shared" si="6"/>
        <v>0</v>
      </c>
      <c r="AA24" s="42"/>
      <c r="AE24" s="61">
        <f>AE25+12</f>
        <v>24</v>
      </c>
      <c r="AF24" s="144">
        <f>'Exhibit Q,3'!I34</f>
        <v>0.10105618501620665</v>
      </c>
      <c r="AG24" s="149"/>
      <c r="AH24" s="144">
        <f>'Exhibit Q,1'!I34</f>
        <v>0.36582209102601632</v>
      </c>
      <c r="AI24" s="144"/>
      <c r="AJ24" s="25">
        <f t="shared" si="7"/>
        <v>2019</v>
      </c>
      <c r="AK24" s="172">
        <v>2766228.6601650049</v>
      </c>
      <c r="AL24" s="137">
        <f t="shared" si="2"/>
        <v>-2766228.6601650049</v>
      </c>
      <c r="AM24" s="169"/>
      <c r="AN24" s="137"/>
      <c r="AO24" s="137"/>
      <c r="AP24" s="137"/>
      <c r="AQ24" s="173"/>
      <c r="AR24" s="173"/>
      <c r="AS24" s="137"/>
      <c r="AT24" s="137"/>
      <c r="AU24" s="61"/>
    </row>
    <row r="25" spans="1:47">
      <c r="A25" s="6">
        <f t="shared" si="8"/>
        <v>2020</v>
      </c>
      <c r="C25" s="150"/>
      <c r="D25" s="120"/>
      <c r="E25" s="119">
        <v>1.6457999999999999</v>
      </c>
      <c r="F25" s="120"/>
      <c r="G25" s="119">
        <v>0.95</v>
      </c>
      <c r="I25" s="18"/>
      <c r="J25" s="18"/>
      <c r="K25" s="128">
        <f>AF25*(9/12)+AF26*(3/12)</f>
        <v>1.1769843493995846E-2</v>
      </c>
      <c r="L25" s="74"/>
      <c r="M25" s="128">
        <f>AH25*(9/12)+AH26*(3/12)</f>
        <v>9.9851830924778728E-2</v>
      </c>
      <c r="N25" s="18"/>
      <c r="O25" s="150"/>
      <c r="P25" s="120"/>
      <c r="Q25" s="150"/>
      <c r="R25" s="18"/>
      <c r="S25" s="20">
        <f t="shared" si="3"/>
        <v>0</v>
      </c>
      <c r="T25" s="18"/>
      <c r="U25" s="20">
        <f t="shared" si="4"/>
        <v>0</v>
      </c>
      <c r="V25" s="20"/>
      <c r="W25" s="20">
        <f t="shared" si="5"/>
        <v>0</v>
      </c>
      <c r="X25" s="20"/>
      <c r="Y25" s="20">
        <f t="shared" si="6"/>
        <v>0</v>
      </c>
      <c r="AE25" s="61">
        <v>12</v>
      </c>
      <c r="AF25" s="144">
        <f>'Exhibit Q,3'!I35</f>
        <v>1.5693124658661128E-2</v>
      </c>
      <c r="AG25" s="149"/>
      <c r="AH25" s="144">
        <f>'Exhibit Q,1'!I35</f>
        <v>0.13313577456637163</v>
      </c>
      <c r="AI25" s="144"/>
      <c r="AJ25" s="61"/>
      <c r="AK25" s="61"/>
      <c r="AL25" s="61"/>
      <c r="AM25" s="61"/>
      <c r="AN25" s="61"/>
      <c r="AO25" s="61"/>
      <c r="AP25" s="61"/>
      <c r="AQ25" s="61"/>
      <c r="AR25" s="61"/>
      <c r="AS25" s="61"/>
      <c r="AT25" s="61"/>
      <c r="AU25" s="61"/>
    </row>
    <row r="26" spans="1:47">
      <c r="A26" s="6"/>
      <c r="C26" s="152"/>
      <c r="D26" s="120"/>
      <c r="E26" s="120"/>
      <c r="F26" s="120"/>
      <c r="G26" s="120"/>
      <c r="I26" s="63"/>
      <c r="O26" s="152"/>
      <c r="P26" s="120"/>
      <c r="Q26" s="152"/>
      <c r="S26" s="63"/>
      <c r="U26" s="63"/>
      <c r="W26" s="63"/>
      <c r="Y26" s="63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1"/>
      <c r="AS26" s="61"/>
      <c r="AT26" s="61"/>
      <c r="AU26" s="61"/>
    </row>
    <row r="27" spans="1:47">
      <c r="A27" s="2" t="s">
        <v>0</v>
      </c>
      <c r="C27" s="26">
        <f>SUM(C17:C26)</f>
        <v>0</v>
      </c>
      <c r="E27" s="120"/>
      <c r="F27" s="120"/>
      <c r="G27" s="120"/>
      <c r="I27" s="26">
        <f>SUM(I17:I26)</f>
        <v>0</v>
      </c>
      <c r="J27" s="26"/>
      <c r="N27" s="26"/>
      <c r="O27" s="26">
        <f>SUM(O17:O26)</f>
        <v>0</v>
      </c>
      <c r="Q27" s="26">
        <f>SUM(Q17:Q26)</f>
        <v>0</v>
      </c>
      <c r="R27" s="26"/>
      <c r="S27" s="26">
        <f>SUM(S17:S26)</f>
        <v>0</v>
      </c>
      <c r="T27" s="26"/>
      <c r="U27" s="26">
        <f>SUM(U17:U26)</f>
        <v>0</v>
      </c>
      <c r="W27" s="26">
        <f>SUM(W17:W26)</f>
        <v>0</v>
      </c>
      <c r="Y27" s="26">
        <f>SUM(Y17:Y26)</f>
        <v>0</v>
      </c>
      <c r="AE27" s="61"/>
      <c r="AF27" s="61"/>
      <c r="AG27" s="61"/>
      <c r="AH27" s="61"/>
      <c r="AI27" s="61"/>
      <c r="AJ27" s="61"/>
      <c r="AK27" s="61"/>
      <c r="AL27" s="68">
        <f>SUM(AL17:AL26)</f>
        <v>-15089863.879027821</v>
      </c>
      <c r="AM27" s="68"/>
      <c r="AN27" s="68"/>
      <c r="AO27" s="68"/>
      <c r="AP27" s="68"/>
      <c r="AQ27" s="68"/>
      <c r="AR27" s="68"/>
      <c r="AS27" s="68"/>
      <c r="AT27" s="68"/>
      <c r="AU27" s="61"/>
    </row>
    <row r="28" spans="1:47">
      <c r="A28" s="6"/>
      <c r="E28" s="120"/>
      <c r="F28" s="120"/>
      <c r="G28" s="120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1"/>
      <c r="AS28" s="61"/>
      <c r="AT28" s="61"/>
      <c r="AU28" s="61"/>
    </row>
    <row r="29" spans="1:47">
      <c r="A29" s="26" t="s">
        <v>393</v>
      </c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1"/>
      <c r="AS29" s="61"/>
      <c r="AT29" s="61"/>
      <c r="AU29" s="61"/>
    </row>
    <row r="30" spans="1:47">
      <c r="A30" s="6">
        <f>2012</f>
        <v>2012</v>
      </c>
      <c r="I30" s="26">
        <v>0</v>
      </c>
      <c r="J30" s="26"/>
      <c r="K30" s="74">
        <v>0.98869480956276445</v>
      </c>
      <c r="L30" s="74"/>
      <c r="M30" s="74">
        <v>1</v>
      </c>
      <c r="N30" s="26"/>
      <c r="O30" s="26">
        <v>0</v>
      </c>
      <c r="Q30" s="26">
        <v>0</v>
      </c>
      <c r="R30" s="26"/>
      <c r="S30" s="19">
        <f>I30*(1-K30)+O30</f>
        <v>0</v>
      </c>
      <c r="T30" s="19"/>
      <c r="U30" s="19">
        <f>MAX(O30,I30*(1-M30)+Q30)</f>
        <v>0</v>
      </c>
      <c r="W30" s="26">
        <f>U30</f>
        <v>0</v>
      </c>
      <c r="Y30" s="26">
        <f>W30-O30</f>
        <v>0</v>
      </c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1"/>
      <c r="AS30" s="61"/>
      <c r="AT30" s="61"/>
      <c r="AU30" s="61"/>
    </row>
    <row r="31" spans="1:47">
      <c r="A31" s="6">
        <f>A30+1</f>
        <v>2013</v>
      </c>
      <c r="I31" s="18">
        <v>0</v>
      </c>
      <c r="J31" s="18"/>
      <c r="K31" s="74">
        <v>0.98678306127881255</v>
      </c>
      <c r="L31" s="74"/>
      <c r="M31" s="74">
        <v>1</v>
      </c>
      <c r="N31" s="18"/>
      <c r="O31" s="18">
        <v>0</v>
      </c>
      <c r="Q31" s="18">
        <v>0</v>
      </c>
      <c r="R31" s="18"/>
      <c r="S31" s="20">
        <f t="shared" ref="S31:S38" si="9">I31*(1-K31)+O31</f>
        <v>0</v>
      </c>
      <c r="T31" s="18"/>
      <c r="U31" s="20">
        <f t="shared" ref="U31:U38" si="10">MAX(O31,I31*(1-M31)+Q31)</f>
        <v>0</v>
      </c>
      <c r="V31" s="20"/>
      <c r="W31" s="20">
        <f t="shared" ref="W31:W38" si="11">U31</f>
        <v>0</v>
      </c>
      <c r="X31" s="20"/>
      <c r="Y31" s="20">
        <f t="shared" ref="Y31:Y38" si="12">W31-O31</f>
        <v>0</v>
      </c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1"/>
      <c r="AS31" s="61"/>
      <c r="AT31" s="61"/>
      <c r="AU31" s="61"/>
    </row>
    <row r="32" spans="1:47">
      <c r="A32" s="6">
        <f t="shared" ref="A32:A38" si="13">A31+1</f>
        <v>2014</v>
      </c>
      <c r="I32" s="18">
        <v>0</v>
      </c>
      <c r="J32" s="18"/>
      <c r="K32" s="74">
        <v>0.97248510555679912</v>
      </c>
      <c r="L32" s="74"/>
      <c r="M32" s="74">
        <v>0.99773102310231021</v>
      </c>
      <c r="N32" s="18"/>
      <c r="O32" s="18">
        <v>0</v>
      </c>
      <c r="Q32" s="18">
        <v>0</v>
      </c>
      <c r="R32" s="18"/>
      <c r="S32" s="20">
        <f t="shared" si="9"/>
        <v>0</v>
      </c>
      <c r="T32" s="18"/>
      <c r="U32" s="20">
        <f t="shared" si="10"/>
        <v>0</v>
      </c>
      <c r="V32" s="20"/>
      <c r="W32" s="20">
        <f t="shared" si="11"/>
        <v>0</v>
      </c>
      <c r="X32" s="20"/>
      <c r="Y32" s="20">
        <f t="shared" si="12"/>
        <v>0</v>
      </c>
    </row>
    <row r="33" spans="1:25">
      <c r="A33" s="6">
        <f t="shared" si="13"/>
        <v>2015</v>
      </c>
      <c r="I33" s="18">
        <v>0</v>
      </c>
      <c r="J33" s="18"/>
      <c r="K33" s="74">
        <v>0.90753066726970599</v>
      </c>
      <c r="L33" s="74"/>
      <c r="M33" s="74">
        <v>0.98692503837404377</v>
      </c>
      <c r="N33" s="18"/>
      <c r="O33" s="18">
        <v>0</v>
      </c>
      <c r="Q33" s="18">
        <v>0</v>
      </c>
      <c r="R33" s="18"/>
      <c r="S33" s="20">
        <f t="shared" si="9"/>
        <v>0</v>
      </c>
      <c r="T33" s="18"/>
      <c r="U33" s="20">
        <f t="shared" si="10"/>
        <v>0</v>
      </c>
      <c r="V33" s="20"/>
      <c r="W33" s="20">
        <f t="shared" si="11"/>
        <v>0</v>
      </c>
      <c r="X33" s="20"/>
      <c r="Y33" s="20">
        <f t="shared" si="12"/>
        <v>0</v>
      </c>
    </row>
    <row r="34" spans="1:25">
      <c r="A34" s="6">
        <f t="shared" si="13"/>
        <v>2016</v>
      </c>
      <c r="I34" s="18">
        <v>0</v>
      </c>
      <c r="J34" s="18"/>
      <c r="K34" s="74">
        <v>0.79065537568906963</v>
      </c>
      <c r="L34" s="74"/>
      <c r="M34" s="74">
        <v>0.96600211983984885</v>
      </c>
      <c r="N34" s="18"/>
      <c r="O34" s="18">
        <v>0</v>
      </c>
      <c r="Q34" s="18">
        <v>0</v>
      </c>
      <c r="R34" s="18"/>
      <c r="S34" s="20">
        <f t="shared" si="9"/>
        <v>0</v>
      </c>
      <c r="T34" s="18"/>
      <c r="U34" s="20">
        <f t="shared" si="10"/>
        <v>0</v>
      </c>
      <c r="V34" s="20"/>
      <c r="W34" s="20">
        <f t="shared" si="11"/>
        <v>0</v>
      </c>
      <c r="X34" s="20"/>
      <c r="Y34" s="20">
        <f t="shared" si="12"/>
        <v>0</v>
      </c>
    </row>
    <row r="35" spans="1:25">
      <c r="A35" s="6">
        <f t="shared" si="13"/>
        <v>2017</v>
      </c>
      <c r="I35" s="18">
        <v>0</v>
      </c>
      <c r="J35" s="18"/>
      <c r="K35" s="74">
        <v>0.62686585398168981</v>
      </c>
      <c r="L35" s="74"/>
      <c r="M35" s="74">
        <v>0.92441048646916535</v>
      </c>
      <c r="N35" s="18"/>
      <c r="O35" s="18">
        <v>0</v>
      </c>
      <c r="Q35" s="18">
        <v>0</v>
      </c>
      <c r="R35" s="18"/>
      <c r="S35" s="20">
        <f t="shared" si="9"/>
        <v>0</v>
      </c>
      <c r="T35" s="18"/>
      <c r="U35" s="20">
        <f t="shared" si="10"/>
        <v>0</v>
      </c>
      <c r="V35" s="20"/>
      <c r="W35" s="20">
        <f t="shared" si="11"/>
        <v>0</v>
      </c>
      <c r="X35" s="20"/>
      <c r="Y35" s="20">
        <f t="shared" si="12"/>
        <v>0</v>
      </c>
    </row>
    <row r="36" spans="1:25">
      <c r="A36" s="6">
        <f t="shared" si="13"/>
        <v>2018</v>
      </c>
      <c r="I36" s="18">
        <v>0</v>
      </c>
      <c r="J36" s="18"/>
      <c r="K36" s="74">
        <v>0.42717809370478538</v>
      </c>
      <c r="L36" s="74"/>
      <c r="M36" s="74">
        <v>0.84527660561357731</v>
      </c>
      <c r="N36" s="18"/>
      <c r="O36" s="18">
        <v>0</v>
      </c>
      <c r="Q36" s="18">
        <v>0</v>
      </c>
      <c r="R36" s="18"/>
      <c r="S36" s="20">
        <f t="shared" si="9"/>
        <v>0</v>
      </c>
      <c r="T36" s="18"/>
      <c r="U36" s="20">
        <f t="shared" si="10"/>
        <v>0</v>
      </c>
      <c r="V36" s="20"/>
      <c r="W36" s="20">
        <f t="shared" si="11"/>
        <v>0</v>
      </c>
      <c r="X36" s="20"/>
      <c r="Y36" s="20">
        <f t="shared" si="12"/>
        <v>0</v>
      </c>
    </row>
    <row r="37" spans="1:25">
      <c r="A37" s="6">
        <f t="shared" si="13"/>
        <v>2019</v>
      </c>
      <c r="I37" s="18">
        <v>0</v>
      </c>
      <c r="J37" s="18"/>
      <c r="K37" s="74">
        <v>0.25126531891871579</v>
      </c>
      <c r="L37" s="74"/>
      <c r="M37" s="74">
        <v>0.66263958650038568</v>
      </c>
      <c r="N37" s="18"/>
      <c r="O37" s="18">
        <v>0</v>
      </c>
      <c r="Q37" s="18">
        <v>0</v>
      </c>
      <c r="R37" s="18"/>
      <c r="S37" s="20">
        <f t="shared" si="9"/>
        <v>0</v>
      </c>
      <c r="T37" s="18"/>
      <c r="U37" s="20">
        <f t="shared" si="10"/>
        <v>0</v>
      </c>
      <c r="V37" s="20"/>
      <c r="W37" s="20">
        <f t="shared" si="11"/>
        <v>0</v>
      </c>
      <c r="X37" s="20"/>
      <c r="Y37" s="20">
        <f t="shared" si="12"/>
        <v>0</v>
      </c>
    </row>
    <row r="38" spans="1:25">
      <c r="A38" s="6">
        <f t="shared" si="13"/>
        <v>2020</v>
      </c>
      <c r="I38" s="18">
        <v>0</v>
      </c>
      <c r="J38" s="18"/>
      <c r="K38" s="74">
        <v>0.10216860988719345</v>
      </c>
      <c r="L38" s="74"/>
      <c r="M38" s="74">
        <v>0.36582209102601632</v>
      </c>
      <c r="N38" s="18"/>
      <c r="O38" s="18">
        <v>0</v>
      </c>
      <c r="Q38" s="18">
        <v>0</v>
      </c>
      <c r="R38" s="18"/>
      <c r="S38" s="20">
        <f t="shared" si="9"/>
        <v>0</v>
      </c>
      <c r="T38" s="18"/>
      <c r="U38" s="20">
        <f t="shared" si="10"/>
        <v>0</v>
      </c>
      <c r="V38" s="20"/>
      <c r="W38" s="20">
        <f t="shared" si="11"/>
        <v>0</v>
      </c>
      <c r="X38" s="20"/>
      <c r="Y38" s="20">
        <f t="shared" si="12"/>
        <v>0</v>
      </c>
    </row>
    <row r="39" spans="1:25">
      <c r="A39" s="6"/>
      <c r="I39" s="63"/>
      <c r="O39" s="63"/>
      <c r="Q39" s="63"/>
      <c r="S39" s="63"/>
      <c r="U39" s="63"/>
      <c r="W39" s="63"/>
      <c r="Y39" s="63"/>
    </row>
    <row r="40" spans="1:25">
      <c r="A40" s="2" t="s">
        <v>0</v>
      </c>
      <c r="C40" s="26"/>
      <c r="I40" s="26">
        <f>SUM(I30:I39)</f>
        <v>0</v>
      </c>
      <c r="J40" s="26"/>
      <c r="N40" s="26"/>
      <c r="O40" s="26">
        <f>SUM(O30:O39)</f>
        <v>0</v>
      </c>
      <c r="Q40" s="26">
        <f>SUM(Q30:Q39)</f>
        <v>0</v>
      </c>
      <c r="R40" s="26"/>
      <c r="S40" s="26">
        <f>SUM(S30:S39)</f>
        <v>0</v>
      </c>
      <c r="T40" s="26"/>
      <c r="U40" s="26">
        <f>SUM(U30:U39)</f>
        <v>0</v>
      </c>
      <c r="W40" s="26">
        <f>SUM(W30:W39)</f>
        <v>0</v>
      </c>
      <c r="Y40" s="26">
        <f>SUM(Y30:Y39)</f>
        <v>0</v>
      </c>
    </row>
    <row r="41" spans="1:25">
      <c r="A41" s="6"/>
      <c r="F41" s="26"/>
    </row>
    <row r="42" spans="1:25">
      <c r="A42" s="26" t="s">
        <v>296</v>
      </c>
    </row>
    <row r="43" spans="1:25">
      <c r="A43" s="6">
        <f>2012</f>
        <v>2012</v>
      </c>
      <c r="I43" s="26">
        <v>0</v>
      </c>
      <c r="J43" s="26"/>
      <c r="K43" s="74">
        <v>0.98869480956276445</v>
      </c>
      <c r="L43" s="74"/>
      <c r="M43" s="74">
        <v>1</v>
      </c>
      <c r="N43" s="26"/>
      <c r="O43" s="26">
        <v>0</v>
      </c>
      <c r="Q43" s="26">
        <v>0</v>
      </c>
      <c r="R43" s="26"/>
      <c r="S43" s="19">
        <f>I43*(1-K43)+O43</f>
        <v>0</v>
      </c>
      <c r="T43" s="19"/>
      <c r="U43" s="19">
        <f>MAX(O43,I43*(1-M43)+Q43)</f>
        <v>0</v>
      </c>
      <c r="W43" s="26">
        <f>U43</f>
        <v>0</v>
      </c>
      <c r="Y43" s="26">
        <f>W43-O43</f>
        <v>0</v>
      </c>
    </row>
    <row r="44" spans="1:25">
      <c r="A44" s="6">
        <f>A43+1</f>
        <v>2013</v>
      </c>
      <c r="I44" s="18">
        <v>0</v>
      </c>
      <c r="J44" s="18"/>
      <c r="K44" s="74">
        <v>0.98678306127881255</v>
      </c>
      <c r="L44" s="74"/>
      <c r="M44" s="74">
        <v>1</v>
      </c>
      <c r="N44" s="18"/>
      <c r="O44" s="18">
        <v>0</v>
      </c>
      <c r="Q44" s="18">
        <v>0</v>
      </c>
      <c r="R44" s="18"/>
      <c r="S44" s="20">
        <f t="shared" ref="S44:S51" si="14">I44*(1-K44)+O44</f>
        <v>0</v>
      </c>
      <c r="T44" s="18"/>
      <c r="U44" s="20">
        <f t="shared" ref="U44:U51" si="15">MAX(O44,I44*(1-M44)+Q44)</f>
        <v>0</v>
      </c>
      <c r="V44" s="20"/>
      <c r="W44" s="20">
        <f t="shared" ref="W44:W51" si="16">U44</f>
        <v>0</v>
      </c>
      <c r="X44" s="20"/>
      <c r="Y44" s="20">
        <f t="shared" ref="Y44:Y51" si="17">W44-O44</f>
        <v>0</v>
      </c>
    </row>
    <row r="45" spans="1:25">
      <c r="A45" s="6">
        <f t="shared" ref="A45:A51" si="18">A44+1</f>
        <v>2014</v>
      </c>
      <c r="I45" s="18">
        <v>0</v>
      </c>
      <c r="J45" s="18"/>
      <c r="K45" s="74">
        <v>0.97248510555679912</v>
      </c>
      <c r="L45" s="74"/>
      <c r="M45" s="74">
        <v>0.99773102310231021</v>
      </c>
      <c r="N45" s="18"/>
      <c r="O45" s="18">
        <v>0</v>
      </c>
      <c r="Q45" s="18">
        <v>0</v>
      </c>
      <c r="R45" s="18"/>
      <c r="S45" s="20">
        <f t="shared" si="14"/>
        <v>0</v>
      </c>
      <c r="T45" s="18"/>
      <c r="U45" s="20">
        <f t="shared" si="15"/>
        <v>0</v>
      </c>
      <c r="V45" s="20"/>
      <c r="W45" s="20">
        <f t="shared" si="16"/>
        <v>0</v>
      </c>
      <c r="X45" s="20"/>
      <c r="Y45" s="20">
        <f t="shared" si="17"/>
        <v>0</v>
      </c>
    </row>
    <row r="46" spans="1:25">
      <c r="A46" s="6">
        <f t="shared" si="18"/>
        <v>2015</v>
      </c>
      <c r="I46" s="18">
        <v>0</v>
      </c>
      <c r="J46" s="18"/>
      <c r="K46" s="74">
        <v>0.90753066726970599</v>
      </c>
      <c r="L46" s="74"/>
      <c r="M46" s="74">
        <v>0.98692503837404377</v>
      </c>
      <c r="N46" s="18"/>
      <c r="O46" s="18">
        <v>0</v>
      </c>
      <c r="Q46" s="18">
        <v>0</v>
      </c>
      <c r="R46" s="18"/>
      <c r="S46" s="20">
        <f t="shared" si="14"/>
        <v>0</v>
      </c>
      <c r="T46" s="18"/>
      <c r="U46" s="20">
        <f t="shared" si="15"/>
        <v>0</v>
      </c>
      <c r="V46" s="20"/>
      <c r="W46" s="20">
        <f t="shared" si="16"/>
        <v>0</v>
      </c>
      <c r="X46" s="20"/>
      <c r="Y46" s="20">
        <f t="shared" si="17"/>
        <v>0</v>
      </c>
    </row>
    <row r="47" spans="1:25">
      <c r="A47" s="6">
        <f t="shared" si="18"/>
        <v>2016</v>
      </c>
      <c r="I47" s="18">
        <v>0</v>
      </c>
      <c r="J47" s="18"/>
      <c r="K47" s="74">
        <v>0.79065537568906963</v>
      </c>
      <c r="L47" s="74"/>
      <c r="M47" s="74">
        <v>0.96600211983984885</v>
      </c>
      <c r="N47" s="18"/>
      <c r="O47" s="18">
        <v>0</v>
      </c>
      <c r="Q47" s="18">
        <v>0</v>
      </c>
      <c r="R47" s="18"/>
      <c r="S47" s="20">
        <f t="shared" si="14"/>
        <v>0</v>
      </c>
      <c r="T47" s="18"/>
      <c r="U47" s="20">
        <f t="shared" si="15"/>
        <v>0</v>
      </c>
      <c r="V47" s="20"/>
      <c r="W47" s="20">
        <f t="shared" si="16"/>
        <v>0</v>
      </c>
      <c r="X47" s="20"/>
      <c r="Y47" s="20">
        <f t="shared" si="17"/>
        <v>0</v>
      </c>
    </row>
    <row r="48" spans="1:25">
      <c r="A48" s="6">
        <f t="shared" si="18"/>
        <v>2017</v>
      </c>
      <c r="I48" s="18">
        <v>0</v>
      </c>
      <c r="J48" s="18"/>
      <c r="K48" s="74">
        <v>0.62686585398168981</v>
      </c>
      <c r="L48" s="74"/>
      <c r="M48" s="74">
        <v>0.92441048646916535</v>
      </c>
      <c r="N48" s="18"/>
      <c r="O48" s="18">
        <v>0</v>
      </c>
      <c r="Q48" s="18">
        <v>0</v>
      </c>
      <c r="R48" s="18"/>
      <c r="S48" s="20">
        <f t="shared" si="14"/>
        <v>0</v>
      </c>
      <c r="T48" s="18"/>
      <c r="U48" s="20">
        <f t="shared" si="15"/>
        <v>0</v>
      </c>
      <c r="V48" s="20"/>
      <c r="W48" s="20">
        <f t="shared" si="16"/>
        <v>0</v>
      </c>
      <c r="X48" s="20"/>
      <c r="Y48" s="20">
        <f t="shared" si="17"/>
        <v>0</v>
      </c>
    </row>
    <row r="49" spans="1:25">
      <c r="A49" s="6">
        <f t="shared" si="18"/>
        <v>2018</v>
      </c>
      <c r="I49" s="18">
        <v>0</v>
      </c>
      <c r="J49" s="18"/>
      <c r="K49" s="74">
        <v>0.42717809370478538</v>
      </c>
      <c r="L49" s="74"/>
      <c r="M49" s="74">
        <v>0.84527660561357731</v>
      </c>
      <c r="N49" s="18"/>
      <c r="O49" s="18">
        <v>0</v>
      </c>
      <c r="Q49" s="18">
        <v>0</v>
      </c>
      <c r="R49" s="18"/>
      <c r="S49" s="20">
        <f t="shared" si="14"/>
        <v>0</v>
      </c>
      <c r="T49" s="18"/>
      <c r="U49" s="20">
        <f t="shared" si="15"/>
        <v>0</v>
      </c>
      <c r="V49" s="20"/>
      <c r="W49" s="20">
        <f t="shared" si="16"/>
        <v>0</v>
      </c>
      <c r="X49" s="20"/>
      <c r="Y49" s="20">
        <f t="shared" si="17"/>
        <v>0</v>
      </c>
    </row>
    <row r="50" spans="1:25">
      <c r="A50" s="6">
        <f t="shared" si="18"/>
        <v>2019</v>
      </c>
      <c r="I50" s="18">
        <v>0</v>
      </c>
      <c r="J50" s="18"/>
      <c r="K50" s="74">
        <v>0.25126531891871579</v>
      </c>
      <c r="L50" s="74"/>
      <c r="M50" s="74">
        <v>0.66263958650038568</v>
      </c>
      <c r="N50" s="18"/>
      <c r="O50" s="18">
        <v>0</v>
      </c>
      <c r="Q50" s="18">
        <v>0</v>
      </c>
      <c r="R50" s="18"/>
      <c r="S50" s="20">
        <f t="shared" si="14"/>
        <v>0</v>
      </c>
      <c r="T50" s="18"/>
      <c r="U50" s="20">
        <f t="shared" si="15"/>
        <v>0</v>
      </c>
      <c r="V50" s="20"/>
      <c r="W50" s="20">
        <f t="shared" si="16"/>
        <v>0</v>
      </c>
      <c r="X50" s="20"/>
      <c r="Y50" s="20">
        <f t="shared" si="17"/>
        <v>0</v>
      </c>
    </row>
    <row r="51" spans="1:25">
      <c r="A51" s="6">
        <f t="shared" si="18"/>
        <v>2020</v>
      </c>
      <c r="I51" s="18">
        <v>0</v>
      </c>
      <c r="J51" s="18"/>
      <c r="K51" s="74">
        <v>0.10216860988719345</v>
      </c>
      <c r="L51" s="74"/>
      <c r="M51" s="74">
        <v>0.36582209102601632</v>
      </c>
      <c r="N51" s="18"/>
      <c r="O51" s="18">
        <v>0</v>
      </c>
      <c r="Q51" s="18">
        <v>0</v>
      </c>
      <c r="R51" s="18"/>
      <c r="S51" s="20">
        <f t="shared" si="14"/>
        <v>0</v>
      </c>
      <c r="T51" s="18"/>
      <c r="U51" s="20">
        <f t="shared" si="15"/>
        <v>0</v>
      </c>
      <c r="V51" s="20"/>
      <c r="W51" s="20">
        <f t="shared" si="16"/>
        <v>0</v>
      </c>
      <c r="X51" s="20"/>
      <c r="Y51" s="20">
        <f t="shared" si="17"/>
        <v>0</v>
      </c>
    </row>
    <row r="52" spans="1:25">
      <c r="A52" s="6"/>
      <c r="I52" s="63"/>
      <c r="O52" s="63"/>
      <c r="Q52" s="63"/>
      <c r="S52" s="63"/>
      <c r="U52" s="63"/>
      <c r="W52" s="63"/>
      <c r="Y52" s="63"/>
    </row>
    <row r="53" spans="1:25">
      <c r="A53" s="2" t="s">
        <v>0</v>
      </c>
      <c r="C53" s="26"/>
      <c r="I53" s="26">
        <f>SUM(I43:I52)</f>
        <v>0</v>
      </c>
      <c r="J53" s="26"/>
      <c r="N53" s="26"/>
      <c r="O53" s="26">
        <f>SUM(O43:O52)</f>
        <v>0</v>
      </c>
      <c r="Q53" s="26">
        <f>SUM(Q43:Q52)</f>
        <v>0</v>
      </c>
      <c r="R53" s="26"/>
      <c r="S53" s="26">
        <f>SUM(S43:S52)</f>
        <v>0</v>
      </c>
      <c r="T53" s="26"/>
      <c r="U53" s="26">
        <f>SUM(U43:U52)</f>
        <v>0</v>
      </c>
      <c r="W53" s="26">
        <f>SUM(W43:W52)</f>
        <v>0</v>
      </c>
      <c r="Y53" s="26">
        <f>SUM(Y43:Y52)</f>
        <v>0</v>
      </c>
    </row>
    <row r="55" spans="1:25">
      <c r="A55" s="26" t="s">
        <v>297</v>
      </c>
    </row>
    <row r="56" spans="1:25">
      <c r="A56" s="6">
        <f>2012</f>
        <v>2012</v>
      </c>
      <c r="C56" s="26">
        <f>C17+C30+C43</f>
        <v>0</v>
      </c>
      <c r="I56" s="26">
        <f>I17+I30+I43</f>
        <v>0</v>
      </c>
      <c r="J56" s="26"/>
      <c r="K56" s="26"/>
      <c r="L56" s="26"/>
      <c r="M56" s="26"/>
      <c r="N56" s="26"/>
      <c r="O56" s="26">
        <f>O17+O30+O43</f>
        <v>0</v>
      </c>
      <c r="Q56" s="26">
        <f>Q17+Q30+Q43</f>
        <v>0</v>
      </c>
      <c r="R56" s="26"/>
      <c r="S56" s="26">
        <f>S17+S30+S43</f>
        <v>0</v>
      </c>
      <c r="T56" s="26"/>
      <c r="U56" s="26">
        <f>U17+U30+U43</f>
        <v>0</v>
      </c>
      <c r="W56" s="26">
        <f>W17+W30+W43</f>
        <v>0</v>
      </c>
      <c r="Y56" s="26">
        <f>Y17+Y30+Y43</f>
        <v>0</v>
      </c>
    </row>
    <row r="57" spans="1:25">
      <c r="A57" s="6">
        <f>A56+1</f>
        <v>2013</v>
      </c>
      <c r="C57" s="20">
        <f t="shared" ref="C57:C64" si="19">C18+C31+C44</f>
        <v>0</v>
      </c>
      <c r="D57" s="26"/>
      <c r="I57" s="20">
        <f t="shared" ref="I57:I64" si="20">I18+I31+I44</f>
        <v>0</v>
      </c>
      <c r="J57" s="18"/>
      <c r="K57" s="18"/>
      <c r="L57" s="18"/>
      <c r="M57" s="18"/>
      <c r="N57" s="18"/>
      <c r="O57" s="20">
        <f t="shared" ref="O57:Q64" si="21">O18+O31+O44</f>
        <v>0</v>
      </c>
      <c r="Q57" s="20">
        <f t="shared" si="21"/>
        <v>0</v>
      </c>
      <c r="R57" s="18"/>
      <c r="S57" s="20">
        <f t="shared" ref="S57:U64" si="22">S18+S31+S44</f>
        <v>0</v>
      </c>
      <c r="T57" s="18"/>
      <c r="U57" s="20">
        <f t="shared" si="22"/>
        <v>0</v>
      </c>
      <c r="V57" s="18"/>
      <c r="W57" s="20">
        <f t="shared" ref="W57:Y64" si="23">W18+W31+W44</f>
        <v>0</v>
      </c>
      <c r="X57" s="18"/>
      <c r="Y57" s="20">
        <f t="shared" si="23"/>
        <v>0</v>
      </c>
    </row>
    <row r="58" spans="1:25">
      <c r="A58" s="6">
        <f t="shared" ref="A58:A64" si="24">A57+1</f>
        <v>2014</v>
      </c>
      <c r="C58" s="20">
        <f t="shared" si="19"/>
        <v>0</v>
      </c>
      <c r="I58" s="20">
        <f t="shared" si="20"/>
        <v>0</v>
      </c>
      <c r="J58" s="18"/>
      <c r="K58" s="18"/>
      <c r="L58" s="18"/>
      <c r="M58" s="18"/>
      <c r="N58" s="18"/>
      <c r="O58" s="20">
        <f t="shared" si="21"/>
        <v>0</v>
      </c>
      <c r="Q58" s="20">
        <f t="shared" si="21"/>
        <v>0</v>
      </c>
      <c r="R58" s="18"/>
      <c r="S58" s="20">
        <f t="shared" si="22"/>
        <v>0</v>
      </c>
      <c r="T58" s="18"/>
      <c r="U58" s="20">
        <f t="shared" si="22"/>
        <v>0</v>
      </c>
      <c r="V58" s="18"/>
      <c r="W58" s="20">
        <f t="shared" si="23"/>
        <v>0</v>
      </c>
      <c r="X58" s="18"/>
      <c r="Y58" s="20">
        <f t="shared" si="23"/>
        <v>0</v>
      </c>
    </row>
    <row r="59" spans="1:25">
      <c r="A59" s="6">
        <f t="shared" si="24"/>
        <v>2015</v>
      </c>
      <c r="C59" s="20">
        <f t="shared" si="19"/>
        <v>0</v>
      </c>
      <c r="I59" s="20">
        <f t="shared" si="20"/>
        <v>0</v>
      </c>
      <c r="J59" s="18"/>
      <c r="K59" s="18"/>
      <c r="L59" s="18"/>
      <c r="M59" s="18"/>
      <c r="N59" s="18"/>
      <c r="O59" s="20">
        <f t="shared" si="21"/>
        <v>0</v>
      </c>
      <c r="Q59" s="20">
        <f t="shared" si="21"/>
        <v>0</v>
      </c>
      <c r="R59" s="18"/>
      <c r="S59" s="20">
        <f t="shared" si="22"/>
        <v>0</v>
      </c>
      <c r="T59" s="18"/>
      <c r="U59" s="20">
        <f t="shared" si="22"/>
        <v>0</v>
      </c>
      <c r="V59" s="18"/>
      <c r="W59" s="20">
        <f t="shared" si="23"/>
        <v>0</v>
      </c>
      <c r="X59" s="18"/>
      <c r="Y59" s="20">
        <f t="shared" si="23"/>
        <v>0</v>
      </c>
    </row>
    <row r="60" spans="1:25">
      <c r="A60" s="6">
        <f t="shared" si="24"/>
        <v>2016</v>
      </c>
      <c r="C60" s="20">
        <f t="shared" si="19"/>
        <v>0</v>
      </c>
      <c r="I60" s="20">
        <f t="shared" si="20"/>
        <v>0</v>
      </c>
      <c r="J60" s="18"/>
      <c r="K60" s="18"/>
      <c r="L60" s="18"/>
      <c r="M60" s="18"/>
      <c r="N60" s="18"/>
      <c r="O60" s="20">
        <f t="shared" si="21"/>
        <v>0</v>
      </c>
      <c r="Q60" s="20">
        <f t="shared" si="21"/>
        <v>0</v>
      </c>
      <c r="R60" s="18"/>
      <c r="S60" s="20">
        <f t="shared" si="22"/>
        <v>0</v>
      </c>
      <c r="T60" s="18"/>
      <c r="U60" s="20">
        <f t="shared" si="22"/>
        <v>0</v>
      </c>
      <c r="V60" s="18"/>
      <c r="W60" s="20">
        <f t="shared" si="23"/>
        <v>0</v>
      </c>
      <c r="X60" s="18"/>
      <c r="Y60" s="20">
        <f t="shared" si="23"/>
        <v>0</v>
      </c>
    </row>
    <row r="61" spans="1:25">
      <c r="A61" s="6">
        <f t="shared" si="24"/>
        <v>2017</v>
      </c>
      <c r="C61" s="20">
        <f t="shared" si="19"/>
        <v>0</v>
      </c>
      <c r="I61" s="20">
        <f t="shared" si="20"/>
        <v>0</v>
      </c>
      <c r="J61" s="18"/>
      <c r="K61" s="18"/>
      <c r="L61" s="18"/>
      <c r="M61" s="18"/>
      <c r="N61" s="18"/>
      <c r="O61" s="20">
        <f t="shared" si="21"/>
        <v>0</v>
      </c>
      <c r="Q61" s="20">
        <f t="shared" si="21"/>
        <v>0</v>
      </c>
      <c r="R61" s="18"/>
      <c r="S61" s="20">
        <f t="shared" si="22"/>
        <v>0</v>
      </c>
      <c r="T61" s="18"/>
      <c r="U61" s="20">
        <f t="shared" si="22"/>
        <v>0</v>
      </c>
      <c r="V61" s="18"/>
      <c r="W61" s="20">
        <f t="shared" si="23"/>
        <v>0</v>
      </c>
      <c r="X61" s="18"/>
      <c r="Y61" s="20">
        <f t="shared" si="23"/>
        <v>0</v>
      </c>
    </row>
    <row r="62" spans="1:25">
      <c r="A62" s="6">
        <f t="shared" si="24"/>
        <v>2018</v>
      </c>
      <c r="C62" s="20">
        <f t="shared" si="19"/>
        <v>0</v>
      </c>
      <c r="I62" s="20">
        <f t="shared" si="20"/>
        <v>0</v>
      </c>
      <c r="J62" s="18"/>
      <c r="K62" s="18"/>
      <c r="L62" s="18"/>
      <c r="M62" s="18"/>
      <c r="N62" s="18"/>
      <c r="O62" s="20">
        <f t="shared" si="21"/>
        <v>0</v>
      </c>
      <c r="Q62" s="20">
        <f t="shared" si="21"/>
        <v>0</v>
      </c>
      <c r="R62" s="18"/>
      <c r="S62" s="20">
        <f t="shared" si="22"/>
        <v>0</v>
      </c>
      <c r="T62" s="18"/>
      <c r="U62" s="20">
        <f t="shared" si="22"/>
        <v>0</v>
      </c>
      <c r="V62" s="18"/>
      <c r="W62" s="20">
        <f t="shared" si="23"/>
        <v>0</v>
      </c>
      <c r="X62" s="18"/>
      <c r="Y62" s="20">
        <f t="shared" si="23"/>
        <v>0</v>
      </c>
    </row>
    <row r="63" spans="1:25">
      <c r="A63" s="6">
        <f t="shared" si="24"/>
        <v>2019</v>
      </c>
      <c r="C63" s="20">
        <f t="shared" si="19"/>
        <v>0</v>
      </c>
      <c r="I63" s="20">
        <f t="shared" si="20"/>
        <v>0</v>
      </c>
      <c r="J63" s="18"/>
      <c r="K63" s="18"/>
      <c r="L63" s="18"/>
      <c r="M63" s="18"/>
      <c r="N63" s="18"/>
      <c r="O63" s="20">
        <f t="shared" si="21"/>
        <v>0</v>
      </c>
      <c r="Q63" s="20">
        <f t="shared" si="21"/>
        <v>0</v>
      </c>
      <c r="R63" s="18"/>
      <c r="S63" s="20">
        <f t="shared" si="22"/>
        <v>0</v>
      </c>
      <c r="T63" s="18"/>
      <c r="U63" s="20">
        <f t="shared" si="22"/>
        <v>0</v>
      </c>
      <c r="V63" s="18"/>
      <c r="W63" s="20">
        <f t="shared" si="23"/>
        <v>0</v>
      </c>
      <c r="X63" s="18"/>
      <c r="Y63" s="20">
        <f t="shared" si="23"/>
        <v>0</v>
      </c>
    </row>
    <row r="64" spans="1:25">
      <c r="A64" s="6">
        <f t="shared" si="24"/>
        <v>2020</v>
      </c>
      <c r="C64" s="20">
        <f t="shared" si="19"/>
        <v>0</v>
      </c>
      <c r="I64" s="20">
        <f t="shared" si="20"/>
        <v>0</v>
      </c>
      <c r="J64" s="18"/>
      <c r="K64" s="18"/>
      <c r="L64" s="18"/>
      <c r="M64" s="18"/>
      <c r="N64" s="18"/>
      <c r="O64" s="20">
        <f t="shared" si="21"/>
        <v>0</v>
      </c>
      <c r="Q64" s="20">
        <f t="shared" si="21"/>
        <v>0</v>
      </c>
      <c r="R64" s="18"/>
      <c r="S64" s="20">
        <f t="shared" si="22"/>
        <v>0</v>
      </c>
      <c r="T64" s="18"/>
      <c r="U64" s="20">
        <f t="shared" si="22"/>
        <v>0</v>
      </c>
      <c r="V64" s="18"/>
      <c r="W64" s="20">
        <f t="shared" si="23"/>
        <v>0</v>
      </c>
      <c r="X64" s="18"/>
      <c r="Y64" s="20">
        <f t="shared" si="23"/>
        <v>0</v>
      </c>
    </row>
    <row r="65" spans="1:25">
      <c r="A65" s="6"/>
      <c r="C65" s="63"/>
      <c r="I65" s="63"/>
      <c r="O65" s="63"/>
      <c r="Q65" s="63"/>
      <c r="S65" s="63"/>
      <c r="U65" s="63"/>
      <c r="W65" s="63"/>
      <c r="Y65" s="63"/>
    </row>
    <row r="66" spans="1:25">
      <c r="A66" s="2" t="s">
        <v>0</v>
      </c>
      <c r="C66" s="26">
        <f>SUM(C56:C65)</f>
        <v>0</v>
      </c>
      <c r="I66" s="26">
        <f>SUM(I56:I65)</f>
        <v>0</v>
      </c>
      <c r="J66" s="26"/>
      <c r="N66" s="26"/>
      <c r="O66" s="26">
        <f>SUM(O56:O65)</f>
        <v>0</v>
      </c>
      <c r="Q66" s="26">
        <f>SUM(Q56:Q65)</f>
        <v>0</v>
      </c>
      <c r="R66" s="26"/>
      <c r="S66" s="26">
        <f>SUM(S56:S65)</f>
        <v>0</v>
      </c>
      <c r="T66" s="26"/>
      <c r="U66" s="26">
        <f>SUM(U56:U65)</f>
        <v>0</v>
      </c>
      <c r="W66" s="26">
        <f>SUM(W56:W65)</f>
        <v>0</v>
      </c>
      <c r="Y66" s="26">
        <f>SUM(Y56:Y65)</f>
        <v>0</v>
      </c>
    </row>
    <row r="67" spans="1:25">
      <c r="A67" s="6"/>
    </row>
    <row r="68" spans="1:25">
      <c r="A68" s="6"/>
    </row>
    <row r="70" spans="1:25">
      <c r="A70" s="64" t="s">
        <v>104</v>
      </c>
      <c r="C70" s="3" t="s">
        <v>533</v>
      </c>
    </row>
    <row r="71" spans="1:25">
      <c r="A71" s="52" t="s">
        <v>36</v>
      </c>
      <c r="C71" s="3" t="s">
        <v>179</v>
      </c>
    </row>
    <row r="72" spans="1:25">
      <c r="A72" s="52" t="s">
        <v>38</v>
      </c>
      <c r="C72" s="3" t="s">
        <v>311</v>
      </c>
    </row>
    <row r="73" spans="1:25">
      <c r="A73" s="52" t="s">
        <v>40</v>
      </c>
      <c r="C73" s="3" t="s">
        <v>301</v>
      </c>
    </row>
    <row r="74" spans="1:25">
      <c r="A74" s="52" t="s">
        <v>42</v>
      </c>
      <c r="C74" s="3" t="s">
        <v>404</v>
      </c>
    </row>
    <row r="75" spans="1:25">
      <c r="A75" s="64" t="s">
        <v>30</v>
      </c>
      <c r="C75" s="3" t="s">
        <v>405</v>
      </c>
    </row>
    <row r="76" spans="1:25">
      <c r="A76" s="64" t="s">
        <v>31</v>
      </c>
      <c r="C76" s="3" t="s">
        <v>529</v>
      </c>
    </row>
    <row r="77" spans="1:25">
      <c r="A77" s="64" t="s">
        <v>103</v>
      </c>
      <c r="C77" s="3" t="s">
        <v>530</v>
      </c>
    </row>
    <row r="78" spans="1:25">
      <c r="A78" s="64" t="s">
        <v>106</v>
      </c>
      <c r="C78" s="3" t="s">
        <v>320</v>
      </c>
    </row>
    <row r="79" spans="1:25">
      <c r="A79" s="64" t="s">
        <v>134</v>
      </c>
      <c r="C79" s="3" t="s">
        <v>448</v>
      </c>
    </row>
    <row r="80" spans="1:25">
      <c r="A80" s="64" t="s">
        <v>137</v>
      </c>
      <c r="C80" s="3" t="s">
        <v>319</v>
      </c>
    </row>
  </sheetData>
  <printOptions horizontalCentered="1" verticalCentered="1"/>
  <pageMargins left="0.75" right="0.75" top="1" bottom="1" header="0.5" footer="0.5"/>
  <pageSetup scale="45" orientation="portrait" blackAndWhite="1" r:id="rId1"/>
  <headerFooter alignWithMargins="0">
    <oddFooter>&amp;L&amp;6&amp;Z&amp;F
&amp;A</oddFooter>
  </headerFooter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92">
    <tabColor rgb="FFFF0000"/>
    <pageSetUpPr fitToPage="1"/>
  </sheetPr>
  <dimension ref="A1:AI78"/>
  <sheetViews>
    <sheetView zoomScale="75" zoomScaleNormal="75" workbookViewId="0">
      <selection activeCell="A6" sqref="A6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9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9.7109375" style="1" customWidth="1"/>
    <col min="10" max="10" width="1.7109375" style="1" customWidth="1"/>
    <col min="11" max="11" width="9.7109375" style="1" customWidth="1"/>
    <col min="12" max="12" width="1.7109375" style="1" customWidth="1"/>
    <col min="13" max="13" width="10.7109375" style="1" customWidth="1"/>
    <col min="14" max="14" width="1.7109375" style="1" customWidth="1"/>
    <col min="15" max="15" width="10.7109375" style="1" customWidth="1"/>
    <col min="16" max="16" width="1.7109375" style="1" customWidth="1"/>
    <col min="17" max="17" width="11.7109375" style="1" customWidth="1"/>
    <col min="18" max="18" width="1.7109375" style="1" customWidth="1"/>
    <col min="19" max="19" width="11.28515625" style="1" bestFit="1" customWidth="1"/>
    <col min="20" max="20" width="1.7109375" style="1" customWidth="1"/>
    <col min="21" max="21" width="11.28515625" style="1" bestFit="1" customWidth="1"/>
    <col min="22" max="22" width="1.7109375" style="1" customWidth="1"/>
    <col min="23" max="23" width="12.7109375" style="1" bestFit="1" customWidth="1"/>
    <col min="24" max="16384" width="8.7109375" style="1"/>
  </cols>
  <sheetData>
    <row r="1" spans="1:35">
      <c r="W1" s="3" t="s">
        <v>150</v>
      </c>
    </row>
    <row r="2" spans="1:35">
      <c r="W2" s="3" t="s">
        <v>127</v>
      </c>
    </row>
    <row r="3" spans="1:35">
      <c r="W3" s="3" t="s">
        <v>45</v>
      </c>
    </row>
    <row r="4" spans="1:35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3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35">
      <c r="A6" s="5" t="s">
        <v>178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35">
      <c r="A7" s="5" t="s">
        <v>303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35">
      <c r="A8" s="5" t="s">
        <v>290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3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35">
      <c r="L10" s="61" t="s">
        <v>875</v>
      </c>
    </row>
    <row r="11" spans="1:35">
      <c r="C11" s="2" t="s">
        <v>287</v>
      </c>
      <c r="I11" s="2" t="s">
        <v>7</v>
      </c>
      <c r="J11" s="2"/>
      <c r="K11" s="2" t="s">
        <v>7</v>
      </c>
      <c r="Q11" s="2" t="s">
        <v>14</v>
      </c>
      <c r="R11" s="2"/>
      <c r="S11" s="2" t="s">
        <v>12</v>
      </c>
      <c r="U11" s="2" t="s">
        <v>1</v>
      </c>
      <c r="AE11" s="61"/>
      <c r="AF11" s="97" t="s">
        <v>7</v>
      </c>
      <c r="AG11" s="97"/>
      <c r="AH11" s="97" t="s">
        <v>7</v>
      </c>
      <c r="AI11" s="61"/>
    </row>
    <row r="12" spans="1:35">
      <c r="C12" s="2" t="s">
        <v>67</v>
      </c>
      <c r="E12" s="2" t="s">
        <v>256</v>
      </c>
      <c r="G12" s="2" t="s">
        <v>7</v>
      </c>
      <c r="H12" s="2"/>
      <c r="I12" s="2" t="s">
        <v>62</v>
      </c>
      <c r="J12" s="2"/>
      <c r="K12" s="2" t="s">
        <v>62</v>
      </c>
      <c r="M12" s="2" t="s">
        <v>14</v>
      </c>
      <c r="N12" s="2"/>
      <c r="O12" s="2" t="s">
        <v>12</v>
      </c>
      <c r="Q12" s="2" t="s">
        <v>314</v>
      </c>
      <c r="R12" s="2"/>
      <c r="S12" s="2" t="s">
        <v>314</v>
      </c>
      <c r="U12" s="2" t="s">
        <v>67</v>
      </c>
      <c r="W12" s="2" t="s">
        <v>63</v>
      </c>
      <c r="AE12" s="25" t="s">
        <v>122</v>
      </c>
      <c r="AF12" s="97" t="s">
        <v>62</v>
      </c>
      <c r="AG12" s="97"/>
      <c r="AH12" s="97" t="s">
        <v>62</v>
      </c>
      <c r="AI12" s="61"/>
    </row>
    <row r="13" spans="1:35">
      <c r="A13" s="2" t="s">
        <v>4</v>
      </c>
      <c r="C13" s="2" t="s">
        <v>55</v>
      </c>
      <c r="E13" s="2" t="s">
        <v>288</v>
      </c>
      <c r="G13" s="2" t="s">
        <v>55</v>
      </c>
      <c r="H13" s="2"/>
      <c r="I13" s="2" t="s">
        <v>14</v>
      </c>
      <c r="J13" s="2"/>
      <c r="K13" s="2" t="s">
        <v>12</v>
      </c>
      <c r="M13" s="2" t="s">
        <v>55</v>
      </c>
      <c r="N13" s="2"/>
      <c r="O13" s="2" t="s">
        <v>55</v>
      </c>
      <c r="Q13" s="2" t="s">
        <v>55</v>
      </c>
      <c r="R13" s="2"/>
      <c r="S13" s="2" t="s">
        <v>55</v>
      </c>
      <c r="U13" s="2" t="s">
        <v>55</v>
      </c>
      <c r="W13" s="2" t="s">
        <v>55</v>
      </c>
      <c r="AE13" s="25" t="s">
        <v>123</v>
      </c>
      <c r="AF13" s="97" t="s">
        <v>14</v>
      </c>
      <c r="AG13" s="97"/>
      <c r="AH13" s="97" t="s">
        <v>12</v>
      </c>
      <c r="AI13" s="61"/>
    </row>
    <row r="14" spans="1:35">
      <c r="A14" s="10">
        <v>-1</v>
      </c>
      <c r="C14" s="10">
        <v>-2</v>
      </c>
      <c r="E14" s="10">
        <v>-3</v>
      </c>
      <c r="G14" s="10">
        <v>-4</v>
      </c>
      <c r="H14" s="11"/>
      <c r="I14" s="10">
        <v>-5</v>
      </c>
      <c r="J14" s="11"/>
      <c r="K14" s="10">
        <v>-6</v>
      </c>
      <c r="M14" s="10">
        <v>-7</v>
      </c>
      <c r="N14" s="11"/>
      <c r="O14" s="10">
        <v>-8</v>
      </c>
      <c r="Q14" s="10">
        <v>-9</v>
      </c>
      <c r="R14" s="11"/>
      <c r="S14" s="10">
        <v>-10</v>
      </c>
      <c r="T14" s="11"/>
      <c r="U14" s="10">
        <v>-11</v>
      </c>
      <c r="V14" s="11"/>
      <c r="W14" s="10">
        <v>-12</v>
      </c>
      <c r="AE14" s="142" t="s">
        <v>38</v>
      </c>
      <c r="AF14" s="143">
        <v>-5</v>
      </c>
      <c r="AG14" s="164"/>
      <c r="AH14" s="143">
        <v>-6</v>
      </c>
      <c r="AI14" s="61"/>
    </row>
    <row r="15" spans="1:35">
      <c r="AE15" s="61"/>
      <c r="AF15" s="144"/>
      <c r="AG15" s="61"/>
      <c r="AH15" s="144"/>
      <c r="AI15" s="61"/>
    </row>
    <row r="16" spans="1:35">
      <c r="A16" s="26" t="s">
        <v>392</v>
      </c>
      <c r="AE16" s="61">
        <f t="shared" ref="AE16:AE23" si="0">AE17+12</f>
        <v>120</v>
      </c>
      <c r="AF16" s="144">
        <f>'Exhibit Q,3'!I26</f>
        <v>0.98813728327931161</v>
      </c>
      <c r="AG16" s="127"/>
      <c r="AH16" s="144">
        <f>'Exhibit Q,1'!I26</f>
        <v>1</v>
      </c>
      <c r="AI16" s="61"/>
    </row>
    <row r="17" spans="1:35">
      <c r="A17" s="6">
        <f>2012</f>
        <v>2012</v>
      </c>
      <c r="C17" s="26"/>
      <c r="E17" s="74">
        <v>0.94672499999999993</v>
      </c>
      <c r="G17" s="26">
        <f>C17*E17</f>
        <v>0</v>
      </c>
      <c r="H17" s="26"/>
      <c r="I17" s="73">
        <f t="shared" ref="I17:K24" si="1">AF17*(10/12)+AF18*(2/12)</f>
        <v>0.97892499125776566</v>
      </c>
      <c r="J17" s="74"/>
      <c r="K17" s="73">
        <f t="shared" si="1"/>
        <v>0.99962183718371844</v>
      </c>
      <c r="M17" s="148"/>
      <c r="N17" s="148"/>
      <c r="O17" s="148"/>
      <c r="Q17" s="19">
        <f>G17*(1-I17)+M17</f>
        <v>0</v>
      </c>
      <c r="R17" s="19"/>
      <c r="S17" s="19">
        <f>MAX(M17,G17*(1-K17)+O17)</f>
        <v>0</v>
      </c>
      <c r="T17" s="19"/>
      <c r="U17" s="26">
        <f>S17</f>
        <v>0</v>
      </c>
      <c r="W17" s="26">
        <f>U17-M17</f>
        <v>0</v>
      </c>
      <c r="AE17" s="61">
        <f t="shared" si="0"/>
        <v>108</v>
      </c>
      <c r="AF17" s="144">
        <f>'Exhibit Q,3'!I27</f>
        <v>0.98223323534299367</v>
      </c>
      <c r="AG17" s="72"/>
      <c r="AH17" s="144">
        <f>'Exhibit Q,1'!I27</f>
        <v>1</v>
      </c>
      <c r="AI17" s="61"/>
    </row>
    <row r="18" spans="1:35">
      <c r="A18" s="6">
        <f>A17+1</f>
        <v>2013</v>
      </c>
      <c r="C18" s="20"/>
      <c r="D18" s="26"/>
      <c r="E18" s="74">
        <v>0.94672499999999993</v>
      </c>
      <c r="G18" s="20">
        <f t="shared" ref="G18:G25" si="2">C18*E18</f>
        <v>0</v>
      </c>
      <c r="H18" s="18"/>
      <c r="I18" s="73">
        <f t="shared" si="1"/>
        <v>0.95159470193907592</v>
      </c>
      <c r="J18" s="74"/>
      <c r="K18" s="73">
        <f t="shared" si="1"/>
        <v>0.99593002564759925</v>
      </c>
      <c r="M18" s="150"/>
      <c r="N18" s="150"/>
      <c r="O18" s="150"/>
      <c r="Q18" s="20">
        <f t="shared" ref="Q18:Q25" si="3">G18*(1-I18)+M18</f>
        <v>0</v>
      </c>
      <c r="R18" s="18"/>
      <c r="S18" s="20">
        <f t="shared" ref="S18:S25" si="4">MAX(M18,G18*(1-K18)+O18)</f>
        <v>0</v>
      </c>
      <c r="T18" s="18"/>
      <c r="U18" s="20">
        <f t="shared" ref="U18:U25" si="5">S18</f>
        <v>0</v>
      </c>
      <c r="V18" s="18"/>
      <c r="W18" s="20">
        <f t="shared" ref="W18:W25" si="6">U18-M18</f>
        <v>0</v>
      </c>
      <c r="AE18" s="61">
        <f t="shared" si="0"/>
        <v>96</v>
      </c>
      <c r="AF18" s="144">
        <f>'Exhibit Q,3'!I28</f>
        <v>0.96238377083162541</v>
      </c>
      <c r="AG18" s="72"/>
      <c r="AH18" s="144">
        <f>'Exhibit Q,1'!I28</f>
        <v>0.99773102310231021</v>
      </c>
      <c r="AI18" s="61"/>
    </row>
    <row r="19" spans="1:35">
      <c r="A19" s="6">
        <f t="shared" ref="A19:A25" si="7">A18+1</f>
        <v>2014</v>
      </c>
      <c r="C19" s="20"/>
      <c r="E19" s="74">
        <v>0.94672499999999993</v>
      </c>
      <c r="G19" s="20">
        <f t="shared" si="2"/>
        <v>0</v>
      </c>
      <c r="H19" s="18"/>
      <c r="I19" s="73">
        <f t="shared" si="1"/>
        <v>0.87838223439609786</v>
      </c>
      <c r="J19" s="74"/>
      <c r="K19" s="73">
        <f t="shared" si="1"/>
        <v>0.98343788528501141</v>
      </c>
      <c r="M19" s="150"/>
      <c r="N19" s="150"/>
      <c r="O19" s="150"/>
      <c r="Q19" s="20">
        <f t="shared" si="3"/>
        <v>0</v>
      </c>
      <c r="R19" s="18"/>
      <c r="S19" s="20">
        <f t="shared" si="4"/>
        <v>0</v>
      </c>
      <c r="T19" s="18"/>
      <c r="U19" s="20">
        <f t="shared" si="5"/>
        <v>0</v>
      </c>
      <c r="V19" s="18"/>
      <c r="W19" s="20">
        <f t="shared" si="6"/>
        <v>0</v>
      </c>
      <c r="AE19" s="61">
        <f t="shared" si="0"/>
        <v>84</v>
      </c>
      <c r="AF19" s="144">
        <f>'Exhibit Q,3'!I29</f>
        <v>0.89764935747632868</v>
      </c>
      <c r="AG19" s="72"/>
      <c r="AH19" s="144">
        <f>'Exhibit Q,1'!I29</f>
        <v>0.98692503837404399</v>
      </c>
      <c r="AI19" s="61"/>
    </row>
    <row r="20" spans="1:35">
      <c r="A20" s="6">
        <f t="shared" si="7"/>
        <v>2015</v>
      </c>
      <c r="C20" s="20"/>
      <c r="E20" s="74">
        <v>0.94672499999999993</v>
      </c>
      <c r="G20" s="20">
        <f t="shared" si="2"/>
        <v>0</v>
      </c>
      <c r="H20" s="18"/>
      <c r="I20" s="73">
        <f t="shared" si="1"/>
        <v>0.75504559224831969</v>
      </c>
      <c r="J20" s="74"/>
      <c r="K20" s="73">
        <f t="shared" si="1"/>
        <v>0.95907018094473484</v>
      </c>
      <c r="M20" s="150"/>
      <c r="N20" s="150"/>
      <c r="O20" s="150"/>
      <c r="Q20" s="20">
        <f t="shared" si="3"/>
        <v>0</v>
      </c>
      <c r="R20" s="18"/>
      <c r="S20" s="20">
        <f t="shared" si="4"/>
        <v>0</v>
      </c>
      <c r="T20" s="18"/>
      <c r="U20" s="20">
        <f t="shared" si="5"/>
        <v>0</v>
      </c>
      <c r="V20" s="18"/>
      <c r="W20" s="20">
        <f t="shared" si="6"/>
        <v>0</v>
      </c>
      <c r="AE20" s="61">
        <f t="shared" si="0"/>
        <v>72</v>
      </c>
      <c r="AF20" s="144">
        <f>'Exhibit Q,3'!I30</f>
        <v>0.78204661899494354</v>
      </c>
      <c r="AG20" s="72"/>
      <c r="AH20" s="144">
        <f>'Exhibit Q,1'!I30</f>
        <v>0.96600211983984874</v>
      </c>
      <c r="AI20" s="61"/>
    </row>
    <row r="21" spans="1:35">
      <c r="A21" s="6">
        <f t="shared" si="7"/>
        <v>2016</v>
      </c>
      <c r="C21" s="20"/>
      <c r="E21" s="74">
        <v>0.94672499999999993</v>
      </c>
      <c r="G21" s="20">
        <f t="shared" si="2"/>
        <v>0</v>
      </c>
      <c r="H21" s="18"/>
      <c r="I21" s="73">
        <f t="shared" si="1"/>
        <v>0.58712153610792395</v>
      </c>
      <c r="J21" s="74"/>
      <c r="K21" s="73">
        <f t="shared" si="1"/>
        <v>0.9112215063265674</v>
      </c>
      <c r="M21" s="150"/>
      <c r="N21" s="150"/>
      <c r="O21" s="150"/>
      <c r="Q21" s="20">
        <f t="shared" si="3"/>
        <v>0</v>
      </c>
      <c r="R21" s="18"/>
      <c r="S21" s="20">
        <f t="shared" si="4"/>
        <v>0</v>
      </c>
      <c r="T21" s="18"/>
      <c r="U21" s="20">
        <f t="shared" si="5"/>
        <v>0</v>
      </c>
      <c r="V21" s="18"/>
      <c r="W21" s="20">
        <f t="shared" si="6"/>
        <v>0</v>
      </c>
      <c r="AE21" s="61">
        <f t="shared" si="0"/>
        <v>60</v>
      </c>
      <c r="AF21" s="144">
        <f>'Exhibit Q,3'!I31</f>
        <v>0.62004045851520007</v>
      </c>
      <c r="AG21" s="72"/>
      <c r="AH21" s="144">
        <f>'Exhibit Q,1'!I31</f>
        <v>0.92441048646916535</v>
      </c>
      <c r="AI21" s="61"/>
    </row>
    <row r="22" spans="1:35">
      <c r="A22" s="6">
        <f t="shared" si="7"/>
        <v>2017</v>
      </c>
      <c r="C22" s="20"/>
      <c r="E22" s="74">
        <v>0.94672499999999993</v>
      </c>
      <c r="G22" s="20">
        <f t="shared" si="2"/>
        <v>0</v>
      </c>
      <c r="H22" s="18"/>
      <c r="I22" s="73">
        <f t="shared" si="1"/>
        <v>0.39352735506640613</v>
      </c>
      <c r="J22" s="74"/>
      <c r="K22" s="73">
        <f t="shared" si="1"/>
        <v>0.81483710242804541</v>
      </c>
      <c r="M22" s="150"/>
      <c r="N22" s="150"/>
      <c r="O22" s="150"/>
      <c r="Q22" s="20">
        <f t="shared" si="3"/>
        <v>0</v>
      </c>
      <c r="R22" s="18"/>
      <c r="S22" s="20">
        <f t="shared" si="4"/>
        <v>0</v>
      </c>
      <c r="T22" s="18"/>
      <c r="U22" s="20">
        <f t="shared" si="5"/>
        <v>0</v>
      </c>
      <c r="V22" s="18"/>
      <c r="W22" s="20">
        <f t="shared" si="6"/>
        <v>0</v>
      </c>
      <c r="AE22" s="61">
        <f t="shared" si="0"/>
        <v>48</v>
      </c>
      <c r="AF22" s="144">
        <f>'Exhibit Q,3'!I32</f>
        <v>0.4225269240715428</v>
      </c>
      <c r="AG22" s="72"/>
      <c r="AH22" s="144">
        <f>'Exhibit Q,1'!I32</f>
        <v>0.8452766056135772</v>
      </c>
      <c r="AI22" s="61"/>
    </row>
    <row r="23" spans="1:35">
      <c r="A23" s="6">
        <f t="shared" si="7"/>
        <v>2018</v>
      </c>
      <c r="C23" s="20"/>
      <c r="E23" s="74">
        <v>0.91357500000000003</v>
      </c>
      <c r="G23" s="20">
        <f t="shared" si="2"/>
        <v>0</v>
      </c>
      <c r="H23" s="18"/>
      <c r="I23" s="73">
        <f t="shared" si="1"/>
        <v>0.22395062253663661</v>
      </c>
      <c r="J23" s="74"/>
      <c r="K23" s="73">
        <f t="shared" si="1"/>
        <v>0.61317000392132415</v>
      </c>
      <c r="M23" s="150"/>
      <c r="N23" s="150"/>
      <c r="O23" s="150"/>
      <c r="Q23" s="20">
        <f t="shared" si="3"/>
        <v>0</v>
      </c>
      <c r="R23" s="18"/>
      <c r="S23" s="20">
        <f t="shared" si="4"/>
        <v>0</v>
      </c>
      <c r="T23" s="18"/>
      <c r="U23" s="20">
        <f t="shared" si="5"/>
        <v>0</v>
      </c>
      <c r="V23" s="18"/>
      <c r="W23" s="20">
        <f t="shared" si="6"/>
        <v>0</v>
      </c>
      <c r="AE23" s="61">
        <f t="shared" si="0"/>
        <v>36</v>
      </c>
      <c r="AF23" s="144">
        <f>'Exhibit Q,3'!I33</f>
        <v>0.2485295100407226</v>
      </c>
      <c r="AG23" s="72"/>
      <c r="AH23" s="144">
        <f>'Exhibit Q,1'!I33</f>
        <v>0.66263958650038568</v>
      </c>
      <c r="AI23" s="61"/>
    </row>
    <row r="24" spans="1:35">
      <c r="A24" s="6">
        <f t="shared" si="7"/>
        <v>2019</v>
      </c>
      <c r="C24" s="20"/>
      <c r="E24" s="74">
        <v>0.87067499999999998</v>
      </c>
      <c r="G24" s="20">
        <f t="shared" si="2"/>
        <v>0</v>
      </c>
      <c r="H24" s="18"/>
      <c r="I24" s="73">
        <f t="shared" si="1"/>
        <v>8.6829008289949064E-2</v>
      </c>
      <c r="J24" s="74"/>
      <c r="K24" s="73">
        <f t="shared" si="1"/>
        <v>0.32704103828274222</v>
      </c>
      <c r="M24" s="150"/>
      <c r="N24" s="150"/>
      <c r="O24" s="150"/>
      <c r="Q24" s="20">
        <f t="shared" si="3"/>
        <v>0</v>
      </c>
      <c r="R24" s="18"/>
      <c r="S24" s="20">
        <f t="shared" si="4"/>
        <v>0</v>
      </c>
      <c r="T24" s="18"/>
      <c r="U24" s="20">
        <f t="shared" si="5"/>
        <v>0</v>
      </c>
      <c r="V24" s="18"/>
      <c r="W24" s="20">
        <f t="shared" si="6"/>
        <v>0</v>
      </c>
      <c r="AE24" s="61">
        <f>AE25+12</f>
        <v>24</v>
      </c>
      <c r="AF24" s="144">
        <f>'Exhibit Q,3'!I34</f>
        <v>0.10105618501620665</v>
      </c>
      <c r="AG24" s="72"/>
      <c r="AH24" s="144">
        <f>'Exhibit Q,1'!I34</f>
        <v>0.36582209102601632</v>
      </c>
      <c r="AI24" s="61"/>
    </row>
    <row r="25" spans="1:35">
      <c r="A25" s="6">
        <f t="shared" si="7"/>
        <v>2020</v>
      </c>
      <c r="C25" s="20"/>
      <c r="E25" s="74">
        <v>0.88783120046833897</v>
      </c>
      <c r="G25" s="20">
        <f t="shared" si="2"/>
        <v>0</v>
      </c>
      <c r="H25" s="18"/>
      <c r="I25" s="128">
        <f>AF25*(10/12)+AF26*(2/12)</f>
        <v>1.3077603882217608E-2</v>
      </c>
      <c r="J25" s="74"/>
      <c r="K25" s="128">
        <f>AH25*(10/12)+AH26*(2/12)</f>
        <v>0.1109464788053097</v>
      </c>
      <c r="M25" s="150"/>
      <c r="N25" s="150"/>
      <c r="O25" s="150"/>
      <c r="Q25" s="20">
        <f t="shared" si="3"/>
        <v>0</v>
      </c>
      <c r="R25" s="18"/>
      <c r="S25" s="20">
        <f t="shared" si="4"/>
        <v>0</v>
      </c>
      <c r="T25" s="18"/>
      <c r="U25" s="20">
        <f t="shared" si="5"/>
        <v>0</v>
      </c>
      <c r="V25" s="18"/>
      <c r="W25" s="20">
        <f t="shared" si="6"/>
        <v>0</v>
      </c>
      <c r="AE25" s="61">
        <v>12</v>
      </c>
      <c r="AF25" s="144">
        <f>'Exhibit Q,3'!I35</f>
        <v>1.5693124658661128E-2</v>
      </c>
      <c r="AG25" s="72"/>
      <c r="AH25" s="144">
        <f>'Exhibit Q,1'!I35</f>
        <v>0.13313577456637163</v>
      </c>
      <c r="AI25" s="61"/>
    </row>
    <row r="26" spans="1:35">
      <c r="A26" s="6"/>
      <c r="C26" s="63"/>
      <c r="G26" s="63"/>
      <c r="M26" s="63"/>
      <c r="O26" s="63"/>
      <c r="Q26" s="63"/>
      <c r="S26" s="63"/>
      <c r="U26" s="63"/>
      <c r="W26" s="63"/>
      <c r="AE26" s="149"/>
      <c r="AF26" s="61"/>
      <c r="AG26" s="72"/>
      <c r="AH26" s="61"/>
      <c r="AI26" s="61"/>
    </row>
    <row r="27" spans="1:35">
      <c r="A27" s="2" t="s">
        <v>0</v>
      </c>
      <c r="C27" s="26">
        <f>SUM(C17:C26)</f>
        <v>0</v>
      </c>
      <c r="G27" s="26">
        <f>SUM(G17:G26)</f>
        <v>0</v>
      </c>
      <c r="H27" s="26"/>
      <c r="M27" s="26">
        <f>SUM(M17:M26)</f>
        <v>0</v>
      </c>
      <c r="N27" s="26"/>
      <c r="O27" s="26">
        <f>SUM(O17:O26)</f>
        <v>0</v>
      </c>
      <c r="Q27" s="26">
        <f>SUM(Q17:Q26)</f>
        <v>0</v>
      </c>
      <c r="R27" s="26"/>
      <c r="S27" s="26">
        <f>SUM(S17:S26)</f>
        <v>0</v>
      </c>
      <c r="U27" s="26">
        <f>SUM(U17:U26)</f>
        <v>0</v>
      </c>
      <c r="W27" s="26">
        <f>SUM(W17:W26)</f>
        <v>0</v>
      </c>
    </row>
    <row r="28" spans="1:35">
      <c r="A28" s="6"/>
    </row>
    <row r="29" spans="1:35">
      <c r="A29" s="26" t="s">
        <v>393</v>
      </c>
    </row>
    <row r="30" spans="1:35">
      <c r="A30" s="6">
        <f>2012</f>
        <v>2012</v>
      </c>
      <c r="C30" s="26">
        <f>'AF21'!I30</f>
        <v>0</v>
      </c>
      <c r="E30" s="74">
        <v>0</v>
      </c>
      <c r="G30" s="26">
        <f>C30*E30</f>
        <v>0</v>
      </c>
      <c r="H30" s="26"/>
      <c r="I30" s="128">
        <f>AF16*(10/12)+AF17*(2/12)</f>
        <v>0.98715327528992525</v>
      </c>
      <c r="J30" s="73"/>
      <c r="K30" s="128">
        <f>AH16*(10/12)+AH17*(2/12)</f>
        <v>1</v>
      </c>
      <c r="M30" s="26">
        <v>0</v>
      </c>
      <c r="N30" s="26"/>
      <c r="O30" s="26">
        <v>0</v>
      </c>
      <c r="Q30" s="19">
        <f>G30*(1-I30)+M30</f>
        <v>0</v>
      </c>
      <c r="R30" s="19"/>
      <c r="S30" s="19">
        <f>MAX(M30,G30*(1-K30)+O30)</f>
        <v>0</v>
      </c>
      <c r="T30" s="19"/>
      <c r="U30" s="26">
        <f>S30</f>
        <v>0</v>
      </c>
      <c r="W30" s="26">
        <f>U30-M30</f>
        <v>0</v>
      </c>
    </row>
    <row r="31" spans="1:35">
      <c r="A31" s="6">
        <f>A30+1</f>
        <v>2013</v>
      </c>
      <c r="C31" s="20">
        <f>'AF21'!I31</f>
        <v>0</v>
      </c>
      <c r="D31" s="26"/>
      <c r="E31" s="74">
        <v>0</v>
      </c>
      <c r="G31" s="20">
        <f t="shared" ref="G31:G38" si="8">C31*E31</f>
        <v>0</v>
      </c>
      <c r="H31" s="18"/>
      <c r="I31" s="74">
        <f t="shared" ref="I31:I37" si="9">I17</f>
        <v>0.97892499125776566</v>
      </c>
      <c r="J31" s="74"/>
      <c r="K31" s="74">
        <f t="shared" ref="K31:K37" si="10">K17</f>
        <v>0.99962183718371844</v>
      </c>
      <c r="M31" s="18">
        <v>0</v>
      </c>
      <c r="N31" s="18"/>
      <c r="O31" s="18">
        <v>0</v>
      </c>
      <c r="Q31" s="20">
        <f t="shared" ref="Q31:Q38" si="11">G31*(1-I31)+M31</f>
        <v>0</v>
      </c>
      <c r="R31" s="18"/>
      <c r="S31" s="20">
        <f t="shared" ref="S31:S38" si="12">MAX(M31,G31*(1-K31)+O31)</f>
        <v>0</v>
      </c>
      <c r="T31" s="18"/>
      <c r="U31" s="20">
        <f t="shared" ref="U31:U38" si="13">S31</f>
        <v>0</v>
      </c>
      <c r="V31" s="18"/>
      <c r="W31" s="20">
        <f t="shared" ref="W31:W38" si="14">U31-M31</f>
        <v>0</v>
      </c>
    </row>
    <row r="32" spans="1:35">
      <c r="A32" s="6">
        <f t="shared" ref="A32:A38" si="15">A31+1</f>
        <v>2014</v>
      </c>
      <c r="C32" s="20">
        <f>'AF21'!I32</f>
        <v>0</v>
      </c>
      <c r="E32" s="74">
        <v>0</v>
      </c>
      <c r="G32" s="20">
        <f t="shared" si="8"/>
        <v>0</v>
      </c>
      <c r="H32" s="18"/>
      <c r="I32" s="74">
        <f t="shared" si="9"/>
        <v>0.95159470193907592</v>
      </c>
      <c r="J32" s="74"/>
      <c r="K32" s="74">
        <f t="shared" si="10"/>
        <v>0.99593002564759925</v>
      </c>
      <c r="M32" s="18">
        <v>0</v>
      </c>
      <c r="N32" s="18"/>
      <c r="O32" s="18">
        <v>0</v>
      </c>
      <c r="Q32" s="20">
        <f t="shared" si="11"/>
        <v>0</v>
      </c>
      <c r="R32" s="18"/>
      <c r="S32" s="20">
        <f t="shared" si="12"/>
        <v>0</v>
      </c>
      <c r="T32" s="18"/>
      <c r="U32" s="20">
        <f t="shared" si="13"/>
        <v>0</v>
      </c>
      <c r="V32" s="18"/>
      <c r="W32" s="20">
        <f t="shared" si="14"/>
        <v>0</v>
      </c>
    </row>
    <row r="33" spans="1:23">
      <c r="A33" s="6">
        <f t="shared" si="15"/>
        <v>2015</v>
      </c>
      <c r="C33" s="20">
        <f>'AF21'!I33</f>
        <v>0</v>
      </c>
      <c r="E33" s="74">
        <v>0</v>
      </c>
      <c r="G33" s="20">
        <f t="shared" si="8"/>
        <v>0</v>
      </c>
      <c r="H33" s="18"/>
      <c r="I33" s="74">
        <f t="shared" si="9"/>
        <v>0.87838223439609786</v>
      </c>
      <c r="J33" s="74"/>
      <c r="K33" s="74">
        <f t="shared" si="10"/>
        <v>0.98343788528501141</v>
      </c>
      <c r="M33" s="18">
        <v>0</v>
      </c>
      <c r="N33" s="18"/>
      <c r="O33" s="18">
        <v>0</v>
      </c>
      <c r="Q33" s="20">
        <f t="shared" si="11"/>
        <v>0</v>
      </c>
      <c r="R33" s="18"/>
      <c r="S33" s="20">
        <f t="shared" si="12"/>
        <v>0</v>
      </c>
      <c r="T33" s="18"/>
      <c r="U33" s="20">
        <f t="shared" si="13"/>
        <v>0</v>
      </c>
      <c r="V33" s="18"/>
      <c r="W33" s="20">
        <f t="shared" si="14"/>
        <v>0</v>
      </c>
    </row>
    <row r="34" spans="1:23">
      <c r="A34" s="6">
        <f t="shared" si="15"/>
        <v>2016</v>
      </c>
      <c r="C34" s="20">
        <f>'AF21'!I34</f>
        <v>0</v>
      </c>
      <c r="E34" s="74">
        <v>0</v>
      </c>
      <c r="G34" s="20">
        <f t="shared" si="8"/>
        <v>0</v>
      </c>
      <c r="H34" s="18"/>
      <c r="I34" s="74">
        <f t="shared" si="9"/>
        <v>0.75504559224831969</v>
      </c>
      <c r="J34" s="74"/>
      <c r="K34" s="74">
        <f t="shared" si="10"/>
        <v>0.95907018094473484</v>
      </c>
      <c r="M34" s="18">
        <v>0</v>
      </c>
      <c r="N34" s="18"/>
      <c r="O34" s="18">
        <v>0</v>
      </c>
      <c r="Q34" s="20">
        <f t="shared" si="11"/>
        <v>0</v>
      </c>
      <c r="R34" s="18"/>
      <c r="S34" s="20">
        <f t="shared" si="12"/>
        <v>0</v>
      </c>
      <c r="T34" s="18"/>
      <c r="U34" s="20">
        <f t="shared" si="13"/>
        <v>0</v>
      </c>
      <c r="V34" s="18"/>
      <c r="W34" s="20">
        <f t="shared" si="14"/>
        <v>0</v>
      </c>
    </row>
    <row r="35" spans="1:23">
      <c r="A35" s="6">
        <f t="shared" si="15"/>
        <v>2017</v>
      </c>
      <c r="C35" s="20">
        <f>'AF21'!I35</f>
        <v>0</v>
      </c>
      <c r="E35" s="74">
        <v>0</v>
      </c>
      <c r="G35" s="20">
        <f t="shared" si="8"/>
        <v>0</v>
      </c>
      <c r="H35" s="18"/>
      <c r="I35" s="74">
        <f t="shared" si="9"/>
        <v>0.58712153610792395</v>
      </c>
      <c r="J35" s="74"/>
      <c r="K35" s="74">
        <f t="shared" si="10"/>
        <v>0.9112215063265674</v>
      </c>
      <c r="M35" s="18">
        <v>0</v>
      </c>
      <c r="N35" s="18"/>
      <c r="O35" s="18">
        <v>0</v>
      </c>
      <c r="Q35" s="20">
        <f t="shared" si="11"/>
        <v>0</v>
      </c>
      <c r="R35" s="18"/>
      <c r="S35" s="20">
        <f t="shared" si="12"/>
        <v>0</v>
      </c>
      <c r="T35" s="18"/>
      <c r="U35" s="20">
        <f t="shared" si="13"/>
        <v>0</v>
      </c>
      <c r="V35" s="18"/>
      <c r="W35" s="20">
        <f t="shared" si="14"/>
        <v>0</v>
      </c>
    </row>
    <row r="36" spans="1:23">
      <c r="A36" s="6">
        <f t="shared" si="15"/>
        <v>2018</v>
      </c>
      <c r="C36" s="20">
        <f>'AF21'!I36</f>
        <v>0</v>
      </c>
      <c r="E36" s="74">
        <v>0</v>
      </c>
      <c r="G36" s="20">
        <f t="shared" si="8"/>
        <v>0</v>
      </c>
      <c r="H36" s="18"/>
      <c r="I36" s="74">
        <f t="shared" si="9"/>
        <v>0.39352735506640613</v>
      </c>
      <c r="J36" s="74"/>
      <c r="K36" s="74">
        <f t="shared" si="10"/>
        <v>0.81483710242804541</v>
      </c>
      <c r="M36" s="18">
        <v>0</v>
      </c>
      <c r="N36" s="18"/>
      <c r="O36" s="18">
        <v>0</v>
      </c>
      <c r="Q36" s="20">
        <f t="shared" si="11"/>
        <v>0</v>
      </c>
      <c r="R36" s="18"/>
      <c r="S36" s="20">
        <f t="shared" si="12"/>
        <v>0</v>
      </c>
      <c r="T36" s="18"/>
      <c r="U36" s="20">
        <f t="shared" si="13"/>
        <v>0</v>
      </c>
      <c r="V36" s="18"/>
      <c r="W36" s="20">
        <f t="shared" si="14"/>
        <v>0</v>
      </c>
    </row>
    <row r="37" spans="1:23">
      <c r="A37" s="6">
        <f t="shared" si="15"/>
        <v>2019</v>
      </c>
      <c r="C37" s="20">
        <f>'AF21'!I37</f>
        <v>0</v>
      </c>
      <c r="E37" s="74">
        <v>0</v>
      </c>
      <c r="G37" s="20">
        <f t="shared" si="8"/>
        <v>0</v>
      </c>
      <c r="H37" s="18"/>
      <c r="I37" s="74">
        <f t="shared" si="9"/>
        <v>0.22395062253663661</v>
      </c>
      <c r="J37" s="74"/>
      <c r="K37" s="74">
        <f t="shared" si="10"/>
        <v>0.61317000392132415</v>
      </c>
      <c r="M37" s="18">
        <v>0</v>
      </c>
      <c r="N37" s="18"/>
      <c r="O37" s="18">
        <v>0</v>
      </c>
      <c r="Q37" s="20">
        <f t="shared" si="11"/>
        <v>0</v>
      </c>
      <c r="R37" s="18"/>
      <c r="S37" s="20">
        <f t="shared" si="12"/>
        <v>0</v>
      </c>
      <c r="T37" s="18"/>
      <c r="U37" s="20">
        <f t="shared" si="13"/>
        <v>0</v>
      </c>
      <c r="V37" s="18"/>
      <c r="W37" s="20">
        <f t="shared" si="14"/>
        <v>0</v>
      </c>
    </row>
    <row r="38" spans="1:23">
      <c r="A38" s="6">
        <f t="shared" si="15"/>
        <v>2020</v>
      </c>
      <c r="C38" s="20">
        <f>'AF21'!I38</f>
        <v>0</v>
      </c>
      <c r="E38" s="74">
        <v>0</v>
      </c>
      <c r="G38" s="20">
        <f t="shared" si="8"/>
        <v>0</v>
      </c>
      <c r="H38" s="18"/>
      <c r="I38" s="74">
        <f>I24</f>
        <v>8.6829008289949064E-2</v>
      </c>
      <c r="J38" s="74"/>
      <c r="K38" s="74">
        <f>K24</f>
        <v>0.32704103828274222</v>
      </c>
      <c r="M38" s="18">
        <v>0</v>
      </c>
      <c r="N38" s="18"/>
      <c r="O38" s="18">
        <v>0</v>
      </c>
      <c r="Q38" s="20">
        <f t="shared" si="11"/>
        <v>0</v>
      </c>
      <c r="R38" s="18"/>
      <c r="S38" s="20">
        <f t="shared" si="12"/>
        <v>0</v>
      </c>
      <c r="T38" s="18"/>
      <c r="U38" s="20">
        <f t="shared" si="13"/>
        <v>0</v>
      </c>
      <c r="V38" s="18"/>
      <c r="W38" s="20">
        <f t="shared" si="14"/>
        <v>0</v>
      </c>
    </row>
    <row r="39" spans="1:23">
      <c r="A39" s="6"/>
      <c r="C39" s="63"/>
      <c r="G39" s="63"/>
      <c r="M39" s="63"/>
      <c r="O39" s="63"/>
      <c r="Q39" s="63"/>
      <c r="S39" s="63"/>
      <c r="U39" s="63"/>
      <c r="W39" s="63"/>
    </row>
    <row r="40" spans="1:23">
      <c r="A40" s="2" t="s">
        <v>0</v>
      </c>
      <c r="C40" s="26">
        <f>SUM(C30:C39)</f>
        <v>0</v>
      </c>
      <c r="G40" s="26">
        <f>SUM(G30:G39)</f>
        <v>0</v>
      </c>
      <c r="H40" s="26"/>
      <c r="M40" s="26">
        <f>SUM(M30:M39)</f>
        <v>0</v>
      </c>
      <c r="N40" s="26"/>
      <c r="O40" s="26">
        <f>SUM(O30:O39)</f>
        <v>0</v>
      </c>
      <c r="Q40" s="26">
        <f>SUM(Q30:Q39)</f>
        <v>0</v>
      </c>
      <c r="R40" s="26"/>
      <c r="S40" s="26">
        <f>SUM(S30:S39)</f>
        <v>0</v>
      </c>
      <c r="U40" s="26">
        <f>SUM(U30:U39)</f>
        <v>0</v>
      </c>
      <c r="W40" s="26">
        <f>SUM(W30:W39)</f>
        <v>0</v>
      </c>
    </row>
    <row r="41" spans="1:23">
      <c r="A41" s="6"/>
      <c r="F41" s="26"/>
    </row>
    <row r="42" spans="1:23">
      <c r="A42" s="26" t="s">
        <v>296</v>
      </c>
    </row>
    <row r="43" spans="1:23">
      <c r="A43" s="6">
        <f>2012</f>
        <v>2012</v>
      </c>
      <c r="G43" s="26">
        <f>C43*E43</f>
        <v>0</v>
      </c>
      <c r="H43" s="26"/>
      <c r="I43" s="74">
        <f>I30</f>
        <v>0.98715327528992525</v>
      </c>
      <c r="J43" s="74"/>
      <c r="K43" s="74">
        <f>K30</f>
        <v>1</v>
      </c>
      <c r="M43" s="26">
        <v>0</v>
      </c>
      <c r="N43" s="26"/>
      <c r="O43" s="26">
        <v>0</v>
      </c>
      <c r="Q43" s="19">
        <f>G43*(1-I43)+M43</f>
        <v>0</v>
      </c>
      <c r="R43" s="19"/>
      <c r="S43" s="19">
        <f>MAX(M43,G43*(1-K43)+O43)</f>
        <v>0</v>
      </c>
      <c r="T43" s="19"/>
      <c r="U43" s="26">
        <f>S43</f>
        <v>0</v>
      </c>
      <c r="W43" s="26">
        <f>U43-M43</f>
        <v>0</v>
      </c>
    </row>
    <row r="44" spans="1:23">
      <c r="A44" s="6">
        <f>A43+1</f>
        <v>2013</v>
      </c>
      <c r="G44" s="20">
        <f t="shared" ref="G44:G51" si="16">C44*E44</f>
        <v>0</v>
      </c>
      <c r="H44" s="18"/>
      <c r="I44" s="74">
        <f t="shared" ref="I44:I51" si="17">I31</f>
        <v>0.97892499125776566</v>
      </c>
      <c r="J44" s="74"/>
      <c r="K44" s="74">
        <f t="shared" ref="K44:K51" si="18">K31</f>
        <v>0.99962183718371844</v>
      </c>
      <c r="M44" s="18">
        <v>0</v>
      </c>
      <c r="N44" s="18"/>
      <c r="O44" s="18">
        <v>0</v>
      </c>
      <c r="Q44" s="20">
        <f t="shared" ref="Q44:Q51" si="19">G44*(1-I44)+M44</f>
        <v>0</v>
      </c>
      <c r="R44" s="18"/>
      <c r="S44" s="20">
        <f t="shared" ref="S44:S51" si="20">MAX(M44,G44*(1-K44)+O44)</f>
        <v>0</v>
      </c>
      <c r="T44" s="18"/>
      <c r="U44" s="20">
        <f t="shared" ref="U44:U51" si="21">S44</f>
        <v>0</v>
      </c>
      <c r="V44" s="18"/>
      <c r="W44" s="20">
        <f t="shared" ref="W44:W51" si="22">U44-M44</f>
        <v>0</v>
      </c>
    </row>
    <row r="45" spans="1:23">
      <c r="A45" s="6">
        <f t="shared" ref="A45:A51" si="23">A44+1</f>
        <v>2014</v>
      </c>
      <c r="G45" s="20">
        <f t="shared" si="16"/>
        <v>0</v>
      </c>
      <c r="H45" s="18"/>
      <c r="I45" s="74">
        <f t="shared" si="17"/>
        <v>0.95159470193907592</v>
      </c>
      <c r="J45" s="74"/>
      <c r="K45" s="74">
        <f t="shared" si="18"/>
        <v>0.99593002564759925</v>
      </c>
      <c r="M45" s="18">
        <v>0</v>
      </c>
      <c r="N45" s="18"/>
      <c r="O45" s="18">
        <v>0</v>
      </c>
      <c r="Q45" s="20">
        <f t="shared" si="19"/>
        <v>0</v>
      </c>
      <c r="R45" s="18"/>
      <c r="S45" s="20">
        <f t="shared" si="20"/>
        <v>0</v>
      </c>
      <c r="T45" s="18"/>
      <c r="U45" s="20">
        <f t="shared" si="21"/>
        <v>0</v>
      </c>
      <c r="V45" s="18"/>
      <c r="W45" s="20">
        <f t="shared" si="22"/>
        <v>0</v>
      </c>
    </row>
    <row r="46" spans="1:23">
      <c r="A46" s="6">
        <f t="shared" si="23"/>
        <v>2015</v>
      </c>
      <c r="G46" s="20">
        <f t="shared" si="16"/>
        <v>0</v>
      </c>
      <c r="H46" s="18"/>
      <c r="I46" s="74">
        <f t="shared" si="17"/>
        <v>0.87838223439609786</v>
      </c>
      <c r="J46" s="74"/>
      <c r="K46" s="74">
        <f t="shared" si="18"/>
        <v>0.98343788528501141</v>
      </c>
      <c r="M46" s="18">
        <v>0</v>
      </c>
      <c r="N46" s="18"/>
      <c r="O46" s="18">
        <v>0</v>
      </c>
      <c r="Q46" s="20">
        <f t="shared" si="19"/>
        <v>0</v>
      </c>
      <c r="R46" s="18"/>
      <c r="S46" s="20">
        <f t="shared" si="20"/>
        <v>0</v>
      </c>
      <c r="T46" s="18"/>
      <c r="U46" s="20">
        <f t="shared" si="21"/>
        <v>0</v>
      </c>
      <c r="V46" s="18"/>
      <c r="W46" s="20">
        <f t="shared" si="22"/>
        <v>0</v>
      </c>
    </row>
    <row r="47" spans="1:23">
      <c r="A47" s="6">
        <f t="shared" si="23"/>
        <v>2016</v>
      </c>
      <c r="G47" s="20">
        <f t="shared" si="16"/>
        <v>0</v>
      </c>
      <c r="H47" s="18"/>
      <c r="I47" s="74">
        <f t="shared" si="17"/>
        <v>0.75504559224831969</v>
      </c>
      <c r="J47" s="74"/>
      <c r="K47" s="74">
        <f t="shared" si="18"/>
        <v>0.95907018094473484</v>
      </c>
      <c r="M47" s="18">
        <v>0</v>
      </c>
      <c r="N47" s="18"/>
      <c r="O47" s="18">
        <v>0</v>
      </c>
      <c r="Q47" s="20">
        <f t="shared" si="19"/>
        <v>0</v>
      </c>
      <c r="R47" s="18"/>
      <c r="S47" s="20">
        <f t="shared" si="20"/>
        <v>0</v>
      </c>
      <c r="T47" s="18"/>
      <c r="U47" s="20">
        <f t="shared" si="21"/>
        <v>0</v>
      </c>
      <c r="V47" s="18"/>
      <c r="W47" s="20">
        <f t="shared" si="22"/>
        <v>0</v>
      </c>
    </row>
    <row r="48" spans="1:23">
      <c r="A48" s="6">
        <f t="shared" si="23"/>
        <v>2017</v>
      </c>
      <c r="G48" s="20">
        <f t="shared" si="16"/>
        <v>0</v>
      </c>
      <c r="H48" s="18"/>
      <c r="I48" s="74">
        <f t="shared" si="17"/>
        <v>0.58712153610792395</v>
      </c>
      <c r="J48" s="74"/>
      <c r="K48" s="74">
        <f t="shared" si="18"/>
        <v>0.9112215063265674</v>
      </c>
      <c r="M48" s="18">
        <v>0</v>
      </c>
      <c r="N48" s="18"/>
      <c r="O48" s="18">
        <v>0</v>
      </c>
      <c r="Q48" s="20">
        <f t="shared" si="19"/>
        <v>0</v>
      </c>
      <c r="R48" s="18"/>
      <c r="S48" s="20">
        <f t="shared" si="20"/>
        <v>0</v>
      </c>
      <c r="T48" s="18"/>
      <c r="U48" s="20">
        <f t="shared" si="21"/>
        <v>0</v>
      </c>
      <c r="V48" s="18"/>
      <c r="W48" s="20">
        <f t="shared" si="22"/>
        <v>0</v>
      </c>
    </row>
    <row r="49" spans="1:25">
      <c r="A49" s="6">
        <f t="shared" si="23"/>
        <v>2018</v>
      </c>
      <c r="G49" s="20">
        <f t="shared" si="16"/>
        <v>0</v>
      </c>
      <c r="H49" s="18"/>
      <c r="I49" s="74">
        <f t="shared" si="17"/>
        <v>0.39352735506640613</v>
      </c>
      <c r="J49" s="74"/>
      <c r="K49" s="74">
        <f t="shared" si="18"/>
        <v>0.81483710242804541</v>
      </c>
      <c r="M49" s="18">
        <v>0</v>
      </c>
      <c r="N49" s="18"/>
      <c r="O49" s="18">
        <v>0</v>
      </c>
      <c r="Q49" s="20">
        <f t="shared" si="19"/>
        <v>0</v>
      </c>
      <c r="R49" s="18"/>
      <c r="S49" s="20">
        <f t="shared" si="20"/>
        <v>0</v>
      </c>
      <c r="T49" s="18"/>
      <c r="U49" s="20">
        <f t="shared" si="21"/>
        <v>0</v>
      </c>
      <c r="V49" s="18"/>
      <c r="W49" s="20">
        <f t="shared" si="22"/>
        <v>0</v>
      </c>
    </row>
    <row r="50" spans="1:25">
      <c r="A50" s="6">
        <f t="shared" si="23"/>
        <v>2019</v>
      </c>
      <c r="G50" s="20">
        <f t="shared" si="16"/>
        <v>0</v>
      </c>
      <c r="H50" s="18"/>
      <c r="I50" s="74">
        <f t="shared" si="17"/>
        <v>0.22395062253663661</v>
      </c>
      <c r="J50" s="74"/>
      <c r="K50" s="74">
        <f t="shared" si="18"/>
        <v>0.61317000392132415</v>
      </c>
      <c r="M50" s="18">
        <v>0</v>
      </c>
      <c r="N50" s="18"/>
      <c r="O50" s="18">
        <v>0</v>
      </c>
      <c r="Q50" s="20">
        <f t="shared" si="19"/>
        <v>0</v>
      </c>
      <c r="R50" s="18"/>
      <c r="S50" s="20">
        <f t="shared" si="20"/>
        <v>0</v>
      </c>
      <c r="T50" s="18"/>
      <c r="U50" s="20">
        <f t="shared" si="21"/>
        <v>0</v>
      </c>
      <c r="V50" s="18"/>
      <c r="W50" s="20">
        <f t="shared" si="22"/>
        <v>0</v>
      </c>
    </row>
    <row r="51" spans="1:25">
      <c r="A51" s="6">
        <f t="shared" si="23"/>
        <v>2020</v>
      </c>
      <c r="G51" s="20">
        <f t="shared" si="16"/>
        <v>0</v>
      </c>
      <c r="H51" s="18"/>
      <c r="I51" s="74">
        <f t="shared" si="17"/>
        <v>8.6829008289949064E-2</v>
      </c>
      <c r="J51" s="74"/>
      <c r="K51" s="74">
        <f t="shared" si="18"/>
        <v>0.32704103828274222</v>
      </c>
      <c r="M51" s="18">
        <v>0</v>
      </c>
      <c r="N51" s="18"/>
      <c r="O51" s="18">
        <v>0</v>
      </c>
      <c r="Q51" s="20">
        <f t="shared" si="19"/>
        <v>0</v>
      </c>
      <c r="R51" s="18"/>
      <c r="S51" s="20">
        <f t="shared" si="20"/>
        <v>0</v>
      </c>
      <c r="T51" s="18"/>
      <c r="U51" s="20">
        <f t="shared" si="21"/>
        <v>0</v>
      </c>
      <c r="V51" s="18"/>
      <c r="W51" s="20">
        <f t="shared" si="22"/>
        <v>0</v>
      </c>
    </row>
    <row r="52" spans="1:25">
      <c r="A52" s="6"/>
      <c r="G52" s="63"/>
      <c r="M52" s="63"/>
      <c r="O52" s="63"/>
      <c r="Q52" s="63"/>
      <c r="S52" s="63"/>
      <c r="U52" s="63"/>
      <c r="W52" s="63"/>
    </row>
    <row r="53" spans="1:25">
      <c r="A53" s="2" t="s">
        <v>0</v>
      </c>
      <c r="G53" s="26">
        <f>SUM(G43:G52)</f>
        <v>0</v>
      </c>
      <c r="H53" s="26"/>
      <c r="M53" s="26">
        <f>SUM(M43:M52)</f>
        <v>0</v>
      </c>
      <c r="N53" s="26"/>
      <c r="O53" s="26">
        <f>SUM(O43:O52)</f>
        <v>0</v>
      </c>
      <c r="Q53" s="26">
        <f>SUM(Q43:Q52)</f>
        <v>0</v>
      </c>
      <c r="R53" s="26"/>
      <c r="S53" s="26">
        <f>SUM(S43:S52)</f>
        <v>0</v>
      </c>
      <c r="U53" s="26">
        <f>SUM(U43:U52)</f>
        <v>0</v>
      </c>
      <c r="W53" s="26">
        <f>SUM(W43:W52)</f>
        <v>0</v>
      </c>
    </row>
    <row r="55" spans="1:25">
      <c r="A55" s="26" t="s">
        <v>297</v>
      </c>
    </row>
    <row r="56" spans="1:25">
      <c r="A56" s="6">
        <f>2012</f>
        <v>2012</v>
      </c>
      <c r="C56" s="26">
        <f>C17+C30+C43</f>
        <v>0</v>
      </c>
      <c r="G56" s="26">
        <f>G17+G30+G43</f>
        <v>0</v>
      </c>
      <c r="I56" s="26"/>
      <c r="J56" s="26"/>
      <c r="K56" s="26"/>
      <c r="L56" s="26"/>
      <c r="M56" s="26">
        <f t="shared" ref="M56:M64" si="24">M17+M30+M43</f>
        <v>0</v>
      </c>
      <c r="N56" s="26"/>
      <c r="O56" s="26">
        <f>O17+O30+O43</f>
        <v>0</v>
      </c>
      <c r="Q56" s="26">
        <f>Q17+Q30+Q43</f>
        <v>0</v>
      </c>
      <c r="R56" s="26"/>
      <c r="S56" s="26">
        <f>S17+S30+S43</f>
        <v>0</v>
      </c>
      <c r="T56" s="26"/>
      <c r="U56" s="26">
        <f>U17+U30+U43</f>
        <v>0</v>
      </c>
      <c r="W56" s="26">
        <f>W17+W30+W43</f>
        <v>0</v>
      </c>
      <c r="Y56" s="26"/>
    </row>
    <row r="57" spans="1:25">
      <c r="A57" s="6">
        <f>A56+1</f>
        <v>2013</v>
      </c>
      <c r="C57" s="20">
        <f t="shared" ref="C57:C64" si="25">C18+C31+C44</f>
        <v>0</v>
      </c>
      <c r="D57" s="26"/>
      <c r="G57" s="20">
        <f t="shared" ref="G57:G64" si="26">G18+G31+G44</f>
        <v>0</v>
      </c>
      <c r="I57" s="20"/>
      <c r="J57" s="18"/>
      <c r="K57" s="18"/>
      <c r="L57" s="18"/>
      <c r="M57" s="20">
        <f t="shared" si="24"/>
        <v>0</v>
      </c>
      <c r="N57" s="18"/>
      <c r="O57" s="20">
        <f t="shared" ref="O57:Q64" si="27">O18+O31+O44</f>
        <v>0</v>
      </c>
      <c r="Q57" s="20">
        <f t="shared" si="27"/>
        <v>0</v>
      </c>
      <c r="R57" s="18"/>
      <c r="S57" s="20">
        <f t="shared" ref="S57:U64" si="28">S18+S31+S44</f>
        <v>0</v>
      </c>
      <c r="T57" s="18"/>
      <c r="U57" s="20">
        <f t="shared" si="28"/>
        <v>0</v>
      </c>
      <c r="V57" s="18"/>
      <c r="W57" s="20">
        <f t="shared" ref="W57:W64" si="29">W18+W31+W44</f>
        <v>0</v>
      </c>
      <c r="X57" s="18"/>
      <c r="Y57" s="20"/>
    </row>
    <row r="58" spans="1:25">
      <c r="A58" s="6">
        <f t="shared" ref="A58:A64" si="30">A57+1</f>
        <v>2014</v>
      </c>
      <c r="C58" s="20">
        <f t="shared" si="25"/>
        <v>0</v>
      </c>
      <c r="G58" s="20">
        <f t="shared" si="26"/>
        <v>0</v>
      </c>
      <c r="I58" s="20"/>
      <c r="J58" s="18"/>
      <c r="K58" s="18"/>
      <c r="L58" s="18"/>
      <c r="M58" s="20">
        <f t="shared" si="24"/>
        <v>0</v>
      </c>
      <c r="N58" s="18"/>
      <c r="O58" s="20">
        <f t="shared" si="27"/>
        <v>0</v>
      </c>
      <c r="Q58" s="20">
        <f t="shared" si="27"/>
        <v>0</v>
      </c>
      <c r="R58" s="18"/>
      <c r="S58" s="20">
        <f t="shared" si="28"/>
        <v>0</v>
      </c>
      <c r="T58" s="18"/>
      <c r="U58" s="20">
        <f t="shared" si="28"/>
        <v>0</v>
      </c>
      <c r="V58" s="18"/>
      <c r="W58" s="20">
        <f t="shared" si="29"/>
        <v>0</v>
      </c>
      <c r="X58" s="18"/>
      <c r="Y58" s="20"/>
    </row>
    <row r="59" spans="1:25">
      <c r="A59" s="6">
        <f t="shared" si="30"/>
        <v>2015</v>
      </c>
      <c r="C59" s="20">
        <f t="shared" si="25"/>
        <v>0</v>
      </c>
      <c r="G59" s="20">
        <f t="shared" si="26"/>
        <v>0</v>
      </c>
      <c r="I59" s="20"/>
      <c r="J59" s="18"/>
      <c r="K59" s="18"/>
      <c r="L59" s="18"/>
      <c r="M59" s="20">
        <f t="shared" si="24"/>
        <v>0</v>
      </c>
      <c r="N59" s="18"/>
      <c r="O59" s="20">
        <f t="shared" si="27"/>
        <v>0</v>
      </c>
      <c r="Q59" s="20">
        <f t="shared" si="27"/>
        <v>0</v>
      </c>
      <c r="R59" s="18"/>
      <c r="S59" s="20">
        <f t="shared" si="28"/>
        <v>0</v>
      </c>
      <c r="T59" s="18"/>
      <c r="U59" s="20">
        <f t="shared" si="28"/>
        <v>0</v>
      </c>
      <c r="V59" s="18"/>
      <c r="W59" s="20">
        <f t="shared" si="29"/>
        <v>0</v>
      </c>
      <c r="X59" s="18"/>
      <c r="Y59" s="20"/>
    </row>
    <row r="60" spans="1:25">
      <c r="A60" s="6">
        <f t="shared" si="30"/>
        <v>2016</v>
      </c>
      <c r="C60" s="20">
        <f t="shared" si="25"/>
        <v>0</v>
      </c>
      <c r="G60" s="20">
        <f t="shared" si="26"/>
        <v>0</v>
      </c>
      <c r="I60" s="20"/>
      <c r="J60" s="18"/>
      <c r="K60" s="18"/>
      <c r="L60" s="18"/>
      <c r="M60" s="20">
        <f t="shared" si="24"/>
        <v>0</v>
      </c>
      <c r="N60" s="18"/>
      <c r="O60" s="20">
        <f t="shared" si="27"/>
        <v>0</v>
      </c>
      <c r="Q60" s="20">
        <f t="shared" si="27"/>
        <v>0</v>
      </c>
      <c r="R60" s="18"/>
      <c r="S60" s="20">
        <f t="shared" si="28"/>
        <v>0</v>
      </c>
      <c r="T60" s="18"/>
      <c r="U60" s="20">
        <f t="shared" si="28"/>
        <v>0</v>
      </c>
      <c r="V60" s="18"/>
      <c r="W60" s="20">
        <f t="shared" si="29"/>
        <v>0</v>
      </c>
      <c r="X60" s="18"/>
      <c r="Y60" s="20"/>
    </row>
    <row r="61" spans="1:25">
      <c r="A61" s="6">
        <f t="shared" si="30"/>
        <v>2017</v>
      </c>
      <c r="C61" s="20">
        <f t="shared" si="25"/>
        <v>0</v>
      </c>
      <c r="G61" s="20">
        <f t="shared" si="26"/>
        <v>0</v>
      </c>
      <c r="I61" s="20"/>
      <c r="J61" s="18"/>
      <c r="K61" s="18"/>
      <c r="L61" s="18"/>
      <c r="M61" s="20">
        <f t="shared" si="24"/>
        <v>0</v>
      </c>
      <c r="N61" s="18"/>
      <c r="O61" s="20">
        <f t="shared" si="27"/>
        <v>0</v>
      </c>
      <c r="Q61" s="20">
        <f t="shared" si="27"/>
        <v>0</v>
      </c>
      <c r="R61" s="18"/>
      <c r="S61" s="20">
        <f t="shared" si="28"/>
        <v>0</v>
      </c>
      <c r="T61" s="18"/>
      <c r="U61" s="20">
        <f t="shared" si="28"/>
        <v>0</v>
      </c>
      <c r="V61" s="18"/>
      <c r="W61" s="20">
        <f t="shared" si="29"/>
        <v>0</v>
      </c>
      <c r="X61" s="18"/>
      <c r="Y61" s="20"/>
    </row>
    <row r="62" spans="1:25">
      <c r="A62" s="6">
        <f t="shared" si="30"/>
        <v>2018</v>
      </c>
      <c r="C62" s="20">
        <f t="shared" si="25"/>
        <v>0</v>
      </c>
      <c r="G62" s="20">
        <f t="shared" si="26"/>
        <v>0</v>
      </c>
      <c r="I62" s="20"/>
      <c r="J62" s="18"/>
      <c r="K62" s="18"/>
      <c r="L62" s="18"/>
      <c r="M62" s="20">
        <f t="shared" si="24"/>
        <v>0</v>
      </c>
      <c r="N62" s="18"/>
      <c r="O62" s="20">
        <f t="shared" si="27"/>
        <v>0</v>
      </c>
      <c r="Q62" s="20">
        <f t="shared" si="27"/>
        <v>0</v>
      </c>
      <c r="R62" s="18"/>
      <c r="S62" s="20">
        <f t="shared" si="28"/>
        <v>0</v>
      </c>
      <c r="T62" s="18"/>
      <c r="U62" s="20">
        <f t="shared" si="28"/>
        <v>0</v>
      </c>
      <c r="V62" s="18"/>
      <c r="W62" s="20">
        <f t="shared" si="29"/>
        <v>0</v>
      </c>
      <c r="X62" s="18"/>
      <c r="Y62" s="20"/>
    </row>
    <row r="63" spans="1:25">
      <c r="A63" s="6">
        <f t="shared" si="30"/>
        <v>2019</v>
      </c>
      <c r="C63" s="20">
        <f t="shared" si="25"/>
        <v>0</v>
      </c>
      <c r="G63" s="20">
        <f t="shared" si="26"/>
        <v>0</v>
      </c>
      <c r="I63" s="20"/>
      <c r="J63" s="18"/>
      <c r="K63" s="18"/>
      <c r="L63" s="18"/>
      <c r="M63" s="20">
        <f t="shared" si="24"/>
        <v>0</v>
      </c>
      <c r="N63" s="18"/>
      <c r="O63" s="20">
        <f t="shared" si="27"/>
        <v>0</v>
      </c>
      <c r="Q63" s="20">
        <f t="shared" si="27"/>
        <v>0</v>
      </c>
      <c r="R63" s="18"/>
      <c r="S63" s="20">
        <f t="shared" si="28"/>
        <v>0</v>
      </c>
      <c r="T63" s="18"/>
      <c r="U63" s="20">
        <f t="shared" si="28"/>
        <v>0</v>
      </c>
      <c r="V63" s="18"/>
      <c r="W63" s="20">
        <f t="shared" si="29"/>
        <v>0</v>
      </c>
      <c r="X63" s="18"/>
      <c r="Y63" s="20"/>
    </row>
    <row r="64" spans="1:25">
      <c r="A64" s="6">
        <f t="shared" si="30"/>
        <v>2020</v>
      </c>
      <c r="C64" s="20">
        <f t="shared" si="25"/>
        <v>0</v>
      </c>
      <c r="G64" s="20">
        <f t="shared" si="26"/>
        <v>0</v>
      </c>
      <c r="I64" s="20"/>
      <c r="J64" s="18"/>
      <c r="K64" s="18"/>
      <c r="L64" s="18"/>
      <c r="M64" s="20">
        <f t="shared" si="24"/>
        <v>0</v>
      </c>
      <c r="N64" s="18"/>
      <c r="O64" s="20">
        <f t="shared" si="27"/>
        <v>0</v>
      </c>
      <c r="Q64" s="20">
        <f t="shared" si="27"/>
        <v>0</v>
      </c>
      <c r="R64" s="18"/>
      <c r="S64" s="20">
        <f t="shared" si="28"/>
        <v>0</v>
      </c>
      <c r="T64" s="18"/>
      <c r="U64" s="20">
        <f t="shared" si="28"/>
        <v>0</v>
      </c>
      <c r="V64" s="18"/>
      <c r="W64" s="20">
        <f t="shared" si="29"/>
        <v>0</v>
      </c>
      <c r="X64" s="18"/>
      <c r="Y64" s="20"/>
    </row>
    <row r="65" spans="1:29">
      <c r="A65" s="6"/>
      <c r="C65" s="63"/>
      <c r="G65" s="63"/>
      <c r="M65" s="63"/>
      <c r="O65" s="63"/>
      <c r="Q65" s="63"/>
      <c r="S65" s="63"/>
      <c r="U65" s="63"/>
      <c r="W65" s="63"/>
    </row>
    <row r="66" spans="1:29">
      <c r="A66" s="2" t="s">
        <v>0</v>
      </c>
      <c r="C66" s="26">
        <f>SUM(C56:C65)</f>
        <v>0</v>
      </c>
      <c r="G66" s="26">
        <f>SUM(G56:G65)</f>
        <v>0</v>
      </c>
      <c r="H66" s="26"/>
      <c r="M66" s="26">
        <f>SUM(M56:M65)</f>
        <v>0</v>
      </c>
      <c r="N66" s="26"/>
      <c r="O66" s="26">
        <f>SUM(O56:O65)</f>
        <v>0</v>
      </c>
      <c r="Q66" s="26">
        <f>SUM(Q56:Q65)</f>
        <v>0</v>
      </c>
      <c r="R66" s="26"/>
      <c r="S66" s="26">
        <f>SUM(S56:S65)</f>
        <v>0</v>
      </c>
      <c r="U66" s="26">
        <f>SUM(U56:U65)</f>
        <v>0</v>
      </c>
      <c r="W66" s="26">
        <f>SUM(W56:W65)</f>
        <v>0</v>
      </c>
    </row>
    <row r="69" spans="1:29">
      <c r="A69" s="64" t="s">
        <v>104</v>
      </c>
      <c r="C69" s="3" t="s">
        <v>304</v>
      </c>
    </row>
    <row r="70" spans="1:29">
      <c r="A70" s="163" t="s">
        <v>36</v>
      </c>
      <c r="C70" s="3" t="s">
        <v>470</v>
      </c>
      <c r="AC70" s="61" t="s">
        <v>557</v>
      </c>
    </row>
    <row r="71" spans="1:29">
      <c r="A71" s="52" t="s">
        <v>38</v>
      </c>
      <c r="C71" s="3" t="s">
        <v>289</v>
      </c>
    </row>
    <row r="72" spans="1:29">
      <c r="A72" s="52" t="s">
        <v>40</v>
      </c>
      <c r="C72" s="3" t="s">
        <v>402</v>
      </c>
    </row>
    <row r="73" spans="1:29">
      <c r="A73" s="64" t="s">
        <v>42</v>
      </c>
      <c r="C73" s="3" t="s">
        <v>403</v>
      </c>
    </row>
    <row r="74" spans="1:29">
      <c r="A74" s="162" t="s">
        <v>30</v>
      </c>
      <c r="C74" s="3" t="s">
        <v>529</v>
      </c>
    </row>
    <row r="75" spans="1:29">
      <c r="A75" s="162" t="s">
        <v>31</v>
      </c>
      <c r="C75" s="3" t="s">
        <v>529</v>
      </c>
    </row>
    <row r="76" spans="1:29">
      <c r="A76" s="64" t="s">
        <v>103</v>
      </c>
      <c r="C76" s="3" t="s">
        <v>318</v>
      </c>
    </row>
    <row r="77" spans="1:29">
      <c r="A77" s="64" t="s">
        <v>106</v>
      </c>
      <c r="C77" s="3" t="s">
        <v>449</v>
      </c>
    </row>
    <row r="78" spans="1:29">
      <c r="A78" s="64" t="s">
        <v>134</v>
      </c>
      <c r="C78" s="3" t="s">
        <v>316</v>
      </c>
    </row>
  </sheetData>
  <printOptions horizontalCentered="1" verticalCentered="1"/>
  <pageMargins left="0.7" right="0.7" top="0.75" bottom="0.75" header="0.3" footer="0.3"/>
  <pageSetup scale="51" orientation="portrait" blackAndWhite="1" r:id="rId1"/>
  <headerFooter>
    <oddFooter>&amp;L&amp;6&amp;Z&amp;F
&amp;A</oddFooter>
  </headerFooter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93">
    <tabColor rgb="FFFF0000"/>
    <pageSetUpPr fitToPage="1"/>
  </sheetPr>
  <dimension ref="A1:AU80"/>
  <sheetViews>
    <sheetView topLeftCell="G1" zoomScale="75" zoomScaleNormal="75" workbookViewId="0">
      <selection activeCell="A6" sqref="A6"/>
    </sheetView>
  </sheetViews>
  <sheetFormatPr baseColWidth="10" defaultColWidth="8.7109375" defaultRowHeight="15"/>
  <cols>
    <col min="1" max="1" width="15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9.7109375" style="1" customWidth="1"/>
    <col min="6" max="6" width="1.7109375" style="1" customWidth="1"/>
    <col min="7" max="7" width="9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9.7109375" style="1" customWidth="1"/>
    <col min="12" max="12" width="1.7109375" style="1" customWidth="1"/>
    <col min="13" max="13" width="9.7109375" style="1" customWidth="1"/>
    <col min="14" max="14" width="1.7109375" style="1" customWidth="1"/>
    <col min="15" max="15" width="10.7109375" style="1" customWidth="1"/>
    <col min="16" max="16" width="1.7109375" style="1" customWidth="1"/>
    <col min="17" max="17" width="11.7109375" style="1" customWidth="1"/>
    <col min="18" max="18" width="1.7109375" style="1" customWidth="1"/>
    <col min="19" max="19" width="11.7109375" style="1" customWidth="1"/>
    <col min="20" max="20" width="1.7109375" style="1" customWidth="1"/>
    <col min="21" max="21" width="11.7109375" style="1" customWidth="1"/>
    <col min="22" max="22" width="1.7109375" style="1" customWidth="1"/>
    <col min="23" max="23" width="11.7109375" style="1" customWidth="1"/>
    <col min="24" max="24" width="1.7109375" style="1" customWidth="1"/>
    <col min="25" max="25" width="11.7109375" style="1" customWidth="1"/>
    <col min="26" max="36" width="8.7109375" style="1"/>
    <col min="37" max="37" width="13.7109375" style="1" bestFit="1" customWidth="1"/>
    <col min="38" max="38" width="15.42578125" style="1" bestFit="1" customWidth="1"/>
    <col min="39" max="39" width="14.42578125" style="1" bestFit="1" customWidth="1"/>
    <col min="40" max="40" width="13.42578125" style="1" bestFit="1" customWidth="1"/>
    <col min="41" max="42" width="13.42578125" style="1" customWidth="1"/>
    <col min="43" max="45" width="14.42578125" style="1" bestFit="1" customWidth="1"/>
    <col min="46" max="46" width="13.42578125" style="1" bestFit="1" customWidth="1"/>
    <col min="47" max="47" width="12.7109375" style="1" customWidth="1"/>
    <col min="48" max="16384" width="8.7109375" style="1"/>
  </cols>
  <sheetData>
    <row r="1" spans="1:47">
      <c r="Y1" s="3" t="s">
        <v>150</v>
      </c>
    </row>
    <row r="2" spans="1:47">
      <c r="Y2" s="3" t="s">
        <v>159</v>
      </c>
    </row>
    <row r="3" spans="1:47">
      <c r="Y3" s="3" t="s">
        <v>56</v>
      </c>
    </row>
    <row r="4" spans="1:47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</row>
    <row r="5" spans="1:47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</row>
    <row r="6" spans="1:47">
      <c r="A6" s="5" t="s">
        <v>178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</row>
    <row r="7" spans="1:47">
      <c r="A7" s="5" t="s">
        <v>396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</row>
    <row r="8" spans="1:47" ht="16">
      <c r="A8" s="5" t="s">
        <v>291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AE8" s="61"/>
      <c r="AF8" s="61"/>
      <c r="AG8" s="61"/>
      <c r="AH8" s="61"/>
      <c r="AI8" s="61"/>
      <c r="AJ8" s="61"/>
      <c r="AK8" s="37"/>
      <c r="AL8" s="37"/>
      <c r="AM8" s="61"/>
      <c r="AN8" s="61"/>
    </row>
    <row r="9" spans="1:47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61" t="s">
        <v>875</v>
      </c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AE9" s="61"/>
      <c r="AF9" s="61"/>
      <c r="AG9" s="61"/>
      <c r="AH9" s="61"/>
      <c r="AI9" s="61"/>
      <c r="AJ9" s="61"/>
      <c r="AK9" s="61">
        <v>2019</v>
      </c>
      <c r="AL9" s="61"/>
      <c r="AM9" s="61"/>
      <c r="AN9" s="61"/>
    </row>
    <row r="10" spans="1:47">
      <c r="C10" s="2" t="s">
        <v>177</v>
      </c>
      <c r="AE10" s="61"/>
      <c r="AF10" s="61"/>
      <c r="AG10" s="61"/>
      <c r="AH10" s="61"/>
      <c r="AI10" s="61"/>
      <c r="AJ10" s="97"/>
      <c r="AK10" s="97" t="s">
        <v>1</v>
      </c>
      <c r="AL10" s="61"/>
      <c r="AM10" s="61"/>
      <c r="AN10" s="61"/>
    </row>
    <row r="11" spans="1:47">
      <c r="C11" s="2" t="s">
        <v>16</v>
      </c>
      <c r="E11" s="2" t="s">
        <v>7</v>
      </c>
      <c r="G11" s="2" t="s">
        <v>285</v>
      </c>
      <c r="K11" s="2" t="s">
        <v>7</v>
      </c>
      <c r="L11" s="2"/>
      <c r="M11" s="2" t="s">
        <v>7</v>
      </c>
      <c r="S11" s="2" t="s">
        <v>14</v>
      </c>
      <c r="T11" s="2"/>
      <c r="U11" s="2" t="s">
        <v>12</v>
      </c>
      <c r="W11" s="2" t="s">
        <v>1</v>
      </c>
      <c r="AE11" s="61"/>
      <c r="AF11" s="97" t="s">
        <v>7</v>
      </c>
      <c r="AG11" s="61"/>
      <c r="AH11" s="97" t="s">
        <v>7</v>
      </c>
      <c r="AI11" s="61"/>
      <c r="AJ11" s="143"/>
      <c r="AK11" s="97" t="s">
        <v>67</v>
      </c>
      <c r="AL11" s="61"/>
      <c r="AM11" s="61"/>
      <c r="AN11" s="61"/>
    </row>
    <row r="12" spans="1:47">
      <c r="C12" s="2" t="s">
        <v>335</v>
      </c>
      <c r="E12" s="2" t="s">
        <v>284</v>
      </c>
      <c r="G12" s="2" t="s">
        <v>286</v>
      </c>
      <c r="I12" s="2" t="s">
        <v>7</v>
      </c>
      <c r="J12" s="2"/>
      <c r="K12" s="2" t="s">
        <v>62</v>
      </c>
      <c r="L12" s="2"/>
      <c r="M12" s="2" t="s">
        <v>62</v>
      </c>
      <c r="O12" s="2" t="s">
        <v>14</v>
      </c>
      <c r="P12" s="2"/>
      <c r="Q12" s="2" t="s">
        <v>12</v>
      </c>
      <c r="S12" s="2" t="s">
        <v>314</v>
      </c>
      <c r="T12" s="2"/>
      <c r="U12" s="2" t="s">
        <v>314</v>
      </c>
      <c r="W12" s="2" t="s">
        <v>67</v>
      </c>
      <c r="Y12" s="2" t="s">
        <v>63</v>
      </c>
      <c r="AE12" s="25" t="s">
        <v>122</v>
      </c>
      <c r="AF12" s="97" t="s">
        <v>62</v>
      </c>
      <c r="AG12" s="61"/>
      <c r="AH12" s="97" t="s">
        <v>62</v>
      </c>
      <c r="AI12" s="61"/>
      <c r="AJ12" s="97" t="s">
        <v>4</v>
      </c>
      <c r="AK12" s="97" t="s">
        <v>55</v>
      </c>
      <c r="AL12" s="61" t="s">
        <v>18</v>
      </c>
      <c r="AM12" s="153"/>
      <c r="AN12" s="61"/>
      <c r="AO12" s="2"/>
      <c r="AP12" s="2"/>
      <c r="AQ12" s="154"/>
      <c r="AS12" s="141"/>
      <c r="AU12" s="155"/>
    </row>
    <row r="13" spans="1:47">
      <c r="A13" s="2" t="s">
        <v>4</v>
      </c>
      <c r="C13" s="2" t="s">
        <v>336</v>
      </c>
      <c r="E13" s="2" t="s">
        <v>109</v>
      </c>
      <c r="G13" s="2" t="s">
        <v>287</v>
      </c>
      <c r="I13" s="2" t="s">
        <v>55</v>
      </c>
      <c r="J13" s="2"/>
      <c r="K13" s="2" t="s">
        <v>14</v>
      </c>
      <c r="L13" s="2"/>
      <c r="M13" s="2" t="s">
        <v>12</v>
      </c>
      <c r="O13" s="2" t="s">
        <v>55</v>
      </c>
      <c r="P13" s="2"/>
      <c r="Q13" s="2" t="s">
        <v>55</v>
      </c>
      <c r="S13" s="2" t="s">
        <v>55</v>
      </c>
      <c r="T13" s="2"/>
      <c r="U13" s="2" t="s">
        <v>55</v>
      </c>
      <c r="W13" s="2" t="s">
        <v>55</v>
      </c>
      <c r="Y13" s="2" t="s">
        <v>55</v>
      </c>
      <c r="AE13" s="25" t="s">
        <v>123</v>
      </c>
      <c r="AF13" s="97" t="s">
        <v>14</v>
      </c>
      <c r="AG13" s="61"/>
      <c r="AH13" s="97" t="s">
        <v>12</v>
      </c>
      <c r="AI13" s="61"/>
      <c r="AJ13" s="143">
        <v>-1</v>
      </c>
      <c r="AK13" s="143">
        <v>-12</v>
      </c>
      <c r="AL13" s="61"/>
      <c r="AM13" s="61"/>
      <c r="AN13" s="61"/>
      <c r="AO13" s="2"/>
      <c r="AP13" s="2"/>
      <c r="AU13" s="155"/>
    </row>
    <row r="14" spans="1:47">
      <c r="A14" s="10">
        <v>-1</v>
      </c>
      <c r="C14" s="10">
        <v>-2</v>
      </c>
      <c r="E14" s="10">
        <v>-3</v>
      </c>
      <c r="G14" s="10">
        <v>-4</v>
      </c>
      <c r="I14" s="10">
        <v>-5</v>
      </c>
      <c r="J14" s="11"/>
      <c r="K14" s="10">
        <v>-6</v>
      </c>
      <c r="L14" s="11"/>
      <c r="M14" s="10">
        <v>-7</v>
      </c>
      <c r="O14" s="10">
        <v>-8</v>
      </c>
      <c r="P14" s="11"/>
      <c r="Q14" s="10">
        <v>-9</v>
      </c>
      <c r="S14" s="10">
        <v>-10</v>
      </c>
      <c r="T14" s="11"/>
      <c r="U14" s="10">
        <v>-11</v>
      </c>
      <c r="V14" s="11"/>
      <c r="W14" s="10">
        <v>-12</v>
      </c>
      <c r="X14" s="11"/>
      <c r="Y14" s="10">
        <v>-13</v>
      </c>
      <c r="AE14" s="142" t="s">
        <v>38</v>
      </c>
      <c r="AF14" s="143">
        <v>-5</v>
      </c>
      <c r="AG14" s="61"/>
      <c r="AH14" s="143">
        <v>-6</v>
      </c>
      <c r="AI14" s="61"/>
      <c r="AJ14" s="61"/>
      <c r="AK14" s="61"/>
      <c r="AL14" s="61"/>
      <c r="AM14" s="61"/>
      <c r="AN14" s="61"/>
      <c r="AO14" s="10"/>
      <c r="AP14" s="11"/>
      <c r="AU14" s="156"/>
    </row>
    <row r="15" spans="1:47">
      <c r="AE15" s="61"/>
      <c r="AF15" s="61"/>
      <c r="AG15" s="61"/>
      <c r="AH15" s="61"/>
      <c r="AI15" s="61"/>
      <c r="AJ15" s="68" t="s">
        <v>392</v>
      </c>
      <c r="AK15" s="61"/>
      <c r="AL15" s="61"/>
      <c r="AM15" s="61"/>
      <c r="AN15" s="61"/>
      <c r="AU15" s="120"/>
    </row>
    <row r="16" spans="1:47">
      <c r="A16" s="26" t="s">
        <v>392</v>
      </c>
      <c r="AE16" s="61">
        <f t="shared" ref="AE16:AE23" si="0">AE17+12</f>
        <v>120</v>
      </c>
      <c r="AF16" s="144">
        <f>'Exhibit Q,3'!K26</f>
        <v>0.95650989508055606</v>
      </c>
      <c r="AG16" s="61"/>
      <c r="AH16" s="144">
        <f>'Exhibit Q,1'!K26</f>
        <v>0.99573051740711982</v>
      </c>
      <c r="AI16" s="61"/>
      <c r="AJ16" s="25">
        <v>2011</v>
      </c>
      <c r="AK16" s="68">
        <v>0</v>
      </c>
      <c r="AL16" s="68"/>
      <c r="AM16" s="157"/>
      <c r="AN16" s="157"/>
      <c r="AO16" s="26"/>
      <c r="AP16" s="26"/>
      <c r="AQ16" s="146"/>
      <c r="AR16" s="146"/>
      <c r="AS16" s="21"/>
      <c r="AT16" s="147"/>
      <c r="AU16" s="148"/>
    </row>
    <row r="17" spans="1:47">
      <c r="A17" s="6">
        <f>2012</f>
        <v>2012</v>
      </c>
      <c r="C17" s="26"/>
      <c r="E17" s="74">
        <v>1.1837197232087942</v>
      </c>
      <c r="G17" s="74">
        <v>0.95</v>
      </c>
      <c r="I17" s="26"/>
      <c r="J17" s="26"/>
      <c r="K17" s="128">
        <f t="shared" ref="K17:M24" si="1">AF17*(9/12)+AF18*(3/12)</f>
        <v>0.88292662596888161</v>
      </c>
      <c r="L17" s="74"/>
      <c r="M17" s="128">
        <f t="shared" si="1"/>
        <v>0.98115091564807255</v>
      </c>
      <c r="N17" s="26"/>
      <c r="O17" s="148"/>
      <c r="P17" s="120"/>
      <c r="Q17" s="148"/>
      <c r="R17" s="26"/>
      <c r="S17" s="19">
        <f>I17*(1-K17)+O17</f>
        <v>0</v>
      </c>
      <c r="T17" s="19"/>
      <c r="U17" s="19">
        <f>MAX(O17,I17*(1-M17)+Q17)</f>
        <v>0</v>
      </c>
      <c r="W17" s="26">
        <f>U17</f>
        <v>0</v>
      </c>
      <c r="Y17" s="26">
        <f>W17-O17</f>
        <v>0</v>
      </c>
      <c r="AE17" s="61">
        <f t="shared" si="0"/>
        <v>108</v>
      </c>
      <c r="AF17" s="144">
        <f>'Exhibit Q,3'!K27</f>
        <v>0.9055136018007176</v>
      </c>
      <c r="AG17" s="149"/>
      <c r="AH17" s="149">
        <f>'Exhibit Q,1'!K27</f>
        <v>0.98633438596944767</v>
      </c>
      <c r="AI17" s="61"/>
      <c r="AJ17" s="25">
        <f>AJ16+1</f>
        <v>2012</v>
      </c>
      <c r="AK17" s="137">
        <v>0</v>
      </c>
      <c r="AL17" s="137">
        <f t="shared" ref="AL17:AL24" si="2">W17-AK17</f>
        <v>0</v>
      </c>
      <c r="AM17" s="137"/>
      <c r="AN17" s="137"/>
      <c r="AO17" s="20"/>
      <c r="AP17" s="20"/>
      <c r="AQ17" s="158"/>
      <c r="AR17" s="158"/>
      <c r="AS17" s="20"/>
      <c r="AT17" s="20"/>
      <c r="AU17" s="159"/>
    </row>
    <row r="18" spans="1:47">
      <c r="A18" s="6">
        <f>A17+1</f>
        <v>2013</v>
      </c>
      <c r="C18" s="18"/>
      <c r="D18" s="26"/>
      <c r="E18" s="74">
        <v>1.2142344652538077</v>
      </c>
      <c r="G18" s="74">
        <v>0.95</v>
      </c>
      <c r="I18" s="20"/>
      <c r="J18" s="18"/>
      <c r="K18" s="128">
        <f t="shared" si="1"/>
        <v>0.781748488710163</v>
      </c>
      <c r="L18" s="74"/>
      <c r="M18" s="128">
        <f t="shared" si="1"/>
        <v>0.95526356486939812</v>
      </c>
      <c r="N18" s="18"/>
      <c r="O18" s="150"/>
      <c r="P18" s="120"/>
      <c r="Q18" s="150"/>
      <c r="R18" s="18"/>
      <c r="S18" s="20">
        <f t="shared" ref="S18:S25" si="3">I18*(1-K18)+O18</f>
        <v>0</v>
      </c>
      <c r="T18" s="18"/>
      <c r="U18" s="20">
        <f t="shared" ref="U18:U25" si="4">MAX(O18,I18*(1-M18)+Q18)</f>
        <v>0</v>
      </c>
      <c r="V18" s="20"/>
      <c r="W18" s="20">
        <f t="shared" ref="W18:W25" si="5">U18</f>
        <v>0</v>
      </c>
      <c r="X18" s="20"/>
      <c r="Y18" s="20">
        <f t="shared" ref="Y18:Y25" si="6">W18-O18</f>
        <v>0</v>
      </c>
      <c r="AE18" s="61">
        <f t="shared" si="0"/>
        <v>96</v>
      </c>
      <c r="AF18" s="144">
        <f>'Exhibit Q,3'!K28</f>
        <v>0.81516569847337383</v>
      </c>
      <c r="AG18" s="149"/>
      <c r="AH18" s="149">
        <f>'Exhibit Q,1'!K28</f>
        <v>0.96560050468394742</v>
      </c>
      <c r="AI18" s="61"/>
      <c r="AJ18" s="25">
        <f t="shared" ref="AJ18:AJ24" si="7">AJ17+1</f>
        <v>2013</v>
      </c>
      <c r="AK18" s="137">
        <v>18913.816684554466</v>
      </c>
      <c r="AL18" s="137">
        <f t="shared" si="2"/>
        <v>-18913.816684554466</v>
      </c>
      <c r="AM18" s="137"/>
      <c r="AN18" s="137"/>
      <c r="AO18" s="20"/>
      <c r="AP18" s="20"/>
      <c r="AQ18" s="158"/>
      <c r="AR18" s="158"/>
      <c r="AS18" s="20"/>
      <c r="AT18" s="20"/>
      <c r="AU18" s="159"/>
    </row>
    <row r="19" spans="1:47">
      <c r="A19" s="6">
        <f t="shared" ref="A19:A25" si="8">A18+1</f>
        <v>2014</v>
      </c>
      <c r="C19" s="18"/>
      <c r="E19" s="74">
        <v>1.2848901297161557</v>
      </c>
      <c r="G19" s="74">
        <v>0.95</v>
      </c>
      <c r="I19" s="20"/>
      <c r="J19" s="18"/>
      <c r="K19" s="128">
        <f t="shared" si="1"/>
        <v>0.6398348470847689</v>
      </c>
      <c r="L19" s="74"/>
      <c r="M19" s="128">
        <f t="shared" si="1"/>
        <v>0.90563867519115449</v>
      </c>
      <c r="N19" s="18"/>
      <c r="O19" s="150"/>
      <c r="P19" s="120"/>
      <c r="Q19" s="150"/>
      <c r="R19" s="18"/>
      <c r="S19" s="20">
        <f t="shared" si="3"/>
        <v>0</v>
      </c>
      <c r="T19" s="18"/>
      <c r="U19" s="20">
        <f t="shared" si="4"/>
        <v>0</v>
      </c>
      <c r="V19" s="20"/>
      <c r="W19" s="20">
        <f t="shared" si="5"/>
        <v>0</v>
      </c>
      <c r="X19" s="20"/>
      <c r="Y19" s="20">
        <f t="shared" si="6"/>
        <v>0</v>
      </c>
      <c r="AE19" s="61">
        <f t="shared" si="0"/>
        <v>84</v>
      </c>
      <c r="AF19" s="144">
        <f>'Exhibit Q,3'!K29</f>
        <v>0.6814968594205304</v>
      </c>
      <c r="AG19" s="149"/>
      <c r="AH19" s="149">
        <f>'Exhibit Q,1'!K29</f>
        <v>0.92425274542575031</v>
      </c>
      <c r="AI19" s="61"/>
      <c r="AJ19" s="25">
        <f t="shared" si="7"/>
        <v>2014</v>
      </c>
      <c r="AK19" s="137">
        <v>99597.844082754382</v>
      </c>
      <c r="AL19" s="137">
        <f t="shared" si="2"/>
        <v>-99597.844082754382</v>
      </c>
      <c r="AM19" s="137"/>
      <c r="AN19" s="137"/>
      <c r="AO19" s="20"/>
      <c r="AP19" s="20"/>
      <c r="AQ19" s="158"/>
      <c r="AR19" s="158"/>
      <c r="AS19" s="20"/>
      <c r="AT19" s="20"/>
      <c r="AU19" s="159"/>
    </row>
    <row r="20" spans="1:47">
      <c r="A20" s="6">
        <f t="shared" si="8"/>
        <v>2015</v>
      </c>
      <c r="C20" s="18"/>
      <c r="E20" s="74">
        <v>1.3658500727075047</v>
      </c>
      <c r="G20" s="74">
        <v>0.95</v>
      </c>
      <c r="I20" s="20"/>
      <c r="J20" s="18"/>
      <c r="K20" s="128">
        <f t="shared" si="1"/>
        <v>0.47250143837300063</v>
      </c>
      <c r="L20" s="74"/>
      <c r="M20" s="128">
        <f t="shared" si="1"/>
        <v>0.81500034074912342</v>
      </c>
      <c r="N20" s="18"/>
      <c r="O20" s="150"/>
      <c r="P20" s="120"/>
      <c r="Q20" s="150"/>
      <c r="R20" s="18"/>
      <c r="S20" s="20">
        <f t="shared" si="3"/>
        <v>0</v>
      </c>
      <c r="T20" s="18"/>
      <c r="U20" s="20">
        <f t="shared" si="4"/>
        <v>0</v>
      </c>
      <c r="V20" s="20"/>
      <c r="W20" s="20">
        <f t="shared" si="5"/>
        <v>0</v>
      </c>
      <c r="X20" s="20"/>
      <c r="Y20" s="20">
        <f t="shared" si="6"/>
        <v>0</v>
      </c>
      <c r="AE20" s="61">
        <f t="shared" si="0"/>
        <v>72</v>
      </c>
      <c r="AF20" s="144">
        <f>'Exhibit Q,3'!K30</f>
        <v>0.51484881007748451</v>
      </c>
      <c r="AG20" s="149"/>
      <c r="AH20" s="149">
        <f>'Exhibit Q,1'!K30</f>
        <v>0.84979646448736712</v>
      </c>
      <c r="AI20" s="61"/>
      <c r="AJ20" s="25">
        <f t="shared" si="7"/>
        <v>2015</v>
      </c>
      <c r="AK20" s="137">
        <v>1100791.0715590126</v>
      </c>
      <c r="AL20" s="137">
        <f t="shared" si="2"/>
        <v>-1100791.0715590126</v>
      </c>
      <c r="AM20" s="137"/>
      <c r="AN20" s="137"/>
      <c r="AO20" s="20"/>
      <c r="AP20" s="20"/>
      <c r="AQ20" s="158"/>
      <c r="AR20" s="158"/>
      <c r="AS20" s="20"/>
      <c r="AT20" s="20"/>
      <c r="AU20" s="159"/>
    </row>
    <row r="21" spans="1:47">
      <c r="A21" s="6">
        <f t="shared" si="8"/>
        <v>2016</v>
      </c>
      <c r="C21" s="18"/>
      <c r="E21" s="74">
        <v>1.4160557044123301</v>
      </c>
      <c r="G21" s="74">
        <v>0.95</v>
      </c>
      <c r="I21" s="20"/>
      <c r="J21" s="18"/>
      <c r="K21" s="128">
        <f t="shared" si="1"/>
        <v>0.30712267948418231</v>
      </c>
      <c r="L21" s="74"/>
      <c r="M21" s="128">
        <f t="shared" si="1"/>
        <v>0.658173857572253</v>
      </c>
      <c r="N21" s="18"/>
      <c r="O21" s="150"/>
      <c r="P21" s="120"/>
      <c r="Q21" s="150"/>
      <c r="R21" s="18"/>
      <c r="S21" s="20">
        <f t="shared" si="3"/>
        <v>0</v>
      </c>
      <c r="T21" s="18"/>
      <c r="U21" s="20">
        <f t="shared" si="4"/>
        <v>0</v>
      </c>
      <c r="V21" s="20"/>
      <c r="W21" s="20">
        <f t="shared" si="5"/>
        <v>0</v>
      </c>
      <c r="X21" s="20"/>
      <c r="Y21" s="20">
        <f t="shared" si="6"/>
        <v>0</v>
      </c>
      <c r="AE21" s="61">
        <f t="shared" si="0"/>
        <v>60</v>
      </c>
      <c r="AF21" s="144">
        <f>'Exhibit Q,3'!K31</f>
        <v>0.34545932325954892</v>
      </c>
      <c r="AG21" s="149"/>
      <c r="AH21" s="149">
        <f>'Exhibit Q,1'!K31</f>
        <v>0.71061196953439254</v>
      </c>
      <c r="AI21" s="61"/>
      <c r="AJ21" s="25">
        <f t="shared" si="7"/>
        <v>2016</v>
      </c>
      <c r="AK21" s="137">
        <v>13334996.655213453</v>
      </c>
      <c r="AL21" s="137">
        <f t="shared" si="2"/>
        <v>-13334996.655213453</v>
      </c>
      <c r="AM21" s="137"/>
      <c r="AN21" s="137"/>
      <c r="AO21" s="20"/>
      <c r="AP21" s="20"/>
      <c r="AQ21" s="158"/>
      <c r="AR21" s="158"/>
      <c r="AS21" s="20"/>
      <c r="AT21" s="20"/>
      <c r="AU21" s="159"/>
    </row>
    <row r="22" spans="1:47">
      <c r="A22" s="6">
        <f t="shared" si="8"/>
        <v>2017</v>
      </c>
      <c r="C22" s="18"/>
      <c r="E22" s="74">
        <v>1.471409189118178</v>
      </c>
      <c r="G22" s="74">
        <v>0.95</v>
      </c>
      <c r="I22" s="20"/>
      <c r="J22" s="18"/>
      <c r="K22" s="128">
        <f t="shared" si="1"/>
        <v>0.16489014858788364</v>
      </c>
      <c r="L22" s="74"/>
      <c r="M22" s="128">
        <f t="shared" si="1"/>
        <v>0.44635243430393778</v>
      </c>
      <c r="N22" s="18"/>
      <c r="O22" s="150"/>
      <c r="P22" s="120"/>
      <c r="Q22" s="150"/>
      <c r="R22" s="18"/>
      <c r="S22" s="20">
        <f t="shared" si="3"/>
        <v>0</v>
      </c>
      <c r="T22" s="18"/>
      <c r="U22" s="20">
        <f t="shared" si="4"/>
        <v>0</v>
      </c>
      <c r="V22" s="20"/>
      <c r="W22" s="20">
        <f t="shared" si="5"/>
        <v>0</v>
      </c>
      <c r="X22" s="20"/>
      <c r="Y22" s="20">
        <f t="shared" si="6"/>
        <v>0</v>
      </c>
      <c r="AE22" s="61">
        <f t="shared" si="0"/>
        <v>48</v>
      </c>
      <c r="AF22" s="144">
        <f>'Exhibit Q,3'!K32</f>
        <v>0.19211274815808235</v>
      </c>
      <c r="AG22" s="149"/>
      <c r="AH22" s="149">
        <f>'Exhibit Q,1'!K32</f>
        <v>0.50085952168583414</v>
      </c>
      <c r="AI22" s="61"/>
      <c r="AJ22" s="25">
        <f t="shared" si="7"/>
        <v>2017</v>
      </c>
      <c r="AK22" s="137">
        <v>5903137.9694780139</v>
      </c>
      <c r="AL22" s="137">
        <f t="shared" si="2"/>
        <v>-5903137.9694780139</v>
      </c>
      <c r="AM22" s="137"/>
      <c r="AN22" s="137"/>
      <c r="AO22" s="20"/>
      <c r="AP22" s="20"/>
      <c r="AQ22" s="158"/>
      <c r="AR22" s="158"/>
      <c r="AS22" s="20"/>
      <c r="AT22" s="20"/>
      <c r="AU22" s="159"/>
    </row>
    <row r="23" spans="1:47">
      <c r="A23" s="6">
        <f t="shared" si="8"/>
        <v>2018</v>
      </c>
      <c r="C23" s="18"/>
      <c r="E23" s="74">
        <v>1.5105523945395243</v>
      </c>
      <c r="G23" s="74">
        <v>0.95</v>
      </c>
      <c r="I23" s="20"/>
      <c r="J23" s="18"/>
      <c r="K23" s="128">
        <f t="shared" si="1"/>
        <v>6.8792659663111558E-2</v>
      </c>
      <c r="L23" s="74"/>
      <c r="M23" s="128">
        <f t="shared" si="1"/>
        <v>0.23937239750280831</v>
      </c>
      <c r="N23" s="18"/>
      <c r="O23" s="150"/>
      <c r="P23" s="120"/>
      <c r="Q23" s="150"/>
      <c r="R23" s="18"/>
      <c r="S23" s="20">
        <f t="shared" si="3"/>
        <v>0</v>
      </c>
      <c r="T23" s="18"/>
      <c r="U23" s="20">
        <f t="shared" si="4"/>
        <v>0</v>
      </c>
      <c r="V23" s="20"/>
      <c r="W23" s="20">
        <f t="shared" si="5"/>
        <v>0</v>
      </c>
      <c r="X23" s="20"/>
      <c r="Y23" s="20">
        <f t="shared" si="6"/>
        <v>0</v>
      </c>
      <c r="AE23" s="61">
        <f t="shared" si="0"/>
        <v>36</v>
      </c>
      <c r="AF23" s="144">
        <f>'Exhibit Q,3'!K33</f>
        <v>8.3222349877287466E-2</v>
      </c>
      <c r="AG23" s="149"/>
      <c r="AH23" s="149">
        <f>'Exhibit Q,1'!K33</f>
        <v>0.28283117215824882</v>
      </c>
      <c r="AI23" s="61"/>
      <c r="AJ23" s="25">
        <f t="shared" si="7"/>
        <v>2018</v>
      </c>
      <c r="AK23" s="137">
        <v>8014840.4642673442</v>
      </c>
      <c r="AL23" s="137">
        <f t="shared" si="2"/>
        <v>-8014840.4642673442</v>
      </c>
      <c r="AM23" s="137"/>
      <c r="AN23" s="137"/>
      <c r="AO23" s="20"/>
      <c r="AP23" s="20"/>
      <c r="AQ23" s="158"/>
      <c r="AR23" s="158"/>
      <c r="AS23" s="20"/>
      <c r="AT23" s="20"/>
      <c r="AU23" s="159"/>
    </row>
    <row r="24" spans="1:47">
      <c r="A24" s="6">
        <f t="shared" si="8"/>
        <v>2019</v>
      </c>
      <c r="C24" s="18"/>
      <c r="E24" s="74">
        <v>1.5575815354085947</v>
      </c>
      <c r="G24" s="74">
        <v>0.95</v>
      </c>
      <c r="I24" s="20"/>
      <c r="J24" s="18"/>
      <c r="K24" s="128">
        <f t="shared" si="1"/>
        <v>1.9984722532595877E-2</v>
      </c>
      <c r="L24" s="74"/>
      <c r="M24" s="128">
        <f t="shared" si="1"/>
        <v>8.9017847776179576E-2</v>
      </c>
      <c r="N24" s="18"/>
      <c r="O24" s="150"/>
      <c r="P24" s="120"/>
      <c r="Q24" s="150"/>
      <c r="R24" s="18"/>
      <c r="S24" s="20">
        <f t="shared" si="3"/>
        <v>0</v>
      </c>
      <c r="T24" s="18"/>
      <c r="U24" s="20">
        <f t="shared" si="4"/>
        <v>0</v>
      </c>
      <c r="V24" s="20"/>
      <c r="W24" s="20">
        <f t="shared" si="5"/>
        <v>0</v>
      </c>
      <c r="X24" s="20"/>
      <c r="Y24" s="20">
        <f t="shared" si="6"/>
        <v>0</v>
      </c>
      <c r="AE24" s="61">
        <f>AE25+12</f>
        <v>24</v>
      </c>
      <c r="AF24" s="144">
        <f>'Exhibit Q,3'!K34</f>
        <v>2.5503589020583816E-2</v>
      </c>
      <c r="AG24" s="149"/>
      <c r="AH24" s="149">
        <f>'Exhibit Q,1'!K34</f>
        <v>0.10899607353648681</v>
      </c>
      <c r="AI24" s="61"/>
      <c r="AJ24" s="25">
        <f t="shared" si="7"/>
        <v>2019</v>
      </c>
      <c r="AK24" s="137">
        <v>6334351.2953452813</v>
      </c>
      <c r="AL24" s="137">
        <f t="shared" si="2"/>
        <v>-6334351.2953452813</v>
      </c>
      <c r="AM24" s="137"/>
      <c r="AN24" s="137"/>
      <c r="AO24" s="20"/>
      <c r="AP24" s="20"/>
      <c r="AQ24" s="158"/>
      <c r="AR24" s="158"/>
      <c r="AS24" s="20"/>
      <c r="AT24" s="20"/>
      <c r="AU24" s="159"/>
    </row>
    <row r="25" spans="1:47">
      <c r="A25" s="6">
        <f t="shared" si="8"/>
        <v>2020</v>
      </c>
      <c r="C25" s="18"/>
      <c r="E25" s="74">
        <v>1.6457999999999999</v>
      </c>
      <c r="G25" s="74">
        <v>0.95</v>
      </c>
      <c r="I25" s="20"/>
      <c r="J25" s="18"/>
      <c r="K25" s="128">
        <f>AF25*(9/12)+AF26*(3/12)</f>
        <v>2.5710923014740494E-3</v>
      </c>
      <c r="L25" s="74"/>
      <c r="M25" s="128">
        <f>AH25*(9/12)+AH26*(3/12)</f>
        <v>2.1812377871443394E-2</v>
      </c>
      <c r="N25" s="18"/>
      <c r="O25" s="150"/>
      <c r="P25" s="120"/>
      <c r="Q25" s="150"/>
      <c r="R25" s="18"/>
      <c r="S25" s="20">
        <f t="shared" si="3"/>
        <v>0</v>
      </c>
      <c r="T25" s="18"/>
      <c r="U25" s="20">
        <f t="shared" si="4"/>
        <v>0</v>
      </c>
      <c r="V25" s="20"/>
      <c r="W25" s="20">
        <f t="shared" si="5"/>
        <v>0</v>
      </c>
      <c r="X25" s="20"/>
      <c r="Y25" s="20">
        <f t="shared" si="6"/>
        <v>0</v>
      </c>
      <c r="AC25" s="61" t="s">
        <v>536</v>
      </c>
      <c r="AE25" s="61">
        <v>12</v>
      </c>
      <c r="AF25" s="144">
        <f>'Exhibit Q,3'!K35</f>
        <v>3.4281230686320661E-3</v>
      </c>
      <c r="AG25" s="149"/>
      <c r="AH25" s="149">
        <f>'Exhibit Q,1'!K35</f>
        <v>2.9083170495257857E-2</v>
      </c>
      <c r="AI25" s="61"/>
      <c r="AJ25" s="61"/>
      <c r="AK25" s="61"/>
      <c r="AL25" s="61"/>
      <c r="AM25" s="137"/>
      <c r="AN25" s="137"/>
      <c r="AO25" s="20"/>
      <c r="AP25" s="20"/>
      <c r="AQ25" s="20"/>
      <c r="AR25" s="20"/>
      <c r="AS25" s="20"/>
      <c r="AT25" s="20"/>
      <c r="AU25" s="20"/>
    </row>
    <row r="26" spans="1:47">
      <c r="A26" s="6"/>
      <c r="C26" s="63"/>
      <c r="I26" s="63"/>
      <c r="O26" s="152"/>
      <c r="P26" s="120"/>
      <c r="Q26" s="152"/>
      <c r="S26" s="63"/>
      <c r="U26" s="63"/>
      <c r="W26" s="63"/>
      <c r="Y26" s="63"/>
      <c r="AE26" s="61"/>
      <c r="AF26" s="61"/>
      <c r="AG26" s="61"/>
      <c r="AH26" s="61"/>
      <c r="AI26" s="61"/>
      <c r="AJ26" s="61"/>
      <c r="AK26" s="61"/>
      <c r="AL26" s="61"/>
      <c r="AM26" s="61"/>
      <c r="AN26" s="61"/>
    </row>
    <row r="27" spans="1:47" ht="16">
      <c r="A27" s="2" t="s">
        <v>0</v>
      </c>
      <c r="C27" s="26">
        <f>SUM(C17:C26)</f>
        <v>0</v>
      </c>
      <c r="I27" s="26">
        <f>SUM(I17:I26)</f>
        <v>0</v>
      </c>
      <c r="J27" s="26"/>
      <c r="N27" s="26"/>
      <c r="O27" s="148">
        <f>SUM(O17:O26)</f>
        <v>0</v>
      </c>
      <c r="P27" s="120"/>
      <c r="Q27" s="148">
        <f>SUM(Q17:Q26)</f>
        <v>0</v>
      </c>
      <c r="R27" s="26"/>
      <c r="S27" s="26">
        <f>SUM(S17:S26)</f>
        <v>0</v>
      </c>
      <c r="T27" s="26"/>
      <c r="U27" s="26">
        <f>SUM(U17:U26)</f>
        <v>0</v>
      </c>
      <c r="W27" s="26">
        <f>SUM(W17:W26)</f>
        <v>0</v>
      </c>
      <c r="Y27" s="26">
        <f>SUM(Y17:Y26)</f>
        <v>0</v>
      </c>
      <c r="AE27" s="61"/>
      <c r="AF27" s="61"/>
      <c r="AG27" s="61"/>
      <c r="AH27" s="61"/>
      <c r="AI27" s="61"/>
      <c r="AJ27" s="61"/>
      <c r="AK27" s="61"/>
      <c r="AL27" s="68">
        <f>SUM(AL17:AL26)</f>
        <v>-34806629.116630413</v>
      </c>
      <c r="AM27" s="122"/>
      <c r="AN27" s="38"/>
      <c r="AO27" s="66"/>
      <c r="AP27" s="66"/>
      <c r="AQ27" s="66"/>
      <c r="AR27" s="66"/>
      <c r="AS27" s="66"/>
      <c r="AT27" s="66"/>
      <c r="AU27" s="66"/>
    </row>
    <row r="28" spans="1:47">
      <c r="A28" s="6"/>
      <c r="O28" s="120"/>
      <c r="P28" s="120"/>
      <c r="Q28" s="120"/>
      <c r="AE28" s="61"/>
      <c r="AF28" s="61"/>
      <c r="AG28" s="61"/>
      <c r="AH28" s="61"/>
      <c r="AI28" s="61"/>
      <c r="AJ28" s="61"/>
      <c r="AK28" s="39"/>
      <c r="AL28" s="61"/>
      <c r="AM28" s="160"/>
      <c r="AN28" s="161"/>
    </row>
    <row r="29" spans="1:47">
      <c r="A29" s="26" t="s">
        <v>393</v>
      </c>
      <c r="O29" s="120"/>
      <c r="P29" s="120"/>
      <c r="Q29" s="120"/>
      <c r="AE29" s="61"/>
      <c r="AF29" s="61"/>
      <c r="AG29" s="61"/>
      <c r="AH29" s="61"/>
      <c r="AI29" s="61"/>
      <c r="AJ29" s="61"/>
      <c r="AK29" s="39"/>
      <c r="AL29" s="61"/>
      <c r="AM29" s="61"/>
      <c r="AN29" s="61"/>
    </row>
    <row r="30" spans="1:47">
      <c r="A30" s="6">
        <f>2012</f>
        <v>2012</v>
      </c>
      <c r="C30" s="26">
        <v>0</v>
      </c>
      <c r="E30" s="74">
        <v>0.84399999999999997</v>
      </c>
      <c r="G30" s="74">
        <v>1</v>
      </c>
      <c r="I30" s="26">
        <f>C30*E30*G30</f>
        <v>0</v>
      </c>
      <c r="J30" s="26"/>
      <c r="K30" s="128">
        <f>AF16*(9/12)+AF17*(3/12)</f>
        <v>0.9437608217605965</v>
      </c>
      <c r="L30" s="74"/>
      <c r="M30" s="128">
        <f>AH16*(9/12)+AH17*(3/12)</f>
        <v>0.99338148454770181</v>
      </c>
      <c r="N30" s="26"/>
      <c r="O30" s="26">
        <v>0</v>
      </c>
      <c r="Q30" s="26">
        <v>0</v>
      </c>
      <c r="R30" s="26"/>
      <c r="S30" s="19">
        <f>I30*(1-K30)+O30</f>
        <v>0</v>
      </c>
      <c r="T30" s="19"/>
      <c r="U30" s="19">
        <f>MAX(O30,I30*(1-M30)+Q30)</f>
        <v>0</v>
      </c>
      <c r="W30" s="26">
        <f>U30</f>
        <v>0</v>
      </c>
      <c r="Y30" s="26">
        <f>W30-O30</f>
        <v>0</v>
      </c>
      <c r="AE30" s="61"/>
      <c r="AF30" s="61"/>
      <c r="AG30" s="61"/>
      <c r="AH30" s="61"/>
      <c r="AI30" s="61"/>
      <c r="AJ30" s="61"/>
      <c r="AK30" s="39"/>
      <c r="AL30" s="61"/>
      <c r="AM30" s="61"/>
      <c r="AN30" s="61"/>
    </row>
    <row r="31" spans="1:47">
      <c r="A31" s="6">
        <f>A30+1</f>
        <v>2013</v>
      </c>
      <c r="C31" s="18">
        <v>0</v>
      </c>
      <c r="D31" s="26"/>
      <c r="E31" s="74">
        <v>0.84399999999999997</v>
      </c>
      <c r="G31" s="74">
        <v>1</v>
      </c>
      <c r="I31" s="20">
        <f t="shared" ref="I31:I38" si="9">C31*E31*G31</f>
        <v>0</v>
      </c>
      <c r="J31" s="18"/>
      <c r="K31" s="74">
        <f t="shared" ref="K31:K37" si="10">K17</f>
        <v>0.88292662596888161</v>
      </c>
      <c r="L31" s="74"/>
      <c r="M31" s="74">
        <f t="shared" ref="M31:M37" si="11">M17</f>
        <v>0.98115091564807255</v>
      </c>
      <c r="N31" s="18"/>
      <c r="O31" s="18">
        <v>0</v>
      </c>
      <c r="Q31" s="18">
        <v>0</v>
      </c>
      <c r="R31" s="18"/>
      <c r="S31" s="20">
        <f t="shared" ref="S31:S38" si="12">I31*(1-K31)+O31</f>
        <v>0</v>
      </c>
      <c r="T31" s="18"/>
      <c r="U31" s="20">
        <f t="shared" ref="U31:U38" si="13">MAX(O31,I31*(1-M31)+Q31)</f>
        <v>0</v>
      </c>
      <c r="V31" s="20"/>
      <c r="W31" s="20">
        <f t="shared" ref="W31:W38" si="14">U31</f>
        <v>0</v>
      </c>
      <c r="X31" s="20"/>
      <c r="Y31" s="20">
        <f t="shared" ref="Y31:Y38" si="15">W31-O31</f>
        <v>0</v>
      </c>
      <c r="AK31" s="31"/>
    </row>
    <row r="32" spans="1:47">
      <c r="A32" s="6">
        <f t="shared" ref="A32:A38" si="16">A31+1</f>
        <v>2014</v>
      </c>
      <c r="C32" s="18">
        <v>0</v>
      </c>
      <c r="E32" s="74">
        <v>0.84399999999999997</v>
      </c>
      <c r="G32" s="74">
        <v>1</v>
      </c>
      <c r="I32" s="20">
        <f t="shared" si="9"/>
        <v>0</v>
      </c>
      <c r="J32" s="18"/>
      <c r="K32" s="74">
        <f t="shared" si="10"/>
        <v>0.781748488710163</v>
      </c>
      <c r="L32" s="74"/>
      <c r="M32" s="74">
        <f t="shared" si="11"/>
        <v>0.95526356486939812</v>
      </c>
      <c r="N32" s="18"/>
      <c r="O32" s="18">
        <v>0</v>
      </c>
      <c r="Q32" s="18">
        <v>0</v>
      </c>
      <c r="R32" s="18"/>
      <c r="S32" s="20">
        <f t="shared" si="12"/>
        <v>0</v>
      </c>
      <c r="T32" s="18"/>
      <c r="U32" s="20">
        <f t="shared" si="13"/>
        <v>0</v>
      </c>
      <c r="V32" s="20"/>
      <c r="W32" s="20">
        <f t="shared" si="14"/>
        <v>0</v>
      </c>
      <c r="X32" s="20"/>
      <c r="Y32" s="20">
        <f t="shared" si="15"/>
        <v>0</v>
      </c>
      <c r="AK32" s="31"/>
    </row>
    <row r="33" spans="1:37">
      <c r="A33" s="6">
        <f t="shared" si="16"/>
        <v>2015</v>
      </c>
      <c r="C33" s="18">
        <v>0</v>
      </c>
      <c r="E33" s="74">
        <v>0.84399999999999997</v>
      </c>
      <c r="G33" s="74">
        <v>1</v>
      </c>
      <c r="I33" s="20">
        <f t="shared" si="9"/>
        <v>0</v>
      </c>
      <c r="J33" s="18"/>
      <c r="K33" s="74">
        <f t="shared" si="10"/>
        <v>0.6398348470847689</v>
      </c>
      <c r="L33" s="74"/>
      <c r="M33" s="74">
        <f t="shared" si="11"/>
        <v>0.90563867519115449</v>
      </c>
      <c r="N33" s="18"/>
      <c r="O33" s="18">
        <v>0</v>
      </c>
      <c r="Q33" s="18">
        <v>0</v>
      </c>
      <c r="R33" s="18"/>
      <c r="S33" s="20">
        <f t="shared" si="12"/>
        <v>0</v>
      </c>
      <c r="T33" s="18"/>
      <c r="U33" s="20">
        <f t="shared" si="13"/>
        <v>0</v>
      </c>
      <c r="V33" s="20"/>
      <c r="W33" s="20">
        <f t="shared" si="14"/>
        <v>0</v>
      </c>
      <c r="X33" s="20"/>
      <c r="Y33" s="20">
        <f t="shared" si="15"/>
        <v>0</v>
      </c>
      <c r="AK33" s="31"/>
    </row>
    <row r="34" spans="1:37">
      <c r="A34" s="6">
        <f t="shared" si="16"/>
        <v>2016</v>
      </c>
      <c r="C34" s="18">
        <v>0</v>
      </c>
      <c r="E34" s="74">
        <v>0.84399999999999997</v>
      </c>
      <c r="G34" s="74">
        <v>1</v>
      </c>
      <c r="I34" s="20">
        <f t="shared" si="9"/>
        <v>0</v>
      </c>
      <c r="J34" s="18"/>
      <c r="K34" s="74">
        <f t="shared" si="10"/>
        <v>0.47250143837300063</v>
      </c>
      <c r="L34" s="74"/>
      <c r="M34" s="74">
        <f t="shared" si="11"/>
        <v>0.81500034074912342</v>
      </c>
      <c r="N34" s="18"/>
      <c r="O34" s="18">
        <v>0</v>
      </c>
      <c r="Q34" s="18">
        <v>0</v>
      </c>
      <c r="R34" s="18"/>
      <c r="S34" s="20">
        <f t="shared" si="12"/>
        <v>0</v>
      </c>
      <c r="T34" s="18"/>
      <c r="U34" s="20">
        <f t="shared" si="13"/>
        <v>0</v>
      </c>
      <c r="V34" s="20"/>
      <c r="W34" s="20">
        <f t="shared" si="14"/>
        <v>0</v>
      </c>
      <c r="X34" s="20"/>
      <c r="Y34" s="20">
        <f t="shared" si="15"/>
        <v>0</v>
      </c>
      <c r="AK34" s="31"/>
    </row>
    <row r="35" spans="1:37">
      <c r="A35" s="6">
        <f t="shared" si="16"/>
        <v>2017</v>
      </c>
      <c r="C35" s="18">
        <v>0</v>
      </c>
      <c r="E35" s="74">
        <v>0.84399999999999997</v>
      </c>
      <c r="G35" s="74">
        <v>1</v>
      </c>
      <c r="I35" s="20">
        <f t="shared" si="9"/>
        <v>0</v>
      </c>
      <c r="J35" s="18"/>
      <c r="K35" s="74">
        <f t="shared" si="10"/>
        <v>0.30712267948418231</v>
      </c>
      <c r="L35" s="74"/>
      <c r="M35" s="74">
        <f t="shared" si="11"/>
        <v>0.658173857572253</v>
      </c>
      <c r="N35" s="18"/>
      <c r="O35" s="18">
        <v>0</v>
      </c>
      <c r="Q35" s="18">
        <v>0</v>
      </c>
      <c r="R35" s="18"/>
      <c r="S35" s="20">
        <f t="shared" si="12"/>
        <v>0</v>
      </c>
      <c r="T35" s="18"/>
      <c r="U35" s="20">
        <f t="shared" si="13"/>
        <v>0</v>
      </c>
      <c r="V35" s="20"/>
      <c r="W35" s="20">
        <f t="shared" si="14"/>
        <v>0</v>
      </c>
      <c r="X35" s="20"/>
      <c r="Y35" s="20">
        <f t="shared" si="15"/>
        <v>0</v>
      </c>
      <c r="AK35" s="31"/>
    </row>
    <row r="36" spans="1:37">
      <c r="A36" s="6">
        <f t="shared" si="16"/>
        <v>2018</v>
      </c>
      <c r="C36" s="18">
        <v>0</v>
      </c>
      <c r="E36" s="74">
        <v>0.84399999999999997</v>
      </c>
      <c r="G36" s="74">
        <v>1</v>
      </c>
      <c r="I36" s="20">
        <f t="shared" si="9"/>
        <v>0</v>
      </c>
      <c r="J36" s="18"/>
      <c r="K36" s="74">
        <f t="shared" si="10"/>
        <v>0.16489014858788364</v>
      </c>
      <c r="L36" s="74"/>
      <c r="M36" s="74">
        <f t="shared" si="11"/>
        <v>0.44635243430393778</v>
      </c>
      <c r="N36" s="18"/>
      <c r="O36" s="18">
        <v>0</v>
      </c>
      <c r="Q36" s="18">
        <v>0</v>
      </c>
      <c r="R36" s="18"/>
      <c r="S36" s="20">
        <f t="shared" si="12"/>
        <v>0</v>
      </c>
      <c r="T36" s="18"/>
      <c r="U36" s="20">
        <f t="shared" si="13"/>
        <v>0</v>
      </c>
      <c r="V36" s="20"/>
      <c r="W36" s="20">
        <f t="shared" si="14"/>
        <v>0</v>
      </c>
      <c r="X36" s="20"/>
      <c r="Y36" s="20">
        <f t="shared" si="15"/>
        <v>0</v>
      </c>
      <c r="AK36" s="31"/>
    </row>
    <row r="37" spans="1:37">
      <c r="A37" s="6">
        <f t="shared" si="16"/>
        <v>2019</v>
      </c>
      <c r="C37" s="18">
        <v>0</v>
      </c>
      <c r="E37" s="74">
        <v>0.84399999999999997</v>
      </c>
      <c r="G37" s="74">
        <v>1</v>
      </c>
      <c r="I37" s="20">
        <f t="shared" si="9"/>
        <v>0</v>
      </c>
      <c r="J37" s="18"/>
      <c r="K37" s="74">
        <f t="shared" si="10"/>
        <v>6.8792659663111558E-2</v>
      </c>
      <c r="L37" s="74"/>
      <c r="M37" s="74">
        <f t="shared" si="11"/>
        <v>0.23937239750280831</v>
      </c>
      <c r="N37" s="18"/>
      <c r="O37" s="18">
        <v>0</v>
      </c>
      <c r="Q37" s="18">
        <v>0</v>
      </c>
      <c r="R37" s="18"/>
      <c r="S37" s="20">
        <f t="shared" si="12"/>
        <v>0</v>
      </c>
      <c r="T37" s="18"/>
      <c r="U37" s="20">
        <f t="shared" si="13"/>
        <v>0</v>
      </c>
      <c r="V37" s="20"/>
      <c r="W37" s="20">
        <f t="shared" si="14"/>
        <v>0</v>
      </c>
      <c r="X37" s="20"/>
      <c r="Y37" s="20">
        <f t="shared" si="15"/>
        <v>0</v>
      </c>
      <c r="AK37" s="31"/>
    </row>
    <row r="38" spans="1:37">
      <c r="A38" s="6">
        <f t="shared" si="16"/>
        <v>2020</v>
      </c>
      <c r="C38" s="18">
        <v>0</v>
      </c>
      <c r="E38" s="74">
        <v>0.84399999999999997</v>
      </c>
      <c r="G38" s="74">
        <v>1</v>
      </c>
      <c r="I38" s="20">
        <f t="shared" si="9"/>
        <v>0</v>
      </c>
      <c r="J38" s="18"/>
      <c r="K38" s="74">
        <f>K24</f>
        <v>1.9984722532595877E-2</v>
      </c>
      <c r="L38" s="74"/>
      <c r="M38" s="74">
        <f>M24</f>
        <v>8.9017847776179576E-2</v>
      </c>
      <c r="N38" s="18"/>
      <c r="O38" s="18">
        <v>0</v>
      </c>
      <c r="Q38" s="18">
        <v>0</v>
      </c>
      <c r="R38" s="18"/>
      <c r="S38" s="20">
        <f t="shared" si="12"/>
        <v>0</v>
      </c>
      <c r="T38" s="18"/>
      <c r="U38" s="20">
        <f t="shared" si="13"/>
        <v>0</v>
      </c>
      <c r="V38" s="20"/>
      <c r="W38" s="20">
        <f t="shared" si="14"/>
        <v>0</v>
      </c>
      <c r="X38" s="20"/>
      <c r="Y38" s="20">
        <f t="shared" si="15"/>
        <v>0</v>
      </c>
      <c r="AK38" s="31"/>
    </row>
    <row r="39" spans="1:37">
      <c r="A39" s="6"/>
      <c r="C39" s="63"/>
      <c r="I39" s="63"/>
      <c r="O39" s="63"/>
      <c r="Q39" s="63"/>
      <c r="S39" s="63"/>
      <c r="U39" s="63"/>
      <c r="W39" s="63"/>
      <c r="Y39" s="63"/>
      <c r="AK39" s="31"/>
    </row>
    <row r="40" spans="1:37">
      <c r="A40" s="2" t="s">
        <v>0</v>
      </c>
      <c r="C40" s="26">
        <f>SUM(C30:C39)</f>
        <v>0</v>
      </c>
      <c r="I40" s="26">
        <f>SUM(I30:I39)</f>
        <v>0</v>
      </c>
      <c r="J40" s="26"/>
      <c r="N40" s="26"/>
      <c r="O40" s="26">
        <f>SUM(O30:O39)</f>
        <v>0</v>
      </c>
      <c r="Q40" s="26">
        <f>SUM(Q30:Q39)</f>
        <v>0</v>
      </c>
      <c r="R40" s="26"/>
      <c r="S40" s="26">
        <f>SUM(S30:S39)</f>
        <v>0</v>
      </c>
      <c r="T40" s="26"/>
      <c r="U40" s="26">
        <f>SUM(U30:U39)</f>
        <v>0</v>
      </c>
      <c r="W40" s="26">
        <f>SUM(W30:W39)</f>
        <v>0</v>
      </c>
      <c r="Y40" s="26">
        <f>SUM(Y30:Y39)</f>
        <v>0</v>
      </c>
      <c r="AK40" s="31"/>
    </row>
    <row r="41" spans="1:37" ht="16">
      <c r="A41" s="6"/>
      <c r="F41" s="26"/>
      <c r="AK41" s="36"/>
    </row>
    <row r="42" spans="1:37">
      <c r="A42" s="26" t="s">
        <v>296</v>
      </c>
      <c r="AK42" s="31"/>
    </row>
    <row r="43" spans="1:37">
      <c r="A43" s="6">
        <f>2012</f>
        <v>2012</v>
      </c>
      <c r="I43" s="26">
        <f>C43*E43*G43</f>
        <v>0</v>
      </c>
      <c r="J43" s="26"/>
      <c r="K43" s="74">
        <f>K30</f>
        <v>0.9437608217605965</v>
      </c>
      <c r="L43" s="74"/>
      <c r="M43" s="74">
        <f>M30</f>
        <v>0.99338148454770181</v>
      </c>
      <c r="N43" s="26"/>
      <c r="O43" s="26">
        <v>0</v>
      </c>
      <c r="Q43" s="26">
        <v>0</v>
      </c>
      <c r="R43" s="26"/>
      <c r="S43" s="19">
        <f>I43*(1-K43)+O43</f>
        <v>0</v>
      </c>
      <c r="T43" s="19"/>
      <c r="U43" s="19">
        <f>MAX(O43,I43*(1-M43)+Q43)</f>
        <v>0</v>
      </c>
      <c r="W43" s="26">
        <f>U43</f>
        <v>0</v>
      </c>
      <c r="Y43" s="26">
        <f>W43-O43</f>
        <v>0</v>
      </c>
      <c r="AK43" s="31"/>
    </row>
    <row r="44" spans="1:37">
      <c r="A44" s="6">
        <f>A43+1</f>
        <v>2013</v>
      </c>
      <c r="I44" s="20">
        <f t="shared" ref="I44:I51" si="17">C44*E44*G44</f>
        <v>0</v>
      </c>
      <c r="J44" s="18"/>
      <c r="K44" s="74">
        <f t="shared" ref="K44:K51" si="18">K31</f>
        <v>0.88292662596888161</v>
      </c>
      <c r="L44" s="74"/>
      <c r="M44" s="74">
        <f t="shared" ref="M44:M51" si="19">M31</f>
        <v>0.98115091564807255</v>
      </c>
      <c r="N44" s="18"/>
      <c r="O44" s="18">
        <v>0</v>
      </c>
      <c r="Q44" s="18">
        <v>0</v>
      </c>
      <c r="R44" s="18"/>
      <c r="S44" s="20">
        <f t="shared" ref="S44:S51" si="20">I44*(1-K44)+O44</f>
        <v>0</v>
      </c>
      <c r="T44" s="18"/>
      <c r="U44" s="20">
        <f t="shared" ref="U44:U51" si="21">MAX(O44,I44*(1-M44)+Q44)</f>
        <v>0</v>
      </c>
      <c r="V44" s="20"/>
      <c r="W44" s="20">
        <f t="shared" ref="W44:W51" si="22">U44</f>
        <v>0</v>
      </c>
      <c r="X44" s="20"/>
      <c r="Y44" s="20">
        <f t="shared" ref="Y44:Y51" si="23">W44-O44</f>
        <v>0</v>
      </c>
      <c r="AK44" s="31"/>
    </row>
    <row r="45" spans="1:37">
      <c r="A45" s="6">
        <f t="shared" ref="A45:A51" si="24">A44+1</f>
        <v>2014</v>
      </c>
      <c r="I45" s="20">
        <f t="shared" si="17"/>
        <v>0</v>
      </c>
      <c r="J45" s="18"/>
      <c r="K45" s="74">
        <f t="shared" si="18"/>
        <v>0.781748488710163</v>
      </c>
      <c r="L45" s="74"/>
      <c r="M45" s="74">
        <f t="shared" si="19"/>
        <v>0.95526356486939812</v>
      </c>
      <c r="N45" s="18"/>
      <c r="O45" s="18">
        <v>0</v>
      </c>
      <c r="Q45" s="18">
        <v>0</v>
      </c>
      <c r="R45" s="18"/>
      <c r="S45" s="20">
        <f t="shared" si="20"/>
        <v>0</v>
      </c>
      <c r="T45" s="18"/>
      <c r="U45" s="20">
        <f t="shared" si="21"/>
        <v>0</v>
      </c>
      <c r="V45" s="20"/>
      <c r="W45" s="20">
        <f t="shared" si="22"/>
        <v>0</v>
      </c>
      <c r="X45" s="20"/>
      <c r="Y45" s="20">
        <f t="shared" si="23"/>
        <v>0</v>
      </c>
      <c r="AK45" s="31"/>
    </row>
    <row r="46" spans="1:37">
      <c r="A46" s="6">
        <f t="shared" si="24"/>
        <v>2015</v>
      </c>
      <c r="I46" s="20">
        <f t="shared" si="17"/>
        <v>0</v>
      </c>
      <c r="J46" s="18"/>
      <c r="K46" s="74">
        <f t="shared" si="18"/>
        <v>0.6398348470847689</v>
      </c>
      <c r="L46" s="74"/>
      <c r="M46" s="74">
        <f t="shared" si="19"/>
        <v>0.90563867519115449</v>
      </c>
      <c r="N46" s="18"/>
      <c r="O46" s="18">
        <v>0</v>
      </c>
      <c r="Q46" s="18">
        <v>0</v>
      </c>
      <c r="R46" s="18"/>
      <c r="S46" s="20">
        <f t="shared" si="20"/>
        <v>0</v>
      </c>
      <c r="T46" s="18"/>
      <c r="U46" s="20">
        <f t="shared" si="21"/>
        <v>0</v>
      </c>
      <c r="V46" s="20"/>
      <c r="W46" s="20">
        <f t="shared" si="22"/>
        <v>0</v>
      </c>
      <c r="X46" s="20"/>
      <c r="Y46" s="20">
        <f t="shared" si="23"/>
        <v>0</v>
      </c>
      <c r="AK46" s="31"/>
    </row>
    <row r="47" spans="1:37">
      <c r="A47" s="6">
        <f t="shared" si="24"/>
        <v>2016</v>
      </c>
      <c r="I47" s="20">
        <f t="shared" si="17"/>
        <v>0</v>
      </c>
      <c r="J47" s="18"/>
      <c r="K47" s="74">
        <f t="shared" si="18"/>
        <v>0.47250143837300063</v>
      </c>
      <c r="L47" s="74"/>
      <c r="M47" s="74">
        <f t="shared" si="19"/>
        <v>0.81500034074912342</v>
      </c>
      <c r="N47" s="18"/>
      <c r="O47" s="18">
        <v>0</v>
      </c>
      <c r="Q47" s="18">
        <v>0</v>
      </c>
      <c r="R47" s="18"/>
      <c r="S47" s="20">
        <f t="shared" si="20"/>
        <v>0</v>
      </c>
      <c r="T47" s="18"/>
      <c r="U47" s="20">
        <f t="shared" si="21"/>
        <v>0</v>
      </c>
      <c r="V47" s="20"/>
      <c r="W47" s="20">
        <f t="shared" si="22"/>
        <v>0</v>
      </c>
      <c r="X47" s="20"/>
      <c r="Y47" s="20">
        <f t="shared" si="23"/>
        <v>0</v>
      </c>
      <c r="AK47" s="31"/>
    </row>
    <row r="48" spans="1:37">
      <c r="A48" s="6">
        <f t="shared" si="24"/>
        <v>2017</v>
      </c>
      <c r="I48" s="20">
        <f t="shared" si="17"/>
        <v>0</v>
      </c>
      <c r="J48" s="18"/>
      <c r="K48" s="74">
        <f t="shared" si="18"/>
        <v>0.30712267948418231</v>
      </c>
      <c r="L48" s="74"/>
      <c r="M48" s="74">
        <f t="shared" si="19"/>
        <v>0.658173857572253</v>
      </c>
      <c r="N48" s="18"/>
      <c r="O48" s="18">
        <v>0</v>
      </c>
      <c r="Q48" s="18">
        <v>0</v>
      </c>
      <c r="R48" s="18"/>
      <c r="S48" s="20">
        <f t="shared" si="20"/>
        <v>0</v>
      </c>
      <c r="T48" s="18"/>
      <c r="U48" s="20">
        <f t="shared" si="21"/>
        <v>0</v>
      </c>
      <c r="V48" s="20"/>
      <c r="W48" s="20">
        <f t="shared" si="22"/>
        <v>0</v>
      </c>
      <c r="X48" s="20"/>
      <c r="Y48" s="20">
        <f t="shared" si="23"/>
        <v>0</v>
      </c>
      <c r="AK48" s="31"/>
    </row>
    <row r="49" spans="1:37">
      <c r="A49" s="6">
        <f t="shared" si="24"/>
        <v>2018</v>
      </c>
      <c r="I49" s="20">
        <f t="shared" si="17"/>
        <v>0</v>
      </c>
      <c r="J49" s="18"/>
      <c r="K49" s="74">
        <f t="shared" si="18"/>
        <v>0.16489014858788364</v>
      </c>
      <c r="L49" s="74"/>
      <c r="M49" s="74">
        <f t="shared" si="19"/>
        <v>0.44635243430393778</v>
      </c>
      <c r="N49" s="18"/>
      <c r="O49" s="18">
        <v>0</v>
      </c>
      <c r="Q49" s="18">
        <v>0</v>
      </c>
      <c r="R49" s="18"/>
      <c r="S49" s="20">
        <f t="shared" si="20"/>
        <v>0</v>
      </c>
      <c r="T49" s="18"/>
      <c r="U49" s="20">
        <f t="shared" si="21"/>
        <v>0</v>
      </c>
      <c r="V49" s="20"/>
      <c r="W49" s="20">
        <f t="shared" si="22"/>
        <v>0</v>
      </c>
      <c r="X49" s="20"/>
      <c r="Y49" s="20">
        <f t="shared" si="23"/>
        <v>0</v>
      </c>
      <c r="AK49" s="31"/>
    </row>
    <row r="50" spans="1:37">
      <c r="A50" s="6">
        <f t="shared" si="24"/>
        <v>2019</v>
      </c>
      <c r="I50" s="20">
        <f t="shared" si="17"/>
        <v>0</v>
      </c>
      <c r="J50" s="18"/>
      <c r="K50" s="74">
        <f t="shared" si="18"/>
        <v>6.8792659663111558E-2</v>
      </c>
      <c r="L50" s="74"/>
      <c r="M50" s="74">
        <f t="shared" si="19"/>
        <v>0.23937239750280831</v>
      </c>
      <c r="N50" s="18"/>
      <c r="O50" s="18">
        <v>0</v>
      </c>
      <c r="Q50" s="18">
        <v>0</v>
      </c>
      <c r="R50" s="18"/>
      <c r="S50" s="20">
        <f t="shared" si="20"/>
        <v>0</v>
      </c>
      <c r="T50" s="18"/>
      <c r="U50" s="20">
        <f t="shared" si="21"/>
        <v>0</v>
      </c>
      <c r="V50" s="20"/>
      <c r="W50" s="20">
        <f t="shared" si="22"/>
        <v>0</v>
      </c>
      <c r="X50" s="20"/>
      <c r="Y50" s="20">
        <f t="shared" si="23"/>
        <v>0</v>
      </c>
      <c r="AK50" s="31"/>
    </row>
    <row r="51" spans="1:37">
      <c r="A51" s="6">
        <f t="shared" si="24"/>
        <v>2020</v>
      </c>
      <c r="I51" s="20">
        <f t="shared" si="17"/>
        <v>0</v>
      </c>
      <c r="J51" s="18"/>
      <c r="K51" s="74">
        <f t="shared" si="18"/>
        <v>1.9984722532595877E-2</v>
      </c>
      <c r="L51" s="74"/>
      <c r="M51" s="74">
        <f t="shared" si="19"/>
        <v>8.9017847776179576E-2</v>
      </c>
      <c r="N51" s="18"/>
      <c r="O51" s="18">
        <v>0</v>
      </c>
      <c r="Q51" s="18">
        <v>0</v>
      </c>
      <c r="R51" s="18"/>
      <c r="S51" s="20">
        <f t="shared" si="20"/>
        <v>0</v>
      </c>
      <c r="T51" s="18"/>
      <c r="U51" s="20">
        <f t="shared" si="21"/>
        <v>0</v>
      </c>
      <c r="V51" s="20"/>
      <c r="W51" s="20">
        <f t="shared" si="22"/>
        <v>0</v>
      </c>
      <c r="X51" s="20"/>
      <c r="Y51" s="20">
        <f t="shared" si="23"/>
        <v>0</v>
      </c>
      <c r="AK51" s="31"/>
    </row>
    <row r="52" spans="1:37">
      <c r="A52" s="6"/>
      <c r="I52" s="63"/>
      <c r="O52" s="63"/>
      <c r="Q52" s="63"/>
      <c r="S52" s="63"/>
      <c r="U52" s="63"/>
      <c r="W52" s="63"/>
      <c r="Y52" s="63"/>
      <c r="AK52" s="31"/>
    </row>
    <row r="53" spans="1:37">
      <c r="A53" s="2" t="s">
        <v>0</v>
      </c>
      <c r="C53" s="26">
        <f>SUM(C43:C52)</f>
        <v>0</v>
      </c>
      <c r="I53" s="26">
        <f>SUM(I43:I52)</f>
        <v>0</v>
      </c>
      <c r="J53" s="26"/>
      <c r="N53" s="26"/>
      <c r="O53" s="26">
        <f>SUM(O43:O52)</f>
        <v>0</v>
      </c>
      <c r="Q53" s="26">
        <f>SUM(Q43:Q52)</f>
        <v>0</v>
      </c>
      <c r="R53" s="26"/>
      <c r="S53" s="26">
        <f>SUM(S43:S52)</f>
        <v>0</v>
      </c>
      <c r="T53" s="26"/>
      <c r="U53" s="26">
        <f>SUM(U43:U52)</f>
        <v>0</v>
      </c>
      <c r="W53" s="26">
        <f>SUM(W43:W52)</f>
        <v>0</v>
      </c>
      <c r="Y53" s="26">
        <f>SUM(Y43:Y52)</f>
        <v>0</v>
      </c>
      <c r="AK53" s="31"/>
    </row>
    <row r="54" spans="1:37">
      <c r="AK54" s="31"/>
    </row>
    <row r="55" spans="1:37">
      <c r="A55" s="26" t="s">
        <v>297</v>
      </c>
      <c r="AK55" s="31"/>
    </row>
    <row r="56" spans="1:37">
      <c r="A56" s="6">
        <f>2012</f>
        <v>2012</v>
      </c>
      <c r="C56" s="26">
        <f>C17+C30+C43</f>
        <v>0</v>
      </c>
      <c r="I56" s="26">
        <f>I17+I30+I43</f>
        <v>0</v>
      </c>
      <c r="J56" s="26"/>
      <c r="K56" s="26"/>
      <c r="L56" s="26"/>
      <c r="M56" s="26"/>
      <c r="N56" s="26"/>
      <c r="O56" s="26">
        <f>O17+O30+O43</f>
        <v>0</v>
      </c>
      <c r="Q56" s="26">
        <f>Q17+Q30+Q43</f>
        <v>0</v>
      </c>
      <c r="R56" s="26"/>
      <c r="S56" s="26">
        <f t="shared" ref="S56:S64" si="25">S17+S30+S43</f>
        <v>0</v>
      </c>
      <c r="T56" s="26"/>
      <c r="U56" s="26">
        <f t="shared" ref="U56:U64" si="26">U17+U30+U43</f>
        <v>0</v>
      </c>
      <c r="W56" s="26">
        <f t="shared" ref="W56:W64" si="27">W17+W30+W43</f>
        <v>0</v>
      </c>
      <c r="Y56" s="26">
        <f t="shared" ref="Y56:Y64" si="28">Y17+Y30+Y43</f>
        <v>0</v>
      </c>
      <c r="AK56" s="31"/>
    </row>
    <row r="57" spans="1:37">
      <c r="A57" s="6">
        <f>A56+1</f>
        <v>2013</v>
      </c>
      <c r="C57" s="20">
        <f t="shared" ref="C57:C64" si="29">C18+C31+C44</f>
        <v>0</v>
      </c>
      <c r="D57" s="26"/>
      <c r="I57" s="20">
        <f t="shared" ref="I57:I64" si="30">I18+I31+I44</f>
        <v>0</v>
      </c>
      <c r="J57" s="18"/>
      <c r="K57" s="18"/>
      <c r="L57" s="18"/>
      <c r="M57" s="18"/>
      <c r="N57" s="18"/>
      <c r="O57" s="20">
        <f t="shared" ref="O57:Q64" si="31">O18+O31+O44</f>
        <v>0</v>
      </c>
      <c r="Q57" s="20">
        <f t="shared" si="31"/>
        <v>0</v>
      </c>
      <c r="R57" s="18"/>
      <c r="S57" s="20">
        <f t="shared" si="25"/>
        <v>0</v>
      </c>
      <c r="T57" s="18"/>
      <c r="U57" s="20">
        <f t="shared" si="26"/>
        <v>0</v>
      </c>
      <c r="V57" s="18"/>
      <c r="W57" s="20">
        <f t="shared" si="27"/>
        <v>0</v>
      </c>
      <c r="X57" s="18"/>
      <c r="Y57" s="20">
        <f t="shared" si="28"/>
        <v>0</v>
      </c>
      <c r="AK57" s="31"/>
    </row>
    <row r="58" spans="1:37">
      <c r="A58" s="6">
        <f t="shared" ref="A58:A64" si="32">A57+1</f>
        <v>2014</v>
      </c>
      <c r="C58" s="20">
        <f t="shared" si="29"/>
        <v>0</v>
      </c>
      <c r="I58" s="20">
        <f t="shared" si="30"/>
        <v>0</v>
      </c>
      <c r="J58" s="18"/>
      <c r="K58" s="18"/>
      <c r="L58" s="18"/>
      <c r="M58" s="18"/>
      <c r="N58" s="18"/>
      <c r="O58" s="20">
        <f t="shared" si="31"/>
        <v>0</v>
      </c>
      <c r="Q58" s="20">
        <f t="shared" si="31"/>
        <v>0</v>
      </c>
      <c r="R58" s="18"/>
      <c r="S58" s="20">
        <f t="shared" si="25"/>
        <v>0</v>
      </c>
      <c r="T58" s="18"/>
      <c r="U58" s="20">
        <f t="shared" si="26"/>
        <v>0</v>
      </c>
      <c r="V58" s="18"/>
      <c r="W58" s="20">
        <f t="shared" si="27"/>
        <v>0</v>
      </c>
      <c r="X58" s="18"/>
      <c r="Y58" s="20">
        <f t="shared" si="28"/>
        <v>0</v>
      </c>
      <c r="AK58" s="31"/>
    </row>
    <row r="59" spans="1:37">
      <c r="A59" s="6">
        <f t="shared" si="32"/>
        <v>2015</v>
      </c>
      <c r="C59" s="20">
        <f t="shared" si="29"/>
        <v>0</v>
      </c>
      <c r="I59" s="20">
        <f t="shared" si="30"/>
        <v>0</v>
      </c>
      <c r="J59" s="18"/>
      <c r="K59" s="18"/>
      <c r="L59" s="18"/>
      <c r="M59" s="18"/>
      <c r="N59" s="18"/>
      <c r="O59" s="20">
        <f t="shared" si="31"/>
        <v>0</v>
      </c>
      <c r="Q59" s="20">
        <f t="shared" si="31"/>
        <v>0</v>
      </c>
      <c r="R59" s="18"/>
      <c r="S59" s="20">
        <f t="shared" si="25"/>
        <v>0</v>
      </c>
      <c r="T59" s="18"/>
      <c r="U59" s="20">
        <f t="shared" si="26"/>
        <v>0</v>
      </c>
      <c r="V59" s="18"/>
      <c r="W59" s="20">
        <f t="shared" si="27"/>
        <v>0</v>
      </c>
      <c r="X59" s="18"/>
      <c r="Y59" s="20">
        <f t="shared" si="28"/>
        <v>0</v>
      </c>
      <c r="AK59" s="31"/>
    </row>
    <row r="60" spans="1:37">
      <c r="A60" s="6">
        <f t="shared" si="32"/>
        <v>2016</v>
      </c>
      <c r="C60" s="20">
        <f t="shared" si="29"/>
        <v>0</v>
      </c>
      <c r="I60" s="20">
        <f t="shared" si="30"/>
        <v>0</v>
      </c>
      <c r="J60" s="18"/>
      <c r="K60" s="18"/>
      <c r="L60" s="18"/>
      <c r="M60" s="18"/>
      <c r="N60" s="18"/>
      <c r="O60" s="20">
        <f t="shared" si="31"/>
        <v>0</v>
      </c>
      <c r="Q60" s="20">
        <f t="shared" si="31"/>
        <v>0</v>
      </c>
      <c r="R60" s="18"/>
      <c r="S60" s="20">
        <f t="shared" si="25"/>
        <v>0</v>
      </c>
      <c r="T60" s="18"/>
      <c r="U60" s="20">
        <f t="shared" si="26"/>
        <v>0</v>
      </c>
      <c r="V60" s="18"/>
      <c r="W60" s="20">
        <f t="shared" si="27"/>
        <v>0</v>
      </c>
      <c r="X60" s="18"/>
      <c r="Y60" s="20">
        <f t="shared" si="28"/>
        <v>0</v>
      </c>
      <c r="AK60" s="31"/>
    </row>
    <row r="61" spans="1:37">
      <c r="A61" s="6">
        <f t="shared" si="32"/>
        <v>2017</v>
      </c>
      <c r="C61" s="20">
        <f t="shared" si="29"/>
        <v>0</v>
      </c>
      <c r="I61" s="20">
        <f t="shared" si="30"/>
        <v>0</v>
      </c>
      <c r="J61" s="18"/>
      <c r="K61" s="18"/>
      <c r="L61" s="18"/>
      <c r="M61" s="18"/>
      <c r="N61" s="18"/>
      <c r="O61" s="20">
        <f t="shared" si="31"/>
        <v>0</v>
      </c>
      <c r="Q61" s="20">
        <f t="shared" si="31"/>
        <v>0</v>
      </c>
      <c r="R61" s="18"/>
      <c r="S61" s="20">
        <f t="shared" si="25"/>
        <v>0</v>
      </c>
      <c r="T61" s="18"/>
      <c r="U61" s="20">
        <f t="shared" si="26"/>
        <v>0</v>
      </c>
      <c r="V61" s="18"/>
      <c r="W61" s="20">
        <f t="shared" si="27"/>
        <v>0</v>
      </c>
      <c r="X61" s="18"/>
      <c r="Y61" s="20">
        <f t="shared" si="28"/>
        <v>0</v>
      </c>
      <c r="AK61" s="31"/>
    </row>
    <row r="62" spans="1:37">
      <c r="A62" s="6">
        <f t="shared" si="32"/>
        <v>2018</v>
      </c>
      <c r="C62" s="20">
        <f t="shared" si="29"/>
        <v>0</v>
      </c>
      <c r="I62" s="20">
        <f t="shared" si="30"/>
        <v>0</v>
      </c>
      <c r="J62" s="18"/>
      <c r="K62" s="18"/>
      <c r="L62" s="18"/>
      <c r="M62" s="18"/>
      <c r="N62" s="18"/>
      <c r="O62" s="20">
        <f t="shared" si="31"/>
        <v>0</v>
      </c>
      <c r="Q62" s="20">
        <f t="shared" si="31"/>
        <v>0</v>
      </c>
      <c r="R62" s="18"/>
      <c r="S62" s="20">
        <f t="shared" si="25"/>
        <v>0</v>
      </c>
      <c r="T62" s="18"/>
      <c r="U62" s="20">
        <f t="shared" si="26"/>
        <v>0</v>
      </c>
      <c r="V62" s="18"/>
      <c r="W62" s="20">
        <f t="shared" si="27"/>
        <v>0</v>
      </c>
      <c r="X62" s="18"/>
      <c r="Y62" s="20">
        <f t="shared" si="28"/>
        <v>0</v>
      </c>
      <c r="AK62" s="31"/>
    </row>
    <row r="63" spans="1:37">
      <c r="A63" s="6">
        <f t="shared" si="32"/>
        <v>2019</v>
      </c>
      <c r="C63" s="20">
        <f t="shared" si="29"/>
        <v>0</v>
      </c>
      <c r="I63" s="20">
        <f t="shared" si="30"/>
        <v>0</v>
      </c>
      <c r="J63" s="18"/>
      <c r="K63" s="18"/>
      <c r="L63" s="18"/>
      <c r="M63" s="18"/>
      <c r="N63" s="18"/>
      <c r="O63" s="20">
        <f t="shared" si="31"/>
        <v>0</v>
      </c>
      <c r="Q63" s="20">
        <f t="shared" si="31"/>
        <v>0</v>
      </c>
      <c r="R63" s="18"/>
      <c r="S63" s="20">
        <f t="shared" si="25"/>
        <v>0</v>
      </c>
      <c r="T63" s="18"/>
      <c r="U63" s="20">
        <f t="shared" si="26"/>
        <v>0</v>
      </c>
      <c r="V63" s="18"/>
      <c r="W63" s="20">
        <f t="shared" si="27"/>
        <v>0</v>
      </c>
      <c r="X63" s="18"/>
      <c r="Y63" s="20">
        <f t="shared" si="28"/>
        <v>0</v>
      </c>
      <c r="AK63" s="31"/>
    </row>
    <row r="64" spans="1:37">
      <c r="A64" s="6">
        <f t="shared" si="32"/>
        <v>2020</v>
      </c>
      <c r="C64" s="20">
        <f t="shared" si="29"/>
        <v>0</v>
      </c>
      <c r="I64" s="20">
        <f t="shared" si="30"/>
        <v>0</v>
      </c>
      <c r="J64" s="18"/>
      <c r="K64" s="18"/>
      <c r="L64" s="18"/>
      <c r="M64" s="18"/>
      <c r="N64" s="18"/>
      <c r="O64" s="20">
        <f t="shared" si="31"/>
        <v>0</v>
      </c>
      <c r="Q64" s="20">
        <f t="shared" si="31"/>
        <v>0</v>
      </c>
      <c r="R64" s="18"/>
      <c r="S64" s="20">
        <f t="shared" si="25"/>
        <v>0</v>
      </c>
      <c r="T64" s="18"/>
      <c r="U64" s="20">
        <f t="shared" si="26"/>
        <v>0</v>
      </c>
      <c r="V64" s="18"/>
      <c r="W64" s="20">
        <f t="shared" si="27"/>
        <v>0</v>
      </c>
      <c r="X64" s="18"/>
      <c r="Y64" s="20">
        <f t="shared" si="28"/>
        <v>0</v>
      </c>
      <c r="AK64" s="31"/>
    </row>
    <row r="65" spans="1:37">
      <c r="A65" s="6"/>
      <c r="C65" s="63"/>
      <c r="I65" s="63"/>
      <c r="O65" s="63"/>
      <c r="Q65" s="63"/>
      <c r="S65" s="63"/>
      <c r="U65" s="63"/>
      <c r="W65" s="63"/>
      <c r="Y65" s="63"/>
      <c r="AK65" s="31"/>
    </row>
    <row r="66" spans="1:37">
      <c r="A66" s="2" t="s">
        <v>0</v>
      </c>
      <c r="C66" s="26">
        <f>SUM(C56:C65)</f>
        <v>0</v>
      </c>
      <c r="I66" s="26">
        <f>SUM(I56:I65)</f>
        <v>0</v>
      </c>
      <c r="J66" s="26"/>
      <c r="N66" s="26"/>
      <c r="O66" s="26">
        <f>SUM(O56:O65)</f>
        <v>0</v>
      </c>
      <c r="Q66" s="26">
        <f>SUM(Q56:Q65)</f>
        <v>0</v>
      </c>
      <c r="R66" s="26"/>
      <c r="S66" s="26">
        <f>SUM(S56:S65)</f>
        <v>0</v>
      </c>
      <c r="T66" s="26"/>
      <c r="U66" s="26">
        <f>SUM(U56:U65)</f>
        <v>0</v>
      </c>
      <c r="W66" s="26">
        <f>SUM(W56:W65)</f>
        <v>0</v>
      </c>
      <c r="Y66" s="26">
        <f>SUM(Y56:Y65)</f>
        <v>0</v>
      </c>
      <c r="AK66" s="31"/>
    </row>
    <row r="67" spans="1:37">
      <c r="A67" s="6"/>
      <c r="AK67" s="31"/>
    </row>
    <row r="68" spans="1:37">
      <c r="A68" s="6"/>
      <c r="AK68" s="31"/>
    </row>
    <row r="69" spans="1:37">
      <c r="AK69" s="31"/>
    </row>
    <row r="70" spans="1:37">
      <c r="A70" s="162" t="s">
        <v>104</v>
      </c>
      <c r="C70" s="3" t="s">
        <v>533</v>
      </c>
      <c r="AK70" s="31"/>
    </row>
    <row r="71" spans="1:37">
      <c r="A71" s="163" t="s">
        <v>36</v>
      </c>
      <c r="C71" s="3" t="s">
        <v>179</v>
      </c>
      <c r="AK71" s="31"/>
    </row>
    <row r="72" spans="1:37">
      <c r="A72" s="163" t="s">
        <v>38</v>
      </c>
      <c r="C72" s="3" t="s">
        <v>534</v>
      </c>
      <c r="AK72" s="31"/>
    </row>
    <row r="73" spans="1:37" ht="16">
      <c r="A73" s="52" t="s">
        <v>40</v>
      </c>
      <c r="C73" s="3" t="s">
        <v>301</v>
      </c>
      <c r="AK73" s="36"/>
    </row>
    <row r="74" spans="1:37">
      <c r="A74" s="52" t="s">
        <v>42</v>
      </c>
      <c r="C74" s="3" t="s">
        <v>455</v>
      </c>
    </row>
    <row r="75" spans="1:37">
      <c r="A75" s="64" t="s">
        <v>30</v>
      </c>
      <c r="C75" s="3" t="s">
        <v>456</v>
      </c>
    </row>
    <row r="76" spans="1:37">
      <c r="A76" s="162" t="s">
        <v>31</v>
      </c>
      <c r="C76" s="3" t="s">
        <v>529</v>
      </c>
    </row>
    <row r="77" spans="1:37">
      <c r="A77" s="162" t="s">
        <v>103</v>
      </c>
      <c r="C77" s="3" t="s">
        <v>529</v>
      </c>
    </row>
    <row r="78" spans="1:37">
      <c r="A78" s="64" t="s">
        <v>106</v>
      </c>
      <c r="C78" s="3" t="s">
        <v>320</v>
      </c>
    </row>
    <row r="79" spans="1:37">
      <c r="A79" s="64" t="s">
        <v>134</v>
      </c>
      <c r="C79" s="3" t="s">
        <v>450</v>
      </c>
    </row>
    <row r="80" spans="1:37">
      <c r="A80" s="64" t="s">
        <v>137</v>
      </c>
      <c r="C80" s="3" t="s">
        <v>319</v>
      </c>
    </row>
  </sheetData>
  <printOptions horizontalCentered="1" verticalCentered="1"/>
  <pageMargins left="0.7" right="0.7" top="0.75" bottom="0.75" header="0.3" footer="0.3"/>
  <pageSetup scale="45" orientation="portrait" blackAndWhite="1" r:id="rId1"/>
  <headerFooter>
    <oddFooter>&amp;L&amp;6&amp;Z&amp;F
&amp;A</oddFooter>
  </headerFooter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94">
    <tabColor rgb="FFFF0000"/>
    <pageSetUpPr fitToPage="1"/>
  </sheetPr>
  <dimension ref="A1:BA80"/>
  <sheetViews>
    <sheetView zoomScale="75" zoomScaleNormal="75" workbookViewId="0">
      <selection activeCell="A6" sqref="A6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9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9.7109375" style="1" customWidth="1"/>
    <col min="10" max="10" width="1.7109375" style="1" customWidth="1"/>
    <col min="11" max="11" width="9.7109375" style="1" customWidth="1"/>
    <col min="12" max="12" width="1.7109375" style="1" customWidth="1"/>
    <col min="13" max="13" width="10.7109375" style="1" customWidth="1"/>
    <col min="14" max="14" width="1.7109375" style="1" customWidth="1"/>
    <col min="15" max="15" width="11.7109375" style="1" customWidth="1"/>
    <col min="16" max="16" width="1.7109375" style="1" customWidth="1"/>
    <col min="17" max="17" width="12.7109375" style="1" customWidth="1"/>
    <col min="18" max="18" width="1.7109375" style="1" customWidth="1"/>
    <col min="19" max="19" width="11.7109375" style="1" customWidth="1"/>
    <col min="20" max="20" width="1.7109375" style="1" customWidth="1"/>
    <col min="21" max="21" width="11.7109375" style="1" customWidth="1"/>
    <col min="22" max="22" width="1.7109375" style="1" customWidth="1"/>
    <col min="23" max="23" width="10.7109375" style="1" customWidth="1"/>
    <col min="24" max="24" width="1.7109375" style="1" customWidth="1"/>
    <col min="25" max="25" width="11.7109375" style="1" customWidth="1"/>
    <col min="26" max="26" width="1.7109375" style="1" customWidth="1"/>
    <col min="27" max="27" width="11.7109375" style="1" customWidth="1"/>
    <col min="28" max="36" width="8.7109375" style="1"/>
    <col min="37" max="37" width="10.28515625" style="1" bestFit="1" customWidth="1"/>
    <col min="38" max="38" width="11.28515625" style="1" bestFit="1" customWidth="1"/>
    <col min="39" max="48" width="11.28515625" style="1" customWidth="1"/>
    <col min="49" max="51" width="8.7109375" style="1"/>
    <col min="52" max="52" width="13.7109375" style="1" bestFit="1" customWidth="1"/>
    <col min="53" max="16384" width="8.7109375" style="1"/>
  </cols>
  <sheetData>
    <row r="1" spans="1:53">
      <c r="AA1" s="3" t="s">
        <v>150</v>
      </c>
    </row>
    <row r="2" spans="1:53">
      <c r="AA2" s="3" t="s">
        <v>159</v>
      </c>
    </row>
    <row r="3" spans="1:53">
      <c r="AA3" s="3" t="s">
        <v>45</v>
      </c>
    </row>
    <row r="4" spans="1:53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</row>
    <row r="5" spans="1:53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</row>
    <row r="6" spans="1:53">
      <c r="A6" s="5" t="s">
        <v>178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</row>
    <row r="7" spans="1:53">
      <c r="A7" s="5" t="s">
        <v>396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</row>
    <row r="8" spans="1:53" ht="16">
      <c r="A8" s="5" t="s">
        <v>290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X8" s="34" t="s">
        <v>523</v>
      </c>
      <c r="AY8" s="34" t="s">
        <v>523</v>
      </c>
    </row>
    <row r="9" spans="1:53" ht="16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X9" s="34" t="s">
        <v>524</v>
      </c>
      <c r="AY9" s="34" t="s">
        <v>528</v>
      </c>
    </row>
    <row r="10" spans="1:53" ht="16">
      <c r="O10" s="61" t="s">
        <v>875</v>
      </c>
      <c r="W10" s="2" t="s">
        <v>8</v>
      </c>
      <c r="AE10" s="61"/>
      <c r="AF10" s="61"/>
      <c r="AG10" s="61"/>
      <c r="AH10" s="61"/>
      <c r="AI10" s="61"/>
      <c r="AJ10" s="97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X10" s="35" t="s">
        <v>525</v>
      </c>
      <c r="AY10" s="35" t="s">
        <v>525</v>
      </c>
    </row>
    <row r="11" spans="1:53">
      <c r="C11" s="2" t="s">
        <v>7</v>
      </c>
      <c r="I11" s="2" t="s">
        <v>7</v>
      </c>
      <c r="K11" s="2" t="s">
        <v>7</v>
      </c>
      <c r="Q11" s="2" t="s">
        <v>14</v>
      </c>
      <c r="R11" s="2"/>
      <c r="S11" s="2" t="s">
        <v>12</v>
      </c>
      <c r="T11" s="2"/>
      <c r="U11" s="2" t="s">
        <v>1</v>
      </c>
      <c r="V11" s="2"/>
      <c r="W11" s="2" t="s">
        <v>330</v>
      </c>
      <c r="Y11" s="2" t="s">
        <v>1</v>
      </c>
      <c r="AE11" s="61"/>
      <c r="AF11" s="97" t="s">
        <v>7</v>
      </c>
      <c r="AG11" s="61"/>
      <c r="AH11" s="97" t="s">
        <v>7</v>
      </c>
      <c r="AI11" s="61"/>
      <c r="AJ11" s="97"/>
      <c r="AK11" s="61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X11" s="23" t="s">
        <v>488</v>
      </c>
      <c r="AY11" s="23" t="s">
        <v>488</v>
      </c>
    </row>
    <row r="12" spans="1:53">
      <c r="C12" s="2" t="s">
        <v>67</v>
      </c>
      <c r="E12" s="2" t="s">
        <v>256</v>
      </c>
      <c r="G12" s="2" t="s">
        <v>7</v>
      </c>
      <c r="H12" s="2"/>
      <c r="I12" s="2" t="s">
        <v>62</v>
      </c>
      <c r="K12" s="2" t="s">
        <v>62</v>
      </c>
      <c r="M12" s="2" t="s">
        <v>14</v>
      </c>
      <c r="N12" s="2"/>
      <c r="O12" s="2" t="s">
        <v>12</v>
      </c>
      <c r="Q12" s="2" t="s">
        <v>314</v>
      </c>
      <c r="R12" s="2"/>
      <c r="S12" s="2" t="s">
        <v>314</v>
      </c>
      <c r="T12" s="2"/>
      <c r="U12" s="2" t="s">
        <v>67</v>
      </c>
      <c r="V12" s="2"/>
      <c r="W12" s="2" t="s">
        <v>13</v>
      </c>
      <c r="Y12" s="2" t="s">
        <v>67</v>
      </c>
      <c r="AA12" s="2" t="s">
        <v>63</v>
      </c>
      <c r="AE12" s="25" t="s">
        <v>122</v>
      </c>
      <c r="AF12" s="97" t="s">
        <v>62</v>
      </c>
      <c r="AG12" s="61"/>
      <c r="AH12" s="97" t="s">
        <v>62</v>
      </c>
      <c r="AI12" s="61"/>
      <c r="AJ12" s="97"/>
      <c r="AK12" s="61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X12" s="1" t="s">
        <v>526</v>
      </c>
      <c r="AY12" s="1" t="s">
        <v>526</v>
      </c>
      <c r="AZ12" s="141"/>
    </row>
    <row r="13" spans="1:53">
      <c r="A13" s="2" t="s">
        <v>4</v>
      </c>
      <c r="C13" s="2" t="s">
        <v>55</v>
      </c>
      <c r="E13" s="2" t="s">
        <v>288</v>
      </c>
      <c r="G13" s="2" t="s">
        <v>55</v>
      </c>
      <c r="H13" s="2"/>
      <c r="I13" s="2" t="s">
        <v>14</v>
      </c>
      <c r="K13" s="2" t="s">
        <v>12</v>
      </c>
      <c r="M13" s="2" t="s">
        <v>55</v>
      </c>
      <c r="N13" s="2"/>
      <c r="O13" s="2" t="s">
        <v>55</v>
      </c>
      <c r="Q13" s="2" t="s">
        <v>55</v>
      </c>
      <c r="R13" s="2"/>
      <c r="S13" s="2" t="s">
        <v>55</v>
      </c>
      <c r="T13" s="2"/>
      <c r="U13" s="2" t="s">
        <v>55</v>
      </c>
      <c r="V13" s="2"/>
      <c r="W13" s="2" t="s">
        <v>55</v>
      </c>
      <c r="Y13" s="2" t="s">
        <v>55</v>
      </c>
      <c r="AA13" s="2" t="s">
        <v>55</v>
      </c>
      <c r="AE13" s="25" t="s">
        <v>123</v>
      </c>
      <c r="AF13" s="97" t="s">
        <v>14</v>
      </c>
      <c r="AG13" s="61"/>
      <c r="AH13" s="97" t="s">
        <v>12</v>
      </c>
      <c r="AI13" s="61"/>
      <c r="AJ13" s="97"/>
      <c r="AK13" s="61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X13" s="1" t="s">
        <v>527</v>
      </c>
      <c r="AY13" s="1" t="s">
        <v>527</v>
      </c>
      <c r="AZ13" s="1" t="s">
        <v>0</v>
      </c>
      <c r="BA13" s="1" t="s">
        <v>14</v>
      </c>
    </row>
    <row r="14" spans="1:53">
      <c r="A14" s="10">
        <v>-1</v>
      </c>
      <c r="C14" s="10">
        <v>-2</v>
      </c>
      <c r="E14" s="10">
        <v>-3</v>
      </c>
      <c r="G14" s="10">
        <v>-4</v>
      </c>
      <c r="H14" s="11"/>
      <c r="I14" s="10">
        <v>-5</v>
      </c>
      <c r="K14" s="10">
        <v>-6</v>
      </c>
      <c r="M14" s="10">
        <v>-7</v>
      </c>
      <c r="N14" s="11"/>
      <c r="O14" s="10">
        <v>-8</v>
      </c>
      <c r="Q14" s="10">
        <v>-9</v>
      </c>
      <c r="R14" s="11"/>
      <c r="S14" s="10">
        <v>-10</v>
      </c>
      <c r="T14" s="11"/>
      <c r="U14" s="10">
        <v>-11</v>
      </c>
      <c r="V14" s="11"/>
      <c r="W14" s="10">
        <v>-12</v>
      </c>
      <c r="X14" s="11"/>
      <c r="Y14" s="10">
        <v>-13</v>
      </c>
      <c r="Z14" s="11"/>
      <c r="AA14" s="10">
        <v>-14</v>
      </c>
      <c r="AE14" s="142" t="s">
        <v>38</v>
      </c>
      <c r="AF14" s="143">
        <v>-5</v>
      </c>
      <c r="AG14" s="61"/>
      <c r="AH14" s="143">
        <v>-6</v>
      </c>
      <c r="AI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</row>
    <row r="15" spans="1:53">
      <c r="AE15" s="61"/>
      <c r="AF15" s="61"/>
      <c r="AG15" s="61"/>
      <c r="AH15" s="61"/>
      <c r="AI15" s="61"/>
      <c r="AJ15" s="72"/>
      <c r="AK15" s="61"/>
      <c r="AL15" s="61"/>
      <c r="AM15" s="61"/>
      <c r="AN15" s="61"/>
      <c r="AO15" s="61"/>
      <c r="AP15" s="61"/>
      <c r="AQ15" s="61"/>
      <c r="AR15" s="61"/>
      <c r="AS15" s="61"/>
      <c r="AT15" s="61"/>
      <c r="AU15" s="61"/>
      <c r="AV15" s="61"/>
    </row>
    <row r="16" spans="1:53">
      <c r="A16" s="26" t="s">
        <v>392</v>
      </c>
      <c r="I16" s="128"/>
      <c r="AE16" s="61">
        <f t="shared" ref="AE16:AE23" si="0">AE17+12</f>
        <v>120</v>
      </c>
      <c r="AF16" s="144">
        <f>'Exhibit Q,3'!K26</f>
        <v>0.95650989508055606</v>
      </c>
      <c r="AG16" s="61"/>
      <c r="AH16" s="144">
        <f>'Exhibit Q,1'!K26</f>
        <v>0.99573051740711982</v>
      </c>
      <c r="AI16" s="61"/>
      <c r="AJ16" s="72"/>
      <c r="AK16" s="122"/>
      <c r="AL16" s="145"/>
      <c r="AM16" s="72"/>
      <c r="AN16" s="72"/>
      <c r="AO16" s="72"/>
      <c r="AP16" s="145"/>
      <c r="AQ16" s="145"/>
      <c r="AR16" s="145"/>
      <c r="AS16" s="145"/>
      <c r="AT16" s="145"/>
      <c r="AU16" s="145"/>
      <c r="AV16" s="145"/>
      <c r="AX16" s="31">
        <v>0</v>
      </c>
      <c r="AY16" s="146"/>
      <c r="AZ16" s="147"/>
      <c r="BA16" s="147"/>
    </row>
    <row r="17" spans="1:53">
      <c r="A17" s="6">
        <f>2012</f>
        <v>2012</v>
      </c>
      <c r="C17" s="26">
        <f>'AF31'!I17</f>
        <v>0</v>
      </c>
      <c r="E17" s="74">
        <v>0.94672499999999993</v>
      </c>
      <c r="G17" s="26">
        <f>C17*E17</f>
        <v>0</v>
      </c>
      <c r="H17" s="26"/>
      <c r="I17" s="73">
        <f t="shared" ref="I17:K24" si="1">AF17*(10/12)+AF18*(2/12)</f>
        <v>0.89045561791282701</v>
      </c>
      <c r="J17" s="74"/>
      <c r="K17" s="73">
        <f t="shared" si="1"/>
        <v>0.98287873908853096</v>
      </c>
      <c r="M17" s="148"/>
      <c r="N17" s="148"/>
      <c r="O17" s="148"/>
      <c r="Q17" s="19">
        <f>G17*(1-I17)+M17</f>
        <v>0</v>
      </c>
      <c r="R17" s="19"/>
      <c r="S17" s="19">
        <f>MAX(M17,G17*(1-K17)+O17)</f>
        <v>0</v>
      </c>
      <c r="T17" s="19"/>
      <c r="U17" s="26">
        <f>S17</f>
        <v>0</v>
      </c>
      <c r="V17" s="19"/>
      <c r="W17" s="19">
        <v>0</v>
      </c>
      <c r="Y17" s="26">
        <f>U17+W17</f>
        <v>0</v>
      </c>
      <c r="AA17" s="26">
        <f>Y17-M17</f>
        <v>0</v>
      </c>
      <c r="AE17" s="61">
        <f t="shared" si="0"/>
        <v>108</v>
      </c>
      <c r="AF17" s="144">
        <f>'Exhibit Q,3'!K27</f>
        <v>0.9055136018007176</v>
      </c>
      <c r="AG17" s="149"/>
      <c r="AH17" s="149">
        <f>'Exhibit Q,1'!K27</f>
        <v>0.98633438596944767</v>
      </c>
      <c r="AI17" s="61"/>
      <c r="AJ17" s="72"/>
      <c r="AK17" s="84"/>
      <c r="AL17" s="145"/>
      <c r="AM17" s="72"/>
      <c r="AN17" s="72"/>
      <c r="AO17" s="72"/>
      <c r="AP17" s="145"/>
      <c r="AQ17" s="145"/>
      <c r="AR17" s="145"/>
      <c r="AS17" s="145"/>
      <c r="AT17" s="145"/>
      <c r="AU17" s="145"/>
      <c r="AV17" s="145"/>
      <c r="AX17" s="31">
        <v>0</v>
      </c>
      <c r="AY17" s="146"/>
      <c r="AZ17" s="20"/>
      <c r="BA17" s="20"/>
    </row>
    <row r="18" spans="1:53">
      <c r="A18" s="6">
        <f>A17+1</f>
        <v>2013</v>
      </c>
      <c r="C18" s="20">
        <f>'AF31'!I18</f>
        <v>0</v>
      </c>
      <c r="D18" s="26"/>
      <c r="E18" s="74">
        <v>0.94672499999999993</v>
      </c>
      <c r="G18" s="20">
        <f t="shared" ref="G18:G25" si="2">C18*E18</f>
        <v>0</v>
      </c>
      <c r="H18" s="18"/>
      <c r="I18" s="73">
        <f t="shared" si="1"/>
        <v>0.79288755863123328</v>
      </c>
      <c r="J18" s="74"/>
      <c r="K18" s="73">
        <f t="shared" si="1"/>
        <v>0.95870921147424792</v>
      </c>
      <c r="M18" s="150"/>
      <c r="N18" s="150"/>
      <c r="O18" s="150"/>
      <c r="Q18" s="20">
        <f t="shared" ref="Q18:Q25" si="3">G18*(1-I18)+M18</f>
        <v>0</v>
      </c>
      <c r="R18" s="18"/>
      <c r="S18" s="20">
        <f t="shared" ref="S18:S25" si="4">MAX(M18,G18*(1-K18)+O18)</f>
        <v>0</v>
      </c>
      <c r="T18" s="18"/>
      <c r="U18" s="20">
        <f t="shared" ref="U18:U25" si="5">S18</f>
        <v>0</v>
      </c>
      <c r="V18" s="18"/>
      <c r="W18" s="18">
        <v>0</v>
      </c>
      <c r="X18" s="18"/>
      <c r="Y18" s="20">
        <f t="shared" ref="Y18:Y25" si="6">U18+W18</f>
        <v>0</v>
      </c>
      <c r="Z18" s="20"/>
      <c r="AA18" s="20">
        <f t="shared" ref="AA18:AA25" si="7">Y18-M18</f>
        <v>0</v>
      </c>
      <c r="AE18" s="61">
        <f t="shared" si="0"/>
        <v>96</v>
      </c>
      <c r="AF18" s="144">
        <f>'Exhibit Q,3'!K28</f>
        <v>0.81516569847337383</v>
      </c>
      <c r="AG18" s="149"/>
      <c r="AH18" s="149">
        <f>'Exhibit Q,1'!K28</f>
        <v>0.96560050468394742</v>
      </c>
      <c r="AI18" s="61"/>
      <c r="AJ18" s="72"/>
      <c r="AK18" s="84"/>
      <c r="AL18" s="145"/>
      <c r="AM18" s="72"/>
      <c r="AN18" s="72"/>
      <c r="AO18" s="72"/>
      <c r="AP18" s="145"/>
      <c r="AQ18" s="145"/>
      <c r="AR18" s="145"/>
      <c r="AS18" s="145"/>
      <c r="AT18" s="145"/>
      <c r="AU18" s="145"/>
      <c r="AV18" s="145"/>
      <c r="AX18" s="31">
        <v>0</v>
      </c>
      <c r="AY18" s="146"/>
      <c r="AZ18" s="20"/>
      <c r="BA18" s="20"/>
    </row>
    <row r="19" spans="1:53">
      <c r="A19" s="6">
        <f t="shared" ref="A19:A25" si="8">A18+1</f>
        <v>2014</v>
      </c>
      <c r="C19" s="20">
        <f>'AF31'!I19</f>
        <v>0</v>
      </c>
      <c r="E19" s="74">
        <v>0.94672499999999993</v>
      </c>
      <c r="G19" s="20">
        <f t="shared" si="2"/>
        <v>0</v>
      </c>
      <c r="H19" s="18"/>
      <c r="I19" s="73">
        <f t="shared" si="1"/>
        <v>0.65372218453002273</v>
      </c>
      <c r="J19" s="74"/>
      <c r="K19" s="73">
        <f t="shared" si="1"/>
        <v>0.91184336526935317</v>
      </c>
      <c r="M19" s="150"/>
      <c r="N19" s="150"/>
      <c r="O19" s="150"/>
      <c r="Q19" s="20">
        <f t="shared" si="3"/>
        <v>0</v>
      </c>
      <c r="R19" s="18"/>
      <c r="S19" s="20">
        <f t="shared" si="4"/>
        <v>0</v>
      </c>
      <c r="T19" s="18"/>
      <c r="U19" s="20">
        <f t="shared" si="5"/>
        <v>0</v>
      </c>
      <c r="V19" s="18"/>
      <c r="W19" s="18">
        <v>0</v>
      </c>
      <c r="X19" s="18"/>
      <c r="Y19" s="20">
        <f t="shared" si="6"/>
        <v>0</v>
      </c>
      <c r="Z19" s="20"/>
      <c r="AA19" s="20">
        <f t="shared" si="7"/>
        <v>0</v>
      </c>
      <c r="AE19" s="61">
        <f t="shared" si="0"/>
        <v>84</v>
      </c>
      <c r="AF19" s="144">
        <f>'Exhibit Q,3'!K29</f>
        <v>0.6814968594205304</v>
      </c>
      <c r="AG19" s="149"/>
      <c r="AH19" s="149">
        <f>'Exhibit Q,1'!K29</f>
        <v>0.92425274542575031</v>
      </c>
      <c r="AI19" s="61"/>
      <c r="AJ19" s="72"/>
      <c r="AK19" s="84"/>
      <c r="AL19" s="145"/>
      <c r="AM19" s="72"/>
      <c r="AN19" s="72"/>
      <c r="AO19" s="72"/>
      <c r="AP19" s="145"/>
      <c r="AQ19" s="145"/>
      <c r="AR19" s="145"/>
      <c r="AS19" s="145"/>
      <c r="AT19" s="145"/>
      <c r="AU19" s="145"/>
      <c r="AV19" s="145"/>
      <c r="AX19" s="31">
        <v>0</v>
      </c>
      <c r="AY19" s="146"/>
      <c r="AZ19" s="20"/>
      <c r="BA19" s="20"/>
    </row>
    <row r="20" spans="1:53">
      <c r="A20" s="6">
        <f t="shared" si="8"/>
        <v>2015</v>
      </c>
      <c r="C20" s="20">
        <f>'AF31'!I20</f>
        <v>0</v>
      </c>
      <c r="E20" s="74">
        <v>0.94672499999999993</v>
      </c>
      <c r="G20" s="20">
        <f t="shared" si="2"/>
        <v>0</v>
      </c>
      <c r="H20" s="18"/>
      <c r="I20" s="73">
        <f t="shared" si="1"/>
        <v>0.48661722894116194</v>
      </c>
      <c r="J20" s="74"/>
      <c r="K20" s="73">
        <f t="shared" si="1"/>
        <v>0.82659904866187139</v>
      </c>
      <c r="M20" s="150"/>
      <c r="N20" s="150"/>
      <c r="O20" s="150"/>
      <c r="Q20" s="20">
        <f t="shared" si="3"/>
        <v>0</v>
      </c>
      <c r="R20" s="18"/>
      <c r="S20" s="20">
        <f t="shared" si="4"/>
        <v>0</v>
      </c>
      <c r="T20" s="18"/>
      <c r="U20" s="20">
        <f t="shared" si="5"/>
        <v>0</v>
      </c>
      <c r="V20" s="18"/>
      <c r="W20" s="18">
        <v>0</v>
      </c>
      <c r="X20" s="18"/>
      <c r="Y20" s="20">
        <f t="shared" si="6"/>
        <v>0</v>
      </c>
      <c r="Z20" s="20"/>
      <c r="AA20" s="20">
        <f t="shared" si="7"/>
        <v>0</v>
      </c>
      <c r="AE20" s="61">
        <f t="shared" si="0"/>
        <v>72</v>
      </c>
      <c r="AF20" s="144">
        <f>'Exhibit Q,3'!K30</f>
        <v>0.51484881007748451</v>
      </c>
      <c r="AG20" s="149"/>
      <c r="AH20" s="149">
        <f>'Exhibit Q,1'!K30</f>
        <v>0.84979646448736712</v>
      </c>
      <c r="AI20" s="61"/>
      <c r="AJ20" s="72"/>
      <c r="AK20" s="84"/>
      <c r="AL20" s="145"/>
      <c r="AM20" s="72"/>
      <c r="AN20" s="72"/>
      <c r="AO20" s="72"/>
      <c r="AP20" s="145"/>
      <c r="AQ20" s="145"/>
      <c r="AR20" s="145"/>
      <c r="AS20" s="145"/>
      <c r="AT20" s="145"/>
      <c r="AU20" s="145"/>
      <c r="AV20" s="145"/>
      <c r="AX20" s="31">
        <v>94050</v>
      </c>
      <c r="AY20" s="31">
        <v>38000</v>
      </c>
      <c r="AZ20" s="20"/>
      <c r="BA20" s="20"/>
    </row>
    <row r="21" spans="1:53">
      <c r="A21" s="6">
        <f t="shared" si="8"/>
        <v>2016</v>
      </c>
      <c r="C21" s="20">
        <f>'AF31'!I21</f>
        <v>0</v>
      </c>
      <c r="E21" s="74">
        <v>0.94672499999999993</v>
      </c>
      <c r="G21" s="20">
        <f t="shared" si="2"/>
        <v>0</v>
      </c>
      <c r="H21" s="18"/>
      <c r="I21" s="73">
        <f t="shared" si="1"/>
        <v>0.31990156074263781</v>
      </c>
      <c r="J21" s="74"/>
      <c r="K21" s="73">
        <f t="shared" si="1"/>
        <v>0.67565322822629947</v>
      </c>
      <c r="M21" s="150"/>
      <c r="N21" s="150"/>
      <c r="O21" s="150"/>
      <c r="Q21" s="20">
        <f t="shared" si="3"/>
        <v>0</v>
      </c>
      <c r="R21" s="18"/>
      <c r="S21" s="20">
        <f t="shared" si="4"/>
        <v>0</v>
      </c>
      <c r="T21" s="18"/>
      <c r="U21" s="20">
        <f t="shared" si="5"/>
        <v>0</v>
      </c>
      <c r="V21" s="18"/>
      <c r="W21" s="18">
        <f>AV21</f>
        <v>0</v>
      </c>
      <c r="X21" s="18"/>
      <c r="Y21" s="20">
        <f t="shared" si="6"/>
        <v>0</v>
      </c>
      <c r="Z21" s="20"/>
      <c r="AA21" s="20">
        <f t="shared" si="7"/>
        <v>0</v>
      </c>
      <c r="AE21" s="61">
        <f t="shared" si="0"/>
        <v>60</v>
      </c>
      <c r="AF21" s="144">
        <f>'Exhibit Q,3'!K31</f>
        <v>0.34545932325954892</v>
      </c>
      <c r="AG21" s="149"/>
      <c r="AH21" s="149">
        <f>'Exhibit Q,1'!K31</f>
        <v>0.71061196953439254</v>
      </c>
      <c r="AI21" s="61"/>
      <c r="AJ21" s="72"/>
      <c r="AK21" s="84"/>
      <c r="AL21" s="145"/>
      <c r="AM21" s="72"/>
      <c r="AN21" s="72"/>
      <c r="AO21" s="72"/>
      <c r="AP21" s="151"/>
      <c r="AQ21" s="72"/>
      <c r="AR21" s="72"/>
      <c r="AS21" s="72"/>
      <c r="AT21" s="72"/>
      <c r="AU21" s="72"/>
      <c r="AV21" s="137"/>
      <c r="AX21" s="31">
        <v>712500</v>
      </c>
      <c r="AY21" s="31">
        <v>53487.67</v>
      </c>
      <c r="AZ21" s="20"/>
      <c r="BA21" s="20"/>
    </row>
    <row r="22" spans="1:53">
      <c r="A22" s="6">
        <f t="shared" si="8"/>
        <v>2017</v>
      </c>
      <c r="C22" s="20">
        <f>'AF31'!I22</f>
        <v>0</v>
      </c>
      <c r="E22" s="74">
        <v>0.94672499999999993</v>
      </c>
      <c r="G22" s="20">
        <f t="shared" si="2"/>
        <v>0</v>
      </c>
      <c r="H22" s="18"/>
      <c r="I22" s="73">
        <f t="shared" si="1"/>
        <v>0.17396434844461656</v>
      </c>
      <c r="J22" s="74"/>
      <c r="K22" s="73">
        <f t="shared" si="1"/>
        <v>0.46452146343123663</v>
      </c>
      <c r="M22" s="150"/>
      <c r="N22" s="150"/>
      <c r="O22" s="150"/>
      <c r="Q22" s="20">
        <f t="shared" si="3"/>
        <v>0</v>
      </c>
      <c r="R22" s="18"/>
      <c r="S22" s="20">
        <f t="shared" si="4"/>
        <v>0</v>
      </c>
      <c r="T22" s="18"/>
      <c r="U22" s="20">
        <f t="shared" si="5"/>
        <v>0</v>
      </c>
      <c r="V22" s="18"/>
      <c r="W22" s="18">
        <f>AV22</f>
        <v>0</v>
      </c>
      <c r="X22" s="18"/>
      <c r="Y22" s="20">
        <f t="shared" si="6"/>
        <v>0</v>
      </c>
      <c r="Z22" s="20"/>
      <c r="AA22" s="20">
        <f t="shared" si="7"/>
        <v>0</v>
      </c>
      <c r="AE22" s="61">
        <f t="shared" si="0"/>
        <v>48</v>
      </c>
      <c r="AF22" s="144">
        <f>'Exhibit Q,3'!K32</f>
        <v>0.19211274815808235</v>
      </c>
      <c r="AG22" s="149"/>
      <c r="AH22" s="149">
        <f>'Exhibit Q,1'!K32</f>
        <v>0.50085952168583414</v>
      </c>
      <c r="AI22" s="61"/>
      <c r="AJ22" s="72"/>
      <c r="AK22" s="84"/>
      <c r="AL22" s="145"/>
      <c r="AM22" s="72"/>
      <c r="AN22" s="72"/>
      <c r="AO22" s="72"/>
      <c r="AP22" s="151"/>
      <c r="AQ22" s="72"/>
      <c r="AR22" s="72"/>
      <c r="AS22" s="72"/>
      <c r="AT22" s="72"/>
      <c r="AU22" s="72"/>
      <c r="AV22" s="137"/>
      <c r="AX22" s="31">
        <v>6802549.9900000002</v>
      </c>
      <c r="AY22" s="31">
        <v>1396157.48</v>
      </c>
      <c r="AZ22" s="20"/>
      <c r="BA22" s="20"/>
    </row>
    <row r="23" spans="1:53">
      <c r="A23" s="6">
        <f t="shared" si="8"/>
        <v>2018</v>
      </c>
      <c r="C23" s="20">
        <f>'AF31'!I23</f>
        <v>0</v>
      </c>
      <c r="E23" s="74">
        <v>0.91357500000000003</v>
      </c>
      <c r="G23" s="20">
        <f t="shared" si="2"/>
        <v>0</v>
      </c>
      <c r="H23" s="18"/>
      <c r="I23" s="73">
        <f t="shared" si="1"/>
        <v>7.3602556401170194E-2</v>
      </c>
      <c r="J23" s="74"/>
      <c r="K23" s="73">
        <f t="shared" si="1"/>
        <v>0.25385865572128846</v>
      </c>
      <c r="M23" s="150"/>
      <c r="N23" s="150"/>
      <c r="O23" s="150"/>
      <c r="Q23" s="20">
        <f t="shared" si="3"/>
        <v>0</v>
      </c>
      <c r="R23" s="18"/>
      <c r="S23" s="20">
        <f t="shared" si="4"/>
        <v>0</v>
      </c>
      <c r="T23" s="18"/>
      <c r="U23" s="20">
        <f t="shared" si="5"/>
        <v>0</v>
      </c>
      <c r="V23" s="18"/>
      <c r="W23" s="18">
        <f>AV23</f>
        <v>0</v>
      </c>
      <c r="X23" s="18"/>
      <c r="Y23" s="20">
        <f t="shared" si="6"/>
        <v>0</v>
      </c>
      <c r="Z23" s="20"/>
      <c r="AA23" s="20">
        <f t="shared" si="7"/>
        <v>0</v>
      </c>
      <c r="AE23" s="61">
        <f t="shared" si="0"/>
        <v>36</v>
      </c>
      <c r="AF23" s="144">
        <f>'Exhibit Q,3'!K33</f>
        <v>8.3222349877287466E-2</v>
      </c>
      <c r="AG23" s="149"/>
      <c r="AH23" s="149">
        <f>'Exhibit Q,1'!K33</f>
        <v>0.28283117215824882</v>
      </c>
      <c r="AI23" s="61"/>
      <c r="AJ23" s="72"/>
      <c r="AK23" s="84"/>
      <c r="AL23" s="145"/>
      <c r="AM23" s="72"/>
      <c r="AN23" s="72"/>
      <c r="AO23" s="72"/>
      <c r="AP23" s="151"/>
      <c r="AQ23" s="72"/>
      <c r="AR23" s="72"/>
      <c r="AS23" s="72"/>
      <c r="AT23" s="72"/>
      <c r="AU23" s="72"/>
      <c r="AV23" s="137"/>
      <c r="AX23" s="31">
        <v>683107</v>
      </c>
      <c r="AY23" s="31">
        <v>417360.47</v>
      </c>
      <c r="AZ23" s="20"/>
      <c r="BA23" s="20"/>
    </row>
    <row r="24" spans="1:53">
      <c r="A24" s="6">
        <f t="shared" si="8"/>
        <v>2019</v>
      </c>
      <c r="C24" s="20">
        <f>'AF31'!I24</f>
        <v>0</v>
      </c>
      <c r="E24" s="74">
        <v>0.87067499999999998</v>
      </c>
      <c r="G24" s="20">
        <f t="shared" si="2"/>
        <v>0</v>
      </c>
      <c r="H24" s="18"/>
      <c r="I24" s="73">
        <f t="shared" si="1"/>
        <v>2.1824344695258523E-2</v>
      </c>
      <c r="J24" s="74"/>
      <c r="K24" s="73">
        <f t="shared" si="1"/>
        <v>9.5677256362948646E-2</v>
      </c>
      <c r="M24" s="150"/>
      <c r="N24" s="150"/>
      <c r="O24" s="150"/>
      <c r="Q24" s="20">
        <f t="shared" si="3"/>
        <v>0</v>
      </c>
      <c r="R24" s="18"/>
      <c r="S24" s="20">
        <f t="shared" si="4"/>
        <v>0</v>
      </c>
      <c r="T24" s="18"/>
      <c r="U24" s="20">
        <f t="shared" si="5"/>
        <v>0</v>
      </c>
      <c r="V24" s="18"/>
      <c r="W24" s="18">
        <f>AV24</f>
        <v>0</v>
      </c>
      <c r="X24" s="18"/>
      <c r="Y24" s="20">
        <f t="shared" si="6"/>
        <v>0</v>
      </c>
      <c r="Z24" s="20"/>
      <c r="AA24" s="20">
        <f t="shared" si="7"/>
        <v>0</v>
      </c>
      <c r="AE24" s="61">
        <f>AE25+12</f>
        <v>24</v>
      </c>
      <c r="AF24" s="144">
        <f>'Exhibit Q,3'!K34</f>
        <v>2.5503589020583816E-2</v>
      </c>
      <c r="AG24" s="149"/>
      <c r="AH24" s="149">
        <f>'Exhibit Q,1'!K34</f>
        <v>0.10899607353648681</v>
      </c>
      <c r="AI24" s="61"/>
      <c r="AJ24" s="72"/>
      <c r="AK24" s="84"/>
      <c r="AL24" s="145"/>
      <c r="AM24" s="72"/>
      <c r="AN24" s="72"/>
      <c r="AO24" s="72"/>
      <c r="AP24" s="151"/>
      <c r="AQ24" s="72"/>
      <c r="AR24" s="72"/>
      <c r="AS24" s="72"/>
      <c r="AT24" s="72"/>
      <c r="AU24" s="72"/>
      <c r="AV24" s="137"/>
      <c r="AX24" s="31">
        <v>2404925</v>
      </c>
      <c r="AY24" s="31">
        <v>708570.55999999994</v>
      </c>
      <c r="AZ24" s="20"/>
      <c r="BA24" s="20"/>
    </row>
    <row r="25" spans="1:53">
      <c r="A25" s="6">
        <f t="shared" si="8"/>
        <v>2020</v>
      </c>
      <c r="C25" s="20">
        <f>'AF31'!I25</f>
        <v>0</v>
      </c>
      <c r="E25" s="74">
        <v>0.88783120046833897</v>
      </c>
      <c r="G25" s="20">
        <f t="shared" si="2"/>
        <v>0</v>
      </c>
      <c r="H25" s="18"/>
      <c r="I25" s="128">
        <f>AF25*(10/12)+AF26*(2/12)</f>
        <v>2.8567692238600554E-3</v>
      </c>
      <c r="J25" s="74"/>
      <c r="K25" s="128">
        <f>AH25*(10/12)+AH26*(2/12)</f>
        <v>2.4235975412714883E-2</v>
      </c>
      <c r="M25" s="150"/>
      <c r="N25" s="150"/>
      <c r="O25" s="150"/>
      <c r="Q25" s="20">
        <f t="shared" si="3"/>
        <v>0</v>
      </c>
      <c r="R25" s="18"/>
      <c r="S25" s="20">
        <f t="shared" si="4"/>
        <v>0</v>
      </c>
      <c r="T25" s="18"/>
      <c r="U25" s="20">
        <f t="shared" si="5"/>
        <v>0</v>
      </c>
      <c r="V25" s="18"/>
      <c r="W25" s="18">
        <f>AV25</f>
        <v>0</v>
      </c>
      <c r="X25" s="18"/>
      <c r="Y25" s="20">
        <f t="shared" si="6"/>
        <v>0</v>
      </c>
      <c r="Z25" s="20"/>
      <c r="AA25" s="20">
        <f t="shared" si="7"/>
        <v>0</v>
      </c>
      <c r="AE25" s="61">
        <v>12</v>
      </c>
      <c r="AF25" s="144">
        <f>'Exhibit Q,3'!K35</f>
        <v>3.4281230686320661E-3</v>
      </c>
      <c r="AG25" s="149"/>
      <c r="AH25" s="149">
        <f>'Exhibit Q,1'!K35</f>
        <v>2.9083170495257857E-2</v>
      </c>
      <c r="AI25" s="61"/>
      <c r="AJ25" s="72"/>
      <c r="AK25" s="84"/>
      <c r="AL25" s="145"/>
      <c r="AM25" s="72"/>
      <c r="AN25" s="72"/>
      <c r="AO25" s="72"/>
      <c r="AP25" s="151"/>
      <c r="AQ25" s="72"/>
      <c r="AR25" s="72"/>
      <c r="AS25" s="72"/>
      <c r="AT25" s="72"/>
      <c r="AU25" s="72"/>
      <c r="AV25" s="137"/>
      <c r="AX25" s="31">
        <v>89300</v>
      </c>
      <c r="AY25" s="31">
        <v>75524.058999999994</v>
      </c>
      <c r="AZ25" s="20"/>
      <c r="BA25" s="20"/>
    </row>
    <row r="26" spans="1:53">
      <c r="A26" s="6"/>
      <c r="C26" s="63"/>
      <c r="G26" s="63"/>
      <c r="M26" s="152"/>
      <c r="N26" s="120"/>
      <c r="O26" s="152"/>
      <c r="Q26" s="63"/>
      <c r="S26" s="63"/>
      <c r="U26" s="63"/>
      <c r="W26" s="63"/>
      <c r="Y26" s="63"/>
      <c r="AA26" s="63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1"/>
      <c r="AS26" s="61"/>
      <c r="AT26" s="61"/>
      <c r="AU26" s="61"/>
      <c r="AV26" s="61"/>
      <c r="AX26" s="31"/>
    </row>
    <row r="27" spans="1:53" ht="16">
      <c r="A27" s="2" t="s">
        <v>0</v>
      </c>
      <c r="C27" s="26">
        <f>SUM(C17:C26)</f>
        <v>0</v>
      </c>
      <c r="G27" s="26">
        <f>SUM(G17:G26)</f>
        <v>0</v>
      </c>
      <c r="H27" s="26"/>
      <c r="M27" s="26">
        <f>SUM(M17:M26)</f>
        <v>0</v>
      </c>
      <c r="N27" s="26"/>
      <c r="O27" s="26">
        <f>SUM(O17:O26)</f>
        <v>0</v>
      </c>
      <c r="Q27" s="26">
        <f>SUM(Q17:Q26)</f>
        <v>0</v>
      </c>
      <c r="R27" s="26"/>
      <c r="S27" s="26">
        <f>SUM(S17:S26)</f>
        <v>0</v>
      </c>
      <c r="T27" s="26"/>
      <c r="U27" s="26">
        <f>SUM(U17:U26)</f>
        <v>0</v>
      </c>
      <c r="V27" s="26"/>
      <c r="W27" s="26">
        <f>SUM(W17:W26)</f>
        <v>0</v>
      </c>
      <c r="Y27" s="26">
        <f>SUM(Y17:Y26)</f>
        <v>0</v>
      </c>
      <c r="AA27" s="26">
        <f>SUM(AA17:AA26)</f>
        <v>0</v>
      </c>
      <c r="AK27" s="84"/>
      <c r="AL27" s="84"/>
      <c r="AM27" s="84"/>
      <c r="AN27" s="84"/>
      <c r="AO27" s="84"/>
      <c r="AP27" s="84"/>
      <c r="AQ27" s="84"/>
      <c r="AR27" s="84"/>
      <c r="AS27" s="84"/>
      <c r="AT27" s="84"/>
      <c r="AU27" s="84"/>
      <c r="AV27" s="84"/>
      <c r="AX27" s="31">
        <f>SUM(AX16:AX26)</f>
        <v>10786431.99</v>
      </c>
      <c r="AY27" s="31">
        <f>SUM(AY16:AY26)</f>
        <v>2689100.2389999996</v>
      </c>
      <c r="AZ27" s="20">
        <f>AX27+AY27</f>
        <v>13475532.229</v>
      </c>
      <c r="BA27" s="36">
        <f>2022915.184+6216189</f>
        <v>8239104.1840000004</v>
      </c>
    </row>
    <row r="28" spans="1:53">
      <c r="A28" s="6"/>
    </row>
    <row r="29" spans="1:53">
      <c r="A29" s="26" t="s">
        <v>393</v>
      </c>
    </row>
    <row r="30" spans="1:53">
      <c r="A30" s="6">
        <f>2012</f>
        <v>2012</v>
      </c>
      <c r="C30" s="26">
        <f>'AF31'!I30</f>
        <v>0</v>
      </c>
      <c r="E30" s="74">
        <v>0</v>
      </c>
      <c r="G30" s="26">
        <f>C30*E30</f>
        <v>0</v>
      </c>
      <c r="H30" s="26"/>
      <c r="I30" s="128">
        <f>AF16*(10/12)+AF17*(2/12)</f>
        <v>0.94801051286724958</v>
      </c>
      <c r="J30" s="73"/>
      <c r="K30" s="128">
        <f>AH16*(10/12)+AH17*(2/12)</f>
        <v>0.99416449550084118</v>
      </c>
      <c r="M30" s="26">
        <v>0</v>
      </c>
      <c r="N30" s="26"/>
      <c r="O30" s="26">
        <v>0</v>
      </c>
      <c r="Q30" s="19">
        <f>G30*(1-I30)+M30</f>
        <v>0</v>
      </c>
      <c r="R30" s="19"/>
      <c r="S30" s="19">
        <f>MAX(M30,G30*(1-K30)+O30)</f>
        <v>0</v>
      </c>
      <c r="T30" s="19"/>
      <c r="U30" s="26">
        <f>S30</f>
        <v>0</v>
      </c>
      <c r="V30" s="19"/>
      <c r="W30" s="19"/>
      <c r="Y30" s="26">
        <f>U30+W30</f>
        <v>0</v>
      </c>
      <c r="AA30" s="26">
        <f>Y30-M30</f>
        <v>0</v>
      </c>
      <c r="AH30" s="61" t="s">
        <v>655</v>
      </c>
    </row>
    <row r="31" spans="1:53">
      <c r="A31" s="6">
        <f>A30+1</f>
        <v>2013</v>
      </c>
      <c r="C31" s="20">
        <f>'AF31'!I31</f>
        <v>0</v>
      </c>
      <c r="D31" s="26"/>
      <c r="E31" s="74">
        <v>0</v>
      </c>
      <c r="G31" s="20">
        <f t="shared" ref="G31:G38" si="9">C31*E31</f>
        <v>0</v>
      </c>
      <c r="H31" s="18"/>
      <c r="I31" s="74">
        <f t="shared" ref="I31:K37" si="10">I17</f>
        <v>0.89045561791282701</v>
      </c>
      <c r="J31" s="74"/>
      <c r="K31" s="74">
        <f t="shared" si="10"/>
        <v>0.98287873908853096</v>
      </c>
      <c r="M31" s="18">
        <v>0</v>
      </c>
      <c r="N31" s="18"/>
      <c r="O31" s="18">
        <v>0</v>
      </c>
      <c r="Q31" s="20">
        <f t="shared" ref="Q31:Q38" si="11">G31*(1-I31)+M31</f>
        <v>0</v>
      </c>
      <c r="R31" s="18"/>
      <c r="S31" s="20">
        <f t="shared" ref="S31:S38" si="12">MAX(M31,G31*(1-K31)+O31)</f>
        <v>0</v>
      </c>
      <c r="T31" s="18"/>
      <c r="U31" s="20">
        <f t="shared" ref="U31:U38" si="13">S31</f>
        <v>0</v>
      </c>
      <c r="V31" s="18"/>
      <c r="W31" s="18"/>
      <c r="X31" s="18"/>
      <c r="Y31" s="20">
        <f t="shared" ref="Y31:Y38" si="14">U31+W31</f>
        <v>0</v>
      </c>
      <c r="Z31" s="20"/>
      <c r="AA31" s="20">
        <f t="shared" ref="AA31:AA38" si="15">Y31-M31</f>
        <v>0</v>
      </c>
      <c r="AH31" s="61" t="s">
        <v>656</v>
      </c>
    </row>
    <row r="32" spans="1:53">
      <c r="A32" s="6">
        <f t="shared" ref="A32:A38" si="16">A31+1</f>
        <v>2014</v>
      </c>
      <c r="C32" s="20">
        <f>'AF31'!I32</f>
        <v>0</v>
      </c>
      <c r="E32" s="74">
        <v>0</v>
      </c>
      <c r="G32" s="20">
        <f t="shared" si="9"/>
        <v>0</v>
      </c>
      <c r="H32" s="18"/>
      <c r="I32" s="74">
        <f t="shared" si="10"/>
        <v>0.79288755863123328</v>
      </c>
      <c r="J32" s="74"/>
      <c r="K32" s="74">
        <f t="shared" si="10"/>
        <v>0.95870921147424792</v>
      </c>
      <c r="M32" s="18">
        <v>0</v>
      </c>
      <c r="N32" s="18"/>
      <c r="O32" s="18">
        <v>0</v>
      </c>
      <c r="Q32" s="20">
        <f t="shared" si="11"/>
        <v>0</v>
      </c>
      <c r="R32" s="18"/>
      <c r="S32" s="20">
        <f t="shared" si="12"/>
        <v>0</v>
      </c>
      <c r="T32" s="18"/>
      <c r="U32" s="20">
        <f t="shared" si="13"/>
        <v>0</v>
      </c>
      <c r="V32" s="18"/>
      <c r="W32" s="18"/>
      <c r="X32" s="18"/>
      <c r="Y32" s="20">
        <f t="shared" si="14"/>
        <v>0</v>
      </c>
      <c r="Z32" s="20"/>
      <c r="AA32" s="20">
        <f t="shared" si="15"/>
        <v>0</v>
      </c>
      <c r="AD32" s="1">
        <f>0.75*132</f>
        <v>99</v>
      </c>
      <c r="AH32" s="61" t="s">
        <v>507</v>
      </c>
    </row>
    <row r="33" spans="1:34">
      <c r="A33" s="6">
        <f t="shared" si="16"/>
        <v>2015</v>
      </c>
      <c r="C33" s="20">
        <f>'AF31'!I33</f>
        <v>0</v>
      </c>
      <c r="E33" s="74">
        <v>0</v>
      </c>
      <c r="G33" s="20">
        <f t="shared" si="9"/>
        <v>0</v>
      </c>
      <c r="H33" s="18"/>
      <c r="I33" s="74">
        <f t="shared" si="10"/>
        <v>0.65372218453002273</v>
      </c>
      <c r="J33" s="74"/>
      <c r="K33" s="74">
        <f t="shared" si="10"/>
        <v>0.91184336526935317</v>
      </c>
      <c r="M33" s="18">
        <v>0</v>
      </c>
      <c r="N33" s="18"/>
      <c r="O33" s="18">
        <v>0</v>
      </c>
      <c r="Q33" s="20">
        <f t="shared" si="11"/>
        <v>0</v>
      </c>
      <c r="R33" s="18"/>
      <c r="S33" s="20">
        <f t="shared" si="12"/>
        <v>0</v>
      </c>
      <c r="T33" s="18"/>
      <c r="U33" s="20">
        <f t="shared" si="13"/>
        <v>0</v>
      </c>
      <c r="V33" s="18"/>
      <c r="W33" s="18"/>
      <c r="X33" s="18"/>
      <c r="Y33" s="20">
        <f t="shared" si="14"/>
        <v>0</v>
      </c>
      <c r="Z33" s="20"/>
      <c r="AA33" s="20">
        <f t="shared" si="15"/>
        <v>0</v>
      </c>
      <c r="AD33" s="1">
        <f>131715/486050</f>
        <v>0.27099063882316632</v>
      </c>
      <c r="AH33" s="61" t="s">
        <v>654</v>
      </c>
    </row>
    <row r="34" spans="1:34">
      <c r="A34" s="6">
        <f t="shared" si="16"/>
        <v>2016</v>
      </c>
      <c r="C34" s="20">
        <f>'AF31'!I34</f>
        <v>0</v>
      </c>
      <c r="E34" s="74">
        <v>0</v>
      </c>
      <c r="G34" s="20">
        <f t="shared" si="9"/>
        <v>0</v>
      </c>
      <c r="H34" s="18"/>
      <c r="I34" s="74">
        <f t="shared" si="10"/>
        <v>0.48661722894116194</v>
      </c>
      <c r="J34" s="74"/>
      <c r="K34" s="74">
        <f t="shared" si="10"/>
        <v>0.82659904866187139</v>
      </c>
      <c r="M34" s="18">
        <v>0</v>
      </c>
      <c r="N34" s="18"/>
      <c r="O34" s="18">
        <v>0</v>
      </c>
      <c r="Q34" s="20">
        <f t="shared" si="11"/>
        <v>0</v>
      </c>
      <c r="R34" s="18"/>
      <c r="S34" s="20">
        <f t="shared" si="12"/>
        <v>0</v>
      </c>
      <c r="T34" s="18"/>
      <c r="U34" s="20">
        <f t="shared" si="13"/>
        <v>0</v>
      </c>
      <c r="V34" s="18"/>
      <c r="W34" s="18"/>
      <c r="X34" s="18"/>
      <c r="Y34" s="20">
        <f t="shared" si="14"/>
        <v>0</v>
      </c>
      <c r="Z34" s="20"/>
      <c r="AA34" s="20">
        <f t="shared" si="15"/>
        <v>0</v>
      </c>
      <c r="AD34" s="1">
        <f>(486050/642873)*131715*0.4/486050</f>
        <v>8.1953978468531127E-2</v>
      </c>
      <c r="AH34" s="61"/>
    </row>
    <row r="35" spans="1:34">
      <c r="A35" s="6">
        <f t="shared" si="16"/>
        <v>2017</v>
      </c>
      <c r="C35" s="20">
        <f>'AF31'!I35</f>
        <v>0</v>
      </c>
      <c r="E35" s="74">
        <v>0</v>
      </c>
      <c r="G35" s="20">
        <f t="shared" si="9"/>
        <v>0</v>
      </c>
      <c r="H35" s="18"/>
      <c r="I35" s="74">
        <f t="shared" si="10"/>
        <v>0.31990156074263781</v>
      </c>
      <c r="J35" s="74"/>
      <c r="K35" s="74">
        <f t="shared" si="10"/>
        <v>0.67565322822629947</v>
      </c>
      <c r="M35" s="18">
        <v>0</v>
      </c>
      <c r="N35" s="18"/>
      <c r="O35" s="18">
        <v>0</v>
      </c>
      <c r="Q35" s="20">
        <f t="shared" si="11"/>
        <v>0</v>
      </c>
      <c r="R35" s="18"/>
      <c r="S35" s="20">
        <f t="shared" si="12"/>
        <v>0</v>
      </c>
      <c r="T35" s="18"/>
      <c r="U35" s="20">
        <f t="shared" si="13"/>
        <v>0</v>
      </c>
      <c r="V35" s="18"/>
      <c r="W35" s="18"/>
      <c r="X35" s="18"/>
      <c r="Y35" s="20">
        <f t="shared" si="14"/>
        <v>0</v>
      </c>
      <c r="Z35" s="20"/>
      <c r="AA35" s="20">
        <f t="shared" si="15"/>
        <v>0</v>
      </c>
    </row>
    <row r="36" spans="1:34">
      <c r="A36" s="6">
        <f t="shared" si="16"/>
        <v>2018</v>
      </c>
      <c r="C36" s="20">
        <f>'AF31'!I36</f>
        <v>0</v>
      </c>
      <c r="E36" s="74">
        <v>0</v>
      </c>
      <c r="G36" s="20">
        <f t="shared" si="9"/>
        <v>0</v>
      </c>
      <c r="H36" s="18"/>
      <c r="I36" s="74">
        <f t="shared" si="10"/>
        <v>0.17396434844461656</v>
      </c>
      <c r="J36" s="74"/>
      <c r="K36" s="74">
        <f t="shared" si="10"/>
        <v>0.46452146343123663</v>
      </c>
      <c r="M36" s="18">
        <v>0</v>
      </c>
      <c r="N36" s="18"/>
      <c r="O36" s="18">
        <v>0</v>
      </c>
      <c r="Q36" s="20">
        <f t="shared" si="11"/>
        <v>0</v>
      </c>
      <c r="R36" s="18"/>
      <c r="S36" s="20">
        <f t="shared" si="12"/>
        <v>0</v>
      </c>
      <c r="T36" s="18"/>
      <c r="U36" s="20">
        <f t="shared" si="13"/>
        <v>0</v>
      </c>
      <c r="V36" s="18"/>
      <c r="W36" s="18"/>
      <c r="X36" s="18"/>
      <c r="Y36" s="20">
        <f t="shared" si="14"/>
        <v>0</v>
      </c>
      <c r="Z36" s="20"/>
      <c r="AA36" s="20">
        <f t="shared" si="15"/>
        <v>0</v>
      </c>
    </row>
    <row r="37" spans="1:34">
      <c r="A37" s="6">
        <f t="shared" si="16"/>
        <v>2019</v>
      </c>
      <c r="C37" s="20">
        <f>'AF31'!I37</f>
        <v>0</v>
      </c>
      <c r="E37" s="74">
        <v>0</v>
      </c>
      <c r="G37" s="20">
        <f t="shared" si="9"/>
        <v>0</v>
      </c>
      <c r="H37" s="18"/>
      <c r="I37" s="74">
        <f t="shared" si="10"/>
        <v>7.3602556401170194E-2</v>
      </c>
      <c r="J37" s="74"/>
      <c r="K37" s="74">
        <f t="shared" si="10"/>
        <v>0.25385865572128846</v>
      </c>
      <c r="M37" s="18">
        <v>0</v>
      </c>
      <c r="N37" s="18"/>
      <c r="O37" s="18">
        <v>0</v>
      </c>
      <c r="Q37" s="20">
        <f t="shared" si="11"/>
        <v>0</v>
      </c>
      <c r="R37" s="18"/>
      <c r="S37" s="20">
        <f t="shared" si="12"/>
        <v>0</v>
      </c>
      <c r="T37" s="18"/>
      <c r="U37" s="20">
        <f t="shared" si="13"/>
        <v>0</v>
      </c>
      <c r="V37" s="18"/>
      <c r="W37" s="18"/>
      <c r="X37" s="18"/>
      <c r="Y37" s="20">
        <f t="shared" si="14"/>
        <v>0</v>
      </c>
      <c r="Z37" s="20"/>
      <c r="AA37" s="20">
        <f t="shared" si="15"/>
        <v>0</v>
      </c>
    </row>
    <row r="38" spans="1:34">
      <c r="A38" s="6">
        <f t="shared" si="16"/>
        <v>2020</v>
      </c>
      <c r="C38" s="20">
        <f>'AF31'!I38</f>
        <v>0</v>
      </c>
      <c r="E38" s="74">
        <v>0</v>
      </c>
      <c r="G38" s="20">
        <f t="shared" si="9"/>
        <v>0</v>
      </c>
      <c r="H38" s="18"/>
      <c r="I38" s="74">
        <f>I24</f>
        <v>2.1824344695258523E-2</v>
      </c>
      <c r="J38" s="74"/>
      <c r="K38" s="74">
        <f>K24</f>
        <v>9.5677256362948646E-2</v>
      </c>
      <c r="M38" s="18">
        <v>0</v>
      </c>
      <c r="N38" s="18"/>
      <c r="O38" s="18">
        <v>0</v>
      </c>
      <c r="Q38" s="20">
        <f t="shared" si="11"/>
        <v>0</v>
      </c>
      <c r="R38" s="18"/>
      <c r="S38" s="20">
        <f t="shared" si="12"/>
        <v>0</v>
      </c>
      <c r="T38" s="18"/>
      <c r="U38" s="20">
        <f t="shared" si="13"/>
        <v>0</v>
      </c>
      <c r="V38" s="18"/>
      <c r="W38" s="18"/>
      <c r="X38" s="18"/>
      <c r="Y38" s="20">
        <f t="shared" si="14"/>
        <v>0</v>
      </c>
      <c r="Z38" s="20"/>
      <c r="AA38" s="20">
        <f t="shared" si="15"/>
        <v>0</v>
      </c>
    </row>
    <row r="39" spans="1:34">
      <c r="A39" s="6"/>
      <c r="C39" s="63"/>
      <c r="G39" s="63"/>
      <c r="M39" s="63"/>
      <c r="O39" s="63"/>
      <c r="Q39" s="63"/>
      <c r="S39" s="63"/>
      <c r="U39" s="63"/>
      <c r="Y39" s="63"/>
      <c r="AA39" s="63"/>
    </row>
    <row r="40" spans="1:34">
      <c r="A40" s="2" t="s">
        <v>0</v>
      </c>
      <c r="C40" s="26">
        <f>SUM(C30:C39)</f>
        <v>0</v>
      </c>
      <c r="G40" s="26">
        <f>SUM(G30:G39)</f>
        <v>0</v>
      </c>
      <c r="H40" s="26"/>
      <c r="M40" s="26">
        <f>SUM(M30:M39)</f>
        <v>0</v>
      </c>
      <c r="N40" s="26"/>
      <c r="O40" s="26">
        <f>SUM(O30:O39)</f>
        <v>0</v>
      </c>
      <c r="Q40" s="26">
        <f>SUM(Q30:Q39)</f>
        <v>0</v>
      </c>
      <c r="R40" s="26"/>
      <c r="S40" s="26">
        <f>SUM(S30:S39)</f>
        <v>0</v>
      </c>
      <c r="T40" s="26"/>
      <c r="U40" s="26">
        <f>SUM(U30:U39)</f>
        <v>0</v>
      </c>
      <c r="V40" s="26"/>
      <c r="W40" s="26">
        <f>SUM(W30:W39)</f>
        <v>0</v>
      </c>
      <c r="Y40" s="26">
        <f>SUM(Y30:Y39)</f>
        <v>0</v>
      </c>
      <c r="AA40" s="26">
        <f>SUM(AA30:AA39)</f>
        <v>0</v>
      </c>
    </row>
    <row r="41" spans="1:34">
      <c r="A41" s="6"/>
      <c r="F41" s="26"/>
    </row>
    <row r="42" spans="1:34">
      <c r="A42" s="26" t="s">
        <v>296</v>
      </c>
    </row>
    <row r="43" spans="1:34">
      <c r="A43" s="6">
        <f>2012</f>
        <v>2012</v>
      </c>
      <c r="C43" s="26">
        <f>'AF31'!I43</f>
        <v>0</v>
      </c>
      <c r="G43" s="26">
        <f>C43*E43</f>
        <v>0</v>
      </c>
      <c r="H43" s="26"/>
      <c r="I43" s="74">
        <f>I30</f>
        <v>0.94801051286724958</v>
      </c>
      <c r="K43" s="74">
        <f>K30</f>
        <v>0.99416449550084118</v>
      </c>
      <c r="M43" s="26">
        <v>0</v>
      </c>
      <c r="N43" s="26"/>
      <c r="O43" s="26">
        <v>0</v>
      </c>
      <c r="Q43" s="19">
        <f>G43*(1-I43)+M43</f>
        <v>0</v>
      </c>
      <c r="R43" s="19"/>
      <c r="S43" s="19">
        <f>MAX(M43,G43*(1-K43)+O43)</f>
        <v>0</v>
      </c>
      <c r="T43" s="19"/>
      <c r="U43" s="26">
        <f>S43</f>
        <v>0</v>
      </c>
      <c r="V43" s="19"/>
      <c r="W43" s="19"/>
      <c r="Y43" s="26">
        <f>U43+W43</f>
        <v>0</v>
      </c>
      <c r="AA43" s="26">
        <f>Y43-M43</f>
        <v>0</v>
      </c>
    </row>
    <row r="44" spans="1:34">
      <c r="A44" s="6">
        <f>A43+1</f>
        <v>2013</v>
      </c>
      <c r="C44" s="20">
        <f>'AF31'!I44</f>
        <v>0</v>
      </c>
      <c r="G44" s="20">
        <f t="shared" ref="G44:G51" si="17">C44*E44</f>
        <v>0</v>
      </c>
      <c r="H44" s="18"/>
      <c r="I44" s="74">
        <f t="shared" ref="I44:I51" si="18">I31</f>
        <v>0.89045561791282701</v>
      </c>
      <c r="K44" s="74">
        <f t="shared" ref="K44:K51" si="19">K31</f>
        <v>0.98287873908853096</v>
      </c>
      <c r="M44" s="18">
        <v>0</v>
      </c>
      <c r="N44" s="18"/>
      <c r="O44" s="18">
        <v>0</v>
      </c>
      <c r="Q44" s="20">
        <f t="shared" ref="Q44:Q51" si="20">G44*(1-I44)+M44</f>
        <v>0</v>
      </c>
      <c r="R44" s="18"/>
      <c r="S44" s="20">
        <f t="shared" ref="S44:S51" si="21">MAX(M44,G44*(1-K44)+O44)</f>
        <v>0</v>
      </c>
      <c r="T44" s="18"/>
      <c r="U44" s="20">
        <f t="shared" ref="U44:U51" si="22">S44</f>
        <v>0</v>
      </c>
      <c r="V44" s="18"/>
      <c r="W44" s="18"/>
      <c r="X44" s="18"/>
      <c r="Y44" s="20">
        <f t="shared" ref="Y44:Y51" si="23">U44+W44</f>
        <v>0</v>
      </c>
      <c r="Z44" s="20"/>
      <c r="AA44" s="20">
        <f t="shared" ref="AA44:AA51" si="24">Y44-M44</f>
        <v>0</v>
      </c>
    </row>
    <row r="45" spans="1:34">
      <c r="A45" s="6">
        <f t="shared" ref="A45:A51" si="25">A44+1</f>
        <v>2014</v>
      </c>
      <c r="C45" s="20">
        <f>'AF31'!I45</f>
        <v>0</v>
      </c>
      <c r="G45" s="20">
        <f t="shared" si="17"/>
        <v>0</v>
      </c>
      <c r="H45" s="18"/>
      <c r="I45" s="74">
        <f t="shared" si="18"/>
        <v>0.79288755863123328</v>
      </c>
      <c r="K45" s="74">
        <f t="shared" si="19"/>
        <v>0.95870921147424792</v>
      </c>
      <c r="M45" s="18">
        <v>0</v>
      </c>
      <c r="N45" s="18"/>
      <c r="O45" s="18">
        <v>0</v>
      </c>
      <c r="Q45" s="20">
        <f t="shared" si="20"/>
        <v>0</v>
      </c>
      <c r="R45" s="18"/>
      <c r="S45" s="20">
        <f t="shared" si="21"/>
        <v>0</v>
      </c>
      <c r="T45" s="18"/>
      <c r="U45" s="20">
        <f t="shared" si="22"/>
        <v>0</v>
      </c>
      <c r="V45" s="18"/>
      <c r="W45" s="18"/>
      <c r="X45" s="18"/>
      <c r="Y45" s="20">
        <f t="shared" si="23"/>
        <v>0</v>
      </c>
      <c r="Z45" s="20"/>
      <c r="AA45" s="20">
        <f t="shared" si="24"/>
        <v>0</v>
      </c>
    </row>
    <row r="46" spans="1:34">
      <c r="A46" s="6">
        <f t="shared" si="25"/>
        <v>2015</v>
      </c>
      <c r="C46" s="20">
        <f>'AF31'!I46</f>
        <v>0</v>
      </c>
      <c r="G46" s="20">
        <f t="shared" si="17"/>
        <v>0</v>
      </c>
      <c r="H46" s="18"/>
      <c r="I46" s="74">
        <f t="shared" si="18"/>
        <v>0.65372218453002273</v>
      </c>
      <c r="K46" s="74">
        <f t="shared" si="19"/>
        <v>0.91184336526935317</v>
      </c>
      <c r="M46" s="18">
        <v>0</v>
      </c>
      <c r="N46" s="18"/>
      <c r="O46" s="18">
        <v>0</v>
      </c>
      <c r="Q46" s="20">
        <f t="shared" si="20"/>
        <v>0</v>
      </c>
      <c r="R46" s="18"/>
      <c r="S46" s="20">
        <f t="shared" si="21"/>
        <v>0</v>
      </c>
      <c r="T46" s="18"/>
      <c r="U46" s="20">
        <f t="shared" si="22"/>
        <v>0</v>
      </c>
      <c r="V46" s="18"/>
      <c r="W46" s="18"/>
      <c r="X46" s="18"/>
      <c r="Y46" s="20">
        <f t="shared" si="23"/>
        <v>0</v>
      </c>
      <c r="Z46" s="20"/>
      <c r="AA46" s="20">
        <f t="shared" si="24"/>
        <v>0</v>
      </c>
    </row>
    <row r="47" spans="1:34">
      <c r="A47" s="6">
        <f t="shared" si="25"/>
        <v>2016</v>
      </c>
      <c r="C47" s="20">
        <f>'AF31'!I47</f>
        <v>0</v>
      </c>
      <c r="G47" s="20">
        <f t="shared" si="17"/>
        <v>0</v>
      </c>
      <c r="H47" s="18"/>
      <c r="I47" s="74">
        <f t="shared" si="18"/>
        <v>0.48661722894116194</v>
      </c>
      <c r="K47" s="74">
        <f t="shared" si="19"/>
        <v>0.82659904866187139</v>
      </c>
      <c r="M47" s="18">
        <v>0</v>
      </c>
      <c r="N47" s="18"/>
      <c r="O47" s="18">
        <v>0</v>
      </c>
      <c r="Q47" s="20">
        <f t="shared" si="20"/>
        <v>0</v>
      </c>
      <c r="R47" s="18"/>
      <c r="S47" s="20">
        <f t="shared" si="21"/>
        <v>0</v>
      </c>
      <c r="T47" s="18"/>
      <c r="U47" s="20">
        <f t="shared" si="22"/>
        <v>0</v>
      </c>
      <c r="V47" s="18"/>
      <c r="W47" s="18"/>
      <c r="X47" s="18"/>
      <c r="Y47" s="20">
        <f t="shared" si="23"/>
        <v>0</v>
      </c>
      <c r="Z47" s="20"/>
      <c r="AA47" s="20">
        <f t="shared" si="24"/>
        <v>0</v>
      </c>
    </row>
    <row r="48" spans="1:34">
      <c r="A48" s="6">
        <f t="shared" si="25"/>
        <v>2017</v>
      </c>
      <c r="C48" s="20">
        <f>'AF31'!I48</f>
        <v>0</v>
      </c>
      <c r="G48" s="20">
        <f t="shared" si="17"/>
        <v>0</v>
      </c>
      <c r="H48" s="18"/>
      <c r="I48" s="74">
        <f t="shared" si="18"/>
        <v>0.31990156074263781</v>
      </c>
      <c r="K48" s="74">
        <f t="shared" si="19"/>
        <v>0.67565322822629947</v>
      </c>
      <c r="M48" s="18">
        <v>0</v>
      </c>
      <c r="N48" s="18"/>
      <c r="O48" s="18">
        <v>0</v>
      </c>
      <c r="Q48" s="20">
        <f t="shared" si="20"/>
        <v>0</v>
      </c>
      <c r="R48" s="18"/>
      <c r="S48" s="20">
        <f t="shared" si="21"/>
        <v>0</v>
      </c>
      <c r="T48" s="18"/>
      <c r="U48" s="20">
        <f t="shared" si="22"/>
        <v>0</v>
      </c>
      <c r="V48" s="18"/>
      <c r="W48" s="18"/>
      <c r="X48" s="18"/>
      <c r="Y48" s="20">
        <f t="shared" si="23"/>
        <v>0</v>
      </c>
      <c r="Z48" s="20"/>
      <c r="AA48" s="20">
        <f t="shared" si="24"/>
        <v>0</v>
      </c>
    </row>
    <row r="49" spans="1:27">
      <c r="A49" s="6">
        <f t="shared" si="25"/>
        <v>2018</v>
      </c>
      <c r="C49" s="20">
        <f>'AF31'!I49</f>
        <v>0</v>
      </c>
      <c r="G49" s="20">
        <f t="shared" si="17"/>
        <v>0</v>
      </c>
      <c r="H49" s="18"/>
      <c r="I49" s="74">
        <f t="shared" si="18"/>
        <v>0.17396434844461656</v>
      </c>
      <c r="K49" s="74">
        <f t="shared" si="19"/>
        <v>0.46452146343123663</v>
      </c>
      <c r="M49" s="18">
        <v>0</v>
      </c>
      <c r="N49" s="18"/>
      <c r="O49" s="18">
        <v>0</v>
      </c>
      <c r="Q49" s="20">
        <f t="shared" si="20"/>
        <v>0</v>
      </c>
      <c r="R49" s="18"/>
      <c r="S49" s="20">
        <f t="shared" si="21"/>
        <v>0</v>
      </c>
      <c r="T49" s="18"/>
      <c r="U49" s="20">
        <f t="shared" si="22"/>
        <v>0</v>
      </c>
      <c r="V49" s="18"/>
      <c r="W49" s="18"/>
      <c r="X49" s="18"/>
      <c r="Y49" s="20">
        <f t="shared" si="23"/>
        <v>0</v>
      </c>
      <c r="Z49" s="20"/>
      <c r="AA49" s="20">
        <f t="shared" si="24"/>
        <v>0</v>
      </c>
    </row>
    <row r="50" spans="1:27">
      <c r="A50" s="6">
        <f t="shared" si="25"/>
        <v>2019</v>
      </c>
      <c r="C50" s="20">
        <f>'AF31'!I50</f>
        <v>0</v>
      </c>
      <c r="G50" s="20">
        <f t="shared" si="17"/>
        <v>0</v>
      </c>
      <c r="H50" s="18"/>
      <c r="I50" s="74">
        <f t="shared" si="18"/>
        <v>7.3602556401170194E-2</v>
      </c>
      <c r="K50" s="74">
        <f t="shared" si="19"/>
        <v>0.25385865572128846</v>
      </c>
      <c r="M50" s="18">
        <v>0</v>
      </c>
      <c r="N50" s="18"/>
      <c r="O50" s="18">
        <v>0</v>
      </c>
      <c r="Q50" s="20">
        <f t="shared" si="20"/>
        <v>0</v>
      </c>
      <c r="R50" s="18"/>
      <c r="S50" s="20">
        <f t="shared" si="21"/>
        <v>0</v>
      </c>
      <c r="T50" s="18"/>
      <c r="U50" s="20">
        <f t="shared" si="22"/>
        <v>0</v>
      </c>
      <c r="V50" s="18"/>
      <c r="W50" s="18"/>
      <c r="X50" s="18"/>
      <c r="Y50" s="20">
        <f t="shared" si="23"/>
        <v>0</v>
      </c>
      <c r="Z50" s="20"/>
      <c r="AA50" s="20">
        <f t="shared" si="24"/>
        <v>0</v>
      </c>
    </row>
    <row r="51" spans="1:27">
      <c r="A51" s="6">
        <f t="shared" si="25"/>
        <v>2020</v>
      </c>
      <c r="C51" s="20">
        <f>'AF31'!I51</f>
        <v>0</v>
      </c>
      <c r="G51" s="20">
        <f t="shared" si="17"/>
        <v>0</v>
      </c>
      <c r="H51" s="18"/>
      <c r="I51" s="74">
        <f t="shared" si="18"/>
        <v>2.1824344695258523E-2</v>
      </c>
      <c r="K51" s="74">
        <f t="shared" si="19"/>
        <v>9.5677256362948646E-2</v>
      </c>
      <c r="M51" s="18">
        <v>0</v>
      </c>
      <c r="N51" s="18"/>
      <c r="O51" s="18">
        <v>0</v>
      </c>
      <c r="Q51" s="20">
        <f t="shared" si="20"/>
        <v>0</v>
      </c>
      <c r="R51" s="18"/>
      <c r="S51" s="20">
        <f t="shared" si="21"/>
        <v>0</v>
      </c>
      <c r="T51" s="18"/>
      <c r="U51" s="20">
        <f t="shared" si="22"/>
        <v>0</v>
      </c>
      <c r="V51" s="18"/>
      <c r="W51" s="18"/>
      <c r="X51" s="18"/>
      <c r="Y51" s="20">
        <f t="shared" si="23"/>
        <v>0</v>
      </c>
      <c r="Z51" s="20"/>
      <c r="AA51" s="20">
        <f t="shared" si="24"/>
        <v>0</v>
      </c>
    </row>
    <row r="52" spans="1:27">
      <c r="A52" s="6"/>
      <c r="G52" s="63"/>
      <c r="M52" s="63"/>
      <c r="O52" s="63"/>
      <c r="Q52" s="63"/>
      <c r="S52" s="63"/>
      <c r="U52" s="63"/>
      <c r="Y52" s="63"/>
      <c r="AA52" s="63"/>
    </row>
    <row r="53" spans="1:27">
      <c r="A53" s="2" t="s">
        <v>0</v>
      </c>
      <c r="C53" s="26">
        <f>SUM(C43:C52)</f>
        <v>0</v>
      </c>
      <c r="G53" s="26">
        <f>SUM(G43:G52)</f>
        <v>0</v>
      </c>
      <c r="H53" s="26"/>
      <c r="M53" s="26">
        <f>SUM(M43:M52)</f>
        <v>0</v>
      </c>
      <c r="N53" s="26"/>
      <c r="O53" s="26">
        <f>SUM(O43:O52)</f>
        <v>0</v>
      </c>
      <c r="Q53" s="26">
        <f>SUM(Q43:Q52)</f>
        <v>0</v>
      </c>
      <c r="R53" s="26"/>
      <c r="S53" s="26">
        <f>SUM(S43:S52)</f>
        <v>0</v>
      </c>
      <c r="T53" s="26"/>
      <c r="U53" s="26">
        <f>SUM(U43:U52)</f>
        <v>0</v>
      </c>
      <c r="V53" s="26"/>
      <c r="W53" s="26">
        <f>SUM(W43:W52)</f>
        <v>0</v>
      </c>
      <c r="Y53" s="26">
        <f>SUM(Y43:Y52)</f>
        <v>0</v>
      </c>
      <c r="AA53" s="26">
        <f>SUM(AA43:AA52)</f>
        <v>0</v>
      </c>
    </row>
    <row r="55" spans="1:27">
      <c r="A55" s="26" t="s">
        <v>297</v>
      </c>
    </row>
    <row r="56" spans="1:27">
      <c r="A56" s="6">
        <f>2012</f>
        <v>2012</v>
      </c>
      <c r="C56" s="26">
        <f>C17+C30+C43</f>
        <v>0</v>
      </c>
      <c r="G56" s="26">
        <f>G17+G30+G43</f>
        <v>0</v>
      </c>
      <c r="H56" s="26"/>
      <c r="M56" s="26">
        <f>M17+M30+M43</f>
        <v>0</v>
      </c>
      <c r="N56" s="26"/>
      <c r="O56" s="26">
        <f>O17+O30+O43</f>
        <v>0</v>
      </c>
      <c r="Q56" s="26">
        <f>Q17+Q30+Q43</f>
        <v>0</v>
      </c>
      <c r="R56" s="26"/>
      <c r="S56" s="26">
        <f>S17+S30+S43</f>
        <v>0</v>
      </c>
      <c r="T56" s="26"/>
      <c r="U56" s="26">
        <f>U17+U30+U43</f>
        <v>0</v>
      </c>
      <c r="V56" s="26"/>
      <c r="W56" s="26">
        <f>W17+W30+W43</f>
        <v>0</v>
      </c>
      <c r="Y56" s="26">
        <f>Y17+Y30+Y43</f>
        <v>0</v>
      </c>
      <c r="AA56" s="26">
        <f>AA17+AA30+AA43</f>
        <v>0</v>
      </c>
    </row>
    <row r="57" spans="1:27">
      <c r="A57" s="6">
        <f>A56+1</f>
        <v>2013</v>
      </c>
      <c r="C57" s="20">
        <f t="shared" ref="C57:C64" si="26">C18+C31+C44</f>
        <v>0</v>
      </c>
      <c r="D57" s="20"/>
      <c r="E57" s="20"/>
      <c r="F57" s="20"/>
      <c r="G57" s="20">
        <f t="shared" ref="G57:G64" si="27">G18+G31+G44</f>
        <v>0</v>
      </c>
      <c r="H57" s="20"/>
      <c r="I57" s="20"/>
      <c r="J57" s="20"/>
      <c r="K57" s="20"/>
      <c r="L57" s="20"/>
      <c r="M57" s="20">
        <f t="shared" ref="M57:M64" si="28">M18+M31+M44</f>
        <v>0</v>
      </c>
      <c r="N57" s="20"/>
      <c r="O57" s="20">
        <f t="shared" ref="O57:O64" si="29">O18+O31+O44</f>
        <v>0</v>
      </c>
      <c r="P57" s="20"/>
      <c r="Q57" s="20">
        <f t="shared" ref="Q57:Q64" si="30">Q18+Q31+Q44</f>
        <v>0</v>
      </c>
      <c r="R57" s="20"/>
      <c r="S57" s="20">
        <f t="shared" ref="S57:S64" si="31">S18+S31+S44</f>
        <v>0</v>
      </c>
      <c r="T57" s="20"/>
      <c r="U57" s="20">
        <f t="shared" ref="U57:U64" si="32">U18+U31+U44</f>
        <v>0</v>
      </c>
      <c r="V57" s="20"/>
      <c r="W57" s="20">
        <f t="shared" ref="W57:W64" si="33">W18+W31+W44</f>
        <v>0</v>
      </c>
      <c r="X57" s="20"/>
      <c r="Y57" s="20">
        <f t="shared" ref="Y57:Y64" si="34">Y18+Y31+Y44</f>
        <v>0</v>
      </c>
      <c r="Z57" s="20"/>
      <c r="AA57" s="20">
        <f t="shared" ref="AA57:AA64" si="35">AA18+AA31+AA44</f>
        <v>0</v>
      </c>
    </row>
    <row r="58" spans="1:27">
      <c r="A58" s="6">
        <f t="shared" ref="A58:A64" si="36">A57+1</f>
        <v>2014</v>
      </c>
      <c r="C58" s="20">
        <f t="shared" si="26"/>
        <v>0</v>
      </c>
      <c r="D58" s="20"/>
      <c r="E58" s="20"/>
      <c r="F58" s="20"/>
      <c r="G58" s="20">
        <f t="shared" si="27"/>
        <v>0</v>
      </c>
      <c r="H58" s="20"/>
      <c r="I58" s="20"/>
      <c r="J58" s="20"/>
      <c r="K58" s="20"/>
      <c r="L58" s="20"/>
      <c r="M58" s="20">
        <f t="shared" si="28"/>
        <v>0</v>
      </c>
      <c r="N58" s="20"/>
      <c r="O58" s="20">
        <f t="shared" si="29"/>
        <v>0</v>
      </c>
      <c r="P58" s="20"/>
      <c r="Q58" s="20">
        <f t="shared" si="30"/>
        <v>0</v>
      </c>
      <c r="R58" s="20"/>
      <c r="S58" s="20">
        <f t="shared" si="31"/>
        <v>0</v>
      </c>
      <c r="T58" s="20"/>
      <c r="U58" s="20">
        <f t="shared" si="32"/>
        <v>0</v>
      </c>
      <c r="V58" s="20"/>
      <c r="W58" s="20">
        <f t="shared" si="33"/>
        <v>0</v>
      </c>
      <c r="X58" s="20"/>
      <c r="Y58" s="20">
        <f t="shared" si="34"/>
        <v>0</v>
      </c>
      <c r="Z58" s="20"/>
      <c r="AA58" s="20">
        <f t="shared" si="35"/>
        <v>0</v>
      </c>
    </row>
    <row r="59" spans="1:27">
      <c r="A59" s="6">
        <f t="shared" si="36"/>
        <v>2015</v>
      </c>
      <c r="C59" s="20">
        <f t="shared" si="26"/>
        <v>0</v>
      </c>
      <c r="D59" s="20"/>
      <c r="E59" s="20"/>
      <c r="F59" s="20"/>
      <c r="G59" s="20">
        <f t="shared" si="27"/>
        <v>0</v>
      </c>
      <c r="H59" s="20"/>
      <c r="I59" s="20"/>
      <c r="J59" s="20"/>
      <c r="K59" s="20"/>
      <c r="L59" s="20"/>
      <c r="M59" s="20">
        <f t="shared" si="28"/>
        <v>0</v>
      </c>
      <c r="N59" s="20"/>
      <c r="O59" s="20">
        <f t="shared" si="29"/>
        <v>0</v>
      </c>
      <c r="P59" s="20"/>
      <c r="Q59" s="20">
        <f t="shared" si="30"/>
        <v>0</v>
      </c>
      <c r="R59" s="20"/>
      <c r="S59" s="20">
        <f t="shared" si="31"/>
        <v>0</v>
      </c>
      <c r="T59" s="20"/>
      <c r="U59" s="20">
        <f t="shared" si="32"/>
        <v>0</v>
      </c>
      <c r="V59" s="20"/>
      <c r="W59" s="20">
        <f t="shared" si="33"/>
        <v>0</v>
      </c>
      <c r="X59" s="20"/>
      <c r="Y59" s="20">
        <f t="shared" si="34"/>
        <v>0</v>
      </c>
      <c r="Z59" s="20"/>
      <c r="AA59" s="20">
        <f t="shared" si="35"/>
        <v>0</v>
      </c>
    </row>
    <row r="60" spans="1:27">
      <c r="A60" s="6">
        <f t="shared" si="36"/>
        <v>2016</v>
      </c>
      <c r="C60" s="20">
        <f t="shared" si="26"/>
        <v>0</v>
      </c>
      <c r="D60" s="20"/>
      <c r="E60" s="20"/>
      <c r="F60" s="20"/>
      <c r="G60" s="20">
        <f t="shared" si="27"/>
        <v>0</v>
      </c>
      <c r="H60" s="20"/>
      <c r="I60" s="20"/>
      <c r="J60" s="20"/>
      <c r="K60" s="20"/>
      <c r="L60" s="20"/>
      <c r="M60" s="20">
        <f t="shared" si="28"/>
        <v>0</v>
      </c>
      <c r="N60" s="20"/>
      <c r="O60" s="20">
        <f t="shared" si="29"/>
        <v>0</v>
      </c>
      <c r="P60" s="20"/>
      <c r="Q60" s="20">
        <f t="shared" si="30"/>
        <v>0</v>
      </c>
      <c r="R60" s="20"/>
      <c r="S60" s="20">
        <f t="shared" si="31"/>
        <v>0</v>
      </c>
      <c r="T60" s="20"/>
      <c r="U60" s="20">
        <f t="shared" si="32"/>
        <v>0</v>
      </c>
      <c r="V60" s="20"/>
      <c r="W60" s="20">
        <f t="shared" si="33"/>
        <v>0</v>
      </c>
      <c r="X60" s="20"/>
      <c r="Y60" s="20">
        <f t="shared" si="34"/>
        <v>0</v>
      </c>
      <c r="Z60" s="20"/>
      <c r="AA60" s="20">
        <f t="shared" si="35"/>
        <v>0</v>
      </c>
    </row>
    <row r="61" spans="1:27">
      <c r="A61" s="6">
        <f t="shared" si="36"/>
        <v>2017</v>
      </c>
      <c r="C61" s="20">
        <f t="shared" si="26"/>
        <v>0</v>
      </c>
      <c r="D61" s="20"/>
      <c r="E61" s="20"/>
      <c r="F61" s="20"/>
      <c r="G61" s="20">
        <f t="shared" si="27"/>
        <v>0</v>
      </c>
      <c r="H61" s="20"/>
      <c r="I61" s="20"/>
      <c r="J61" s="20"/>
      <c r="K61" s="20"/>
      <c r="L61" s="20"/>
      <c r="M61" s="20">
        <f t="shared" si="28"/>
        <v>0</v>
      </c>
      <c r="N61" s="20"/>
      <c r="O61" s="20">
        <f t="shared" si="29"/>
        <v>0</v>
      </c>
      <c r="P61" s="20"/>
      <c r="Q61" s="20">
        <f t="shared" si="30"/>
        <v>0</v>
      </c>
      <c r="R61" s="20"/>
      <c r="S61" s="20">
        <f t="shared" si="31"/>
        <v>0</v>
      </c>
      <c r="T61" s="20"/>
      <c r="U61" s="20">
        <f t="shared" si="32"/>
        <v>0</v>
      </c>
      <c r="V61" s="20"/>
      <c r="W61" s="20">
        <f t="shared" si="33"/>
        <v>0</v>
      </c>
      <c r="X61" s="20"/>
      <c r="Y61" s="20">
        <f t="shared" si="34"/>
        <v>0</v>
      </c>
      <c r="Z61" s="20"/>
      <c r="AA61" s="20">
        <f t="shared" si="35"/>
        <v>0</v>
      </c>
    </row>
    <row r="62" spans="1:27">
      <c r="A62" s="6">
        <f t="shared" si="36"/>
        <v>2018</v>
      </c>
      <c r="C62" s="20">
        <f t="shared" si="26"/>
        <v>0</v>
      </c>
      <c r="D62" s="20"/>
      <c r="E62" s="20"/>
      <c r="F62" s="20"/>
      <c r="G62" s="20">
        <f t="shared" si="27"/>
        <v>0</v>
      </c>
      <c r="H62" s="20"/>
      <c r="I62" s="20"/>
      <c r="J62" s="20"/>
      <c r="K62" s="20"/>
      <c r="L62" s="20"/>
      <c r="M62" s="20">
        <f t="shared" si="28"/>
        <v>0</v>
      </c>
      <c r="N62" s="20"/>
      <c r="O62" s="20">
        <f t="shared" si="29"/>
        <v>0</v>
      </c>
      <c r="P62" s="20"/>
      <c r="Q62" s="20">
        <f t="shared" si="30"/>
        <v>0</v>
      </c>
      <c r="R62" s="20"/>
      <c r="S62" s="20">
        <f t="shared" si="31"/>
        <v>0</v>
      </c>
      <c r="T62" s="20"/>
      <c r="U62" s="20">
        <f t="shared" si="32"/>
        <v>0</v>
      </c>
      <c r="V62" s="20"/>
      <c r="W62" s="20">
        <f t="shared" si="33"/>
        <v>0</v>
      </c>
      <c r="X62" s="20"/>
      <c r="Y62" s="20">
        <f t="shared" si="34"/>
        <v>0</v>
      </c>
      <c r="Z62" s="20"/>
      <c r="AA62" s="20">
        <f t="shared" si="35"/>
        <v>0</v>
      </c>
    </row>
    <row r="63" spans="1:27">
      <c r="A63" s="6">
        <f t="shared" si="36"/>
        <v>2019</v>
      </c>
      <c r="C63" s="20">
        <f t="shared" si="26"/>
        <v>0</v>
      </c>
      <c r="D63" s="20"/>
      <c r="E63" s="20"/>
      <c r="F63" s="20"/>
      <c r="G63" s="20">
        <f t="shared" si="27"/>
        <v>0</v>
      </c>
      <c r="H63" s="20"/>
      <c r="I63" s="20"/>
      <c r="J63" s="20"/>
      <c r="K63" s="20"/>
      <c r="L63" s="20"/>
      <c r="M63" s="20">
        <f t="shared" si="28"/>
        <v>0</v>
      </c>
      <c r="N63" s="20"/>
      <c r="O63" s="20">
        <f t="shared" si="29"/>
        <v>0</v>
      </c>
      <c r="P63" s="20"/>
      <c r="Q63" s="20">
        <f t="shared" si="30"/>
        <v>0</v>
      </c>
      <c r="R63" s="20"/>
      <c r="S63" s="20">
        <f t="shared" si="31"/>
        <v>0</v>
      </c>
      <c r="T63" s="20"/>
      <c r="U63" s="20">
        <f t="shared" si="32"/>
        <v>0</v>
      </c>
      <c r="V63" s="20"/>
      <c r="W63" s="20">
        <f t="shared" si="33"/>
        <v>0</v>
      </c>
      <c r="X63" s="20"/>
      <c r="Y63" s="20">
        <f t="shared" si="34"/>
        <v>0</v>
      </c>
      <c r="Z63" s="20"/>
      <c r="AA63" s="20">
        <f t="shared" si="35"/>
        <v>0</v>
      </c>
    </row>
    <row r="64" spans="1:27">
      <c r="A64" s="6">
        <f t="shared" si="36"/>
        <v>2020</v>
      </c>
      <c r="C64" s="20">
        <f t="shared" si="26"/>
        <v>0</v>
      </c>
      <c r="D64" s="20"/>
      <c r="E64" s="20"/>
      <c r="F64" s="20"/>
      <c r="G64" s="20">
        <f t="shared" si="27"/>
        <v>0</v>
      </c>
      <c r="H64" s="20"/>
      <c r="I64" s="20"/>
      <c r="J64" s="20"/>
      <c r="K64" s="20"/>
      <c r="L64" s="20"/>
      <c r="M64" s="20">
        <f t="shared" si="28"/>
        <v>0</v>
      </c>
      <c r="N64" s="20"/>
      <c r="O64" s="20">
        <f t="shared" si="29"/>
        <v>0</v>
      </c>
      <c r="P64" s="20"/>
      <c r="Q64" s="20">
        <f t="shared" si="30"/>
        <v>0</v>
      </c>
      <c r="R64" s="20"/>
      <c r="S64" s="20">
        <f t="shared" si="31"/>
        <v>0</v>
      </c>
      <c r="T64" s="20"/>
      <c r="U64" s="20">
        <f t="shared" si="32"/>
        <v>0</v>
      </c>
      <c r="V64" s="20"/>
      <c r="W64" s="20">
        <f t="shared" si="33"/>
        <v>0</v>
      </c>
      <c r="X64" s="20"/>
      <c r="Y64" s="20">
        <f t="shared" si="34"/>
        <v>0</v>
      </c>
      <c r="Z64" s="20"/>
      <c r="AA64" s="20">
        <f t="shared" si="35"/>
        <v>0</v>
      </c>
    </row>
    <row r="65" spans="1:32">
      <c r="A65" s="6"/>
      <c r="C65" s="63"/>
      <c r="G65" s="63"/>
      <c r="M65" s="63"/>
      <c r="O65" s="63"/>
      <c r="Q65" s="63"/>
      <c r="S65" s="63"/>
      <c r="U65" s="63"/>
      <c r="W65" s="63"/>
      <c r="Y65" s="63"/>
      <c r="AA65" s="63"/>
    </row>
    <row r="66" spans="1:32">
      <c r="A66" s="2" t="s">
        <v>0</v>
      </c>
      <c r="C66" s="26">
        <f>SUM(C56:C65)</f>
        <v>0</v>
      </c>
      <c r="G66" s="26">
        <f>SUM(G56:G65)</f>
        <v>0</v>
      </c>
      <c r="H66" s="26"/>
      <c r="M66" s="26">
        <f>SUM(M56:M65)</f>
        <v>0</v>
      </c>
      <c r="N66" s="26"/>
      <c r="O66" s="26">
        <f>SUM(O56:O65)</f>
        <v>0</v>
      </c>
      <c r="Q66" s="26">
        <f>SUM(Q56:Q65)</f>
        <v>0</v>
      </c>
      <c r="R66" s="26"/>
      <c r="S66" s="26">
        <f>SUM(S56:S65)</f>
        <v>0</v>
      </c>
      <c r="T66" s="26"/>
      <c r="U66" s="26">
        <f>SUM(U56:U65)</f>
        <v>0</v>
      </c>
      <c r="V66" s="26"/>
      <c r="W66" s="26">
        <f>SUM(W56:W65)</f>
        <v>0</v>
      </c>
      <c r="Y66" s="26">
        <f>SUM(Y56:Y65)</f>
        <v>0</v>
      </c>
      <c r="AA66" s="26">
        <f>SUM(AA56:AA65)</f>
        <v>0</v>
      </c>
    </row>
    <row r="69" spans="1:32">
      <c r="A69" s="64" t="s">
        <v>104</v>
      </c>
      <c r="C69" s="3" t="s">
        <v>305</v>
      </c>
    </row>
    <row r="70" spans="1:32">
      <c r="A70" s="52" t="s">
        <v>36</v>
      </c>
      <c r="C70" s="77" t="s">
        <v>470</v>
      </c>
      <c r="D70" s="120"/>
      <c r="E70" s="120"/>
      <c r="F70" s="120"/>
      <c r="G70" s="120"/>
      <c r="AF70" s="61" t="s">
        <v>556</v>
      </c>
    </row>
    <row r="71" spans="1:32">
      <c r="A71" s="52" t="s">
        <v>38</v>
      </c>
      <c r="C71" s="3" t="s">
        <v>289</v>
      </c>
    </row>
    <row r="72" spans="1:32">
      <c r="A72" s="52" t="s">
        <v>40</v>
      </c>
      <c r="C72" s="3" t="s">
        <v>457</v>
      </c>
    </row>
    <row r="73" spans="1:32">
      <c r="A73" s="64" t="s">
        <v>42</v>
      </c>
      <c r="C73" s="3" t="s">
        <v>458</v>
      </c>
    </row>
    <row r="74" spans="1:32">
      <c r="A74" s="64" t="s">
        <v>30</v>
      </c>
      <c r="C74" s="3" t="s">
        <v>529</v>
      </c>
    </row>
    <row r="75" spans="1:32">
      <c r="A75" s="64" t="s">
        <v>31</v>
      </c>
      <c r="C75" s="3" t="s">
        <v>529</v>
      </c>
    </row>
    <row r="76" spans="1:32">
      <c r="A76" s="64" t="s">
        <v>103</v>
      </c>
      <c r="C76" s="3" t="s">
        <v>318</v>
      </c>
    </row>
    <row r="77" spans="1:32">
      <c r="A77" s="64" t="s">
        <v>106</v>
      </c>
      <c r="C77" s="3" t="s">
        <v>451</v>
      </c>
    </row>
    <row r="78" spans="1:32">
      <c r="A78" s="64" t="s">
        <v>134</v>
      </c>
      <c r="C78" s="77" t="s">
        <v>354</v>
      </c>
      <c r="AF78" s="61"/>
    </row>
    <row r="79" spans="1:32">
      <c r="A79" s="64" t="s">
        <v>137</v>
      </c>
      <c r="C79" s="3" t="s">
        <v>347</v>
      </c>
    </row>
    <row r="80" spans="1:32">
      <c r="A80" s="64" t="s">
        <v>345</v>
      </c>
      <c r="C80" s="3" t="s">
        <v>346</v>
      </c>
    </row>
  </sheetData>
  <printOptions horizontalCentered="1" verticalCentered="1"/>
  <pageMargins left="0.7" right="0.7" top="0.75" bottom="0.75" header="0.3" footer="0.3"/>
  <pageSetup scale="42" orientation="portrait" blackAndWhite="1" r:id="rId1"/>
  <headerFooter>
    <oddFooter>&amp;L&amp;6&amp;Z&amp;F
&amp;A</oddFooter>
  </headerFooter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13">
    <tabColor rgb="FFFF0000"/>
    <pageSetUpPr fitToPage="1"/>
  </sheetPr>
  <dimension ref="A1:AN66"/>
  <sheetViews>
    <sheetView showOutlineSymbols="0" topLeftCell="A4" zoomScale="75" zoomScaleNormal="75" workbookViewId="0">
      <selection activeCell="I43" sqref="I43"/>
    </sheetView>
  </sheetViews>
  <sheetFormatPr baseColWidth="10" defaultColWidth="9.7109375" defaultRowHeight="15"/>
  <cols>
    <col min="1" max="1" width="13.7109375" style="1" customWidth="1"/>
    <col min="2" max="2" width="1.7109375" style="1" customWidth="1"/>
    <col min="3" max="3" width="13.7109375" style="1" customWidth="1"/>
    <col min="4" max="4" width="1.7109375" style="1" customWidth="1"/>
    <col min="5" max="5" width="13.7109375" style="1" customWidth="1"/>
    <col min="6" max="6" width="1.7109375" style="1" customWidth="1"/>
    <col min="7" max="7" width="13.7109375" style="1" customWidth="1"/>
    <col min="8" max="8" width="1.7109375" style="1" customWidth="1"/>
    <col min="9" max="9" width="13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2.7109375" style="1" customWidth="1"/>
    <col min="14" max="14" width="1.7109375" style="1" customWidth="1"/>
    <col min="15" max="15" width="11.7109375" style="1" customWidth="1"/>
    <col min="16" max="16" width="1.7109375" style="1" customWidth="1"/>
    <col min="17" max="17" width="14.7109375" style="1" customWidth="1"/>
    <col min="18" max="18" width="1.7109375" style="1" customWidth="1"/>
    <col min="19" max="19" width="12.7109375" style="1" customWidth="1"/>
    <col min="20" max="20" width="1.7109375" style="1" customWidth="1"/>
    <col min="21" max="21" width="11.7109375" style="1" customWidth="1"/>
    <col min="22" max="22" width="1.7109375" style="1" customWidth="1"/>
    <col min="23" max="23" width="11.7109375" style="1" customWidth="1"/>
    <col min="24" max="24" width="1.7109375" style="1" customWidth="1"/>
    <col min="25" max="25" width="11.7109375" style="1" customWidth="1"/>
    <col min="26" max="26" width="1.7109375" style="1" customWidth="1"/>
    <col min="27" max="27" width="11.7109375" style="1" customWidth="1"/>
    <col min="28" max="28" width="1.7109375" style="1" customWidth="1"/>
    <col min="29" max="29" width="12.7109375" style="1" customWidth="1"/>
    <col min="30" max="30" width="1.7109375" style="1" customWidth="1"/>
    <col min="31" max="31" width="11.7109375" style="1" customWidth="1"/>
    <col min="32" max="32" width="1.7109375" style="1" customWidth="1"/>
    <col min="33" max="33" width="11.7109375" style="1" customWidth="1"/>
    <col min="34" max="34" width="1.7109375" style="1" customWidth="1"/>
    <col min="35" max="35" width="11.7109375" style="1" customWidth="1"/>
    <col min="36" max="36" width="12.7109375" style="1" customWidth="1"/>
    <col min="37" max="37" width="12.5703125" style="1" bestFit="1" customWidth="1"/>
    <col min="38" max="38" width="9.7109375" style="1"/>
    <col min="39" max="39" width="13.28515625" style="1" bestFit="1" customWidth="1"/>
    <col min="40" max="16384" width="9.7109375" style="1"/>
  </cols>
  <sheetData>
    <row r="1" spans="1:40">
      <c r="W1" s="3" t="s">
        <v>225</v>
      </c>
    </row>
    <row r="4" spans="1:40" ht="16">
      <c r="A4" s="4"/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40" ht="16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1" t="s">
        <v>872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40">
      <c r="B6" s="5"/>
      <c r="C6" s="5"/>
      <c r="D6" s="5"/>
      <c r="E6" s="5"/>
      <c r="F6" s="5"/>
      <c r="G6" s="5"/>
      <c r="H6" s="5"/>
      <c r="I6" s="5"/>
      <c r="J6" s="5"/>
      <c r="K6" s="5"/>
      <c r="L6" s="6" t="s">
        <v>57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40">
      <c r="B7" s="5"/>
      <c r="C7" s="5"/>
      <c r="D7" s="5"/>
      <c r="E7" s="5"/>
      <c r="F7" s="5"/>
      <c r="G7" s="5"/>
      <c r="H7" s="5"/>
      <c r="I7" s="5"/>
      <c r="J7" s="5"/>
      <c r="K7" s="5"/>
      <c r="L7" s="6" t="s">
        <v>877</v>
      </c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40">
      <c r="A8" s="5"/>
      <c r="B8" s="5"/>
      <c r="C8" s="5"/>
      <c r="D8" s="5"/>
      <c r="E8" s="5"/>
      <c r="F8" s="5"/>
      <c r="G8" s="5"/>
      <c r="H8" s="5"/>
      <c r="I8" s="5"/>
    </row>
    <row r="9" spans="1:40">
      <c r="AI9" s="24">
        <v>44196</v>
      </c>
    </row>
    <row r="10" spans="1:40">
      <c r="B10" s="6"/>
      <c r="C10" s="6"/>
      <c r="F10" s="6"/>
      <c r="H10" s="6"/>
      <c r="I10" s="133" t="s">
        <v>77</v>
      </c>
      <c r="J10" s="5"/>
      <c r="K10" s="5"/>
      <c r="M10" s="133" t="s">
        <v>118</v>
      </c>
      <c r="N10" s="5"/>
      <c r="O10" s="5"/>
      <c r="Q10" s="133" t="s">
        <v>77</v>
      </c>
      <c r="R10" s="5"/>
      <c r="S10" s="5"/>
      <c r="U10" s="133" t="s">
        <v>118</v>
      </c>
      <c r="V10" s="5"/>
      <c r="W10" s="5"/>
      <c r="Z10" s="133" t="s">
        <v>77</v>
      </c>
      <c r="AD10" s="133" t="s">
        <v>118</v>
      </c>
      <c r="AF10" s="134"/>
      <c r="AG10" s="135"/>
      <c r="AH10" s="135"/>
      <c r="AI10" s="25" t="s">
        <v>706</v>
      </c>
      <c r="AJ10" s="61"/>
      <c r="AK10" s="61"/>
      <c r="AL10" s="61"/>
      <c r="AM10" s="61"/>
      <c r="AN10" s="61"/>
    </row>
    <row r="11" spans="1:40">
      <c r="A11" s="6" t="s">
        <v>3</v>
      </c>
      <c r="B11" s="6"/>
      <c r="C11" s="7" t="s">
        <v>272</v>
      </c>
      <c r="D11" s="8"/>
      <c r="E11" s="8"/>
      <c r="F11" s="8"/>
      <c r="G11" s="8"/>
      <c r="H11" s="6"/>
      <c r="I11" s="7" t="s">
        <v>168</v>
      </c>
      <c r="J11" s="8"/>
      <c r="K11" s="8"/>
      <c r="M11" s="7" t="s">
        <v>168</v>
      </c>
      <c r="N11" s="8"/>
      <c r="O11" s="8"/>
      <c r="Q11" s="7" t="s">
        <v>260</v>
      </c>
      <c r="R11" s="8"/>
      <c r="S11" s="8"/>
      <c r="U11" s="7" t="s">
        <v>260</v>
      </c>
      <c r="V11" s="8"/>
      <c r="W11" s="8"/>
      <c r="Y11" s="7" t="s">
        <v>270</v>
      </c>
      <c r="Z11" s="8"/>
      <c r="AA11" s="8"/>
      <c r="AC11" s="7" t="s">
        <v>270</v>
      </c>
      <c r="AD11" s="8"/>
      <c r="AE11" s="8"/>
      <c r="AF11" s="61"/>
      <c r="AG11" s="61"/>
      <c r="AH11" s="61"/>
      <c r="AI11" s="25" t="s">
        <v>14</v>
      </c>
      <c r="AJ11" s="61" t="s">
        <v>18</v>
      </c>
      <c r="AK11" s="61"/>
      <c r="AL11" s="61"/>
      <c r="AM11" s="61"/>
      <c r="AN11" s="61"/>
    </row>
    <row r="12" spans="1:40">
      <c r="A12" s="6" t="s">
        <v>4</v>
      </c>
      <c r="B12" s="6"/>
      <c r="C12" s="2" t="s">
        <v>160</v>
      </c>
      <c r="E12" s="2" t="s">
        <v>198</v>
      </c>
      <c r="G12" s="2" t="s">
        <v>0</v>
      </c>
      <c r="H12" s="6"/>
      <c r="I12" s="2" t="s">
        <v>160</v>
      </c>
      <c r="K12" s="2" t="s">
        <v>198</v>
      </c>
      <c r="M12" s="2" t="s">
        <v>160</v>
      </c>
      <c r="O12" s="2" t="s">
        <v>198</v>
      </c>
      <c r="Q12" s="2" t="s">
        <v>160</v>
      </c>
      <c r="S12" s="2" t="s">
        <v>198</v>
      </c>
      <c r="U12" s="2" t="s">
        <v>160</v>
      </c>
      <c r="W12" s="2" t="s">
        <v>198</v>
      </c>
      <c r="Y12" s="2" t="s">
        <v>160</v>
      </c>
      <c r="AA12" s="2" t="s">
        <v>198</v>
      </c>
      <c r="AC12" s="2" t="s">
        <v>160</v>
      </c>
      <c r="AE12" s="2" t="s">
        <v>198</v>
      </c>
      <c r="AF12" s="136"/>
      <c r="AG12" s="137"/>
      <c r="AH12" s="137"/>
      <c r="AI12" s="138"/>
      <c r="AJ12" s="138"/>
      <c r="AK12" s="137"/>
      <c r="AL12" s="137"/>
      <c r="AM12" s="137"/>
      <c r="AN12" s="61"/>
    </row>
    <row r="13" spans="1:40">
      <c r="A13" s="9">
        <v>-1</v>
      </c>
      <c r="C13" s="9">
        <v>-2</v>
      </c>
      <c r="E13" s="9">
        <v>-3</v>
      </c>
      <c r="G13" s="9">
        <v>-4</v>
      </c>
      <c r="I13" s="9">
        <v>-5</v>
      </c>
      <c r="K13" s="9">
        <v>-6</v>
      </c>
      <c r="M13" s="9">
        <v>-7</v>
      </c>
      <c r="O13" s="9">
        <v>-8</v>
      </c>
      <c r="Q13" s="9">
        <v>-9</v>
      </c>
      <c r="S13" s="9">
        <v>-10</v>
      </c>
      <c r="U13" s="9">
        <v>-11</v>
      </c>
      <c r="W13" s="9">
        <v>-12</v>
      </c>
      <c r="Y13" s="9">
        <v>-13</v>
      </c>
      <c r="AA13" s="9">
        <v>-14</v>
      </c>
      <c r="AC13" s="9">
        <v>-15</v>
      </c>
      <c r="AE13" s="9">
        <v>-16</v>
      </c>
      <c r="AF13" s="61"/>
      <c r="AG13" s="61"/>
      <c r="AH13" s="61"/>
      <c r="AI13" s="25"/>
      <c r="AJ13" s="61"/>
      <c r="AK13" s="61"/>
      <c r="AL13" s="61"/>
      <c r="AM13" s="61"/>
      <c r="AN13" s="61"/>
    </row>
    <row r="14" spans="1:40">
      <c r="H14" s="6"/>
      <c r="AF14" s="61"/>
      <c r="AG14" s="61"/>
      <c r="AH14" s="61"/>
      <c r="AI14" s="61"/>
      <c r="AJ14" s="61"/>
      <c r="AK14" s="61"/>
      <c r="AL14" s="61"/>
      <c r="AM14" s="61"/>
      <c r="AN14" s="61"/>
    </row>
    <row r="15" spans="1:40">
      <c r="A15" s="6">
        <v>1994</v>
      </c>
      <c r="B15" s="19"/>
      <c r="C15" s="19">
        <f>'Exhibit H,1'!K16</f>
        <v>12530063.48</v>
      </c>
      <c r="E15" s="19">
        <f>'Exhibit G,1'!O16</f>
        <v>0</v>
      </c>
      <c r="F15" s="19"/>
      <c r="G15" s="19">
        <f>C15+E15</f>
        <v>12530063.48</v>
      </c>
      <c r="H15" s="19"/>
      <c r="I15" s="19">
        <f>'Exhibit K,1'!G16</f>
        <v>34673446.140000001</v>
      </c>
      <c r="J15" s="19"/>
      <c r="K15" s="19">
        <f>'Exhibit K,1'!M16</f>
        <v>9600</v>
      </c>
      <c r="L15" s="19"/>
      <c r="M15" s="19">
        <f>I15-C15</f>
        <v>22143382.66</v>
      </c>
      <c r="N15" s="19"/>
      <c r="O15" s="19">
        <f>K15-E15</f>
        <v>9600</v>
      </c>
      <c r="P15" s="19"/>
      <c r="Q15" s="66">
        <f>'Exhibit O,3'!I16+'Exhibit N,3'!I16</f>
        <v>34673446.140000001</v>
      </c>
      <c r="R15" s="66"/>
      <c r="S15" s="66">
        <f>'Exhibit L,3'!I16+'Exhibit M,3'!I16</f>
        <v>9600</v>
      </c>
      <c r="U15" s="19">
        <f>'Exhibit O,3'!I16+'Exhibit N,3'!I16-('Exhibit H,3'!G16-'Exhibit H,3'!I16)</f>
        <v>22143382.66</v>
      </c>
      <c r="V15" s="19"/>
      <c r="W15" s="19">
        <f>'Exhibit M,3'!I16+'Exhibit L,3'!I16-'Exhibit G,3'!G16</f>
        <v>9600</v>
      </c>
      <c r="X15" s="19"/>
      <c r="Y15" s="19">
        <f>I15-Q15</f>
        <v>0</v>
      </c>
      <c r="Z15" s="19"/>
      <c r="AA15" s="19">
        <f>K15-S15</f>
        <v>0</v>
      </c>
      <c r="AC15" s="19">
        <f t="shared" ref="AC15:AC43" si="0">M15-U15</f>
        <v>0</v>
      </c>
      <c r="AD15" s="19"/>
      <c r="AE15" s="19">
        <f t="shared" ref="AE15:AE43" si="1">O15-W15</f>
        <v>0</v>
      </c>
      <c r="AF15" s="136"/>
      <c r="AG15" s="137"/>
      <c r="AH15" s="137"/>
      <c r="AI15" s="137"/>
      <c r="AJ15" s="137"/>
      <c r="AK15" s="137"/>
      <c r="AL15" s="137"/>
      <c r="AM15" s="137"/>
      <c r="AN15" s="61"/>
    </row>
    <row r="16" spans="1:40">
      <c r="A16" s="6">
        <f>A15+1</f>
        <v>1995</v>
      </c>
      <c r="C16" s="20">
        <f>'Exhibit H,1'!K17</f>
        <v>27722793.159999996</v>
      </c>
      <c r="D16" s="20"/>
      <c r="E16" s="20">
        <f>'Exhibit G,1'!O17</f>
        <v>274068.21000000002</v>
      </c>
      <c r="F16" s="20"/>
      <c r="G16" s="20">
        <f t="shared" ref="G16:G43" si="2">C16+E16</f>
        <v>27996861.369999997</v>
      </c>
      <c r="H16" s="20"/>
      <c r="I16" s="20">
        <f>'Exhibit K,1'!G17</f>
        <v>53054735.739999995</v>
      </c>
      <c r="J16" s="20"/>
      <c r="K16" s="20">
        <f>'Exhibit K,1'!M17</f>
        <v>924635.38</v>
      </c>
      <c r="L16" s="20"/>
      <c r="M16" s="20">
        <f t="shared" ref="M16:M43" si="3">I16-C16</f>
        <v>25331942.579999998</v>
      </c>
      <c r="N16" s="20"/>
      <c r="O16" s="20">
        <f t="shared" ref="O16:O43" si="4">K16-E16</f>
        <v>650567.16999999993</v>
      </c>
      <c r="P16" s="20"/>
      <c r="Q16" s="20">
        <f>'Exhibit O,3'!I17+'Exhibit N,3'!I17</f>
        <v>53054735.739999995</v>
      </c>
      <c r="R16" s="20"/>
      <c r="S16" s="20">
        <f>'Exhibit L,3'!I17+'Exhibit M,3'!I17</f>
        <v>924635.38</v>
      </c>
      <c r="U16" s="20">
        <f>'Exhibit O,3'!I17+'Exhibit N,3'!I17-('Exhibit H,3'!G17-'Exhibit H,3'!I17)</f>
        <v>25331942.579999998</v>
      </c>
      <c r="V16" s="20"/>
      <c r="W16" s="20">
        <f>'Exhibit M,3'!I17+'Exhibit L,3'!I17-'Exhibit G,3'!G17</f>
        <v>650567.16999999993</v>
      </c>
      <c r="X16" s="20"/>
      <c r="Y16" s="20">
        <f t="shared" ref="Y16:Y43" si="5">I16-Q16</f>
        <v>0</v>
      </c>
      <c r="Z16" s="20"/>
      <c r="AA16" s="20">
        <f t="shared" ref="AA16:AA43" si="6">K16-S16</f>
        <v>0</v>
      </c>
      <c r="AC16" s="20">
        <f t="shared" si="0"/>
        <v>0</v>
      </c>
      <c r="AD16" s="20"/>
      <c r="AE16" s="20">
        <f t="shared" si="1"/>
        <v>0</v>
      </c>
      <c r="AF16" s="136"/>
      <c r="AG16" s="137"/>
      <c r="AH16" s="137"/>
      <c r="AI16" s="137"/>
      <c r="AJ16" s="137"/>
      <c r="AK16" s="137"/>
      <c r="AL16" s="137"/>
      <c r="AM16" s="137"/>
      <c r="AN16" s="61"/>
    </row>
    <row r="17" spans="1:40">
      <c r="A17" s="6">
        <f t="shared" ref="A17:A43" si="7">A16+1</f>
        <v>1996</v>
      </c>
      <c r="C17" s="20">
        <f>'Exhibit H,1'!K18</f>
        <v>19535873.620000001</v>
      </c>
      <c r="D17" s="20"/>
      <c r="E17" s="20">
        <f>'Exhibit G,1'!O18</f>
        <v>0</v>
      </c>
      <c r="F17" s="20"/>
      <c r="G17" s="20">
        <f t="shared" si="2"/>
        <v>19535873.620000001</v>
      </c>
      <c r="H17" s="20"/>
      <c r="I17" s="20">
        <f>'Exhibit K,1'!G18</f>
        <v>46655939.089999996</v>
      </c>
      <c r="J17" s="20"/>
      <c r="K17" s="20">
        <f>'Exhibit K,1'!M18</f>
        <v>931618.13</v>
      </c>
      <c r="L17" s="20"/>
      <c r="M17" s="20">
        <f t="shared" si="3"/>
        <v>27120065.469999995</v>
      </c>
      <c r="N17" s="20"/>
      <c r="O17" s="20">
        <f t="shared" si="4"/>
        <v>931618.13</v>
      </c>
      <c r="P17" s="20"/>
      <c r="Q17" s="20">
        <f>'Exhibit O,3'!I18+'Exhibit N,3'!I18</f>
        <v>46655939.089999996</v>
      </c>
      <c r="R17" s="20"/>
      <c r="S17" s="20">
        <f>'Exhibit L,3'!I18+'Exhibit M,3'!I18</f>
        <v>931618.13</v>
      </c>
      <c r="U17" s="20">
        <f>'Exhibit O,3'!I18+'Exhibit N,3'!I18-('Exhibit H,3'!G18-'Exhibit H,3'!I18)</f>
        <v>27120065.469999995</v>
      </c>
      <c r="V17" s="20"/>
      <c r="W17" s="20">
        <f>'Exhibit M,3'!I18+'Exhibit L,3'!I18-'Exhibit G,3'!G18</f>
        <v>931618.13</v>
      </c>
      <c r="X17" s="20"/>
      <c r="Y17" s="20">
        <f t="shared" si="5"/>
        <v>0</v>
      </c>
      <c r="Z17" s="20"/>
      <c r="AA17" s="20">
        <f t="shared" si="6"/>
        <v>0</v>
      </c>
      <c r="AC17" s="20">
        <f t="shared" si="0"/>
        <v>0</v>
      </c>
      <c r="AD17" s="20"/>
      <c r="AE17" s="20">
        <f t="shared" si="1"/>
        <v>0</v>
      </c>
      <c r="AF17" s="136"/>
      <c r="AG17" s="137"/>
      <c r="AH17" s="137"/>
      <c r="AI17" s="137"/>
      <c r="AJ17" s="137"/>
      <c r="AK17" s="137"/>
      <c r="AL17" s="137"/>
      <c r="AM17" s="137"/>
      <c r="AN17" s="61"/>
    </row>
    <row r="18" spans="1:40">
      <c r="A18" s="6">
        <f t="shared" si="7"/>
        <v>1997</v>
      </c>
      <c r="C18" s="20">
        <f>'Exhibit H,1'!K19</f>
        <v>10551553.370000001</v>
      </c>
      <c r="D18" s="20"/>
      <c r="E18" s="20">
        <f>'Exhibit G,1'!O19</f>
        <v>1415179.75</v>
      </c>
      <c r="F18" s="20"/>
      <c r="G18" s="20">
        <f t="shared" si="2"/>
        <v>11966733.120000001</v>
      </c>
      <c r="H18" s="20"/>
      <c r="I18" s="20">
        <f>'Exhibit K,1'!G19</f>
        <v>36175371.239999995</v>
      </c>
      <c r="J18" s="20"/>
      <c r="K18" s="20">
        <f>'Exhibit K,1'!M19</f>
        <v>1920601.1</v>
      </c>
      <c r="L18" s="20"/>
      <c r="M18" s="20">
        <f t="shared" si="3"/>
        <v>25623817.869999994</v>
      </c>
      <c r="N18" s="20"/>
      <c r="O18" s="20">
        <f t="shared" si="4"/>
        <v>505421.35000000009</v>
      </c>
      <c r="P18" s="20"/>
      <c r="Q18" s="20">
        <f>'Exhibit O,3'!I19+'Exhibit N,3'!I19</f>
        <v>36175371.239999995</v>
      </c>
      <c r="R18" s="20"/>
      <c r="S18" s="20">
        <f>'Exhibit L,3'!I19+'Exhibit M,3'!I19</f>
        <v>1920601.1</v>
      </c>
      <c r="U18" s="20">
        <f>'Exhibit O,3'!I19+'Exhibit N,3'!I19-('Exhibit H,3'!G19-'Exhibit H,3'!I19)</f>
        <v>25623817.869999994</v>
      </c>
      <c r="V18" s="20"/>
      <c r="W18" s="20">
        <f>'Exhibit M,3'!I19+'Exhibit L,3'!I19-'Exhibit G,3'!G19</f>
        <v>505421.35000000009</v>
      </c>
      <c r="X18" s="20"/>
      <c r="Y18" s="20">
        <f t="shared" si="5"/>
        <v>0</v>
      </c>
      <c r="Z18" s="20"/>
      <c r="AA18" s="20">
        <f t="shared" si="6"/>
        <v>0</v>
      </c>
      <c r="AC18" s="20">
        <f t="shared" si="0"/>
        <v>0</v>
      </c>
      <c r="AD18" s="20"/>
      <c r="AE18" s="20">
        <f t="shared" si="1"/>
        <v>0</v>
      </c>
      <c r="AF18" s="136"/>
      <c r="AG18" s="137"/>
      <c r="AH18" s="137"/>
      <c r="AI18" s="137"/>
      <c r="AJ18" s="137"/>
      <c r="AK18" s="137"/>
      <c r="AL18" s="137"/>
      <c r="AM18" s="137"/>
      <c r="AN18" s="61"/>
    </row>
    <row r="19" spans="1:40">
      <c r="A19" s="6">
        <f t="shared" si="7"/>
        <v>1998</v>
      </c>
      <c r="C19" s="20">
        <f>'Exhibit H,1'!K20</f>
        <v>28046459.449999999</v>
      </c>
      <c r="D19" s="20"/>
      <c r="E19" s="20">
        <f>'Exhibit G,1'!O20</f>
        <v>207108.40000000002</v>
      </c>
      <c r="F19" s="20"/>
      <c r="G19" s="20">
        <f t="shared" si="2"/>
        <v>28253567.849999998</v>
      </c>
      <c r="H19" s="20"/>
      <c r="I19" s="20">
        <f>'Exhibit K,1'!G20</f>
        <v>53964670.75</v>
      </c>
      <c r="J19" s="20"/>
      <c r="K19" s="20">
        <f>'Exhibit K,1'!M20</f>
        <v>810501.99</v>
      </c>
      <c r="L19" s="20"/>
      <c r="M19" s="20">
        <f t="shared" si="3"/>
        <v>25918211.300000001</v>
      </c>
      <c r="N19" s="20"/>
      <c r="O19" s="20">
        <f t="shared" si="4"/>
        <v>603393.59</v>
      </c>
      <c r="P19" s="20"/>
      <c r="Q19" s="20">
        <f>'Exhibit O,3'!I20+'Exhibit N,3'!I20</f>
        <v>53964670.75</v>
      </c>
      <c r="R19" s="20"/>
      <c r="S19" s="20">
        <f>'Exhibit L,3'!I20+'Exhibit M,3'!I20</f>
        <v>810501.99</v>
      </c>
      <c r="U19" s="20">
        <f>'Exhibit O,3'!I20+'Exhibit N,3'!I20-('Exhibit H,3'!G20-'Exhibit H,3'!I20)</f>
        <v>25918211.300000001</v>
      </c>
      <c r="V19" s="20"/>
      <c r="W19" s="20">
        <f>'Exhibit M,3'!I20+'Exhibit L,3'!I20-'Exhibit G,3'!G20</f>
        <v>603393.59</v>
      </c>
      <c r="X19" s="20"/>
      <c r="Y19" s="20">
        <f t="shared" si="5"/>
        <v>0</v>
      </c>
      <c r="Z19" s="20"/>
      <c r="AA19" s="20">
        <f t="shared" si="6"/>
        <v>0</v>
      </c>
      <c r="AC19" s="20">
        <f t="shared" si="0"/>
        <v>0</v>
      </c>
      <c r="AD19" s="20"/>
      <c r="AE19" s="20">
        <f t="shared" si="1"/>
        <v>0</v>
      </c>
      <c r="AF19" s="136"/>
      <c r="AG19" s="137"/>
      <c r="AH19" s="137"/>
      <c r="AI19" s="137"/>
      <c r="AJ19" s="137"/>
      <c r="AK19" s="137"/>
      <c r="AL19" s="137"/>
      <c r="AM19" s="137"/>
      <c r="AN19" s="61"/>
    </row>
    <row r="20" spans="1:40">
      <c r="A20" s="6">
        <f t="shared" si="7"/>
        <v>1999</v>
      </c>
      <c r="C20" s="20">
        <f>'Exhibit H,1'!K21</f>
        <v>23093430.41</v>
      </c>
      <c r="D20" s="20"/>
      <c r="E20" s="20">
        <f>'Exhibit G,1'!O21</f>
        <v>0</v>
      </c>
      <c r="F20" s="20"/>
      <c r="G20" s="20">
        <f t="shared" si="2"/>
        <v>23093430.41</v>
      </c>
      <c r="H20" s="20"/>
      <c r="I20" s="20">
        <f>'Exhibit K,1'!G21</f>
        <v>53421110.340000004</v>
      </c>
      <c r="J20" s="20"/>
      <c r="K20" s="20">
        <f>'Exhibit K,1'!M21</f>
        <v>818508.42</v>
      </c>
      <c r="L20" s="20"/>
      <c r="M20" s="20">
        <f t="shared" si="3"/>
        <v>30327679.930000003</v>
      </c>
      <c r="N20" s="20"/>
      <c r="O20" s="20">
        <f t="shared" si="4"/>
        <v>818508.42</v>
      </c>
      <c r="P20" s="20"/>
      <c r="Q20" s="20">
        <f>'Exhibit O,3'!I21+'Exhibit N,3'!I21</f>
        <v>53421110.340000004</v>
      </c>
      <c r="R20" s="20"/>
      <c r="S20" s="20">
        <f>'Exhibit L,3'!I21+'Exhibit M,3'!I21</f>
        <v>818508.42</v>
      </c>
      <c r="U20" s="20">
        <f>'Exhibit O,3'!I21+'Exhibit N,3'!I21-('Exhibit H,3'!G21-'Exhibit H,3'!I21)</f>
        <v>30327679.930000003</v>
      </c>
      <c r="V20" s="20"/>
      <c r="W20" s="20">
        <f>'Exhibit M,3'!I21+'Exhibit L,3'!I21-'Exhibit G,3'!G21</f>
        <v>818508.42</v>
      </c>
      <c r="X20" s="20"/>
      <c r="Y20" s="20">
        <f t="shared" si="5"/>
        <v>0</v>
      </c>
      <c r="Z20" s="20"/>
      <c r="AA20" s="20">
        <f t="shared" si="6"/>
        <v>0</v>
      </c>
      <c r="AC20" s="20">
        <f t="shared" si="0"/>
        <v>0</v>
      </c>
      <c r="AD20" s="20"/>
      <c r="AE20" s="20">
        <f t="shared" si="1"/>
        <v>0</v>
      </c>
      <c r="AF20" s="136"/>
      <c r="AG20" s="137"/>
      <c r="AH20" s="137"/>
      <c r="AI20" s="137"/>
      <c r="AJ20" s="137"/>
      <c r="AK20" s="137"/>
      <c r="AL20" s="137"/>
      <c r="AM20" s="137"/>
      <c r="AN20" s="61"/>
    </row>
    <row r="21" spans="1:40">
      <c r="A21" s="6">
        <f t="shared" si="7"/>
        <v>2000</v>
      </c>
      <c r="C21" s="20">
        <f>'Exhibit H,1'!K22</f>
        <v>16813843.780000001</v>
      </c>
      <c r="D21" s="20"/>
      <c r="E21" s="20">
        <f>'Exhibit G,1'!O22</f>
        <v>139204.45999999996</v>
      </c>
      <c r="F21" s="20"/>
      <c r="G21" s="20">
        <f t="shared" si="2"/>
        <v>16953048.240000002</v>
      </c>
      <c r="H21" s="20"/>
      <c r="I21" s="20">
        <f>'Exhibit K,1'!G22</f>
        <v>43910495.93</v>
      </c>
      <c r="J21" s="20"/>
      <c r="K21" s="20">
        <f>'Exhibit K,1'!M22</f>
        <v>1599932.79</v>
      </c>
      <c r="L21" s="20"/>
      <c r="M21" s="20">
        <f t="shared" si="3"/>
        <v>27096652.149999999</v>
      </c>
      <c r="N21" s="20"/>
      <c r="O21" s="20">
        <f t="shared" si="4"/>
        <v>1460728.33</v>
      </c>
      <c r="P21" s="20"/>
      <c r="Q21" s="20">
        <f>'Exhibit O,3'!I22+'Exhibit N,3'!I22</f>
        <v>43910495.93</v>
      </c>
      <c r="R21" s="20"/>
      <c r="S21" s="20">
        <f>'Exhibit L,3'!I22+'Exhibit M,3'!I22</f>
        <v>1599932.79</v>
      </c>
      <c r="U21" s="20">
        <f>'Exhibit O,3'!I22+'Exhibit N,3'!I22-('Exhibit H,3'!G22-'Exhibit H,3'!I22)</f>
        <v>27096652.149999999</v>
      </c>
      <c r="V21" s="20"/>
      <c r="W21" s="20">
        <f>'Exhibit M,3'!I22+'Exhibit L,3'!I22-'Exhibit G,3'!G22</f>
        <v>1460728.33</v>
      </c>
      <c r="X21" s="20"/>
      <c r="Y21" s="20">
        <f t="shared" si="5"/>
        <v>0</v>
      </c>
      <c r="Z21" s="20"/>
      <c r="AA21" s="20">
        <f t="shared" si="6"/>
        <v>0</v>
      </c>
      <c r="AC21" s="20">
        <f t="shared" si="0"/>
        <v>0</v>
      </c>
      <c r="AD21" s="20"/>
      <c r="AE21" s="20">
        <f t="shared" si="1"/>
        <v>0</v>
      </c>
      <c r="AF21" s="136"/>
      <c r="AG21" s="137"/>
      <c r="AH21" s="137"/>
      <c r="AI21" s="137"/>
      <c r="AJ21" s="137"/>
      <c r="AK21" s="137"/>
      <c r="AL21" s="137"/>
      <c r="AM21" s="137"/>
      <c r="AN21" s="61"/>
    </row>
    <row r="22" spans="1:40">
      <c r="A22" s="6">
        <f t="shared" si="7"/>
        <v>2001</v>
      </c>
      <c r="C22" s="20">
        <f>'Exhibit H,1'!K23</f>
        <v>8970924.5199999996</v>
      </c>
      <c r="D22" s="20"/>
      <c r="E22" s="20">
        <f>'Exhibit G,1'!O23</f>
        <v>355647.08000000007</v>
      </c>
      <c r="F22" s="20"/>
      <c r="G22" s="20">
        <f t="shared" si="2"/>
        <v>9326571.5999999996</v>
      </c>
      <c r="H22" s="20"/>
      <c r="I22" s="20">
        <f>'Exhibit K,1'!G23</f>
        <v>34627879.330000006</v>
      </c>
      <c r="J22" s="20"/>
      <c r="K22" s="20">
        <f>'Exhibit K,1'!M23</f>
        <v>3016042.23</v>
      </c>
      <c r="L22" s="20"/>
      <c r="M22" s="20">
        <f t="shared" si="3"/>
        <v>25656954.810000006</v>
      </c>
      <c r="N22" s="20"/>
      <c r="O22" s="20">
        <f t="shared" si="4"/>
        <v>2660395.15</v>
      </c>
      <c r="P22" s="20"/>
      <c r="Q22" s="20">
        <f>'Exhibit O,3'!I23+'Exhibit N,3'!I23</f>
        <v>34627879.330000006</v>
      </c>
      <c r="R22" s="20"/>
      <c r="S22" s="20">
        <f>'Exhibit L,3'!I23+'Exhibit M,3'!I23</f>
        <v>3016042.23</v>
      </c>
      <c r="U22" s="20">
        <f>'Exhibit O,3'!I23+'Exhibit N,3'!I23-('Exhibit H,3'!G23-'Exhibit H,3'!I23)</f>
        <v>25656954.810000006</v>
      </c>
      <c r="V22" s="20"/>
      <c r="W22" s="20">
        <f>'Exhibit M,3'!I23+'Exhibit L,3'!I23-'Exhibit G,3'!G23</f>
        <v>2660395.15</v>
      </c>
      <c r="X22" s="20"/>
      <c r="Y22" s="20">
        <f t="shared" si="5"/>
        <v>0</v>
      </c>
      <c r="Z22" s="20"/>
      <c r="AA22" s="20">
        <f t="shared" si="6"/>
        <v>0</v>
      </c>
      <c r="AC22" s="20">
        <f t="shared" si="0"/>
        <v>0</v>
      </c>
      <c r="AD22" s="20"/>
      <c r="AE22" s="20">
        <f t="shared" si="1"/>
        <v>0</v>
      </c>
      <c r="AF22" s="136"/>
      <c r="AG22" s="137"/>
      <c r="AH22" s="137"/>
      <c r="AI22" s="137"/>
      <c r="AJ22" s="137"/>
      <c r="AK22" s="137"/>
      <c r="AL22" s="137"/>
      <c r="AM22" s="137"/>
      <c r="AN22" s="61"/>
    </row>
    <row r="23" spans="1:40">
      <c r="A23" s="6">
        <f t="shared" si="7"/>
        <v>2002</v>
      </c>
      <c r="C23" s="20">
        <f>'Exhibit H,1'!K24</f>
        <v>5903704.3700000048</v>
      </c>
      <c r="D23" s="20"/>
      <c r="E23" s="20">
        <f>'Exhibit G,1'!O24</f>
        <v>0</v>
      </c>
      <c r="F23" s="20"/>
      <c r="G23" s="20">
        <f t="shared" si="2"/>
        <v>5903704.3700000048</v>
      </c>
      <c r="H23" s="20"/>
      <c r="I23" s="20">
        <f>'Exhibit K,1'!G24</f>
        <v>39010397.339999989</v>
      </c>
      <c r="J23" s="20"/>
      <c r="K23" s="20">
        <f>'Exhibit K,1'!M24</f>
        <v>647640.80999999994</v>
      </c>
      <c r="L23" s="20"/>
      <c r="M23" s="20">
        <f t="shared" si="3"/>
        <v>33106692.969999984</v>
      </c>
      <c r="N23" s="20"/>
      <c r="O23" s="20">
        <f t="shared" si="4"/>
        <v>647640.80999999994</v>
      </c>
      <c r="P23" s="20"/>
      <c r="Q23" s="20">
        <f>'Exhibit O,3'!I24+'Exhibit N,3'!I24</f>
        <v>39010397.339999989</v>
      </c>
      <c r="R23" s="20"/>
      <c r="S23" s="20">
        <f>'Exhibit L,3'!I24+'Exhibit M,3'!I24</f>
        <v>647640.80999999994</v>
      </c>
      <c r="U23" s="20">
        <f>'Exhibit O,3'!I24+'Exhibit N,3'!I24-('Exhibit H,3'!G24-'Exhibit H,3'!I24)</f>
        <v>33106692.969999988</v>
      </c>
      <c r="V23" s="20"/>
      <c r="W23" s="20">
        <f>'Exhibit M,3'!I24+'Exhibit L,3'!I24-'Exhibit G,3'!G24</f>
        <v>647640.80999999994</v>
      </c>
      <c r="X23" s="20"/>
      <c r="Y23" s="20">
        <f t="shared" si="5"/>
        <v>0</v>
      </c>
      <c r="Z23" s="20"/>
      <c r="AA23" s="20">
        <f t="shared" si="6"/>
        <v>0</v>
      </c>
      <c r="AC23" s="20">
        <f t="shared" si="0"/>
        <v>0</v>
      </c>
      <c r="AD23" s="20"/>
      <c r="AE23" s="20">
        <f t="shared" si="1"/>
        <v>0</v>
      </c>
      <c r="AF23" s="136"/>
      <c r="AG23" s="137"/>
      <c r="AH23" s="137"/>
      <c r="AI23" s="18">
        <v>28518436.84</v>
      </c>
      <c r="AJ23" s="137">
        <f>U23-AI23</f>
        <v>4588256.1299999878</v>
      </c>
      <c r="AK23" s="137"/>
      <c r="AL23" s="137"/>
      <c r="AM23" s="137"/>
      <c r="AN23" s="61"/>
    </row>
    <row r="24" spans="1:40">
      <c r="A24" s="6">
        <f t="shared" si="7"/>
        <v>2003</v>
      </c>
      <c r="C24" s="20">
        <f>'Exhibit H,1'!K25</f>
        <v>8418136.270000007</v>
      </c>
      <c r="D24" s="20"/>
      <c r="E24" s="20">
        <f>'Exhibit G,1'!O25</f>
        <v>227752.87999999989</v>
      </c>
      <c r="F24" s="20"/>
      <c r="G24" s="20">
        <f t="shared" si="2"/>
        <v>8645889.150000006</v>
      </c>
      <c r="H24" s="20"/>
      <c r="I24" s="20">
        <f>'Exhibit K,1'!G25</f>
        <v>36418044.310000002</v>
      </c>
      <c r="J24" s="20"/>
      <c r="K24" s="20">
        <f>'Exhibit K,1'!M25</f>
        <v>3203612.7199999997</v>
      </c>
      <c r="L24" s="20"/>
      <c r="M24" s="20">
        <f t="shared" si="3"/>
        <v>27999908.039999995</v>
      </c>
      <c r="N24" s="20"/>
      <c r="O24" s="20">
        <f t="shared" si="4"/>
        <v>2975859.84</v>
      </c>
      <c r="P24" s="20"/>
      <c r="Q24" s="20">
        <f>'Exhibit O,3'!I25+'Exhibit N,3'!I25</f>
        <v>36418044.310000002</v>
      </c>
      <c r="R24" s="20"/>
      <c r="S24" s="20">
        <f>'Exhibit L,3'!I25+'Exhibit M,3'!I25</f>
        <v>3203612.7199999997</v>
      </c>
      <c r="U24" s="20">
        <f>'Exhibit O,3'!I25+'Exhibit N,3'!I25-('Exhibit H,3'!G25-'Exhibit H,3'!I25)</f>
        <v>27999908.040000003</v>
      </c>
      <c r="V24" s="20"/>
      <c r="W24" s="20">
        <f>'Exhibit M,3'!I25+'Exhibit L,3'!I25-'Exhibit G,3'!G25</f>
        <v>2975859.84</v>
      </c>
      <c r="X24" s="20"/>
      <c r="Y24" s="20">
        <f t="shared" si="5"/>
        <v>0</v>
      </c>
      <c r="Z24" s="20"/>
      <c r="AA24" s="20">
        <f t="shared" si="6"/>
        <v>0</v>
      </c>
      <c r="AC24" s="20">
        <f t="shared" si="0"/>
        <v>0</v>
      </c>
      <c r="AD24" s="20"/>
      <c r="AE24" s="20">
        <f t="shared" si="1"/>
        <v>0</v>
      </c>
      <c r="AF24" s="136"/>
      <c r="AG24" s="137"/>
      <c r="AH24" s="137"/>
      <c r="AI24" s="18">
        <v>28295772.190000005</v>
      </c>
      <c r="AJ24" s="137"/>
      <c r="AK24" s="137"/>
      <c r="AL24" s="137"/>
      <c r="AM24" s="137"/>
      <c r="AN24" s="61"/>
    </row>
    <row r="25" spans="1:40">
      <c r="A25" s="6">
        <f t="shared" si="7"/>
        <v>2004</v>
      </c>
      <c r="C25" s="20">
        <f>'Exhibit H,1'!K26</f>
        <v>545392.89999999851</v>
      </c>
      <c r="D25" s="20"/>
      <c r="E25" s="20">
        <f>'Exhibit G,1'!O26</f>
        <v>0</v>
      </c>
      <c r="F25" s="20"/>
      <c r="G25" s="20">
        <f t="shared" si="2"/>
        <v>545392.89999999851</v>
      </c>
      <c r="H25" s="20"/>
      <c r="I25" s="20">
        <f>'Exhibit K,1'!G26</f>
        <v>19328436.559999995</v>
      </c>
      <c r="J25" s="20"/>
      <c r="K25" s="20">
        <f>'Exhibit K,1'!M26</f>
        <v>3017389.9</v>
      </c>
      <c r="L25" s="20"/>
      <c r="M25" s="20">
        <f t="shared" si="3"/>
        <v>18783043.659999996</v>
      </c>
      <c r="N25" s="20"/>
      <c r="O25" s="20">
        <f t="shared" si="4"/>
        <v>3017389.9</v>
      </c>
      <c r="P25" s="20"/>
      <c r="Q25" s="20">
        <f>'Exhibit O,3'!I26+'Exhibit N,3'!I26</f>
        <v>19328436.559999995</v>
      </c>
      <c r="R25" s="20"/>
      <c r="S25" s="20">
        <f>'Exhibit L,3'!I26+'Exhibit M,3'!I26</f>
        <v>3017389.9</v>
      </c>
      <c r="U25" s="20">
        <f>'Exhibit O,3'!I26+'Exhibit N,3'!I26-('Exhibit H,3'!G26-'Exhibit H,3'!I26)</f>
        <v>18783043.659999996</v>
      </c>
      <c r="V25" s="20"/>
      <c r="W25" s="20">
        <f>'Exhibit M,3'!I26+'Exhibit L,3'!I26-'Exhibit G,3'!G26</f>
        <v>3017389.9</v>
      </c>
      <c r="X25" s="20"/>
      <c r="Y25" s="20">
        <f t="shared" si="5"/>
        <v>0</v>
      </c>
      <c r="Z25" s="20"/>
      <c r="AA25" s="20">
        <f t="shared" si="6"/>
        <v>0</v>
      </c>
      <c r="AC25" s="20">
        <f t="shared" si="0"/>
        <v>0</v>
      </c>
      <c r="AD25" s="20"/>
      <c r="AE25" s="20">
        <f t="shared" si="1"/>
        <v>0</v>
      </c>
      <c r="AF25" s="136"/>
      <c r="AG25" s="137"/>
      <c r="AH25" s="137"/>
      <c r="AI25" s="18">
        <v>33698563.259999998</v>
      </c>
      <c r="AJ25" s="137"/>
      <c r="AK25" s="137"/>
      <c r="AL25" s="137"/>
      <c r="AM25" s="137"/>
      <c r="AN25" s="61"/>
    </row>
    <row r="26" spans="1:40">
      <c r="A26" s="6">
        <f t="shared" si="7"/>
        <v>2005</v>
      </c>
      <c r="C26" s="20">
        <f>'Exhibit H,1'!K27</f>
        <v>1276257.6799999997</v>
      </c>
      <c r="D26" s="20"/>
      <c r="E26" s="20">
        <f>'Exhibit G,1'!O27</f>
        <v>53771.829999999609</v>
      </c>
      <c r="F26" s="20"/>
      <c r="G26" s="20">
        <f t="shared" si="2"/>
        <v>1330029.5099999993</v>
      </c>
      <c r="H26" s="20"/>
      <c r="I26" s="20">
        <f>'Exhibit K,1'!G27</f>
        <v>20518160.280000001</v>
      </c>
      <c r="J26" s="20"/>
      <c r="K26" s="20">
        <f>'Exhibit K,1'!M27</f>
        <v>2531133.4699999997</v>
      </c>
      <c r="L26" s="20"/>
      <c r="M26" s="20">
        <f t="shared" si="3"/>
        <v>19241902.600000001</v>
      </c>
      <c r="N26" s="20"/>
      <c r="O26" s="20">
        <f t="shared" si="4"/>
        <v>2477361.64</v>
      </c>
      <c r="P26" s="20"/>
      <c r="Q26" s="20">
        <f>'Exhibit O,3'!I27+'Exhibit N,3'!I27</f>
        <v>20518160.280000001</v>
      </c>
      <c r="R26" s="20"/>
      <c r="S26" s="20">
        <f>'Exhibit L,3'!I27+'Exhibit M,3'!I27</f>
        <v>2531133.4699999997</v>
      </c>
      <c r="U26" s="20">
        <f>'Exhibit O,3'!I27+'Exhibit N,3'!I27-('Exhibit H,3'!G27-'Exhibit H,3'!I27)</f>
        <v>19241902.600000001</v>
      </c>
      <c r="V26" s="20"/>
      <c r="W26" s="20">
        <f>'Exhibit M,3'!I27+'Exhibit L,3'!I27-'Exhibit G,3'!G27</f>
        <v>2477361.6399999997</v>
      </c>
      <c r="X26" s="20"/>
      <c r="Y26" s="20">
        <f t="shared" si="5"/>
        <v>0</v>
      </c>
      <c r="Z26" s="20"/>
      <c r="AA26" s="20">
        <f t="shared" si="6"/>
        <v>0</v>
      </c>
      <c r="AC26" s="20">
        <f t="shared" si="0"/>
        <v>0</v>
      </c>
      <c r="AD26" s="20"/>
      <c r="AE26" s="20">
        <f t="shared" si="1"/>
        <v>0</v>
      </c>
      <c r="AF26" s="136"/>
      <c r="AG26" s="137"/>
      <c r="AH26" s="137"/>
      <c r="AI26" s="18">
        <v>30951767.420000002</v>
      </c>
      <c r="AJ26" s="137"/>
      <c r="AK26" s="137"/>
      <c r="AL26" s="137"/>
      <c r="AM26" s="137"/>
      <c r="AN26" s="61"/>
    </row>
    <row r="27" spans="1:40">
      <c r="A27" s="6">
        <f t="shared" si="7"/>
        <v>2006</v>
      </c>
      <c r="C27" s="20">
        <f>'Exhibit H,1'!K28</f>
        <v>0</v>
      </c>
      <c r="D27" s="20"/>
      <c r="E27" s="20">
        <f>'Exhibit G,1'!O28</f>
        <v>0</v>
      </c>
      <c r="F27" s="20"/>
      <c r="G27" s="20">
        <f t="shared" si="2"/>
        <v>0</v>
      </c>
      <c r="H27" s="20"/>
      <c r="I27" s="20">
        <f>'Exhibit K,1'!G28</f>
        <v>20009669.5</v>
      </c>
      <c r="J27" s="20"/>
      <c r="K27" s="20">
        <f>'Exhibit K,1'!M28</f>
        <v>78000</v>
      </c>
      <c r="L27" s="20"/>
      <c r="M27" s="20">
        <f t="shared" si="3"/>
        <v>20009669.5</v>
      </c>
      <c r="N27" s="20"/>
      <c r="O27" s="20">
        <f t="shared" si="4"/>
        <v>78000</v>
      </c>
      <c r="P27" s="20"/>
      <c r="Q27" s="20">
        <f>'Exhibit O,3'!I28+'Exhibit N,3'!I28</f>
        <v>20009669.5</v>
      </c>
      <c r="R27" s="20"/>
      <c r="S27" s="20">
        <f>'Exhibit L,3'!I28+'Exhibit M,3'!I28</f>
        <v>39380.269999999997</v>
      </c>
      <c r="U27" s="20">
        <f>'Exhibit O,3'!I28+'Exhibit N,3'!I28-('Exhibit H,3'!G28-'Exhibit H,3'!I28)</f>
        <v>20009669.5</v>
      </c>
      <c r="V27" s="20"/>
      <c r="W27" s="20">
        <f>'Exhibit M,3'!I28+'Exhibit L,3'!I28-'Exhibit G,3'!G28</f>
        <v>39380.269999999997</v>
      </c>
      <c r="X27" s="20"/>
      <c r="Y27" s="20">
        <f t="shared" si="5"/>
        <v>0</v>
      </c>
      <c r="Z27" s="20"/>
      <c r="AA27" s="20">
        <f t="shared" si="6"/>
        <v>38619.730000000003</v>
      </c>
      <c r="AC27" s="20">
        <f t="shared" si="0"/>
        <v>0</v>
      </c>
      <c r="AD27" s="20"/>
      <c r="AE27" s="20">
        <f t="shared" si="1"/>
        <v>38619.730000000003</v>
      </c>
      <c r="AF27" s="136"/>
      <c r="AG27" s="137"/>
      <c r="AH27" s="137"/>
      <c r="AI27" s="18">
        <v>21774930.620000001</v>
      </c>
      <c r="AJ27" s="137"/>
      <c r="AK27" s="137"/>
      <c r="AL27" s="137"/>
      <c r="AM27" s="137"/>
      <c r="AN27" s="61"/>
    </row>
    <row r="28" spans="1:40">
      <c r="A28" s="6">
        <f t="shared" si="7"/>
        <v>2007</v>
      </c>
      <c r="C28" s="20">
        <f>'Exhibit H,1'!K29</f>
        <v>638230.88000000268</v>
      </c>
      <c r="D28" s="20"/>
      <c r="E28" s="20">
        <f>'Exhibit G,1'!O29</f>
        <v>95234.080000000075</v>
      </c>
      <c r="F28" s="20"/>
      <c r="G28" s="20">
        <f t="shared" si="2"/>
        <v>733464.96000000276</v>
      </c>
      <c r="H28" s="20"/>
      <c r="I28" s="20">
        <f>'Exhibit K,1'!G29</f>
        <v>21064584.210000001</v>
      </c>
      <c r="J28" s="20"/>
      <c r="K28" s="20">
        <f>'Exhibit K,1'!M29</f>
        <v>1306127.32</v>
      </c>
      <c r="L28" s="20"/>
      <c r="M28" s="20">
        <f t="shared" si="3"/>
        <v>20426353.329999998</v>
      </c>
      <c r="N28" s="20"/>
      <c r="O28" s="20">
        <f t="shared" si="4"/>
        <v>1210893.24</v>
      </c>
      <c r="P28" s="20"/>
      <c r="Q28" s="20">
        <f>'Exhibit O,3'!I29+'Exhibit N,3'!I29</f>
        <v>21064584.210000001</v>
      </c>
      <c r="R28" s="20"/>
      <c r="S28" s="20">
        <f>'Exhibit L,3'!I29+'Exhibit M,3'!I29</f>
        <v>1306127.32</v>
      </c>
      <c r="U28" s="20">
        <f>'Exhibit O,3'!I29+'Exhibit N,3'!I29-('Exhibit H,3'!G29-'Exhibit H,3'!I29)</f>
        <v>20426353.330000002</v>
      </c>
      <c r="V28" s="20"/>
      <c r="W28" s="20">
        <f>'Exhibit M,3'!I29+'Exhibit L,3'!I29-'Exhibit G,3'!G29</f>
        <v>1210893.24</v>
      </c>
      <c r="X28" s="20"/>
      <c r="Y28" s="20">
        <f t="shared" si="5"/>
        <v>0</v>
      </c>
      <c r="Z28" s="20"/>
      <c r="AA28" s="20">
        <f t="shared" si="6"/>
        <v>0</v>
      </c>
      <c r="AC28" s="20">
        <f t="shared" si="0"/>
        <v>0</v>
      </c>
      <c r="AD28" s="20"/>
      <c r="AE28" s="20">
        <f t="shared" si="1"/>
        <v>0</v>
      </c>
      <c r="AF28" s="136"/>
      <c r="AG28" s="137"/>
      <c r="AH28" s="137"/>
      <c r="AI28" s="18">
        <v>21709661.27</v>
      </c>
      <c r="AJ28" s="137"/>
      <c r="AK28" s="137"/>
      <c r="AL28" s="137"/>
      <c r="AM28" s="137"/>
      <c r="AN28" s="61"/>
    </row>
    <row r="29" spans="1:40">
      <c r="A29" s="6">
        <f t="shared" si="7"/>
        <v>2008</v>
      </c>
      <c r="C29" s="20">
        <f>'Exhibit H,1'!K30</f>
        <v>823895.1099999994</v>
      </c>
      <c r="D29" s="20"/>
      <c r="E29" s="20">
        <f>'Exhibit G,1'!O30</f>
        <v>0</v>
      </c>
      <c r="F29" s="20"/>
      <c r="G29" s="20">
        <f t="shared" si="2"/>
        <v>823895.1099999994</v>
      </c>
      <c r="H29" s="20"/>
      <c r="I29" s="20">
        <f>'Exhibit K,1'!G30</f>
        <v>21023781.949999999</v>
      </c>
      <c r="J29" s="20"/>
      <c r="K29" s="20">
        <f>'Exhibit K,1'!M30</f>
        <v>1078745.1299999999</v>
      </c>
      <c r="L29" s="20"/>
      <c r="M29" s="20">
        <f t="shared" si="3"/>
        <v>20199886.84</v>
      </c>
      <c r="N29" s="20"/>
      <c r="O29" s="20">
        <f t="shared" si="4"/>
        <v>1078745.1299999999</v>
      </c>
      <c r="P29" s="20"/>
      <c r="Q29" s="20">
        <f>'Exhibit O,3'!I30+'Exhibit N,3'!I30</f>
        <v>21023781.949999999</v>
      </c>
      <c r="R29" s="20"/>
      <c r="S29" s="20">
        <f>'Exhibit L,3'!I30+'Exhibit M,3'!I30</f>
        <v>1078745.1299999999</v>
      </c>
      <c r="U29" s="20">
        <f>'Exhibit O,3'!I30+'Exhibit N,3'!I30-('Exhibit H,3'!G30-'Exhibit H,3'!I30)</f>
        <v>20199886.84</v>
      </c>
      <c r="V29" s="20"/>
      <c r="W29" s="20">
        <f>'Exhibit M,3'!I30+'Exhibit L,3'!I30-'Exhibit G,3'!G30</f>
        <v>1078745.1299999999</v>
      </c>
      <c r="X29" s="20"/>
      <c r="Y29" s="20">
        <f t="shared" si="5"/>
        <v>0</v>
      </c>
      <c r="Z29" s="20"/>
      <c r="AA29" s="20">
        <f t="shared" si="6"/>
        <v>0</v>
      </c>
      <c r="AC29" s="20">
        <f t="shared" si="0"/>
        <v>0</v>
      </c>
      <c r="AD29" s="20"/>
      <c r="AE29" s="20">
        <f t="shared" si="1"/>
        <v>0</v>
      </c>
      <c r="AF29" s="136"/>
      <c r="AG29" s="137"/>
      <c r="AH29" s="137"/>
      <c r="AI29" s="18">
        <v>19997669.920000002</v>
      </c>
      <c r="AJ29" s="137"/>
      <c r="AK29" s="137"/>
      <c r="AL29" s="137"/>
      <c r="AM29" s="137"/>
      <c r="AN29" s="61"/>
    </row>
    <row r="30" spans="1:40">
      <c r="A30" s="6">
        <f t="shared" si="7"/>
        <v>2009</v>
      </c>
      <c r="C30" s="20">
        <f>'Exhibit H,1'!K31</f>
        <v>1716687.8200000003</v>
      </c>
      <c r="D30" s="20"/>
      <c r="E30" s="20">
        <f>'Exhibit G,1'!O31</f>
        <v>0</v>
      </c>
      <c r="F30" s="20"/>
      <c r="G30" s="20">
        <f t="shared" si="2"/>
        <v>1716687.8200000003</v>
      </c>
      <c r="H30" s="20"/>
      <c r="I30" s="20">
        <f>'Exhibit K,1'!G31</f>
        <v>18970738.100000001</v>
      </c>
      <c r="J30" s="20"/>
      <c r="K30" s="20">
        <f>'Exhibit K,1'!M31</f>
        <v>2851</v>
      </c>
      <c r="L30" s="20"/>
      <c r="M30" s="20">
        <f t="shared" si="3"/>
        <v>17254050.280000001</v>
      </c>
      <c r="N30" s="20"/>
      <c r="O30" s="20">
        <f t="shared" si="4"/>
        <v>2851</v>
      </c>
      <c r="P30" s="20"/>
      <c r="Q30" s="20">
        <f>'Exhibit O,3'!I31+'Exhibit N,3'!I31</f>
        <v>18970738.100000001</v>
      </c>
      <c r="R30" s="20"/>
      <c r="S30" s="20">
        <f>'Exhibit L,3'!I31+'Exhibit M,3'!I31</f>
        <v>2851</v>
      </c>
      <c r="U30" s="20">
        <f>'Exhibit O,3'!I31+'Exhibit N,3'!I31-('Exhibit H,3'!G31-'Exhibit H,3'!I31)</f>
        <v>17254050.280000001</v>
      </c>
      <c r="V30" s="20"/>
      <c r="W30" s="20">
        <f>'Exhibit M,3'!I31+'Exhibit L,3'!I31-'Exhibit G,3'!G31</f>
        <v>2851</v>
      </c>
      <c r="X30" s="20"/>
      <c r="Y30" s="20">
        <f t="shared" si="5"/>
        <v>0</v>
      </c>
      <c r="Z30" s="20"/>
      <c r="AA30" s="20">
        <f t="shared" si="6"/>
        <v>0</v>
      </c>
      <c r="AC30" s="20">
        <f t="shared" si="0"/>
        <v>0</v>
      </c>
      <c r="AD30" s="20"/>
      <c r="AE30" s="20">
        <f t="shared" si="1"/>
        <v>0</v>
      </c>
      <c r="AF30" s="136"/>
      <c r="AG30" s="137"/>
      <c r="AH30" s="137"/>
      <c r="AI30" s="18">
        <v>21593249.329999998</v>
      </c>
      <c r="AJ30" s="137"/>
      <c r="AK30" s="137"/>
      <c r="AL30" s="137"/>
      <c r="AM30" s="137"/>
      <c r="AN30" s="61"/>
    </row>
    <row r="31" spans="1:40">
      <c r="A31" s="6">
        <f t="shared" si="7"/>
        <v>2010</v>
      </c>
      <c r="C31" s="20">
        <f>'Exhibit H,1'!K32</f>
        <v>2126900.6900000013</v>
      </c>
      <c r="D31" s="20"/>
      <c r="E31" s="20">
        <f>'Exhibit G,1'!O32</f>
        <v>0</v>
      </c>
      <c r="F31" s="20"/>
      <c r="G31" s="20">
        <f t="shared" si="2"/>
        <v>2126900.6900000013</v>
      </c>
      <c r="H31" s="20"/>
      <c r="I31" s="20">
        <f>'Exhibit K,1'!G32</f>
        <v>25135887.52</v>
      </c>
      <c r="J31" s="20"/>
      <c r="K31" s="20">
        <f>'Exhibit K,1'!M32</f>
        <v>0</v>
      </c>
      <c r="L31" s="20"/>
      <c r="M31" s="20">
        <f t="shared" si="3"/>
        <v>23008986.829999998</v>
      </c>
      <c r="N31" s="20"/>
      <c r="O31" s="20">
        <f t="shared" si="4"/>
        <v>0</v>
      </c>
      <c r="P31" s="20"/>
      <c r="Q31" s="20">
        <f>'Exhibit O,3'!I32+'Exhibit N,3'!I32</f>
        <v>25135887.52</v>
      </c>
      <c r="R31" s="20"/>
      <c r="S31" s="20">
        <f>'Exhibit L,3'!I32+'Exhibit M,3'!I32</f>
        <v>0</v>
      </c>
      <c r="U31" s="20">
        <f>'Exhibit O,3'!I32+'Exhibit N,3'!I32-('Exhibit H,3'!G32-'Exhibit H,3'!I32)</f>
        <v>23008986.829999998</v>
      </c>
      <c r="V31" s="20"/>
      <c r="W31" s="20">
        <f>'Exhibit M,3'!I32+'Exhibit L,3'!I32-'Exhibit G,3'!G32</f>
        <v>0</v>
      </c>
      <c r="X31" s="20"/>
      <c r="Y31" s="20">
        <f t="shared" si="5"/>
        <v>0</v>
      </c>
      <c r="Z31" s="20"/>
      <c r="AA31" s="20">
        <f t="shared" si="6"/>
        <v>0</v>
      </c>
      <c r="AC31" s="20">
        <f t="shared" si="0"/>
        <v>0</v>
      </c>
      <c r="AD31" s="20"/>
      <c r="AE31" s="20">
        <f t="shared" si="1"/>
        <v>0</v>
      </c>
      <c r="AF31" s="136"/>
      <c r="AG31" s="137"/>
      <c r="AH31" s="137"/>
      <c r="AI31" s="18">
        <v>21258596.629999999</v>
      </c>
      <c r="AJ31" s="137"/>
      <c r="AK31" s="137"/>
      <c r="AL31" s="137"/>
      <c r="AM31" s="137"/>
      <c r="AN31" s="61"/>
    </row>
    <row r="32" spans="1:40">
      <c r="A32" s="6">
        <f t="shared" si="7"/>
        <v>2011</v>
      </c>
      <c r="C32" s="20">
        <f>'Exhibit H,1'!K33</f>
        <v>2235848.3499999978</v>
      </c>
      <c r="D32" s="20"/>
      <c r="E32" s="20">
        <f>'Exhibit G,1'!O33</f>
        <v>0</v>
      </c>
      <c r="F32" s="20"/>
      <c r="G32" s="20">
        <f t="shared" si="2"/>
        <v>2235848.3499999978</v>
      </c>
      <c r="H32" s="20"/>
      <c r="I32" s="20">
        <f>'Exhibit K,1'!G33</f>
        <v>16859176.939999998</v>
      </c>
      <c r="J32" s="20"/>
      <c r="K32" s="20">
        <f>'Exhibit K,1'!M33</f>
        <v>407361.58052147331</v>
      </c>
      <c r="L32" s="20"/>
      <c r="M32" s="20">
        <f t="shared" si="3"/>
        <v>14623328.59</v>
      </c>
      <c r="N32" s="20"/>
      <c r="O32" s="20">
        <f t="shared" si="4"/>
        <v>407361.58052147331</v>
      </c>
      <c r="P32" s="20"/>
      <c r="Q32" s="20">
        <f>'Exhibit O,3'!I33+'Exhibit N,3'!I33</f>
        <v>16859176.939999998</v>
      </c>
      <c r="R32" s="20"/>
      <c r="S32" s="20">
        <f>'Exhibit L,3'!I33+'Exhibit M,3'!I33</f>
        <v>407297.79</v>
      </c>
      <c r="U32" s="20">
        <f>'Exhibit O,3'!I33+'Exhibit N,3'!I33-('Exhibit H,3'!G33-'Exhibit H,3'!I33)</f>
        <v>14623328.589999998</v>
      </c>
      <c r="V32" s="20"/>
      <c r="W32" s="20">
        <f>'Exhibit M,3'!I33+'Exhibit L,3'!I33-'Exhibit G,3'!G33</f>
        <v>407297.79</v>
      </c>
      <c r="X32" s="20"/>
      <c r="Y32" s="20">
        <f t="shared" si="5"/>
        <v>0</v>
      </c>
      <c r="Z32" s="20"/>
      <c r="AA32" s="20">
        <f t="shared" si="6"/>
        <v>63.790521473332774</v>
      </c>
      <c r="AC32" s="20">
        <f t="shared" si="0"/>
        <v>0</v>
      </c>
      <c r="AD32" s="20"/>
      <c r="AE32" s="20">
        <f t="shared" si="1"/>
        <v>63.790521473332774</v>
      </c>
      <c r="AF32" s="136"/>
      <c r="AG32" s="137"/>
      <c r="AH32" s="137"/>
      <c r="AI32" s="18">
        <v>17253964.120000001</v>
      </c>
      <c r="AJ32" s="137"/>
      <c r="AK32" s="137"/>
      <c r="AL32" s="137"/>
      <c r="AM32" s="137"/>
      <c r="AN32" s="61"/>
    </row>
    <row r="33" spans="1:40">
      <c r="A33" s="6">
        <f t="shared" si="7"/>
        <v>2012</v>
      </c>
      <c r="C33" s="20">
        <f>'Exhibit H,1'!K34</f>
        <v>5992753.5500000007</v>
      </c>
      <c r="D33" s="20"/>
      <c r="E33" s="20">
        <f>'Exhibit G,1'!O34</f>
        <v>0</v>
      </c>
      <c r="F33" s="20"/>
      <c r="G33" s="20">
        <f t="shared" si="2"/>
        <v>5992753.5500000007</v>
      </c>
      <c r="H33" s="20"/>
      <c r="I33" s="20">
        <f>'Exhibit K,1'!G34</f>
        <v>23495663.590000004</v>
      </c>
      <c r="J33" s="20"/>
      <c r="K33" s="20">
        <f>'Exhibit K,1'!M34</f>
        <v>1102035.9602525134</v>
      </c>
      <c r="L33" s="20"/>
      <c r="M33" s="20">
        <f t="shared" si="3"/>
        <v>17502910.040000003</v>
      </c>
      <c r="N33" s="20"/>
      <c r="O33" s="20">
        <f t="shared" si="4"/>
        <v>1102035.9602525134</v>
      </c>
      <c r="P33" s="20"/>
      <c r="Q33" s="20">
        <f>'Exhibit O,3'!I34+'Exhibit N,3'!I34</f>
        <v>23396663.590000004</v>
      </c>
      <c r="R33" s="20"/>
      <c r="S33" s="20">
        <f>'Exhibit L,3'!I34+'Exhibit M,3'!I34</f>
        <v>1101243.9099999999</v>
      </c>
      <c r="U33" s="20">
        <f>'Exhibit O,3'!I34+'Exhibit N,3'!I34-('Exhibit H,3'!G34-'Exhibit H,3'!I34)</f>
        <v>17403910.040000003</v>
      </c>
      <c r="V33" s="20"/>
      <c r="W33" s="20">
        <f>'Exhibit M,3'!I34+'Exhibit L,3'!I34-'Exhibit G,3'!G34</f>
        <v>1101243.9099999999</v>
      </c>
      <c r="X33" s="20"/>
      <c r="Y33" s="20">
        <f t="shared" si="5"/>
        <v>99000</v>
      </c>
      <c r="Z33" s="20"/>
      <c r="AA33" s="20">
        <f t="shared" si="6"/>
        <v>792.05025251349434</v>
      </c>
      <c r="AC33" s="20">
        <f t="shared" si="0"/>
        <v>99000</v>
      </c>
      <c r="AD33" s="20"/>
      <c r="AE33" s="20">
        <f t="shared" si="1"/>
        <v>792.05025251349434</v>
      </c>
      <c r="AF33" s="136"/>
      <c r="AG33" s="137"/>
      <c r="AH33" s="137"/>
      <c r="AI33" s="18">
        <v>23006234.829999998</v>
      </c>
      <c r="AJ33" s="137"/>
      <c r="AK33" s="137"/>
      <c r="AL33" s="137"/>
      <c r="AM33" s="137"/>
      <c r="AN33" s="61"/>
    </row>
    <row r="34" spans="1:40">
      <c r="A34" s="6">
        <f t="shared" si="7"/>
        <v>2013</v>
      </c>
      <c r="C34" s="20">
        <f>'Exhibit H,1'!K35</f>
        <v>6075393.9799999986</v>
      </c>
      <c r="D34" s="20"/>
      <c r="E34" s="20">
        <f>'Exhibit G,1'!O35</f>
        <v>0.34302503385637095</v>
      </c>
      <c r="F34" s="20"/>
      <c r="G34" s="20">
        <f t="shared" si="2"/>
        <v>6075394.3230250329</v>
      </c>
      <c r="H34" s="20"/>
      <c r="I34" s="20">
        <f>'Exhibit K,1'!G35</f>
        <v>20861638.420000002</v>
      </c>
      <c r="J34" s="20"/>
      <c r="K34" s="20">
        <f>'Exhibit K,1'!M35</f>
        <v>1998647.3999071326</v>
      </c>
      <c r="L34" s="20"/>
      <c r="M34" s="20">
        <f t="shared" si="3"/>
        <v>14786244.440000003</v>
      </c>
      <c r="N34" s="20"/>
      <c r="O34" s="20">
        <f t="shared" si="4"/>
        <v>1998647.0568820988</v>
      </c>
      <c r="P34" s="20"/>
      <c r="Q34" s="20">
        <f>'Exhibit O,3'!I35+'Exhibit N,3'!I35</f>
        <v>20861638.420000002</v>
      </c>
      <c r="R34" s="20"/>
      <c r="S34" s="20">
        <f>'Exhibit L,3'!I35+'Exhibit M,3'!I35</f>
        <v>1991946.4100000001</v>
      </c>
      <c r="U34" s="20">
        <f>'Exhibit O,3'!I35+'Exhibit N,3'!I35-('Exhibit H,3'!G35-'Exhibit H,3'!I35)</f>
        <v>14786244.440000001</v>
      </c>
      <c r="V34" s="20"/>
      <c r="W34" s="20">
        <f>'Exhibit M,3'!I35+'Exhibit L,3'!I35-'Exhibit G,3'!G35</f>
        <v>1991946.4100000001</v>
      </c>
      <c r="X34" s="20"/>
      <c r="Y34" s="20">
        <f t="shared" si="5"/>
        <v>0</v>
      </c>
      <c r="Z34" s="20"/>
      <c r="AA34" s="20">
        <f t="shared" si="6"/>
        <v>6700.9899071324617</v>
      </c>
      <c r="AC34" s="20">
        <f t="shared" si="0"/>
        <v>0</v>
      </c>
      <c r="AD34" s="20"/>
      <c r="AE34" s="20">
        <f t="shared" si="1"/>
        <v>6700.6468820986338</v>
      </c>
      <c r="AF34" s="136"/>
      <c r="AG34" s="137"/>
      <c r="AH34" s="137"/>
      <c r="AI34" s="18">
        <v>14999827.109999998</v>
      </c>
      <c r="AJ34" s="137"/>
      <c r="AK34" s="137"/>
      <c r="AL34" s="137"/>
      <c r="AM34" s="137"/>
      <c r="AN34" s="61"/>
    </row>
    <row r="35" spans="1:40">
      <c r="A35" s="6">
        <f t="shared" si="7"/>
        <v>2014</v>
      </c>
      <c r="C35" s="20">
        <f>'Exhibit H,1'!K36</f>
        <v>1329575.0700000003</v>
      </c>
      <c r="D35" s="20"/>
      <c r="E35" s="20">
        <f>'Exhibit G,1'!O36</f>
        <v>59.926478012515055</v>
      </c>
      <c r="F35" s="20"/>
      <c r="G35" s="20">
        <f t="shared" si="2"/>
        <v>1329634.9964780128</v>
      </c>
      <c r="H35" s="20"/>
      <c r="I35" s="20">
        <f>'Exhibit K,1'!G36</f>
        <v>15413427.860000001</v>
      </c>
      <c r="J35" s="20"/>
      <c r="K35" s="20">
        <f>'Exhibit K,1'!M36</f>
        <v>548996.66268209089</v>
      </c>
      <c r="L35" s="20"/>
      <c r="M35" s="20">
        <f t="shared" si="3"/>
        <v>14083852.790000001</v>
      </c>
      <c r="N35" s="20"/>
      <c r="O35" s="20">
        <f t="shared" si="4"/>
        <v>548936.73620407842</v>
      </c>
      <c r="P35" s="20"/>
      <c r="Q35" s="20">
        <f>'Exhibit O,3'!I36+'Exhibit N,3'!I36</f>
        <v>13396936.190000001</v>
      </c>
      <c r="R35" s="20"/>
      <c r="S35" s="20">
        <f>'Exhibit L,3'!I36+'Exhibit M,3'!I36</f>
        <v>543806.18000000005</v>
      </c>
      <c r="U35" s="20">
        <f>'Exhibit O,3'!I36+'Exhibit N,3'!I36-('Exhibit H,3'!G36-'Exhibit H,3'!I36)</f>
        <v>12067361.120000001</v>
      </c>
      <c r="V35" s="20"/>
      <c r="W35" s="20">
        <f>'Exhibit M,3'!I36+'Exhibit L,3'!I36-'Exhibit G,3'!G36</f>
        <v>543806.18000000005</v>
      </c>
      <c r="X35" s="20"/>
      <c r="Y35" s="20">
        <f t="shared" si="5"/>
        <v>2016491.67</v>
      </c>
      <c r="Z35" s="20"/>
      <c r="AA35" s="20">
        <f t="shared" si="6"/>
        <v>5190.4826820908347</v>
      </c>
      <c r="AC35" s="20">
        <f t="shared" si="0"/>
        <v>2016491.67</v>
      </c>
      <c r="AD35" s="20"/>
      <c r="AE35" s="20">
        <f t="shared" si="1"/>
        <v>5130.5562040783698</v>
      </c>
      <c r="AF35" s="136"/>
      <c r="AG35" s="137"/>
      <c r="AH35" s="137"/>
      <c r="AI35" s="18">
        <v>14926970.240000002</v>
      </c>
      <c r="AJ35" s="137"/>
      <c r="AK35" s="137"/>
      <c r="AL35" s="137"/>
      <c r="AM35" s="137"/>
      <c r="AN35" s="61"/>
    </row>
    <row r="36" spans="1:40">
      <c r="A36" s="6">
        <f t="shared" si="7"/>
        <v>2015</v>
      </c>
      <c r="C36" s="20">
        <f>'Exhibit H,1'!K37</f>
        <v>1325604.9400000013</v>
      </c>
      <c r="D36" s="20"/>
      <c r="E36" s="20">
        <f>'Exhibit G,1'!O37</f>
        <v>1034.0409760990906</v>
      </c>
      <c r="F36" s="20"/>
      <c r="G36" s="20">
        <f t="shared" si="2"/>
        <v>1326638.9809761005</v>
      </c>
      <c r="H36" s="20"/>
      <c r="I36" s="20">
        <f>'Exhibit K,1'!G37</f>
        <v>21091012.005524084</v>
      </c>
      <c r="J36" s="20"/>
      <c r="K36" s="20">
        <f>'Exhibit K,1'!M37</f>
        <v>671720.90708352916</v>
      </c>
      <c r="L36" s="20"/>
      <c r="M36" s="20">
        <f t="shared" si="3"/>
        <v>19765407.065524083</v>
      </c>
      <c r="N36" s="20"/>
      <c r="O36" s="20">
        <f t="shared" si="4"/>
        <v>670686.86610743008</v>
      </c>
      <c r="P36" s="20"/>
      <c r="Q36" s="20">
        <f>'Exhibit O,3'!I37+'Exhibit N,3'!I37</f>
        <v>18771657.799999997</v>
      </c>
      <c r="R36" s="20"/>
      <c r="S36" s="20">
        <f>'Exhibit L,3'!I37+'Exhibit M,3'!I37</f>
        <v>651635.24</v>
      </c>
      <c r="U36" s="20">
        <f>'Exhibit O,3'!I37+'Exhibit N,3'!I37-('Exhibit H,3'!G37-'Exhibit H,3'!I37)</f>
        <v>17446052.859999996</v>
      </c>
      <c r="V36" s="20"/>
      <c r="W36" s="20">
        <f>'Exhibit M,3'!I37+'Exhibit L,3'!I37-'Exhibit G,3'!G37</f>
        <v>651635.24</v>
      </c>
      <c r="X36" s="20"/>
      <c r="Y36" s="20">
        <f t="shared" si="5"/>
        <v>2319354.205524087</v>
      </c>
      <c r="Z36" s="20"/>
      <c r="AA36" s="20">
        <f t="shared" si="6"/>
        <v>20085.667083529173</v>
      </c>
      <c r="AC36" s="20">
        <f t="shared" si="0"/>
        <v>2319354.205524087</v>
      </c>
      <c r="AD36" s="20"/>
      <c r="AE36" s="20">
        <f t="shared" si="1"/>
        <v>19051.626107430086</v>
      </c>
      <c r="AF36" s="136"/>
      <c r="AG36" s="137"/>
      <c r="AH36" s="137"/>
      <c r="AI36" s="18">
        <v>16778190.849999998</v>
      </c>
      <c r="AJ36" s="137"/>
      <c r="AK36" s="137"/>
      <c r="AL36" s="137"/>
      <c r="AM36" s="137"/>
      <c r="AN36" s="61"/>
    </row>
    <row r="37" spans="1:40">
      <c r="A37" s="6">
        <f t="shared" si="7"/>
        <v>2016</v>
      </c>
      <c r="C37" s="20">
        <f>'Exhibit H,1'!K38</f>
        <v>2363477.9617348793</v>
      </c>
      <c r="D37" s="20"/>
      <c r="E37" s="20">
        <f>'Exhibit G,1'!O38</f>
        <v>1082659.4481038991</v>
      </c>
      <c r="F37" s="20"/>
      <c r="G37" s="20">
        <f t="shared" si="2"/>
        <v>3446137.4098387784</v>
      </c>
      <c r="H37" s="20"/>
      <c r="I37" s="20">
        <f>'Exhibit K,1'!G38</f>
        <v>12928167.364172783</v>
      </c>
      <c r="J37" s="20"/>
      <c r="K37" s="20">
        <f>'Exhibit K,1'!M38</f>
        <v>5182954.5227005687</v>
      </c>
      <c r="L37" s="20"/>
      <c r="M37" s="20">
        <f t="shared" si="3"/>
        <v>10564689.402437903</v>
      </c>
      <c r="N37" s="20"/>
      <c r="O37" s="20">
        <f t="shared" si="4"/>
        <v>4100295.0745966695</v>
      </c>
      <c r="P37" s="20"/>
      <c r="Q37" s="20">
        <f>'Exhibit O,3'!I38+'Exhibit N,3'!I38</f>
        <v>10728612.16</v>
      </c>
      <c r="R37" s="20"/>
      <c r="S37" s="20">
        <f>'Exhibit L,3'!I38+'Exhibit M,3'!I38</f>
        <v>4540014.8499999996</v>
      </c>
      <c r="U37" s="20">
        <f>'Exhibit O,3'!I38+'Exhibit N,3'!I38-('Exhibit H,3'!G38-'Exhibit H,3'!I38)</f>
        <v>8933123.8399999999</v>
      </c>
      <c r="V37" s="20"/>
      <c r="W37" s="20">
        <f>'Exhibit M,3'!I38+'Exhibit L,3'!I38-'Exhibit G,3'!G38</f>
        <v>3683738.7399999998</v>
      </c>
      <c r="X37" s="20"/>
      <c r="Y37" s="20">
        <f t="shared" si="5"/>
        <v>2199555.2041727826</v>
      </c>
      <c r="Z37" s="20"/>
      <c r="AA37" s="20">
        <f t="shared" si="6"/>
        <v>642939.67270056903</v>
      </c>
      <c r="AC37" s="20">
        <f t="shared" si="0"/>
        <v>1631565.5624379031</v>
      </c>
      <c r="AD37" s="20"/>
      <c r="AE37" s="20">
        <f t="shared" si="1"/>
        <v>416556.33459666977</v>
      </c>
      <c r="AF37" s="136"/>
      <c r="AG37" s="137"/>
      <c r="AH37" s="137"/>
      <c r="AI37" s="18">
        <v>12530357.379999999</v>
      </c>
      <c r="AJ37" s="137"/>
      <c r="AK37" s="137"/>
      <c r="AL37" s="137"/>
      <c r="AM37" s="137"/>
      <c r="AN37" s="61"/>
    </row>
    <row r="38" spans="1:40">
      <c r="A38" s="6">
        <f t="shared" si="7"/>
        <v>2017</v>
      </c>
      <c r="C38" s="20">
        <f>'Exhibit H,1'!K39</f>
        <v>238953.73828461423</v>
      </c>
      <c r="D38" s="20"/>
      <c r="E38" s="20">
        <f>'Exhibit G,1'!O39</f>
        <v>12412.341926720395</v>
      </c>
      <c r="F38" s="20"/>
      <c r="G38" s="20">
        <f t="shared" si="2"/>
        <v>251366.08021133463</v>
      </c>
      <c r="H38" s="20"/>
      <c r="I38" s="20">
        <f>'Exhibit K,1'!G39</f>
        <v>7702835.2463280298</v>
      </c>
      <c r="J38" s="20"/>
      <c r="K38" s="20">
        <f>'Exhibit K,1'!M39</f>
        <v>643372.87884363276</v>
      </c>
      <c r="L38" s="20"/>
      <c r="M38" s="20">
        <f t="shared" si="3"/>
        <v>7463881.5080434158</v>
      </c>
      <c r="N38" s="20"/>
      <c r="O38" s="20">
        <f t="shared" si="4"/>
        <v>630960.53691691242</v>
      </c>
      <c r="P38" s="20"/>
      <c r="Q38" s="20">
        <f>'Exhibit O,3'!I39+'Exhibit N,3'!I39</f>
        <v>5166655.9499999993</v>
      </c>
      <c r="R38" s="20"/>
      <c r="S38" s="20">
        <f>'Exhibit L,3'!I39+'Exhibit M,3'!I39</f>
        <v>97119.950000000012</v>
      </c>
      <c r="U38" s="20">
        <f>'Exhibit O,3'!I39+'Exhibit N,3'!I39-('Exhibit H,3'!G39-'Exhibit H,3'!I39)</f>
        <v>5166655.9499999993</v>
      </c>
      <c r="V38" s="20"/>
      <c r="W38" s="20">
        <f>'Exhibit M,3'!I39+'Exhibit L,3'!I39-'Exhibit G,3'!G39</f>
        <v>97119.950000000012</v>
      </c>
      <c r="X38" s="20"/>
      <c r="Y38" s="20">
        <f t="shared" si="5"/>
        <v>2536179.2963280305</v>
      </c>
      <c r="Z38" s="20"/>
      <c r="AA38" s="20">
        <f t="shared" si="6"/>
        <v>546252.92884363281</v>
      </c>
      <c r="AC38" s="20">
        <f t="shared" si="0"/>
        <v>2297225.5580434166</v>
      </c>
      <c r="AD38" s="20"/>
      <c r="AE38" s="20">
        <f t="shared" si="1"/>
        <v>533840.58691691235</v>
      </c>
      <c r="AF38" s="136"/>
      <c r="AG38" s="137"/>
      <c r="AH38" s="137"/>
      <c r="AI38" s="18">
        <v>18023349.859999999</v>
      </c>
      <c r="AJ38" s="137"/>
      <c r="AK38" s="137"/>
      <c r="AL38" s="137"/>
      <c r="AM38" s="137"/>
      <c r="AN38" s="61"/>
    </row>
    <row r="39" spans="1:40">
      <c r="A39" s="6">
        <f t="shared" si="7"/>
        <v>2018</v>
      </c>
      <c r="C39" s="20">
        <f>'Exhibit H,1'!K40</f>
        <v>2825999.5451444173</v>
      </c>
      <c r="D39" s="20"/>
      <c r="E39" s="20">
        <f>'Exhibit G,1'!O40</f>
        <v>84989.088760994331</v>
      </c>
      <c r="F39" s="20"/>
      <c r="G39" s="20">
        <f t="shared" si="2"/>
        <v>2910988.6339054117</v>
      </c>
      <c r="H39" s="20"/>
      <c r="I39" s="20">
        <f>'Exhibit K,1'!G40</f>
        <v>17116650.864487838</v>
      </c>
      <c r="J39" s="20"/>
      <c r="K39" s="20">
        <f>'Exhibit K,1'!M40</f>
        <v>2156293.8228217755</v>
      </c>
      <c r="L39" s="20"/>
      <c r="M39" s="20">
        <f t="shared" si="3"/>
        <v>14290651.319343422</v>
      </c>
      <c r="N39" s="20"/>
      <c r="O39" s="20">
        <f t="shared" si="4"/>
        <v>2071304.7340607811</v>
      </c>
      <c r="P39" s="20"/>
      <c r="Q39" s="20">
        <f>'Exhibit O,3'!I40+'Exhibit N,3'!I40</f>
        <v>7396887.2999999998</v>
      </c>
      <c r="R39" s="20"/>
      <c r="S39" s="20">
        <f>'Exhibit L,3'!I40+'Exhibit M,3'!I40</f>
        <v>1011731.98</v>
      </c>
      <c r="U39" s="20">
        <f>'Exhibit O,3'!I40+'Exhibit N,3'!I40-('Exhibit H,3'!G40-'Exhibit H,3'!I40)</f>
        <v>7396887.2999999998</v>
      </c>
      <c r="V39" s="20"/>
      <c r="W39" s="20">
        <f>'Exhibit M,3'!I40+'Exhibit L,3'!I40-'Exhibit G,3'!G40</f>
        <v>1011731.98</v>
      </c>
      <c r="X39" s="20"/>
      <c r="Y39" s="20">
        <f t="shared" si="5"/>
        <v>9719763.5644878373</v>
      </c>
      <c r="Z39" s="20"/>
      <c r="AA39" s="20">
        <f t="shared" si="6"/>
        <v>1144561.8428217755</v>
      </c>
      <c r="AC39" s="20">
        <f t="shared" si="0"/>
        <v>6893764.0193434218</v>
      </c>
      <c r="AD39" s="20"/>
      <c r="AE39" s="20">
        <f t="shared" si="1"/>
        <v>1059572.7540607811</v>
      </c>
      <c r="AF39" s="136"/>
      <c r="AG39" s="137"/>
      <c r="AH39" s="137"/>
      <c r="AI39" s="18">
        <v>8760603.2699999977</v>
      </c>
      <c r="AJ39" s="137"/>
      <c r="AK39" s="137"/>
      <c r="AL39" s="137"/>
      <c r="AM39" s="137"/>
      <c r="AN39" s="61"/>
    </row>
    <row r="40" spans="1:40">
      <c r="A40" s="6">
        <f t="shared" si="7"/>
        <v>2019</v>
      </c>
      <c r="C40" s="20">
        <f>'Exhibit H,1'!K41</f>
        <v>703652.46809703798</v>
      </c>
      <c r="D40" s="20"/>
      <c r="E40" s="20">
        <f>'Exhibit G,1'!O41</f>
        <v>364504.04213521769</v>
      </c>
      <c r="F40" s="20"/>
      <c r="G40" s="20">
        <f t="shared" si="2"/>
        <v>1068156.5102322558</v>
      </c>
      <c r="H40" s="20"/>
      <c r="I40" s="20">
        <f>'Exhibit K,1'!G41</f>
        <v>14079435.040762978</v>
      </c>
      <c r="J40" s="20"/>
      <c r="K40" s="20">
        <f>'Exhibit K,1'!M41</f>
        <v>3062320.1343217399</v>
      </c>
      <c r="L40" s="20"/>
      <c r="M40" s="20">
        <f t="shared" si="3"/>
        <v>13375782.572665939</v>
      </c>
      <c r="N40" s="20"/>
      <c r="O40" s="20">
        <f t="shared" si="4"/>
        <v>2697816.0921865222</v>
      </c>
      <c r="P40" s="20"/>
      <c r="Q40" s="20">
        <f>'Exhibit O,3'!I41+'Exhibit N,3'!I41</f>
        <v>6445883.4400000004</v>
      </c>
      <c r="R40" s="20"/>
      <c r="S40" s="20">
        <f>'Exhibit L,3'!I41+'Exhibit M,3'!I41</f>
        <v>1122227.6099999999</v>
      </c>
      <c r="U40" s="20">
        <f>'Exhibit O,3'!I41+'Exhibit N,3'!I41-('Exhibit H,3'!G41-'Exhibit H,3'!I41)</f>
        <v>6444007.5700000003</v>
      </c>
      <c r="V40" s="20"/>
      <c r="W40" s="20">
        <f>'Exhibit M,3'!I41+'Exhibit L,3'!I41-'Exhibit G,3'!G41</f>
        <v>1029967.0899999999</v>
      </c>
      <c r="X40" s="20"/>
      <c r="Y40" s="20">
        <f t="shared" si="5"/>
        <v>7633551.6007629773</v>
      </c>
      <c r="Z40" s="20"/>
      <c r="AA40" s="20">
        <f t="shared" si="6"/>
        <v>1940092.52432174</v>
      </c>
      <c r="AC40" s="20">
        <f t="shared" si="0"/>
        <v>6931775.0026659388</v>
      </c>
      <c r="AD40" s="20"/>
      <c r="AE40" s="20">
        <f t="shared" si="1"/>
        <v>1667849.0021865224</v>
      </c>
      <c r="AF40" s="136"/>
      <c r="AG40" s="137"/>
      <c r="AH40" s="137"/>
      <c r="AI40" s="18">
        <v>1971805.0599999996</v>
      </c>
      <c r="AJ40" s="137"/>
      <c r="AK40" s="137"/>
      <c r="AL40" s="137"/>
      <c r="AM40" s="137"/>
      <c r="AN40" s="61"/>
    </row>
    <row r="41" spans="1:40">
      <c r="A41" s="6">
        <f t="shared" si="7"/>
        <v>2020</v>
      </c>
      <c r="C41" s="20">
        <f>'Exhibit H,1'!K42</f>
        <v>1249245.588074143</v>
      </c>
      <c r="D41" s="20"/>
      <c r="E41" s="20">
        <f>'Exhibit G,1'!O42</f>
        <v>91331.300374089536</v>
      </c>
      <c r="F41" s="20"/>
      <c r="G41" s="20">
        <f t="shared" si="2"/>
        <v>1340576.8884482326</v>
      </c>
      <c r="H41" s="20"/>
      <c r="I41" s="20">
        <f>'Exhibit K,1'!G42</f>
        <v>12770051.247786101</v>
      </c>
      <c r="J41" s="20"/>
      <c r="K41" s="20">
        <f>'Exhibit K,1'!M42</f>
        <v>1265041.6896571</v>
      </c>
      <c r="L41" s="20"/>
      <c r="M41" s="20">
        <f t="shared" si="3"/>
        <v>11520805.659711957</v>
      </c>
      <c r="N41" s="20"/>
      <c r="O41" s="20">
        <f t="shared" si="4"/>
        <v>1173710.3892830105</v>
      </c>
      <c r="P41" s="20"/>
      <c r="Q41" s="20">
        <f>'Exhibit O,3'!I42+'Exhibit N,3'!I42</f>
        <v>5740458.2000000002</v>
      </c>
      <c r="R41" s="20"/>
      <c r="S41" s="20">
        <f>'Exhibit L,3'!I42+'Exhibit M,3'!I42</f>
        <v>568134.42000000004</v>
      </c>
      <c r="U41" s="20">
        <f>'Exhibit O,3'!I42+'Exhibit N,3'!I42-('Exhibit H,3'!G42-'Exhibit H,3'!I42)</f>
        <v>5147461.79</v>
      </c>
      <c r="V41" s="20"/>
      <c r="W41" s="20">
        <f>'Exhibit M,3'!I42+'Exhibit L,3'!I42-'Exhibit G,3'!G42</f>
        <v>568134.42000000004</v>
      </c>
      <c r="X41" s="20"/>
      <c r="Y41" s="20">
        <f t="shared" si="5"/>
        <v>7029593.0477861008</v>
      </c>
      <c r="Z41" s="20"/>
      <c r="AA41" s="20">
        <f t="shared" si="6"/>
        <v>696907.26965709997</v>
      </c>
      <c r="AC41" s="20">
        <f t="shared" si="0"/>
        <v>6373343.8697119569</v>
      </c>
      <c r="AD41" s="20"/>
      <c r="AE41" s="20">
        <f t="shared" si="1"/>
        <v>605575.96928301046</v>
      </c>
      <c r="AF41" s="136"/>
      <c r="AG41" s="137"/>
      <c r="AH41" s="137"/>
      <c r="AI41" s="18">
        <v>4597506.42</v>
      </c>
      <c r="AJ41" s="137"/>
      <c r="AK41" s="137"/>
      <c r="AL41" s="137"/>
      <c r="AM41" s="137"/>
      <c r="AN41" s="61"/>
    </row>
    <row r="42" spans="1:40">
      <c r="A42" s="6">
        <f t="shared" si="7"/>
        <v>2021</v>
      </c>
      <c r="C42" s="20">
        <f>'Exhibit H,1'!K43</f>
        <v>576697.19209940301</v>
      </c>
      <c r="D42" s="20"/>
      <c r="E42" s="20">
        <f>'Exhibit G,1'!O43</f>
        <v>52297.666762788969</v>
      </c>
      <c r="F42" s="20"/>
      <c r="G42" s="20">
        <f t="shared" si="2"/>
        <v>628994.85886219202</v>
      </c>
      <c r="H42" s="20"/>
      <c r="I42" s="20">
        <f>'Exhibit K,1'!G43</f>
        <v>10662567.119791672</v>
      </c>
      <c r="J42" s="20"/>
      <c r="K42" s="20">
        <f>'Exhibit K,1'!M43</f>
        <v>851749.687957132</v>
      </c>
      <c r="L42" s="20"/>
      <c r="M42" s="20">
        <f t="shared" si="3"/>
        <v>10085869.927692268</v>
      </c>
      <c r="N42" s="20"/>
      <c r="O42" s="20">
        <f t="shared" si="4"/>
        <v>799452.02119434299</v>
      </c>
      <c r="P42" s="20"/>
      <c r="Q42" s="20">
        <f>'Exhibit O,3'!I43+'Exhibit N,3'!I43</f>
        <v>497480.03</v>
      </c>
      <c r="R42" s="20"/>
      <c r="S42" s="20">
        <f>'Exhibit L,3'!I43+'Exhibit M,3'!I43</f>
        <v>11426.5</v>
      </c>
      <c r="U42" s="20">
        <f>'Exhibit O,3'!I43+'Exhibit N,3'!I43-('Exhibit H,3'!G43-'Exhibit H,3'!I43)</f>
        <v>497480.03</v>
      </c>
      <c r="V42" s="20"/>
      <c r="W42" s="20">
        <f>'Exhibit M,3'!I43+'Exhibit L,3'!I43-'Exhibit G,3'!G43</f>
        <v>11426.5</v>
      </c>
      <c r="X42" s="20"/>
      <c r="Y42" s="20">
        <f t="shared" si="5"/>
        <v>10165087.089791672</v>
      </c>
      <c r="Z42" s="20"/>
      <c r="AA42" s="20">
        <f t="shared" si="6"/>
        <v>840323.187957132</v>
      </c>
      <c r="AC42" s="20">
        <f t="shared" si="0"/>
        <v>9588389.8976922687</v>
      </c>
      <c r="AD42" s="20"/>
      <c r="AE42" s="20">
        <f t="shared" si="1"/>
        <v>788025.52119434299</v>
      </c>
      <c r="AF42" s="136"/>
      <c r="AG42" s="137"/>
      <c r="AH42" s="137"/>
      <c r="AI42" s="18">
        <v>1797197.8900000001</v>
      </c>
      <c r="AJ42" s="137"/>
      <c r="AK42" s="137"/>
      <c r="AL42" s="137"/>
      <c r="AM42" s="137"/>
      <c r="AN42" s="61"/>
    </row>
    <row r="43" spans="1:40">
      <c r="A43" s="6">
        <f t="shared" si="7"/>
        <v>2022</v>
      </c>
      <c r="C43" s="20">
        <f>'Exhibit H,1'!K44</f>
        <v>683774.17505687242</v>
      </c>
      <c r="D43" s="20"/>
      <c r="E43" s="20">
        <f>'Exhibit G,1'!O44</f>
        <v>163137.10463878309</v>
      </c>
      <c r="F43" s="20"/>
      <c r="G43" s="20">
        <f t="shared" si="2"/>
        <v>846911.27969565545</v>
      </c>
      <c r="H43" s="20"/>
      <c r="I43" s="20">
        <f>'Exhibit K,1'!G44</f>
        <v>13146198.603999998</v>
      </c>
      <c r="J43" s="20"/>
      <c r="K43" s="20">
        <f>'Exhibit K,1'!M44</f>
        <v>3101891.6849870766</v>
      </c>
      <c r="L43" s="20"/>
      <c r="M43" s="20">
        <f t="shared" si="3"/>
        <v>12462424.428943126</v>
      </c>
      <c r="N43" s="20"/>
      <c r="O43" s="20">
        <f t="shared" si="4"/>
        <v>2938754.5803482933</v>
      </c>
      <c r="P43" s="20"/>
      <c r="Q43" s="20">
        <f>'Exhibit O,3'!I44+'Exhibit N,3'!I44</f>
        <v>395862.9</v>
      </c>
      <c r="R43" s="20"/>
      <c r="S43" s="20">
        <f>'Exhibit L,3'!I44+'Exhibit M,3'!I44</f>
        <v>2950</v>
      </c>
      <c r="U43" s="20">
        <f>'Exhibit O,3'!I44+'Exhibit N,3'!I44-('Exhibit H,3'!G44-'Exhibit H,3'!I44)</f>
        <v>395862.9</v>
      </c>
      <c r="V43" s="20"/>
      <c r="W43" s="20">
        <f>'Exhibit M,3'!I44+'Exhibit L,3'!I44-'Exhibit G,3'!G44</f>
        <v>2950</v>
      </c>
      <c r="X43" s="20"/>
      <c r="Y43" s="20">
        <f t="shared" si="5"/>
        <v>12750335.703999998</v>
      </c>
      <c r="Z43" s="20"/>
      <c r="AA43" s="20">
        <f t="shared" si="6"/>
        <v>3098941.6849870766</v>
      </c>
      <c r="AC43" s="20">
        <f t="shared" si="0"/>
        <v>12066561.528943125</v>
      </c>
      <c r="AD43" s="20"/>
      <c r="AE43" s="20">
        <f t="shared" si="1"/>
        <v>2935804.5803482933</v>
      </c>
      <c r="AF43" s="136"/>
      <c r="AG43" s="137"/>
      <c r="AH43" s="137"/>
      <c r="AI43" s="18">
        <v>507145.5</v>
      </c>
      <c r="AJ43" s="137"/>
      <c r="AK43" s="137"/>
      <c r="AL43" s="137"/>
      <c r="AM43" s="137"/>
      <c r="AN43" s="61"/>
    </row>
    <row r="44" spans="1:40">
      <c r="A44" s="6"/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O44" s="138"/>
      <c r="Q44" s="138"/>
      <c r="R44" s="138"/>
      <c r="S44" s="138"/>
      <c r="U44" s="138"/>
      <c r="W44" s="138"/>
      <c r="Y44" s="138"/>
      <c r="Z44" s="138"/>
      <c r="AA44" s="138"/>
      <c r="AC44" s="138"/>
      <c r="AE44" s="138"/>
      <c r="AF44" s="61"/>
      <c r="AG44" s="61"/>
      <c r="AH44" s="61"/>
      <c r="AI44" s="138"/>
      <c r="AJ44" s="61"/>
      <c r="AK44" s="61"/>
      <c r="AL44" s="61"/>
      <c r="AM44" s="61"/>
      <c r="AN44" s="61"/>
    </row>
    <row r="45" spans="1:40">
      <c r="A45" s="6" t="s">
        <v>0</v>
      </c>
      <c r="C45" s="26">
        <f>SUM(C15:C44)</f>
        <v>194315124.0684914</v>
      </c>
      <c r="E45" s="26">
        <f>SUM(E15:E44)</f>
        <v>4620391.9931816384</v>
      </c>
      <c r="G45" s="26">
        <f>SUM(G15:G44)</f>
        <v>198935516.06167302</v>
      </c>
      <c r="I45" s="26">
        <f>SUM(I15:I44)</f>
        <v>764090172.63285339</v>
      </c>
      <c r="K45" s="26">
        <f>SUM(K15:K44)</f>
        <v>42889327.321735762</v>
      </c>
      <c r="M45" s="26">
        <f>SUM(M15:M44)</f>
        <v>569775048.56436217</v>
      </c>
      <c r="O45" s="26">
        <f>SUM(O15:O44)</f>
        <v>38268935.328554116</v>
      </c>
      <c r="Q45" s="26">
        <f>SUM(Q15:Q44)</f>
        <v>707621261.25</v>
      </c>
      <c r="R45" s="26"/>
      <c r="S45" s="26">
        <f>SUM(S15:S44)</f>
        <v>33907855.499999993</v>
      </c>
      <c r="U45" s="26">
        <f>SUM(U15:U44)</f>
        <v>519557577.24999982</v>
      </c>
      <c r="W45" s="26">
        <f>SUM(W15:W44)</f>
        <v>30191352.179999992</v>
      </c>
      <c r="Y45" s="26">
        <f>SUM(Y15:Y44)</f>
        <v>56468911.382853486</v>
      </c>
      <c r="AA45" s="26">
        <f>SUM(AA15:AA44)</f>
        <v>8981471.8217357658</v>
      </c>
      <c r="AC45" s="26">
        <f>SUM(AC15:AC44)</f>
        <v>50217471.314362124</v>
      </c>
      <c r="AE45" s="26">
        <f>SUM(AE15:AE44)</f>
        <v>8077583.1485541267</v>
      </c>
      <c r="AF45" s="68"/>
      <c r="AG45" s="68"/>
      <c r="AH45" s="68"/>
      <c r="AI45" s="26">
        <f>SUM(AI15:AI44)</f>
        <v>362951800.00999999</v>
      </c>
      <c r="AJ45" s="68"/>
      <c r="AK45" s="68"/>
      <c r="AL45" s="68"/>
      <c r="AM45" s="68"/>
      <c r="AN45" s="61"/>
    </row>
    <row r="46" spans="1:40"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U46" s="26"/>
      <c r="V46" s="26"/>
      <c r="W46" s="26"/>
      <c r="X46" s="26"/>
      <c r="Y46" s="26"/>
      <c r="AA46" s="26"/>
      <c r="AC46" s="26"/>
      <c r="AD46" s="26"/>
      <c r="AE46" s="26"/>
      <c r="AF46" s="61"/>
      <c r="AG46" s="61"/>
      <c r="AH46" s="61"/>
      <c r="AI46" s="61"/>
      <c r="AJ46" s="61"/>
      <c r="AK46" s="61"/>
      <c r="AL46" s="61"/>
      <c r="AM46" s="61"/>
      <c r="AN46" s="61"/>
    </row>
    <row r="47" spans="1:40">
      <c r="C47" s="26"/>
      <c r="E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U47" s="26"/>
      <c r="V47" s="26"/>
      <c r="W47" s="26"/>
      <c r="AA47" s="26"/>
      <c r="AC47" s="26"/>
      <c r="AD47" s="26"/>
      <c r="AE47" s="26"/>
    </row>
    <row r="48" spans="1:40">
      <c r="C48" s="26"/>
      <c r="E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U48" s="26"/>
      <c r="V48" s="26"/>
      <c r="W48" s="26"/>
      <c r="X48" s="26"/>
      <c r="AA48" s="26"/>
    </row>
    <row r="49" spans="1:3">
      <c r="A49" s="64" t="s">
        <v>104</v>
      </c>
      <c r="C49" s="3" t="s">
        <v>309</v>
      </c>
    </row>
    <row r="50" spans="1:3">
      <c r="A50" s="64" t="s">
        <v>36</v>
      </c>
      <c r="B50" s="52"/>
      <c r="C50" s="3" t="s">
        <v>269</v>
      </c>
    </row>
    <row r="51" spans="1:3">
      <c r="A51" s="64" t="s">
        <v>38</v>
      </c>
      <c r="C51" s="3" t="s">
        <v>174</v>
      </c>
    </row>
    <row r="52" spans="1:3">
      <c r="A52" s="139">
        <v>-5</v>
      </c>
      <c r="C52" s="3" t="s">
        <v>241</v>
      </c>
    </row>
    <row r="53" spans="1:3">
      <c r="A53" s="139">
        <v>-6</v>
      </c>
      <c r="B53" s="52"/>
      <c r="C53" s="3" t="s">
        <v>241</v>
      </c>
    </row>
    <row r="54" spans="1:3">
      <c r="A54" s="139">
        <v>-7</v>
      </c>
      <c r="C54" s="3" t="s">
        <v>362</v>
      </c>
    </row>
    <row r="55" spans="1:3">
      <c r="A55" s="139">
        <v>-8</v>
      </c>
      <c r="C55" s="3" t="s">
        <v>363</v>
      </c>
    </row>
    <row r="56" spans="1:3">
      <c r="A56" s="139">
        <v>-9</v>
      </c>
      <c r="C56" s="3" t="s">
        <v>678</v>
      </c>
    </row>
    <row r="57" spans="1:3">
      <c r="A57" s="139">
        <v>-10</v>
      </c>
      <c r="C57" s="3" t="s">
        <v>679</v>
      </c>
    </row>
    <row r="58" spans="1:3">
      <c r="A58" s="139">
        <v>-11</v>
      </c>
      <c r="C58" s="3" t="s">
        <v>879</v>
      </c>
    </row>
    <row r="59" spans="1:3">
      <c r="A59" s="139">
        <v>-12</v>
      </c>
      <c r="C59" s="3" t="s">
        <v>880</v>
      </c>
    </row>
    <row r="60" spans="1:3">
      <c r="A60" s="64" t="s">
        <v>137</v>
      </c>
      <c r="C60" s="140" t="s">
        <v>715</v>
      </c>
    </row>
    <row r="61" spans="1:3">
      <c r="A61" s="64" t="s">
        <v>345</v>
      </c>
      <c r="C61" s="140" t="s">
        <v>716</v>
      </c>
    </row>
    <row r="62" spans="1:3">
      <c r="A62" s="64" t="s">
        <v>571</v>
      </c>
      <c r="C62" s="140" t="s">
        <v>714</v>
      </c>
    </row>
    <row r="63" spans="1:3">
      <c r="A63" s="64" t="s">
        <v>599</v>
      </c>
      <c r="C63" s="140" t="s">
        <v>717</v>
      </c>
    </row>
    <row r="64" spans="1:3">
      <c r="A64" s="64"/>
      <c r="C64" s="140"/>
    </row>
    <row r="65" spans="1:3">
      <c r="A65" s="64"/>
      <c r="C65" s="140"/>
    </row>
    <row r="66" spans="1:3">
      <c r="A66" s="64"/>
      <c r="C66" s="140"/>
    </row>
  </sheetData>
  <phoneticPr fontId="8" type="noConversion"/>
  <printOptions horizontalCentered="1" verticalCentered="1"/>
  <pageMargins left="0.75" right="0.75" top="1" bottom="1" header="0.5" footer="0.5"/>
  <pageSetup scale="50" orientation="landscape" blackAndWhite="1" r:id="rId1"/>
  <headerFooter alignWithMargins="0">
    <oddFooter>&amp;L&amp;6&amp;Z&amp;F
&amp;A</oddFooter>
  </headerFooter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95">
    <tabColor rgb="FFFF0000"/>
  </sheetPr>
  <dimension ref="A1:S33"/>
  <sheetViews>
    <sheetView workbookViewId="0">
      <selection activeCell="A6" sqref="A6"/>
    </sheetView>
  </sheetViews>
  <sheetFormatPr baseColWidth="10" defaultColWidth="8.7109375" defaultRowHeight="15"/>
  <cols>
    <col min="1" max="7" width="12.7109375" style="1" customWidth="1"/>
    <col min="8" max="8" width="6.7109375" style="1" customWidth="1"/>
    <col min="9" max="10" width="12.7109375" style="1" customWidth="1"/>
    <col min="11" max="11" width="12.7109375" style="1" hidden="1" customWidth="1"/>
    <col min="12" max="12" width="12.7109375" style="1" customWidth="1"/>
    <col min="13" max="13" width="1.7109375" style="1" customWidth="1"/>
    <col min="14" max="17" width="12.7109375" style="1" customWidth="1"/>
    <col min="18" max="18" width="15.7109375" style="1" customWidth="1"/>
    <col min="19" max="20" width="12.7109375" style="1" customWidth="1"/>
    <col min="21" max="16384" width="8.7109375" style="1"/>
  </cols>
  <sheetData>
    <row r="1" spans="1:19">
      <c r="B1" s="61"/>
      <c r="C1" s="61"/>
      <c r="D1" s="61"/>
    </row>
    <row r="2" spans="1:19">
      <c r="B2" s="61"/>
      <c r="D2" s="25" t="s">
        <v>820</v>
      </c>
      <c r="M2" s="6" t="s">
        <v>820</v>
      </c>
    </row>
    <row r="3" spans="1:19">
      <c r="B3" s="61"/>
      <c r="D3" s="25" t="s">
        <v>819</v>
      </c>
      <c r="M3" s="6" t="s">
        <v>819</v>
      </c>
    </row>
    <row r="4" spans="1:19">
      <c r="D4" s="25" t="s">
        <v>796</v>
      </c>
      <c r="M4" s="6" t="s">
        <v>818</v>
      </c>
    </row>
    <row r="5" spans="1:19">
      <c r="D5" s="25"/>
      <c r="K5" s="6"/>
    </row>
    <row r="6" spans="1:19">
      <c r="A6" s="25"/>
      <c r="B6" s="121" t="s">
        <v>797</v>
      </c>
      <c r="C6" s="97" t="s">
        <v>798</v>
      </c>
      <c r="D6" s="97"/>
      <c r="E6" s="97" t="s">
        <v>799</v>
      </c>
      <c r="F6" s="97" t="s">
        <v>800</v>
      </c>
      <c r="G6" s="97" t="s">
        <v>815</v>
      </c>
      <c r="H6" s="97"/>
      <c r="I6" s="23" t="s">
        <v>811</v>
      </c>
      <c r="J6" s="23" t="s">
        <v>812</v>
      </c>
      <c r="K6" s="23"/>
      <c r="L6" s="23" t="s">
        <v>813</v>
      </c>
      <c r="M6" s="23"/>
      <c r="N6" s="23" t="s">
        <v>816</v>
      </c>
      <c r="O6" s="23" t="s">
        <v>821</v>
      </c>
      <c r="P6" s="23" t="s">
        <v>822</v>
      </c>
      <c r="Q6" s="23" t="s">
        <v>822</v>
      </c>
      <c r="R6" s="23" t="s">
        <v>822</v>
      </c>
      <c r="S6" s="23"/>
    </row>
    <row r="7" spans="1:19">
      <c r="A7" s="25"/>
      <c r="B7" s="121"/>
      <c r="C7" s="97"/>
      <c r="D7" s="97"/>
      <c r="E7" s="97"/>
      <c r="F7" s="97"/>
      <c r="G7" s="25" t="s">
        <v>86</v>
      </c>
      <c r="H7" s="25"/>
      <c r="I7" s="2" t="s">
        <v>814</v>
      </c>
      <c r="J7" s="23"/>
      <c r="K7" s="23"/>
      <c r="L7" s="2" t="s">
        <v>814</v>
      </c>
      <c r="M7" s="2"/>
      <c r="O7" s="6" t="s">
        <v>16</v>
      </c>
      <c r="P7" s="6" t="s">
        <v>663</v>
      </c>
      <c r="Q7" s="6"/>
      <c r="R7" s="6"/>
    </row>
    <row r="8" spans="1:19">
      <c r="A8" s="25"/>
      <c r="B8" s="25" t="s">
        <v>1</v>
      </c>
      <c r="C8" s="25" t="s">
        <v>801</v>
      </c>
      <c r="D8" s="25"/>
      <c r="E8" s="25" t="s">
        <v>802</v>
      </c>
      <c r="F8" s="25" t="s">
        <v>554</v>
      </c>
      <c r="G8" s="97" t="s">
        <v>814</v>
      </c>
      <c r="H8" s="97"/>
      <c r="I8" s="6" t="s">
        <v>1</v>
      </c>
      <c r="L8" s="6" t="s">
        <v>1</v>
      </c>
      <c r="M8" s="6"/>
      <c r="N8" s="6" t="s">
        <v>0</v>
      </c>
      <c r="O8" s="1" t="s">
        <v>823</v>
      </c>
      <c r="P8" s="1" t="s">
        <v>823</v>
      </c>
      <c r="Q8" s="6" t="s">
        <v>827</v>
      </c>
      <c r="R8" s="6" t="s">
        <v>827</v>
      </c>
    </row>
    <row r="9" spans="1:19">
      <c r="A9" s="25"/>
      <c r="B9" s="25" t="s">
        <v>803</v>
      </c>
      <c r="C9" s="25" t="s">
        <v>804</v>
      </c>
      <c r="D9" s="25"/>
      <c r="E9" s="25" t="s">
        <v>17</v>
      </c>
      <c r="F9" s="25" t="s">
        <v>805</v>
      </c>
      <c r="G9" s="25" t="s">
        <v>805</v>
      </c>
      <c r="H9" s="25"/>
      <c r="I9" s="6" t="s">
        <v>803</v>
      </c>
      <c r="J9" s="6" t="s">
        <v>17</v>
      </c>
      <c r="K9" s="6"/>
      <c r="L9" s="6" t="s">
        <v>805</v>
      </c>
      <c r="M9" s="6"/>
      <c r="N9" s="6" t="s">
        <v>824</v>
      </c>
      <c r="O9" s="6" t="s">
        <v>824</v>
      </c>
      <c r="P9" s="6" t="s">
        <v>824</v>
      </c>
      <c r="Q9" s="6" t="s">
        <v>828</v>
      </c>
      <c r="R9" s="6" t="s">
        <v>829</v>
      </c>
    </row>
    <row r="10" spans="1:19">
      <c r="A10" s="25" t="s">
        <v>806</v>
      </c>
      <c r="B10" s="25" t="s">
        <v>109</v>
      </c>
      <c r="C10" s="25" t="s">
        <v>109</v>
      </c>
      <c r="D10" s="25"/>
      <c r="E10" s="25" t="s">
        <v>724</v>
      </c>
      <c r="F10" s="25" t="s">
        <v>109</v>
      </c>
      <c r="G10" s="25" t="s">
        <v>109</v>
      </c>
      <c r="H10" s="25"/>
      <c r="I10" s="6" t="s">
        <v>109</v>
      </c>
      <c r="J10" s="6" t="s">
        <v>724</v>
      </c>
      <c r="K10" s="6"/>
      <c r="L10" s="6" t="s">
        <v>109</v>
      </c>
      <c r="M10" s="6"/>
      <c r="N10" s="6" t="s">
        <v>817</v>
      </c>
      <c r="O10" s="6" t="s">
        <v>817</v>
      </c>
      <c r="P10" s="6" t="s">
        <v>817</v>
      </c>
      <c r="Q10" s="6" t="s">
        <v>826</v>
      </c>
      <c r="R10" s="6" t="s">
        <v>830</v>
      </c>
    </row>
    <row r="11" spans="1:19">
      <c r="A11" s="61"/>
      <c r="B11" s="61"/>
      <c r="C11" s="61"/>
      <c r="D11" s="61"/>
      <c r="E11" s="61"/>
      <c r="F11" s="61"/>
      <c r="G11" s="61"/>
      <c r="H11" s="61"/>
      <c r="L11" s="55"/>
      <c r="M11" s="55"/>
    </row>
    <row r="12" spans="1:19">
      <c r="A12" s="61" t="s">
        <v>807</v>
      </c>
      <c r="B12" s="72">
        <v>0.78768442516041848</v>
      </c>
      <c r="C12" s="72">
        <f>1.1*B12</f>
        <v>0.86645286767646035</v>
      </c>
      <c r="D12" s="122"/>
      <c r="E12" s="122">
        <v>14094066</v>
      </c>
      <c r="F12" s="72">
        <f>C12</f>
        <v>0.86645286767646035</v>
      </c>
      <c r="G12" s="123">
        <f>F12*F$20</f>
        <v>0.7798075809088143</v>
      </c>
      <c r="H12" s="123"/>
      <c r="I12" s="55">
        <f>(('Summary Exhibit 3'!C17+'Summary Exhibit 3'!E17)/('Summary Exhibit 3'!C16+'Summary Exhibit 3'!E16))+J33</f>
        <v>0.84530110236853229</v>
      </c>
      <c r="J12" s="17">
        <f>'Summary Exhibit 3'!C34+'Summary Exhibit 3'!E34</f>
        <v>17024768.160314288</v>
      </c>
      <c r="K12" s="17"/>
      <c r="L12" s="55">
        <f>(('Summary Exhibit 3'!C35+'Summary Exhibit 3'!E35)/J12)+L33</f>
        <v>0.94046394987030768</v>
      </c>
      <c r="M12" s="55"/>
      <c r="N12" s="22"/>
      <c r="O12" s="17"/>
      <c r="P12" s="17">
        <f>(L12-G12)*J12</f>
        <v>2735137.4350473373</v>
      </c>
      <c r="Q12" s="53">
        <f>(I12-B12/1.1)*J12</f>
        <v>2200014.6372582167</v>
      </c>
      <c r="R12" s="53">
        <f>P12-Q12</f>
        <v>535122.79778912058</v>
      </c>
      <c r="S12" s="53"/>
    </row>
    <row r="13" spans="1:19">
      <c r="A13" s="61" t="s">
        <v>808</v>
      </c>
      <c r="B13" s="72">
        <v>1.0197497428183688</v>
      </c>
      <c r="C13" s="72">
        <f>1.1*B13</f>
        <v>1.1217247171002058</v>
      </c>
      <c r="D13" s="124"/>
      <c r="E13" s="124">
        <v>4853628</v>
      </c>
      <c r="F13" s="72">
        <f>C13</f>
        <v>1.1217247171002058</v>
      </c>
      <c r="G13" s="123">
        <f>F13*F$20</f>
        <v>1.0095522453901853</v>
      </c>
      <c r="H13" s="123"/>
      <c r="I13" s="55">
        <f>('Summary Exhibit 3'!G17+'Summary Exhibit 3'!I17)/('Summary Exhibit 3'!G16+'Summary Exhibit 3'!I17)+J33</f>
        <v>0.92358276657824045</v>
      </c>
      <c r="J13" s="17">
        <f>'Summary Exhibit 3'!I34+'Summary Exhibit 3'!G34</f>
        <v>5387015.2331991922</v>
      </c>
      <c r="K13" s="17"/>
      <c r="L13" s="55">
        <f>('Summary Exhibit 3'!G35+'Summary Exhibit 3'!I35)/J13+L33</f>
        <v>0.84397296437092528</v>
      </c>
      <c r="M13" s="55"/>
      <c r="N13" s="22"/>
      <c r="O13" s="17"/>
      <c r="P13" s="17">
        <f>(L13-G13)*J13</f>
        <v>-891978.10915292357</v>
      </c>
      <c r="Q13" s="53">
        <f>(I13-B13/1.1)*J13</f>
        <v>-18652.29333504743</v>
      </c>
      <c r="R13" s="53">
        <f>P13-Q13</f>
        <v>-873325.81581787614</v>
      </c>
      <c r="S13" s="53"/>
    </row>
    <row r="14" spans="1:19">
      <c r="A14" s="61"/>
      <c r="B14" s="72"/>
      <c r="C14" s="72"/>
      <c r="D14" s="124"/>
      <c r="E14" s="124"/>
      <c r="F14" s="72"/>
      <c r="G14" s="61"/>
      <c r="H14" s="61"/>
      <c r="I14" s="55"/>
      <c r="L14" s="55"/>
      <c r="M14" s="55"/>
      <c r="O14" s="17"/>
      <c r="P14" s="17"/>
    </row>
    <row r="15" spans="1:19">
      <c r="A15" s="61" t="s">
        <v>329</v>
      </c>
      <c r="B15" s="72">
        <v>1.4025101604256474</v>
      </c>
      <c r="C15" s="72">
        <f>1.1*B15</f>
        <v>1.5427611764682123</v>
      </c>
      <c r="D15" s="124"/>
      <c r="E15" s="124">
        <v>1211971</v>
      </c>
      <c r="F15" s="72">
        <f>C15</f>
        <v>1.5427611764682123</v>
      </c>
      <c r="G15" s="123">
        <f>F15*F$20</f>
        <v>1.3884850588213911</v>
      </c>
      <c r="H15" s="123"/>
      <c r="I15" s="55">
        <f>('Summary Exhibit 3'!S17+'Summary Exhibit 3'!W17)/('Summary Exhibit 3'!S16+'Summary Exhibit 3'!W16)+J33</f>
        <v>0.71827102179299585</v>
      </c>
      <c r="J15" s="17">
        <f>'Summary Exhibit 3'!K34+'Summary Exhibit 3'!S34+'Summary Exhibit 3'!W34</f>
        <v>3057757.1020855838</v>
      </c>
      <c r="K15" s="17"/>
      <c r="L15" s="55">
        <f>('Summary Exhibit 3'!S35+'Summary Exhibit 3'!K35)/J15+L33</f>
        <v>0.83411813779423294</v>
      </c>
      <c r="M15" s="55"/>
      <c r="N15" s="22"/>
      <c r="O15" s="17"/>
      <c r="P15" s="17">
        <f>(L15-G15)*J15</f>
        <v>-1695119.3899321107</v>
      </c>
      <c r="Q15" s="53">
        <f>(I15-B15/1.1)*J15</f>
        <v>-1702370.2307890288</v>
      </c>
      <c r="R15" s="53">
        <f>P15-Q15</f>
        <v>7250.8408569181338</v>
      </c>
      <c r="S15" s="53"/>
    </row>
    <row r="16" spans="1:19">
      <c r="A16" s="61" t="s">
        <v>478</v>
      </c>
      <c r="B16" s="72">
        <v>1.776333596518447</v>
      </c>
      <c r="C16" s="72">
        <f>1.1*B16</f>
        <v>1.9539669561702919</v>
      </c>
      <c r="D16" s="124"/>
      <c r="E16" s="124">
        <v>1015300</v>
      </c>
      <c r="F16" s="72">
        <f>C16</f>
        <v>1.9539669561702919</v>
      </c>
      <c r="G16" s="123">
        <f>F16*F$20</f>
        <v>1.7585702605532627</v>
      </c>
      <c r="H16" s="123"/>
      <c r="I16" s="55">
        <f>('Summary Exhibit 3'!U17/'Summary Exhibit 3'!U16)+J33</f>
        <v>1.2575796814227249</v>
      </c>
      <c r="J16" s="17">
        <f>'Summary Exhibit 3'!M34+'Summary Exhibit 3'!U34</f>
        <v>1742553.8844009356</v>
      </c>
      <c r="K16" s="17"/>
      <c r="L16" s="55">
        <f>('Summary Exhibit 3'!M35+'Summary Exhibit 3'!U35)/J16+L33</f>
        <v>1.2172476177707325</v>
      </c>
      <c r="M16" s="55"/>
      <c r="N16" s="22"/>
      <c r="O16" s="17"/>
      <c r="P16" s="17">
        <f>(L16-G16)*J16</f>
        <v>-943283.87389487808</v>
      </c>
      <c r="Q16" s="53">
        <f>(I16-B16/1.1)*J16</f>
        <v>-622560.55810687039</v>
      </c>
      <c r="R16" s="53">
        <f>P16-Q16</f>
        <v>-320723.31578800769</v>
      </c>
      <c r="S16" s="53"/>
    </row>
    <row r="17" spans="1:19">
      <c r="A17" s="61"/>
      <c r="B17" s="61"/>
      <c r="C17" s="72"/>
      <c r="D17" s="125"/>
      <c r="E17" s="125"/>
      <c r="F17" s="72"/>
      <c r="G17" s="61"/>
      <c r="H17" s="61"/>
      <c r="I17" s="55"/>
      <c r="L17" s="55"/>
      <c r="M17" s="55"/>
    </row>
    <row r="18" spans="1:19">
      <c r="A18" s="61" t="s">
        <v>0</v>
      </c>
      <c r="B18" s="84"/>
      <c r="C18" s="72"/>
      <c r="D18" s="126"/>
      <c r="E18" s="126">
        <f>SUM(E12:E17)</f>
        <v>21174965</v>
      </c>
      <c r="F18" s="127">
        <f>SUMPRODUCT(E12:E16,$C12:$C16)/SUM($E12:$E16)</f>
        <v>1.0158185788989964</v>
      </c>
      <c r="G18" s="123">
        <f>SUMPRODUCT(G12:G16,E12:E16)/SUM(E12:E16)</f>
        <v>0.91423672100909681</v>
      </c>
      <c r="H18" s="123"/>
      <c r="I18" s="128"/>
      <c r="J18" s="129">
        <f>SUM(J12:J17)</f>
        <v>27212094.379999995</v>
      </c>
      <c r="K18" s="129"/>
      <c r="L18" s="128">
        <f>SUMPRODUCT(J12:J16,$L12:$L16)/SUM($J12:$J16)</f>
        <v>0.9271365076601934</v>
      </c>
      <c r="M18" s="128"/>
      <c r="N18" s="130">
        <f>(L18-G18)*J18</f>
        <v>351030.21183150448</v>
      </c>
      <c r="O18" s="17">
        <f>(L22-F22)*J18</f>
        <v>1146274.1497640782</v>
      </c>
      <c r="P18" s="129">
        <f>SUM(P12:P17)</f>
        <v>-795243.93793257501</v>
      </c>
      <c r="Q18" s="129">
        <f>SUM(Q12:Q17)</f>
        <v>-143568.44497273001</v>
      </c>
      <c r="R18" s="129">
        <f>SUM(R12:R17)</f>
        <v>-651675.49295984511</v>
      </c>
      <c r="S18" s="129"/>
    </row>
    <row r="19" spans="1:19">
      <c r="A19" s="61"/>
      <c r="B19" s="61"/>
      <c r="C19" s="61"/>
      <c r="D19" s="61"/>
      <c r="E19" s="61"/>
      <c r="F19" s="61"/>
      <c r="G19" s="61"/>
      <c r="H19" s="61"/>
      <c r="L19" s="55"/>
      <c r="M19" s="55"/>
    </row>
    <row r="20" spans="1:19">
      <c r="A20" s="61" t="s">
        <v>809</v>
      </c>
      <c r="B20" s="61"/>
      <c r="C20" s="61"/>
      <c r="D20" s="61"/>
      <c r="E20" s="61"/>
      <c r="F20" s="127">
        <v>0.9</v>
      </c>
      <c r="G20" s="61"/>
      <c r="H20" s="61"/>
      <c r="J20" s="55"/>
      <c r="L20" s="55"/>
      <c r="M20" s="55"/>
      <c r="N20" s="76"/>
      <c r="P20" s="17"/>
    </row>
    <row r="21" spans="1:19">
      <c r="A21" s="61"/>
      <c r="B21" s="61"/>
      <c r="C21" s="61"/>
      <c r="D21" s="61"/>
      <c r="E21" s="61"/>
      <c r="F21" s="61"/>
      <c r="G21" s="61"/>
      <c r="H21" s="61"/>
      <c r="L21" s="55"/>
      <c r="M21" s="55"/>
    </row>
    <row r="22" spans="1:19">
      <c r="A22" s="61" t="s">
        <v>810</v>
      </c>
      <c r="B22" s="61"/>
      <c r="C22" s="61"/>
      <c r="D22" s="61"/>
      <c r="E22" s="61"/>
      <c r="F22" s="131">
        <f>F18*F20</f>
        <v>0.91423672100909681</v>
      </c>
      <c r="G22" s="61"/>
      <c r="H22" s="61"/>
      <c r="I22" s="1" t="s">
        <v>831</v>
      </c>
      <c r="L22" s="55">
        <f>SUMPRODUCT(G$12:G$16,J$12:J$16)/(SUM(J$12:J$16)*1)</f>
        <v>0.9563604228365663</v>
      </c>
    </row>
    <row r="23" spans="1:19">
      <c r="I23" s="132"/>
      <c r="L23" s="53"/>
      <c r="M23" s="53"/>
    </row>
    <row r="26" spans="1:19">
      <c r="M26" s="6"/>
    </row>
    <row r="27" spans="1:19">
      <c r="M27" s="79"/>
    </row>
    <row r="29" spans="1:19">
      <c r="I29" s="1" t="s">
        <v>832</v>
      </c>
    </row>
    <row r="30" spans="1:19">
      <c r="I30" s="1" t="s">
        <v>869</v>
      </c>
    </row>
    <row r="31" spans="1:19">
      <c r="I31" s="6"/>
    </row>
    <row r="32" spans="1:19">
      <c r="J32" s="6" t="s">
        <v>870</v>
      </c>
      <c r="K32" s="6"/>
      <c r="L32" s="6" t="s">
        <v>871</v>
      </c>
    </row>
    <row r="33" spans="10:12">
      <c r="J33" s="79">
        <f>'Exhibit C,1'!I34</f>
        <v>3.6999999999999998E-2</v>
      </c>
      <c r="K33" s="79"/>
      <c r="L33" s="79">
        <f>J33*'Summary Exhibit 3'!AC17/'Summary Exhibit 3'!AA34</f>
        <v>3.5830250059202484E-2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Sheet96">
    <tabColor rgb="FFFF0000"/>
    <pageSetUpPr fitToPage="1"/>
  </sheetPr>
  <dimension ref="A1:S44"/>
  <sheetViews>
    <sheetView topLeftCell="A4" zoomScale="75" zoomScaleNormal="75" workbookViewId="0">
      <selection activeCell="A6" sqref="A6"/>
    </sheetView>
  </sheetViews>
  <sheetFormatPr baseColWidth="10" defaultColWidth="8.7109375" defaultRowHeight="15"/>
  <cols>
    <col min="1" max="1" width="9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2.7109375" style="1" customWidth="1"/>
    <col min="12" max="12" width="1.7109375" style="1" customWidth="1"/>
    <col min="13" max="13" width="12.7109375" style="1" customWidth="1"/>
    <col min="14" max="14" width="8.7109375" style="1"/>
    <col min="15" max="15" width="12.7109375" style="1" customWidth="1"/>
    <col min="16" max="16384" width="8.7109375" style="1"/>
  </cols>
  <sheetData>
    <row r="1" spans="1:19">
      <c r="M1" s="3" t="s">
        <v>114</v>
      </c>
    </row>
    <row r="2" spans="1:19">
      <c r="M2" s="3" t="s">
        <v>45</v>
      </c>
    </row>
    <row r="4" spans="1:19" ht="16">
      <c r="A4" s="4"/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19" ht="16">
      <c r="G5" s="51" t="s">
        <v>872</v>
      </c>
    </row>
    <row r="6" spans="1:19">
      <c r="B6" s="5"/>
      <c r="C6" s="5"/>
      <c r="D6" s="5"/>
      <c r="E6" s="5"/>
      <c r="F6" s="5"/>
      <c r="G6" s="6" t="s">
        <v>110</v>
      </c>
      <c r="H6" s="5"/>
      <c r="I6" s="5"/>
      <c r="J6" s="5"/>
      <c r="K6" s="5"/>
      <c r="L6" s="5"/>
      <c r="M6" s="5"/>
    </row>
    <row r="7" spans="1:19">
      <c r="A7" s="5" t="s">
        <v>355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19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9">
      <c r="A9" s="5"/>
      <c r="B9" s="5"/>
      <c r="C9" s="5"/>
      <c r="D9" s="5"/>
      <c r="E9" s="5"/>
      <c r="F9" s="5"/>
      <c r="G9" s="25" t="s">
        <v>876</v>
      </c>
      <c r="H9" s="5"/>
      <c r="I9" s="5"/>
      <c r="J9" s="5"/>
      <c r="K9" s="5"/>
      <c r="L9" s="5"/>
      <c r="M9" s="5"/>
    </row>
    <row r="10" spans="1:19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</row>
    <row r="12" spans="1:19">
      <c r="C12" s="7" t="s">
        <v>332</v>
      </c>
      <c r="D12" s="8"/>
      <c r="E12" s="8"/>
      <c r="G12" s="5"/>
      <c r="M12" s="2" t="s">
        <v>7</v>
      </c>
      <c r="R12" s="61" t="s">
        <v>550</v>
      </c>
      <c r="S12" s="61" t="s">
        <v>551</v>
      </c>
    </row>
    <row r="13" spans="1:19">
      <c r="A13" s="6" t="s">
        <v>3</v>
      </c>
      <c r="E13" s="2" t="s">
        <v>356</v>
      </c>
      <c r="G13" s="2" t="s">
        <v>357</v>
      </c>
      <c r="I13" s="7" t="s">
        <v>333</v>
      </c>
      <c r="J13" s="8"/>
      <c r="K13" s="8"/>
      <c r="M13" s="2" t="s">
        <v>331</v>
      </c>
      <c r="R13" s="61" t="s">
        <v>492</v>
      </c>
      <c r="S13" s="61" t="s">
        <v>552</v>
      </c>
    </row>
    <row r="14" spans="1:19">
      <c r="A14" s="6" t="s">
        <v>4</v>
      </c>
      <c r="C14" s="2" t="s">
        <v>505</v>
      </c>
      <c r="E14" s="2" t="s">
        <v>138</v>
      </c>
      <c r="F14" s="2"/>
      <c r="G14" s="2" t="s">
        <v>348</v>
      </c>
      <c r="I14" s="2" t="s">
        <v>505</v>
      </c>
      <c r="K14" s="2" t="s">
        <v>227</v>
      </c>
      <c r="M14" s="2" t="s">
        <v>55</v>
      </c>
      <c r="R14" s="61" t="s">
        <v>22</v>
      </c>
      <c r="S14" s="61" t="s">
        <v>553</v>
      </c>
    </row>
    <row r="15" spans="1:19">
      <c r="A15" s="106" t="s">
        <v>27</v>
      </c>
      <c r="C15" s="106" t="s">
        <v>33</v>
      </c>
      <c r="E15" s="106" t="s">
        <v>36</v>
      </c>
      <c r="F15" s="6"/>
      <c r="G15" s="106" t="s">
        <v>38</v>
      </c>
      <c r="I15" s="118" t="s">
        <v>40</v>
      </c>
      <c r="K15" s="118" t="s">
        <v>42</v>
      </c>
      <c r="M15" s="118" t="s">
        <v>30</v>
      </c>
      <c r="R15" s="61"/>
      <c r="S15" s="61"/>
    </row>
    <row r="16" spans="1:19">
      <c r="A16" s="6" t="s">
        <v>2</v>
      </c>
      <c r="M16" s="66">
        <v>0</v>
      </c>
      <c r="R16" s="72"/>
      <c r="S16" s="61"/>
    </row>
    <row r="17" spans="1:19">
      <c r="A17" s="6">
        <v>2016</v>
      </c>
      <c r="C17" s="19">
        <f>'Exhibit U,7'!Q27</f>
        <v>7006078.1762927808</v>
      </c>
      <c r="D17" s="19"/>
      <c r="E17" s="19">
        <f>'Exhibit K,1'!M40</f>
        <v>2156293.8228217755</v>
      </c>
      <c r="F17" s="19"/>
      <c r="G17" s="74">
        <f>'Exhibit P,2'!I42</f>
        <v>0.39808721008396869</v>
      </c>
      <c r="I17" s="74">
        <f>1-'Exhibit Q,10'!K$35</f>
        <v>2.9126213592232997E-2</v>
      </c>
      <c r="K17" s="119">
        <f>1-S17</f>
        <v>6.4942467829236517E-3</v>
      </c>
      <c r="M17" s="20">
        <f>C17*I17+E17*G17*K17+E17*(1-G17)*I17</f>
        <v>247438.08215232191</v>
      </c>
      <c r="R17" s="72">
        <f>'Exhibit Q,9'!K$37</f>
        <v>1</v>
      </c>
      <c r="S17" s="72">
        <f>R17*0.5+R18*0.5</f>
        <v>0.99350575321707635</v>
      </c>
    </row>
    <row r="18" spans="1:19">
      <c r="A18" s="6">
        <f>A17+1</f>
        <v>2017</v>
      </c>
      <c r="C18" s="20">
        <f>'Exhibit U,7'!Q28</f>
        <v>6712613.7859857585</v>
      </c>
      <c r="E18" s="20">
        <f>'Exhibit K,1'!M41</f>
        <v>3062320.1343217399</v>
      </c>
      <c r="F18" s="18"/>
      <c r="G18" s="74">
        <f>'Exhibit P,2'!I43</f>
        <v>0.75166691860035484</v>
      </c>
      <c r="I18" s="74">
        <f>1-'Exhibit Q,10'!I$35</f>
        <v>0.15576192486281126</v>
      </c>
      <c r="J18" s="74"/>
      <c r="K18" s="119">
        <f>1-S18</f>
        <v>2.5722310787266167E-2</v>
      </c>
      <c r="M18" s="20">
        <f>C18*I18+E18*G18*K18+E18*(1-G18)*I18</f>
        <v>1223231.5212951445</v>
      </c>
      <c r="R18" s="72">
        <f>'Exhibit Q,9'!I$37</f>
        <v>0.9870115064341527</v>
      </c>
      <c r="S18" s="72">
        <f>R18*0.5+R19*0.5</f>
        <v>0.97427768921273383</v>
      </c>
    </row>
    <row r="19" spans="1:19">
      <c r="A19" s="6">
        <f>A18+1</f>
        <v>2018</v>
      </c>
      <c r="C19" s="20">
        <f>'Exhibit U,7'!Q29</f>
        <v>6369884.1204675306</v>
      </c>
      <c r="E19" s="20">
        <f>'Exhibit K,1'!M42</f>
        <v>1265041.6896571</v>
      </c>
      <c r="F19" s="18"/>
      <c r="G19" s="74">
        <f>'Exhibit P,2'!I44</f>
        <v>0.76707693639723784</v>
      </c>
      <c r="I19" s="74">
        <f>1-'Exhibit Q,10'!G$35</f>
        <v>0.35058609604831636</v>
      </c>
      <c r="J19" s="74"/>
      <c r="K19" s="119">
        <f>1-S19</f>
        <v>7.9880756224530725E-2</v>
      </c>
      <c r="M19" s="20">
        <f>C19*I19+E19*G19*K19+E19*(1-G19)*I19</f>
        <v>2414010.6206927579</v>
      </c>
      <c r="R19" s="72">
        <f>'Exhibit Q,9'!G$37</f>
        <v>0.96154387199131497</v>
      </c>
      <c r="S19" s="72">
        <f>R19*0.5+R20*0.5</f>
        <v>0.92011924377546928</v>
      </c>
    </row>
    <row r="20" spans="1:19">
      <c r="A20" s="6">
        <f>A19+1</f>
        <v>2019</v>
      </c>
      <c r="C20" s="20">
        <f>'Exhibit U,7'!Q30</f>
        <v>5015175.93877168</v>
      </c>
      <c r="E20" s="20">
        <f>'Exhibit K,1'!M43</f>
        <v>851749.687957132</v>
      </c>
      <c r="F20" s="18"/>
      <c r="G20" s="74">
        <f>'Exhibit P,2'!I45</f>
        <v>0.76707693639723784</v>
      </c>
      <c r="I20" s="74">
        <f>1-'Exhibit Q,10'!E$35</f>
        <v>0.58102328777310741</v>
      </c>
      <c r="J20" s="74"/>
      <c r="K20" s="119">
        <f>1-S20</f>
        <v>0.30662023346936096</v>
      </c>
      <c r="M20" s="20">
        <f>C20*I20+E20*G20*K20+E20*(1-G20)*I20</f>
        <v>3229537.111900365</v>
      </c>
      <c r="R20" s="72">
        <f>'Exhibit Q,9'!E$37</f>
        <v>0.87869461555962358</v>
      </c>
      <c r="S20" s="72">
        <f>R20*0.5+R21*0.5</f>
        <v>0.69337976653063904</v>
      </c>
    </row>
    <row r="21" spans="1:19">
      <c r="A21" s="6">
        <f>A20+1</f>
        <v>2020</v>
      </c>
      <c r="C21" s="20">
        <f>'Exhibit U,7'!Q31</f>
        <v>3621932.1370738312</v>
      </c>
      <c r="E21" s="20">
        <f>'Exhibit K,1'!M44</f>
        <v>3101891.6849870766</v>
      </c>
      <c r="F21" s="18"/>
      <c r="G21" s="74">
        <f>'Exhibit P,2'!I46</f>
        <v>0.90808645595545001</v>
      </c>
      <c r="I21" s="74">
        <f>1-'Exhibit Q,10'!C$35</f>
        <v>0.83240931510924288</v>
      </c>
      <c r="J21" s="74"/>
      <c r="K21" s="119">
        <f>1-S21</f>
        <v>0.74596754124917275</v>
      </c>
      <c r="M21" s="20">
        <f>C21*I21+E21*G21*K21+E21*(1-G21)*I21</f>
        <v>5353485.6191690844</v>
      </c>
      <c r="R21" s="72">
        <f>'Exhibit Q,9'!C37</f>
        <v>0.5080649175016545</v>
      </c>
      <c r="S21" s="72">
        <f>R21*0.5+R22*0.5</f>
        <v>0.25403245875082725</v>
      </c>
    </row>
    <row r="22" spans="1:19">
      <c r="A22" s="6"/>
      <c r="K22" s="120"/>
      <c r="M22" s="105"/>
    </row>
    <row r="23" spans="1:19">
      <c r="A23" s="6" t="s">
        <v>0</v>
      </c>
      <c r="C23" s="19">
        <f>SUM(C17:C22)</f>
        <v>28725684.15859158</v>
      </c>
      <c r="E23" s="19">
        <f>SUM(E17:E22)</f>
        <v>10437297.019744825</v>
      </c>
      <c r="M23" s="26">
        <f>SUM(M16:M22)</f>
        <v>12467702.955209672</v>
      </c>
      <c r="O23" s="26"/>
    </row>
    <row r="25" spans="1:19">
      <c r="A25" s="3" t="s">
        <v>454</v>
      </c>
      <c r="M25" s="19">
        <f>'Exhibit A,S2'!K47</f>
        <v>155291757.49922499</v>
      </c>
      <c r="O25" s="19"/>
    </row>
    <row r="27" spans="1:19">
      <c r="A27" s="3" t="s">
        <v>436</v>
      </c>
      <c r="M27" s="19">
        <f>'AF21'!Y66+'AF31'!Y66</f>
        <v>0</v>
      </c>
      <c r="O27" s="19"/>
    </row>
    <row r="29" spans="1:19">
      <c r="A29" s="3" t="s">
        <v>437</v>
      </c>
      <c r="M29" s="19">
        <f>M25-M27</f>
        <v>155291757.49922499</v>
      </c>
      <c r="O29" s="19"/>
    </row>
    <row r="31" spans="1:19">
      <c r="A31" s="3" t="s">
        <v>438</v>
      </c>
      <c r="M31" s="74">
        <f>M23/M29</f>
        <v>8.0285671023279478E-2</v>
      </c>
      <c r="O31" s="74"/>
    </row>
    <row r="35" spans="1:17">
      <c r="A35" s="64" t="s">
        <v>104</v>
      </c>
      <c r="C35" s="3" t="s">
        <v>173</v>
      </c>
    </row>
    <row r="36" spans="1:17">
      <c r="A36" s="64" t="s">
        <v>36</v>
      </c>
      <c r="C36" s="3" t="s">
        <v>241</v>
      </c>
    </row>
    <row r="37" spans="1:17">
      <c r="A37" s="64" t="s">
        <v>38</v>
      </c>
      <c r="C37" s="3" t="s">
        <v>442</v>
      </c>
    </row>
    <row r="38" spans="1:17">
      <c r="A38" s="64" t="s">
        <v>40</v>
      </c>
      <c r="C38" s="3" t="s">
        <v>410</v>
      </c>
    </row>
    <row r="39" spans="1:17">
      <c r="A39" s="64" t="s">
        <v>42</v>
      </c>
      <c r="C39" s="3" t="s">
        <v>411</v>
      </c>
      <c r="Q39" s="61"/>
    </row>
    <row r="40" spans="1:17">
      <c r="A40" s="64" t="s">
        <v>30</v>
      </c>
      <c r="C40" s="3" t="s">
        <v>446</v>
      </c>
    </row>
    <row r="41" spans="1:17">
      <c r="A41" s="64" t="s">
        <v>31</v>
      </c>
      <c r="C41" s="3" t="s">
        <v>441</v>
      </c>
    </row>
    <row r="42" spans="1:17">
      <c r="A42" s="64" t="s">
        <v>103</v>
      </c>
      <c r="C42" s="3" t="s">
        <v>443</v>
      </c>
    </row>
    <row r="43" spans="1:17">
      <c r="A43" s="64" t="s">
        <v>106</v>
      </c>
      <c r="C43" s="3" t="s">
        <v>440</v>
      </c>
    </row>
    <row r="44" spans="1:17">
      <c r="A44" s="64" t="s">
        <v>108</v>
      </c>
      <c r="C44" s="3" t="s">
        <v>439</v>
      </c>
    </row>
  </sheetData>
  <printOptions horizontalCentered="1" verticalCentered="1"/>
  <pageMargins left="0.7" right="0.7" top="0.75" bottom="0.75" header="0.3" footer="0.3"/>
  <pageSetup scale="79" orientation="portrait" blackAndWhite="1" r:id="rId1"/>
  <headerFooter>
    <oddFooter>&amp;L&amp;6&amp;Z&amp;F
&amp;A</oddFooter>
  </headerFooter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Sheet97">
    <tabColor rgb="FFFF0000"/>
    <pageSetUpPr fitToPage="1"/>
  </sheetPr>
  <dimension ref="A1:AA56"/>
  <sheetViews>
    <sheetView topLeftCell="A5" zoomScale="75" zoomScaleNormal="75" workbookViewId="0">
      <selection activeCell="A6" sqref="A6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0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2.7109375" style="1" customWidth="1"/>
    <col min="12" max="12" width="1.7109375" style="1" customWidth="1"/>
    <col min="13" max="13" width="10.7109375" style="1" customWidth="1"/>
    <col min="14" max="16384" width="8.7109375" style="1"/>
  </cols>
  <sheetData>
    <row r="1" spans="1:27">
      <c r="M1" s="1" t="s">
        <v>135</v>
      </c>
    </row>
    <row r="2" spans="1:27">
      <c r="M2" s="3" t="s">
        <v>258</v>
      </c>
    </row>
    <row r="4" spans="1:27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6" spans="1:27">
      <c r="A6" s="5" t="s">
        <v>471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27">
      <c r="A7" s="5" t="s">
        <v>268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27">
      <c r="G8" s="61" t="s">
        <v>875</v>
      </c>
    </row>
    <row r="10" spans="1:27">
      <c r="A10" s="6"/>
      <c r="B10" s="6"/>
      <c r="C10" s="5" t="s">
        <v>21</v>
      </c>
      <c r="D10" s="5"/>
      <c r="E10" s="5"/>
      <c r="F10" s="5"/>
      <c r="G10" s="5"/>
      <c r="H10" s="6"/>
      <c r="I10" s="5" t="s">
        <v>24</v>
      </c>
      <c r="J10" s="5"/>
      <c r="K10" s="5"/>
      <c r="L10" s="5"/>
      <c r="M10" s="5"/>
    </row>
    <row r="11" spans="1:27">
      <c r="A11" s="6" t="s">
        <v>6</v>
      </c>
      <c r="C11" s="105"/>
      <c r="D11" s="105"/>
      <c r="E11" s="105"/>
      <c r="F11" s="105"/>
      <c r="G11" s="106" t="s">
        <v>18</v>
      </c>
      <c r="I11" s="105"/>
      <c r="J11" s="105"/>
      <c r="K11" s="105"/>
      <c r="L11" s="105"/>
      <c r="M11" s="106" t="s">
        <v>18</v>
      </c>
    </row>
    <row r="12" spans="1:27">
      <c r="A12" s="6" t="s">
        <v>4</v>
      </c>
      <c r="B12" s="6"/>
      <c r="C12" s="107" t="s">
        <v>497</v>
      </c>
      <c r="D12" s="6"/>
      <c r="E12" s="108">
        <v>44196</v>
      </c>
      <c r="F12" s="6"/>
      <c r="G12" s="6" t="s">
        <v>133</v>
      </c>
      <c r="H12" s="6"/>
      <c r="I12" s="107" t="s">
        <v>497</v>
      </c>
      <c r="J12" s="6"/>
      <c r="K12" s="108">
        <v>44196</v>
      </c>
      <c r="L12" s="6"/>
      <c r="M12" s="6" t="s">
        <v>136</v>
      </c>
    </row>
    <row r="13" spans="1:27">
      <c r="A13" s="106" t="s">
        <v>27</v>
      </c>
      <c r="B13" s="6"/>
      <c r="C13" s="106" t="s">
        <v>33</v>
      </c>
      <c r="D13" s="6"/>
      <c r="E13" s="110" t="s">
        <v>36</v>
      </c>
      <c r="F13" s="6"/>
      <c r="G13" s="106" t="s">
        <v>38</v>
      </c>
      <c r="H13" s="6"/>
      <c r="I13" s="106" t="s">
        <v>40</v>
      </c>
      <c r="J13" s="6"/>
      <c r="K13" s="110" t="s">
        <v>42</v>
      </c>
      <c r="L13" s="6"/>
      <c r="M13" s="106" t="s">
        <v>30</v>
      </c>
    </row>
    <row r="14" spans="1:27">
      <c r="E14" s="111"/>
      <c r="K14" s="111"/>
    </row>
    <row r="15" spans="1:27">
      <c r="A15" s="6">
        <v>1992</v>
      </c>
      <c r="C15" s="19"/>
      <c r="D15" s="19"/>
      <c r="E15" s="19"/>
      <c r="F15" s="19"/>
      <c r="G15" s="19">
        <f>E15-C15</f>
        <v>0</v>
      </c>
      <c r="H15" s="19"/>
      <c r="I15" s="19"/>
      <c r="J15" s="19"/>
      <c r="K15" s="19"/>
      <c r="M15" s="19">
        <f>K15-I15</f>
        <v>0</v>
      </c>
      <c r="Z15" s="19"/>
      <c r="AA15" s="19"/>
    </row>
    <row r="16" spans="1:27">
      <c r="A16" s="6">
        <f>A15+1</f>
        <v>1993</v>
      </c>
      <c r="C16" s="18"/>
      <c r="E16" s="18"/>
      <c r="G16" s="20">
        <f t="shared" ref="G16:H43" si="0">E16-C16</f>
        <v>0</v>
      </c>
      <c r="H16" s="20">
        <f t="shared" si="0"/>
        <v>0</v>
      </c>
      <c r="I16" s="18"/>
      <c r="K16" s="18"/>
      <c r="M16" s="20">
        <f t="shared" ref="M16:M43" si="1">K16-I16</f>
        <v>0</v>
      </c>
      <c r="Z16" s="18"/>
      <c r="AA16" s="18"/>
    </row>
    <row r="17" spans="1:27">
      <c r="A17" s="6">
        <f t="shared" ref="A17:A43" si="2">A16+1</f>
        <v>1994</v>
      </c>
      <c r="C17" s="18"/>
      <c r="E17" s="18"/>
      <c r="G17" s="20">
        <f t="shared" si="0"/>
        <v>0</v>
      </c>
      <c r="H17" s="20">
        <f t="shared" si="0"/>
        <v>0</v>
      </c>
      <c r="I17" s="18"/>
      <c r="K17" s="18"/>
      <c r="M17" s="20">
        <f t="shared" si="1"/>
        <v>0</v>
      </c>
      <c r="Z17" s="18"/>
      <c r="AA17" s="18"/>
    </row>
    <row r="18" spans="1:27">
      <c r="A18" s="6">
        <f t="shared" si="2"/>
        <v>1995</v>
      </c>
      <c r="C18" s="18"/>
      <c r="E18" s="18"/>
      <c r="G18" s="20">
        <f t="shared" si="0"/>
        <v>0</v>
      </c>
      <c r="H18" s="20">
        <f t="shared" si="0"/>
        <v>0</v>
      </c>
      <c r="I18" s="18"/>
      <c r="K18" s="18"/>
      <c r="M18" s="20">
        <f t="shared" si="1"/>
        <v>0</v>
      </c>
      <c r="Z18" s="18"/>
      <c r="AA18" s="18"/>
    </row>
    <row r="19" spans="1:27">
      <c r="A19" s="6">
        <f t="shared" si="2"/>
        <v>1996</v>
      </c>
      <c r="C19" s="18"/>
      <c r="E19" s="18"/>
      <c r="G19" s="20">
        <f t="shared" si="0"/>
        <v>0</v>
      </c>
      <c r="H19" s="20">
        <f t="shared" si="0"/>
        <v>0</v>
      </c>
      <c r="I19" s="18"/>
      <c r="K19" s="18"/>
      <c r="M19" s="20">
        <f t="shared" si="1"/>
        <v>0</v>
      </c>
      <c r="Z19" s="18"/>
      <c r="AA19" s="18"/>
    </row>
    <row r="20" spans="1:27">
      <c r="A20" s="6">
        <f t="shared" si="2"/>
        <v>1997</v>
      </c>
      <c r="C20" s="18"/>
      <c r="E20" s="18"/>
      <c r="G20" s="20">
        <f t="shared" si="0"/>
        <v>0</v>
      </c>
      <c r="H20" s="20">
        <f t="shared" si="0"/>
        <v>0</v>
      </c>
      <c r="I20" s="18"/>
      <c r="K20" s="18"/>
      <c r="M20" s="20">
        <f t="shared" si="1"/>
        <v>0</v>
      </c>
      <c r="Z20" s="18"/>
      <c r="AA20" s="18"/>
    </row>
    <row r="21" spans="1:27">
      <c r="A21" s="6">
        <f t="shared" si="2"/>
        <v>1998</v>
      </c>
      <c r="C21" s="18"/>
      <c r="E21" s="18"/>
      <c r="G21" s="20">
        <f t="shared" si="0"/>
        <v>0</v>
      </c>
      <c r="H21" s="20">
        <f t="shared" si="0"/>
        <v>0</v>
      </c>
      <c r="I21" s="18"/>
      <c r="K21" s="18"/>
      <c r="M21" s="20">
        <f t="shared" si="1"/>
        <v>0</v>
      </c>
      <c r="Z21" s="18"/>
      <c r="AA21" s="18"/>
    </row>
    <row r="22" spans="1:27">
      <c r="A22" s="6">
        <f t="shared" si="2"/>
        <v>1999</v>
      </c>
      <c r="C22" s="18"/>
      <c r="E22" s="18"/>
      <c r="G22" s="20">
        <f t="shared" si="0"/>
        <v>0</v>
      </c>
      <c r="H22" s="20">
        <f t="shared" si="0"/>
        <v>0</v>
      </c>
      <c r="I22" s="18"/>
      <c r="K22" s="18"/>
      <c r="M22" s="20">
        <f t="shared" si="1"/>
        <v>0</v>
      </c>
      <c r="Z22" s="18"/>
      <c r="AA22" s="18"/>
    </row>
    <row r="23" spans="1:27">
      <c r="A23" s="6">
        <f t="shared" si="2"/>
        <v>2000</v>
      </c>
      <c r="C23" s="18"/>
      <c r="E23" s="18"/>
      <c r="G23" s="20">
        <f t="shared" si="0"/>
        <v>0</v>
      </c>
      <c r="H23" s="20">
        <f t="shared" si="0"/>
        <v>0</v>
      </c>
      <c r="I23" s="18"/>
      <c r="K23" s="18"/>
      <c r="M23" s="20">
        <f t="shared" si="1"/>
        <v>0</v>
      </c>
      <c r="Z23" s="18"/>
      <c r="AA23" s="18"/>
    </row>
    <row r="24" spans="1:27">
      <c r="A24" s="6">
        <f t="shared" si="2"/>
        <v>2001</v>
      </c>
      <c r="C24" s="18"/>
      <c r="E24" s="18"/>
      <c r="G24" s="20">
        <f t="shared" si="0"/>
        <v>0</v>
      </c>
      <c r="H24" s="20">
        <f t="shared" si="0"/>
        <v>0</v>
      </c>
      <c r="I24" s="18"/>
      <c r="K24" s="18"/>
      <c r="M24" s="20">
        <f t="shared" si="1"/>
        <v>0</v>
      </c>
      <c r="Z24" s="18"/>
      <c r="AA24" s="18"/>
    </row>
    <row r="25" spans="1:27">
      <c r="A25" s="6">
        <f t="shared" si="2"/>
        <v>2002</v>
      </c>
      <c r="C25" s="18"/>
      <c r="E25" s="18"/>
      <c r="G25" s="20">
        <f t="shared" si="0"/>
        <v>0</v>
      </c>
      <c r="H25" s="20">
        <f t="shared" si="0"/>
        <v>0</v>
      </c>
      <c r="I25" s="18"/>
      <c r="K25" s="18"/>
      <c r="M25" s="20">
        <f t="shared" si="1"/>
        <v>0</v>
      </c>
      <c r="Z25" s="18"/>
      <c r="AA25" s="18"/>
    </row>
    <row r="26" spans="1:27">
      <c r="A26" s="6">
        <f t="shared" si="2"/>
        <v>2003</v>
      </c>
      <c r="C26" s="18"/>
      <c r="E26" s="18"/>
      <c r="G26" s="20">
        <f t="shared" si="0"/>
        <v>0</v>
      </c>
      <c r="H26" s="20">
        <f t="shared" si="0"/>
        <v>0</v>
      </c>
      <c r="I26" s="18"/>
      <c r="K26" s="18"/>
      <c r="M26" s="20">
        <f t="shared" si="1"/>
        <v>0</v>
      </c>
      <c r="Z26" s="18"/>
      <c r="AA26" s="18"/>
    </row>
    <row r="27" spans="1:27">
      <c r="A27" s="6">
        <f t="shared" si="2"/>
        <v>2004</v>
      </c>
      <c r="C27" s="18"/>
      <c r="E27" s="18"/>
      <c r="G27" s="20">
        <f t="shared" si="0"/>
        <v>0</v>
      </c>
      <c r="H27" s="20">
        <f t="shared" si="0"/>
        <v>0</v>
      </c>
      <c r="I27" s="18"/>
      <c r="K27" s="18"/>
      <c r="M27" s="20">
        <f t="shared" si="1"/>
        <v>0</v>
      </c>
      <c r="Z27" s="18"/>
      <c r="AA27" s="18"/>
    </row>
    <row r="28" spans="1:27">
      <c r="A28" s="6">
        <f t="shared" si="2"/>
        <v>2005</v>
      </c>
      <c r="C28" s="18"/>
      <c r="E28" s="18"/>
      <c r="G28" s="20">
        <f t="shared" si="0"/>
        <v>0</v>
      </c>
      <c r="H28" s="20">
        <f t="shared" si="0"/>
        <v>0</v>
      </c>
      <c r="I28" s="18"/>
      <c r="K28" s="18"/>
      <c r="M28" s="20">
        <f t="shared" si="1"/>
        <v>0</v>
      </c>
      <c r="Z28" s="18"/>
      <c r="AA28" s="18"/>
    </row>
    <row r="29" spans="1:27">
      <c r="A29" s="6">
        <f t="shared" si="2"/>
        <v>2006</v>
      </c>
      <c r="C29" s="18"/>
      <c r="E29" s="18"/>
      <c r="G29" s="20">
        <f t="shared" si="0"/>
        <v>0</v>
      </c>
      <c r="H29" s="20">
        <f t="shared" si="0"/>
        <v>0</v>
      </c>
      <c r="I29" s="18"/>
      <c r="K29" s="18"/>
      <c r="M29" s="20">
        <f t="shared" si="1"/>
        <v>0</v>
      </c>
      <c r="Z29" s="18"/>
      <c r="AA29" s="18"/>
    </row>
    <row r="30" spans="1:27">
      <c r="A30" s="6">
        <f t="shared" si="2"/>
        <v>2007</v>
      </c>
      <c r="C30" s="18"/>
      <c r="E30" s="18"/>
      <c r="G30" s="20">
        <f t="shared" si="0"/>
        <v>0</v>
      </c>
      <c r="H30" s="20">
        <f t="shared" si="0"/>
        <v>0</v>
      </c>
      <c r="I30" s="18"/>
      <c r="K30" s="18"/>
      <c r="M30" s="20">
        <f t="shared" si="1"/>
        <v>0</v>
      </c>
      <c r="Z30" s="18"/>
      <c r="AA30" s="18"/>
    </row>
    <row r="31" spans="1:27">
      <c r="A31" s="6">
        <f t="shared" si="2"/>
        <v>2008</v>
      </c>
      <c r="C31" s="18"/>
      <c r="E31" s="18"/>
      <c r="G31" s="20">
        <f t="shared" si="0"/>
        <v>0</v>
      </c>
      <c r="H31" s="20">
        <f t="shared" si="0"/>
        <v>0</v>
      </c>
      <c r="I31" s="18"/>
      <c r="K31" s="18"/>
      <c r="M31" s="20">
        <f t="shared" si="1"/>
        <v>0</v>
      </c>
      <c r="Z31" s="18"/>
      <c r="AA31" s="18"/>
    </row>
    <row r="32" spans="1:27">
      <c r="A32" s="6">
        <f t="shared" si="2"/>
        <v>2009</v>
      </c>
      <c r="C32" s="18"/>
      <c r="E32" s="18"/>
      <c r="G32" s="20">
        <f t="shared" si="0"/>
        <v>0</v>
      </c>
      <c r="H32" s="20">
        <f t="shared" si="0"/>
        <v>0</v>
      </c>
      <c r="I32" s="18"/>
      <c r="K32" s="18"/>
      <c r="M32" s="20">
        <f t="shared" si="1"/>
        <v>0</v>
      </c>
      <c r="Z32" s="18"/>
      <c r="AA32" s="18"/>
    </row>
    <row r="33" spans="1:27">
      <c r="A33" s="6">
        <f t="shared" si="2"/>
        <v>2010</v>
      </c>
      <c r="C33" s="18"/>
      <c r="E33" s="18"/>
      <c r="G33" s="20">
        <f t="shared" si="0"/>
        <v>0</v>
      </c>
      <c r="H33" s="20">
        <f t="shared" si="0"/>
        <v>0</v>
      </c>
      <c r="I33" s="18"/>
      <c r="K33" s="18"/>
      <c r="M33" s="20">
        <f t="shared" si="1"/>
        <v>0</v>
      </c>
      <c r="Z33" s="18"/>
      <c r="AA33" s="18"/>
    </row>
    <row r="34" spans="1:27">
      <c r="A34" s="6">
        <f t="shared" si="2"/>
        <v>2011</v>
      </c>
      <c r="C34" s="18"/>
      <c r="E34" s="18"/>
      <c r="G34" s="20">
        <f t="shared" si="0"/>
        <v>0</v>
      </c>
      <c r="H34" s="20">
        <f t="shared" si="0"/>
        <v>0</v>
      </c>
      <c r="I34" s="18"/>
      <c r="K34" s="18"/>
      <c r="M34" s="20">
        <f t="shared" si="1"/>
        <v>0</v>
      </c>
      <c r="Z34" s="18"/>
      <c r="AA34" s="18"/>
    </row>
    <row r="35" spans="1:27">
      <c r="A35" s="6">
        <f t="shared" si="2"/>
        <v>2012</v>
      </c>
      <c r="C35" s="18"/>
      <c r="E35" s="18"/>
      <c r="G35" s="20">
        <f t="shared" si="0"/>
        <v>0</v>
      </c>
      <c r="H35" s="20">
        <f t="shared" si="0"/>
        <v>0</v>
      </c>
      <c r="I35" s="18"/>
      <c r="K35" s="18"/>
      <c r="M35" s="20">
        <f t="shared" si="1"/>
        <v>0</v>
      </c>
      <c r="Z35" s="18"/>
      <c r="AA35" s="18"/>
    </row>
    <row r="36" spans="1:27">
      <c r="A36" s="6">
        <f t="shared" si="2"/>
        <v>2013</v>
      </c>
      <c r="C36" s="18"/>
      <c r="E36" s="18"/>
      <c r="G36" s="20">
        <f t="shared" si="0"/>
        <v>0</v>
      </c>
      <c r="H36" s="20">
        <f t="shared" si="0"/>
        <v>0</v>
      </c>
      <c r="I36" s="18"/>
      <c r="K36" s="18"/>
      <c r="M36" s="20">
        <f t="shared" si="1"/>
        <v>0</v>
      </c>
      <c r="Z36" s="18"/>
      <c r="AA36" s="18"/>
    </row>
    <row r="37" spans="1:27">
      <c r="A37" s="6">
        <f t="shared" si="2"/>
        <v>2014</v>
      </c>
      <c r="C37" s="18"/>
      <c r="E37" s="18"/>
      <c r="G37" s="20">
        <f t="shared" si="0"/>
        <v>0</v>
      </c>
      <c r="H37" s="20">
        <f t="shared" si="0"/>
        <v>0</v>
      </c>
      <c r="I37" s="18"/>
      <c r="K37" s="18"/>
      <c r="M37" s="20">
        <f t="shared" si="1"/>
        <v>0</v>
      </c>
      <c r="Z37" s="18"/>
      <c r="AA37" s="18"/>
    </row>
    <row r="38" spans="1:27">
      <c r="A38" s="6">
        <f t="shared" si="2"/>
        <v>2015</v>
      </c>
      <c r="C38" s="18"/>
      <c r="E38" s="18"/>
      <c r="G38" s="20">
        <f t="shared" si="0"/>
        <v>0</v>
      </c>
      <c r="H38" s="20">
        <f t="shared" si="0"/>
        <v>0</v>
      </c>
      <c r="I38" s="18"/>
      <c r="K38" s="18"/>
      <c r="M38" s="20">
        <f t="shared" si="1"/>
        <v>0</v>
      </c>
      <c r="Z38" s="18"/>
      <c r="AA38" s="18"/>
    </row>
    <row r="39" spans="1:27">
      <c r="A39" s="6">
        <f t="shared" si="2"/>
        <v>2016</v>
      </c>
      <c r="C39" s="18"/>
      <c r="E39" s="18"/>
      <c r="G39" s="20">
        <f t="shared" si="0"/>
        <v>0</v>
      </c>
      <c r="H39" s="20">
        <f t="shared" si="0"/>
        <v>0</v>
      </c>
      <c r="I39" s="18"/>
      <c r="K39" s="18"/>
      <c r="M39" s="20">
        <f t="shared" si="1"/>
        <v>0</v>
      </c>
      <c r="Z39" s="18"/>
      <c r="AA39" s="18"/>
    </row>
    <row r="40" spans="1:27">
      <c r="A40" s="6">
        <f t="shared" si="2"/>
        <v>2017</v>
      </c>
      <c r="C40" s="18"/>
      <c r="E40" s="18"/>
      <c r="G40" s="20">
        <f t="shared" si="0"/>
        <v>0</v>
      </c>
      <c r="H40" s="20">
        <f t="shared" si="0"/>
        <v>0</v>
      </c>
      <c r="I40" s="18"/>
      <c r="K40" s="18"/>
      <c r="M40" s="20">
        <f t="shared" si="1"/>
        <v>0</v>
      </c>
      <c r="Z40" s="18"/>
      <c r="AA40" s="18"/>
    </row>
    <row r="41" spans="1:27">
      <c r="A41" s="6">
        <f t="shared" si="2"/>
        <v>2018</v>
      </c>
      <c r="C41" s="18"/>
      <c r="E41" s="18"/>
      <c r="G41" s="20">
        <f t="shared" si="0"/>
        <v>0</v>
      </c>
      <c r="H41" s="20">
        <f t="shared" si="0"/>
        <v>0</v>
      </c>
      <c r="I41" s="18"/>
      <c r="K41" s="18"/>
      <c r="M41" s="20">
        <f t="shared" si="1"/>
        <v>0</v>
      </c>
      <c r="Z41" s="18"/>
      <c r="AA41" s="18"/>
    </row>
    <row r="42" spans="1:27">
      <c r="A42" s="6">
        <f t="shared" si="2"/>
        <v>2019</v>
      </c>
      <c r="C42" s="18"/>
      <c r="E42" s="18"/>
      <c r="G42" s="20">
        <f t="shared" si="0"/>
        <v>0</v>
      </c>
      <c r="H42" s="20">
        <f t="shared" si="0"/>
        <v>0</v>
      </c>
      <c r="I42" s="18"/>
      <c r="K42" s="18"/>
      <c r="M42" s="20">
        <f t="shared" si="1"/>
        <v>0</v>
      </c>
      <c r="Z42" s="18"/>
      <c r="AA42" s="18"/>
    </row>
    <row r="43" spans="1:27">
      <c r="A43" s="6">
        <f t="shared" si="2"/>
        <v>2020</v>
      </c>
      <c r="C43" s="18"/>
      <c r="E43" s="18"/>
      <c r="G43" s="20">
        <f t="shared" si="0"/>
        <v>0</v>
      </c>
      <c r="H43" s="20">
        <f t="shared" si="0"/>
        <v>0</v>
      </c>
      <c r="I43" s="18"/>
      <c r="K43" s="18"/>
      <c r="M43" s="20">
        <f t="shared" si="1"/>
        <v>0</v>
      </c>
      <c r="Z43" s="18"/>
      <c r="AA43" s="18"/>
    </row>
    <row r="44" spans="1:27">
      <c r="A44" s="6"/>
      <c r="C44" s="105"/>
      <c r="E44" s="105"/>
      <c r="G44" s="105"/>
      <c r="I44" s="105"/>
      <c r="K44" s="105"/>
      <c r="M44" s="105"/>
      <c r="Z44" s="105"/>
      <c r="AA44" s="105"/>
    </row>
    <row r="45" spans="1:27">
      <c r="A45" s="6" t="s">
        <v>0</v>
      </c>
      <c r="C45" s="26">
        <f>SUM(C15:C44)</f>
        <v>0</v>
      </c>
      <c r="E45" s="26">
        <f>SUM(E15:E44)</f>
        <v>0</v>
      </c>
      <c r="G45" s="26">
        <f>SUM(G15:G44)</f>
        <v>0</v>
      </c>
      <c r="I45" s="26">
        <f>SUM(I15:I44)</f>
        <v>0</v>
      </c>
      <c r="K45" s="26">
        <f>SUM(K15:K44)</f>
        <v>0</v>
      </c>
      <c r="M45" s="26">
        <f>SUM(M15:M44)</f>
        <v>0</v>
      </c>
      <c r="Z45" s="26"/>
      <c r="AA45" s="26"/>
    </row>
    <row r="51" spans="1:17">
      <c r="A51" s="52" t="s">
        <v>104</v>
      </c>
      <c r="C51" s="115" t="s">
        <v>500</v>
      </c>
      <c r="Q51" s="61" t="s">
        <v>498</v>
      </c>
    </row>
    <row r="52" spans="1:17">
      <c r="A52" s="116" t="s">
        <v>36</v>
      </c>
      <c r="B52" s="111"/>
      <c r="C52" s="117" t="s">
        <v>130</v>
      </c>
    </row>
    <row r="53" spans="1:17">
      <c r="A53" s="111"/>
      <c r="B53" s="111"/>
      <c r="C53" s="117" t="s">
        <v>129</v>
      </c>
    </row>
    <row r="54" spans="1:17">
      <c r="A54" s="52" t="s">
        <v>40</v>
      </c>
      <c r="C54" s="115" t="s">
        <v>502</v>
      </c>
      <c r="Q54" s="61" t="s">
        <v>498</v>
      </c>
    </row>
    <row r="55" spans="1:17">
      <c r="A55" s="52" t="s">
        <v>42</v>
      </c>
      <c r="C55" s="117" t="s">
        <v>131</v>
      </c>
    </row>
    <row r="56" spans="1:17">
      <c r="C56" s="117" t="s">
        <v>129</v>
      </c>
    </row>
  </sheetData>
  <printOptions horizontalCentered="1" verticalCentered="1"/>
  <pageMargins left="0.75" right="0.75" top="1" bottom="1" header="0.5" footer="0.5"/>
  <pageSetup scale="78" orientation="portrait" blackAndWhite="1" r:id="rId1"/>
  <headerFooter alignWithMargins="0">
    <oddFooter>&amp;L&amp;6&amp;Z&amp;F
&amp;A</oddFooter>
  </headerFooter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Sheet98">
    <tabColor rgb="FFFF0000"/>
    <pageSetUpPr fitToPage="1"/>
  </sheetPr>
  <dimension ref="A1:AA56"/>
  <sheetViews>
    <sheetView zoomScale="75" zoomScaleNormal="75" workbookViewId="0">
      <selection activeCell="A6" sqref="A6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0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2.7109375" style="1" customWidth="1"/>
    <col min="12" max="12" width="1.7109375" style="1" customWidth="1"/>
    <col min="13" max="13" width="10.7109375" style="1" customWidth="1"/>
    <col min="14" max="24" width="8.7109375" style="1"/>
    <col min="25" max="25" width="9.5703125" style="1" bestFit="1" customWidth="1"/>
    <col min="26" max="16384" width="8.7109375" style="1"/>
  </cols>
  <sheetData>
    <row r="1" spans="1:27">
      <c r="M1" s="1" t="s">
        <v>135</v>
      </c>
    </row>
    <row r="2" spans="1:27">
      <c r="M2" s="3" t="s">
        <v>281</v>
      </c>
    </row>
    <row r="4" spans="1:27" ht="16">
      <c r="A4" s="4" t="s">
        <v>872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6" spans="1:27">
      <c r="A6" s="5" t="s">
        <v>496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27">
      <c r="A7" s="5" t="s">
        <v>268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27">
      <c r="G8" s="61" t="s">
        <v>875</v>
      </c>
    </row>
    <row r="10" spans="1:27">
      <c r="A10" s="6"/>
      <c r="B10" s="6"/>
      <c r="C10" s="5" t="s">
        <v>23</v>
      </c>
      <c r="D10" s="5"/>
      <c r="E10" s="5"/>
      <c r="F10" s="5"/>
      <c r="G10" s="5"/>
      <c r="H10" s="6"/>
      <c r="I10" s="5" t="s">
        <v>25</v>
      </c>
      <c r="J10" s="5"/>
      <c r="K10" s="5"/>
      <c r="L10" s="5"/>
      <c r="M10" s="5"/>
      <c r="W10" s="6"/>
      <c r="X10" s="6"/>
      <c r="Y10" s="5"/>
      <c r="Z10" s="5"/>
      <c r="AA10" s="5"/>
    </row>
    <row r="11" spans="1:27">
      <c r="A11" s="6" t="s">
        <v>6</v>
      </c>
      <c r="C11" s="105"/>
      <c r="D11" s="105"/>
      <c r="E11" s="105"/>
      <c r="F11" s="105"/>
      <c r="G11" s="106" t="s">
        <v>18</v>
      </c>
      <c r="I11" s="105"/>
      <c r="J11" s="105"/>
      <c r="K11" s="105"/>
      <c r="L11" s="105"/>
      <c r="M11" s="106" t="s">
        <v>18</v>
      </c>
      <c r="W11" s="6"/>
      <c r="Y11" s="105"/>
      <c r="Z11" s="105"/>
      <c r="AA11" s="105"/>
    </row>
    <row r="12" spans="1:27">
      <c r="A12" s="6" t="s">
        <v>4</v>
      </c>
      <c r="B12" s="6"/>
      <c r="C12" s="107" t="s">
        <v>497</v>
      </c>
      <c r="D12" s="6"/>
      <c r="E12" s="108">
        <v>44196</v>
      </c>
      <c r="F12" s="6"/>
      <c r="G12" s="6" t="s">
        <v>133</v>
      </c>
      <c r="H12" s="6"/>
      <c r="I12" s="107" t="s">
        <v>497</v>
      </c>
      <c r="J12" s="6"/>
      <c r="K12" s="108">
        <v>44196</v>
      </c>
      <c r="L12" s="6"/>
      <c r="M12" s="6" t="s">
        <v>136</v>
      </c>
      <c r="W12" s="6"/>
      <c r="X12" s="6"/>
      <c r="Y12" s="107"/>
      <c r="Z12" s="6"/>
      <c r="AA12" s="109"/>
    </row>
    <row r="13" spans="1:27">
      <c r="A13" s="106" t="s">
        <v>27</v>
      </c>
      <c r="B13" s="6"/>
      <c r="C13" s="106" t="s">
        <v>33</v>
      </c>
      <c r="D13" s="6"/>
      <c r="E13" s="110" t="s">
        <v>36</v>
      </c>
      <c r="F13" s="6"/>
      <c r="G13" s="106" t="s">
        <v>38</v>
      </c>
      <c r="H13" s="6"/>
      <c r="I13" s="106" t="s">
        <v>40</v>
      </c>
      <c r="J13" s="6"/>
      <c r="K13" s="110" t="s">
        <v>42</v>
      </c>
      <c r="L13" s="6"/>
      <c r="M13" s="106" t="s">
        <v>30</v>
      </c>
      <c r="W13" s="106"/>
      <c r="X13" s="6"/>
      <c r="Y13" s="106"/>
      <c r="Z13" s="6"/>
      <c r="AA13" s="106"/>
    </row>
    <row r="14" spans="1:27">
      <c r="E14" s="111"/>
      <c r="K14" s="111"/>
    </row>
    <row r="15" spans="1:27">
      <c r="A15" s="6">
        <v>1992</v>
      </c>
      <c r="C15" s="19">
        <v>20639491.890000001</v>
      </c>
      <c r="D15" s="19"/>
      <c r="E15" s="112">
        <v>20639491.890000001</v>
      </c>
      <c r="F15" s="19"/>
      <c r="G15" s="19">
        <f>E15-C15</f>
        <v>0</v>
      </c>
      <c r="H15" s="19"/>
      <c r="I15" s="19">
        <v>10668414.300000001</v>
      </c>
      <c r="J15" s="19"/>
      <c r="K15" s="112">
        <v>10668414.300000001</v>
      </c>
      <c r="L15" s="19"/>
      <c r="M15" s="19">
        <f>K15-I15</f>
        <v>0</v>
      </c>
      <c r="W15" s="6"/>
    </row>
    <row r="16" spans="1:27">
      <c r="A16" s="6">
        <f>A15+1</f>
        <v>1993</v>
      </c>
      <c r="C16" s="18">
        <v>20065644.219999999</v>
      </c>
      <c r="E16" s="18">
        <v>20065644.219999999</v>
      </c>
      <c r="G16" s="20">
        <f t="shared" ref="G16:G43" si="0">E16-C16</f>
        <v>0</v>
      </c>
      <c r="H16" s="20">
        <f t="shared" ref="H16:H43" si="1">F16-D16</f>
        <v>0</v>
      </c>
      <c r="I16" s="18">
        <v>7052287.3000000007</v>
      </c>
      <c r="K16" s="113">
        <v>7052287.3000000007</v>
      </c>
      <c r="M16" s="20">
        <f t="shared" ref="M16:M43" si="2">K16-I16</f>
        <v>0</v>
      </c>
      <c r="W16" s="6"/>
    </row>
    <row r="17" spans="1:23">
      <c r="A17" s="6">
        <f t="shared" ref="A17:A43" si="3">A16+1</f>
        <v>1994</v>
      </c>
      <c r="C17" s="18">
        <v>22156898.129999999</v>
      </c>
      <c r="E17" s="18">
        <v>22156898.129999999</v>
      </c>
      <c r="G17" s="20">
        <f t="shared" si="0"/>
        <v>0</v>
      </c>
      <c r="H17" s="20">
        <f t="shared" si="1"/>
        <v>0</v>
      </c>
      <c r="I17" s="18">
        <v>10595001</v>
      </c>
      <c r="K17" s="18">
        <v>10595001</v>
      </c>
      <c r="M17" s="20">
        <f t="shared" si="2"/>
        <v>0</v>
      </c>
      <c r="W17" s="6"/>
    </row>
    <row r="18" spans="1:23">
      <c r="A18" s="6">
        <f t="shared" si="3"/>
        <v>1995</v>
      </c>
      <c r="C18" s="18">
        <v>25659084.629999999</v>
      </c>
      <c r="E18" s="18">
        <v>25659084.629999999</v>
      </c>
      <c r="G18" s="20">
        <f t="shared" si="0"/>
        <v>0</v>
      </c>
      <c r="H18" s="20">
        <f t="shared" si="1"/>
        <v>0</v>
      </c>
      <c r="I18" s="18">
        <v>9014361.5100000016</v>
      </c>
      <c r="K18" s="18">
        <v>9014361.5100000016</v>
      </c>
      <c r="M18" s="20">
        <f t="shared" si="2"/>
        <v>0</v>
      </c>
      <c r="W18" s="6"/>
    </row>
    <row r="19" spans="1:23">
      <c r="A19" s="6">
        <f t="shared" si="3"/>
        <v>1996</v>
      </c>
      <c r="C19" s="18">
        <v>28479344.77</v>
      </c>
      <c r="E19" s="18">
        <v>28479344.77</v>
      </c>
      <c r="G19" s="20">
        <f t="shared" si="0"/>
        <v>0</v>
      </c>
      <c r="H19" s="20">
        <f t="shared" si="1"/>
        <v>0</v>
      </c>
      <c r="I19" s="18">
        <v>25408701.430000003</v>
      </c>
      <c r="K19" s="18">
        <v>25408701.430000003</v>
      </c>
      <c r="M19" s="20">
        <f t="shared" si="2"/>
        <v>0</v>
      </c>
      <c r="W19" s="6"/>
    </row>
    <row r="20" spans="1:23">
      <c r="A20" s="6">
        <f t="shared" si="3"/>
        <v>1997</v>
      </c>
      <c r="C20" s="18">
        <v>31299722.879999999</v>
      </c>
      <c r="E20" s="18">
        <v>31299722.879999999</v>
      </c>
      <c r="G20" s="20">
        <f t="shared" si="0"/>
        <v>0</v>
      </c>
      <c r="H20" s="20">
        <f t="shared" si="1"/>
        <v>0</v>
      </c>
      <c r="I20" s="18">
        <v>16532011.000000004</v>
      </c>
      <c r="K20" s="18">
        <v>16532011.000000004</v>
      </c>
      <c r="M20" s="20">
        <f t="shared" si="2"/>
        <v>0</v>
      </c>
      <c r="W20" s="6"/>
    </row>
    <row r="21" spans="1:23">
      <c r="A21" s="6">
        <f t="shared" si="3"/>
        <v>1998</v>
      </c>
      <c r="C21" s="18">
        <v>27182636.030000001</v>
      </c>
      <c r="E21" s="18">
        <v>27182636.030000001</v>
      </c>
      <c r="G21" s="20">
        <f t="shared" si="0"/>
        <v>0</v>
      </c>
      <c r="H21" s="20">
        <f t="shared" si="1"/>
        <v>0</v>
      </c>
      <c r="I21" s="18">
        <v>9461637.8699999973</v>
      </c>
      <c r="K21" s="18">
        <v>9461637.8699999973</v>
      </c>
      <c r="M21" s="20">
        <f t="shared" si="2"/>
        <v>0</v>
      </c>
      <c r="W21" s="6"/>
    </row>
    <row r="22" spans="1:23">
      <c r="A22" s="6">
        <f t="shared" si="3"/>
        <v>1999</v>
      </c>
      <c r="C22" s="18">
        <v>29674464.829999998</v>
      </c>
      <c r="E22" s="18">
        <v>29674464.829999998</v>
      </c>
      <c r="G22" s="20">
        <f t="shared" si="0"/>
        <v>0</v>
      </c>
      <c r="H22" s="20">
        <f t="shared" si="1"/>
        <v>0</v>
      </c>
      <c r="I22" s="18">
        <v>25004267.690000005</v>
      </c>
      <c r="K22" s="18">
        <v>25004267.690000005</v>
      </c>
      <c r="M22" s="20">
        <f t="shared" si="2"/>
        <v>0</v>
      </c>
      <c r="W22" s="6"/>
    </row>
    <row r="23" spans="1:23">
      <c r="A23" s="6">
        <f t="shared" si="3"/>
        <v>2000</v>
      </c>
      <c r="C23" s="18">
        <v>35706421.369999997</v>
      </c>
      <c r="E23" s="18">
        <v>35706421.369999997</v>
      </c>
      <c r="G23" s="20">
        <f t="shared" si="0"/>
        <v>0</v>
      </c>
      <c r="H23" s="20">
        <f t="shared" si="1"/>
        <v>0</v>
      </c>
      <c r="I23" s="18">
        <v>19684000</v>
      </c>
      <c r="K23" s="18">
        <v>19684000</v>
      </c>
      <c r="M23" s="20">
        <f t="shared" si="2"/>
        <v>0</v>
      </c>
      <c r="W23" s="6"/>
    </row>
    <row r="24" spans="1:23">
      <c r="A24" s="6">
        <f t="shared" si="3"/>
        <v>2001</v>
      </c>
      <c r="C24" s="18">
        <v>28661734.640000001</v>
      </c>
      <c r="E24" s="18">
        <v>28661734.640000001</v>
      </c>
      <c r="G24" s="20">
        <f t="shared" si="0"/>
        <v>0</v>
      </c>
      <c r="H24" s="20">
        <f t="shared" si="1"/>
        <v>0</v>
      </c>
      <c r="I24" s="18">
        <v>16115000</v>
      </c>
      <c r="K24" s="18">
        <v>16115000</v>
      </c>
      <c r="M24" s="20">
        <f t="shared" si="2"/>
        <v>0</v>
      </c>
      <c r="W24" s="6"/>
    </row>
    <row r="25" spans="1:23">
      <c r="A25" s="6">
        <f t="shared" si="3"/>
        <v>2002</v>
      </c>
      <c r="C25" s="18">
        <v>23439738.199999999</v>
      </c>
      <c r="E25" s="18">
        <v>23439738.199999999</v>
      </c>
      <c r="G25" s="20">
        <f t="shared" si="0"/>
        <v>0</v>
      </c>
      <c r="H25" s="20">
        <f t="shared" si="1"/>
        <v>0</v>
      </c>
      <c r="I25" s="18">
        <v>12117167.000000004</v>
      </c>
      <c r="K25" s="18">
        <v>12117167.000000004</v>
      </c>
      <c r="M25" s="20">
        <f t="shared" si="2"/>
        <v>0</v>
      </c>
      <c r="W25" s="6"/>
    </row>
    <row r="26" spans="1:23">
      <c r="A26" s="6">
        <f t="shared" si="3"/>
        <v>2003</v>
      </c>
      <c r="C26" s="18">
        <v>28348241.370000001</v>
      </c>
      <c r="E26" s="18">
        <v>28348241.370000001</v>
      </c>
      <c r="G26" s="20">
        <f t="shared" si="0"/>
        <v>0</v>
      </c>
      <c r="H26" s="20">
        <f t="shared" si="1"/>
        <v>0</v>
      </c>
      <c r="I26" s="18">
        <v>14183262.23</v>
      </c>
      <c r="K26" s="18">
        <v>14183262.23</v>
      </c>
      <c r="M26" s="20">
        <f t="shared" si="2"/>
        <v>0</v>
      </c>
      <c r="W26" s="6"/>
    </row>
    <row r="27" spans="1:23">
      <c r="A27" s="6">
        <f t="shared" si="3"/>
        <v>2004</v>
      </c>
      <c r="C27" s="18">
        <v>21576865.77</v>
      </c>
      <c r="E27" s="18">
        <v>21576865.77</v>
      </c>
      <c r="G27" s="20">
        <f t="shared" si="0"/>
        <v>0</v>
      </c>
      <c r="H27" s="20">
        <f t="shared" si="1"/>
        <v>0</v>
      </c>
      <c r="I27" s="18">
        <v>15540000.000000004</v>
      </c>
      <c r="K27" s="18">
        <v>15540000.000000004</v>
      </c>
      <c r="M27" s="20">
        <f t="shared" si="2"/>
        <v>0</v>
      </c>
      <c r="W27" s="6"/>
    </row>
    <row r="28" spans="1:23">
      <c r="A28" s="6">
        <f t="shared" si="3"/>
        <v>2005</v>
      </c>
      <c r="C28" s="18">
        <v>16266123.970000001</v>
      </c>
      <c r="E28" s="18">
        <v>16266123.970000001</v>
      </c>
      <c r="G28" s="20">
        <f t="shared" si="0"/>
        <v>0</v>
      </c>
      <c r="H28" s="20">
        <f t="shared" si="1"/>
        <v>0</v>
      </c>
      <c r="I28" s="18">
        <v>6224999.9999999981</v>
      </c>
      <c r="K28" s="18">
        <v>6224999.9999999981</v>
      </c>
      <c r="M28" s="20">
        <f t="shared" si="2"/>
        <v>0</v>
      </c>
      <c r="W28" s="6"/>
    </row>
    <row r="29" spans="1:23">
      <c r="A29" s="6">
        <f t="shared" si="3"/>
        <v>2006</v>
      </c>
      <c r="C29" s="18">
        <v>15643452.209999997</v>
      </c>
      <c r="E29" s="18">
        <v>18838459.190000001</v>
      </c>
      <c r="G29" s="20">
        <f t="shared" si="0"/>
        <v>3195006.9800000042</v>
      </c>
      <c r="H29" s="20">
        <f t="shared" si="1"/>
        <v>0</v>
      </c>
      <c r="I29" s="18">
        <v>5825000.0000000037</v>
      </c>
      <c r="K29" s="18">
        <v>5015000</v>
      </c>
      <c r="M29" s="20">
        <f t="shared" si="2"/>
        <v>-810000.00000000373</v>
      </c>
      <c r="W29" s="6"/>
    </row>
    <row r="30" spans="1:23">
      <c r="A30" s="6">
        <f t="shared" si="3"/>
        <v>2007</v>
      </c>
      <c r="C30" s="18">
        <v>18137566.870000001</v>
      </c>
      <c r="E30" s="18">
        <v>15954494.57</v>
      </c>
      <c r="G30" s="20">
        <f t="shared" si="0"/>
        <v>-2183072.3000000007</v>
      </c>
      <c r="H30" s="20">
        <f t="shared" si="1"/>
        <v>0</v>
      </c>
      <c r="I30" s="18">
        <v>4845000.0000000037</v>
      </c>
      <c r="K30" s="18">
        <v>5825000</v>
      </c>
      <c r="M30" s="20">
        <f t="shared" si="2"/>
        <v>979999.99999999627</v>
      </c>
      <c r="W30" s="6"/>
    </row>
    <row r="31" spans="1:23">
      <c r="A31" s="6">
        <f t="shared" si="3"/>
        <v>2008</v>
      </c>
      <c r="C31" s="18">
        <v>16740908.41</v>
      </c>
      <c r="E31" s="18">
        <v>18304708.34</v>
      </c>
      <c r="G31" s="20">
        <f t="shared" si="0"/>
        <v>1563799.9299999997</v>
      </c>
      <c r="H31" s="20">
        <f t="shared" si="1"/>
        <v>0</v>
      </c>
      <c r="I31" s="18">
        <v>6014999.9999999981</v>
      </c>
      <c r="K31" s="18">
        <v>4845000</v>
      </c>
      <c r="M31" s="20">
        <f t="shared" si="2"/>
        <v>-1169999.9999999981</v>
      </c>
      <c r="W31" s="6"/>
    </row>
    <row r="32" spans="1:23">
      <c r="A32" s="6">
        <f t="shared" si="3"/>
        <v>2009</v>
      </c>
      <c r="C32" s="18">
        <v>13217734.550000001</v>
      </c>
      <c r="E32" s="18">
        <v>16678263.43</v>
      </c>
      <c r="G32" s="20">
        <f t="shared" si="0"/>
        <v>3460528.879999999</v>
      </c>
      <c r="H32" s="20">
        <f t="shared" si="1"/>
        <v>0</v>
      </c>
      <c r="I32" s="18">
        <v>6335000.0000000019</v>
      </c>
      <c r="K32" s="18">
        <v>6015000</v>
      </c>
      <c r="M32" s="20">
        <f t="shared" si="2"/>
        <v>-320000.00000000186</v>
      </c>
      <c r="W32" s="6"/>
    </row>
    <row r="33" spans="1:26">
      <c r="A33" s="6">
        <f t="shared" si="3"/>
        <v>2010</v>
      </c>
      <c r="C33" s="18">
        <v>17188349.93</v>
      </c>
      <c r="E33" s="18">
        <v>13152336.029999999</v>
      </c>
      <c r="G33" s="20">
        <f t="shared" si="0"/>
        <v>-4036013.9000000004</v>
      </c>
      <c r="H33" s="20">
        <f t="shared" si="1"/>
        <v>0</v>
      </c>
      <c r="I33" s="18">
        <v>8462499.9999999981</v>
      </c>
      <c r="K33" s="18">
        <v>6335000.0000000019</v>
      </c>
      <c r="M33" s="20">
        <f t="shared" si="2"/>
        <v>-2127499.9999999963</v>
      </c>
      <c r="W33" s="6"/>
    </row>
    <row r="34" spans="1:26">
      <c r="A34" s="6">
        <f t="shared" si="3"/>
        <v>2011</v>
      </c>
      <c r="C34" s="18">
        <v>14143444.199999999</v>
      </c>
      <c r="E34" s="18">
        <v>20836515.719999999</v>
      </c>
      <c r="G34" s="20">
        <f t="shared" si="0"/>
        <v>6693071.5199999996</v>
      </c>
      <c r="H34" s="20">
        <f t="shared" si="1"/>
        <v>0</v>
      </c>
      <c r="I34" s="18">
        <v>9164499.9999999981</v>
      </c>
      <c r="K34" s="18">
        <v>10412500</v>
      </c>
      <c r="M34" s="20">
        <f t="shared" si="2"/>
        <v>1248000.0000000019</v>
      </c>
      <c r="W34" s="6"/>
    </row>
    <row r="35" spans="1:26">
      <c r="A35" s="6">
        <f t="shared" si="3"/>
        <v>2012</v>
      </c>
      <c r="C35" s="18">
        <v>15393068.529999999</v>
      </c>
      <c r="E35" s="18">
        <v>12242743.75</v>
      </c>
      <c r="G35" s="20">
        <f t="shared" si="0"/>
        <v>-3150324.7799999993</v>
      </c>
      <c r="H35" s="20">
        <f t="shared" si="1"/>
        <v>0</v>
      </c>
      <c r="I35" s="18">
        <v>9495000.0000000019</v>
      </c>
      <c r="K35" s="18">
        <v>7214500</v>
      </c>
      <c r="M35" s="20">
        <f t="shared" si="2"/>
        <v>-2280500.0000000019</v>
      </c>
      <c r="W35" s="6"/>
    </row>
    <row r="36" spans="1:26">
      <c r="A36" s="6">
        <f t="shared" si="3"/>
        <v>2013</v>
      </c>
      <c r="C36" s="18">
        <v>22911075.369999997</v>
      </c>
      <c r="E36" s="18">
        <v>22241355.41</v>
      </c>
      <c r="G36" s="20">
        <f t="shared" si="0"/>
        <v>-669719.95999999717</v>
      </c>
      <c r="H36" s="20">
        <f t="shared" si="1"/>
        <v>0</v>
      </c>
      <c r="I36" s="18">
        <v>14290000.000000007</v>
      </c>
      <c r="K36" s="18">
        <v>13694999.999999996</v>
      </c>
      <c r="M36" s="20">
        <f t="shared" si="2"/>
        <v>-595000.00000001118</v>
      </c>
      <c r="W36" s="6"/>
    </row>
    <row r="37" spans="1:26">
      <c r="A37" s="6">
        <f t="shared" si="3"/>
        <v>2014</v>
      </c>
      <c r="C37" s="18">
        <v>22386810.5</v>
      </c>
      <c r="E37" s="18">
        <v>23396866.739999998</v>
      </c>
      <c r="G37" s="20">
        <f t="shared" si="0"/>
        <v>1010056.2399999984</v>
      </c>
      <c r="H37" s="20">
        <f t="shared" si="1"/>
        <v>0</v>
      </c>
      <c r="I37" s="18">
        <v>8024128.6600000039</v>
      </c>
      <c r="K37" s="18">
        <v>13829128.66</v>
      </c>
      <c r="M37" s="20">
        <f t="shared" si="2"/>
        <v>5804999.9999999963</v>
      </c>
      <c r="W37" s="6"/>
    </row>
    <row r="38" spans="1:26">
      <c r="A38" s="6">
        <f t="shared" si="3"/>
        <v>2015</v>
      </c>
      <c r="C38" s="18">
        <v>25406610.339999996</v>
      </c>
      <c r="E38" s="18">
        <v>24816118.190000001</v>
      </c>
      <c r="G38" s="20">
        <f t="shared" si="0"/>
        <v>-590492.14999999478</v>
      </c>
      <c r="H38" s="20">
        <f t="shared" si="1"/>
        <v>0</v>
      </c>
      <c r="I38" s="18">
        <v>11799999.999999998</v>
      </c>
      <c r="K38" s="18">
        <v>9259999.9999999963</v>
      </c>
      <c r="M38" s="20">
        <f t="shared" si="2"/>
        <v>-2540000.0000000019</v>
      </c>
      <c r="W38" s="6"/>
    </row>
    <row r="39" spans="1:26">
      <c r="A39" s="6">
        <f t="shared" si="3"/>
        <v>2016</v>
      </c>
      <c r="C39" s="18">
        <v>24930794.490000002</v>
      </c>
      <c r="E39" s="18">
        <v>27409695.550000001</v>
      </c>
      <c r="G39" s="20">
        <f t="shared" si="0"/>
        <v>2478901.0599999987</v>
      </c>
      <c r="H39" s="20">
        <f t="shared" si="1"/>
        <v>0</v>
      </c>
      <c r="I39" s="18">
        <v>11300000.000000002</v>
      </c>
      <c r="K39" s="18">
        <v>13174999.999999996</v>
      </c>
      <c r="M39" s="20">
        <f t="shared" si="2"/>
        <v>1874999.9999999944</v>
      </c>
      <c r="W39" s="6"/>
    </row>
    <row r="40" spans="1:26">
      <c r="A40" s="6">
        <f t="shared" si="3"/>
        <v>2017</v>
      </c>
      <c r="C40" s="18">
        <v>15113069.289999999</v>
      </c>
      <c r="E40" s="18">
        <v>18257181.23</v>
      </c>
      <c r="G40" s="20">
        <f t="shared" si="0"/>
        <v>3144111.9400000013</v>
      </c>
      <c r="H40" s="20">
        <f t="shared" si="1"/>
        <v>0</v>
      </c>
      <c r="I40" s="18">
        <v>9250000</v>
      </c>
      <c r="K40" s="18">
        <v>11450000</v>
      </c>
      <c r="M40" s="20">
        <f t="shared" si="2"/>
        <v>2200000</v>
      </c>
      <c r="W40" s="6"/>
    </row>
    <row r="41" spans="1:26">
      <c r="A41" s="6">
        <f t="shared" si="3"/>
        <v>2018</v>
      </c>
      <c r="C41" s="18">
        <v>12141514.859999999</v>
      </c>
      <c r="E41" s="18">
        <v>11922307.52</v>
      </c>
      <c r="G41" s="20">
        <f t="shared" si="0"/>
        <v>-219207.33999999985</v>
      </c>
      <c r="H41" s="20">
        <f t="shared" si="1"/>
        <v>0</v>
      </c>
      <c r="I41" s="18">
        <v>2100000</v>
      </c>
      <c r="K41" s="18">
        <v>1600000</v>
      </c>
      <c r="M41" s="20">
        <f t="shared" si="2"/>
        <v>-500000</v>
      </c>
      <c r="W41" s="6"/>
    </row>
    <row r="42" spans="1:26">
      <c r="A42" s="6">
        <f t="shared" si="3"/>
        <v>2019</v>
      </c>
      <c r="C42" s="18">
        <v>6698643.3699999992</v>
      </c>
      <c r="E42" s="18">
        <v>6286543.3799999999</v>
      </c>
      <c r="G42" s="20">
        <f t="shared" si="0"/>
        <v>-412099.98999999929</v>
      </c>
      <c r="H42" s="20">
        <f t="shared" si="1"/>
        <v>0</v>
      </c>
      <c r="I42" s="18">
        <v>650000</v>
      </c>
      <c r="K42" s="18">
        <v>1550000</v>
      </c>
      <c r="M42" s="20">
        <f t="shared" si="2"/>
        <v>900000</v>
      </c>
      <c r="W42" s="6"/>
      <c r="Y42" s="114"/>
      <c r="Z42" s="114"/>
    </row>
    <row r="43" spans="1:26">
      <c r="A43" s="6">
        <f t="shared" si="3"/>
        <v>2020</v>
      </c>
      <c r="C43" s="18">
        <v>2699609.44</v>
      </c>
      <c r="E43" s="18">
        <v>3359989.16</v>
      </c>
      <c r="G43" s="20">
        <f t="shared" si="0"/>
        <v>660379.7200000002</v>
      </c>
      <c r="H43" s="20">
        <f t="shared" si="1"/>
        <v>0</v>
      </c>
      <c r="I43" s="18">
        <v>0</v>
      </c>
      <c r="K43" s="18">
        <v>0</v>
      </c>
      <c r="M43" s="20">
        <f t="shared" si="2"/>
        <v>0</v>
      </c>
      <c r="W43" s="6"/>
      <c r="Y43" s="114"/>
    </row>
    <row r="44" spans="1:26">
      <c r="A44" s="6"/>
      <c r="C44" s="105"/>
      <c r="E44" s="105"/>
      <c r="G44" s="105"/>
      <c r="I44" s="105"/>
      <c r="K44" s="105"/>
      <c r="M44" s="105"/>
    </row>
    <row r="45" spans="1:26">
      <c r="A45" s="6" t="s">
        <v>0</v>
      </c>
      <c r="C45" s="26">
        <f>SUM(C15:C44)</f>
        <v>601909065.06000006</v>
      </c>
      <c r="E45" s="26">
        <f>SUM(E15:E44)</f>
        <v>612853990.90999985</v>
      </c>
      <c r="G45" s="26">
        <f>SUM(G15:G44)</f>
        <v>10944925.850000011</v>
      </c>
      <c r="I45" s="26">
        <f>SUM(I15:I44)</f>
        <v>305157239.99000001</v>
      </c>
      <c r="K45" s="26">
        <f>SUM(K15:K44)</f>
        <v>307822239.99000001</v>
      </c>
      <c r="M45" s="26">
        <f>SUM(M15:M44)</f>
        <v>2664999.9999999739</v>
      </c>
    </row>
    <row r="51" spans="1:17">
      <c r="A51" s="52" t="s">
        <v>104</v>
      </c>
      <c r="C51" s="115" t="s">
        <v>499</v>
      </c>
      <c r="Q51" s="61" t="s">
        <v>498</v>
      </c>
    </row>
    <row r="52" spans="1:17">
      <c r="A52" s="116" t="s">
        <v>36</v>
      </c>
      <c r="B52" s="111"/>
      <c r="C52" s="117" t="s">
        <v>130</v>
      </c>
    </row>
    <row r="53" spans="1:17">
      <c r="A53" s="111"/>
      <c r="B53" s="111"/>
      <c r="C53" s="117" t="s">
        <v>129</v>
      </c>
    </row>
    <row r="54" spans="1:17">
      <c r="A54" s="52" t="s">
        <v>40</v>
      </c>
      <c r="C54" s="115" t="s">
        <v>501</v>
      </c>
      <c r="Q54" s="61" t="s">
        <v>498</v>
      </c>
    </row>
    <row r="55" spans="1:17">
      <c r="A55" s="52" t="s">
        <v>42</v>
      </c>
      <c r="C55" s="117" t="s">
        <v>131</v>
      </c>
    </row>
    <row r="56" spans="1:17">
      <c r="C56" s="117" t="s">
        <v>129</v>
      </c>
    </row>
  </sheetData>
  <printOptions horizontalCentered="1" verticalCentered="1"/>
  <pageMargins left="0.75" right="0.75" top="1" bottom="1" header="0.5" footer="0.5"/>
  <pageSetup scale="78" orientation="portrait" blackAndWhite="1" r:id="rId1"/>
  <headerFooter alignWithMargins="0">
    <oddFooter>&amp;L&amp;6&amp;Z&amp;F
&amp;A</oddFooter>
  </headerFooter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Sheet99">
    <tabColor rgb="FFFF0000"/>
  </sheetPr>
  <dimension ref="A5:X456"/>
  <sheetViews>
    <sheetView topLeftCell="A51" workbookViewId="0">
      <selection activeCell="A6" sqref="A6"/>
    </sheetView>
  </sheetViews>
  <sheetFormatPr baseColWidth="10" defaultColWidth="8.7109375" defaultRowHeight="15"/>
  <cols>
    <col min="1" max="23" width="12.7109375" style="1" customWidth="1"/>
    <col min="24" max="16384" width="8.7109375" style="1"/>
  </cols>
  <sheetData>
    <row r="5" spans="1:24" ht="16">
      <c r="A5" s="4"/>
      <c r="B5" s="4"/>
      <c r="H5" s="4"/>
      <c r="I5" s="4"/>
      <c r="J5" s="51" t="s">
        <v>872</v>
      </c>
      <c r="K5" s="4"/>
      <c r="L5" s="4"/>
    </row>
    <row r="6" spans="1:24" ht="16">
      <c r="A6" s="4"/>
      <c r="B6" s="4"/>
      <c r="H6" s="5" t="s">
        <v>664</v>
      </c>
      <c r="I6" s="5"/>
      <c r="J6" s="5"/>
      <c r="K6" s="5"/>
      <c r="L6" s="5"/>
    </row>
    <row r="7" spans="1:24">
      <c r="J7" s="1" t="s">
        <v>658</v>
      </c>
    </row>
    <row r="8" spans="1:24">
      <c r="I8" s="6"/>
      <c r="J8" s="6" t="s">
        <v>659</v>
      </c>
      <c r="K8" s="6"/>
      <c r="L8" s="6"/>
    </row>
    <row r="9" spans="1:24">
      <c r="A9" s="6" t="s">
        <v>9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1:24">
      <c r="A10" s="6"/>
      <c r="B10" s="27" t="s">
        <v>665</v>
      </c>
      <c r="C10" s="27" t="s">
        <v>523</v>
      </c>
      <c r="D10" s="27" t="s">
        <v>523</v>
      </c>
      <c r="E10" s="27" t="s">
        <v>523</v>
      </c>
      <c r="F10" s="27" t="s">
        <v>523</v>
      </c>
      <c r="H10" s="6"/>
      <c r="I10" s="6"/>
      <c r="J10" s="6"/>
      <c r="K10" s="6"/>
      <c r="L10" s="6"/>
      <c r="N10" s="79">
        <v>0.22500000000000001</v>
      </c>
      <c r="O10" s="6"/>
      <c r="P10" s="6"/>
      <c r="Q10" s="6"/>
      <c r="R10" s="6" t="s">
        <v>67</v>
      </c>
      <c r="S10" s="6"/>
      <c r="T10" s="6"/>
      <c r="U10" s="6"/>
      <c r="V10" s="6" t="s">
        <v>67</v>
      </c>
      <c r="W10" s="6"/>
    </row>
    <row r="11" spans="1:24">
      <c r="A11" s="6" t="s">
        <v>3</v>
      </c>
      <c r="B11" s="27" t="s">
        <v>524</v>
      </c>
      <c r="C11" s="27" t="s">
        <v>524</v>
      </c>
      <c r="D11" s="27" t="s">
        <v>524</v>
      </c>
      <c r="E11" s="27" t="s">
        <v>528</v>
      </c>
      <c r="F11" s="27" t="s">
        <v>528</v>
      </c>
      <c r="G11" s="6" t="s">
        <v>14</v>
      </c>
      <c r="H11" s="6" t="s">
        <v>12</v>
      </c>
      <c r="I11" s="6" t="s">
        <v>14</v>
      </c>
      <c r="J11" s="6" t="s">
        <v>12</v>
      </c>
      <c r="K11" s="6" t="s">
        <v>14</v>
      </c>
      <c r="L11" s="6" t="s">
        <v>12</v>
      </c>
      <c r="M11" s="6" t="s">
        <v>381</v>
      </c>
      <c r="N11" s="6" t="s">
        <v>381</v>
      </c>
      <c r="O11" s="6" t="s">
        <v>381</v>
      </c>
      <c r="P11" s="6" t="s">
        <v>660</v>
      </c>
      <c r="Q11" s="6" t="s">
        <v>67</v>
      </c>
      <c r="R11" s="6" t="s">
        <v>662</v>
      </c>
      <c r="S11" s="6" t="s">
        <v>661</v>
      </c>
      <c r="T11" s="6" t="s">
        <v>661</v>
      </c>
      <c r="U11" s="6" t="s">
        <v>67</v>
      </c>
      <c r="V11" s="6" t="s">
        <v>663</v>
      </c>
      <c r="W11" s="6" t="s">
        <v>177</v>
      </c>
    </row>
    <row r="12" spans="1:24">
      <c r="A12" s="6" t="s">
        <v>4</v>
      </c>
      <c r="B12" s="28" t="s">
        <v>672</v>
      </c>
      <c r="C12" s="28" t="s">
        <v>671</v>
      </c>
      <c r="D12" s="28" t="s">
        <v>525</v>
      </c>
      <c r="E12" s="28" t="s">
        <v>671</v>
      </c>
      <c r="F12" s="28" t="s">
        <v>525</v>
      </c>
      <c r="G12" s="6" t="s">
        <v>0</v>
      </c>
      <c r="H12" s="6" t="s">
        <v>0</v>
      </c>
      <c r="I12" s="6" t="s">
        <v>566</v>
      </c>
      <c r="J12" s="6" t="s">
        <v>566</v>
      </c>
      <c r="K12" s="6" t="s">
        <v>567</v>
      </c>
      <c r="L12" s="6" t="s">
        <v>567</v>
      </c>
      <c r="M12" s="6" t="s">
        <v>566</v>
      </c>
      <c r="N12" s="6" t="s">
        <v>567</v>
      </c>
      <c r="O12" s="6" t="s">
        <v>0</v>
      </c>
      <c r="P12" s="6" t="s">
        <v>566</v>
      </c>
      <c r="Q12" s="6" t="s">
        <v>567</v>
      </c>
      <c r="R12" s="6" t="s">
        <v>0</v>
      </c>
      <c r="S12" s="6" t="s">
        <v>117</v>
      </c>
      <c r="T12" s="6" t="s">
        <v>14</v>
      </c>
      <c r="U12" s="6" t="s">
        <v>661</v>
      </c>
      <c r="V12" s="6" t="s">
        <v>0</v>
      </c>
      <c r="W12" s="6" t="s">
        <v>16</v>
      </c>
    </row>
    <row r="13" spans="1:24">
      <c r="A13" s="10">
        <v>-1</v>
      </c>
      <c r="B13" s="10">
        <f>A13-1</f>
        <v>-2</v>
      </c>
      <c r="C13" s="10">
        <f>B13-1</f>
        <v>-3</v>
      </c>
      <c r="D13" s="10">
        <f t="shared" ref="D13:S13" si="0">C13-1</f>
        <v>-4</v>
      </c>
      <c r="E13" s="10">
        <f t="shared" si="0"/>
        <v>-5</v>
      </c>
      <c r="F13" s="10">
        <f t="shared" si="0"/>
        <v>-6</v>
      </c>
      <c r="G13" s="10">
        <f t="shared" si="0"/>
        <v>-7</v>
      </c>
      <c r="H13" s="10">
        <f t="shared" si="0"/>
        <v>-8</v>
      </c>
      <c r="I13" s="10">
        <f t="shared" si="0"/>
        <v>-9</v>
      </c>
      <c r="J13" s="10">
        <f t="shared" si="0"/>
        <v>-10</v>
      </c>
      <c r="K13" s="10">
        <f t="shared" si="0"/>
        <v>-11</v>
      </c>
      <c r="L13" s="10">
        <f t="shared" si="0"/>
        <v>-12</v>
      </c>
      <c r="M13" s="10">
        <f>L13-1</f>
        <v>-13</v>
      </c>
      <c r="N13" s="10">
        <f t="shared" si="0"/>
        <v>-14</v>
      </c>
      <c r="O13" s="10">
        <f t="shared" si="0"/>
        <v>-15</v>
      </c>
      <c r="P13" s="10">
        <f t="shared" si="0"/>
        <v>-16</v>
      </c>
      <c r="Q13" s="10">
        <f t="shared" si="0"/>
        <v>-17</v>
      </c>
      <c r="R13" s="10">
        <f t="shared" si="0"/>
        <v>-18</v>
      </c>
      <c r="S13" s="10">
        <f t="shared" si="0"/>
        <v>-19</v>
      </c>
      <c r="T13" s="10">
        <f>S13-1</f>
        <v>-20</v>
      </c>
      <c r="U13" s="10">
        <f>T13-1</f>
        <v>-21</v>
      </c>
      <c r="V13" s="10">
        <f>U13-1</f>
        <v>-22</v>
      </c>
      <c r="W13" s="10">
        <f>V13-1</f>
        <v>-23</v>
      </c>
    </row>
    <row r="14" spans="1:24">
      <c r="A14" s="80"/>
      <c r="B14" s="80"/>
      <c r="C14" s="6"/>
      <c r="D14" s="6"/>
      <c r="E14" s="6"/>
      <c r="F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</row>
    <row r="15" spans="1:24">
      <c r="A15" s="6">
        <v>1992</v>
      </c>
      <c r="B15" s="81">
        <f>'Exhibit O,3'!Q16+'Exhibit N,3'!Q16+'Exhibit O,3'!AB16</f>
        <v>0</v>
      </c>
      <c r="C15" s="81">
        <f>'Exhibit O,3'!R16+'Exhibit N,3'!R16</f>
        <v>34673446.140000001</v>
      </c>
      <c r="D15" s="81">
        <f>'Exhibit O,3'!S16+'Exhibit N,3'!S16</f>
        <v>34673446.140000001</v>
      </c>
      <c r="E15" s="81">
        <f>'Exhibit O,3'!T16+'Exhibit N,3'!T16</f>
        <v>34673446.140000001</v>
      </c>
      <c r="F15" s="81">
        <f>'Exhibit O,3'!U16+'Exhibit N,3'!U16</f>
        <v>34673446.140000001</v>
      </c>
      <c r="G15" s="81">
        <f>C15+E15-B15</f>
        <v>69346892.280000001</v>
      </c>
      <c r="H15" s="81">
        <f>D15+F15-B15</f>
        <v>69346892.280000001</v>
      </c>
      <c r="I15" s="81">
        <f>C15-B15</f>
        <v>34673446.140000001</v>
      </c>
      <c r="J15" s="81">
        <f>D15-B15</f>
        <v>34673446.140000001</v>
      </c>
      <c r="K15" s="81">
        <f>E15</f>
        <v>34673446.140000001</v>
      </c>
      <c r="L15" s="81">
        <f>F15</f>
        <v>34673446.140000001</v>
      </c>
      <c r="M15" s="81">
        <f>O15*(1-N$10)</f>
        <v>0</v>
      </c>
      <c r="N15" s="81">
        <f>O15-M15</f>
        <v>0</v>
      </c>
      <c r="O15" s="81">
        <f>'Exhibit F,1'!Y16</f>
        <v>0</v>
      </c>
      <c r="P15" s="81">
        <f>J15+M15</f>
        <v>34673446.140000001</v>
      </c>
      <c r="Q15" s="81">
        <f>L15+N15</f>
        <v>34673446.140000001</v>
      </c>
      <c r="R15" s="81">
        <f>P15+Q15</f>
        <v>69346892.280000001</v>
      </c>
      <c r="S15" s="81">
        <f>'Exhibit C,1'!X16</f>
        <v>0</v>
      </c>
      <c r="T15" s="87">
        <v>0</v>
      </c>
      <c r="U15" s="81">
        <f>S15+T15</f>
        <v>0</v>
      </c>
      <c r="V15" s="81">
        <f>R15+U15</f>
        <v>69346892.280000001</v>
      </c>
      <c r="W15" s="81"/>
      <c r="X15" s="17"/>
    </row>
    <row r="16" spans="1:24">
      <c r="A16" s="6">
        <f>A15+1</f>
        <v>1993</v>
      </c>
      <c r="B16" s="81">
        <f>'Exhibit O,3'!Q17+'Exhibit N,3'!Q17+'Exhibit O,3'!AB17</f>
        <v>0</v>
      </c>
      <c r="C16" s="81">
        <f>'Exhibit O,3'!R17+'Exhibit N,3'!R17</f>
        <v>53054735.739999995</v>
      </c>
      <c r="D16" s="81">
        <f>'Exhibit O,3'!S17+'Exhibit N,3'!S17</f>
        <v>53054735.739999995</v>
      </c>
      <c r="E16" s="81">
        <f>'Exhibit O,3'!T17+'Exhibit N,3'!T17</f>
        <v>53054735.739999995</v>
      </c>
      <c r="F16" s="81">
        <f>'Exhibit O,3'!U17+'Exhibit N,3'!U17</f>
        <v>53054735.739999995</v>
      </c>
      <c r="G16" s="81">
        <f t="shared" ref="G16:G44" si="1">C16+E16-B16</f>
        <v>106109471.47999999</v>
      </c>
      <c r="H16" s="81">
        <f t="shared" ref="H16:H44" si="2">D16+F16-B16</f>
        <v>106109471.47999999</v>
      </c>
      <c r="I16" s="81">
        <f t="shared" ref="I16:I44" si="3">C16-B16</f>
        <v>53054735.739999995</v>
      </c>
      <c r="J16" s="81">
        <f t="shared" ref="J16:J44" si="4">D16-B16</f>
        <v>53054735.739999995</v>
      </c>
      <c r="K16" s="81">
        <f t="shared" ref="K16:K44" si="5">E16</f>
        <v>53054735.739999995</v>
      </c>
      <c r="L16" s="81">
        <f t="shared" ref="L16:L44" si="6">F16</f>
        <v>53054735.739999995</v>
      </c>
      <c r="M16" s="81">
        <f t="shared" ref="M16:M44" si="7">O16*(1-N$10)</f>
        <v>0</v>
      </c>
      <c r="N16" s="81">
        <f t="shared" ref="N16:N44" si="8">O16-M16</f>
        <v>0</v>
      </c>
      <c r="O16" s="81">
        <f>'Exhibit F,1'!Y17</f>
        <v>0</v>
      </c>
      <c r="P16" s="81">
        <f t="shared" ref="P16:P44" si="9">J16+M16</f>
        <v>53054735.739999995</v>
      </c>
      <c r="Q16" s="81">
        <f t="shared" ref="Q16:Q44" si="10">L16+N16</f>
        <v>53054735.739999995</v>
      </c>
      <c r="R16" s="81">
        <f t="shared" ref="R16:R44" si="11">P16+Q16</f>
        <v>106109471.47999999</v>
      </c>
      <c r="S16" s="81">
        <f>'Exhibit C,1'!X17</f>
        <v>0</v>
      </c>
      <c r="T16" s="87">
        <v>0</v>
      </c>
      <c r="U16" s="81">
        <f t="shared" ref="U16:U44" si="12">S16+T16</f>
        <v>0</v>
      </c>
      <c r="V16" s="81">
        <f t="shared" ref="V16:V44" si="13">R16+U16</f>
        <v>106109471.47999999</v>
      </c>
      <c r="W16" s="81"/>
      <c r="X16" s="17"/>
    </row>
    <row r="17" spans="1:24">
      <c r="A17" s="6">
        <f t="shared" ref="A17:A43" si="14">A16+1</f>
        <v>1994</v>
      </c>
      <c r="B17" s="81">
        <f>'Exhibit O,3'!Q18+'Exhibit N,3'!Q18+'Exhibit O,3'!AB18</f>
        <v>0</v>
      </c>
      <c r="C17" s="81">
        <f>'Exhibit O,3'!R18+'Exhibit N,3'!R18</f>
        <v>46655939.089999996</v>
      </c>
      <c r="D17" s="81">
        <f>'Exhibit O,3'!S18+'Exhibit N,3'!S18</f>
        <v>46655939.089999996</v>
      </c>
      <c r="E17" s="81">
        <f>'Exhibit O,3'!T18+'Exhibit N,3'!T18</f>
        <v>46655939.089999996</v>
      </c>
      <c r="F17" s="81">
        <f>'Exhibit O,3'!U18+'Exhibit N,3'!U18</f>
        <v>46655939.089999996</v>
      </c>
      <c r="G17" s="81">
        <f t="shared" si="1"/>
        <v>93311878.179999992</v>
      </c>
      <c r="H17" s="81">
        <f t="shared" si="2"/>
        <v>93311878.179999992</v>
      </c>
      <c r="I17" s="81">
        <f t="shared" si="3"/>
        <v>46655939.089999996</v>
      </c>
      <c r="J17" s="81">
        <f t="shared" si="4"/>
        <v>46655939.089999996</v>
      </c>
      <c r="K17" s="81">
        <f t="shared" si="5"/>
        <v>46655939.089999996</v>
      </c>
      <c r="L17" s="81">
        <f t="shared" si="6"/>
        <v>46655939.089999996</v>
      </c>
      <c r="M17" s="81">
        <f t="shared" si="7"/>
        <v>0</v>
      </c>
      <c r="N17" s="81">
        <f t="shared" si="8"/>
        <v>0</v>
      </c>
      <c r="O17" s="81">
        <f>'Exhibit F,1'!Y18</f>
        <v>0</v>
      </c>
      <c r="P17" s="81">
        <f t="shared" si="9"/>
        <v>46655939.089999996</v>
      </c>
      <c r="Q17" s="81">
        <f t="shared" si="10"/>
        <v>46655939.089999996</v>
      </c>
      <c r="R17" s="81">
        <f t="shared" si="11"/>
        <v>93311878.179999992</v>
      </c>
      <c r="S17" s="81">
        <f>'Exhibit C,1'!X18</f>
        <v>0</v>
      </c>
      <c r="T17" s="87">
        <v>0</v>
      </c>
      <c r="U17" s="81">
        <f t="shared" si="12"/>
        <v>0</v>
      </c>
      <c r="V17" s="81">
        <f t="shared" si="13"/>
        <v>93311878.179999992</v>
      </c>
      <c r="W17" s="81"/>
      <c r="X17" s="17"/>
    </row>
    <row r="18" spans="1:24">
      <c r="A18" s="6">
        <f t="shared" si="14"/>
        <v>1995</v>
      </c>
      <c r="B18" s="81">
        <f>'Exhibit O,3'!Q19+'Exhibit N,3'!Q19+'Exhibit O,3'!AB19</f>
        <v>0</v>
      </c>
      <c r="C18" s="81">
        <f>'Exhibit O,3'!R19+'Exhibit N,3'!R19</f>
        <v>36175371.239999995</v>
      </c>
      <c r="D18" s="81">
        <f>'Exhibit O,3'!S19+'Exhibit N,3'!S19</f>
        <v>36175371.239999995</v>
      </c>
      <c r="E18" s="81">
        <f>'Exhibit O,3'!T19+'Exhibit N,3'!T19</f>
        <v>36175371.239999995</v>
      </c>
      <c r="F18" s="81">
        <f>'Exhibit O,3'!U19+'Exhibit N,3'!U19</f>
        <v>36175371.239999995</v>
      </c>
      <c r="G18" s="81">
        <f t="shared" si="1"/>
        <v>72350742.479999989</v>
      </c>
      <c r="H18" s="81">
        <f t="shared" si="2"/>
        <v>72350742.479999989</v>
      </c>
      <c r="I18" s="81">
        <f t="shared" si="3"/>
        <v>36175371.239999995</v>
      </c>
      <c r="J18" s="81">
        <f t="shared" si="4"/>
        <v>36175371.239999995</v>
      </c>
      <c r="K18" s="81">
        <f t="shared" si="5"/>
        <v>36175371.239999995</v>
      </c>
      <c r="L18" s="81">
        <f t="shared" si="6"/>
        <v>36175371.239999995</v>
      </c>
      <c r="M18" s="81">
        <f t="shared" si="7"/>
        <v>0</v>
      </c>
      <c r="N18" s="81">
        <f t="shared" si="8"/>
        <v>0</v>
      </c>
      <c r="O18" s="81">
        <f>'Exhibit F,1'!Y19</f>
        <v>0</v>
      </c>
      <c r="P18" s="81">
        <f t="shared" si="9"/>
        <v>36175371.239999995</v>
      </c>
      <c r="Q18" s="81">
        <f t="shared" si="10"/>
        <v>36175371.239999995</v>
      </c>
      <c r="R18" s="81">
        <f t="shared" si="11"/>
        <v>72350742.479999989</v>
      </c>
      <c r="S18" s="81">
        <f>'Exhibit C,1'!X19</f>
        <v>0</v>
      </c>
      <c r="T18" s="87">
        <v>0</v>
      </c>
      <c r="U18" s="81">
        <f t="shared" si="12"/>
        <v>0</v>
      </c>
      <c r="V18" s="81">
        <f t="shared" si="13"/>
        <v>72350742.479999989</v>
      </c>
      <c r="W18" s="81"/>
      <c r="X18" s="17"/>
    </row>
    <row r="19" spans="1:24">
      <c r="A19" s="6">
        <f t="shared" si="14"/>
        <v>1996</v>
      </c>
      <c r="B19" s="81">
        <f>'Exhibit O,3'!Q20+'Exhibit N,3'!Q20+'Exhibit O,3'!AB20</f>
        <v>0</v>
      </c>
      <c r="C19" s="81">
        <f>'Exhibit O,3'!R20+'Exhibit N,3'!R20</f>
        <v>53964670.75</v>
      </c>
      <c r="D19" s="81">
        <f>'Exhibit O,3'!S20+'Exhibit N,3'!S20</f>
        <v>53964670.75</v>
      </c>
      <c r="E19" s="81">
        <f>'Exhibit O,3'!T20+'Exhibit N,3'!T20</f>
        <v>53964670.75</v>
      </c>
      <c r="F19" s="81">
        <f>'Exhibit O,3'!U20+'Exhibit N,3'!U20</f>
        <v>53964670.75</v>
      </c>
      <c r="G19" s="81">
        <f t="shared" si="1"/>
        <v>107929341.5</v>
      </c>
      <c r="H19" s="81">
        <f t="shared" si="2"/>
        <v>107929341.5</v>
      </c>
      <c r="I19" s="81">
        <f t="shared" si="3"/>
        <v>53964670.75</v>
      </c>
      <c r="J19" s="81">
        <f t="shared" si="4"/>
        <v>53964670.75</v>
      </c>
      <c r="K19" s="81">
        <f t="shared" si="5"/>
        <v>53964670.75</v>
      </c>
      <c r="L19" s="81">
        <f t="shared" si="6"/>
        <v>53964670.75</v>
      </c>
      <c r="M19" s="81">
        <f t="shared" si="7"/>
        <v>0</v>
      </c>
      <c r="N19" s="81">
        <f t="shared" si="8"/>
        <v>0</v>
      </c>
      <c r="O19" s="81">
        <f>'Exhibit F,1'!Y20</f>
        <v>0</v>
      </c>
      <c r="P19" s="81">
        <f t="shared" si="9"/>
        <v>53964670.75</v>
      </c>
      <c r="Q19" s="81">
        <f t="shared" si="10"/>
        <v>53964670.75</v>
      </c>
      <c r="R19" s="81">
        <f t="shared" si="11"/>
        <v>107929341.5</v>
      </c>
      <c r="S19" s="81">
        <f>'Exhibit C,1'!X20</f>
        <v>0</v>
      </c>
      <c r="T19" s="87">
        <v>0</v>
      </c>
      <c r="U19" s="81">
        <f t="shared" si="12"/>
        <v>0</v>
      </c>
      <c r="V19" s="81">
        <f t="shared" si="13"/>
        <v>107929341.5</v>
      </c>
      <c r="W19" s="81"/>
      <c r="X19" s="17"/>
    </row>
    <row r="20" spans="1:24">
      <c r="A20" s="6">
        <f t="shared" si="14"/>
        <v>1997</v>
      </c>
      <c r="B20" s="81">
        <f>'Exhibit O,3'!Q21+'Exhibit N,3'!Q21+'Exhibit O,3'!AB21</f>
        <v>0</v>
      </c>
      <c r="C20" s="81">
        <f>'Exhibit O,3'!R21+'Exhibit N,3'!R21</f>
        <v>53421110.340000004</v>
      </c>
      <c r="D20" s="81">
        <f>'Exhibit O,3'!S21+'Exhibit N,3'!S21</f>
        <v>53421110.340000004</v>
      </c>
      <c r="E20" s="81">
        <f>'Exhibit O,3'!T21+'Exhibit N,3'!T21</f>
        <v>53421110.340000004</v>
      </c>
      <c r="F20" s="81">
        <f>'Exhibit O,3'!U21+'Exhibit N,3'!U21</f>
        <v>53421110.340000004</v>
      </c>
      <c r="G20" s="81">
        <f t="shared" si="1"/>
        <v>106842220.68000001</v>
      </c>
      <c r="H20" s="81">
        <f t="shared" si="2"/>
        <v>106842220.68000001</v>
      </c>
      <c r="I20" s="81">
        <f t="shared" si="3"/>
        <v>53421110.340000004</v>
      </c>
      <c r="J20" s="81">
        <f t="shared" si="4"/>
        <v>53421110.340000004</v>
      </c>
      <c r="K20" s="81">
        <f t="shared" si="5"/>
        <v>53421110.340000004</v>
      </c>
      <c r="L20" s="81">
        <f t="shared" si="6"/>
        <v>53421110.340000004</v>
      </c>
      <c r="M20" s="81">
        <f t="shared" si="7"/>
        <v>0</v>
      </c>
      <c r="N20" s="81">
        <f t="shared" si="8"/>
        <v>0</v>
      </c>
      <c r="O20" s="81">
        <f>'Exhibit F,1'!Y21</f>
        <v>0</v>
      </c>
      <c r="P20" s="81">
        <f t="shared" si="9"/>
        <v>53421110.340000004</v>
      </c>
      <c r="Q20" s="81">
        <f t="shared" si="10"/>
        <v>53421110.340000004</v>
      </c>
      <c r="R20" s="81">
        <f t="shared" si="11"/>
        <v>106842220.68000001</v>
      </c>
      <c r="S20" s="81">
        <f>'Exhibit C,1'!X21</f>
        <v>0</v>
      </c>
      <c r="T20" s="87">
        <v>0</v>
      </c>
      <c r="U20" s="81">
        <f t="shared" si="12"/>
        <v>0</v>
      </c>
      <c r="V20" s="81">
        <f t="shared" si="13"/>
        <v>106842220.68000001</v>
      </c>
      <c r="W20" s="81"/>
      <c r="X20" s="17"/>
    </row>
    <row r="21" spans="1:24">
      <c r="A21" s="6">
        <f t="shared" si="14"/>
        <v>1998</v>
      </c>
      <c r="B21" s="81">
        <f>'Exhibit O,3'!Q22+'Exhibit N,3'!Q22+'Exhibit O,3'!AB22</f>
        <v>0</v>
      </c>
      <c r="C21" s="81">
        <f>'Exhibit O,3'!R22+'Exhibit N,3'!R22</f>
        <v>43910495.93</v>
      </c>
      <c r="D21" s="81">
        <f>'Exhibit O,3'!S22+'Exhibit N,3'!S22</f>
        <v>43910495.93</v>
      </c>
      <c r="E21" s="81">
        <f>'Exhibit O,3'!T22+'Exhibit N,3'!T22</f>
        <v>43910495.93</v>
      </c>
      <c r="F21" s="81">
        <f>'Exhibit O,3'!U22+'Exhibit N,3'!U22</f>
        <v>43910495.93</v>
      </c>
      <c r="G21" s="81">
        <f t="shared" si="1"/>
        <v>87820991.859999999</v>
      </c>
      <c r="H21" s="81">
        <f t="shared" si="2"/>
        <v>87820991.859999999</v>
      </c>
      <c r="I21" s="81">
        <f t="shared" si="3"/>
        <v>43910495.93</v>
      </c>
      <c r="J21" s="81">
        <f t="shared" si="4"/>
        <v>43910495.93</v>
      </c>
      <c r="K21" s="81">
        <f t="shared" si="5"/>
        <v>43910495.93</v>
      </c>
      <c r="L21" s="81">
        <f t="shared" si="6"/>
        <v>43910495.93</v>
      </c>
      <c r="M21" s="81">
        <f t="shared" si="7"/>
        <v>0</v>
      </c>
      <c r="N21" s="81">
        <f t="shared" si="8"/>
        <v>0</v>
      </c>
      <c r="O21" s="81">
        <f>'Exhibit F,1'!Y22</f>
        <v>0</v>
      </c>
      <c r="P21" s="81">
        <f t="shared" si="9"/>
        <v>43910495.93</v>
      </c>
      <c r="Q21" s="81">
        <f t="shared" si="10"/>
        <v>43910495.93</v>
      </c>
      <c r="R21" s="81">
        <f t="shared" si="11"/>
        <v>87820991.859999999</v>
      </c>
      <c r="S21" s="81">
        <f>'Exhibit C,1'!X22</f>
        <v>0</v>
      </c>
      <c r="T21" s="87">
        <v>0</v>
      </c>
      <c r="U21" s="81">
        <f t="shared" si="12"/>
        <v>0</v>
      </c>
      <c r="V21" s="81">
        <f t="shared" si="13"/>
        <v>87820991.859999999</v>
      </c>
      <c r="W21" s="81"/>
      <c r="X21" s="17"/>
    </row>
    <row r="22" spans="1:24">
      <c r="A22" s="6">
        <f t="shared" si="14"/>
        <v>1999</v>
      </c>
      <c r="B22" s="81">
        <f>'Exhibit O,3'!Q23+'Exhibit N,3'!Q23+'Exhibit O,3'!AB23</f>
        <v>0</v>
      </c>
      <c r="C22" s="81">
        <f>'Exhibit O,3'!R23+'Exhibit N,3'!R23</f>
        <v>34627879.330000006</v>
      </c>
      <c r="D22" s="81">
        <f>'Exhibit O,3'!S23+'Exhibit N,3'!S23</f>
        <v>34627879.330000006</v>
      </c>
      <c r="E22" s="81">
        <f>'Exhibit O,3'!T23+'Exhibit N,3'!T23</f>
        <v>34627879.330000006</v>
      </c>
      <c r="F22" s="81">
        <f>'Exhibit O,3'!U23+'Exhibit N,3'!U23</f>
        <v>34627879.330000006</v>
      </c>
      <c r="G22" s="81">
        <f t="shared" si="1"/>
        <v>69255758.660000011</v>
      </c>
      <c r="H22" s="81">
        <f t="shared" si="2"/>
        <v>69255758.660000011</v>
      </c>
      <c r="I22" s="81">
        <f t="shared" si="3"/>
        <v>34627879.330000006</v>
      </c>
      <c r="J22" s="81">
        <f t="shared" si="4"/>
        <v>34627879.330000006</v>
      </c>
      <c r="K22" s="81">
        <f t="shared" si="5"/>
        <v>34627879.330000006</v>
      </c>
      <c r="L22" s="81">
        <f t="shared" si="6"/>
        <v>34627879.330000006</v>
      </c>
      <c r="M22" s="81">
        <f t="shared" si="7"/>
        <v>0</v>
      </c>
      <c r="N22" s="81">
        <f t="shared" si="8"/>
        <v>0</v>
      </c>
      <c r="O22" s="81">
        <f>'Exhibit F,1'!Y23</f>
        <v>0</v>
      </c>
      <c r="P22" s="81">
        <f t="shared" si="9"/>
        <v>34627879.330000006</v>
      </c>
      <c r="Q22" s="81">
        <f t="shared" si="10"/>
        <v>34627879.330000006</v>
      </c>
      <c r="R22" s="81">
        <f t="shared" si="11"/>
        <v>69255758.660000011</v>
      </c>
      <c r="S22" s="81">
        <f>'Exhibit C,1'!X23</f>
        <v>0</v>
      </c>
      <c r="T22" s="87">
        <v>0</v>
      </c>
      <c r="U22" s="81">
        <f t="shared" si="12"/>
        <v>0</v>
      </c>
      <c r="V22" s="81">
        <f t="shared" si="13"/>
        <v>69255758.660000011</v>
      </c>
      <c r="W22" s="81"/>
      <c r="X22" s="17"/>
    </row>
    <row r="23" spans="1:24">
      <c r="A23" s="6">
        <f t="shared" si="14"/>
        <v>2000</v>
      </c>
      <c r="B23" s="81">
        <f>'Exhibit O,3'!Q24+'Exhibit N,3'!Q24+'Exhibit O,3'!AB24</f>
        <v>0</v>
      </c>
      <c r="C23" s="81">
        <f>'Exhibit O,3'!R24+'Exhibit N,3'!R24</f>
        <v>39010397.339999989</v>
      </c>
      <c r="D23" s="81">
        <f>'Exhibit O,3'!S24+'Exhibit N,3'!S24</f>
        <v>39010397.339999989</v>
      </c>
      <c r="E23" s="81">
        <f>'Exhibit O,3'!T24+'Exhibit N,3'!T24</f>
        <v>39010397.339999989</v>
      </c>
      <c r="F23" s="81">
        <f>'Exhibit O,3'!U24+'Exhibit N,3'!U24</f>
        <v>39010397.339999989</v>
      </c>
      <c r="G23" s="81">
        <f t="shared" si="1"/>
        <v>78020794.679999977</v>
      </c>
      <c r="H23" s="81">
        <f t="shared" si="2"/>
        <v>78020794.679999977</v>
      </c>
      <c r="I23" s="81">
        <f t="shared" si="3"/>
        <v>39010397.339999989</v>
      </c>
      <c r="J23" s="81">
        <f t="shared" si="4"/>
        <v>39010397.339999989</v>
      </c>
      <c r="K23" s="81">
        <f t="shared" si="5"/>
        <v>39010397.339999989</v>
      </c>
      <c r="L23" s="81">
        <f t="shared" si="6"/>
        <v>39010397.339999989</v>
      </c>
      <c r="M23" s="81">
        <f t="shared" si="7"/>
        <v>0</v>
      </c>
      <c r="N23" s="81">
        <f t="shared" si="8"/>
        <v>0</v>
      </c>
      <c r="O23" s="81">
        <f>'Exhibit F,1'!Y24</f>
        <v>0</v>
      </c>
      <c r="P23" s="81">
        <f t="shared" si="9"/>
        <v>39010397.339999989</v>
      </c>
      <c r="Q23" s="81">
        <f t="shared" si="10"/>
        <v>39010397.339999989</v>
      </c>
      <c r="R23" s="81">
        <f t="shared" si="11"/>
        <v>78020794.679999977</v>
      </c>
      <c r="S23" s="81">
        <f>'Exhibit C,1'!X24</f>
        <v>0</v>
      </c>
      <c r="T23" s="87">
        <v>0</v>
      </c>
      <c r="U23" s="81">
        <f t="shared" si="12"/>
        <v>0</v>
      </c>
      <c r="V23" s="81">
        <f t="shared" si="13"/>
        <v>78020794.679999977</v>
      </c>
      <c r="W23" s="81"/>
      <c r="X23" s="17"/>
    </row>
    <row r="24" spans="1:24">
      <c r="A24" s="6">
        <f t="shared" si="14"/>
        <v>2001</v>
      </c>
      <c r="B24" s="81">
        <f>'Exhibit O,3'!Q25+'Exhibit N,3'!Q25+'Exhibit O,3'!AB25</f>
        <v>0</v>
      </c>
      <c r="C24" s="81">
        <f>'Exhibit O,3'!R25+'Exhibit N,3'!R25</f>
        <v>36418044.310000002</v>
      </c>
      <c r="D24" s="81">
        <f>'Exhibit O,3'!S25+'Exhibit N,3'!S25</f>
        <v>36418044.310000002</v>
      </c>
      <c r="E24" s="81">
        <f>'Exhibit O,3'!T25+'Exhibit N,3'!T25</f>
        <v>36418044.310000002</v>
      </c>
      <c r="F24" s="81">
        <f>'Exhibit O,3'!U25+'Exhibit N,3'!U25</f>
        <v>36418044.310000002</v>
      </c>
      <c r="G24" s="81">
        <f t="shared" si="1"/>
        <v>72836088.620000005</v>
      </c>
      <c r="H24" s="81">
        <f t="shared" si="2"/>
        <v>72836088.620000005</v>
      </c>
      <c r="I24" s="81">
        <f t="shared" si="3"/>
        <v>36418044.310000002</v>
      </c>
      <c r="J24" s="81">
        <f t="shared" si="4"/>
        <v>36418044.310000002</v>
      </c>
      <c r="K24" s="81">
        <f t="shared" si="5"/>
        <v>36418044.310000002</v>
      </c>
      <c r="L24" s="81">
        <f t="shared" si="6"/>
        <v>36418044.310000002</v>
      </c>
      <c r="M24" s="81">
        <f t="shared" si="7"/>
        <v>0</v>
      </c>
      <c r="N24" s="81">
        <f t="shared" si="8"/>
        <v>0</v>
      </c>
      <c r="O24" s="81">
        <f>'Exhibit F,1'!Y25</f>
        <v>0</v>
      </c>
      <c r="P24" s="81">
        <f t="shared" si="9"/>
        <v>36418044.310000002</v>
      </c>
      <c r="Q24" s="81">
        <f t="shared" si="10"/>
        <v>36418044.310000002</v>
      </c>
      <c r="R24" s="81">
        <f t="shared" si="11"/>
        <v>72836088.620000005</v>
      </c>
      <c r="S24" s="81">
        <f>'Exhibit C,1'!X25</f>
        <v>0</v>
      </c>
      <c r="T24" s="87">
        <v>0</v>
      </c>
      <c r="U24" s="81">
        <f t="shared" si="12"/>
        <v>0</v>
      </c>
      <c r="V24" s="81">
        <f t="shared" si="13"/>
        <v>72836088.620000005</v>
      </c>
      <c r="W24" s="81"/>
      <c r="X24" s="17"/>
    </row>
    <row r="25" spans="1:24">
      <c r="A25" s="6">
        <f t="shared" si="14"/>
        <v>2002</v>
      </c>
      <c r="B25" s="81">
        <f>'Exhibit O,3'!Q26+'Exhibit N,3'!Q26+'Exhibit O,3'!AB26</f>
        <v>0</v>
      </c>
      <c r="C25" s="81">
        <f>'Exhibit O,3'!R26+'Exhibit N,3'!R26</f>
        <v>19328436.559999995</v>
      </c>
      <c r="D25" s="81">
        <f>'Exhibit O,3'!S26+'Exhibit N,3'!S26</f>
        <v>19328436.559999995</v>
      </c>
      <c r="E25" s="81">
        <f>'Exhibit O,3'!T26+'Exhibit N,3'!T26</f>
        <v>19328436.559999995</v>
      </c>
      <c r="F25" s="81">
        <f>'Exhibit O,3'!U26+'Exhibit N,3'!U26</f>
        <v>19328436.559999995</v>
      </c>
      <c r="G25" s="81">
        <f t="shared" si="1"/>
        <v>38656873.11999999</v>
      </c>
      <c r="H25" s="81">
        <f t="shared" si="2"/>
        <v>38656873.11999999</v>
      </c>
      <c r="I25" s="81">
        <f t="shared" si="3"/>
        <v>19328436.559999995</v>
      </c>
      <c r="J25" s="81">
        <f t="shared" si="4"/>
        <v>19328436.559999995</v>
      </c>
      <c r="K25" s="81">
        <f t="shared" si="5"/>
        <v>19328436.559999995</v>
      </c>
      <c r="L25" s="81">
        <f t="shared" si="6"/>
        <v>19328436.559999995</v>
      </c>
      <c r="M25" s="81">
        <f t="shared" si="7"/>
        <v>0</v>
      </c>
      <c r="N25" s="81">
        <f t="shared" si="8"/>
        <v>0</v>
      </c>
      <c r="O25" s="81">
        <f>'Exhibit F,1'!Y26</f>
        <v>0</v>
      </c>
      <c r="P25" s="81">
        <f t="shared" si="9"/>
        <v>19328436.559999995</v>
      </c>
      <c r="Q25" s="81">
        <f t="shared" si="10"/>
        <v>19328436.559999995</v>
      </c>
      <c r="R25" s="81">
        <f t="shared" si="11"/>
        <v>38656873.11999999</v>
      </c>
      <c r="S25" s="81">
        <f>'Exhibit C,1'!X26</f>
        <v>0</v>
      </c>
      <c r="T25" s="87">
        <v>0</v>
      </c>
      <c r="U25" s="81">
        <f t="shared" si="12"/>
        <v>0</v>
      </c>
      <c r="V25" s="81">
        <f t="shared" si="13"/>
        <v>38656873.11999999</v>
      </c>
      <c r="W25" s="81"/>
      <c r="X25" s="17"/>
    </row>
    <row r="26" spans="1:24">
      <c r="A26" s="6">
        <f t="shared" si="14"/>
        <v>2003</v>
      </c>
      <c r="B26" s="81">
        <f>'Exhibit O,3'!Q27+'Exhibit N,3'!Q27+'Exhibit O,3'!AB27</f>
        <v>0</v>
      </c>
      <c r="C26" s="81">
        <f>'Exhibit O,3'!R27+'Exhibit N,3'!R27</f>
        <v>20518160.280000001</v>
      </c>
      <c r="D26" s="81">
        <f>'Exhibit O,3'!S27+'Exhibit N,3'!S27</f>
        <v>20518160.280000001</v>
      </c>
      <c r="E26" s="81">
        <f>'Exhibit O,3'!T27+'Exhibit N,3'!T27</f>
        <v>20518160.280000001</v>
      </c>
      <c r="F26" s="81">
        <f>'Exhibit O,3'!U27+'Exhibit N,3'!U27</f>
        <v>20518160.280000001</v>
      </c>
      <c r="G26" s="81">
        <f t="shared" si="1"/>
        <v>41036320.560000002</v>
      </c>
      <c r="H26" s="81">
        <f t="shared" si="2"/>
        <v>41036320.560000002</v>
      </c>
      <c r="I26" s="81">
        <f t="shared" si="3"/>
        <v>20518160.280000001</v>
      </c>
      <c r="J26" s="81">
        <f t="shared" si="4"/>
        <v>20518160.280000001</v>
      </c>
      <c r="K26" s="81">
        <f t="shared" si="5"/>
        <v>20518160.280000001</v>
      </c>
      <c r="L26" s="81">
        <f t="shared" si="6"/>
        <v>20518160.280000001</v>
      </c>
      <c r="M26" s="81">
        <f t="shared" si="7"/>
        <v>0</v>
      </c>
      <c r="N26" s="81">
        <f t="shared" si="8"/>
        <v>0</v>
      </c>
      <c r="O26" s="81">
        <f>'Exhibit F,1'!Y27</f>
        <v>0</v>
      </c>
      <c r="P26" s="81">
        <f t="shared" si="9"/>
        <v>20518160.280000001</v>
      </c>
      <c r="Q26" s="81">
        <f t="shared" si="10"/>
        <v>20518160.280000001</v>
      </c>
      <c r="R26" s="81">
        <f t="shared" si="11"/>
        <v>41036320.560000002</v>
      </c>
      <c r="S26" s="81">
        <f>'Exhibit C,1'!X27</f>
        <v>0</v>
      </c>
      <c r="T26" s="87">
        <v>0</v>
      </c>
      <c r="U26" s="81">
        <f t="shared" si="12"/>
        <v>0</v>
      </c>
      <c r="V26" s="81">
        <f t="shared" si="13"/>
        <v>41036320.560000002</v>
      </c>
      <c r="W26" s="81"/>
      <c r="X26" s="17"/>
    </row>
    <row r="27" spans="1:24">
      <c r="A27" s="6">
        <f t="shared" si="14"/>
        <v>2004</v>
      </c>
      <c r="B27" s="81">
        <f>'Exhibit O,3'!Q28+'Exhibit N,3'!Q28+'Exhibit O,3'!AB28</f>
        <v>0</v>
      </c>
      <c r="C27" s="81">
        <f>'Exhibit O,3'!R28+'Exhibit N,3'!R28</f>
        <v>20009669.5</v>
      </c>
      <c r="D27" s="81">
        <f>'Exhibit O,3'!S28+'Exhibit N,3'!S28</f>
        <v>20009669.5</v>
      </c>
      <c r="E27" s="81">
        <f>'Exhibit O,3'!T28+'Exhibit N,3'!T28</f>
        <v>20006988</v>
      </c>
      <c r="F27" s="81">
        <f>'Exhibit O,3'!U28+'Exhibit N,3'!U28</f>
        <v>20215805.799999997</v>
      </c>
      <c r="G27" s="81">
        <f t="shared" si="1"/>
        <v>40016657.5</v>
      </c>
      <c r="H27" s="81">
        <f t="shared" si="2"/>
        <v>40225475.299999997</v>
      </c>
      <c r="I27" s="81">
        <f t="shared" si="3"/>
        <v>20009669.5</v>
      </c>
      <c r="J27" s="81">
        <f t="shared" si="4"/>
        <v>20009669.5</v>
      </c>
      <c r="K27" s="81">
        <f t="shared" si="5"/>
        <v>20006988</v>
      </c>
      <c r="L27" s="81">
        <f t="shared" si="6"/>
        <v>20215805.799999997</v>
      </c>
      <c r="M27" s="81">
        <f t="shared" si="7"/>
        <v>0</v>
      </c>
      <c r="N27" s="81">
        <f t="shared" si="8"/>
        <v>0</v>
      </c>
      <c r="O27" s="81">
        <f>'Exhibit F,1'!Y28</f>
        <v>0</v>
      </c>
      <c r="P27" s="81">
        <f t="shared" si="9"/>
        <v>20009669.5</v>
      </c>
      <c r="Q27" s="81">
        <f t="shared" si="10"/>
        <v>20215805.799999997</v>
      </c>
      <c r="R27" s="81">
        <f t="shared" si="11"/>
        <v>40225475.299999997</v>
      </c>
      <c r="S27" s="81">
        <f>'Exhibit C,1'!X28</f>
        <v>0</v>
      </c>
      <c r="T27" s="87">
        <v>0</v>
      </c>
      <c r="U27" s="81">
        <f t="shared" si="12"/>
        <v>0</v>
      </c>
      <c r="V27" s="81">
        <f t="shared" si="13"/>
        <v>40225475.299999997</v>
      </c>
      <c r="W27" s="81"/>
      <c r="X27" s="17"/>
    </row>
    <row r="28" spans="1:24">
      <c r="A28" s="6">
        <f t="shared" si="14"/>
        <v>2005</v>
      </c>
      <c r="B28" s="81">
        <f>'Exhibit O,3'!Q29+'Exhibit N,3'!Q29+'Exhibit O,3'!AB29</f>
        <v>0</v>
      </c>
      <c r="C28" s="81">
        <f>'Exhibit O,3'!R29+'Exhibit N,3'!R29</f>
        <v>21064584.210000001</v>
      </c>
      <c r="D28" s="81">
        <f>'Exhibit O,3'!S29+'Exhibit N,3'!S29</f>
        <v>21064584.210000001</v>
      </c>
      <c r="E28" s="81">
        <f>'Exhibit O,3'!T29+'Exhibit N,3'!T29</f>
        <v>21064584.210000001</v>
      </c>
      <c r="F28" s="81">
        <f>'Exhibit O,3'!U29+'Exhibit N,3'!U29</f>
        <v>21064584.210000001</v>
      </c>
      <c r="G28" s="81">
        <f t="shared" si="1"/>
        <v>42129168.420000002</v>
      </c>
      <c r="H28" s="81">
        <f t="shared" si="2"/>
        <v>42129168.420000002</v>
      </c>
      <c r="I28" s="81">
        <f t="shared" si="3"/>
        <v>21064584.210000001</v>
      </c>
      <c r="J28" s="81">
        <f t="shared" si="4"/>
        <v>21064584.210000001</v>
      </c>
      <c r="K28" s="81">
        <f t="shared" si="5"/>
        <v>21064584.210000001</v>
      </c>
      <c r="L28" s="81">
        <f t="shared" si="6"/>
        <v>21064584.210000001</v>
      </c>
      <c r="M28" s="81">
        <f t="shared" si="7"/>
        <v>0</v>
      </c>
      <c r="N28" s="81">
        <f t="shared" si="8"/>
        <v>0</v>
      </c>
      <c r="O28" s="81">
        <f>'Exhibit F,1'!Y29</f>
        <v>0</v>
      </c>
      <c r="P28" s="81">
        <f t="shared" si="9"/>
        <v>21064584.210000001</v>
      </c>
      <c r="Q28" s="81">
        <f t="shared" si="10"/>
        <v>21064584.210000001</v>
      </c>
      <c r="R28" s="81">
        <f t="shared" si="11"/>
        <v>42129168.420000002</v>
      </c>
      <c r="S28" s="81">
        <f>'Exhibit C,1'!X29</f>
        <v>0</v>
      </c>
      <c r="T28" s="87">
        <v>0</v>
      </c>
      <c r="U28" s="81">
        <f t="shared" si="12"/>
        <v>0</v>
      </c>
      <c r="V28" s="81">
        <f t="shared" si="13"/>
        <v>42129168.420000002</v>
      </c>
      <c r="W28" s="81"/>
      <c r="X28" s="17"/>
    </row>
    <row r="29" spans="1:24">
      <c r="A29" s="6">
        <f t="shared" si="14"/>
        <v>2006</v>
      </c>
      <c r="B29" s="81">
        <f>'Exhibit O,3'!Q30+'Exhibit N,3'!Q30+'Exhibit O,3'!AB30</f>
        <v>0</v>
      </c>
      <c r="C29" s="81">
        <f>'Exhibit O,3'!R30+'Exhibit N,3'!R30</f>
        <v>21023781.949999999</v>
      </c>
      <c r="D29" s="81">
        <f>'Exhibit O,3'!S30+'Exhibit N,3'!S30</f>
        <v>21023781.949999999</v>
      </c>
      <c r="E29" s="81">
        <f>'Exhibit O,3'!T30+'Exhibit N,3'!T30</f>
        <v>21023781.949999999</v>
      </c>
      <c r="F29" s="81">
        <f>'Exhibit O,3'!U30+'Exhibit N,3'!U30</f>
        <v>21023781.949999999</v>
      </c>
      <c r="G29" s="81">
        <f t="shared" si="1"/>
        <v>42047563.899999999</v>
      </c>
      <c r="H29" s="81">
        <f t="shared" si="2"/>
        <v>42047563.899999999</v>
      </c>
      <c r="I29" s="81">
        <f t="shared" si="3"/>
        <v>21023781.949999999</v>
      </c>
      <c r="J29" s="81">
        <f t="shared" si="4"/>
        <v>21023781.949999999</v>
      </c>
      <c r="K29" s="81">
        <f t="shared" si="5"/>
        <v>21023781.949999999</v>
      </c>
      <c r="L29" s="81">
        <f t="shared" si="6"/>
        <v>21023781.949999999</v>
      </c>
      <c r="M29" s="81">
        <f t="shared" si="7"/>
        <v>0</v>
      </c>
      <c r="N29" s="81">
        <f t="shared" si="8"/>
        <v>0</v>
      </c>
      <c r="O29" s="81">
        <f>'Exhibit F,1'!Y30</f>
        <v>0</v>
      </c>
      <c r="P29" s="81">
        <f t="shared" si="9"/>
        <v>21023781.949999999</v>
      </c>
      <c r="Q29" s="81">
        <f t="shared" si="10"/>
        <v>21023781.949999999</v>
      </c>
      <c r="R29" s="81">
        <f t="shared" si="11"/>
        <v>42047563.899999999</v>
      </c>
      <c r="S29" s="81">
        <f>'Exhibit C,1'!X30</f>
        <v>0</v>
      </c>
      <c r="T29" s="87">
        <v>0</v>
      </c>
      <c r="U29" s="81">
        <f t="shared" si="12"/>
        <v>0</v>
      </c>
      <c r="V29" s="81">
        <f t="shared" si="13"/>
        <v>42047563.899999999</v>
      </c>
      <c r="W29" s="81"/>
      <c r="X29" s="17"/>
    </row>
    <row r="30" spans="1:24">
      <c r="A30" s="6">
        <f t="shared" si="14"/>
        <v>2007</v>
      </c>
      <c r="B30" s="81">
        <f>'Exhibit O,3'!Q31+'Exhibit N,3'!Q31+'Exhibit O,3'!AB31</f>
        <v>0</v>
      </c>
      <c r="C30" s="81">
        <f>'Exhibit O,3'!R31+'Exhibit N,3'!R31</f>
        <v>18970738.100000001</v>
      </c>
      <c r="D30" s="81">
        <f>'Exhibit O,3'!S31+'Exhibit N,3'!S31</f>
        <v>18970738.100000001</v>
      </c>
      <c r="E30" s="81">
        <f>'Exhibit O,3'!T31+'Exhibit N,3'!T31</f>
        <v>18970738.100000001</v>
      </c>
      <c r="F30" s="81">
        <f>'Exhibit O,3'!U31+'Exhibit N,3'!U31</f>
        <v>18970738.100000001</v>
      </c>
      <c r="G30" s="81">
        <f t="shared" si="1"/>
        <v>37941476.200000003</v>
      </c>
      <c r="H30" s="81">
        <f t="shared" si="2"/>
        <v>37941476.200000003</v>
      </c>
      <c r="I30" s="81">
        <f t="shared" si="3"/>
        <v>18970738.100000001</v>
      </c>
      <c r="J30" s="81">
        <f t="shared" si="4"/>
        <v>18970738.100000001</v>
      </c>
      <c r="K30" s="81">
        <f t="shared" si="5"/>
        <v>18970738.100000001</v>
      </c>
      <c r="L30" s="81">
        <f t="shared" si="6"/>
        <v>18970738.100000001</v>
      </c>
      <c r="M30" s="81">
        <f t="shared" si="7"/>
        <v>0</v>
      </c>
      <c r="N30" s="81">
        <f t="shared" si="8"/>
        <v>0</v>
      </c>
      <c r="O30" s="81">
        <f>'Exhibit F,1'!Y31</f>
        <v>0</v>
      </c>
      <c r="P30" s="81">
        <f t="shared" si="9"/>
        <v>18970738.100000001</v>
      </c>
      <c r="Q30" s="81">
        <f t="shared" si="10"/>
        <v>18970738.100000001</v>
      </c>
      <c r="R30" s="81">
        <f t="shared" si="11"/>
        <v>37941476.200000003</v>
      </c>
      <c r="S30" s="81">
        <f>'Exhibit C,1'!X31</f>
        <v>0</v>
      </c>
      <c r="T30" s="87">
        <v>0</v>
      </c>
      <c r="U30" s="81">
        <f t="shared" si="12"/>
        <v>0</v>
      </c>
      <c r="V30" s="81">
        <f t="shared" si="13"/>
        <v>37941476.200000003</v>
      </c>
      <c r="W30" s="81"/>
      <c r="X30" s="17"/>
    </row>
    <row r="31" spans="1:24">
      <c r="A31" s="6">
        <f t="shared" si="14"/>
        <v>2008</v>
      </c>
      <c r="B31" s="81">
        <f>'Exhibit O,3'!Q32+'Exhibit N,3'!Q32+'Exhibit O,3'!AB32</f>
        <v>0</v>
      </c>
      <c r="C31" s="81">
        <f>'Exhibit O,3'!R32+'Exhibit N,3'!R32</f>
        <v>25135887.52</v>
      </c>
      <c r="D31" s="81">
        <f>'Exhibit O,3'!S32+'Exhibit N,3'!S32</f>
        <v>25135887.52</v>
      </c>
      <c r="E31" s="81">
        <f>'Exhibit O,3'!T32+'Exhibit N,3'!T32</f>
        <v>25135887.52</v>
      </c>
      <c r="F31" s="81">
        <f>'Exhibit O,3'!U32+'Exhibit N,3'!U32</f>
        <v>25135887.52</v>
      </c>
      <c r="G31" s="81">
        <f t="shared" si="1"/>
        <v>50271775.039999999</v>
      </c>
      <c r="H31" s="81">
        <f t="shared" si="2"/>
        <v>50271775.039999999</v>
      </c>
      <c r="I31" s="81">
        <f t="shared" si="3"/>
        <v>25135887.52</v>
      </c>
      <c r="J31" s="81">
        <f t="shared" si="4"/>
        <v>25135887.52</v>
      </c>
      <c r="K31" s="81">
        <f t="shared" si="5"/>
        <v>25135887.52</v>
      </c>
      <c r="L31" s="81">
        <f t="shared" si="6"/>
        <v>25135887.52</v>
      </c>
      <c r="M31" s="81">
        <f t="shared" si="7"/>
        <v>0</v>
      </c>
      <c r="N31" s="81">
        <f t="shared" si="8"/>
        <v>0</v>
      </c>
      <c r="O31" s="81">
        <f>'Exhibit F,1'!Y32</f>
        <v>0</v>
      </c>
      <c r="P31" s="81">
        <f t="shared" si="9"/>
        <v>25135887.52</v>
      </c>
      <c r="Q31" s="81">
        <f t="shared" si="10"/>
        <v>25135887.52</v>
      </c>
      <c r="R31" s="81">
        <f t="shared" si="11"/>
        <v>50271775.039999999</v>
      </c>
      <c r="S31" s="81">
        <f>'Exhibit C,1'!X32</f>
        <v>0</v>
      </c>
      <c r="T31" s="87">
        <v>0</v>
      </c>
      <c r="U31" s="81">
        <f t="shared" si="12"/>
        <v>0</v>
      </c>
      <c r="V31" s="81">
        <f t="shared" si="13"/>
        <v>50271775.039999999</v>
      </c>
      <c r="W31" s="81"/>
      <c r="X31" s="17"/>
    </row>
    <row r="32" spans="1:24">
      <c r="A32" s="6">
        <f t="shared" si="14"/>
        <v>2009</v>
      </c>
      <c r="B32" s="81">
        <f>'Exhibit O,3'!Q33+'Exhibit N,3'!Q33+'Exhibit O,3'!AB33</f>
        <v>23403618.033471968</v>
      </c>
      <c r="C32" s="81">
        <f>'Exhibit O,3'!R33+'Exhibit N,3'!R33</f>
        <v>16859176.939999998</v>
      </c>
      <c r="D32" s="81">
        <f>'Exhibit O,3'!S33+'Exhibit N,3'!S33</f>
        <v>16859176.939999998</v>
      </c>
      <c r="E32" s="81">
        <f>'Exhibit O,3'!T33+'Exhibit N,3'!T33</f>
        <v>16859176.939999998</v>
      </c>
      <c r="F32" s="81">
        <f>'Exhibit O,3'!U33+'Exhibit N,3'!U33</f>
        <v>16859176.939999998</v>
      </c>
      <c r="G32" s="81">
        <f t="shared" si="1"/>
        <v>10314735.846528027</v>
      </c>
      <c r="H32" s="81">
        <f t="shared" si="2"/>
        <v>10314735.846528027</v>
      </c>
      <c r="I32" s="81">
        <f t="shared" si="3"/>
        <v>-6544441.0934719704</v>
      </c>
      <c r="J32" s="81">
        <f t="shared" si="4"/>
        <v>-6544441.0934719704</v>
      </c>
      <c r="K32" s="81">
        <f t="shared" si="5"/>
        <v>16859176.939999998</v>
      </c>
      <c r="L32" s="81">
        <f t="shared" si="6"/>
        <v>16859176.939999998</v>
      </c>
      <c r="M32" s="81">
        <f t="shared" si="7"/>
        <v>0</v>
      </c>
      <c r="N32" s="81">
        <f t="shared" si="8"/>
        <v>0</v>
      </c>
      <c r="O32" s="81">
        <f>'Exhibit F,1'!Y33</f>
        <v>0</v>
      </c>
      <c r="P32" s="81">
        <f t="shared" si="9"/>
        <v>-6544441.0934719704</v>
      </c>
      <c r="Q32" s="81">
        <f t="shared" si="10"/>
        <v>16859176.939999998</v>
      </c>
      <c r="R32" s="81">
        <f t="shared" si="11"/>
        <v>10314735.846528027</v>
      </c>
      <c r="S32" s="81">
        <f>'Exhibit C,1'!X33</f>
        <v>0</v>
      </c>
      <c r="T32" s="87">
        <v>0</v>
      </c>
      <c r="U32" s="81">
        <f t="shared" si="12"/>
        <v>0</v>
      </c>
      <c r="V32" s="81">
        <f t="shared" si="13"/>
        <v>10314735.846528027</v>
      </c>
      <c r="W32" s="81"/>
      <c r="X32" s="17"/>
    </row>
    <row r="33" spans="1:24">
      <c r="A33" s="6">
        <f t="shared" si="14"/>
        <v>2010</v>
      </c>
      <c r="B33" s="81">
        <f>'Exhibit O,3'!Q34+'Exhibit N,3'!Q34+'Exhibit O,3'!AB34</f>
        <v>22257304.835152261</v>
      </c>
      <c r="C33" s="81">
        <f>'Exhibit O,3'!R34+'Exhibit N,3'!R34</f>
        <v>23396663.590000004</v>
      </c>
      <c r="D33" s="81">
        <f>'Exhibit O,3'!S34+'Exhibit N,3'!S34</f>
        <v>23495663.590000004</v>
      </c>
      <c r="E33" s="81">
        <f>'Exhibit O,3'!T34+'Exhibit N,3'!T34</f>
        <v>23351800.160000004</v>
      </c>
      <c r="F33" s="81">
        <f>'Exhibit O,3'!U34+'Exhibit N,3'!U34</f>
        <v>23472370.420000002</v>
      </c>
      <c r="G33" s="81">
        <f t="shared" si="1"/>
        <v>24491158.914847746</v>
      </c>
      <c r="H33" s="81">
        <f t="shared" si="2"/>
        <v>24710729.174847744</v>
      </c>
      <c r="I33" s="81">
        <f t="shared" si="3"/>
        <v>1139358.7548477426</v>
      </c>
      <c r="J33" s="81">
        <f t="shared" si="4"/>
        <v>1238358.7548477426</v>
      </c>
      <c r="K33" s="81">
        <f t="shared" si="5"/>
        <v>23351800.160000004</v>
      </c>
      <c r="L33" s="81">
        <f t="shared" si="6"/>
        <v>23472370.420000002</v>
      </c>
      <c r="M33" s="81">
        <f t="shared" si="7"/>
        <v>0</v>
      </c>
      <c r="N33" s="81">
        <f t="shared" si="8"/>
        <v>0</v>
      </c>
      <c r="O33" s="81">
        <f>'Exhibit F,1'!Y34</f>
        <v>0</v>
      </c>
      <c r="P33" s="81">
        <f t="shared" si="9"/>
        <v>1238358.7548477426</v>
      </c>
      <c r="Q33" s="81">
        <f t="shared" si="10"/>
        <v>23472370.420000002</v>
      </c>
      <c r="R33" s="81">
        <f t="shared" si="11"/>
        <v>24710729.174847744</v>
      </c>
      <c r="S33" s="81">
        <f>'Exhibit C,1'!X34</f>
        <v>2937.9396030492298</v>
      </c>
      <c r="T33" s="87">
        <v>958981.61219296069</v>
      </c>
      <c r="U33" s="81">
        <f t="shared" si="12"/>
        <v>961919.55179600988</v>
      </c>
      <c r="V33" s="81">
        <f t="shared" si="13"/>
        <v>25672648.726643756</v>
      </c>
      <c r="W33" s="81"/>
      <c r="X33" s="17"/>
    </row>
    <row r="34" spans="1:24">
      <c r="A34" s="6">
        <f t="shared" si="14"/>
        <v>2011</v>
      </c>
      <c r="B34" s="81">
        <f>'Exhibit O,3'!Q35+'Exhibit N,3'!Q35+'Exhibit O,3'!AB35</f>
        <v>23421624.324585076</v>
      </c>
      <c r="C34" s="81">
        <f>'Exhibit O,3'!R35+'Exhibit N,3'!R35</f>
        <v>20861638.420000002</v>
      </c>
      <c r="D34" s="81">
        <f>'Exhibit O,3'!S35+'Exhibit N,3'!S35</f>
        <v>20861638.420000002</v>
      </c>
      <c r="E34" s="81">
        <f>'Exhibit O,3'!T35+'Exhibit N,3'!T35</f>
        <v>20861638.420000002</v>
      </c>
      <c r="F34" s="81">
        <f>'Exhibit O,3'!U35+'Exhibit N,3'!U35</f>
        <v>20861638.420000002</v>
      </c>
      <c r="G34" s="81">
        <f t="shared" si="1"/>
        <v>18301652.515414927</v>
      </c>
      <c r="H34" s="81">
        <f t="shared" si="2"/>
        <v>18301652.515414927</v>
      </c>
      <c r="I34" s="81">
        <f t="shared" si="3"/>
        <v>-2559985.9045850746</v>
      </c>
      <c r="J34" s="81">
        <f t="shared" si="4"/>
        <v>-2559985.9045850746</v>
      </c>
      <c r="K34" s="81">
        <f t="shared" si="5"/>
        <v>20861638.420000002</v>
      </c>
      <c r="L34" s="81">
        <f t="shared" si="6"/>
        <v>20861638.420000002</v>
      </c>
      <c r="M34" s="81">
        <f t="shared" si="7"/>
        <v>0</v>
      </c>
      <c r="N34" s="81">
        <f t="shared" si="8"/>
        <v>0</v>
      </c>
      <c r="O34" s="81">
        <f>'Exhibit F,1'!Y35</f>
        <v>0</v>
      </c>
      <c r="P34" s="81">
        <f t="shared" si="9"/>
        <v>-2559985.9045850746</v>
      </c>
      <c r="Q34" s="81">
        <f t="shared" si="10"/>
        <v>20861638.420000002</v>
      </c>
      <c r="R34" s="81">
        <f t="shared" si="11"/>
        <v>18301652.515414927</v>
      </c>
      <c r="S34" s="81">
        <f>'Exhibit C,1'!X35</f>
        <v>0</v>
      </c>
      <c r="T34" s="87">
        <v>748623.37167133484</v>
      </c>
      <c r="U34" s="81">
        <f t="shared" si="12"/>
        <v>748623.37167133484</v>
      </c>
      <c r="V34" s="81">
        <f t="shared" si="13"/>
        <v>19050275.887086261</v>
      </c>
      <c r="W34" s="87">
        <v>28550668.100000001</v>
      </c>
      <c r="X34" s="17"/>
    </row>
    <row r="35" spans="1:24">
      <c r="A35" s="6">
        <f t="shared" si="14"/>
        <v>2012</v>
      </c>
      <c r="B35" s="81">
        <f>'Exhibit O,3'!Q36+'Exhibit N,3'!Q36+'Exhibit O,3'!AB36</f>
        <v>19011278.64334945</v>
      </c>
      <c r="C35" s="81">
        <f>'Exhibit O,3'!R36+'Exhibit N,3'!R36</f>
        <v>13396936.190000001</v>
      </c>
      <c r="D35" s="81">
        <f>'Exhibit O,3'!S36+'Exhibit N,3'!S36</f>
        <v>15413427.860000001</v>
      </c>
      <c r="E35" s="81">
        <f>'Exhibit O,3'!T36+'Exhibit N,3'!T36</f>
        <v>13347833.610000001</v>
      </c>
      <c r="F35" s="81">
        <f>'Exhibit O,3'!U36+'Exhibit N,3'!U36</f>
        <v>15398912.900000002</v>
      </c>
      <c r="G35" s="81">
        <f t="shared" si="1"/>
        <v>7733491.1566505544</v>
      </c>
      <c r="H35" s="81">
        <f t="shared" si="2"/>
        <v>11801062.116650555</v>
      </c>
      <c r="I35" s="81">
        <f t="shared" si="3"/>
        <v>-5614342.4533494487</v>
      </c>
      <c r="J35" s="81">
        <f t="shared" si="4"/>
        <v>-3597850.7833494488</v>
      </c>
      <c r="K35" s="81">
        <f t="shared" si="5"/>
        <v>13347833.610000001</v>
      </c>
      <c r="L35" s="81">
        <f t="shared" si="6"/>
        <v>15398912.900000002</v>
      </c>
      <c r="M35" s="81">
        <f t="shared" si="7"/>
        <v>0</v>
      </c>
      <c r="N35" s="81">
        <f t="shared" si="8"/>
        <v>0</v>
      </c>
      <c r="O35" s="81">
        <f>'Exhibit F,1'!Y36</f>
        <v>0</v>
      </c>
      <c r="P35" s="81">
        <f t="shared" si="9"/>
        <v>-3597850.7833494488</v>
      </c>
      <c r="Q35" s="81">
        <f t="shared" si="10"/>
        <v>15398912.900000002</v>
      </c>
      <c r="R35" s="81">
        <f t="shared" si="11"/>
        <v>11801062.116650553</v>
      </c>
      <c r="S35" s="81">
        <f>'Exhibit C,1'!X36</f>
        <v>59841.724611231104</v>
      </c>
      <c r="T35" s="87">
        <v>780034.6736131605</v>
      </c>
      <c r="U35" s="81">
        <f t="shared" si="12"/>
        <v>839876.39822439163</v>
      </c>
      <c r="V35" s="81">
        <f t="shared" si="13"/>
        <v>12640938.514874944</v>
      </c>
      <c r="W35" s="87">
        <v>27077604.5</v>
      </c>
      <c r="X35" s="17"/>
    </row>
    <row r="36" spans="1:24">
      <c r="A36" s="6">
        <f t="shared" si="14"/>
        <v>2013</v>
      </c>
      <c r="B36" s="81">
        <f>'Exhibit O,3'!Q37+'Exhibit N,3'!Q37+'Exhibit O,3'!AB37</f>
        <v>17453758.070760861</v>
      </c>
      <c r="C36" s="81">
        <f>'Exhibit O,3'!R37+'Exhibit N,3'!R37</f>
        <v>18771657.799999997</v>
      </c>
      <c r="D36" s="81">
        <f>'Exhibit O,3'!S37+'Exhibit N,3'!S37</f>
        <v>21060004.139999997</v>
      </c>
      <c r="E36" s="81">
        <f>'Exhibit O,3'!T37+'Exhibit N,3'!T37</f>
        <v>18733576.849999998</v>
      </c>
      <c r="F36" s="81">
        <f>'Exhibit O,3'!U37+'Exhibit N,3'!U37</f>
        <v>21050004.139999997</v>
      </c>
      <c r="G36" s="81">
        <f t="shared" si="1"/>
        <v>20051476.57923913</v>
      </c>
      <c r="H36" s="81">
        <f t="shared" si="2"/>
        <v>24656250.209239133</v>
      </c>
      <c r="I36" s="81">
        <f t="shared" si="3"/>
        <v>1317899.729239136</v>
      </c>
      <c r="J36" s="81">
        <f t="shared" si="4"/>
        <v>3606246.0692391358</v>
      </c>
      <c r="K36" s="81">
        <f t="shared" si="5"/>
        <v>18733576.849999998</v>
      </c>
      <c r="L36" s="81">
        <f t="shared" si="6"/>
        <v>21050004.139999997</v>
      </c>
      <c r="M36" s="81">
        <f t="shared" si="7"/>
        <v>24031.095781167503</v>
      </c>
      <c r="N36" s="81">
        <f t="shared" si="8"/>
        <v>6976.7697429195978</v>
      </c>
      <c r="O36" s="81">
        <f>'Exhibit F,1'!Y37</f>
        <v>31007.865524087101</v>
      </c>
      <c r="P36" s="81">
        <f t="shared" si="9"/>
        <v>3630277.1650203033</v>
      </c>
      <c r="Q36" s="81">
        <f t="shared" si="10"/>
        <v>21056980.909742918</v>
      </c>
      <c r="R36" s="81">
        <f t="shared" si="11"/>
        <v>24687258.07476322</v>
      </c>
      <c r="S36" s="81">
        <f>'Exhibit C,1'!X37</f>
        <v>68829.520948565652</v>
      </c>
      <c r="T36" s="87">
        <v>937102.00300454616</v>
      </c>
      <c r="U36" s="81">
        <f t="shared" si="12"/>
        <v>1005931.5239531118</v>
      </c>
      <c r="V36" s="81">
        <f t="shared" si="13"/>
        <v>25693189.598716334</v>
      </c>
      <c r="W36" s="87">
        <v>28295079.629999999</v>
      </c>
      <c r="X36" s="17"/>
    </row>
    <row r="37" spans="1:24">
      <c r="A37" s="6">
        <f t="shared" si="14"/>
        <v>2014</v>
      </c>
      <c r="B37" s="81">
        <f>'Exhibit O,3'!Q38+'Exhibit N,3'!Q38+'Exhibit O,3'!AB38</f>
        <v>15529882.959710035</v>
      </c>
      <c r="C37" s="81">
        <f>'Exhibit O,3'!R38+'Exhibit N,3'!R38</f>
        <v>10728612.16</v>
      </c>
      <c r="D37" s="81">
        <f>'Exhibit O,3'!S38+'Exhibit N,3'!S38</f>
        <v>12777784.629999999</v>
      </c>
      <c r="E37" s="81">
        <f>'Exhibit O,3'!T38+'Exhibit N,3'!T38</f>
        <v>10680129.359999999</v>
      </c>
      <c r="F37" s="81">
        <f>'Exhibit O,3'!U38+'Exhibit N,3'!U38</f>
        <v>13431122.120000001</v>
      </c>
      <c r="G37" s="81">
        <f t="shared" si="1"/>
        <v>5878858.5602899641</v>
      </c>
      <c r="H37" s="81">
        <f t="shared" si="2"/>
        <v>10679023.790289965</v>
      </c>
      <c r="I37" s="81">
        <f t="shared" si="3"/>
        <v>-4801270.7997100353</v>
      </c>
      <c r="J37" s="81">
        <f t="shared" si="4"/>
        <v>-2752098.3297100365</v>
      </c>
      <c r="K37" s="81">
        <f t="shared" si="5"/>
        <v>10680129.359999999</v>
      </c>
      <c r="L37" s="81">
        <f t="shared" si="6"/>
        <v>13431122.120000001</v>
      </c>
      <c r="M37" s="81">
        <f t="shared" si="7"/>
        <v>116546.61898390744</v>
      </c>
      <c r="N37" s="81">
        <f t="shared" si="8"/>
        <v>33836.115188876356</v>
      </c>
      <c r="O37" s="81">
        <f>'Exhibit F,1'!Y38</f>
        <v>150382.73417278379</v>
      </c>
      <c r="P37" s="81">
        <f t="shared" si="9"/>
        <v>-2635551.7107261289</v>
      </c>
      <c r="Q37" s="81">
        <f t="shared" si="10"/>
        <v>13464958.235188877</v>
      </c>
      <c r="R37" s="81">
        <f t="shared" si="11"/>
        <v>10829406.524462748</v>
      </c>
      <c r="S37" s="81">
        <f>'Exhibit C,1'!X38</f>
        <v>65274.34690335609</v>
      </c>
      <c r="T37" s="87">
        <v>751452.69236092025</v>
      </c>
      <c r="U37" s="81">
        <f t="shared" si="12"/>
        <v>816727.03926427639</v>
      </c>
      <c r="V37" s="81">
        <f t="shared" si="13"/>
        <v>11646133.563727025</v>
      </c>
      <c r="W37" s="87">
        <v>27172159.149999999</v>
      </c>
      <c r="X37" s="17"/>
    </row>
    <row r="38" spans="1:24">
      <c r="A38" s="6">
        <f t="shared" si="14"/>
        <v>2015</v>
      </c>
      <c r="B38" s="81">
        <f>'Exhibit O,3'!Q39+'Exhibit N,3'!Q39+'Exhibit O,3'!AB39</f>
        <v>13847727.86252768</v>
      </c>
      <c r="C38" s="81">
        <f>'Exhibit O,3'!R39+'Exhibit N,3'!R39</f>
        <v>5166655.9499999993</v>
      </c>
      <c r="D38" s="81">
        <f>'Exhibit O,3'!S39+'Exhibit N,3'!S39</f>
        <v>6912304.1399999987</v>
      </c>
      <c r="E38" s="81">
        <f>'Exhibit O,3'!T39+'Exhibit N,3'!T39</f>
        <v>3731422.55</v>
      </c>
      <c r="F38" s="81">
        <f>'Exhibit O,3'!U39+'Exhibit N,3'!U39</f>
        <v>8705003.0099999979</v>
      </c>
      <c r="G38" s="81">
        <f t="shared" si="1"/>
        <v>-4949649.3625276797</v>
      </c>
      <c r="H38" s="81">
        <f t="shared" si="2"/>
        <v>1769579.287472317</v>
      </c>
      <c r="I38" s="81">
        <f t="shared" si="3"/>
        <v>-8681071.9125276804</v>
      </c>
      <c r="J38" s="81">
        <f t="shared" si="4"/>
        <v>-6935423.7225276809</v>
      </c>
      <c r="K38" s="81">
        <f t="shared" si="5"/>
        <v>3731422.55</v>
      </c>
      <c r="L38" s="81">
        <f t="shared" si="6"/>
        <v>8705003.0099999979</v>
      </c>
      <c r="M38" s="81">
        <f t="shared" si="7"/>
        <v>612661.60740422411</v>
      </c>
      <c r="N38" s="81">
        <f t="shared" si="8"/>
        <v>177869.49892380694</v>
      </c>
      <c r="O38" s="81">
        <f>'Exhibit F,1'!Y39</f>
        <v>790531.10632803105</v>
      </c>
      <c r="P38" s="81">
        <f t="shared" si="9"/>
        <v>-6322762.1151234563</v>
      </c>
      <c r="Q38" s="81">
        <f t="shared" si="10"/>
        <v>8882872.5089238044</v>
      </c>
      <c r="R38" s="81">
        <f t="shared" si="11"/>
        <v>2560110.393800348</v>
      </c>
      <c r="S38" s="81">
        <f>'Exhibit C,1'!X39</f>
        <v>75264.056516319702</v>
      </c>
      <c r="T38" s="87">
        <v>806179.24591736076</v>
      </c>
      <c r="U38" s="81">
        <f t="shared" si="12"/>
        <v>881443.30243368051</v>
      </c>
      <c r="V38" s="81">
        <f t="shared" si="13"/>
        <v>3441553.6962340288</v>
      </c>
      <c r="W38" s="87">
        <v>25441658</v>
      </c>
      <c r="X38" s="17"/>
    </row>
    <row r="39" spans="1:24">
      <c r="A39" s="6">
        <f t="shared" si="14"/>
        <v>2016</v>
      </c>
      <c r="B39" s="81">
        <f>'Exhibit O,3'!Q40+'Exhibit N,3'!Q40+'Exhibit O,3'!AB40</f>
        <v>12795162.236405367</v>
      </c>
      <c r="C39" s="81">
        <f>'Exhibit O,3'!R40+'Exhibit N,3'!R40</f>
        <v>7396887.2999999998</v>
      </c>
      <c r="D39" s="81">
        <f>'Exhibit O,3'!S40+'Exhibit N,3'!S40</f>
        <v>14350028.960000001</v>
      </c>
      <c r="E39" s="81">
        <f>'Exhibit O,3'!T40+'Exhibit N,3'!T40</f>
        <v>6331176.54</v>
      </c>
      <c r="F39" s="81">
        <f>'Exhibit O,3'!U40+'Exhibit N,3'!U40</f>
        <v>11545635.9</v>
      </c>
      <c r="G39" s="81">
        <f t="shared" si="1"/>
        <v>932901.60359463282</v>
      </c>
      <c r="H39" s="81">
        <f t="shared" si="2"/>
        <v>13100502.623594632</v>
      </c>
      <c r="I39" s="81">
        <f t="shared" si="3"/>
        <v>-5398274.9364053672</v>
      </c>
      <c r="J39" s="81">
        <f t="shared" si="4"/>
        <v>1554866.7235946339</v>
      </c>
      <c r="K39" s="81">
        <f t="shared" si="5"/>
        <v>6331176.54</v>
      </c>
      <c r="L39" s="81">
        <f t="shared" si="6"/>
        <v>11545635.9</v>
      </c>
      <c r="M39" s="81">
        <f t="shared" si="7"/>
        <v>2144131.9759780737</v>
      </c>
      <c r="N39" s="81">
        <f t="shared" si="8"/>
        <v>622489.92850976344</v>
      </c>
      <c r="O39" s="81">
        <f>'Exhibit F,1'!Y40</f>
        <v>2766621.9044878371</v>
      </c>
      <c r="P39" s="81">
        <f t="shared" si="9"/>
        <v>3698998.6995727075</v>
      </c>
      <c r="Q39" s="81">
        <f t="shared" si="10"/>
        <v>12168125.828509763</v>
      </c>
      <c r="R39" s="81">
        <f t="shared" si="11"/>
        <v>15867124.528082471</v>
      </c>
      <c r="S39" s="81">
        <f>'Exhibit C,1'!X40</f>
        <v>288445.23543821991</v>
      </c>
      <c r="T39" s="87">
        <v>627226.06351802067</v>
      </c>
      <c r="U39" s="81">
        <f t="shared" si="12"/>
        <v>915671.29895624053</v>
      </c>
      <c r="V39" s="81">
        <f t="shared" si="13"/>
        <v>16782795.827038713</v>
      </c>
      <c r="W39" s="87">
        <v>23948850</v>
      </c>
      <c r="X39" s="17"/>
    </row>
    <row r="40" spans="1:24">
      <c r="A40" s="6">
        <f t="shared" si="14"/>
        <v>2017</v>
      </c>
      <c r="B40" s="81">
        <f>'Exhibit O,3'!Q41+'Exhibit N,3'!Q41+'Exhibit O,3'!AB41</f>
        <v>11939166.055086583</v>
      </c>
      <c r="C40" s="81">
        <f>'Exhibit O,3'!R41+'Exhibit N,3'!R41</f>
        <v>6445883.4400000004</v>
      </c>
      <c r="D40" s="81">
        <f>'Exhibit O,3'!S41+'Exhibit N,3'!S41</f>
        <v>10777609.43</v>
      </c>
      <c r="E40" s="81">
        <f>'Exhibit O,3'!T41+'Exhibit N,3'!T41</f>
        <v>4824145.47</v>
      </c>
      <c r="F40" s="81">
        <f>'Exhibit O,3'!U41+'Exhibit N,3'!U41</f>
        <v>8837368.5999999996</v>
      </c>
      <c r="G40" s="81">
        <f t="shared" si="1"/>
        <v>-669137.14508658275</v>
      </c>
      <c r="H40" s="81">
        <f t="shared" si="2"/>
        <v>7675811.9749134183</v>
      </c>
      <c r="I40" s="81">
        <f t="shared" si="3"/>
        <v>-5493282.6150865825</v>
      </c>
      <c r="J40" s="81">
        <f t="shared" si="4"/>
        <v>-1161556.6250865832</v>
      </c>
      <c r="K40" s="81">
        <f t="shared" si="5"/>
        <v>4824145.47</v>
      </c>
      <c r="L40" s="81">
        <f t="shared" si="6"/>
        <v>8837368.5999999996</v>
      </c>
      <c r="M40" s="81">
        <f t="shared" si="7"/>
        <v>2558914.8483413081</v>
      </c>
      <c r="N40" s="81">
        <f t="shared" si="8"/>
        <v>742910.7624216699</v>
      </c>
      <c r="O40" s="81">
        <f>'Exhibit F,1'!Y41</f>
        <v>3301825.610762978</v>
      </c>
      <c r="P40" s="81">
        <f t="shared" si="9"/>
        <v>1397358.2232547249</v>
      </c>
      <c r="Q40" s="81">
        <f t="shared" si="10"/>
        <v>9580279.3624216691</v>
      </c>
      <c r="R40" s="81">
        <f t="shared" si="11"/>
        <v>10977637.585676394</v>
      </c>
      <c r="S40" s="81">
        <f>'Exhibit C,1'!X41</f>
        <v>226534.48040203433</v>
      </c>
      <c r="T40" s="87">
        <v>471711.15187271149</v>
      </c>
      <c r="U40" s="81">
        <f t="shared" si="12"/>
        <v>698245.63227474585</v>
      </c>
      <c r="V40" s="81">
        <f t="shared" si="13"/>
        <v>11675883.217951139</v>
      </c>
      <c r="W40" s="87">
        <v>19315440</v>
      </c>
      <c r="X40" s="17"/>
    </row>
    <row r="41" spans="1:24">
      <c r="A41" s="6">
        <f t="shared" si="14"/>
        <v>2018</v>
      </c>
      <c r="B41" s="81">
        <f>'Exhibit O,3'!Q42+'Exhibit N,3'!Q42+'Exhibit O,3'!AB42</f>
        <v>11939002.013593584</v>
      </c>
      <c r="C41" s="81">
        <f>'Exhibit O,3'!R42+'Exhibit N,3'!R42</f>
        <v>5740458.2000000002</v>
      </c>
      <c r="D41" s="81">
        <f>'Exhibit O,3'!S42+'Exhibit N,3'!S42</f>
        <v>8231174.7300000004</v>
      </c>
      <c r="E41" s="81">
        <f>'Exhibit O,3'!T42+'Exhibit N,3'!T42</f>
        <v>893958.71</v>
      </c>
      <c r="F41" s="81">
        <f>'Exhibit O,3'!U42+'Exhibit N,3'!U42</f>
        <v>3336520.29</v>
      </c>
      <c r="G41" s="81">
        <f t="shared" si="1"/>
        <v>-5304585.1035935842</v>
      </c>
      <c r="H41" s="81">
        <f t="shared" si="2"/>
        <v>-371306.99359358475</v>
      </c>
      <c r="I41" s="81">
        <f t="shared" si="3"/>
        <v>-6198543.8135935841</v>
      </c>
      <c r="J41" s="81">
        <f t="shared" si="4"/>
        <v>-3707827.2835935839</v>
      </c>
      <c r="K41" s="81">
        <f t="shared" si="5"/>
        <v>893958.71</v>
      </c>
      <c r="L41" s="81">
        <f t="shared" si="6"/>
        <v>3336520.29</v>
      </c>
      <c r="M41" s="81">
        <f t="shared" si="7"/>
        <v>3517629.301284228</v>
      </c>
      <c r="N41" s="81">
        <f t="shared" si="8"/>
        <v>1021247.2165018725</v>
      </c>
      <c r="O41" s="81">
        <f>'Exhibit F,1'!Y42</f>
        <v>4538876.5177861005</v>
      </c>
      <c r="P41" s="81">
        <f t="shared" si="9"/>
        <v>-190197.98230935587</v>
      </c>
      <c r="Q41" s="81">
        <f t="shared" si="10"/>
        <v>4357767.5065018721</v>
      </c>
      <c r="R41" s="81">
        <f t="shared" si="11"/>
        <v>4167569.5241925162</v>
      </c>
      <c r="S41" s="81">
        <f>'Exhibit C,1'!X42</f>
        <v>208611.31119606391</v>
      </c>
      <c r="T41" s="87">
        <v>434058.01236503641</v>
      </c>
      <c r="U41" s="81">
        <f t="shared" si="12"/>
        <v>642669.32356110029</v>
      </c>
      <c r="V41" s="81">
        <f t="shared" si="13"/>
        <v>4810238.847753616</v>
      </c>
      <c r="W41" s="87">
        <v>18836167</v>
      </c>
      <c r="X41" s="17"/>
    </row>
    <row r="42" spans="1:24">
      <c r="A42" s="6">
        <f t="shared" si="14"/>
        <v>2019</v>
      </c>
      <c r="B42" s="81">
        <f>'Exhibit O,3'!Q43+'Exhibit N,3'!Q43+'Exhibit O,3'!AB43</f>
        <v>14295246.525080603</v>
      </c>
      <c r="C42" s="81">
        <f>'Exhibit O,3'!R43+'Exhibit N,3'!R43</f>
        <v>497480.03</v>
      </c>
      <c r="D42" s="81">
        <f>'Exhibit O,3'!S43+'Exhibit N,3'!S43</f>
        <v>2146692.9499999997</v>
      </c>
      <c r="E42" s="81">
        <f>'Exhibit O,3'!T43+'Exhibit N,3'!T43</f>
        <v>193612.58000000002</v>
      </c>
      <c r="F42" s="81">
        <f>'Exhibit O,3'!U43+'Exhibit N,3'!U43</f>
        <v>1130509.45</v>
      </c>
      <c r="G42" s="81">
        <f t="shared" si="1"/>
        <v>-13604153.915080603</v>
      </c>
      <c r="H42" s="81">
        <f t="shared" si="2"/>
        <v>-11018044.125080604</v>
      </c>
      <c r="I42" s="81">
        <f t="shared" si="3"/>
        <v>-13797766.495080603</v>
      </c>
      <c r="J42" s="81">
        <f t="shared" si="4"/>
        <v>-12148553.575080603</v>
      </c>
      <c r="K42" s="81">
        <f t="shared" si="5"/>
        <v>193612.58000000002</v>
      </c>
      <c r="L42" s="81">
        <f t="shared" si="6"/>
        <v>1130509.45</v>
      </c>
      <c r="M42" s="81">
        <f t="shared" si="7"/>
        <v>6599802.4815885462</v>
      </c>
      <c r="N42" s="81">
        <f t="shared" si="8"/>
        <v>1916071.6882031262</v>
      </c>
      <c r="O42" s="81">
        <f>'Exhibit F,1'!Y43</f>
        <v>8515874.1697916724</v>
      </c>
      <c r="P42" s="81">
        <f t="shared" si="9"/>
        <v>-5548751.0934920572</v>
      </c>
      <c r="Q42" s="81">
        <f t="shared" si="10"/>
        <v>3046581.1382031264</v>
      </c>
      <c r="R42" s="81">
        <f t="shared" si="11"/>
        <v>-2502169.9552889308</v>
      </c>
      <c r="S42" s="81">
        <f>'Exhibit C,1'!X43</f>
        <v>301660.72656104446</v>
      </c>
      <c r="T42" s="87">
        <v>215329.76800396666</v>
      </c>
      <c r="U42" s="81">
        <f t="shared" si="12"/>
        <v>516990.49456501112</v>
      </c>
      <c r="V42" s="81">
        <f t="shared" si="13"/>
        <v>-1985179.4607239198</v>
      </c>
      <c r="W42" s="87">
        <v>22709951.239999998</v>
      </c>
      <c r="X42" s="17"/>
    </row>
    <row r="43" spans="1:24">
      <c r="A43" s="6">
        <f t="shared" si="14"/>
        <v>2020</v>
      </c>
      <c r="B43" s="81">
        <f>'Exhibit O,3'!Q44+'Exhibit N,3'!Q44+'Exhibit O,3'!AB44</f>
        <v>15890167.78097108</v>
      </c>
      <c r="C43" s="81">
        <f>'Exhibit O,3'!R44+'Exhibit N,3'!R44</f>
        <v>395862.9</v>
      </c>
      <c r="D43" s="81">
        <f>'Exhibit O,3'!S44+'Exhibit N,3'!S44</f>
        <v>2421009.17</v>
      </c>
      <c r="E43" s="81">
        <f>'Exhibit O,3'!T44+'Exhibit N,3'!T44</f>
        <v>0</v>
      </c>
      <c r="F43" s="81">
        <f>'Exhibit O,3'!U44+'Exhibit N,3'!U44</f>
        <v>0</v>
      </c>
      <c r="G43" s="81">
        <f t="shared" si="1"/>
        <v>-15494304.88097108</v>
      </c>
      <c r="H43" s="81">
        <f t="shared" si="2"/>
        <v>-13469158.61097108</v>
      </c>
      <c r="I43" s="81">
        <f t="shared" si="3"/>
        <v>-15494304.88097108</v>
      </c>
      <c r="J43" s="81">
        <f t="shared" si="4"/>
        <v>-13469158.61097108</v>
      </c>
      <c r="K43" s="81">
        <f t="shared" si="5"/>
        <v>0</v>
      </c>
      <c r="L43" s="81">
        <f t="shared" si="6"/>
        <v>0</v>
      </c>
      <c r="M43" s="81">
        <f t="shared" si="7"/>
        <v>8312021.8113499992</v>
      </c>
      <c r="N43" s="81">
        <f t="shared" si="8"/>
        <v>2413167.6226499993</v>
      </c>
      <c r="O43" s="81">
        <f>'Exhibit F,1'!Y44</f>
        <v>10725189.433999998</v>
      </c>
      <c r="P43" s="81">
        <f t="shared" si="9"/>
        <v>-5157136.799621081</v>
      </c>
      <c r="Q43" s="81">
        <f t="shared" si="10"/>
        <v>2413167.6226499993</v>
      </c>
      <c r="R43" s="81">
        <f t="shared" si="11"/>
        <v>-2743969.1769710816</v>
      </c>
      <c r="S43" s="81">
        <f>'Exhibit C,1'!X44</f>
        <v>378380.97188842605</v>
      </c>
      <c r="T43" s="87">
        <v>20014.649874795872</v>
      </c>
      <c r="U43" s="81">
        <f t="shared" si="12"/>
        <v>398395.62176322192</v>
      </c>
      <c r="V43" s="81">
        <f t="shared" si="13"/>
        <v>-2345573.5552078597</v>
      </c>
      <c r="W43" s="87">
        <v>15038303.850000016</v>
      </c>
      <c r="X43" s="17"/>
    </row>
    <row r="44" spans="1:24">
      <c r="A44" s="6"/>
      <c r="B44" s="81"/>
      <c r="C44" s="17"/>
      <c r="D44" s="81"/>
      <c r="E44" s="81"/>
      <c r="F44" s="81"/>
      <c r="G44" s="81">
        <f t="shared" si="1"/>
        <v>0</v>
      </c>
      <c r="H44" s="81">
        <f t="shared" si="2"/>
        <v>0</v>
      </c>
      <c r="I44" s="81">
        <f t="shared" si="3"/>
        <v>0</v>
      </c>
      <c r="J44" s="81">
        <f t="shared" si="4"/>
        <v>0</v>
      </c>
      <c r="K44" s="81">
        <f t="shared" si="5"/>
        <v>0</v>
      </c>
      <c r="L44" s="81">
        <f t="shared" si="6"/>
        <v>0</v>
      </c>
      <c r="M44" s="81">
        <f t="shared" si="7"/>
        <v>0</v>
      </c>
      <c r="N44" s="81">
        <f t="shared" si="8"/>
        <v>0</v>
      </c>
      <c r="O44" s="81">
        <f>'Exhibit F,1'!Y45</f>
        <v>0</v>
      </c>
      <c r="P44" s="81">
        <f t="shared" si="9"/>
        <v>0</v>
      </c>
      <c r="Q44" s="81">
        <f t="shared" si="10"/>
        <v>0</v>
      </c>
      <c r="R44" s="81">
        <f t="shared" si="11"/>
        <v>0</v>
      </c>
      <c r="S44" s="81">
        <f>'Exhibit C,1'!X45</f>
        <v>0</v>
      </c>
      <c r="T44" s="87">
        <v>0</v>
      </c>
      <c r="U44" s="81">
        <f t="shared" si="12"/>
        <v>0</v>
      </c>
      <c r="V44" s="81">
        <f t="shared" si="13"/>
        <v>0</v>
      </c>
      <c r="W44" s="81"/>
      <c r="X44" s="17"/>
    </row>
    <row r="45" spans="1:24">
      <c r="A45" s="6" t="s">
        <v>0</v>
      </c>
      <c r="B45" s="82">
        <f>SUM(B15:B43)</f>
        <v>201783939.34069455</v>
      </c>
      <c r="C45" s="82">
        <f>SUM(C15:C43)</f>
        <v>707621261.25</v>
      </c>
      <c r="D45" s="82">
        <f t="shared" ref="D45:Q45" si="15">SUM(D15:D43)</f>
        <v>733269863.28999996</v>
      </c>
      <c r="E45" s="82">
        <f t="shared" si="15"/>
        <v>697769138.01999998</v>
      </c>
      <c r="F45" s="82">
        <f t="shared" si="15"/>
        <v>722797746.81999981</v>
      </c>
      <c r="G45" s="82">
        <f>SUM(G15:G43)</f>
        <v>1203606459.9293053</v>
      </c>
      <c r="H45" s="82">
        <f t="shared" si="15"/>
        <v>1254283670.7693052</v>
      </c>
      <c r="I45" s="82">
        <f t="shared" si="15"/>
        <v>505837321.90930527</v>
      </c>
      <c r="J45" s="82">
        <f t="shared" si="15"/>
        <v>531485923.94930553</v>
      </c>
      <c r="K45" s="82">
        <f t="shared" si="15"/>
        <v>697769138.01999998</v>
      </c>
      <c r="L45" s="82">
        <f t="shared" si="15"/>
        <v>722797746.81999981</v>
      </c>
      <c r="M45" s="82">
        <f t="shared" si="15"/>
        <v>23885739.740711454</v>
      </c>
      <c r="N45" s="82">
        <f t="shared" si="15"/>
        <v>6934569.6021420341</v>
      </c>
      <c r="O45" s="82">
        <f t="shared" si="15"/>
        <v>30820309.342853487</v>
      </c>
      <c r="P45" s="82">
        <f t="shared" si="15"/>
        <v>555371663.69001675</v>
      </c>
      <c r="Q45" s="82">
        <f t="shared" si="15"/>
        <v>729732316.42214191</v>
      </c>
      <c r="R45" s="82">
        <f t="shared" ref="R45:W45" si="16">SUM(R15:R43)</f>
        <v>1285103980.1121588</v>
      </c>
      <c r="S45" s="82">
        <f t="shared" si="16"/>
        <v>1675780.3140683104</v>
      </c>
      <c r="T45" s="82">
        <f t="shared" si="16"/>
        <v>6750713.2443948146</v>
      </c>
      <c r="U45" s="82">
        <f t="shared" si="16"/>
        <v>8426493.5584631246</v>
      </c>
      <c r="V45" s="82">
        <f t="shared" si="16"/>
        <v>1293530473.6706216</v>
      </c>
      <c r="W45" s="82">
        <f t="shared" si="16"/>
        <v>236385881.47000003</v>
      </c>
      <c r="X45" s="17"/>
    </row>
    <row r="46" spans="1:24">
      <c r="A46" s="6"/>
      <c r="B46" s="81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17"/>
    </row>
    <row r="47" spans="1:24">
      <c r="A47" s="6"/>
      <c r="B47" s="81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17"/>
    </row>
    <row r="48" spans="1:24">
      <c r="A48" s="6"/>
      <c r="B48" s="81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17"/>
    </row>
    <row r="49" spans="1:24">
      <c r="A49" s="6" t="s">
        <v>13</v>
      </c>
      <c r="B49" s="81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  <c r="X49" s="17"/>
    </row>
    <row r="50" spans="1:24">
      <c r="A50" s="6"/>
      <c r="B50" s="29" t="s">
        <v>665</v>
      </c>
      <c r="C50" s="29" t="s">
        <v>666</v>
      </c>
      <c r="D50" s="29" t="s">
        <v>667</v>
      </c>
      <c r="E50" s="29" t="s">
        <v>665</v>
      </c>
      <c r="F50" s="29" t="s">
        <v>673</v>
      </c>
      <c r="G50" s="17"/>
      <c r="H50" s="81"/>
      <c r="I50" s="81"/>
      <c r="J50" s="81"/>
      <c r="K50" s="81"/>
      <c r="L50" s="81"/>
      <c r="M50" s="17"/>
      <c r="N50" s="83">
        <v>0.05</v>
      </c>
      <c r="O50" s="81"/>
      <c r="P50" s="81"/>
      <c r="Q50" s="81"/>
      <c r="R50" s="81" t="s">
        <v>67</v>
      </c>
      <c r="S50" s="6"/>
      <c r="T50" s="6"/>
      <c r="U50" s="6"/>
      <c r="V50" s="6" t="s">
        <v>67</v>
      </c>
      <c r="W50" s="6"/>
      <c r="X50" s="17"/>
    </row>
    <row r="51" spans="1:24">
      <c r="A51" s="6" t="s">
        <v>3</v>
      </c>
      <c r="B51" s="29" t="s">
        <v>524</v>
      </c>
      <c r="C51" s="29" t="s">
        <v>524</v>
      </c>
      <c r="D51" s="29" t="s">
        <v>524</v>
      </c>
      <c r="E51" s="29" t="s">
        <v>528</v>
      </c>
      <c r="F51" s="29" t="s">
        <v>528</v>
      </c>
      <c r="G51" s="81" t="s">
        <v>14</v>
      </c>
      <c r="H51" s="81" t="s">
        <v>12</v>
      </c>
      <c r="I51" s="81" t="s">
        <v>14</v>
      </c>
      <c r="J51" s="81" t="s">
        <v>12</v>
      </c>
      <c r="K51" s="81" t="s">
        <v>14</v>
      </c>
      <c r="L51" s="81" t="s">
        <v>12</v>
      </c>
      <c r="M51" s="81" t="s">
        <v>381</v>
      </c>
      <c r="N51" s="81" t="s">
        <v>381</v>
      </c>
      <c r="O51" s="81" t="s">
        <v>381</v>
      </c>
      <c r="P51" s="81" t="s">
        <v>660</v>
      </c>
      <c r="Q51" s="81" t="s">
        <v>67</v>
      </c>
      <c r="R51" s="81" t="s">
        <v>662</v>
      </c>
      <c r="S51" s="6" t="s">
        <v>661</v>
      </c>
      <c r="T51" s="6" t="s">
        <v>661</v>
      </c>
      <c r="U51" s="6" t="s">
        <v>67</v>
      </c>
      <c r="V51" s="6" t="s">
        <v>663</v>
      </c>
      <c r="W51" s="6" t="s">
        <v>177</v>
      </c>
      <c r="X51" s="17"/>
    </row>
    <row r="52" spans="1:24">
      <c r="A52" s="6" t="s">
        <v>4</v>
      </c>
      <c r="B52" s="30" t="s">
        <v>668</v>
      </c>
      <c r="C52" s="30" t="s">
        <v>669</v>
      </c>
      <c r="D52" s="30" t="s">
        <v>670</v>
      </c>
      <c r="E52" s="30" t="s">
        <v>668</v>
      </c>
      <c r="F52" s="30" t="s">
        <v>670</v>
      </c>
      <c r="G52" s="81" t="s">
        <v>0</v>
      </c>
      <c r="H52" s="81" t="s">
        <v>0</v>
      </c>
      <c r="I52" s="81" t="s">
        <v>566</v>
      </c>
      <c r="J52" s="81" t="s">
        <v>566</v>
      </c>
      <c r="K52" s="81" t="s">
        <v>567</v>
      </c>
      <c r="L52" s="81" t="s">
        <v>567</v>
      </c>
      <c r="M52" s="81" t="s">
        <v>566</v>
      </c>
      <c r="N52" s="81" t="s">
        <v>567</v>
      </c>
      <c r="O52" s="81" t="s">
        <v>0</v>
      </c>
      <c r="P52" s="81" t="s">
        <v>566</v>
      </c>
      <c r="Q52" s="81" t="s">
        <v>567</v>
      </c>
      <c r="R52" s="81" t="s">
        <v>0</v>
      </c>
      <c r="S52" s="6" t="s">
        <v>117</v>
      </c>
      <c r="T52" s="6" t="s">
        <v>14</v>
      </c>
      <c r="U52" s="6" t="s">
        <v>661</v>
      </c>
      <c r="V52" s="6" t="s">
        <v>0</v>
      </c>
      <c r="W52" s="6" t="s">
        <v>16</v>
      </c>
      <c r="X52" s="17"/>
    </row>
    <row r="53" spans="1:24">
      <c r="A53" s="10">
        <v>-1</v>
      </c>
      <c r="B53" s="10">
        <f t="shared" ref="B53:W53" si="17">A53-1</f>
        <v>-2</v>
      </c>
      <c r="C53" s="10">
        <f t="shared" si="17"/>
        <v>-3</v>
      </c>
      <c r="D53" s="10">
        <f t="shared" si="17"/>
        <v>-4</v>
      </c>
      <c r="E53" s="10">
        <f t="shared" si="17"/>
        <v>-5</v>
      </c>
      <c r="F53" s="10">
        <f t="shared" si="17"/>
        <v>-6</v>
      </c>
      <c r="G53" s="10">
        <f t="shared" si="17"/>
        <v>-7</v>
      </c>
      <c r="H53" s="10">
        <f t="shared" si="17"/>
        <v>-8</v>
      </c>
      <c r="I53" s="10">
        <f t="shared" si="17"/>
        <v>-9</v>
      </c>
      <c r="J53" s="10">
        <f t="shared" si="17"/>
        <v>-10</v>
      </c>
      <c r="K53" s="10">
        <f t="shared" si="17"/>
        <v>-11</v>
      </c>
      <c r="L53" s="10">
        <f t="shared" si="17"/>
        <v>-12</v>
      </c>
      <c r="M53" s="10">
        <f t="shared" si="17"/>
        <v>-13</v>
      </c>
      <c r="N53" s="10">
        <f t="shared" si="17"/>
        <v>-14</v>
      </c>
      <c r="O53" s="10">
        <f t="shared" si="17"/>
        <v>-15</v>
      </c>
      <c r="P53" s="10">
        <f t="shared" si="17"/>
        <v>-16</v>
      </c>
      <c r="Q53" s="10">
        <f t="shared" si="17"/>
        <v>-17</v>
      </c>
      <c r="R53" s="10">
        <f t="shared" si="17"/>
        <v>-18</v>
      </c>
      <c r="S53" s="10">
        <f t="shared" si="17"/>
        <v>-19</v>
      </c>
      <c r="T53" s="10">
        <f t="shared" si="17"/>
        <v>-20</v>
      </c>
      <c r="U53" s="10">
        <f t="shared" si="17"/>
        <v>-21</v>
      </c>
      <c r="V53" s="10">
        <f t="shared" si="17"/>
        <v>-22</v>
      </c>
      <c r="W53" s="10">
        <f t="shared" si="17"/>
        <v>-23</v>
      </c>
      <c r="X53" s="17"/>
    </row>
    <row r="54" spans="1:24">
      <c r="A54" s="80"/>
      <c r="B54" s="81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6"/>
      <c r="T54" s="6"/>
      <c r="U54" s="6"/>
      <c r="V54" s="6"/>
      <c r="W54" s="6"/>
      <c r="X54" s="17"/>
    </row>
    <row r="55" spans="1:24">
      <c r="A55" s="6">
        <v>1992</v>
      </c>
      <c r="B55" s="81">
        <f>'Exhibit H,5'!Q16</f>
        <v>12530063.48</v>
      </c>
      <c r="C55" s="81">
        <f>'Exhibit H,5'!R16</f>
        <v>12530063.48</v>
      </c>
      <c r="D55" s="81">
        <f>'Exhibit H,5'!S16</f>
        <v>12530063.48</v>
      </c>
      <c r="E55" s="81">
        <f>'Exhibit H,5'!T16</f>
        <v>12530063.48</v>
      </c>
      <c r="F55" s="81">
        <f>'Exhibit H,5'!U16</f>
        <v>0</v>
      </c>
      <c r="G55" s="81">
        <f>B55+C55+E55</f>
        <v>37590190.439999998</v>
      </c>
      <c r="H55" s="81">
        <f>G55+D55+F55</f>
        <v>50120253.920000002</v>
      </c>
      <c r="I55" s="81">
        <f>B55+C55</f>
        <v>25060126.960000001</v>
      </c>
      <c r="J55" s="81">
        <f>I55+D55</f>
        <v>37590190.439999998</v>
      </c>
      <c r="K55" s="81">
        <f>E55</f>
        <v>12530063.48</v>
      </c>
      <c r="L55" s="81">
        <f>E55+F55</f>
        <v>12530063.48</v>
      </c>
      <c r="M55" s="81">
        <f>O55-N55</f>
        <v>0</v>
      </c>
      <c r="N55" s="81">
        <f>N$50*O55</f>
        <v>0</v>
      </c>
      <c r="O55" s="81">
        <f>O15-O95</f>
        <v>0</v>
      </c>
      <c r="P55" s="81">
        <f>J55+M55</f>
        <v>37590190.439999998</v>
      </c>
      <c r="Q55" s="81">
        <f>L55+N55</f>
        <v>12530063.48</v>
      </c>
      <c r="R55" s="81">
        <f>P55+Q55</f>
        <v>50120253.920000002</v>
      </c>
      <c r="S55" s="81"/>
      <c r="T55" s="81"/>
      <c r="U55" s="81">
        <f>S55+T55</f>
        <v>0</v>
      </c>
      <c r="V55" s="81">
        <f>R55+U55</f>
        <v>50120253.920000002</v>
      </c>
      <c r="W55" s="81"/>
      <c r="X55" s="17"/>
    </row>
    <row r="56" spans="1:24">
      <c r="A56" s="6">
        <f>A55+1</f>
        <v>1993</v>
      </c>
      <c r="B56" s="81">
        <f>'Exhibit H,5'!Q17</f>
        <v>27722793.159999996</v>
      </c>
      <c r="C56" s="81">
        <f>'Exhibit H,5'!R17</f>
        <v>27722793.159999996</v>
      </c>
      <c r="D56" s="81">
        <f>'Exhibit H,5'!S17</f>
        <v>27722793.159999996</v>
      </c>
      <c r="E56" s="81">
        <f>'Exhibit H,5'!T17</f>
        <v>27722793.159999996</v>
      </c>
      <c r="F56" s="81">
        <f>'Exhibit H,5'!U17</f>
        <v>0</v>
      </c>
      <c r="G56" s="81">
        <f t="shared" ref="G56:G83" si="18">B56+C56+E56</f>
        <v>83168379.479999989</v>
      </c>
      <c r="H56" s="81">
        <f t="shared" ref="H56:H83" si="19">G56+D56+F56</f>
        <v>110891172.63999999</v>
      </c>
      <c r="I56" s="81">
        <f t="shared" ref="I56:I83" si="20">B56+C56</f>
        <v>55445586.319999993</v>
      </c>
      <c r="J56" s="81">
        <f t="shared" ref="J56:J83" si="21">I56+D56</f>
        <v>83168379.479999989</v>
      </c>
      <c r="K56" s="81">
        <f t="shared" ref="K56:K83" si="22">E56</f>
        <v>27722793.159999996</v>
      </c>
      <c r="L56" s="81">
        <f t="shared" ref="L56:L83" si="23">E56+F56</f>
        <v>27722793.159999996</v>
      </c>
      <c r="M56" s="81">
        <f t="shared" ref="M56:M84" si="24">O56-N56</f>
        <v>0</v>
      </c>
      <c r="N56" s="81">
        <f t="shared" ref="N56:N84" si="25">N$50*O56</f>
        <v>0</v>
      </c>
      <c r="O56" s="81">
        <f t="shared" ref="O56:O83" si="26">O16-O96</f>
        <v>0</v>
      </c>
      <c r="P56" s="81">
        <f t="shared" ref="P56:P84" si="27">J56+M56</f>
        <v>83168379.479999989</v>
      </c>
      <c r="Q56" s="81">
        <f t="shared" ref="Q56:Q84" si="28">L56+N56</f>
        <v>27722793.159999996</v>
      </c>
      <c r="R56" s="81">
        <f t="shared" ref="R56:R83" si="29">P56+Q56</f>
        <v>110891172.63999999</v>
      </c>
      <c r="S56" s="81"/>
      <c r="T56" s="81"/>
      <c r="U56" s="81">
        <f t="shared" ref="U56:U84" si="30">S56+T56</f>
        <v>0</v>
      </c>
      <c r="V56" s="81">
        <f t="shared" ref="V56:V84" si="31">R56+U56</f>
        <v>110891172.63999999</v>
      </c>
      <c r="W56" s="81"/>
      <c r="X56" s="17"/>
    </row>
    <row r="57" spans="1:24">
      <c r="A57" s="6">
        <f t="shared" ref="A57:A83" si="32">A56+1</f>
        <v>1994</v>
      </c>
      <c r="B57" s="81">
        <f>'Exhibit H,5'!Q18</f>
        <v>19535873.620000001</v>
      </c>
      <c r="C57" s="81">
        <f>'Exhibit H,5'!R18</f>
        <v>19535873.620000001</v>
      </c>
      <c r="D57" s="81">
        <f>'Exhibit H,5'!S18</f>
        <v>19535873.620000001</v>
      </c>
      <c r="E57" s="81">
        <f>'Exhibit H,5'!T18</f>
        <v>19535873.620000001</v>
      </c>
      <c r="F57" s="81">
        <f>'Exhibit H,5'!U18</f>
        <v>0</v>
      </c>
      <c r="G57" s="81">
        <f t="shared" si="18"/>
        <v>58607620.859999999</v>
      </c>
      <c r="H57" s="81">
        <f t="shared" si="19"/>
        <v>78143494.480000004</v>
      </c>
      <c r="I57" s="81">
        <f t="shared" si="20"/>
        <v>39071747.240000002</v>
      </c>
      <c r="J57" s="81">
        <f t="shared" si="21"/>
        <v>58607620.859999999</v>
      </c>
      <c r="K57" s="81">
        <f t="shared" si="22"/>
        <v>19535873.620000001</v>
      </c>
      <c r="L57" s="81">
        <f t="shared" si="23"/>
        <v>19535873.620000001</v>
      </c>
      <c r="M57" s="81">
        <f t="shared" si="24"/>
        <v>0</v>
      </c>
      <c r="N57" s="81">
        <f t="shared" si="25"/>
        <v>0</v>
      </c>
      <c r="O57" s="81">
        <f t="shared" si="26"/>
        <v>0</v>
      </c>
      <c r="P57" s="81">
        <f t="shared" si="27"/>
        <v>58607620.859999999</v>
      </c>
      <c r="Q57" s="81">
        <f t="shared" si="28"/>
        <v>19535873.620000001</v>
      </c>
      <c r="R57" s="81">
        <f t="shared" si="29"/>
        <v>78143494.480000004</v>
      </c>
      <c r="S57" s="81"/>
      <c r="T57" s="81"/>
      <c r="U57" s="81">
        <f t="shared" si="30"/>
        <v>0</v>
      </c>
      <c r="V57" s="81">
        <f t="shared" si="31"/>
        <v>78143494.480000004</v>
      </c>
      <c r="W57" s="81"/>
      <c r="X57" s="17"/>
    </row>
    <row r="58" spans="1:24">
      <c r="A58" s="6">
        <f t="shared" si="32"/>
        <v>1995</v>
      </c>
      <c r="B58" s="81">
        <f>'Exhibit H,5'!Q19</f>
        <v>10551553.370000001</v>
      </c>
      <c r="C58" s="81">
        <f>'Exhibit H,5'!R19</f>
        <v>10551553.370000001</v>
      </c>
      <c r="D58" s="81">
        <f>'Exhibit H,5'!S19</f>
        <v>10551553.370000001</v>
      </c>
      <c r="E58" s="81">
        <f>'Exhibit H,5'!T19</f>
        <v>10551553.370000001</v>
      </c>
      <c r="F58" s="81">
        <f>'Exhibit H,5'!U19</f>
        <v>0</v>
      </c>
      <c r="G58" s="81">
        <f t="shared" si="18"/>
        <v>31654660.110000003</v>
      </c>
      <c r="H58" s="81">
        <f t="shared" si="19"/>
        <v>42206213.480000004</v>
      </c>
      <c r="I58" s="81">
        <f t="shared" si="20"/>
        <v>21103106.740000002</v>
      </c>
      <c r="J58" s="81">
        <f t="shared" si="21"/>
        <v>31654660.110000003</v>
      </c>
      <c r="K58" s="81">
        <f t="shared" si="22"/>
        <v>10551553.370000001</v>
      </c>
      <c r="L58" s="81">
        <f t="shared" si="23"/>
        <v>10551553.370000001</v>
      </c>
      <c r="M58" s="81">
        <f t="shared" si="24"/>
        <v>0</v>
      </c>
      <c r="N58" s="81">
        <f t="shared" si="25"/>
        <v>0</v>
      </c>
      <c r="O58" s="81">
        <f t="shared" si="26"/>
        <v>0</v>
      </c>
      <c r="P58" s="81">
        <f t="shared" si="27"/>
        <v>31654660.110000003</v>
      </c>
      <c r="Q58" s="81">
        <f t="shared" si="28"/>
        <v>10551553.370000001</v>
      </c>
      <c r="R58" s="81">
        <f t="shared" si="29"/>
        <v>42206213.480000004</v>
      </c>
      <c r="S58" s="81"/>
      <c r="T58" s="81"/>
      <c r="U58" s="81">
        <f t="shared" si="30"/>
        <v>0</v>
      </c>
      <c r="V58" s="81">
        <f t="shared" si="31"/>
        <v>42206213.480000004</v>
      </c>
      <c r="W58" s="81"/>
      <c r="X58" s="17"/>
    </row>
    <row r="59" spans="1:24">
      <c r="A59" s="6">
        <f t="shared" si="32"/>
        <v>1996</v>
      </c>
      <c r="B59" s="81">
        <f>'Exhibit H,5'!Q20</f>
        <v>28046459.449999999</v>
      </c>
      <c r="C59" s="81">
        <f>'Exhibit H,5'!R20</f>
        <v>28046459.449999999</v>
      </c>
      <c r="D59" s="81">
        <f>'Exhibit H,5'!S20</f>
        <v>28046459.449999999</v>
      </c>
      <c r="E59" s="81">
        <f>'Exhibit H,5'!T20</f>
        <v>28046459.449999999</v>
      </c>
      <c r="F59" s="81">
        <f>'Exhibit H,5'!U20</f>
        <v>0</v>
      </c>
      <c r="G59" s="81">
        <f t="shared" si="18"/>
        <v>84139378.349999994</v>
      </c>
      <c r="H59" s="81">
        <f t="shared" si="19"/>
        <v>112185837.8</v>
      </c>
      <c r="I59" s="81">
        <f t="shared" si="20"/>
        <v>56092918.899999999</v>
      </c>
      <c r="J59" s="81">
        <f t="shared" si="21"/>
        <v>84139378.349999994</v>
      </c>
      <c r="K59" s="81">
        <f t="shared" si="22"/>
        <v>28046459.449999999</v>
      </c>
      <c r="L59" s="81">
        <f t="shared" si="23"/>
        <v>28046459.449999999</v>
      </c>
      <c r="M59" s="81">
        <f t="shared" si="24"/>
        <v>0</v>
      </c>
      <c r="N59" s="81">
        <f t="shared" si="25"/>
        <v>0</v>
      </c>
      <c r="O59" s="81">
        <f t="shared" si="26"/>
        <v>0</v>
      </c>
      <c r="P59" s="81">
        <f t="shared" si="27"/>
        <v>84139378.349999994</v>
      </c>
      <c r="Q59" s="81">
        <f t="shared" si="28"/>
        <v>28046459.449999999</v>
      </c>
      <c r="R59" s="81">
        <f t="shared" si="29"/>
        <v>112185837.8</v>
      </c>
      <c r="S59" s="81"/>
      <c r="T59" s="81"/>
      <c r="U59" s="81">
        <f t="shared" si="30"/>
        <v>0</v>
      </c>
      <c r="V59" s="81">
        <f t="shared" si="31"/>
        <v>112185837.8</v>
      </c>
      <c r="W59" s="81"/>
      <c r="X59" s="17"/>
    </row>
    <row r="60" spans="1:24">
      <c r="A60" s="6">
        <f t="shared" si="32"/>
        <v>1997</v>
      </c>
      <c r="B60" s="81">
        <f>'Exhibit H,5'!Q21</f>
        <v>23093430.41</v>
      </c>
      <c r="C60" s="81">
        <f>'Exhibit H,5'!R21</f>
        <v>23093430.41</v>
      </c>
      <c r="D60" s="81">
        <f>'Exhibit H,5'!S21</f>
        <v>23093430.41</v>
      </c>
      <c r="E60" s="81">
        <f>'Exhibit H,5'!T21</f>
        <v>23093430.41</v>
      </c>
      <c r="F60" s="81">
        <f>'Exhibit H,5'!U21</f>
        <v>0</v>
      </c>
      <c r="G60" s="81">
        <f t="shared" si="18"/>
        <v>69280291.230000004</v>
      </c>
      <c r="H60" s="81">
        <f t="shared" si="19"/>
        <v>92373721.640000001</v>
      </c>
      <c r="I60" s="81">
        <f t="shared" si="20"/>
        <v>46186860.82</v>
      </c>
      <c r="J60" s="81">
        <f t="shared" si="21"/>
        <v>69280291.230000004</v>
      </c>
      <c r="K60" s="81">
        <f t="shared" si="22"/>
        <v>23093430.41</v>
      </c>
      <c r="L60" s="81">
        <f t="shared" si="23"/>
        <v>23093430.41</v>
      </c>
      <c r="M60" s="81">
        <f t="shared" si="24"/>
        <v>0</v>
      </c>
      <c r="N60" s="81">
        <f t="shared" si="25"/>
        <v>0</v>
      </c>
      <c r="O60" s="81">
        <f t="shared" si="26"/>
        <v>0</v>
      </c>
      <c r="P60" s="81">
        <f t="shared" si="27"/>
        <v>69280291.230000004</v>
      </c>
      <c r="Q60" s="81">
        <f t="shared" si="28"/>
        <v>23093430.41</v>
      </c>
      <c r="R60" s="81">
        <f t="shared" si="29"/>
        <v>92373721.640000001</v>
      </c>
      <c r="S60" s="81"/>
      <c r="T60" s="81"/>
      <c r="U60" s="81">
        <f t="shared" si="30"/>
        <v>0</v>
      </c>
      <c r="V60" s="81">
        <f t="shared" si="31"/>
        <v>92373721.640000001</v>
      </c>
      <c r="W60" s="81"/>
      <c r="X60" s="17"/>
    </row>
    <row r="61" spans="1:24">
      <c r="A61" s="6">
        <f t="shared" si="32"/>
        <v>1998</v>
      </c>
      <c r="B61" s="81">
        <f>'Exhibit H,5'!Q22</f>
        <v>16813843.780000001</v>
      </c>
      <c r="C61" s="81">
        <f>'Exhibit H,5'!R22</f>
        <v>16813843.780000001</v>
      </c>
      <c r="D61" s="81">
        <f>'Exhibit H,5'!S22</f>
        <v>16813843.780000001</v>
      </c>
      <c r="E61" s="81">
        <f>'Exhibit H,5'!T22</f>
        <v>16813843.780000001</v>
      </c>
      <c r="F61" s="81">
        <f>'Exhibit H,5'!U22</f>
        <v>0</v>
      </c>
      <c r="G61" s="81">
        <f t="shared" si="18"/>
        <v>50441531.340000004</v>
      </c>
      <c r="H61" s="81">
        <f t="shared" si="19"/>
        <v>67255375.120000005</v>
      </c>
      <c r="I61" s="81">
        <f t="shared" si="20"/>
        <v>33627687.560000002</v>
      </c>
      <c r="J61" s="81">
        <f t="shared" si="21"/>
        <v>50441531.340000004</v>
      </c>
      <c r="K61" s="81">
        <f t="shared" si="22"/>
        <v>16813843.780000001</v>
      </c>
      <c r="L61" s="81">
        <f t="shared" si="23"/>
        <v>16813843.780000001</v>
      </c>
      <c r="M61" s="81">
        <f t="shared" si="24"/>
        <v>0</v>
      </c>
      <c r="N61" s="81">
        <f t="shared" si="25"/>
        <v>0</v>
      </c>
      <c r="O61" s="81">
        <f t="shared" si="26"/>
        <v>0</v>
      </c>
      <c r="P61" s="81">
        <f t="shared" si="27"/>
        <v>50441531.340000004</v>
      </c>
      <c r="Q61" s="81">
        <f t="shared" si="28"/>
        <v>16813843.780000001</v>
      </c>
      <c r="R61" s="81">
        <f t="shared" si="29"/>
        <v>67255375.120000005</v>
      </c>
      <c r="S61" s="81"/>
      <c r="T61" s="81"/>
      <c r="U61" s="81">
        <f t="shared" si="30"/>
        <v>0</v>
      </c>
      <c r="V61" s="81">
        <f t="shared" si="31"/>
        <v>67255375.120000005</v>
      </c>
      <c r="W61" s="81"/>
      <c r="X61" s="17"/>
    </row>
    <row r="62" spans="1:24">
      <c r="A62" s="6">
        <f t="shared" si="32"/>
        <v>1999</v>
      </c>
      <c r="B62" s="81">
        <f>'Exhibit H,5'!Q23</f>
        <v>8970924.5199999996</v>
      </c>
      <c r="C62" s="81">
        <f>'Exhibit H,5'!R23</f>
        <v>8970924.5199999996</v>
      </c>
      <c r="D62" s="81">
        <f>'Exhibit H,5'!S23</f>
        <v>8970924.5199999996</v>
      </c>
      <c r="E62" s="81">
        <f>'Exhibit H,5'!T23</f>
        <v>8970924.5199999996</v>
      </c>
      <c r="F62" s="81">
        <f>'Exhibit H,5'!U23</f>
        <v>0</v>
      </c>
      <c r="G62" s="81">
        <f t="shared" si="18"/>
        <v>26912773.559999999</v>
      </c>
      <c r="H62" s="81">
        <f t="shared" si="19"/>
        <v>35883698.079999998</v>
      </c>
      <c r="I62" s="81">
        <f t="shared" si="20"/>
        <v>17941849.039999999</v>
      </c>
      <c r="J62" s="81">
        <f t="shared" si="21"/>
        <v>26912773.559999999</v>
      </c>
      <c r="K62" s="81">
        <f t="shared" si="22"/>
        <v>8970924.5199999996</v>
      </c>
      <c r="L62" s="81">
        <f t="shared" si="23"/>
        <v>8970924.5199999996</v>
      </c>
      <c r="M62" s="81">
        <f t="shared" si="24"/>
        <v>0</v>
      </c>
      <c r="N62" s="81">
        <f t="shared" si="25"/>
        <v>0</v>
      </c>
      <c r="O62" s="81">
        <f t="shared" si="26"/>
        <v>0</v>
      </c>
      <c r="P62" s="81">
        <f t="shared" si="27"/>
        <v>26912773.559999999</v>
      </c>
      <c r="Q62" s="81">
        <f t="shared" si="28"/>
        <v>8970924.5199999996</v>
      </c>
      <c r="R62" s="81">
        <f t="shared" si="29"/>
        <v>35883698.079999998</v>
      </c>
      <c r="S62" s="81"/>
      <c r="T62" s="81"/>
      <c r="U62" s="81">
        <f t="shared" si="30"/>
        <v>0</v>
      </c>
      <c r="V62" s="81">
        <f t="shared" si="31"/>
        <v>35883698.079999998</v>
      </c>
      <c r="W62" s="81"/>
      <c r="X62" s="17"/>
    </row>
    <row r="63" spans="1:24">
      <c r="A63" s="6">
        <f t="shared" si="32"/>
        <v>2000</v>
      </c>
      <c r="B63" s="81">
        <f>'Exhibit H,5'!Q24</f>
        <v>5903704.3700000001</v>
      </c>
      <c r="C63" s="81">
        <f>'Exhibit H,5'!R24</f>
        <v>5903704.3700000048</v>
      </c>
      <c r="D63" s="81">
        <f>'Exhibit H,5'!S24</f>
        <v>5903704.3700000001</v>
      </c>
      <c r="E63" s="81">
        <f>'Exhibit H,5'!T24</f>
        <v>5903704.3700000001</v>
      </c>
      <c r="F63" s="81">
        <f>'Exhibit H,5'!U24</f>
        <v>0</v>
      </c>
      <c r="G63" s="81">
        <f t="shared" si="18"/>
        <v>17711113.110000007</v>
      </c>
      <c r="H63" s="81">
        <f t="shared" si="19"/>
        <v>23614817.480000008</v>
      </c>
      <c r="I63" s="81">
        <f t="shared" si="20"/>
        <v>11807408.740000006</v>
      </c>
      <c r="J63" s="81">
        <f t="shared" si="21"/>
        <v>17711113.110000007</v>
      </c>
      <c r="K63" s="81">
        <f t="shared" si="22"/>
        <v>5903704.3700000001</v>
      </c>
      <c r="L63" s="81">
        <f t="shared" si="23"/>
        <v>5903704.3700000001</v>
      </c>
      <c r="M63" s="81">
        <f t="shared" si="24"/>
        <v>0</v>
      </c>
      <c r="N63" s="81">
        <f t="shared" si="25"/>
        <v>0</v>
      </c>
      <c r="O63" s="81">
        <f t="shared" si="26"/>
        <v>0</v>
      </c>
      <c r="P63" s="81">
        <f t="shared" si="27"/>
        <v>17711113.110000007</v>
      </c>
      <c r="Q63" s="81">
        <f t="shared" si="28"/>
        <v>5903704.3700000001</v>
      </c>
      <c r="R63" s="81">
        <f t="shared" si="29"/>
        <v>23614817.480000008</v>
      </c>
      <c r="S63" s="81"/>
      <c r="T63" s="81"/>
      <c r="U63" s="81">
        <f t="shared" si="30"/>
        <v>0</v>
      </c>
      <c r="V63" s="81">
        <f t="shared" si="31"/>
        <v>23614817.480000008</v>
      </c>
      <c r="W63" s="81"/>
      <c r="X63" s="17"/>
    </row>
    <row r="64" spans="1:24">
      <c r="A64" s="6">
        <f t="shared" si="32"/>
        <v>2001</v>
      </c>
      <c r="B64" s="81">
        <f>'Exhibit H,5'!Q25</f>
        <v>8418136.2699999996</v>
      </c>
      <c r="C64" s="81">
        <f>'Exhibit H,5'!R25</f>
        <v>8418136.270000007</v>
      </c>
      <c r="D64" s="81">
        <f>'Exhibit H,5'!S25</f>
        <v>8418136.2699999996</v>
      </c>
      <c r="E64" s="81">
        <f>'Exhibit H,5'!T25</f>
        <v>8418136.2699999996</v>
      </c>
      <c r="F64" s="81">
        <f>'Exhibit H,5'!U25</f>
        <v>0</v>
      </c>
      <c r="G64" s="81">
        <f t="shared" si="18"/>
        <v>25254408.810000006</v>
      </c>
      <c r="H64" s="81">
        <f t="shared" si="19"/>
        <v>33672545.080000006</v>
      </c>
      <c r="I64" s="81">
        <f t="shared" si="20"/>
        <v>16836272.540000007</v>
      </c>
      <c r="J64" s="81">
        <f t="shared" si="21"/>
        <v>25254408.810000006</v>
      </c>
      <c r="K64" s="81">
        <f t="shared" si="22"/>
        <v>8418136.2699999996</v>
      </c>
      <c r="L64" s="81">
        <f t="shared" si="23"/>
        <v>8418136.2699999996</v>
      </c>
      <c r="M64" s="81">
        <f t="shared" si="24"/>
        <v>0</v>
      </c>
      <c r="N64" s="81">
        <f t="shared" si="25"/>
        <v>0</v>
      </c>
      <c r="O64" s="81">
        <f t="shared" si="26"/>
        <v>0</v>
      </c>
      <c r="P64" s="81">
        <f t="shared" si="27"/>
        <v>25254408.810000006</v>
      </c>
      <c r="Q64" s="81">
        <f t="shared" si="28"/>
        <v>8418136.2699999996</v>
      </c>
      <c r="R64" s="81">
        <f t="shared" si="29"/>
        <v>33672545.080000006</v>
      </c>
      <c r="S64" s="81"/>
      <c r="T64" s="81"/>
      <c r="U64" s="81">
        <f t="shared" si="30"/>
        <v>0</v>
      </c>
      <c r="V64" s="81">
        <f t="shared" si="31"/>
        <v>33672545.080000006</v>
      </c>
      <c r="W64" s="81"/>
      <c r="X64" s="17"/>
    </row>
    <row r="65" spans="1:24">
      <c r="A65" s="6">
        <f t="shared" si="32"/>
        <v>2002</v>
      </c>
      <c r="B65" s="81">
        <f>'Exhibit H,5'!Q26</f>
        <v>545392.9</v>
      </c>
      <c r="C65" s="81">
        <f>'Exhibit H,5'!R26</f>
        <v>545392.89999999851</v>
      </c>
      <c r="D65" s="81">
        <f>'Exhibit H,5'!S26</f>
        <v>545392.9</v>
      </c>
      <c r="E65" s="81">
        <f>'Exhibit H,5'!T26</f>
        <v>545392.9</v>
      </c>
      <c r="F65" s="81">
        <f>'Exhibit H,5'!U26</f>
        <v>-1.5133991837501526E-9</v>
      </c>
      <c r="G65" s="81">
        <f t="shared" si="18"/>
        <v>1636178.6999999983</v>
      </c>
      <c r="H65" s="81">
        <f t="shared" si="19"/>
        <v>2181571.5999999968</v>
      </c>
      <c r="I65" s="81">
        <f t="shared" si="20"/>
        <v>1090785.7999999984</v>
      </c>
      <c r="J65" s="81">
        <f t="shared" si="21"/>
        <v>1636178.6999999983</v>
      </c>
      <c r="K65" s="81">
        <f t="shared" si="22"/>
        <v>545392.9</v>
      </c>
      <c r="L65" s="81">
        <f t="shared" si="23"/>
        <v>545392.89999999851</v>
      </c>
      <c r="M65" s="81">
        <f t="shared" si="24"/>
        <v>0</v>
      </c>
      <c r="N65" s="81">
        <f t="shared" si="25"/>
        <v>0</v>
      </c>
      <c r="O65" s="81">
        <f t="shared" si="26"/>
        <v>0</v>
      </c>
      <c r="P65" s="81">
        <f t="shared" si="27"/>
        <v>1636178.6999999983</v>
      </c>
      <c r="Q65" s="81">
        <f t="shared" si="28"/>
        <v>545392.89999999851</v>
      </c>
      <c r="R65" s="81">
        <f t="shared" si="29"/>
        <v>2181571.5999999968</v>
      </c>
      <c r="S65" s="81"/>
      <c r="T65" s="81"/>
      <c r="U65" s="81">
        <f t="shared" si="30"/>
        <v>0</v>
      </c>
      <c r="V65" s="81">
        <f t="shared" si="31"/>
        <v>2181571.5999999968</v>
      </c>
      <c r="W65" s="81"/>
      <c r="X65" s="17"/>
    </row>
    <row r="66" spans="1:24">
      <c r="A66" s="6">
        <f t="shared" si="32"/>
        <v>2003</v>
      </c>
      <c r="B66" s="81">
        <f>'Exhibit H,5'!Q27</f>
        <v>1276257.68</v>
      </c>
      <c r="C66" s="81">
        <f>'Exhibit H,5'!R27</f>
        <v>1276257.6799999997</v>
      </c>
      <c r="D66" s="81">
        <f>'Exhibit H,5'!S27</f>
        <v>1276257.68</v>
      </c>
      <c r="E66" s="81">
        <f>'Exhibit H,5'!T27</f>
        <v>1276257.68</v>
      </c>
      <c r="F66" s="81">
        <f>'Exhibit H,5'!U27</f>
        <v>0</v>
      </c>
      <c r="G66" s="81">
        <f t="shared" si="18"/>
        <v>3828773.0399999991</v>
      </c>
      <c r="H66" s="81">
        <f t="shared" si="19"/>
        <v>5105030.7199999988</v>
      </c>
      <c r="I66" s="81">
        <f t="shared" si="20"/>
        <v>2552515.3599999994</v>
      </c>
      <c r="J66" s="81">
        <f t="shared" si="21"/>
        <v>3828773.0399999991</v>
      </c>
      <c r="K66" s="81">
        <f t="shared" si="22"/>
        <v>1276257.68</v>
      </c>
      <c r="L66" s="81">
        <f t="shared" si="23"/>
        <v>1276257.68</v>
      </c>
      <c r="M66" s="81">
        <f t="shared" si="24"/>
        <v>0</v>
      </c>
      <c r="N66" s="81">
        <f t="shared" si="25"/>
        <v>0</v>
      </c>
      <c r="O66" s="81">
        <f t="shared" si="26"/>
        <v>0</v>
      </c>
      <c r="P66" s="81">
        <f t="shared" si="27"/>
        <v>3828773.0399999991</v>
      </c>
      <c r="Q66" s="81">
        <f t="shared" si="28"/>
        <v>1276257.68</v>
      </c>
      <c r="R66" s="81">
        <f t="shared" si="29"/>
        <v>5105030.7199999988</v>
      </c>
      <c r="S66" s="81"/>
      <c r="T66" s="81"/>
      <c r="U66" s="81">
        <f t="shared" si="30"/>
        <v>0</v>
      </c>
      <c r="V66" s="81">
        <f t="shared" si="31"/>
        <v>5105030.7199999988</v>
      </c>
      <c r="W66" s="81"/>
      <c r="X66" s="17"/>
    </row>
    <row r="67" spans="1:24">
      <c r="A67" s="6">
        <f t="shared" si="32"/>
        <v>2004</v>
      </c>
      <c r="B67" s="81">
        <f>'Exhibit H,5'!Q28</f>
        <v>0</v>
      </c>
      <c r="C67" s="81">
        <f>'Exhibit H,5'!R28</f>
        <v>0</v>
      </c>
      <c r="D67" s="81">
        <f>'Exhibit H,5'!S28</f>
        <v>0</v>
      </c>
      <c r="E67" s="81">
        <f>'Exhibit H,5'!T28</f>
        <v>0</v>
      </c>
      <c r="F67" s="81">
        <f>'Exhibit H,5'!U28</f>
        <v>0</v>
      </c>
      <c r="G67" s="81">
        <f t="shared" si="18"/>
        <v>0</v>
      </c>
      <c r="H67" s="81">
        <f t="shared" si="19"/>
        <v>0</v>
      </c>
      <c r="I67" s="81">
        <f t="shared" si="20"/>
        <v>0</v>
      </c>
      <c r="J67" s="81">
        <f t="shared" si="21"/>
        <v>0</v>
      </c>
      <c r="K67" s="81">
        <f t="shared" si="22"/>
        <v>0</v>
      </c>
      <c r="L67" s="81">
        <f t="shared" si="23"/>
        <v>0</v>
      </c>
      <c r="M67" s="81">
        <f t="shared" si="24"/>
        <v>0</v>
      </c>
      <c r="N67" s="81">
        <f t="shared" si="25"/>
        <v>0</v>
      </c>
      <c r="O67" s="81">
        <f t="shared" si="26"/>
        <v>0</v>
      </c>
      <c r="P67" s="81">
        <f t="shared" si="27"/>
        <v>0</v>
      </c>
      <c r="Q67" s="81">
        <f t="shared" si="28"/>
        <v>0</v>
      </c>
      <c r="R67" s="81">
        <f t="shared" si="29"/>
        <v>0</v>
      </c>
      <c r="S67" s="81"/>
      <c r="T67" s="81"/>
      <c r="U67" s="81">
        <f t="shared" si="30"/>
        <v>0</v>
      </c>
      <c r="V67" s="81">
        <f t="shared" si="31"/>
        <v>0</v>
      </c>
      <c r="W67" s="81"/>
      <c r="X67" s="17"/>
    </row>
    <row r="68" spans="1:24">
      <c r="A68" s="6">
        <f t="shared" si="32"/>
        <v>2005</v>
      </c>
      <c r="B68" s="81">
        <f>'Exhibit H,5'!Q29</f>
        <v>638230.88</v>
      </c>
      <c r="C68" s="81">
        <f>'Exhibit H,5'!R29</f>
        <v>638230.88000000268</v>
      </c>
      <c r="D68" s="81">
        <f>'Exhibit H,5'!S29</f>
        <v>638230.88</v>
      </c>
      <c r="E68" s="81">
        <f>'Exhibit H,5'!T29</f>
        <v>638230.88</v>
      </c>
      <c r="F68" s="81">
        <f>'Exhibit H,5'!U29</f>
        <v>2.6775524020195007E-9</v>
      </c>
      <c r="G68" s="81">
        <f t="shared" si="18"/>
        <v>1914692.6400000025</v>
      </c>
      <c r="H68" s="81">
        <f t="shared" si="19"/>
        <v>2552923.5200000051</v>
      </c>
      <c r="I68" s="81">
        <f t="shared" si="20"/>
        <v>1276461.7600000026</v>
      </c>
      <c r="J68" s="81">
        <f t="shared" si="21"/>
        <v>1914692.6400000025</v>
      </c>
      <c r="K68" s="81">
        <f t="shared" si="22"/>
        <v>638230.88</v>
      </c>
      <c r="L68" s="81">
        <f t="shared" si="23"/>
        <v>638230.88000000268</v>
      </c>
      <c r="M68" s="81">
        <f t="shared" si="24"/>
        <v>0</v>
      </c>
      <c r="N68" s="81">
        <f t="shared" si="25"/>
        <v>0</v>
      </c>
      <c r="O68" s="81">
        <f t="shared" si="26"/>
        <v>0</v>
      </c>
      <c r="P68" s="81">
        <f t="shared" si="27"/>
        <v>1914692.6400000025</v>
      </c>
      <c r="Q68" s="81">
        <f t="shared" si="28"/>
        <v>638230.88000000268</v>
      </c>
      <c r="R68" s="81">
        <f t="shared" si="29"/>
        <v>2552923.5200000051</v>
      </c>
      <c r="S68" s="81"/>
      <c r="T68" s="81"/>
      <c r="U68" s="81">
        <f t="shared" si="30"/>
        <v>0</v>
      </c>
      <c r="V68" s="81">
        <f t="shared" si="31"/>
        <v>2552923.5200000051</v>
      </c>
      <c r="W68" s="81"/>
      <c r="X68" s="17"/>
    </row>
    <row r="69" spans="1:24">
      <c r="A69" s="6">
        <f t="shared" si="32"/>
        <v>2006</v>
      </c>
      <c r="B69" s="81">
        <f>'Exhibit H,5'!Q30</f>
        <v>823895.11</v>
      </c>
      <c r="C69" s="81">
        <f>'Exhibit H,5'!R30</f>
        <v>823895.1099999994</v>
      </c>
      <c r="D69" s="81">
        <f>'Exhibit H,5'!S30</f>
        <v>823895.11</v>
      </c>
      <c r="E69" s="81">
        <f>'Exhibit H,5'!T30</f>
        <v>823895.11</v>
      </c>
      <c r="F69" s="81">
        <f>'Exhibit H,5'!U30</f>
        <v>0</v>
      </c>
      <c r="G69" s="81">
        <f t="shared" si="18"/>
        <v>2471685.3299999991</v>
      </c>
      <c r="H69" s="81">
        <f t="shared" si="19"/>
        <v>3295580.439999999</v>
      </c>
      <c r="I69" s="81">
        <f t="shared" si="20"/>
        <v>1647790.2199999993</v>
      </c>
      <c r="J69" s="81">
        <f t="shared" si="21"/>
        <v>2471685.3299999991</v>
      </c>
      <c r="K69" s="81">
        <f t="shared" si="22"/>
        <v>823895.11</v>
      </c>
      <c r="L69" s="81">
        <f t="shared" si="23"/>
        <v>823895.11</v>
      </c>
      <c r="M69" s="81">
        <f t="shared" si="24"/>
        <v>0</v>
      </c>
      <c r="N69" s="81">
        <f t="shared" si="25"/>
        <v>0</v>
      </c>
      <c r="O69" s="81">
        <f t="shared" si="26"/>
        <v>0</v>
      </c>
      <c r="P69" s="81">
        <f t="shared" si="27"/>
        <v>2471685.3299999991</v>
      </c>
      <c r="Q69" s="81">
        <f t="shared" si="28"/>
        <v>823895.11</v>
      </c>
      <c r="R69" s="81">
        <f t="shared" si="29"/>
        <v>3295580.439999999</v>
      </c>
      <c r="S69" s="81"/>
      <c r="T69" s="81"/>
      <c r="U69" s="81">
        <f t="shared" si="30"/>
        <v>0</v>
      </c>
      <c r="V69" s="81">
        <f t="shared" si="31"/>
        <v>3295580.439999999</v>
      </c>
      <c r="W69" s="81"/>
      <c r="X69" s="17"/>
    </row>
    <row r="70" spans="1:24">
      <c r="A70" s="6">
        <f t="shared" si="32"/>
        <v>2007</v>
      </c>
      <c r="B70" s="81">
        <f>'Exhibit H,5'!Q31</f>
        <v>1716687.82</v>
      </c>
      <c r="C70" s="81">
        <f>'Exhibit H,5'!R31</f>
        <v>1716687.8200000003</v>
      </c>
      <c r="D70" s="81">
        <f>'Exhibit H,5'!S31</f>
        <v>1716687.82</v>
      </c>
      <c r="E70" s="81">
        <f>'Exhibit H,5'!T31</f>
        <v>1716687.82</v>
      </c>
      <c r="F70" s="81">
        <f>'Exhibit H,5'!U31</f>
        <v>0</v>
      </c>
      <c r="G70" s="81">
        <f t="shared" si="18"/>
        <v>5150063.4600000009</v>
      </c>
      <c r="H70" s="81">
        <f t="shared" si="19"/>
        <v>6866751.2800000012</v>
      </c>
      <c r="I70" s="81">
        <f t="shared" si="20"/>
        <v>3433375.6400000006</v>
      </c>
      <c r="J70" s="81">
        <f t="shared" si="21"/>
        <v>5150063.4600000009</v>
      </c>
      <c r="K70" s="81">
        <f t="shared" si="22"/>
        <v>1716687.82</v>
      </c>
      <c r="L70" s="81">
        <f t="shared" si="23"/>
        <v>1716687.82</v>
      </c>
      <c r="M70" s="81">
        <f t="shared" si="24"/>
        <v>0</v>
      </c>
      <c r="N70" s="81">
        <f t="shared" si="25"/>
        <v>0</v>
      </c>
      <c r="O70" s="81">
        <f t="shared" si="26"/>
        <v>0</v>
      </c>
      <c r="P70" s="81">
        <f t="shared" si="27"/>
        <v>5150063.4600000009</v>
      </c>
      <c r="Q70" s="81">
        <f t="shared" si="28"/>
        <v>1716687.82</v>
      </c>
      <c r="R70" s="81">
        <f t="shared" si="29"/>
        <v>6866751.2800000012</v>
      </c>
      <c r="S70" s="81"/>
      <c r="T70" s="81"/>
      <c r="U70" s="81">
        <f t="shared" si="30"/>
        <v>0</v>
      </c>
      <c r="V70" s="81">
        <f t="shared" si="31"/>
        <v>6866751.2800000012</v>
      </c>
      <c r="W70" s="81"/>
      <c r="X70" s="17"/>
    </row>
    <row r="71" spans="1:24">
      <c r="A71" s="6">
        <f t="shared" si="32"/>
        <v>2008</v>
      </c>
      <c r="B71" s="81">
        <f>'Exhibit H,5'!Q32</f>
        <v>2126900.69</v>
      </c>
      <c r="C71" s="81">
        <f>'Exhibit H,5'!R32</f>
        <v>2126900.6900000013</v>
      </c>
      <c r="D71" s="81">
        <f>'Exhibit H,5'!S32</f>
        <v>2126900.69</v>
      </c>
      <c r="E71" s="81">
        <f>'Exhibit H,5'!T32</f>
        <v>2126900.69</v>
      </c>
      <c r="F71" s="81">
        <f>'Exhibit H,5'!U32</f>
        <v>0</v>
      </c>
      <c r="G71" s="81">
        <f t="shared" si="18"/>
        <v>6380702.0700000003</v>
      </c>
      <c r="H71" s="81">
        <f t="shared" si="19"/>
        <v>8507602.7599999998</v>
      </c>
      <c r="I71" s="81">
        <f t="shared" si="20"/>
        <v>4253801.3800000008</v>
      </c>
      <c r="J71" s="81">
        <f t="shared" si="21"/>
        <v>6380702.0700000003</v>
      </c>
      <c r="K71" s="81">
        <f t="shared" si="22"/>
        <v>2126900.69</v>
      </c>
      <c r="L71" s="81">
        <f t="shared" si="23"/>
        <v>2126900.69</v>
      </c>
      <c r="M71" s="81">
        <f t="shared" si="24"/>
        <v>0</v>
      </c>
      <c r="N71" s="81">
        <f t="shared" si="25"/>
        <v>0</v>
      </c>
      <c r="O71" s="81">
        <f t="shared" si="26"/>
        <v>0</v>
      </c>
      <c r="P71" s="81">
        <f t="shared" si="27"/>
        <v>6380702.0700000003</v>
      </c>
      <c r="Q71" s="81">
        <f t="shared" si="28"/>
        <v>2126900.69</v>
      </c>
      <c r="R71" s="81">
        <f t="shared" si="29"/>
        <v>8507602.7599999998</v>
      </c>
      <c r="S71" s="81"/>
      <c r="T71" s="81"/>
      <c r="U71" s="81">
        <f t="shared" si="30"/>
        <v>0</v>
      </c>
      <c r="V71" s="81">
        <f t="shared" si="31"/>
        <v>8507602.7599999998</v>
      </c>
      <c r="W71" s="81"/>
      <c r="X71" s="17"/>
    </row>
    <row r="72" spans="1:24">
      <c r="A72" s="6">
        <f t="shared" si="32"/>
        <v>2009</v>
      </c>
      <c r="B72" s="81">
        <f>'Exhibit H,5'!Q33</f>
        <v>2235848.35</v>
      </c>
      <c r="C72" s="81">
        <f>'Exhibit H,5'!R33</f>
        <v>2235848.3499999978</v>
      </c>
      <c r="D72" s="81">
        <f>'Exhibit H,5'!S33</f>
        <v>2235848.35</v>
      </c>
      <c r="E72" s="81">
        <f>'Exhibit H,5'!T33</f>
        <v>2235848.35</v>
      </c>
      <c r="F72" s="81">
        <f>'Exhibit H,5'!U33</f>
        <v>0</v>
      </c>
      <c r="G72" s="81">
        <f t="shared" si="18"/>
        <v>6707545.049999997</v>
      </c>
      <c r="H72" s="81">
        <f t="shared" si="19"/>
        <v>8943393.3999999966</v>
      </c>
      <c r="I72" s="81">
        <f t="shared" si="20"/>
        <v>4471696.6999999974</v>
      </c>
      <c r="J72" s="81">
        <f t="shared" si="21"/>
        <v>6707545.049999997</v>
      </c>
      <c r="K72" s="81">
        <f t="shared" si="22"/>
        <v>2235848.35</v>
      </c>
      <c r="L72" s="81">
        <f t="shared" si="23"/>
        <v>2235848.35</v>
      </c>
      <c r="M72" s="81">
        <f t="shared" si="24"/>
        <v>0</v>
      </c>
      <c r="N72" s="81">
        <f t="shared" si="25"/>
        <v>0</v>
      </c>
      <c r="O72" s="81">
        <f t="shared" si="26"/>
        <v>0</v>
      </c>
      <c r="P72" s="81">
        <f t="shared" si="27"/>
        <v>6707545.049999997</v>
      </c>
      <c r="Q72" s="81">
        <f t="shared" si="28"/>
        <v>2235848.35</v>
      </c>
      <c r="R72" s="81">
        <f t="shared" si="29"/>
        <v>8943393.3999999966</v>
      </c>
      <c r="S72" s="81"/>
      <c r="T72" s="81"/>
      <c r="U72" s="81">
        <f t="shared" si="30"/>
        <v>0</v>
      </c>
      <c r="V72" s="81">
        <f t="shared" si="31"/>
        <v>8943393.3999999966</v>
      </c>
      <c r="W72" s="81"/>
      <c r="X72" s="17"/>
    </row>
    <row r="73" spans="1:24">
      <c r="A73" s="6">
        <f t="shared" si="32"/>
        <v>2010</v>
      </c>
      <c r="B73" s="81">
        <f>'Exhibit H,5'!Q34</f>
        <v>5992753.5499999998</v>
      </c>
      <c r="C73" s="81">
        <f>'Exhibit H,5'!R34</f>
        <v>5992753.5500000007</v>
      </c>
      <c r="D73" s="81">
        <f>'Exhibit H,5'!S34</f>
        <v>5992753.5499999998</v>
      </c>
      <c r="E73" s="81">
        <f>'Exhibit H,5'!T34</f>
        <v>5992753.5499999998</v>
      </c>
      <c r="F73" s="81">
        <f>'Exhibit H,5'!U34</f>
        <v>0</v>
      </c>
      <c r="G73" s="81">
        <f t="shared" si="18"/>
        <v>17978260.650000002</v>
      </c>
      <c r="H73" s="81">
        <f t="shared" si="19"/>
        <v>23971014.200000003</v>
      </c>
      <c r="I73" s="81">
        <f t="shared" si="20"/>
        <v>11985507.100000001</v>
      </c>
      <c r="J73" s="81">
        <f t="shared" si="21"/>
        <v>17978260.650000002</v>
      </c>
      <c r="K73" s="81">
        <f t="shared" si="22"/>
        <v>5992753.5499999998</v>
      </c>
      <c r="L73" s="81">
        <f t="shared" si="23"/>
        <v>5992753.5499999998</v>
      </c>
      <c r="M73" s="81">
        <f t="shared" si="24"/>
        <v>0</v>
      </c>
      <c r="N73" s="81">
        <f t="shared" si="25"/>
        <v>0</v>
      </c>
      <c r="O73" s="81">
        <f t="shared" si="26"/>
        <v>0</v>
      </c>
      <c r="P73" s="81">
        <f t="shared" si="27"/>
        <v>17978260.650000002</v>
      </c>
      <c r="Q73" s="81">
        <f t="shared" si="28"/>
        <v>5992753.5499999998</v>
      </c>
      <c r="R73" s="81">
        <f t="shared" si="29"/>
        <v>23971014.200000003</v>
      </c>
      <c r="S73" s="81"/>
      <c r="T73" s="81"/>
      <c r="U73" s="81">
        <f t="shared" si="30"/>
        <v>0</v>
      </c>
      <c r="V73" s="81">
        <f t="shared" si="31"/>
        <v>23971014.200000003</v>
      </c>
      <c r="X73" s="17"/>
    </row>
    <row r="74" spans="1:24">
      <c r="A74" s="6">
        <f t="shared" si="32"/>
        <v>2011</v>
      </c>
      <c r="B74" s="81">
        <f>'Exhibit H,5'!Q35</f>
        <v>6075393.9800000004</v>
      </c>
      <c r="C74" s="81">
        <f>'Exhibit H,5'!R35</f>
        <v>6075393.9799999986</v>
      </c>
      <c r="D74" s="81">
        <f>'Exhibit H,5'!S35</f>
        <v>6075393.9800000004</v>
      </c>
      <c r="E74" s="81">
        <f>'Exhibit H,5'!T35</f>
        <v>6075393.9800000004</v>
      </c>
      <c r="F74" s="81">
        <f>'Exhibit H,5'!U35</f>
        <v>0</v>
      </c>
      <c r="G74" s="81">
        <f t="shared" si="18"/>
        <v>18226181.939999998</v>
      </c>
      <c r="H74" s="81">
        <f t="shared" si="19"/>
        <v>24301575.919999998</v>
      </c>
      <c r="I74" s="81">
        <f t="shared" si="20"/>
        <v>12150787.959999999</v>
      </c>
      <c r="J74" s="81">
        <f t="shared" si="21"/>
        <v>18226181.939999998</v>
      </c>
      <c r="K74" s="81">
        <f t="shared" si="22"/>
        <v>6075393.9800000004</v>
      </c>
      <c r="L74" s="81">
        <f t="shared" si="23"/>
        <v>6075393.9800000004</v>
      </c>
      <c r="M74" s="81">
        <f t="shared" si="24"/>
        <v>0</v>
      </c>
      <c r="N74" s="81">
        <f t="shared" si="25"/>
        <v>0</v>
      </c>
      <c r="O74" s="81">
        <f t="shared" si="26"/>
        <v>0</v>
      </c>
      <c r="P74" s="81">
        <f t="shared" si="27"/>
        <v>18226181.939999998</v>
      </c>
      <c r="Q74" s="81">
        <f t="shared" si="28"/>
        <v>6075393.9800000004</v>
      </c>
      <c r="R74" s="81">
        <f t="shared" si="29"/>
        <v>24301575.919999998</v>
      </c>
      <c r="S74" s="81"/>
      <c r="T74" s="81"/>
      <c r="U74" s="81">
        <f t="shared" si="30"/>
        <v>0</v>
      </c>
      <c r="V74" s="81">
        <f t="shared" si="31"/>
        <v>24301575.919999998</v>
      </c>
      <c r="W74" s="87">
        <v>4417560.5885055466</v>
      </c>
      <c r="X74" s="17"/>
    </row>
    <row r="75" spans="1:24">
      <c r="A75" s="6">
        <f t="shared" si="32"/>
        <v>2012</v>
      </c>
      <c r="B75" s="81">
        <f>'Exhibit H,5'!Q36</f>
        <v>1329575.07</v>
      </c>
      <c r="C75" s="81">
        <f>'Exhibit H,5'!R36</f>
        <v>1329575.0700000003</v>
      </c>
      <c r="D75" s="81">
        <f>'Exhibit H,5'!S36</f>
        <v>1329575.07</v>
      </c>
      <c r="E75" s="81">
        <f>'Exhibit H,5'!T36</f>
        <v>1329575.07</v>
      </c>
      <c r="F75" s="81">
        <f>'Exhibit H,5'!U36</f>
        <v>0</v>
      </c>
      <c r="G75" s="81">
        <f t="shared" si="18"/>
        <v>3988725.2100000009</v>
      </c>
      <c r="H75" s="81">
        <f t="shared" si="19"/>
        <v>5318300.2800000012</v>
      </c>
      <c r="I75" s="81">
        <f t="shared" si="20"/>
        <v>2659150.1400000006</v>
      </c>
      <c r="J75" s="81">
        <f t="shared" si="21"/>
        <v>3988725.2100000009</v>
      </c>
      <c r="K75" s="81">
        <f t="shared" si="22"/>
        <v>1329575.07</v>
      </c>
      <c r="L75" s="81">
        <f t="shared" si="23"/>
        <v>1329575.07</v>
      </c>
      <c r="M75" s="81">
        <f t="shared" si="24"/>
        <v>0</v>
      </c>
      <c r="N75" s="81">
        <f t="shared" si="25"/>
        <v>0</v>
      </c>
      <c r="O75" s="81">
        <f t="shared" si="26"/>
        <v>0</v>
      </c>
      <c r="P75" s="81">
        <f t="shared" si="27"/>
        <v>3988725.2100000009</v>
      </c>
      <c r="Q75" s="81">
        <f t="shared" si="28"/>
        <v>1329575.07</v>
      </c>
      <c r="R75" s="81">
        <f t="shared" si="29"/>
        <v>5318300.2800000012</v>
      </c>
      <c r="S75" s="81"/>
      <c r="T75" s="81"/>
      <c r="U75" s="81">
        <f t="shared" si="30"/>
        <v>0</v>
      </c>
      <c r="V75" s="81">
        <f t="shared" si="31"/>
        <v>5318300.2800000012</v>
      </c>
      <c r="W75" s="87">
        <v>4242997.5351055767</v>
      </c>
      <c r="X75" s="17"/>
    </row>
    <row r="76" spans="1:24">
      <c r="A76" s="6">
        <f t="shared" si="32"/>
        <v>2013</v>
      </c>
      <c r="B76" s="81">
        <f>'Exhibit H,5'!Q37</f>
        <v>1325604.94</v>
      </c>
      <c r="C76" s="81">
        <f>'Exhibit H,5'!R37</f>
        <v>1325604.9400000013</v>
      </c>
      <c r="D76" s="81">
        <f>'Exhibit H,5'!S37</f>
        <v>1325604.94</v>
      </c>
      <c r="E76" s="81">
        <f>'Exhibit H,5'!T37</f>
        <v>1325604.94</v>
      </c>
      <c r="F76" s="81">
        <f>'Exhibit H,5'!U37</f>
        <v>0</v>
      </c>
      <c r="G76" s="81">
        <f t="shared" si="18"/>
        <v>3976814.8200000012</v>
      </c>
      <c r="H76" s="81">
        <f t="shared" si="19"/>
        <v>5302419.7600000016</v>
      </c>
      <c r="I76" s="81">
        <f t="shared" si="20"/>
        <v>2651209.8800000013</v>
      </c>
      <c r="J76" s="81">
        <f t="shared" si="21"/>
        <v>3976814.8200000012</v>
      </c>
      <c r="K76" s="81">
        <f t="shared" si="22"/>
        <v>1325604.94</v>
      </c>
      <c r="L76" s="81">
        <f t="shared" si="23"/>
        <v>1325604.94</v>
      </c>
      <c r="M76" s="81">
        <f t="shared" si="24"/>
        <v>0</v>
      </c>
      <c r="N76" s="81">
        <f t="shared" si="25"/>
        <v>0</v>
      </c>
      <c r="O76" s="81">
        <f t="shared" si="26"/>
        <v>0</v>
      </c>
      <c r="P76" s="81">
        <f t="shared" si="27"/>
        <v>3976814.8200000012</v>
      </c>
      <c r="Q76" s="81">
        <f t="shared" si="28"/>
        <v>1325604.94</v>
      </c>
      <c r="R76" s="81">
        <f t="shared" si="29"/>
        <v>5302419.7600000016</v>
      </c>
      <c r="S76" s="81"/>
      <c r="T76" s="81"/>
      <c r="U76" s="81">
        <f t="shared" si="30"/>
        <v>0</v>
      </c>
      <c r="V76" s="81">
        <f t="shared" si="31"/>
        <v>5302419.7600000016</v>
      </c>
      <c r="W76" s="87">
        <v>4303233.5766016664</v>
      </c>
      <c r="X76" s="17"/>
    </row>
    <row r="77" spans="1:24">
      <c r="A77" s="6">
        <f t="shared" si="32"/>
        <v>2014</v>
      </c>
      <c r="B77" s="81">
        <f>'Exhibit H,5'!Q38</f>
        <v>1795488.32</v>
      </c>
      <c r="C77" s="81">
        <f>'Exhibit H,5'!R38</f>
        <v>2347702.3199999984</v>
      </c>
      <c r="D77" s="81">
        <f>'Exhibit H,5'!S38</f>
        <v>1795488.32</v>
      </c>
      <c r="E77" s="81">
        <f>'Exhibit H,5'!T38</f>
        <v>2347316.3199999998</v>
      </c>
      <c r="F77" s="81">
        <f>'Exhibit H,5'!U38</f>
        <v>385.99999999860302</v>
      </c>
      <c r="G77" s="81">
        <f t="shared" si="18"/>
        <v>6490506.959999999</v>
      </c>
      <c r="H77" s="81">
        <f t="shared" si="19"/>
        <v>8286381.2799999975</v>
      </c>
      <c r="I77" s="81">
        <f t="shared" si="20"/>
        <v>4143190.6399999987</v>
      </c>
      <c r="J77" s="81">
        <f t="shared" si="21"/>
        <v>5938678.959999999</v>
      </c>
      <c r="K77" s="81">
        <f t="shared" si="22"/>
        <v>2347316.3199999998</v>
      </c>
      <c r="L77" s="81">
        <f t="shared" si="23"/>
        <v>2347702.3199999984</v>
      </c>
      <c r="M77" s="81">
        <f t="shared" si="24"/>
        <v>14986.859648137261</v>
      </c>
      <c r="N77" s="81">
        <f t="shared" si="25"/>
        <v>788.78208674406642</v>
      </c>
      <c r="O77" s="81">
        <f t="shared" si="26"/>
        <v>15775.641734881327</v>
      </c>
      <c r="P77" s="81">
        <f t="shared" si="27"/>
        <v>5953665.8196481364</v>
      </c>
      <c r="Q77" s="81">
        <f t="shared" si="28"/>
        <v>2348491.1020867424</v>
      </c>
      <c r="R77" s="81">
        <f t="shared" si="29"/>
        <v>8302156.9217348788</v>
      </c>
      <c r="S77" s="81"/>
      <c r="T77" s="81"/>
      <c r="U77" s="81">
        <f t="shared" si="30"/>
        <v>0</v>
      </c>
      <c r="V77" s="81">
        <f t="shared" si="31"/>
        <v>8302156.9217348788</v>
      </c>
      <c r="W77" s="87">
        <v>2376194.5856042476</v>
      </c>
      <c r="X77" s="17"/>
    </row>
    <row r="78" spans="1:24">
      <c r="A78" s="6">
        <f t="shared" si="32"/>
        <v>2015</v>
      </c>
      <c r="B78" s="81">
        <f>'Exhibit H,5'!Q39</f>
        <v>0</v>
      </c>
      <c r="C78" s="81">
        <f>'Exhibit H,5'!R39</f>
        <v>220160</v>
      </c>
      <c r="D78" s="81">
        <f>'Exhibit H,5'!S39</f>
        <v>0</v>
      </c>
      <c r="E78" s="81">
        <f>'Exhibit H,5'!T39</f>
        <v>1052160</v>
      </c>
      <c r="F78" s="81">
        <f>'Exhibit H,5'!U39</f>
        <v>-832000</v>
      </c>
      <c r="G78" s="81">
        <f t="shared" si="18"/>
        <v>1272320</v>
      </c>
      <c r="H78" s="81">
        <f t="shared" si="19"/>
        <v>440320</v>
      </c>
      <c r="I78" s="81">
        <f t="shared" si="20"/>
        <v>220160</v>
      </c>
      <c r="J78" s="81">
        <f t="shared" si="21"/>
        <v>220160</v>
      </c>
      <c r="K78" s="81">
        <f t="shared" si="22"/>
        <v>1052160</v>
      </c>
      <c r="L78" s="81">
        <f t="shared" si="23"/>
        <v>220160</v>
      </c>
      <c r="M78" s="81">
        <f t="shared" si="24"/>
        <v>17854.05137038324</v>
      </c>
      <c r="N78" s="81">
        <f t="shared" si="25"/>
        <v>939.68691423069686</v>
      </c>
      <c r="O78" s="81">
        <f t="shared" si="26"/>
        <v>18793.738284613937</v>
      </c>
      <c r="P78" s="81">
        <f t="shared" si="27"/>
        <v>238014.05137038324</v>
      </c>
      <c r="Q78" s="81">
        <f t="shared" si="28"/>
        <v>221099.6869142307</v>
      </c>
      <c r="R78" s="81">
        <f t="shared" si="29"/>
        <v>459113.73828461394</v>
      </c>
      <c r="S78" s="81"/>
      <c r="T78" s="81"/>
      <c r="U78" s="81">
        <f t="shared" si="30"/>
        <v>0</v>
      </c>
      <c r="V78" s="81">
        <f t="shared" si="31"/>
        <v>459113.73828461394</v>
      </c>
      <c r="W78" s="87">
        <v>2282084.5057349936</v>
      </c>
      <c r="X78" s="17"/>
    </row>
    <row r="79" spans="1:24">
      <c r="A79" s="6">
        <f t="shared" si="32"/>
        <v>2016</v>
      </c>
      <c r="B79" s="81">
        <f>'Exhibit H,5'!Q40</f>
        <v>0</v>
      </c>
      <c r="C79" s="81">
        <f>'Exhibit H,5'!R40</f>
        <v>2000000</v>
      </c>
      <c r="D79" s="81">
        <f>'Exhibit H,5'!S40</f>
        <v>0</v>
      </c>
      <c r="E79" s="81">
        <f>'Exhibit H,5'!T40</f>
        <v>0</v>
      </c>
      <c r="F79" s="81">
        <f>'Exhibit H,5'!U40</f>
        <v>2000000</v>
      </c>
      <c r="G79" s="81">
        <f t="shared" si="18"/>
        <v>2000000</v>
      </c>
      <c r="H79" s="81">
        <f t="shared" si="19"/>
        <v>4000000</v>
      </c>
      <c r="I79" s="81">
        <f t="shared" si="20"/>
        <v>2000000</v>
      </c>
      <c r="J79" s="81">
        <f t="shared" si="21"/>
        <v>2000000</v>
      </c>
      <c r="K79" s="81">
        <f t="shared" si="22"/>
        <v>0</v>
      </c>
      <c r="L79" s="81">
        <f t="shared" si="23"/>
        <v>2000000</v>
      </c>
      <c r="M79" s="81">
        <f t="shared" si="24"/>
        <v>784699.56788719562</v>
      </c>
      <c r="N79" s="81">
        <f t="shared" si="25"/>
        <v>41299.977257220824</v>
      </c>
      <c r="O79" s="81">
        <f t="shared" si="26"/>
        <v>825999.54514441639</v>
      </c>
      <c r="P79" s="81">
        <f t="shared" si="27"/>
        <v>2784699.5678871954</v>
      </c>
      <c r="Q79" s="81">
        <f t="shared" si="28"/>
        <v>2041299.9772572208</v>
      </c>
      <c r="R79" s="81">
        <f t="shared" si="29"/>
        <v>4825999.5451444164</v>
      </c>
      <c r="S79" s="81"/>
      <c r="T79" s="81"/>
      <c r="U79" s="81">
        <f t="shared" si="30"/>
        <v>0</v>
      </c>
      <c r="V79" s="81">
        <f t="shared" si="31"/>
        <v>4825999.5451444164</v>
      </c>
      <c r="W79" s="87">
        <v>3067294.8278026339</v>
      </c>
      <c r="X79" s="17"/>
    </row>
    <row r="80" spans="1:24">
      <c r="A80" s="6">
        <f t="shared" si="32"/>
        <v>2017</v>
      </c>
      <c r="B80" s="81">
        <f>'Exhibit H,5'!Q41</f>
        <v>1875.87</v>
      </c>
      <c r="C80" s="81">
        <f>'Exhibit H,5'!R41</f>
        <v>194376.86999999918</v>
      </c>
      <c r="D80" s="81">
        <f>'Exhibit H,5'!S41</f>
        <v>1750</v>
      </c>
      <c r="E80" s="81">
        <f>'Exhibit H,5'!T41</f>
        <v>95813</v>
      </c>
      <c r="F80" s="81">
        <f>'Exhibit H,5'!U41</f>
        <v>98563.86999999918</v>
      </c>
      <c r="G80" s="81">
        <f t="shared" si="18"/>
        <v>292065.73999999918</v>
      </c>
      <c r="H80" s="81">
        <f t="shared" si="19"/>
        <v>392379.60999999836</v>
      </c>
      <c r="I80" s="81">
        <f t="shared" si="20"/>
        <v>196252.73999999918</v>
      </c>
      <c r="J80" s="81">
        <f t="shared" si="21"/>
        <v>198002.73999999918</v>
      </c>
      <c r="K80" s="81">
        <f t="shared" si="22"/>
        <v>95813</v>
      </c>
      <c r="L80" s="81">
        <f t="shared" si="23"/>
        <v>194376.86999999918</v>
      </c>
      <c r="M80" s="81">
        <f t="shared" si="24"/>
        <v>483811.81819218741</v>
      </c>
      <c r="N80" s="81">
        <f t="shared" si="25"/>
        <v>25463.77990485197</v>
      </c>
      <c r="O80" s="81">
        <f t="shared" si="26"/>
        <v>509275.59809703939</v>
      </c>
      <c r="P80" s="81">
        <f t="shared" si="27"/>
        <v>681814.55819218652</v>
      </c>
      <c r="Q80" s="81">
        <f t="shared" si="28"/>
        <v>219840.64990485116</v>
      </c>
      <c r="R80" s="81">
        <f t="shared" si="29"/>
        <v>901655.20809703763</v>
      </c>
      <c r="S80" s="81"/>
      <c r="T80" s="81"/>
      <c r="U80" s="81">
        <f t="shared" si="30"/>
        <v>0</v>
      </c>
      <c r="V80" s="81">
        <f t="shared" si="31"/>
        <v>901655.20809703763</v>
      </c>
      <c r="W80" s="87">
        <v>3052433.5551910456</v>
      </c>
      <c r="X80" s="17"/>
    </row>
    <row r="81" spans="1:24">
      <c r="A81" s="6">
        <f t="shared" si="32"/>
        <v>2018</v>
      </c>
      <c r="B81" s="81">
        <f>'Exhibit H,5'!Q42</f>
        <v>592996.41</v>
      </c>
      <c r="C81" s="81">
        <f>'Exhibit H,5'!R42</f>
        <v>592996.41000000015</v>
      </c>
      <c r="D81" s="81">
        <f>'Exhibit H,5'!S42</f>
        <v>0</v>
      </c>
      <c r="E81" s="81">
        <f>'Exhibit H,5'!T42</f>
        <v>0</v>
      </c>
      <c r="F81" s="81">
        <f>'Exhibit H,5'!U42</f>
        <v>592996.41000000015</v>
      </c>
      <c r="G81" s="81">
        <f t="shared" si="18"/>
        <v>1185992.8200000003</v>
      </c>
      <c r="H81" s="81">
        <f t="shared" si="19"/>
        <v>1778989.2300000004</v>
      </c>
      <c r="I81" s="81">
        <f t="shared" si="20"/>
        <v>1185992.8200000003</v>
      </c>
      <c r="J81" s="81">
        <f t="shared" si="21"/>
        <v>1185992.8200000003</v>
      </c>
      <c r="K81" s="81">
        <f t="shared" si="22"/>
        <v>0</v>
      </c>
      <c r="L81" s="81">
        <f t="shared" si="23"/>
        <v>592996.41000000015</v>
      </c>
      <c r="M81" s="81">
        <f t="shared" si="24"/>
        <v>623436.71917043661</v>
      </c>
      <c r="N81" s="81">
        <f t="shared" si="25"/>
        <v>32812.458903707193</v>
      </c>
      <c r="O81" s="81">
        <f t="shared" si="26"/>
        <v>656249.17807414383</v>
      </c>
      <c r="P81" s="81">
        <f t="shared" si="27"/>
        <v>1809429.539170437</v>
      </c>
      <c r="Q81" s="81">
        <f t="shared" si="28"/>
        <v>625808.86890370736</v>
      </c>
      <c r="R81" s="81">
        <f t="shared" si="29"/>
        <v>2435238.4080741443</v>
      </c>
      <c r="S81" s="81"/>
      <c r="T81" s="81"/>
      <c r="U81" s="81">
        <f t="shared" si="30"/>
        <v>0</v>
      </c>
      <c r="V81" s="81">
        <f t="shared" si="31"/>
        <v>2435238.4080741443</v>
      </c>
      <c r="W81" s="87">
        <v>2621028.0682064886</v>
      </c>
      <c r="X81" s="17"/>
    </row>
    <row r="82" spans="1:24">
      <c r="A82" s="6">
        <f t="shared" si="32"/>
        <v>2019</v>
      </c>
      <c r="B82" s="81">
        <f>'Exhibit H,5'!Q43</f>
        <v>0</v>
      </c>
      <c r="C82" s="81">
        <f>'Exhibit H,5'!R43</f>
        <v>0</v>
      </c>
      <c r="D82" s="81">
        <f>'Exhibit H,5'!S43</f>
        <v>0</v>
      </c>
      <c r="E82" s="81">
        <f>'Exhibit H,5'!T43</f>
        <v>0</v>
      </c>
      <c r="F82" s="81">
        <f>'Exhibit H,5'!U43</f>
        <v>0</v>
      </c>
      <c r="G82" s="81">
        <f t="shared" si="18"/>
        <v>0</v>
      </c>
      <c r="H82" s="81">
        <f t="shared" si="19"/>
        <v>0</v>
      </c>
      <c r="I82" s="81">
        <f t="shared" si="20"/>
        <v>0</v>
      </c>
      <c r="J82" s="81">
        <f t="shared" si="21"/>
        <v>0</v>
      </c>
      <c r="K82" s="81">
        <f t="shared" si="22"/>
        <v>0</v>
      </c>
      <c r="L82" s="81">
        <f t="shared" si="23"/>
        <v>0</v>
      </c>
      <c r="M82" s="81">
        <f t="shared" si="24"/>
        <v>547862.33249443339</v>
      </c>
      <c r="N82" s="81">
        <f t="shared" si="25"/>
        <v>28834.859604970181</v>
      </c>
      <c r="O82" s="81">
        <f t="shared" si="26"/>
        <v>576697.19209940359</v>
      </c>
      <c r="P82" s="81">
        <f t="shared" si="27"/>
        <v>547862.33249443339</v>
      </c>
      <c r="Q82" s="81">
        <f t="shared" si="28"/>
        <v>28834.859604970181</v>
      </c>
      <c r="R82" s="81">
        <f t="shared" si="29"/>
        <v>576697.19209940359</v>
      </c>
      <c r="S82" s="81"/>
      <c r="T82" s="81"/>
      <c r="U82" s="81">
        <f t="shared" si="30"/>
        <v>0</v>
      </c>
      <c r="V82" s="81">
        <f t="shared" si="31"/>
        <v>576697.19209940359</v>
      </c>
      <c r="W82" s="87">
        <v>3337586.9134227308</v>
      </c>
      <c r="X82" s="17"/>
    </row>
    <row r="83" spans="1:24">
      <c r="A83" s="6">
        <f t="shared" si="32"/>
        <v>2020</v>
      </c>
      <c r="B83" s="81">
        <f>'Exhibit H,5'!Q44</f>
        <v>0</v>
      </c>
      <c r="C83" s="81">
        <f>'Exhibit H,5'!R44</f>
        <v>0</v>
      </c>
      <c r="D83" s="81">
        <f>'Exhibit H,5'!S44</f>
        <v>0</v>
      </c>
      <c r="E83" s="81">
        <f>'Exhibit H,5'!T44</f>
        <v>0</v>
      </c>
      <c r="F83" s="81">
        <f>'Exhibit H,5'!U44</f>
        <v>0</v>
      </c>
      <c r="G83" s="81">
        <f t="shared" si="18"/>
        <v>0</v>
      </c>
      <c r="H83" s="81">
        <f t="shared" si="19"/>
        <v>0</v>
      </c>
      <c r="I83" s="81">
        <f t="shared" si="20"/>
        <v>0</v>
      </c>
      <c r="J83" s="81">
        <f t="shared" si="21"/>
        <v>0</v>
      </c>
      <c r="K83" s="81">
        <f t="shared" si="22"/>
        <v>0</v>
      </c>
      <c r="L83" s="81">
        <f t="shared" si="23"/>
        <v>0</v>
      </c>
      <c r="M83" s="81">
        <f t="shared" si="24"/>
        <v>649585.46630402922</v>
      </c>
      <c r="N83" s="81">
        <f t="shared" si="25"/>
        <v>34188.708752843646</v>
      </c>
      <c r="O83" s="81">
        <f t="shared" si="26"/>
        <v>683774.17505687289</v>
      </c>
      <c r="P83" s="81">
        <f t="shared" si="27"/>
        <v>649585.46630402922</v>
      </c>
      <c r="Q83" s="81">
        <f t="shared" si="28"/>
        <v>34188.708752843646</v>
      </c>
      <c r="R83" s="81">
        <f t="shared" si="29"/>
        <v>683774.17505687289</v>
      </c>
      <c r="S83" s="81"/>
      <c r="T83" s="81"/>
      <c r="U83" s="81">
        <f t="shared" si="30"/>
        <v>0</v>
      </c>
      <c r="V83" s="81">
        <f t="shared" si="31"/>
        <v>683774.17505687289</v>
      </c>
      <c r="W83" s="87">
        <v>3626379.05</v>
      </c>
      <c r="X83" s="17"/>
    </row>
    <row r="84" spans="1:24">
      <c r="A84" s="6"/>
      <c r="B84" s="81">
        <f>'Exhibit H,5'!Q45</f>
        <v>0</v>
      </c>
      <c r="C84" s="81">
        <f>'Exhibit H,5'!R45</f>
        <v>0</v>
      </c>
      <c r="D84" s="81">
        <f>'Exhibit H,5'!S45</f>
        <v>0</v>
      </c>
      <c r="E84" s="81">
        <f>'Exhibit H,5'!T45</f>
        <v>0</v>
      </c>
      <c r="F84" s="81">
        <f>'Exhibit H,5'!U45</f>
        <v>0</v>
      </c>
      <c r="G84" s="81"/>
      <c r="H84" s="81"/>
      <c r="I84" s="81"/>
      <c r="J84" s="81"/>
      <c r="K84" s="81"/>
      <c r="L84" s="81"/>
      <c r="M84" s="81">
        <f t="shared" si="24"/>
        <v>0</v>
      </c>
      <c r="N84" s="81">
        <f t="shared" si="25"/>
        <v>0</v>
      </c>
      <c r="O84" s="81"/>
      <c r="P84" s="81">
        <f t="shared" si="27"/>
        <v>0</v>
      </c>
      <c r="Q84" s="81">
        <f t="shared" si="28"/>
        <v>0</v>
      </c>
      <c r="R84" s="81"/>
      <c r="S84" s="81"/>
      <c r="T84" s="81"/>
      <c r="U84" s="81">
        <f t="shared" si="30"/>
        <v>0</v>
      </c>
      <c r="V84" s="81">
        <f t="shared" si="31"/>
        <v>0</v>
      </c>
      <c r="W84" s="87"/>
      <c r="X84" s="17"/>
    </row>
    <row r="85" spans="1:24">
      <c r="A85" s="6" t="s">
        <v>0</v>
      </c>
      <c r="B85" s="82">
        <f>SUM(B55:B83)</f>
        <v>188063684.00000003</v>
      </c>
      <c r="C85" s="82">
        <f>SUM(C55:C83)</f>
        <v>191028559.00000003</v>
      </c>
      <c r="D85" s="82">
        <f t="shared" ref="D85:Q85" si="33">SUM(D55:D83)</f>
        <v>187470561.72000003</v>
      </c>
      <c r="E85" s="82">
        <f t="shared" si="33"/>
        <v>189168612.72000003</v>
      </c>
      <c r="F85" s="82">
        <f t="shared" si="33"/>
        <v>1859946.2799999991</v>
      </c>
      <c r="G85" s="82">
        <f>SUM(G55:G83)</f>
        <v>568260855.72000027</v>
      </c>
      <c r="H85" s="82">
        <f t="shared" si="33"/>
        <v>757591363.72000015</v>
      </c>
      <c r="I85" s="82">
        <f t="shared" si="33"/>
        <v>379092243.00000006</v>
      </c>
      <c r="J85" s="82">
        <f>SUM(J55:J83)</f>
        <v>566562804.72000027</v>
      </c>
      <c r="K85" s="82">
        <f t="shared" si="33"/>
        <v>189168612.72000003</v>
      </c>
      <c r="L85" s="82">
        <f t="shared" si="33"/>
        <v>191028559.00000003</v>
      </c>
      <c r="M85" s="82">
        <f t="shared" si="33"/>
        <v>3122236.8150668028</v>
      </c>
      <c r="N85" s="82">
        <f t="shared" si="33"/>
        <v>164328.25342456857</v>
      </c>
      <c r="O85" s="82">
        <f t="shared" si="33"/>
        <v>3286565.0684913713</v>
      </c>
      <c r="P85" s="82">
        <f t="shared" si="33"/>
        <v>569685041.53506684</v>
      </c>
      <c r="Q85" s="82">
        <f t="shared" si="33"/>
        <v>191192887.25342461</v>
      </c>
      <c r="R85" s="82">
        <f>SUM(R55:R83)</f>
        <v>760877928.78849149</v>
      </c>
      <c r="S85" s="82">
        <f>SUM(S55:S83)</f>
        <v>0</v>
      </c>
      <c r="T85" s="82">
        <f>SUM(T55:T83)</f>
        <v>0</v>
      </c>
      <c r="U85" s="82">
        <f>SUM(U55:U83)</f>
        <v>0</v>
      </c>
      <c r="V85" s="82">
        <f>SUM(V55:V83)</f>
        <v>760877928.78849149</v>
      </c>
      <c r="W85" s="90">
        <v>33326793.206174932</v>
      </c>
      <c r="X85" s="17"/>
    </row>
    <row r="86" spans="1:24">
      <c r="A86" s="6"/>
      <c r="B86" s="81"/>
      <c r="C86" s="81"/>
      <c r="D86" s="81"/>
      <c r="E86" s="81"/>
      <c r="F86" s="81"/>
      <c r="G86" s="81"/>
      <c r="H86" s="81"/>
      <c r="I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7"/>
      <c r="X86" s="17"/>
    </row>
    <row r="87" spans="1:24">
      <c r="A87" s="6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7"/>
      <c r="X87" s="17"/>
    </row>
    <row r="88" spans="1:24">
      <c r="A88" s="6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7"/>
      <c r="X88" s="17"/>
    </row>
    <row r="89" spans="1:24">
      <c r="A89" s="6" t="s">
        <v>17</v>
      </c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7"/>
      <c r="X89" s="17"/>
    </row>
    <row r="90" spans="1:24">
      <c r="A90" s="6"/>
      <c r="B90" s="29"/>
      <c r="C90" s="29"/>
      <c r="D90" s="29"/>
      <c r="E90" s="29"/>
      <c r="F90" s="29"/>
      <c r="G90" s="17"/>
      <c r="H90" s="81"/>
      <c r="I90" s="81"/>
      <c r="J90" s="81"/>
      <c r="K90" s="81"/>
      <c r="L90" s="81"/>
      <c r="M90" s="17"/>
      <c r="N90" s="81"/>
      <c r="O90" s="81"/>
      <c r="P90" s="81"/>
      <c r="Q90" s="81"/>
      <c r="R90" s="81" t="s">
        <v>67</v>
      </c>
      <c r="S90" s="6"/>
      <c r="T90" s="6"/>
      <c r="U90" s="6"/>
      <c r="V90" s="6" t="s">
        <v>67</v>
      </c>
      <c r="W90" s="6"/>
      <c r="X90" s="17"/>
    </row>
    <row r="91" spans="1:24">
      <c r="A91" s="6" t="s">
        <v>3</v>
      </c>
      <c r="B91" s="29"/>
      <c r="C91" s="29"/>
      <c r="D91" s="29"/>
      <c r="E91" s="29"/>
      <c r="F91" s="29"/>
      <c r="G91" s="81" t="s">
        <v>14</v>
      </c>
      <c r="H91" s="81" t="s">
        <v>12</v>
      </c>
      <c r="I91" s="81" t="s">
        <v>14</v>
      </c>
      <c r="J91" s="81" t="s">
        <v>12</v>
      </c>
      <c r="K91" s="81" t="s">
        <v>14</v>
      </c>
      <c r="L91" s="81" t="s">
        <v>12</v>
      </c>
      <c r="M91" s="81" t="s">
        <v>381</v>
      </c>
      <c r="N91" s="81" t="s">
        <v>381</v>
      </c>
      <c r="O91" s="81" t="s">
        <v>381</v>
      </c>
      <c r="P91" s="81" t="s">
        <v>660</v>
      </c>
      <c r="Q91" s="81" t="s">
        <v>67</v>
      </c>
      <c r="R91" s="81" t="s">
        <v>662</v>
      </c>
      <c r="S91" s="6" t="s">
        <v>661</v>
      </c>
      <c r="T91" s="6" t="s">
        <v>661</v>
      </c>
      <c r="U91" s="6" t="s">
        <v>67</v>
      </c>
      <c r="V91" s="6" t="s">
        <v>663</v>
      </c>
      <c r="W91" s="6" t="s">
        <v>177</v>
      </c>
      <c r="X91" s="17"/>
    </row>
    <row r="92" spans="1:24">
      <c r="A92" s="6" t="s">
        <v>4</v>
      </c>
      <c r="B92" s="30"/>
      <c r="C92" s="30"/>
      <c r="D92" s="30"/>
      <c r="E92" s="30"/>
      <c r="F92" s="30"/>
      <c r="G92" s="81" t="s">
        <v>0</v>
      </c>
      <c r="H92" s="81" t="s">
        <v>0</v>
      </c>
      <c r="I92" s="81" t="s">
        <v>566</v>
      </c>
      <c r="J92" s="81" t="s">
        <v>566</v>
      </c>
      <c r="K92" s="81" t="s">
        <v>567</v>
      </c>
      <c r="L92" s="81" t="s">
        <v>567</v>
      </c>
      <c r="M92" s="81" t="s">
        <v>566</v>
      </c>
      <c r="N92" s="81" t="s">
        <v>567</v>
      </c>
      <c r="O92" s="81" t="s">
        <v>0</v>
      </c>
      <c r="P92" s="81" t="s">
        <v>566</v>
      </c>
      <c r="Q92" s="81" t="s">
        <v>567</v>
      </c>
      <c r="R92" s="81" t="s">
        <v>0</v>
      </c>
      <c r="S92" s="6" t="s">
        <v>117</v>
      </c>
      <c r="T92" s="6" t="s">
        <v>14</v>
      </c>
      <c r="U92" s="6" t="s">
        <v>661</v>
      </c>
      <c r="V92" s="6" t="s">
        <v>0</v>
      </c>
      <c r="W92" s="6" t="s">
        <v>16</v>
      </c>
      <c r="X92" s="17"/>
    </row>
    <row r="93" spans="1:24">
      <c r="A93" s="10">
        <v>-1</v>
      </c>
      <c r="B93" s="10">
        <f t="shared" ref="B93:V93" si="34">A93-1</f>
        <v>-2</v>
      </c>
      <c r="C93" s="10">
        <f t="shared" si="34"/>
        <v>-3</v>
      </c>
      <c r="D93" s="10">
        <f t="shared" si="34"/>
        <v>-4</v>
      </c>
      <c r="E93" s="10">
        <f t="shared" si="34"/>
        <v>-5</v>
      </c>
      <c r="F93" s="10">
        <f t="shared" si="34"/>
        <v>-6</v>
      </c>
      <c r="G93" s="10">
        <f t="shared" si="34"/>
        <v>-7</v>
      </c>
      <c r="H93" s="10">
        <f t="shared" si="34"/>
        <v>-8</v>
      </c>
      <c r="I93" s="10">
        <f t="shared" si="34"/>
        <v>-9</v>
      </c>
      <c r="J93" s="10">
        <f t="shared" si="34"/>
        <v>-10</v>
      </c>
      <c r="K93" s="10">
        <f t="shared" si="34"/>
        <v>-11</v>
      </c>
      <c r="L93" s="10">
        <f t="shared" si="34"/>
        <v>-12</v>
      </c>
      <c r="M93" s="10">
        <f t="shared" si="34"/>
        <v>-13</v>
      </c>
      <c r="N93" s="10">
        <f t="shared" si="34"/>
        <v>-14</v>
      </c>
      <c r="O93" s="10">
        <f t="shared" si="34"/>
        <v>-15</v>
      </c>
      <c r="P93" s="10">
        <f t="shared" si="34"/>
        <v>-16</v>
      </c>
      <c r="Q93" s="10">
        <f t="shared" si="34"/>
        <v>-17</v>
      </c>
      <c r="R93" s="10">
        <f t="shared" si="34"/>
        <v>-18</v>
      </c>
      <c r="S93" s="10">
        <f t="shared" si="34"/>
        <v>-19</v>
      </c>
      <c r="T93" s="10">
        <f t="shared" si="34"/>
        <v>-20</v>
      </c>
      <c r="U93" s="10">
        <f t="shared" si="34"/>
        <v>-21</v>
      </c>
      <c r="V93" s="10">
        <f t="shared" si="34"/>
        <v>-22</v>
      </c>
      <c r="W93" s="10">
        <v>-23</v>
      </c>
      <c r="X93" s="17"/>
    </row>
    <row r="94" spans="1:24">
      <c r="A94" s="80"/>
      <c r="B94" s="81"/>
      <c r="C94" s="81"/>
      <c r="D94" s="81"/>
      <c r="E94" s="81"/>
      <c r="F94" s="81"/>
      <c r="G94" s="17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6"/>
      <c r="T94" s="6"/>
      <c r="U94" s="6"/>
      <c r="V94" s="6"/>
      <c r="W94" s="6"/>
      <c r="X94" s="17"/>
    </row>
    <row r="95" spans="1:24">
      <c r="A95" s="6">
        <v>1992</v>
      </c>
      <c r="B95" s="81"/>
      <c r="C95" s="81"/>
      <c r="D95" s="81"/>
      <c r="E95" s="81"/>
      <c r="F95" s="81"/>
      <c r="G95" s="81">
        <f>G15-G55</f>
        <v>31756701.840000004</v>
      </c>
      <c r="H95" s="81">
        <f t="shared" ref="H95:T95" si="35">H15-H55</f>
        <v>19226638.359999999</v>
      </c>
      <c r="I95" s="81">
        <f t="shared" si="35"/>
        <v>9613319.1799999997</v>
      </c>
      <c r="J95" s="81">
        <f t="shared" si="35"/>
        <v>-2916744.299999997</v>
      </c>
      <c r="K95" s="81">
        <f t="shared" si="35"/>
        <v>22143382.66</v>
      </c>
      <c r="L95" s="81">
        <f t="shared" si="35"/>
        <v>22143382.66</v>
      </c>
      <c r="M95" s="81">
        <f t="shared" si="35"/>
        <v>0</v>
      </c>
      <c r="N95" s="81">
        <f t="shared" si="35"/>
        <v>0</v>
      </c>
      <c r="O95" s="81">
        <f>'Exhibit F,1'!AC16</f>
        <v>0</v>
      </c>
      <c r="P95" s="81">
        <f t="shared" si="35"/>
        <v>-2916744.299999997</v>
      </c>
      <c r="Q95" s="81">
        <f t="shared" si="35"/>
        <v>22143382.66</v>
      </c>
      <c r="R95" s="81">
        <f t="shared" si="35"/>
        <v>19226638.359999999</v>
      </c>
      <c r="S95" s="81">
        <f t="shared" si="35"/>
        <v>0</v>
      </c>
      <c r="T95" s="81">
        <f t="shared" si="35"/>
        <v>0</v>
      </c>
      <c r="U95" s="81">
        <f>S95+T95</f>
        <v>0</v>
      </c>
      <c r="V95" s="81">
        <f>R95+U95</f>
        <v>19226638.359999999</v>
      </c>
      <c r="W95" s="87">
        <v>0</v>
      </c>
      <c r="X95" s="17"/>
    </row>
    <row r="96" spans="1:24">
      <c r="A96" s="6">
        <f>A95+1</f>
        <v>1993</v>
      </c>
      <c r="B96" s="81"/>
      <c r="C96" s="81"/>
      <c r="D96" s="81"/>
      <c r="E96" s="81"/>
      <c r="F96" s="81"/>
      <c r="G96" s="81">
        <f t="shared" ref="G96:T124" si="36">G16-G56</f>
        <v>22941092</v>
      </c>
      <c r="H96" s="81">
        <f t="shared" si="36"/>
        <v>-4781701.1599999964</v>
      </c>
      <c r="I96" s="81">
        <f t="shared" si="36"/>
        <v>-2390850.5799999982</v>
      </c>
      <c r="J96" s="81">
        <f t="shared" si="36"/>
        <v>-30113643.739999995</v>
      </c>
      <c r="K96" s="81">
        <f t="shared" si="36"/>
        <v>25331942.579999998</v>
      </c>
      <c r="L96" s="81">
        <f t="shared" si="36"/>
        <v>25331942.579999998</v>
      </c>
      <c r="M96" s="81">
        <f t="shared" si="36"/>
        <v>0</v>
      </c>
      <c r="N96" s="81">
        <f t="shared" si="36"/>
        <v>0</v>
      </c>
      <c r="O96" s="81">
        <f>'Exhibit F,1'!AC17</f>
        <v>0</v>
      </c>
      <c r="P96" s="81">
        <f t="shared" si="36"/>
        <v>-30113643.739999995</v>
      </c>
      <c r="Q96" s="81">
        <f t="shared" si="36"/>
        <v>25331942.579999998</v>
      </c>
      <c r="R96" s="81">
        <f t="shared" si="36"/>
        <v>-4781701.1599999964</v>
      </c>
      <c r="S96" s="81">
        <f t="shared" si="36"/>
        <v>0</v>
      </c>
      <c r="T96" s="81">
        <f t="shared" si="36"/>
        <v>0</v>
      </c>
      <c r="U96" s="81">
        <f t="shared" ref="U96:U124" si="37">S96+T96</f>
        <v>0</v>
      </c>
      <c r="V96" s="81">
        <f t="shared" ref="V96:V124" si="38">R96+U96</f>
        <v>-4781701.1599999964</v>
      </c>
      <c r="W96" s="87">
        <v>0</v>
      </c>
      <c r="X96" s="17"/>
    </row>
    <row r="97" spans="1:24">
      <c r="A97" s="6">
        <f t="shared" ref="A97:A123" si="39">A96+1</f>
        <v>1994</v>
      </c>
      <c r="B97" s="81"/>
      <c r="C97" s="81"/>
      <c r="D97" s="81"/>
      <c r="E97" s="81"/>
      <c r="F97" s="81"/>
      <c r="G97" s="81">
        <f t="shared" si="36"/>
        <v>34704257.319999993</v>
      </c>
      <c r="H97" s="81">
        <f t="shared" si="36"/>
        <v>15168383.699999988</v>
      </c>
      <c r="I97" s="81">
        <f t="shared" si="36"/>
        <v>7584191.849999994</v>
      </c>
      <c r="J97" s="81">
        <f t="shared" si="36"/>
        <v>-11951681.770000003</v>
      </c>
      <c r="K97" s="81">
        <f t="shared" si="36"/>
        <v>27120065.469999995</v>
      </c>
      <c r="L97" s="81">
        <f t="shared" si="36"/>
        <v>27120065.469999995</v>
      </c>
      <c r="M97" s="81">
        <f t="shared" si="36"/>
        <v>0</v>
      </c>
      <c r="N97" s="81">
        <f t="shared" si="36"/>
        <v>0</v>
      </c>
      <c r="O97" s="81">
        <f>'Exhibit F,1'!AC18</f>
        <v>0</v>
      </c>
      <c r="P97" s="81">
        <f t="shared" si="36"/>
        <v>-11951681.770000003</v>
      </c>
      <c r="Q97" s="81">
        <f t="shared" si="36"/>
        <v>27120065.469999995</v>
      </c>
      <c r="R97" s="81">
        <f t="shared" si="36"/>
        <v>15168383.699999988</v>
      </c>
      <c r="S97" s="81">
        <f t="shared" si="36"/>
        <v>0</v>
      </c>
      <c r="T97" s="81">
        <f t="shared" si="36"/>
        <v>0</v>
      </c>
      <c r="U97" s="81">
        <f t="shared" si="37"/>
        <v>0</v>
      </c>
      <c r="V97" s="81">
        <f t="shared" si="38"/>
        <v>15168383.699999988</v>
      </c>
      <c r="W97" s="87">
        <v>0</v>
      </c>
      <c r="X97" s="17"/>
    </row>
    <row r="98" spans="1:24">
      <c r="A98" s="6">
        <f t="shared" si="39"/>
        <v>1995</v>
      </c>
      <c r="B98" s="81"/>
      <c r="C98" s="81"/>
      <c r="D98" s="81"/>
      <c r="E98" s="81"/>
      <c r="F98" s="81"/>
      <c r="G98" s="81">
        <f t="shared" si="36"/>
        <v>40696082.36999999</v>
      </c>
      <c r="H98" s="81">
        <f t="shared" si="36"/>
        <v>30144528.999999985</v>
      </c>
      <c r="I98" s="81">
        <f t="shared" si="36"/>
        <v>15072264.499999993</v>
      </c>
      <c r="J98" s="81">
        <f t="shared" si="36"/>
        <v>4520711.1299999915</v>
      </c>
      <c r="K98" s="81">
        <f t="shared" si="36"/>
        <v>25623817.869999994</v>
      </c>
      <c r="L98" s="81">
        <f t="shared" si="36"/>
        <v>25623817.869999994</v>
      </c>
      <c r="M98" s="81">
        <f t="shared" si="36"/>
        <v>0</v>
      </c>
      <c r="N98" s="81">
        <f t="shared" si="36"/>
        <v>0</v>
      </c>
      <c r="O98" s="81">
        <f>'Exhibit F,1'!AC19</f>
        <v>0</v>
      </c>
      <c r="P98" s="81">
        <f t="shared" si="36"/>
        <v>4520711.1299999915</v>
      </c>
      <c r="Q98" s="81">
        <f t="shared" si="36"/>
        <v>25623817.869999994</v>
      </c>
      <c r="R98" s="81">
        <f t="shared" si="36"/>
        <v>30144528.999999985</v>
      </c>
      <c r="S98" s="81">
        <f t="shared" si="36"/>
        <v>0</v>
      </c>
      <c r="T98" s="81">
        <f t="shared" si="36"/>
        <v>0</v>
      </c>
      <c r="U98" s="81">
        <f t="shared" si="37"/>
        <v>0</v>
      </c>
      <c r="V98" s="81">
        <f t="shared" si="38"/>
        <v>30144528.999999985</v>
      </c>
      <c r="W98" s="87">
        <v>0</v>
      </c>
      <c r="X98" s="17"/>
    </row>
    <row r="99" spans="1:24">
      <c r="A99" s="6">
        <f t="shared" si="39"/>
        <v>1996</v>
      </c>
      <c r="B99" s="81"/>
      <c r="C99" s="81"/>
      <c r="D99" s="81"/>
      <c r="E99" s="81"/>
      <c r="F99" s="81"/>
      <c r="G99" s="81">
        <f t="shared" si="36"/>
        <v>23789963.150000006</v>
      </c>
      <c r="H99" s="81">
        <f t="shared" si="36"/>
        <v>-4256496.299999997</v>
      </c>
      <c r="I99" s="81">
        <f t="shared" si="36"/>
        <v>-2128248.1499999985</v>
      </c>
      <c r="J99" s="81">
        <f t="shared" si="36"/>
        <v>-30174707.599999994</v>
      </c>
      <c r="K99" s="81">
        <f t="shared" si="36"/>
        <v>25918211.300000001</v>
      </c>
      <c r="L99" s="81">
        <f t="shared" si="36"/>
        <v>25918211.300000001</v>
      </c>
      <c r="M99" s="81">
        <f t="shared" si="36"/>
        <v>0</v>
      </c>
      <c r="N99" s="81">
        <f t="shared" si="36"/>
        <v>0</v>
      </c>
      <c r="O99" s="81">
        <f>'Exhibit F,1'!AC20</f>
        <v>0</v>
      </c>
      <c r="P99" s="81">
        <f t="shared" si="36"/>
        <v>-30174707.599999994</v>
      </c>
      <c r="Q99" s="81">
        <f t="shared" si="36"/>
        <v>25918211.300000001</v>
      </c>
      <c r="R99" s="81">
        <f t="shared" si="36"/>
        <v>-4256496.299999997</v>
      </c>
      <c r="S99" s="81">
        <f t="shared" si="36"/>
        <v>0</v>
      </c>
      <c r="T99" s="81">
        <f t="shared" si="36"/>
        <v>0</v>
      </c>
      <c r="U99" s="81">
        <f t="shared" si="37"/>
        <v>0</v>
      </c>
      <c r="V99" s="81">
        <f t="shared" si="38"/>
        <v>-4256496.299999997</v>
      </c>
      <c r="W99" s="87">
        <v>0</v>
      </c>
      <c r="X99" s="17"/>
    </row>
    <row r="100" spans="1:24">
      <c r="A100" s="6">
        <f t="shared" si="39"/>
        <v>1997</v>
      </c>
      <c r="B100" s="81"/>
      <c r="C100" s="81"/>
      <c r="D100" s="81"/>
      <c r="E100" s="81"/>
      <c r="F100" s="81"/>
      <c r="G100" s="81">
        <f t="shared" si="36"/>
        <v>37561929.450000003</v>
      </c>
      <c r="H100" s="81">
        <f t="shared" si="36"/>
        <v>14468499.040000007</v>
      </c>
      <c r="I100" s="81">
        <f t="shared" si="36"/>
        <v>7234249.5200000033</v>
      </c>
      <c r="J100" s="81">
        <f t="shared" si="36"/>
        <v>-15859180.890000001</v>
      </c>
      <c r="K100" s="81">
        <f t="shared" si="36"/>
        <v>30327679.930000003</v>
      </c>
      <c r="L100" s="81">
        <f t="shared" si="36"/>
        <v>30327679.930000003</v>
      </c>
      <c r="M100" s="81">
        <f t="shared" si="36"/>
        <v>0</v>
      </c>
      <c r="N100" s="81">
        <f t="shared" si="36"/>
        <v>0</v>
      </c>
      <c r="O100" s="81">
        <f>'Exhibit F,1'!AC21</f>
        <v>0</v>
      </c>
      <c r="P100" s="81">
        <f t="shared" si="36"/>
        <v>-15859180.890000001</v>
      </c>
      <c r="Q100" s="81">
        <f t="shared" si="36"/>
        <v>30327679.930000003</v>
      </c>
      <c r="R100" s="81">
        <f t="shared" si="36"/>
        <v>14468499.040000007</v>
      </c>
      <c r="S100" s="81">
        <f t="shared" si="36"/>
        <v>0</v>
      </c>
      <c r="T100" s="81">
        <f t="shared" si="36"/>
        <v>0</v>
      </c>
      <c r="U100" s="81">
        <f t="shared" si="37"/>
        <v>0</v>
      </c>
      <c r="V100" s="81">
        <f t="shared" si="38"/>
        <v>14468499.040000007</v>
      </c>
      <c r="W100" s="87">
        <v>0</v>
      </c>
      <c r="X100" s="17"/>
    </row>
    <row r="101" spans="1:24">
      <c r="A101" s="6">
        <f t="shared" si="39"/>
        <v>1998</v>
      </c>
      <c r="B101" s="81"/>
      <c r="C101" s="81"/>
      <c r="D101" s="81"/>
      <c r="E101" s="81"/>
      <c r="F101" s="81"/>
      <c r="G101" s="81">
        <f t="shared" si="36"/>
        <v>37379460.519999996</v>
      </c>
      <c r="H101" s="81">
        <f t="shared" si="36"/>
        <v>20565616.739999995</v>
      </c>
      <c r="I101" s="81">
        <f t="shared" si="36"/>
        <v>10282808.369999997</v>
      </c>
      <c r="J101" s="81">
        <f t="shared" si="36"/>
        <v>-6531035.4100000039</v>
      </c>
      <c r="K101" s="81">
        <f t="shared" si="36"/>
        <v>27096652.149999999</v>
      </c>
      <c r="L101" s="81">
        <f t="shared" si="36"/>
        <v>27096652.149999999</v>
      </c>
      <c r="M101" s="81">
        <f t="shared" si="36"/>
        <v>0</v>
      </c>
      <c r="N101" s="81">
        <f t="shared" si="36"/>
        <v>0</v>
      </c>
      <c r="O101" s="81">
        <f>'Exhibit F,1'!AC22</f>
        <v>0</v>
      </c>
      <c r="P101" s="81">
        <f t="shared" si="36"/>
        <v>-6531035.4100000039</v>
      </c>
      <c r="Q101" s="81">
        <f t="shared" si="36"/>
        <v>27096652.149999999</v>
      </c>
      <c r="R101" s="81">
        <f t="shared" si="36"/>
        <v>20565616.739999995</v>
      </c>
      <c r="S101" s="81">
        <f t="shared" si="36"/>
        <v>0</v>
      </c>
      <c r="T101" s="81">
        <f t="shared" si="36"/>
        <v>0</v>
      </c>
      <c r="U101" s="81">
        <f t="shared" si="37"/>
        <v>0</v>
      </c>
      <c r="V101" s="81">
        <f t="shared" si="38"/>
        <v>20565616.739999995</v>
      </c>
      <c r="W101" s="87">
        <v>0</v>
      </c>
      <c r="X101" s="17"/>
    </row>
    <row r="102" spans="1:24">
      <c r="A102" s="6">
        <f t="shared" si="39"/>
        <v>1999</v>
      </c>
      <c r="B102" s="81"/>
      <c r="C102" s="81"/>
      <c r="D102" s="81"/>
      <c r="E102" s="81"/>
      <c r="F102" s="81"/>
      <c r="G102" s="81">
        <f t="shared" si="36"/>
        <v>42342985.100000009</v>
      </c>
      <c r="H102" s="81">
        <f t="shared" si="36"/>
        <v>33372060.580000013</v>
      </c>
      <c r="I102" s="81">
        <f t="shared" si="36"/>
        <v>16686030.290000007</v>
      </c>
      <c r="J102" s="81">
        <f t="shared" si="36"/>
        <v>7715105.770000007</v>
      </c>
      <c r="K102" s="81">
        <f t="shared" si="36"/>
        <v>25656954.810000006</v>
      </c>
      <c r="L102" s="81">
        <f t="shared" si="36"/>
        <v>25656954.810000006</v>
      </c>
      <c r="M102" s="81">
        <f t="shared" si="36"/>
        <v>0</v>
      </c>
      <c r="N102" s="81">
        <f t="shared" si="36"/>
        <v>0</v>
      </c>
      <c r="O102" s="81">
        <f>'Exhibit F,1'!AC23</f>
        <v>0</v>
      </c>
      <c r="P102" s="81">
        <f t="shared" si="36"/>
        <v>7715105.770000007</v>
      </c>
      <c r="Q102" s="81">
        <f t="shared" si="36"/>
        <v>25656954.810000006</v>
      </c>
      <c r="R102" s="81">
        <f t="shared" si="36"/>
        <v>33372060.580000013</v>
      </c>
      <c r="S102" s="81">
        <f t="shared" si="36"/>
        <v>0</v>
      </c>
      <c r="T102" s="81">
        <f t="shared" si="36"/>
        <v>0</v>
      </c>
      <c r="U102" s="81">
        <f t="shared" si="37"/>
        <v>0</v>
      </c>
      <c r="V102" s="81">
        <f t="shared" si="38"/>
        <v>33372060.580000013</v>
      </c>
      <c r="W102" s="87">
        <v>0</v>
      </c>
      <c r="X102" s="17"/>
    </row>
    <row r="103" spans="1:24">
      <c r="A103" s="6">
        <f t="shared" si="39"/>
        <v>2000</v>
      </c>
      <c r="B103" s="81"/>
      <c r="C103" s="81"/>
      <c r="D103" s="81"/>
      <c r="E103" s="81"/>
      <c r="F103" s="81"/>
      <c r="G103" s="81">
        <f t="shared" si="36"/>
        <v>60309681.56999997</v>
      </c>
      <c r="H103" s="81">
        <f t="shared" si="36"/>
        <v>54405977.199999973</v>
      </c>
      <c r="I103" s="81">
        <f t="shared" si="36"/>
        <v>27202988.599999983</v>
      </c>
      <c r="J103" s="81">
        <f t="shared" si="36"/>
        <v>21299284.229999982</v>
      </c>
      <c r="K103" s="81">
        <f t="shared" si="36"/>
        <v>33106692.969999988</v>
      </c>
      <c r="L103" s="81">
        <f t="shared" si="36"/>
        <v>33106692.969999988</v>
      </c>
      <c r="M103" s="81">
        <f t="shared" si="36"/>
        <v>0</v>
      </c>
      <c r="N103" s="81">
        <f t="shared" si="36"/>
        <v>0</v>
      </c>
      <c r="O103" s="81">
        <f>'Exhibit F,1'!AC24</f>
        <v>0</v>
      </c>
      <c r="P103" s="81">
        <f t="shared" si="36"/>
        <v>21299284.229999982</v>
      </c>
      <c r="Q103" s="81">
        <f t="shared" si="36"/>
        <v>33106692.969999988</v>
      </c>
      <c r="R103" s="81">
        <f t="shared" si="36"/>
        <v>54405977.199999973</v>
      </c>
      <c r="S103" s="81">
        <f t="shared" si="36"/>
        <v>0</v>
      </c>
      <c r="T103" s="81">
        <f t="shared" si="36"/>
        <v>0</v>
      </c>
      <c r="U103" s="81">
        <f t="shared" si="37"/>
        <v>0</v>
      </c>
      <c r="V103" s="81">
        <f t="shared" si="38"/>
        <v>54405977.199999973</v>
      </c>
      <c r="W103" s="87">
        <v>0</v>
      </c>
      <c r="X103" s="17"/>
    </row>
    <row r="104" spans="1:24">
      <c r="A104" s="6">
        <f t="shared" si="39"/>
        <v>2001</v>
      </c>
      <c r="B104" s="81"/>
      <c r="C104" s="81"/>
      <c r="D104" s="81"/>
      <c r="E104" s="81"/>
      <c r="F104" s="81"/>
      <c r="G104" s="81">
        <f t="shared" si="36"/>
        <v>47581679.810000002</v>
      </c>
      <c r="H104" s="81">
        <f t="shared" si="36"/>
        <v>39163543.539999999</v>
      </c>
      <c r="I104" s="81">
        <f t="shared" si="36"/>
        <v>19581771.769999996</v>
      </c>
      <c r="J104" s="81">
        <f t="shared" si="36"/>
        <v>11163635.499999996</v>
      </c>
      <c r="K104" s="81">
        <f t="shared" si="36"/>
        <v>27999908.040000003</v>
      </c>
      <c r="L104" s="81">
        <f t="shared" si="36"/>
        <v>27999908.040000003</v>
      </c>
      <c r="M104" s="81">
        <f t="shared" si="36"/>
        <v>0</v>
      </c>
      <c r="N104" s="81">
        <f t="shared" si="36"/>
        <v>0</v>
      </c>
      <c r="O104" s="81">
        <f>'Exhibit F,1'!AC25</f>
        <v>0</v>
      </c>
      <c r="P104" s="81">
        <f t="shared" si="36"/>
        <v>11163635.499999996</v>
      </c>
      <c r="Q104" s="81">
        <f t="shared" si="36"/>
        <v>27999908.040000003</v>
      </c>
      <c r="R104" s="81">
        <f t="shared" si="36"/>
        <v>39163543.539999999</v>
      </c>
      <c r="S104" s="81">
        <f t="shared" si="36"/>
        <v>0</v>
      </c>
      <c r="T104" s="81">
        <f t="shared" ref="T104:T112" si="40">T24-T64</f>
        <v>0</v>
      </c>
      <c r="U104" s="81">
        <f t="shared" si="37"/>
        <v>0</v>
      </c>
      <c r="V104" s="81">
        <f t="shared" si="38"/>
        <v>39163543.539999999</v>
      </c>
      <c r="W104" s="87">
        <v>0</v>
      </c>
      <c r="X104" s="17"/>
    </row>
    <row r="105" spans="1:24">
      <c r="A105" s="6">
        <f t="shared" si="39"/>
        <v>2002</v>
      </c>
      <c r="B105" s="81"/>
      <c r="C105" s="81"/>
      <c r="D105" s="81"/>
      <c r="E105" s="81"/>
      <c r="F105" s="81"/>
      <c r="G105" s="81">
        <f t="shared" si="36"/>
        <v>37020694.419999994</v>
      </c>
      <c r="H105" s="81">
        <f t="shared" si="36"/>
        <v>36475301.519999996</v>
      </c>
      <c r="I105" s="81">
        <f t="shared" si="36"/>
        <v>18237650.759999998</v>
      </c>
      <c r="J105" s="81">
        <f t="shared" si="36"/>
        <v>17692257.859999996</v>
      </c>
      <c r="K105" s="81">
        <f t="shared" si="36"/>
        <v>18783043.659999996</v>
      </c>
      <c r="L105" s="81">
        <f t="shared" si="36"/>
        <v>18783043.659999996</v>
      </c>
      <c r="M105" s="81">
        <f t="shared" si="36"/>
        <v>0</v>
      </c>
      <c r="N105" s="81">
        <f t="shared" si="36"/>
        <v>0</v>
      </c>
      <c r="O105" s="81">
        <f>'Exhibit F,1'!AC26</f>
        <v>0</v>
      </c>
      <c r="P105" s="81">
        <f t="shared" si="36"/>
        <v>17692257.859999996</v>
      </c>
      <c r="Q105" s="81">
        <f t="shared" si="36"/>
        <v>18783043.659999996</v>
      </c>
      <c r="R105" s="81">
        <f t="shared" si="36"/>
        <v>36475301.519999996</v>
      </c>
      <c r="S105" s="81">
        <f t="shared" ref="S105:S112" si="41">S25-S65</f>
        <v>0</v>
      </c>
      <c r="T105" s="81">
        <f t="shared" si="40"/>
        <v>0</v>
      </c>
      <c r="U105" s="81">
        <f t="shared" si="37"/>
        <v>0</v>
      </c>
      <c r="V105" s="81">
        <f t="shared" si="38"/>
        <v>36475301.519999996</v>
      </c>
      <c r="W105" s="87">
        <v>0</v>
      </c>
      <c r="X105" s="17"/>
    </row>
    <row r="106" spans="1:24">
      <c r="A106" s="6">
        <f t="shared" si="39"/>
        <v>2003</v>
      </c>
      <c r="B106" s="81"/>
      <c r="C106" s="81"/>
      <c r="D106" s="81"/>
      <c r="E106" s="81"/>
      <c r="F106" s="81"/>
      <c r="G106" s="81">
        <f t="shared" si="36"/>
        <v>37207547.520000003</v>
      </c>
      <c r="H106" s="81">
        <f t="shared" si="36"/>
        <v>35931289.840000004</v>
      </c>
      <c r="I106" s="81">
        <f t="shared" si="36"/>
        <v>17965644.920000002</v>
      </c>
      <c r="J106" s="81">
        <f t="shared" si="36"/>
        <v>16689387.240000002</v>
      </c>
      <c r="K106" s="81">
        <f t="shared" si="36"/>
        <v>19241902.600000001</v>
      </c>
      <c r="L106" s="81">
        <f t="shared" si="36"/>
        <v>19241902.600000001</v>
      </c>
      <c r="M106" s="81">
        <f t="shared" si="36"/>
        <v>0</v>
      </c>
      <c r="N106" s="81">
        <f t="shared" si="36"/>
        <v>0</v>
      </c>
      <c r="O106" s="81">
        <f>'Exhibit F,1'!AC27</f>
        <v>0</v>
      </c>
      <c r="P106" s="81">
        <f t="shared" si="36"/>
        <v>16689387.240000002</v>
      </c>
      <c r="Q106" s="81">
        <f t="shared" si="36"/>
        <v>19241902.600000001</v>
      </c>
      <c r="R106" s="81">
        <f t="shared" si="36"/>
        <v>35931289.840000004</v>
      </c>
      <c r="S106" s="81">
        <f t="shared" si="41"/>
        <v>0</v>
      </c>
      <c r="T106" s="81">
        <f t="shared" si="40"/>
        <v>0</v>
      </c>
      <c r="U106" s="81">
        <f t="shared" si="37"/>
        <v>0</v>
      </c>
      <c r="V106" s="81">
        <f t="shared" si="38"/>
        <v>35931289.840000004</v>
      </c>
      <c r="W106" s="87">
        <v>0</v>
      </c>
      <c r="X106" s="17"/>
    </row>
    <row r="107" spans="1:24">
      <c r="A107" s="6">
        <f t="shared" si="39"/>
        <v>2004</v>
      </c>
      <c r="B107" s="81"/>
      <c r="C107" s="81"/>
      <c r="D107" s="81"/>
      <c r="E107" s="81"/>
      <c r="F107" s="81"/>
      <c r="G107" s="81">
        <f t="shared" si="36"/>
        <v>40016657.5</v>
      </c>
      <c r="H107" s="81">
        <f t="shared" si="36"/>
        <v>40225475.299999997</v>
      </c>
      <c r="I107" s="81">
        <f t="shared" si="36"/>
        <v>20009669.5</v>
      </c>
      <c r="J107" s="81">
        <f t="shared" si="36"/>
        <v>20009669.5</v>
      </c>
      <c r="K107" s="81">
        <f t="shared" si="36"/>
        <v>20006988</v>
      </c>
      <c r="L107" s="81">
        <f t="shared" si="36"/>
        <v>20215805.799999997</v>
      </c>
      <c r="M107" s="81">
        <f t="shared" si="36"/>
        <v>0</v>
      </c>
      <c r="N107" s="81">
        <f t="shared" si="36"/>
        <v>0</v>
      </c>
      <c r="O107" s="81">
        <f>'Exhibit F,1'!AC28</f>
        <v>0</v>
      </c>
      <c r="P107" s="81">
        <f t="shared" si="36"/>
        <v>20009669.5</v>
      </c>
      <c r="Q107" s="81">
        <f t="shared" si="36"/>
        <v>20215805.799999997</v>
      </c>
      <c r="R107" s="81">
        <f t="shared" si="36"/>
        <v>40225475.299999997</v>
      </c>
      <c r="S107" s="81">
        <f t="shared" si="41"/>
        <v>0</v>
      </c>
      <c r="T107" s="81">
        <f t="shared" si="40"/>
        <v>0</v>
      </c>
      <c r="U107" s="81">
        <f t="shared" si="37"/>
        <v>0</v>
      </c>
      <c r="V107" s="81">
        <f t="shared" si="38"/>
        <v>40225475.299999997</v>
      </c>
      <c r="W107" s="87">
        <v>0</v>
      </c>
      <c r="X107" s="17"/>
    </row>
    <row r="108" spans="1:24">
      <c r="A108" s="6">
        <f t="shared" si="39"/>
        <v>2005</v>
      </c>
      <c r="B108" s="81"/>
      <c r="C108" s="81"/>
      <c r="D108" s="81"/>
      <c r="E108" s="81"/>
      <c r="F108" s="81"/>
      <c r="G108" s="81">
        <f t="shared" si="36"/>
        <v>40214475.780000001</v>
      </c>
      <c r="H108" s="81">
        <f t="shared" si="36"/>
        <v>39576244.899999999</v>
      </c>
      <c r="I108" s="81">
        <f t="shared" si="36"/>
        <v>19788122.449999999</v>
      </c>
      <c r="J108" s="81">
        <f t="shared" si="36"/>
        <v>19149891.57</v>
      </c>
      <c r="K108" s="81">
        <f t="shared" si="36"/>
        <v>20426353.330000002</v>
      </c>
      <c r="L108" s="81">
        <f t="shared" si="36"/>
        <v>20426353.329999998</v>
      </c>
      <c r="M108" s="81">
        <f t="shared" si="36"/>
        <v>0</v>
      </c>
      <c r="N108" s="81">
        <f t="shared" si="36"/>
        <v>0</v>
      </c>
      <c r="O108" s="81">
        <f>'Exhibit F,1'!AC29</f>
        <v>0</v>
      </c>
      <c r="P108" s="81">
        <f t="shared" si="36"/>
        <v>19149891.57</v>
      </c>
      <c r="Q108" s="81">
        <f t="shared" si="36"/>
        <v>20426353.329999998</v>
      </c>
      <c r="R108" s="81">
        <f t="shared" si="36"/>
        <v>39576244.899999999</v>
      </c>
      <c r="S108" s="81">
        <f t="shared" si="41"/>
        <v>0</v>
      </c>
      <c r="T108" s="81">
        <f t="shared" si="40"/>
        <v>0</v>
      </c>
      <c r="U108" s="81">
        <f t="shared" si="37"/>
        <v>0</v>
      </c>
      <c r="V108" s="81">
        <f t="shared" si="38"/>
        <v>39576244.899999999</v>
      </c>
      <c r="W108" s="87">
        <v>0</v>
      </c>
      <c r="X108" s="17"/>
    </row>
    <row r="109" spans="1:24">
      <c r="A109" s="6">
        <f t="shared" si="39"/>
        <v>2006</v>
      </c>
      <c r="B109" s="81"/>
      <c r="C109" s="81"/>
      <c r="D109" s="81"/>
      <c r="E109" s="81"/>
      <c r="F109" s="81"/>
      <c r="G109" s="81">
        <f t="shared" si="36"/>
        <v>39575878.57</v>
      </c>
      <c r="H109" s="81">
        <f t="shared" si="36"/>
        <v>38751983.460000001</v>
      </c>
      <c r="I109" s="81">
        <f t="shared" si="36"/>
        <v>19375991.73</v>
      </c>
      <c r="J109" s="81">
        <f t="shared" si="36"/>
        <v>18552096.620000001</v>
      </c>
      <c r="K109" s="81">
        <f t="shared" si="36"/>
        <v>20199886.84</v>
      </c>
      <c r="L109" s="81">
        <f t="shared" si="36"/>
        <v>20199886.84</v>
      </c>
      <c r="M109" s="81">
        <f t="shared" si="36"/>
        <v>0</v>
      </c>
      <c r="N109" s="81">
        <f t="shared" si="36"/>
        <v>0</v>
      </c>
      <c r="O109" s="81">
        <f>'Exhibit F,1'!AC30</f>
        <v>0</v>
      </c>
      <c r="P109" s="81">
        <f t="shared" si="36"/>
        <v>18552096.620000001</v>
      </c>
      <c r="Q109" s="81">
        <f t="shared" si="36"/>
        <v>20199886.84</v>
      </c>
      <c r="R109" s="81">
        <f t="shared" si="36"/>
        <v>38751983.460000001</v>
      </c>
      <c r="S109" s="81">
        <f t="shared" si="41"/>
        <v>0</v>
      </c>
      <c r="T109" s="81">
        <f t="shared" si="40"/>
        <v>0</v>
      </c>
      <c r="U109" s="81">
        <f t="shared" si="37"/>
        <v>0</v>
      </c>
      <c r="V109" s="81">
        <f t="shared" si="38"/>
        <v>38751983.460000001</v>
      </c>
      <c r="W109" s="87">
        <v>0</v>
      </c>
      <c r="X109" s="17"/>
    </row>
    <row r="110" spans="1:24">
      <c r="A110" s="6">
        <f t="shared" si="39"/>
        <v>2007</v>
      </c>
      <c r="B110" s="81"/>
      <c r="C110" s="81"/>
      <c r="D110" s="81"/>
      <c r="E110" s="81"/>
      <c r="F110" s="81"/>
      <c r="G110" s="81">
        <f t="shared" si="36"/>
        <v>32791412.740000002</v>
      </c>
      <c r="H110" s="81">
        <f t="shared" si="36"/>
        <v>31074724.920000002</v>
      </c>
      <c r="I110" s="81">
        <f t="shared" si="36"/>
        <v>15537362.460000001</v>
      </c>
      <c r="J110" s="81">
        <f t="shared" si="36"/>
        <v>13820674.640000001</v>
      </c>
      <c r="K110" s="81">
        <f t="shared" si="36"/>
        <v>17254050.280000001</v>
      </c>
      <c r="L110" s="81">
        <f t="shared" si="36"/>
        <v>17254050.280000001</v>
      </c>
      <c r="M110" s="81">
        <f t="shared" si="36"/>
        <v>0</v>
      </c>
      <c r="N110" s="81">
        <f t="shared" si="36"/>
        <v>0</v>
      </c>
      <c r="O110" s="81">
        <f>'Exhibit F,1'!AC31</f>
        <v>0</v>
      </c>
      <c r="P110" s="81">
        <f t="shared" si="36"/>
        <v>13820674.640000001</v>
      </c>
      <c r="Q110" s="81">
        <f t="shared" si="36"/>
        <v>17254050.280000001</v>
      </c>
      <c r="R110" s="81">
        <f t="shared" si="36"/>
        <v>31074724.920000002</v>
      </c>
      <c r="S110" s="81">
        <f t="shared" si="41"/>
        <v>0</v>
      </c>
      <c r="T110" s="81">
        <f t="shared" si="40"/>
        <v>0</v>
      </c>
      <c r="U110" s="81">
        <f t="shared" si="37"/>
        <v>0</v>
      </c>
      <c r="V110" s="81">
        <f t="shared" si="38"/>
        <v>31074724.920000002</v>
      </c>
      <c r="W110" s="87">
        <v>0</v>
      </c>
      <c r="X110" s="17"/>
    </row>
    <row r="111" spans="1:24">
      <c r="A111" s="6">
        <f t="shared" si="39"/>
        <v>2008</v>
      </c>
      <c r="B111" s="81"/>
      <c r="C111" s="81"/>
      <c r="D111" s="81"/>
      <c r="E111" s="81"/>
      <c r="F111" s="81"/>
      <c r="G111" s="81">
        <f t="shared" si="36"/>
        <v>43891072.969999999</v>
      </c>
      <c r="H111" s="81">
        <f t="shared" si="36"/>
        <v>41764172.280000001</v>
      </c>
      <c r="I111" s="81">
        <f t="shared" si="36"/>
        <v>20882086.140000001</v>
      </c>
      <c r="J111" s="81">
        <f t="shared" si="36"/>
        <v>18755185.449999999</v>
      </c>
      <c r="K111" s="81">
        <f t="shared" si="36"/>
        <v>23008986.829999998</v>
      </c>
      <c r="L111" s="81">
        <f t="shared" si="36"/>
        <v>23008986.829999998</v>
      </c>
      <c r="M111" s="81">
        <f t="shared" si="36"/>
        <v>0</v>
      </c>
      <c r="N111" s="81">
        <f t="shared" si="36"/>
        <v>0</v>
      </c>
      <c r="O111" s="81">
        <f>'Exhibit F,1'!AC32</f>
        <v>0</v>
      </c>
      <c r="P111" s="81">
        <f t="shared" si="36"/>
        <v>18755185.449999999</v>
      </c>
      <c r="Q111" s="81">
        <f t="shared" si="36"/>
        <v>23008986.829999998</v>
      </c>
      <c r="R111" s="81">
        <f t="shared" si="36"/>
        <v>41764172.280000001</v>
      </c>
      <c r="S111" s="81">
        <f t="shared" si="41"/>
        <v>0</v>
      </c>
      <c r="T111" s="81">
        <f t="shared" si="40"/>
        <v>0</v>
      </c>
      <c r="U111" s="81">
        <f t="shared" si="37"/>
        <v>0</v>
      </c>
      <c r="V111" s="81">
        <f t="shared" si="38"/>
        <v>41764172.280000001</v>
      </c>
      <c r="W111" s="87">
        <v>0</v>
      </c>
      <c r="X111" s="17"/>
    </row>
    <row r="112" spans="1:24">
      <c r="A112" s="6">
        <f t="shared" si="39"/>
        <v>2009</v>
      </c>
      <c r="B112" s="81"/>
      <c r="C112" s="81"/>
      <c r="D112" s="81"/>
      <c r="E112" s="81"/>
      <c r="F112" s="81"/>
      <c r="G112" s="81">
        <f t="shared" si="36"/>
        <v>3607190.7965280302</v>
      </c>
      <c r="H112" s="81">
        <f t="shared" si="36"/>
        <v>1371342.4465280306</v>
      </c>
      <c r="I112" s="81">
        <f t="shared" si="36"/>
        <v>-11016137.793471968</v>
      </c>
      <c r="J112" s="81">
        <f t="shared" si="36"/>
        <v>-13251986.143471967</v>
      </c>
      <c r="K112" s="81">
        <f t="shared" si="36"/>
        <v>14623328.589999998</v>
      </c>
      <c r="L112" s="81">
        <f t="shared" si="36"/>
        <v>14623328.589999998</v>
      </c>
      <c r="M112" s="81">
        <f t="shared" si="36"/>
        <v>0</v>
      </c>
      <c r="N112" s="81">
        <f t="shared" si="36"/>
        <v>0</v>
      </c>
      <c r="O112" s="81">
        <f>'Exhibit F,1'!AC33</f>
        <v>0</v>
      </c>
      <c r="P112" s="81">
        <f t="shared" si="36"/>
        <v>-13251986.143471967</v>
      </c>
      <c r="Q112" s="81">
        <f t="shared" si="36"/>
        <v>14623328.589999998</v>
      </c>
      <c r="R112" s="81">
        <f t="shared" si="36"/>
        <v>1371342.4465280306</v>
      </c>
      <c r="S112" s="81">
        <f t="shared" si="41"/>
        <v>0</v>
      </c>
      <c r="T112" s="81">
        <f t="shared" si="40"/>
        <v>0</v>
      </c>
      <c r="U112" s="81">
        <f t="shared" si="37"/>
        <v>0</v>
      </c>
      <c r="V112" s="81">
        <f t="shared" si="38"/>
        <v>1371342.4465280306</v>
      </c>
      <c r="W112" s="87">
        <v>0</v>
      </c>
      <c r="X112" s="17"/>
    </row>
    <row r="113" spans="1:24">
      <c r="A113" s="6">
        <f t="shared" si="39"/>
        <v>2010</v>
      </c>
      <c r="B113" s="81"/>
      <c r="C113" s="81"/>
      <c r="D113" s="81"/>
      <c r="E113" s="81"/>
      <c r="F113" s="81"/>
      <c r="G113" s="81">
        <f t="shared" si="36"/>
        <v>6512898.2648477443</v>
      </c>
      <c r="H113" s="81">
        <f t="shared" si="36"/>
        <v>739714.97484774143</v>
      </c>
      <c r="I113" s="81">
        <f t="shared" si="36"/>
        <v>-10846148.345152259</v>
      </c>
      <c r="J113" s="81">
        <f t="shared" si="36"/>
        <v>-16739901.89515226</v>
      </c>
      <c r="K113" s="81">
        <f t="shared" si="36"/>
        <v>17359046.610000003</v>
      </c>
      <c r="L113" s="81">
        <f t="shared" si="36"/>
        <v>17479616.870000001</v>
      </c>
      <c r="M113" s="81">
        <f t="shared" ref="H113:T124" si="42">M33-M73</f>
        <v>0</v>
      </c>
      <c r="N113" s="81">
        <f t="shared" si="42"/>
        <v>0</v>
      </c>
      <c r="O113" s="81">
        <f>'Exhibit F,1'!AC34</f>
        <v>0</v>
      </c>
      <c r="P113" s="81">
        <f t="shared" si="42"/>
        <v>-16739901.89515226</v>
      </c>
      <c r="Q113" s="81">
        <f t="shared" si="42"/>
        <v>17479616.870000001</v>
      </c>
      <c r="R113" s="81">
        <f t="shared" si="42"/>
        <v>739714.97484774143</v>
      </c>
      <c r="S113" s="81">
        <f t="shared" si="42"/>
        <v>2937.9396030492298</v>
      </c>
      <c r="T113" s="81">
        <f t="shared" si="42"/>
        <v>958981.61219296069</v>
      </c>
      <c r="U113" s="81">
        <f t="shared" si="37"/>
        <v>961919.55179600988</v>
      </c>
      <c r="V113" s="81">
        <f t="shared" si="38"/>
        <v>1701634.5266437512</v>
      </c>
      <c r="W113" s="87">
        <v>0</v>
      </c>
      <c r="X113" s="17"/>
    </row>
    <row r="114" spans="1:24">
      <c r="A114" s="6">
        <f t="shared" si="39"/>
        <v>2011</v>
      </c>
      <c r="B114" s="81"/>
      <c r="C114" s="81"/>
      <c r="D114" s="81"/>
      <c r="E114" s="81"/>
      <c r="F114" s="81"/>
      <c r="G114" s="81">
        <f t="shared" si="36"/>
        <v>75470.575414929539</v>
      </c>
      <c r="H114" s="81">
        <f t="shared" si="42"/>
        <v>-5999923.4045850709</v>
      </c>
      <c r="I114" s="81">
        <f t="shared" si="42"/>
        <v>-14710773.864585074</v>
      </c>
      <c r="J114" s="81">
        <f t="shared" si="42"/>
        <v>-20786167.844585072</v>
      </c>
      <c r="K114" s="81">
        <f t="shared" si="42"/>
        <v>14786244.440000001</v>
      </c>
      <c r="L114" s="81">
        <f t="shared" si="42"/>
        <v>14786244.440000001</v>
      </c>
      <c r="M114" s="81">
        <f t="shared" si="42"/>
        <v>0</v>
      </c>
      <c r="N114" s="81">
        <f t="shared" si="42"/>
        <v>0</v>
      </c>
      <c r="O114" s="81">
        <f>'Exhibit F,1'!AC35</f>
        <v>0</v>
      </c>
      <c r="P114" s="81">
        <f t="shared" si="42"/>
        <v>-20786167.844585072</v>
      </c>
      <c r="Q114" s="81">
        <f t="shared" si="42"/>
        <v>14786244.440000001</v>
      </c>
      <c r="R114" s="81">
        <f t="shared" si="42"/>
        <v>-5999923.4045850709</v>
      </c>
      <c r="S114" s="81">
        <f t="shared" si="42"/>
        <v>0</v>
      </c>
      <c r="T114" s="81">
        <f t="shared" si="42"/>
        <v>748623.37167133484</v>
      </c>
      <c r="U114" s="81">
        <f t="shared" si="37"/>
        <v>748623.37167133484</v>
      </c>
      <c r="V114" s="81">
        <f t="shared" si="38"/>
        <v>-5251300.0329137361</v>
      </c>
      <c r="W114" s="87">
        <v>24133107.511494454</v>
      </c>
      <c r="X114" s="17"/>
    </row>
    <row r="115" spans="1:24">
      <c r="A115" s="6">
        <f t="shared" si="39"/>
        <v>2012</v>
      </c>
      <c r="B115" s="81"/>
      <c r="C115" s="81"/>
      <c r="D115" s="81"/>
      <c r="E115" s="81"/>
      <c r="F115" s="81"/>
      <c r="G115" s="81">
        <f t="shared" si="36"/>
        <v>3744765.9466505535</v>
      </c>
      <c r="H115" s="81">
        <f t="shared" si="42"/>
        <v>6482761.8366505541</v>
      </c>
      <c r="I115" s="81">
        <f t="shared" si="42"/>
        <v>-8273492.5933494493</v>
      </c>
      <c r="J115" s="81">
        <f t="shared" si="42"/>
        <v>-7586575.9933494497</v>
      </c>
      <c r="K115" s="81">
        <f t="shared" si="42"/>
        <v>12018258.540000001</v>
      </c>
      <c r="L115" s="81">
        <f t="shared" si="42"/>
        <v>14069337.830000002</v>
      </c>
      <c r="M115" s="81">
        <f t="shared" si="42"/>
        <v>0</v>
      </c>
      <c r="N115" s="81">
        <f t="shared" si="42"/>
        <v>0</v>
      </c>
      <c r="O115" s="81">
        <f>'Exhibit F,1'!AC36</f>
        <v>0</v>
      </c>
      <c r="P115" s="81">
        <f t="shared" si="42"/>
        <v>-7586575.9933494497</v>
      </c>
      <c r="Q115" s="81">
        <f t="shared" si="42"/>
        <v>14069337.830000002</v>
      </c>
      <c r="R115" s="81">
        <f t="shared" si="42"/>
        <v>6482761.8366505522</v>
      </c>
      <c r="S115" s="81">
        <f t="shared" si="42"/>
        <v>59841.724611231104</v>
      </c>
      <c r="T115" s="81">
        <f t="shared" si="42"/>
        <v>780034.6736131605</v>
      </c>
      <c r="U115" s="81">
        <f t="shared" si="37"/>
        <v>839876.39822439163</v>
      </c>
      <c r="V115" s="81">
        <f t="shared" si="38"/>
        <v>7322638.2348749442</v>
      </c>
      <c r="W115" s="87">
        <v>22834606.964894421</v>
      </c>
      <c r="X115" s="17"/>
    </row>
    <row r="116" spans="1:24">
      <c r="A116" s="6">
        <f t="shared" si="39"/>
        <v>2013</v>
      </c>
      <c r="B116" s="81"/>
      <c r="C116" s="81"/>
      <c r="D116" s="81"/>
      <c r="E116" s="81"/>
      <c r="F116" s="81"/>
      <c r="G116" s="81">
        <f t="shared" si="36"/>
        <v>16074661.75923913</v>
      </c>
      <c r="H116" s="81">
        <f t="shared" si="42"/>
        <v>19353830.449239131</v>
      </c>
      <c r="I116" s="81">
        <f t="shared" si="42"/>
        <v>-1333310.1507608653</v>
      </c>
      <c r="J116" s="81">
        <f t="shared" si="42"/>
        <v>-370568.7507608654</v>
      </c>
      <c r="K116" s="81">
        <f t="shared" si="42"/>
        <v>17407971.909999996</v>
      </c>
      <c r="L116" s="81">
        <f t="shared" si="42"/>
        <v>19724399.199999996</v>
      </c>
      <c r="M116" s="81">
        <f t="shared" si="42"/>
        <v>24031.095781167503</v>
      </c>
      <c r="N116" s="81">
        <f t="shared" si="42"/>
        <v>6976.7697429195978</v>
      </c>
      <c r="O116" s="81">
        <f>'Exhibit F,1'!AC37</f>
        <v>31007.865524087101</v>
      </c>
      <c r="P116" s="81">
        <f t="shared" si="42"/>
        <v>-346537.65497969789</v>
      </c>
      <c r="Q116" s="81">
        <f t="shared" si="42"/>
        <v>19731375.969742917</v>
      </c>
      <c r="R116" s="81">
        <f t="shared" si="42"/>
        <v>19384838.314763218</v>
      </c>
      <c r="S116" s="81">
        <f t="shared" si="42"/>
        <v>68829.520948565652</v>
      </c>
      <c r="T116" s="81">
        <f t="shared" si="42"/>
        <v>937102.00300454616</v>
      </c>
      <c r="U116" s="81">
        <f t="shared" si="37"/>
        <v>1005931.5239531118</v>
      </c>
      <c r="V116" s="81">
        <f t="shared" si="38"/>
        <v>20390769.838716328</v>
      </c>
      <c r="W116" s="87">
        <v>23991846.053398333</v>
      </c>
      <c r="X116" s="17"/>
    </row>
    <row r="117" spans="1:24">
      <c r="A117" s="6">
        <f t="shared" si="39"/>
        <v>2014</v>
      </c>
      <c r="B117" s="81"/>
      <c r="C117" s="81"/>
      <c r="D117" s="81"/>
      <c r="E117" s="81"/>
      <c r="F117" s="81"/>
      <c r="G117" s="81">
        <f t="shared" si="36"/>
        <v>-611648.39971003495</v>
      </c>
      <c r="H117" s="81">
        <f t="shared" si="42"/>
        <v>2392642.5102899671</v>
      </c>
      <c r="I117" s="81">
        <f t="shared" si="42"/>
        <v>-8944461.4397100341</v>
      </c>
      <c r="J117" s="81">
        <f t="shared" si="42"/>
        <v>-8690777.2897100355</v>
      </c>
      <c r="K117" s="81">
        <f t="shared" si="42"/>
        <v>8332813.0399999991</v>
      </c>
      <c r="L117" s="81">
        <f t="shared" si="42"/>
        <v>11083419.800000003</v>
      </c>
      <c r="M117" s="81">
        <f t="shared" si="42"/>
        <v>101559.75933577017</v>
      </c>
      <c r="N117" s="81">
        <f t="shared" si="42"/>
        <v>33047.333102132288</v>
      </c>
      <c r="O117" s="81">
        <f>'Exhibit F,1'!AC38</f>
        <v>134607.09243790247</v>
      </c>
      <c r="P117" s="81">
        <f t="shared" si="42"/>
        <v>-8589217.5303742662</v>
      </c>
      <c r="Q117" s="81">
        <f t="shared" si="42"/>
        <v>11116467.133102134</v>
      </c>
      <c r="R117" s="81">
        <f t="shared" si="42"/>
        <v>2527249.6027278695</v>
      </c>
      <c r="S117" s="81">
        <f t="shared" si="42"/>
        <v>65274.34690335609</v>
      </c>
      <c r="T117" s="81">
        <f t="shared" si="42"/>
        <v>751452.69236092025</v>
      </c>
      <c r="U117" s="81">
        <f t="shared" si="37"/>
        <v>816727.03926427639</v>
      </c>
      <c r="V117" s="81">
        <f t="shared" si="38"/>
        <v>3343976.6419921461</v>
      </c>
      <c r="W117" s="87">
        <v>24795964.564395752</v>
      </c>
      <c r="X117" s="17"/>
    </row>
    <row r="118" spans="1:24">
      <c r="A118" s="6">
        <f t="shared" si="39"/>
        <v>2015</v>
      </c>
      <c r="B118" s="81"/>
      <c r="C118" s="81"/>
      <c r="D118" s="81"/>
      <c r="E118" s="81"/>
      <c r="F118" s="81"/>
      <c r="G118" s="81">
        <f t="shared" si="36"/>
        <v>-6221969.3625276797</v>
      </c>
      <c r="H118" s="81">
        <f t="shared" si="42"/>
        <v>1329259.287472317</v>
      </c>
      <c r="I118" s="81">
        <f t="shared" si="42"/>
        <v>-8901231.9125276804</v>
      </c>
      <c r="J118" s="81">
        <f t="shared" si="42"/>
        <v>-7155583.7225276809</v>
      </c>
      <c r="K118" s="81">
        <f t="shared" si="42"/>
        <v>2679262.5499999998</v>
      </c>
      <c r="L118" s="81">
        <f t="shared" si="42"/>
        <v>8484843.0099999979</v>
      </c>
      <c r="M118" s="81">
        <f t="shared" si="42"/>
        <v>594807.55603384087</v>
      </c>
      <c r="N118" s="81">
        <f t="shared" si="42"/>
        <v>176929.81200957624</v>
      </c>
      <c r="O118" s="81">
        <f>'Exhibit F,1'!AC39</f>
        <v>771737.36804341711</v>
      </c>
      <c r="P118" s="81">
        <f t="shared" si="42"/>
        <v>-6560776.1664938396</v>
      </c>
      <c r="Q118" s="81">
        <f t="shared" si="42"/>
        <v>8661772.8220095746</v>
      </c>
      <c r="R118" s="81">
        <f t="shared" si="42"/>
        <v>2100996.6555157341</v>
      </c>
      <c r="S118" s="81">
        <f t="shared" si="42"/>
        <v>75264.056516319702</v>
      </c>
      <c r="T118" s="81">
        <f t="shared" si="42"/>
        <v>806179.24591736076</v>
      </c>
      <c r="U118" s="81">
        <f t="shared" si="37"/>
        <v>881443.30243368051</v>
      </c>
      <c r="V118" s="81">
        <f t="shared" si="38"/>
        <v>2982439.9579494148</v>
      </c>
      <c r="W118" s="87">
        <v>23159573.494265005</v>
      </c>
      <c r="X118" s="17"/>
    </row>
    <row r="119" spans="1:24">
      <c r="A119" s="6">
        <f t="shared" si="39"/>
        <v>2016</v>
      </c>
      <c r="B119" s="81"/>
      <c r="C119" s="81"/>
      <c r="D119" s="81"/>
      <c r="E119" s="81"/>
      <c r="F119" s="81"/>
      <c r="G119" s="81">
        <f t="shared" si="36"/>
        <v>-1067098.3964053672</v>
      </c>
      <c r="H119" s="81">
        <f t="shared" si="42"/>
        <v>9100502.6235946324</v>
      </c>
      <c r="I119" s="81">
        <f t="shared" si="42"/>
        <v>-7398274.9364053672</v>
      </c>
      <c r="J119" s="81">
        <f t="shared" si="42"/>
        <v>-445133.27640536614</v>
      </c>
      <c r="K119" s="81">
        <f t="shared" si="42"/>
        <v>6331176.54</v>
      </c>
      <c r="L119" s="81">
        <f t="shared" si="42"/>
        <v>9545635.9000000004</v>
      </c>
      <c r="M119" s="81">
        <f t="shared" si="42"/>
        <v>1359432.408090878</v>
      </c>
      <c r="N119" s="81">
        <f t="shared" si="42"/>
        <v>581189.95125254267</v>
      </c>
      <c r="O119" s="81">
        <f>'Exhibit F,1'!AC40</f>
        <v>1940622.3593434207</v>
      </c>
      <c r="P119" s="81">
        <f t="shared" si="42"/>
        <v>914299.13168551214</v>
      </c>
      <c r="Q119" s="81">
        <f t="shared" si="42"/>
        <v>10126825.851252543</v>
      </c>
      <c r="R119" s="81">
        <f t="shared" si="42"/>
        <v>11041124.982938055</v>
      </c>
      <c r="S119" s="81">
        <f t="shared" si="42"/>
        <v>288445.23543821991</v>
      </c>
      <c r="T119" s="81">
        <f t="shared" si="42"/>
        <v>627226.06351802067</v>
      </c>
      <c r="U119" s="81">
        <f t="shared" si="37"/>
        <v>915671.29895624053</v>
      </c>
      <c r="V119" s="81">
        <f t="shared" si="38"/>
        <v>11956796.281894296</v>
      </c>
      <c r="W119" s="87">
        <v>20881555.172197364</v>
      </c>
      <c r="X119" s="17"/>
    </row>
    <row r="120" spans="1:24">
      <c r="A120" s="6">
        <f t="shared" si="39"/>
        <v>2017</v>
      </c>
      <c r="B120" s="81"/>
      <c r="C120" s="81"/>
      <c r="D120" s="81"/>
      <c r="E120" s="81"/>
      <c r="F120" s="81"/>
      <c r="G120" s="81">
        <f t="shared" si="36"/>
        <v>-961202.88508658193</v>
      </c>
      <c r="H120" s="81">
        <f t="shared" si="42"/>
        <v>7283432.3649134198</v>
      </c>
      <c r="I120" s="81">
        <f t="shared" si="42"/>
        <v>-5689535.3550865818</v>
      </c>
      <c r="J120" s="81">
        <f t="shared" si="42"/>
        <v>-1359559.3650865825</v>
      </c>
      <c r="K120" s="81">
        <f t="shared" si="42"/>
        <v>4728332.47</v>
      </c>
      <c r="L120" s="81">
        <f t="shared" si="42"/>
        <v>8642991.7300000004</v>
      </c>
      <c r="M120" s="81">
        <f t="shared" si="42"/>
        <v>2075103.0301491206</v>
      </c>
      <c r="N120" s="81">
        <f t="shared" si="42"/>
        <v>717446.98251681798</v>
      </c>
      <c r="O120" s="81">
        <f>'Exhibit F,1'!AC41</f>
        <v>2792550.0126659386</v>
      </c>
      <c r="P120" s="81">
        <f t="shared" si="42"/>
        <v>715543.66506253835</v>
      </c>
      <c r="Q120" s="81">
        <f t="shared" si="42"/>
        <v>9360438.7125168182</v>
      </c>
      <c r="R120" s="81">
        <f t="shared" si="42"/>
        <v>10075982.377579357</v>
      </c>
      <c r="S120" s="81">
        <f t="shared" si="42"/>
        <v>226534.48040203433</v>
      </c>
      <c r="T120" s="81">
        <f t="shared" si="42"/>
        <v>471711.15187271149</v>
      </c>
      <c r="U120" s="81">
        <f t="shared" si="37"/>
        <v>698245.63227474585</v>
      </c>
      <c r="V120" s="81">
        <f t="shared" si="38"/>
        <v>10774228.009854103</v>
      </c>
      <c r="W120" s="87">
        <v>16263006.444808954</v>
      </c>
      <c r="X120" s="17"/>
    </row>
    <row r="121" spans="1:24">
      <c r="A121" s="6">
        <f t="shared" si="39"/>
        <v>2018</v>
      </c>
      <c r="B121" s="81"/>
      <c r="C121" s="81"/>
      <c r="D121" s="81"/>
      <c r="E121" s="81"/>
      <c r="F121" s="81"/>
      <c r="G121" s="81">
        <f t="shared" si="36"/>
        <v>-6490577.9235935844</v>
      </c>
      <c r="H121" s="81">
        <f t="shared" si="42"/>
        <v>-2150296.2235935852</v>
      </c>
      <c r="I121" s="81">
        <f t="shared" si="42"/>
        <v>-7384536.6335935844</v>
      </c>
      <c r="J121" s="81">
        <f t="shared" si="42"/>
        <v>-4893820.1035935842</v>
      </c>
      <c r="K121" s="81">
        <f t="shared" si="42"/>
        <v>893958.71</v>
      </c>
      <c r="L121" s="81">
        <f t="shared" si="42"/>
        <v>2743523.88</v>
      </c>
      <c r="M121" s="81">
        <f t="shared" si="42"/>
        <v>2894192.5821137913</v>
      </c>
      <c r="N121" s="81">
        <f t="shared" si="42"/>
        <v>988434.75759816531</v>
      </c>
      <c r="O121" s="81">
        <f>'Exhibit F,1'!AC42</f>
        <v>3882627.3397119567</v>
      </c>
      <c r="P121" s="81">
        <f t="shared" si="42"/>
        <v>-1999627.5214797929</v>
      </c>
      <c r="Q121" s="81">
        <f t="shared" si="42"/>
        <v>3731958.6375981648</v>
      </c>
      <c r="R121" s="81">
        <f t="shared" si="42"/>
        <v>1732331.116118372</v>
      </c>
      <c r="S121" s="81">
        <f t="shared" si="42"/>
        <v>208611.31119606391</v>
      </c>
      <c r="T121" s="81">
        <f t="shared" si="42"/>
        <v>434058.01236503641</v>
      </c>
      <c r="U121" s="81">
        <f t="shared" si="37"/>
        <v>642669.32356110029</v>
      </c>
      <c r="V121" s="81">
        <f t="shared" si="38"/>
        <v>2375000.4396794722</v>
      </c>
      <c r="W121" s="87">
        <v>16215138.931793511</v>
      </c>
      <c r="X121" s="17"/>
    </row>
    <row r="122" spans="1:24">
      <c r="A122" s="6">
        <f t="shared" si="39"/>
        <v>2019</v>
      </c>
      <c r="B122" s="81"/>
      <c r="C122" s="81"/>
      <c r="D122" s="81"/>
      <c r="E122" s="81"/>
      <c r="F122" s="81"/>
      <c r="G122" s="81">
        <f t="shared" si="36"/>
        <v>-13604153.915080603</v>
      </c>
      <c r="H122" s="81">
        <f t="shared" si="42"/>
        <v>-11018044.125080604</v>
      </c>
      <c r="I122" s="81">
        <f t="shared" si="42"/>
        <v>-13797766.495080603</v>
      </c>
      <c r="J122" s="81">
        <f t="shared" si="42"/>
        <v>-12148553.575080603</v>
      </c>
      <c r="K122" s="81">
        <f t="shared" si="42"/>
        <v>193612.58000000002</v>
      </c>
      <c r="L122" s="81">
        <f t="shared" si="42"/>
        <v>1130509.45</v>
      </c>
      <c r="M122" s="81">
        <f t="shared" si="42"/>
        <v>6051940.1490941131</v>
      </c>
      <c r="N122" s="81">
        <f t="shared" si="42"/>
        <v>1887236.8285981561</v>
      </c>
      <c r="O122" s="81">
        <f>'Exhibit F,1'!AC43</f>
        <v>7939176.9776922688</v>
      </c>
      <c r="P122" s="81">
        <f t="shared" si="42"/>
        <v>-6096613.4259864902</v>
      </c>
      <c r="Q122" s="81">
        <f t="shared" si="42"/>
        <v>3017746.2785981563</v>
      </c>
      <c r="R122" s="81">
        <f t="shared" si="42"/>
        <v>-3078867.1473883344</v>
      </c>
      <c r="S122" s="81">
        <f t="shared" si="42"/>
        <v>301660.72656104446</v>
      </c>
      <c r="T122" s="81">
        <f t="shared" si="42"/>
        <v>215329.76800396666</v>
      </c>
      <c r="U122" s="81">
        <f t="shared" si="37"/>
        <v>516990.49456501112</v>
      </c>
      <c r="V122" s="81">
        <f t="shared" si="38"/>
        <v>-2561876.6528233234</v>
      </c>
      <c r="W122" s="87">
        <v>19372364.326577269</v>
      </c>
      <c r="X122" s="17"/>
    </row>
    <row r="123" spans="1:24">
      <c r="A123" s="6">
        <f t="shared" si="39"/>
        <v>2020</v>
      </c>
      <c r="B123" s="81"/>
      <c r="C123" s="81"/>
      <c r="D123" s="81"/>
      <c r="E123" s="81"/>
      <c r="F123" s="81"/>
      <c r="G123" s="81">
        <f t="shared" si="36"/>
        <v>-15494304.88097108</v>
      </c>
      <c r="H123" s="81">
        <f t="shared" si="42"/>
        <v>-13469158.61097108</v>
      </c>
      <c r="I123" s="81">
        <f t="shared" si="42"/>
        <v>-15494304.88097108</v>
      </c>
      <c r="J123" s="81">
        <f t="shared" si="42"/>
        <v>-13469158.61097108</v>
      </c>
      <c r="K123" s="81">
        <f t="shared" si="42"/>
        <v>0</v>
      </c>
      <c r="L123" s="81">
        <f t="shared" si="42"/>
        <v>0</v>
      </c>
      <c r="M123" s="81">
        <f t="shared" si="42"/>
        <v>7662436.3450459698</v>
      </c>
      <c r="N123" s="81">
        <f t="shared" si="42"/>
        <v>2378978.9138971558</v>
      </c>
      <c r="O123" s="81">
        <f>'Exhibit F,1'!AC44</f>
        <v>10041415.258943126</v>
      </c>
      <c r="P123" s="81">
        <f t="shared" si="42"/>
        <v>-5806722.2659251103</v>
      </c>
      <c r="Q123" s="81">
        <f t="shared" si="42"/>
        <v>2378978.9138971558</v>
      </c>
      <c r="R123" s="81">
        <f t="shared" si="42"/>
        <v>-3427743.3520279545</v>
      </c>
      <c r="S123" s="81">
        <f t="shared" si="42"/>
        <v>378380.97188842605</v>
      </c>
      <c r="T123" s="81">
        <f t="shared" si="42"/>
        <v>20014.649874795872</v>
      </c>
      <c r="U123" s="81">
        <f t="shared" si="37"/>
        <v>398395.62176322192</v>
      </c>
      <c r="V123" s="81">
        <f t="shared" si="38"/>
        <v>-3029347.7302647326</v>
      </c>
      <c r="W123" s="87">
        <v>11411924.800000016</v>
      </c>
      <c r="X123" s="17"/>
    </row>
    <row r="124" spans="1:24">
      <c r="A124" s="6"/>
      <c r="B124" s="81"/>
      <c r="C124" s="17"/>
      <c r="D124" s="81"/>
      <c r="E124" s="81"/>
      <c r="F124" s="81"/>
      <c r="G124" s="81">
        <f t="shared" si="36"/>
        <v>0</v>
      </c>
      <c r="H124" s="81">
        <f t="shared" si="42"/>
        <v>0</v>
      </c>
      <c r="I124" s="81">
        <f t="shared" si="42"/>
        <v>0</v>
      </c>
      <c r="J124" s="81">
        <f t="shared" si="42"/>
        <v>0</v>
      </c>
      <c r="K124" s="81">
        <f t="shared" si="42"/>
        <v>0</v>
      </c>
      <c r="L124" s="81">
        <f t="shared" si="42"/>
        <v>0</v>
      </c>
      <c r="M124" s="81">
        <f t="shared" si="42"/>
        <v>0</v>
      </c>
      <c r="N124" s="81">
        <f t="shared" si="42"/>
        <v>0</v>
      </c>
      <c r="O124" s="81">
        <f>'Exhibit F,1'!AC45</f>
        <v>0</v>
      </c>
      <c r="P124" s="81">
        <f t="shared" si="42"/>
        <v>0</v>
      </c>
      <c r="Q124" s="81">
        <f t="shared" si="42"/>
        <v>0</v>
      </c>
      <c r="R124" s="81">
        <f t="shared" si="42"/>
        <v>0</v>
      </c>
      <c r="S124" s="81">
        <f t="shared" si="42"/>
        <v>0</v>
      </c>
      <c r="T124" s="81">
        <f t="shared" si="42"/>
        <v>0</v>
      </c>
      <c r="U124" s="81">
        <f t="shared" si="37"/>
        <v>0</v>
      </c>
      <c r="V124" s="81">
        <f t="shared" si="38"/>
        <v>0</v>
      </c>
      <c r="W124" s="87">
        <v>0</v>
      </c>
      <c r="X124" s="17"/>
    </row>
    <row r="125" spans="1:24">
      <c r="A125" s="6" t="s">
        <v>0</v>
      </c>
      <c r="B125" s="82">
        <f>SUM(B95:B123)</f>
        <v>0</v>
      </c>
      <c r="C125" s="82">
        <f>SUM(C95:C123)</f>
        <v>0</v>
      </c>
      <c r="D125" s="82">
        <f t="shared" ref="D125:Q125" si="43">SUM(D95:D123)</f>
        <v>0</v>
      </c>
      <c r="E125" s="82">
        <f t="shared" si="43"/>
        <v>0</v>
      </c>
      <c r="F125" s="82">
        <f t="shared" si="43"/>
        <v>0</v>
      </c>
      <c r="G125" s="82">
        <f>SUM(G95:G123)</f>
        <v>635345604.20930541</v>
      </c>
      <c r="H125" s="82">
        <f t="shared" si="43"/>
        <v>496692307.04930538</v>
      </c>
      <c r="I125" s="82">
        <f t="shared" si="43"/>
        <v>126745078.90930542</v>
      </c>
      <c r="J125" s="82">
        <f t="shared" si="43"/>
        <v>-35076880.770694569</v>
      </c>
      <c r="K125" s="82">
        <f t="shared" si="43"/>
        <v>508600525.29999989</v>
      </c>
      <c r="L125" s="82">
        <f t="shared" si="43"/>
        <v>531769187.81999987</v>
      </c>
      <c r="M125" s="82">
        <f t="shared" si="43"/>
        <v>20763502.925644651</v>
      </c>
      <c r="N125" s="82">
        <f t="shared" si="43"/>
        <v>6770241.348717466</v>
      </c>
      <c r="O125" s="82">
        <f t="shared" si="43"/>
        <v>27533744.274362117</v>
      </c>
      <c r="P125" s="82">
        <f t="shared" si="43"/>
        <v>-14313377.845049914</v>
      </c>
      <c r="Q125" s="82">
        <f t="shared" si="43"/>
        <v>538539429.16871727</v>
      </c>
      <c r="R125" s="82">
        <f>SUM(R95:R123)</f>
        <v>524226051.32366747</v>
      </c>
      <c r="S125" s="82">
        <f>SUM(S95:S123)</f>
        <v>1675780.3140683104</v>
      </c>
      <c r="T125" s="82">
        <f>SUM(T95:T123)</f>
        <v>6750713.2443948146</v>
      </c>
      <c r="U125" s="82">
        <f>SUM(U95:U123)</f>
        <v>8426493.5584631246</v>
      </c>
      <c r="V125" s="82">
        <f>SUM(V95:V123)</f>
        <v>532652544.88213068</v>
      </c>
      <c r="W125" s="90">
        <v>203059088.26382509</v>
      </c>
      <c r="X125" s="17"/>
    </row>
    <row r="126" spans="1:24">
      <c r="A126" s="6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/>
      <c r="Q126" s="81"/>
      <c r="R126" s="81"/>
      <c r="S126" s="81"/>
      <c r="T126" s="81"/>
      <c r="U126" s="81"/>
      <c r="V126" s="81"/>
      <c r="W126" s="87"/>
      <c r="X126" s="17"/>
    </row>
    <row r="127" spans="1:24">
      <c r="A127" s="6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/>
      <c r="Q127" s="81"/>
      <c r="R127" s="81"/>
      <c r="S127" s="81"/>
      <c r="T127" s="81"/>
      <c r="U127" s="81"/>
      <c r="V127" s="81"/>
      <c r="W127" s="87"/>
      <c r="X127" s="17"/>
    </row>
    <row r="128" spans="1:24">
      <c r="A128" s="6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7"/>
      <c r="X128" s="17"/>
    </row>
    <row r="129" spans="1:24">
      <c r="A129" s="6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1"/>
      <c r="W129" s="87"/>
      <c r="X129" s="17"/>
    </row>
    <row r="130" spans="1:24">
      <c r="A130" s="6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1"/>
      <c r="W130" s="87"/>
      <c r="X130" s="17"/>
    </row>
    <row r="131" spans="1:24">
      <c r="A131" s="6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1"/>
      <c r="W131" s="87"/>
      <c r="X131" s="17"/>
    </row>
    <row r="132" spans="1:24">
      <c r="A132" s="6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7"/>
      <c r="X132" s="17"/>
    </row>
    <row r="133" spans="1:24">
      <c r="A133" s="6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81"/>
      <c r="P133" s="81"/>
      <c r="Q133" s="81"/>
      <c r="R133" s="81"/>
      <c r="S133" s="81"/>
      <c r="T133" s="81"/>
      <c r="U133" s="81"/>
      <c r="V133" s="81"/>
      <c r="W133" s="87"/>
      <c r="X133" s="17"/>
    </row>
    <row r="134" spans="1:24">
      <c r="A134" s="6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81"/>
      <c r="Q134" s="81"/>
      <c r="R134" s="81"/>
      <c r="S134" s="81"/>
      <c r="T134" s="81"/>
      <c r="U134" s="81"/>
      <c r="V134" s="81"/>
      <c r="W134" s="87"/>
      <c r="X134" s="17"/>
    </row>
    <row r="135" spans="1:24">
      <c r="A135" s="6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1"/>
      <c r="W135" s="87"/>
      <c r="X135" s="17"/>
    </row>
    <row r="136" spans="1:24">
      <c r="A136" s="6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1"/>
      <c r="W136" s="87"/>
      <c r="X136" s="17"/>
    </row>
    <row r="137" spans="1:24">
      <c r="A137" s="6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1"/>
      <c r="O137" s="81"/>
      <c r="P137" s="81"/>
      <c r="Q137" s="81"/>
      <c r="R137" s="81"/>
      <c r="S137" s="81"/>
      <c r="T137" s="81"/>
      <c r="U137" s="81"/>
      <c r="V137" s="81"/>
      <c r="W137" s="87"/>
      <c r="X137" s="17"/>
    </row>
    <row r="138" spans="1:24">
      <c r="A138" s="6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1"/>
      <c r="O138" s="81"/>
      <c r="P138" s="81"/>
      <c r="Q138" s="81"/>
      <c r="R138" s="81"/>
      <c r="S138" s="81"/>
      <c r="T138" s="81"/>
      <c r="U138" s="81"/>
      <c r="V138" s="81"/>
      <c r="W138" s="87"/>
      <c r="X138" s="17"/>
    </row>
    <row r="139" spans="1:24">
      <c r="A139" s="6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/>
      <c r="Q139" s="81"/>
      <c r="R139" s="81"/>
      <c r="S139" s="81"/>
      <c r="T139" s="81"/>
      <c r="U139" s="81"/>
      <c r="V139" s="81"/>
      <c r="W139" s="87"/>
      <c r="X139" s="17"/>
    </row>
    <row r="140" spans="1:24">
      <c r="A140" s="6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/>
      <c r="Q140" s="81"/>
      <c r="R140" s="81"/>
      <c r="S140" s="81"/>
      <c r="T140" s="81"/>
      <c r="U140" s="81"/>
      <c r="V140" s="81"/>
      <c r="W140" s="87"/>
      <c r="X140" s="17"/>
    </row>
    <row r="141" spans="1:24">
      <c r="A141" s="6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1"/>
      <c r="O141" s="81"/>
      <c r="P141" s="81"/>
      <c r="Q141" s="81"/>
      <c r="R141" s="81"/>
      <c r="S141" s="81"/>
      <c r="T141" s="81"/>
      <c r="U141" s="81"/>
      <c r="V141" s="81"/>
      <c r="W141" s="87"/>
      <c r="X141" s="17"/>
    </row>
    <row r="142" spans="1:24">
      <c r="A142" s="6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1"/>
      <c r="O142" s="81"/>
      <c r="P142" s="81"/>
      <c r="Q142" s="81"/>
      <c r="R142" s="81"/>
      <c r="S142" s="81"/>
      <c r="T142" s="81"/>
      <c r="U142" s="81"/>
      <c r="V142" s="81"/>
      <c r="W142" s="87"/>
      <c r="X142" s="17"/>
    </row>
    <row r="143" spans="1:24">
      <c r="A143" s="6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1"/>
      <c r="O143" s="81"/>
      <c r="P143" s="81"/>
      <c r="Q143" s="81"/>
      <c r="R143" s="81"/>
      <c r="S143" s="81"/>
      <c r="T143" s="81"/>
      <c r="U143" s="81"/>
      <c r="V143" s="81"/>
      <c r="W143" s="87"/>
      <c r="X143" s="17"/>
    </row>
    <row r="144" spans="1:24">
      <c r="A144" s="6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1"/>
      <c r="O144" s="81"/>
      <c r="P144" s="81"/>
      <c r="Q144" s="81"/>
      <c r="R144" s="81"/>
      <c r="S144" s="81"/>
      <c r="T144" s="81"/>
      <c r="U144" s="81"/>
      <c r="V144" s="81"/>
      <c r="W144" s="87"/>
      <c r="X144" s="17"/>
    </row>
    <row r="145" spans="1:24">
      <c r="A145" s="6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1"/>
      <c r="O145" s="81"/>
      <c r="P145" s="81"/>
      <c r="Q145" s="81"/>
      <c r="R145" s="81"/>
      <c r="S145" s="81"/>
      <c r="T145" s="81"/>
      <c r="U145" s="81"/>
      <c r="V145" s="81"/>
      <c r="W145" s="87"/>
      <c r="X145" s="17"/>
    </row>
    <row r="146" spans="1:24">
      <c r="A146" s="6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1"/>
      <c r="O146" s="81"/>
      <c r="P146" s="81"/>
      <c r="Q146" s="81"/>
      <c r="R146" s="81"/>
      <c r="S146" s="81"/>
      <c r="T146" s="81"/>
      <c r="U146" s="81"/>
      <c r="V146" s="81"/>
      <c r="W146" s="87"/>
      <c r="X146" s="17"/>
    </row>
    <row r="147" spans="1:24">
      <c r="A147" s="6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1"/>
      <c r="O147" s="81"/>
      <c r="P147" s="81"/>
      <c r="Q147" s="81"/>
      <c r="R147" s="81"/>
      <c r="S147" s="81"/>
      <c r="T147" s="81"/>
      <c r="U147" s="81"/>
      <c r="V147" s="81"/>
      <c r="W147" s="87"/>
      <c r="X147" s="17"/>
    </row>
    <row r="148" spans="1:24">
      <c r="A148" s="6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7"/>
      <c r="X148" s="17"/>
    </row>
    <row r="149" spans="1:24">
      <c r="A149" s="6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1"/>
      <c r="O149" s="81"/>
      <c r="P149" s="81"/>
      <c r="Q149" s="81"/>
      <c r="R149" s="81"/>
      <c r="S149" s="81"/>
      <c r="T149" s="81"/>
      <c r="U149" s="81"/>
      <c r="V149" s="81"/>
      <c r="W149" s="87"/>
      <c r="X149" s="17"/>
    </row>
    <row r="150" spans="1:24">
      <c r="A150" s="6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1"/>
      <c r="O150" s="81"/>
      <c r="P150" s="81"/>
      <c r="Q150" s="81"/>
      <c r="R150" s="81"/>
      <c r="S150" s="81"/>
      <c r="T150" s="81"/>
      <c r="U150" s="81"/>
      <c r="V150" s="81"/>
      <c r="W150" s="87"/>
      <c r="X150" s="17"/>
    </row>
    <row r="151" spans="1:24">
      <c r="A151" s="6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1"/>
      <c r="O151" s="81"/>
      <c r="P151" s="81"/>
      <c r="Q151" s="81"/>
      <c r="R151" s="81"/>
      <c r="S151" s="81"/>
      <c r="T151" s="81"/>
      <c r="U151" s="81"/>
      <c r="V151" s="81"/>
      <c r="W151" s="87"/>
      <c r="X151" s="17"/>
    </row>
    <row r="152" spans="1:24">
      <c r="A152" s="6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1"/>
      <c r="O152" s="81"/>
      <c r="P152" s="81"/>
      <c r="Q152" s="81"/>
      <c r="R152" s="81"/>
      <c r="S152" s="81"/>
      <c r="T152" s="81"/>
      <c r="U152" s="81"/>
      <c r="V152" s="81"/>
      <c r="W152" s="87"/>
      <c r="X152" s="17"/>
    </row>
    <row r="153" spans="1:24">
      <c r="A153" s="6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1"/>
      <c r="O153" s="81"/>
      <c r="P153" s="81"/>
      <c r="Q153" s="81"/>
      <c r="R153" s="81"/>
      <c r="S153" s="81"/>
      <c r="T153" s="81"/>
      <c r="U153" s="81"/>
      <c r="V153" s="81"/>
      <c r="W153" s="87"/>
      <c r="X153" s="17"/>
    </row>
    <row r="154" spans="1:24">
      <c r="A154" s="6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1"/>
      <c r="O154" s="81"/>
      <c r="P154" s="81"/>
      <c r="Q154" s="81"/>
      <c r="R154" s="81"/>
      <c r="S154" s="81"/>
      <c r="T154" s="81"/>
      <c r="U154" s="81"/>
      <c r="V154" s="81"/>
      <c r="W154" s="87"/>
      <c r="X154" s="17"/>
    </row>
    <row r="155" spans="1:24">
      <c r="A155" s="6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1"/>
      <c r="O155" s="81"/>
      <c r="P155" s="81"/>
      <c r="Q155" s="81"/>
      <c r="R155" s="81"/>
      <c r="S155" s="81"/>
      <c r="T155" s="81"/>
      <c r="U155" s="81"/>
      <c r="V155" s="81"/>
      <c r="W155" s="87"/>
      <c r="X155" s="17"/>
    </row>
    <row r="156" spans="1:24">
      <c r="A156" s="6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81"/>
      <c r="P156" s="81"/>
      <c r="Q156" s="81"/>
      <c r="R156" s="81"/>
      <c r="S156" s="81"/>
      <c r="T156" s="81"/>
      <c r="U156" s="81"/>
      <c r="V156" s="81"/>
      <c r="W156" s="87"/>
      <c r="X156" s="17"/>
    </row>
    <row r="157" spans="1:24">
      <c r="A157" s="6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81"/>
      <c r="P157" s="81"/>
      <c r="Q157" s="81"/>
      <c r="R157" s="81"/>
      <c r="S157" s="81"/>
      <c r="T157" s="81"/>
      <c r="U157" s="81"/>
      <c r="V157" s="81"/>
      <c r="W157" s="87"/>
      <c r="X157" s="17"/>
    </row>
    <row r="158" spans="1:24">
      <c r="A158" s="6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1"/>
      <c r="O158" s="81"/>
      <c r="P158" s="81"/>
      <c r="Q158" s="81"/>
      <c r="R158" s="81"/>
      <c r="S158" s="81"/>
      <c r="T158" s="81"/>
      <c r="U158" s="81"/>
      <c r="V158" s="81"/>
      <c r="W158" s="87"/>
      <c r="X158" s="17"/>
    </row>
    <row r="159" spans="1:24">
      <c r="A159" s="6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81"/>
      <c r="P159" s="81"/>
      <c r="Q159" s="81"/>
      <c r="R159" s="81"/>
      <c r="S159" s="81"/>
      <c r="T159" s="81"/>
      <c r="U159" s="81"/>
      <c r="V159" s="81"/>
      <c r="W159" s="87"/>
      <c r="X159" s="17"/>
    </row>
    <row r="160" spans="1:24">
      <c r="A160" s="6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81"/>
      <c r="P160" s="81"/>
      <c r="Q160" s="81"/>
      <c r="R160" s="81"/>
      <c r="S160" s="81"/>
      <c r="T160" s="81"/>
      <c r="U160" s="81"/>
      <c r="V160" s="81"/>
      <c r="W160" s="87"/>
      <c r="X160" s="17"/>
    </row>
    <row r="161" spans="1:24">
      <c r="A161" s="6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81"/>
      <c r="P161" s="81"/>
      <c r="Q161" s="81"/>
      <c r="R161" s="81"/>
      <c r="S161" s="81"/>
      <c r="T161" s="81"/>
      <c r="U161" s="81"/>
      <c r="V161" s="81"/>
      <c r="W161" s="87"/>
      <c r="X161" s="17"/>
    </row>
    <row r="162" spans="1:24">
      <c r="A162" s="6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1"/>
      <c r="O162" s="81"/>
      <c r="P162" s="81"/>
      <c r="Q162" s="81"/>
      <c r="R162" s="81"/>
      <c r="S162" s="81"/>
      <c r="T162" s="81"/>
      <c r="U162" s="81"/>
      <c r="V162" s="81"/>
      <c r="W162" s="87"/>
      <c r="X162" s="17"/>
    </row>
    <row r="163" spans="1:24">
      <c r="A163" s="6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1"/>
      <c r="O163" s="81"/>
      <c r="P163" s="81"/>
      <c r="Q163" s="81"/>
      <c r="R163" s="81"/>
      <c r="S163" s="81"/>
      <c r="T163" s="81"/>
      <c r="U163" s="81"/>
      <c r="V163" s="81"/>
      <c r="W163" s="87"/>
      <c r="X163" s="17"/>
    </row>
    <row r="164" spans="1:24">
      <c r="A164" s="6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7"/>
      <c r="X164" s="17"/>
    </row>
    <row r="165" spans="1:24">
      <c r="A165" s="6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7"/>
      <c r="X165" s="17"/>
    </row>
    <row r="166" spans="1:24">
      <c r="A166" s="6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7"/>
      <c r="X166" s="17"/>
    </row>
    <row r="167" spans="1:24">
      <c r="A167" s="6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7"/>
      <c r="X167" s="17"/>
    </row>
    <row r="168" spans="1:24">
      <c r="A168" s="6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7"/>
      <c r="X168" s="17"/>
    </row>
    <row r="169" spans="1:24">
      <c r="A169" s="6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7"/>
      <c r="X169" s="17"/>
    </row>
    <row r="170" spans="1:24">
      <c r="A170" s="6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7"/>
      <c r="X170" s="17"/>
    </row>
    <row r="171" spans="1:24">
      <c r="A171" s="6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7"/>
      <c r="X171" s="17"/>
    </row>
    <row r="172" spans="1:24">
      <c r="A172" s="6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7"/>
      <c r="X172" s="17"/>
    </row>
    <row r="173" spans="1:24">
      <c r="A173" s="6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1"/>
      <c r="W173" s="87"/>
      <c r="X173" s="17"/>
    </row>
    <row r="174" spans="1:24">
      <c r="A174" s="6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1"/>
      <c r="W174" s="87"/>
      <c r="X174" s="17"/>
    </row>
    <row r="175" spans="1:24">
      <c r="A175" s="6"/>
      <c r="B175" s="81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1"/>
      <c r="W175" s="87"/>
      <c r="X175" s="17"/>
    </row>
    <row r="176" spans="1:24">
      <c r="A176" s="6"/>
      <c r="B176" s="81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1"/>
      <c r="W176" s="87"/>
      <c r="X176" s="17"/>
    </row>
    <row r="177" spans="1:24">
      <c r="A177" s="6"/>
      <c r="B177" s="81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1"/>
      <c r="W177" s="87"/>
      <c r="X177" s="17"/>
    </row>
    <row r="178" spans="1:24">
      <c r="A178" s="6"/>
      <c r="B178" s="81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1"/>
      <c r="W178" s="87"/>
      <c r="X178" s="17"/>
    </row>
    <row r="179" spans="1:24">
      <c r="A179" s="6"/>
      <c r="B179" s="81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1"/>
      <c r="W179" s="87"/>
      <c r="X179" s="17"/>
    </row>
    <row r="180" spans="1:24">
      <c r="A180" s="6"/>
      <c r="B180" s="81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1"/>
      <c r="W180" s="87"/>
      <c r="X180" s="17"/>
    </row>
    <row r="181" spans="1:24">
      <c r="A181" s="6"/>
      <c r="B181" s="81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1"/>
      <c r="W181" s="87"/>
      <c r="X181" s="17"/>
    </row>
    <row r="182" spans="1:24">
      <c r="A182" s="6"/>
      <c r="B182" s="81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1"/>
      <c r="W182" s="87"/>
      <c r="X182" s="17"/>
    </row>
    <row r="183" spans="1:24">
      <c r="A183" s="6"/>
      <c r="B183" s="81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/>
      <c r="Q183" s="81"/>
      <c r="R183" s="81"/>
      <c r="S183" s="81"/>
      <c r="T183" s="81"/>
      <c r="U183" s="81"/>
      <c r="V183" s="81"/>
      <c r="W183" s="87"/>
      <c r="X183" s="17"/>
    </row>
    <row r="184" spans="1:24">
      <c r="A184" s="6"/>
      <c r="B184" s="81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81"/>
      <c r="S184" s="81"/>
      <c r="T184" s="81"/>
      <c r="U184" s="81"/>
      <c r="V184" s="81"/>
      <c r="W184" s="87"/>
      <c r="X184" s="17"/>
    </row>
    <row r="185" spans="1:24">
      <c r="A185" s="6"/>
      <c r="B185" s="81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/>
      <c r="Q185" s="81"/>
      <c r="R185" s="81"/>
      <c r="S185" s="81"/>
      <c r="T185" s="81"/>
      <c r="U185" s="81"/>
      <c r="V185" s="81"/>
      <c r="W185" s="87"/>
      <c r="X185" s="17"/>
    </row>
    <row r="186" spans="1:24">
      <c r="A186" s="6"/>
      <c r="B186" s="81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81"/>
      <c r="R186" s="81"/>
      <c r="S186" s="81"/>
      <c r="T186" s="81"/>
      <c r="U186" s="81"/>
      <c r="V186" s="81"/>
      <c r="W186" s="87"/>
      <c r="X186" s="17"/>
    </row>
    <row r="187" spans="1:24">
      <c r="A187" s="6"/>
      <c r="B187" s="81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81"/>
      <c r="N187" s="81"/>
      <c r="O187" s="81"/>
      <c r="P187" s="81"/>
      <c r="Q187" s="81"/>
      <c r="R187" s="81"/>
      <c r="S187" s="81"/>
      <c r="T187" s="81"/>
      <c r="U187" s="81"/>
      <c r="V187" s="81"/>
      <c r="W187" s="87"/>
      <c r="X187" s="17"/>
    </row>
    <row r="188" spans="1:24">
      <c r="A188" s="6"/>
      <c r="B188" s="81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81"/>
      <c r="N188" s="81"/>
      <c r="O188" s="81"/>
      <c r="P188" s="81"/>
      <c r="Q188" s="81"/>
      <c r="R188" s="81"/>
      <c r="S188" s="81"/>
      <c r="T188" s="81"/>
      <c r="U188" s="81"/>
      <c r="V188" s="81"/>
      <c r="W188" s="87"/>
      <c r="X188" s="17"/>
    </row>
    <row r="189" spans="1:24">
      <c r="A189" s="6"/>
      <c r="B189" s="81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81"/>
      <c r="N189" s="81"/>
      <c r="O189" s="81"/>
      <c r="P189" s="81"/>
      <c r="Q189" s="81"/>
      <c r="R189" s="81"/>
      <c r="S189" s="81"/>
      <c r="T189" s="81"/>
      <c r="U189" s="81"/>
      <c r="V189" s="81"/>
      <c r="W189" s="87"/>
      <c r="X189" s="17"/>
    </row>
    <row r="190" spans="1:24">
      <c r="A190" s="6"/>
      <c r="B190" s="81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81"/>
      <c r="N190" s="81"/>
      <c r="O190" s="81"/>
      <c r="P190" s="81"/>
      <c r="Q190" s="81"/>
      <c r="R190" s="81"/>
      <c r="S190" s="81"/>
      <c r="T190" s="81"/>
      <c r="U190" s="81"/>
      <c r="V190" s="81"/>
      <c r="W190" s="87"/>
      <c r="X190" s="17"/>
    </row>
    <row r="191" spans="1:24">
      <c r="A191" s="6"/>
      <c r="B191" s="81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81"/>
      <c r="N191" s="81"/>
      <c r="O191" s="81"/>
      <c r="P191" s="81"/>
      <c r="Q191" s="81"/>
      <c r="R191" s="81"/>
      <c r="S191" s="81"/>
      <c r="T191" s="81"/>
      <c r="U191" s="81"/>
      <c r="V191" s="81"/>
      <c r="W191" s="87"/>
      <c r="X191" s="17"/>
    </row>
    <row r="192" spans="1:24">
      <c r="A192" s="6"/>
      <c r="B192" s="81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81"/>
      <c r="N192" s="81"/>
      <c r="O192" s="81"/>
      <c r="P192" s="81"/>
      <c r="Q192" s="81"/>
      <c r="R192" s="81"/>
      <c r="S192" s="81"/>
      <c r="T192" s="81"/>
      <c r="U192" s="81"/>
      <c r="V192" s="81"/>
      <c r="W192" s="81"/>
      <c r="X192" s="17"/>
    </row>
    <row r="193" spans="1:24">
      <c r="A193" s="6"/>
      <c r="B193" s="81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81"/>
      <c r="N193" s="81"/>
      <c r="O193" s="81"/>
      <c r="P193" s="81"/>
      <c r="Q193" s="81"/>
      <c r="R193" s="81"/>
      <c r="S193" s="81"/>
      <c r="T193" s="81"/>
      <c r="U193" s="81"/>
      <c r="V193" s="81"/>
      <c r="W193" s="81"/>
      <c r="X193" s="17"/>
    </row>
    <row r="194" spans="1:24">
      <c r="A194" s="6"/>
      <c r="B194" s="81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81"/>
      <c r="N194" s="81"/>
      <c r="O194" s="81"/>
      <c r="P194" s="81"/>
      <c r="Q194" s="81"/>
      <c r="R194" s="81"/>
      <c r="S194" s="81"/>
      <c r="T194" s="81"/>
      <c r="U194" s="81"/>
      <c r="V194" s="81"/>
      <c r="W194" s="81"/>
      <c r="X194" s="17"/>
    </row>
    <row r="195" spans="1:24">
      <c r="A195" s="6"/>
      <c r="B195" s="81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81"/>
      <c r="N195" s="81"/>
      <c r="O195" s="81"/>
      <c r="P195" s="81"/>
      <c r="Q195" s="81"/>
      <c r="R195" s="81"/>
      <c r="S195" s="81"/>
      <c r="T195" s="81"/>
      <c r="U195" s="81"/>
      <c r="V195" s="81"/>
      <c r="W195" s="81"/>
      <c r="X195" s="17"/>
    </row>
    <row r="196" spans="1:24">
      <c r="A196" s="6"/>
      <c r="B196" s="81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81"/>
      <c r="N196" s="81"/>
      <c r="O196" s="81"/>
      <c r="P196" s="81"/>
      <c r="Q196" s="81"/>
      <c r="R196" s="81"/>
      <c r="S196" s="81"/>
      <c r="T196" s="81"/>
      <c r="U196" s="81"/>
      <c r="V196" s="81"/>
      <c r="W196" s="81"/>
      <c r="X196" s="17"/>
    </row>
    <row r="197" spans="1:24">
      <c r="A197" s="6"/>
      <c r="B197" s="81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81"/>
      <c r="N197" s="81"/>
      <c r="O197" s="81"/>
      <c r="P197" s="81"/>
      <c r="Q197" s="81"/>
      <c r="R197" s="81"/>
      <c r="S197" s="81"/>
      <c r="T197" s="81"/>
      <c r="U197" s="81"/>
      <c r="V197" s="81"/>
      <c r="W197" s="81"/>
      <c r="X197" s="17"/>
    </row>
    <row r="198" spans="1:24">
      <c r="A198" s="6"/>
      <c r="B198" s="81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81"/>
      <c r="N198" s="81"/>
      <c r="O198" s="81"/>
      <c r="P198" s="81"/>
      <c r="Q198" s="81"/>
      <c r="R198" s="81"/>
      <c r="S198" s="81"/>
      <c r="T198" s="81"/>
      <c r="U198" s="81"/>
      <c r="V198" s="81"/>
      <c r="W198" s="81"/>
      <c r="X198" s="17"/>
    </row>
    <row r="199" spans="1:24">
      <c r="A199" s="6"/>
      <c r="B199" s="81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17"/>
    </row>
    <row r="200" spans="1:24">
      <c r="A200" s="6"/>
      <c r="B200" s="81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81"/>
      <c r="N200" s="81"/>
      <c r="O200" s="81"/>
      <c r="P200" s="81"/>
      <c r="Q200" s="81"/>
      <c r="R200" s="81"/>
      <c r="S200" s="81"/>
      <c r="T200" s="81"/>
      <c r="U200" s="81"/>
      <c r="V200" s="81"/>
      <c r="W200" s="81"/>
      <c r="X200" s="17"/>
    </row>
    <row r="201" spans="1:24">
      <c r="A201" s="6"/>
      <c r="B201" s="81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81"/>
      <c r="P201" s="81"/>
      <c r="Q201" s="81"/>
      <c r="R201" s="81"/>
      <c r="S201" s="81"/>
      <c r="T201" s="81"/>
      <c r="U201" s="81"/>
      <c r="V201" s="81"/>
      <c r="W201" s="81"/>
      <c r="X201" s="17"/>
    </row>
    <row r="202" spans="1:24">
      <c r="A202" s="6"/>
      <c r="B202" s="81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81"/>
      <c r="N202" s="81"/>
      <c r="O202" s="81"/>
      <c r="P202" s="81"/>
      <c r="Q202" s="81"/>
      <c r="R202" s="81"/>
      <c r="S202" s="81"/>
      <c r="T202" s="81"/>
      <c r="U202" s="81"/>
      <c r="V202" s="81"/>
      <c r="W202" s="81"/>
      <c r="X202" s="17"/>
    </row>
    <row r="203" spans="1:24">
      <c r="A203" s="6"/>
      <c r="B203" s="81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81"/>
      <c r="N203" s="81"/>
      <c r="O203" s="81"/>
      <c r="P203" s="81"/>
      <c r="Q203" s="81"/>
      <c r="R203" s="81"/>
      <c r="S203" s="81"/>
      <c r="T203" s="81"/>
      <c r="U203" s="81"/>
      <c r="V203" s="81"/>
      <c r="W203" s="81"/>
      <c r="X203" s="17"/>
    </row>
    <row r="204" spans="1:24">
      <c r="A204" s="6"/>
      <c r="B204" s="81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81"/>
      <c r="N204" s="81"/>
      <c r="O204" s="81"/>
      <c r="P204" s="81"/>
      <c r="Q204" s="81"/>
      <c r="R204" s="81"/>
      <c r="S204" s="81"/>
      <c r="T204" s="81"/>
      <c r="U204" s="81"/>
      <c r="V204" s="81"/>
      <c r="W204" s="81"/>
      <c r="X204" s="17"/>
    </row>
    <row r="205" spans="1:24">
      <c r="A205" s="6"/>
      <c r="B205" s="81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81"/>
      <c r="N205" s="81"/>
      <c r="O205" s="81"/>
      <c r="P205" s="81"/>
      <c r="Q205" s="81"/>
      <c r="R205" s="81"/>
      <c r="S205" s="81"/>
      <c r="T205" s="81"/>
      <c r="U205" s="81"/>
      <c r="V205" s="81"/>
      <c r="W205" s="81"/>
      <c r="X205" s="17"/>
    </row>
    <row r="206" spans="1:24">
      <c r="A206" s="6"/>
      <c r="B206" s="81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81"/>
      <c r="N206" s="81"/>
      <c r="O206" s="81"/>
      <c r="P206" s="81"/>
      <c r="Q206" s="81"/>
      <c r="R206" s="81"/>
      <c r="S206" s="81"/>
      <c r="T206" s="81"/>
      <c r="U206" s="81"/>
      <c r="V206" s="81"/>
      <c r="W206" s="81"/>
      <c r="X206" s="17"/>
    </row>
    <row r="207" spans="1:24">
      <c r="A207" s="6"/>
      <c r="B207" s="81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17"/>
    </row>
    <row r="208" spans="1:24">
      <c r="A208" s="6"/>
      <c r="B208" s="81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81"/>
      <c r="N208" s="81"/>
      <c r="O208" s="81"/>
      <c r="P208" s="81"/>
      <c r="Q208" s="81"/>
      <c r="R208" s="81"/>
      <c r="S208" s="81"/>
      <c r="T208" s="81"/>
      <c r="U208" s="81"/>
      <c r="V208" s="81"/>
      <c r="W208" s="81"/>
      <c r="X208" s="17"/>
    </row>
    <row r="209" spans="1:24">
      <c r="A209" s="6"/>
      <c r="B209" s="81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81"/>
      <c r="N209" s="81"/>
      <c r="O209" s="81"/>
      <c r="P209" s="81"/>
      <c r="Q209" s="81"/>
      <c r="R209" s="81"/>
      <c r="S209" s="81"/>
      <c r="T209" s="81"/>
      <c r="U209" s="81"/>
      <c r="V209" s="81"/>
      <c r="W209" s="81"/>
      <c r="X209" s="17"/>
    </row>
    <row r="210" spans="1:24">
      <c r="A210" s="6"/>
      <c r="B210" s="81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1"/>
      <c r="W210" s="81"/>
      <c r="X210" s="17"/>
    </row>
    <row r="211" spans="1:24">
      <c r="A211" s="6"/>
      <c r="B211" s="81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1"/>
      <c r="W211" s="81"/>
      <c r="X211" s="17"/>
    </row>
    <row r="212" spans="1:24">
      <c r="A212" s="6"/>
      <c r="B212" s="81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17"/>
    </row>
    <row r="213" spans="1:24">
      <c r="A213" s="6"/>
      <c r="B213" s="81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17"/>
    </row>
    <row r="214" spans="1:24">
      <c r="A214" s="6"/>
      <c r="B214" s="81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17"/>
    </row>
    <row r="215" spans="1:24">
      <c r="A215" s="6"/>
      <c r="B215" s="81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17"/>
    </row>
    <row r="216" spans="1:24">
      <c r="A216" s="6"/>
      <c r="B216" s="81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17"/>
    </row>
    <row r="217" spans="1:24">
      <c r="A217" s="6"/>
      <c r="B217" s="81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17"/>
    </row>
    <row r="218" spans="1:24">
      <c r="A218" s="6"/>
      <c r="B218" s="81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17"/>
    </row>
    <row r="219" spans="1:24">
      <c r="A219" s="6"/>
      <c r="B219" s="81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17"/>
    </row>
    <row r="220" spans="1:24">
      <c r="A220" s="6"/>
      <c r="B220" s="81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17"/>
    </row>
    <row r="221" spans="1:24">
      <c r="A221" s="6"/>
      <c r="B221" s="81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17"/>
    </row>
    <row r="222" spans="1:24">
      <c r="A222" s="6"/>
      <c r="B222" s="81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17"/>
    </row>
    <row r="223" spans="1:24">
      <c r="A223" s="6"/>
      <c r="B223" s="81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17"/>
    </row>
    <row r="224" spans="1:24">
      <c r="A224" s="6"/>
      <c r="B224" s="81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1"/>
      <c r="W224" s="81"/>
      <c r="X224" s="17"/>
    </row>
    <row r="225" spans="1:24">
      <c r="A225" s="6"/>
      <c r="B225" s="81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1"/>
      <c r="W225" s="81"/>
      <c r="X225" s="17"/>
    </row>
    <row r="226" spans="1:24">
      <c r="A226" s="6"/>
      <c r="B226" s="81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17"/>
    </row>
    <row r="227" spans="1:24">
      <c r="A227" s="6"/>
      <c r="B227" s="81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17"/>
    </row>
    <row r="228" spans="1:24">
      <c r="A228" s="6"/>
      <c r="B228" s="81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17"/>
    </row>
    <row r="229" spans="1:24">
      <c r="A229" s="6"/>
      <c r="B229" s="81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17"/>
    </row>
    <row r="230" spans="1:24">
      <c r="A230" s="6"/>
      <c r="B230" s="81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17"/>
    </row>
    <row r="231" spans="1:2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</row>
    <row r="232" spans="1:2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</row>
    <row r="233" spans="1:2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</row>
    <row r="234" spans="1:2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</row>
    <row r="235" spans="1:2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</row>
    <row r="236" spans="1:2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</row>
    <row r="237" spans="1:2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</row>
    <row r="238" spans="1:2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</row>
    <row r="239" spans="1:2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</row>
    <row r="240" spans="1:2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</row>
    <row r="241" spans="1:2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</row>
    <row r="242" spans="1:2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</row>
    <row r="243" spans="1:2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</row>
    <row r="244" spans="1:2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</row>
    <row r="245" spans="1:2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</row>
    <row r="246" spans="1:2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</row>
    <row r="247" spans="1:2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</row>
    <row r="248" spans="1:2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</row>
    <row r="249" spans="1:2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</row>
    <row r="250" spans="1:2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</row>
    <row r="251" spans="1:2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</row>
    <row r="252" spans="1:2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</row>
    <row r="253" spans="1:2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</row>
    <row r="254" spans="1:2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</row>
    <row r="255" spans="1:2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</row>
    <row r="256" spans="1:2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</row>
    <row r="257" spans="1:2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</row>
    <row r="258" spans="1:2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</row>
    <row r="259" spans="1:2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</row>
    <row r="260" spans="1:2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</row>
    <row r="261" spans="1:2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</row>
    <row r="262" spans="1:2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</row>
    <row r="263" spans="1:2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</row>
    <row r="264" spans="1:2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</row>
    <row r="265" spans="1:2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</row>
    <row r="266" spans="1:2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</row>
    <row r="267" spans="1:2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</row>
    <row r="268" spans="1:2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</row>
    <row r="269" spans="1:2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</row>
    <row r="270" spans="1:2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</row>
    <row r="271" spans="1:2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</row>
    <row r="272" spans="1:2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</row>
    <row r="273" spans="1:2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</row>
    <row r="274" spans="1:2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</row>
    <row r="275" spans="1:2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</row>
    <row r="276" spans="1:2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</row>
    <row r="277" spans="1:2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</row>
    <row r="278" spans="1:2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</row>
    <row r="279" spans="1:2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</row>
    <row r="280" spans="1:2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</row>
    <row r="281" spans="1:2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</row>
    <row r="282" spans="1:2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</row>
    <row r="283" spans="1:2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</row>
    <row r="284" spans="1:2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</row>
    <row r="285" spans="1:2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</row>
    <row r="286" spans="1:2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</row>
    <row r="287" spans="1:2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</row>
    <row r="288" spans="1:2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</row>
    <row r="289" spans="1:2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</row>
    <row r="290" spans="1:2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</row>
    <row r="291" spans="1:2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</row>
    <row r="292" spans="1:2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</row>
    <row r="293" spans="1:2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</row>
    <row r="294" spans="1:2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</row>
    <row r="295" spans="1:2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</row>
    <row r="296" spans="1:2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</row>
    <row r="297" spans="1:2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</row>
    <row r="298" spans="1:2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</row>
    <row r="299" spans="1:2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</row>
    <row r="300" spans="1:2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</row>
    <row r="301" spans="1:2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</row>
    <row r="302" spans="1:2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</row>
    <row r="303" spans="1:2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</row>
    <row r="304" spans="1:2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</row>
    <row r="305" spans="1:2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</row>
    <row r="306" spans="1:2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</row>
    <row r="307" spans="1:2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</row>
    <row r="308" spans="1:2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</row>
    <row r="309" spans="1:2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</row>
    <row r="310" spans="1:2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</row>
    <row r="311" spans="1:2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</row>
    <row r="312" spans="1:2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</row>
    <row r="313" spans="1:2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</row>
    <row r="314" spans="1:2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</row>
    <row r="315" spans="1:2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</row>
    <row r="316" spans="1:2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</row>
    <row r="317" spans="1:2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</row>
    <row r="318" spans="1:2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</row>
    <row r="319" spans="1:2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</row>
    <row r="320" spans="1:2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</row>
    <row r="321" spans="1:2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</row>
    <row r="322" spans="1:2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</row>
    <row r="323" spans="1:2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</row>
    <row r="324" spans="1:2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</row>
    <row r="325" spans="1:2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</row>
    <row r="326" spans="1:2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</row>
    <row r="327" spans="1:2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</row>
    <row r="328" spans="1:2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</row>
    <row r="329" spans="1:2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</row>
    <row r="330" spans="1:2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</row>
    <row r="331" spans="1:2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</row>
    <row r="332" spans="1:2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</row>
    <row r="333" spans="1:2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</row>
    <row r="334" spans="1:2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</row>
    <row r="335" spans="1:2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</row>
    <row r="336" spans="1:2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</row>
    <row r="337" spans="1:2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</row>
    <row r="338" spans="1:2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</row>
    <row r="339" spans="1:2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</row>
    <row r="340" spans="1:2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</row>
    <row r="341" spans="1:2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</row>
    <row r="342" spans="1:2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</row>
    <row r="343" spans="1:2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</row>
    <row r="344" spans="1:2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</row>
    <row r="345" spans="1:2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</row>
    <row r="346" spans="1:2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</row>
    <row r="347" spans="1:2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</row>
    <row r="348" spans="1:2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</row>
    <row r="349" spans="1:2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</row>
    <row r="350" spans="1:2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</row>
    <row r="351" spans="1:2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</row>
    <row r="352" spans="1:2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</row>
    <row r="353" spans="1:2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</row>
    <row r="354" spans="1:2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</row>
    <row r="355" spans="1:2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</row>
    <row r="356" spans="1:2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</row>
    <row r="357" spans="1:2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</row>
    <row r="358" spans="1:2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</row>
    <row r="359" spans="1:2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</row>
    <row r="360" spans="1:2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</row>
    <row r="361" spans="1:2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</row>
    <row r="362" spans="1:2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</row>
    <row r="363" spans="1:2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</row>
    <row r="364" spans="1:2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</row>
    <row r="365" spans="1:2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</row>
    <row r="366" spans="1:2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</row>
    <row r="367" spans="1:2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</row>
    <row r="368" spans="1:2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</row>
    <row r="369" spans="1:2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</row>
    <row r="370" spans="1:2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</row>
    <row r="371" spans="1:2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</row>
    <row r="372" spans="1:2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</row>
    <row r="373" spans="1:2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</row>
    <row r="374" spans="1:2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</row>
    <row r="375" spans="1:2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</row>
    <row r="376" spans="1:2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</row>
    <row r="377" spans="1:2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</row>
    <row r="378" spans="1:2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</row>
    <row r="379" spans="1:2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</row>
    <row r="380" spans="1:2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</row>
    <row r="381" spans="1:2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</row>
    <row r="382" spans="1:2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</row>
    <row r="383" spans="1:2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</row>
    <row r="384" spans="1:2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</row>
    <row r="385" spans="1:2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</row>
    <row r="386" spans="1:2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</row>
    <row r="387" spans="1:2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</row>
    <row r="388" spans="1:2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</row>
    <row r="389" spans="1:2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</row>
    <row r="390" spans="1:2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</row>
    <row r="391" spans="1:2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</row>
    <row r="392" spans="1:2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</row>
    <row r="393" spans="1:2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</row>
    <row r="394" spans="1:2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</row>
    <row r="395" spans="1:2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</row>
    <row r="396" spans="1:2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</row>
    <row r="397" spans="1:2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</row>
    <row r="398" spans="1:2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</row>
    <row r="399" spans="1:2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</row>
    <row r="400" spans="1:2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</row>
    <row r="401" spans="1:2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</row>
    <row r="402" spans="1:2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</row>
    <row r="403" spans="1:2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</row>
    <row r="404" spans="1:2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</row>
    <row r="405" spans="1:2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</row>
    <row r="406" spans="1:2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</row>
    <row r="407" spans="1:2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</row>
    <row r="408" spans="1:2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</row>
    <row r="409" spans="1:2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</row>
    <row r="410" spans="1:2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</row>
    <row r="411" spans="1:2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</row>
    <row r="412" spans="1:2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</row>
    <row r="413" spans="1:2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</row>
    <row r="414" spans="1:2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</row>
    <row r="415" spans="1:2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</row>
    <row r="416" spans="1:2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</row>
    <row r="417" spans="1:2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</row>
    <row r="418" spans="1:2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</row>
    <row r="419" spans="1:2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</row>
    <row r="420" spans="1:2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</row>
    <row r="421" spans="1:2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</row>
    <row r="422" spans="1:2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</row>
    <row r="423" spans="1:2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</row>
    <row r="424" spans="1:2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</row>
    <row r="425" spans="1:2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</row>
    <row r="426" spans="1:2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</row>
    <row r="427" spans="1:2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</row>
    <row r="428" spans="1:2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</row>
    <row r="429" spans="1:2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</row>
    <row r="430" spans="1:2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</row>
    <row r="431" spans="1:2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</row>
    <row r="432" spans="1:2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</row>
    <row r="433" spans="1:2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</row>
    <row r="434" spans="1:2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</row>
    <row r="435" spans="1:2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</row>
    <row r="436" spans="1:2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</row>
    <row r="437" spans="1:2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</row>
    <row r="438" spans="1:2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</row>
    <row r="439" spans="1:2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</row>
    <row r="440" spans="1:2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</row>
    <row r="441" spans="1:2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</row>
    <row r="442" spans="1:2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</row>
    <row r="443" spans="1:2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</row>
    <row r="444" spans="1:2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</row>
    <row r="445" spans="1:2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</row>
    <row r="446" spans="1:2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</row>
    <row r="447" spans="1:2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</row>
    <row r="448" spans="1:2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</row>
    <row r="449" spans="1:2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</row>
    <row r="450" spans="1:2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</row>
    <row r="451" spans="1:2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</row>
    <row r="452" spans="1:2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</row>
    <row r="453" spans="1:2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</row>
    <row r="454" spans="1:2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</row>
    <row r="455" spans="1:2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</row>
    <row r="456" spans="1:2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Sheet100">
    <tabColor rgb="FFFF0000"/>
  </sheetPr>
  <dimension ref="A5:Z241"/>
  <sheetViews>
    <sheetView topLeftCell="F1" workbookViewId="0">
      <selection activeCell="A6" sqref="A6"/>
    </sheetView>
  </sheetViews>
  <sheetFormatPr baseColWidth="10" defaultColWidth="8.7109375" defaultRowHeight="15"/>
  <cols>
    <col min="1" max="24" width="12.7109375" style="1" customWidth="1"/>
    <col min="25" max="16384" width="8.7109375" style="1"/>
  </cols>
  <sheetData>
    <row r="5" spans="1:24" ht="16">
      <c r="A5" s="4"/>
      <c r="B5" s="4"/>
      <c r="H5" s="4"/>
      <c r="I5" s="4"/>
      <c r="J5" s="51" t="s">
        <v>872</v>
      </c>
      <c r="K5" s="4"/>
      <c r="L5" s="4"/>
    </row>
    <row r="6" spans="1:24" ht="16">
      <c r="A6" s="4"/>
      <c r="B6" s="4"/>
      <c r="H6" s="5" t="s">
        <v>664</v>
      </c>
      <c r="I6" s="5"/>
      <c r="J6" s="5"/>
      <c r="K6" s="5"/>
      <c r="L6" s="5"/>
      <c r="M6" s="1" t="s">
        <v>843</v>
      </c>
      <c r="O6" s="22">
        <f>O87*'AD8'!O45/'AD8'!O125</f>
        <v>3517482.0101661105</v>
      </c>
    </row>
    <row r="7" spans="1:24">
      <c r="J7" s="6" t="s">
        <v>842</v>
      </c>
    </row>
    <row r="8" spans="1:24">
      <c r="I8" s="6"/>
      <c r="J8" s="6" t="s">
        <v>659</v>
      </c>
      <c r="K8" s="6"/>
      <c r="L8" s="6"/>
    </row>
    <row r="9" spans="1:24">
      <c r="A9" s="6" t="s">
        <v>9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1:24">
      <c r="A10" s="6"/>
      <c r="B10" s="27" t="s">
        <v>665</v>
      </c>
      <c r="C10" s="27" t="s">
        <v>523</v>
      </c>
      <c r="D10" s="27" t="s">
        <v>523</v>
      </c>
      <c r="E10" s="27" t="s">
        <v>523</v>
      </c>
      <c r="F10" s="27" t="s">
        <v>523</v>
      </c>
      <c r="H10" s="6"/>
      <c r="I10" s="6"/>
      <c r="J10" s="6"/>
      <c r="K10" s="6"/>
      <c r="L10" s="6"/>
      <c r="N10" s="79">
        <v>0.22500000000000001</v>
      </c>
      <c r="O10" s="6"/>
      <c r="P10" s="6"/>
      <c r="Q10" s="6"/>
      <c r="R10" s="6" t="s">
        <v>67</v>
      </c>
      <c r="S10" s="6"/>
      <c r="T10" s="6"/>
      <c r="U10" s="6"/>
      <c r="V10" s="6" t="s">
        <v>67</v>
      </c>
      <c r="W10" s="6"/>
    </row>
    <row r="11" spans="1:24">
      <c r="A11" s="6" t="s">
        <v>3</v>
      </c>
      <c r="B11" s="27" t="s">
        <v>524</v>
      </c>
      <c r="C11" s="27" t="s">
        <v>524</v>
      </c>
      <c r="D11" s="27" t="s">
        <v>524</v>
      </c>
      <c r="E11" s="27" t="s">
        <v>528</v>
      </c>
      <c r="F11" s="27" t="s">
        <v>528</v>
      </c>
      <c r="G11" s="6" t="s">
        <v>14</v>
      </c>
      <c r="H11" s="6" t="s">
        <v>12</v>
      </c>
      <c r="I11" s="6" t="s">
        <v>14</v>
      </c>
      <c r="J11" s="6" t="s">
        <v>12</v>
      </c>
      <c r="K11" s="6" t="s">
        <v>14</v>
      </c>
      <c r="L11" s="6" t="s">
        <v>12</v>
      </c>
      <c r="M11" s="6" t="s">
        <v>381</v>
      </c>
      <c r="N11" s="6" t="s">
        <v>381</v>
      </c>
      <c r="O11" s="6" t="s">
        <v>381</v>
      </c>
      <c r="P11" s="6" t="s">
        <v>660</v>
      </c>
      <c r="Q11" s="6" t="s">
        <v>67</v>
      </c>
      <c r="R11" s="6" t="s">
        <v>662</v>
      </c>
      <c r="S11" s="6" t="s">
        <v>661</v>
      </c>
      <c r="T11" s="6" t="s">
        <v>661</v>
      </c>
      <c r="U11" s="6" t="s">
        <v>67</v>
      </c>
      <c r="V11" s="6" t="s">
        <v>663</v>
      </c>
      <c r="W11" s="6" t="s">
        <v>177</v>
      </c>
    </row>
    <row r="12" spans="1:24">
      <c r="A12" s="6" t="s">
        <v>4</v>
      </c>
      <c r="B12" s="28" t="s">
        <v>672</v>
      </c>
      <c r="C12" s="28" t="s">
        <v>671</v>
      </c>
      <c r="D12" s="28" t="s">
        <v>525</v>
      </c>
      <c r="E12" s="28" t="s">
        <v>671</v>
      </c>
      <c r="F12" s="28" t="s">
        <v>525</v>
      </c>
      <c r="G12" s="6" t="s">
        <v>0</v>
      </c>
      <c r="H12" s="6" t="s">
        <v>0</v>
      </c>
      <c r="I12" s="6" t="s">
        <v>566</v>
      </c>
      <c r="J12" s="6" t="s">
        <v>566</v>
      </c>
      <c r="K12" s="6" t="s">
        <v>567</v>
      </c>
      <c r="L12" s="6" t="s">
        <v>567</v>
      </c>
      <c r="M12" s="6" t="s">
        <v>566</v>
      </c>
      <c r="N12" s="6" t="s">
        <v>567</v>
      </c>
      <c r="O12" s="6" t="s">
        <v>0</v>
      </c>
      <c r="P12" s="6" t="s">
        <v>566</v>
      </c>
      <c r="Q12" s="6" t="s">
        <v>567</v>
      </c>
      <c r="R12" s="6" t="s">
        <v>0</v>
      </c>
      <c r="S12" s="6" t="s">
        <v>117</v>
      </c>
      <c r="T12" s="6" t="s">
        <v>14</v>
      </c>
      <c r="U12" s="6" t="s">
        <v>661</v>
      </c>
      <c r="V12" s="6" t="s">
        <v>0</v>
      </c>
      <c r="W12" s="6" t="s">
        <v>16</v>
      </c>
    </row>
    <row r="13" spans="1:24">
      <c r="A13" s="10">
        <v>-1</v>
      </c>
      <c r="B13" s="10">
        <f>A13-1</f>
        <v>-2</v>
      </c>
      <c r="C13" s="10">
        <f>B13-1</f>
        <v>-3</v>
      </c>
      <c r="D13" s="10">
        <f t="shared" ref="D13:W13" si="0">C13-1</f>
        <v>-4</v>
      </c>
      <c r="E13" s="10">
        <f t="shared" si="0"/>
        <v>-5</v>
      </c>
      <c r="F13" s="10">
        <f t="shared" si="0"/>
        <v>-6</v>
      </c>
      <c r="G13" s="10">
        <f t="shared" si="0"/>
        <v>-7</v>
      </c>
      <c r="H13" s="10">
        <f t="shared" si="0"/>
        <v>-8</v>
      </c>
      <c r="I13" s="10">
        <f t="shared" si="0"/>
        <v>-9</v>
      </c>
      <c r="J13" s="10">
        <f t="shared" si="0"/>
        <v>-10</v>
      </c>
      <c r="K13" s="10">
        <f t="shared" si="0"/>
        <v>-11</v>
      </c>
      <c r="L13" s="10">
        <f t="shared" si="0"/>
        <v>-12</v>
      </c>
      <c r="M13" s="10">
        <f>L13-1</f>
        <v>-13</v>
      </c>
      <c r="N13" s="10">
        <f t="shared" si="0"/>
        <v>-14</v>
      </c>
      <c r="O13" s="10">
        <f t="shared" si="0"/>
        <v>-15</v>
      </c>
      <c r="P13" s="10">
        <f t="shared" si="0"/>
        <v>-16</v>
      </c>
      <c r="Q13" s="10">
        <f t="shared" si="0"/>
        <v>-17</v>
      </c>
      <c r="R13" s="10">
        <f t="shared" si="0"/>
        <v>-18</v>
      </c>
      <c r="S13" s="10">
        <f t="shared" si="0"/>
        <v>-19</v>
      </c>
      <c r="T13" s="10">
        <f t="shared" si="0"/>
        <v>-20</v>
      </c>
      <c r="U13" s="10">
        <f t="shared" si="0"/>
        <v>-21</v>
      </c>
      <c r="V13" s="10">
        <f t="shared" si="0"/>
        <v>-22</v>
      </c>
      <c r="W13" s="10">
        <f t="shared" si="0"/>
        <v>-23</v>
      </c>
    </row>
    <row r="14" spans="1:24">
      <c r="A14" s="80"/>
      <c r="B14" s="80"/>
      <c r="C14" s="6"/>
      <c r="D14" s="6"/>
      <c r="E14" s="6"/>
      <c r="F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</row>
    <row r="15" spans="1:24">
      <c r="A15" s="6">
        <v>1992</v>
      </c>
      <c r="B15" s="81">
        <f>'Exhibit O,3'!Q16+'Exhibit N,3'!Q16+'Exhibit O,3'!AB16</f>
        <v>0</v>
      </c>
      <c r="C15" s="81">
        <f>'Exhibit O,3'!R16+'Exhibit N,3'!R16</f>
        <v>34673446.140000001</v>
      </c>
      <c r="D15" s="81">
        <f>'Exhibit O,3'!S16+'Exhibit N,3'!S16</f>
        <v>34673446.140000001</v>
      </c>
      <c r="E15" s="81">
        <f>'Exhibit O,3'!T16+'Exhibit N,3'!T16</f>
        <v>34673446.140000001</v>
      </c>
      <c r="F15" s="81">
        <f>'Exhibit O,3'!U16+'Exhibit N,3'!U16</f>
        <v>34673446.140000001</v>
      </c>
      <c r="G15" s="81">
        <f>C15+E15-B15</f>
        <v>69346892.280000001</v>
      </c>
      <c r="H15" s="81">
        <f>D15+F15-B15</f>
        <v>69346892.280000001</v>
      </c>
      <c r="I15" s="81">
        <f>C15-B15</f>
        <v>34673446.140000001</v>
      </c>
      <c r="J15" s="81">
        <f>D15-B15</f>
        <v>34673446.140000001</v>
      </c>
      <c r="K15" s="81">
        <f>E15</f>
        <v>34673446.140000001</v>
      </c>
      <c r="L15" s="81">
        <f>F15</f>
        <v>34673446.140000001</v>
      </c>
      <c r="M15" s="81">
        <f>O15*(1-N$10)</f>
        <v>0</v>
      </c>
      <c r="N15" s="81">
        <f>O15-M15</f>
        <v>0</v>
      </c>
      <c r="O15" s="81">
        <f>'AD8'!O15*('AD8'!O$45-O$6)/'AD8'!O$45</f>
        <v>0</v>
      </c>
      <c r="P15" s="81">
        <f>J15+M15</f>
        <v>34673446.140000001</v>
      </c>
      <c r="Q15" s="81">
        <f>L15+N15</f>
        <v>34673446.140000001</v>
      </c>
      <c r="R15" s="81">
        <f>P15+Q15</f>
        <v>69346892.280000001</v>
      </c>
      <c r="S15" s="81">
        <f>'AD8'!S15</f>
        <v>0</v>
      </c>
      <c r="T15" s="87">
        <v>0</v>
      </c>
      <c r="U15" s="81">
        <f>S15+T15</f>
        <v>0</v>
      </c>
      <c r="V15" s="81">
        <f>R15+U15</f>
        <v>69346892.280000001</v>
      </c>
      <c r="W15" s="81"/>
      <c r="X15" s="17"/>
    </row>
    <row r="16" spans="1:24">
      <c r="A16" s="6">
        <f>A15+1</f>
        <v>1993</v>
      </c>
      <c r="B16" s="81">
        <f>'Exhibit O,3'!Q17+'Exhibit N,3'!Q17+'Exhibit O,3'!AB17</f>
        <v>0</v>
      </c>
      <c r="C16" s="81">
        <f>'Exhibit O,3'!R17+'Exhibit N,3'!R17</f>
        <v>53054735.739999995</v>
      </c>
      <c r="D16" s="81">
        <f>'Exhibit O,3'!S17+'Exhibit N,3'!S17</f>
        <v>53054735.739999995</v>
      </c>
      <c r="E16" s="81">
        <f>'Exhibit O,3'!T17+'Exhibit N,3'!T17</f>
        <v>53054735.739999995</v>
      </c>
      <c r="F16" s="81">
        <f>'Exhibit O,3'!U17+'Exhibit N,3'!U17</f>
        <v>53054735.739999995</v>
      </c>
      <c r="G16" s="81">
        <f t="shared" ref="G16:G44" si="1">C16+E16-B16</f>
        <v>106109471.47999999</v>
      </c>
      <c r="H16" s="81">
        <f t="shared" ref="H16:H44" si="2">D16+F16-B16</f>
        <v>106109471.47999999</v>
      </c>
      <c r="I16" s="81">
        <f t="shared" ref="I16:I44" si="3">C16-B16</f>
        <v>53054735.739999995</v>
      </c>
      <c r="J16" s="81">
        <f t="shared" ref="J16:J44" si="4">D16-B16</f>
        <v>53054735.739999995</v>
      </c>
      <c r="K16" s="81">
        <f t="shared" ref="K16:L44" si="5">E16</f>
        <v>53054735.739999995</v>
      </c>
      <c r="L16" s="81">
        <f t="shared" si="5"/>
        <v>53054735.739999995</v>
      </c>
      <c r="M16" s="81">
        <f t="shared" ref="M16:M44" si="6">O16*(1-N$10)</f>
        <v>0</v>
      </c>
      <c r="N16" s="81">
        <f t="shared" ref="N16:N44" si="7">O16-M16</f>
        <v>0</v>
      </c>
      <c r="O16" s="81">
        <f>'AD8'!O16*('AD8'!O$45-O$6)/'AD8'!O$45</f>
        <v>0</v>
      </c>
      <c r="P16" s="81">
        <f t="shared" ref="P16:P44" si="8">J16+M16</f>
        <v>53054735.739999995</v>
      </c>
      <c r="Q16" s="81">
        <f t="shared" ref="Q16:Q44" si="9">L16+N16</f>
        <v>53054735.739999995</v>
      </c>
      <c r="R16" s="81">
        <f t="shared" ref="R16:R44" si="10">P16+Q16</f>
        <v>106109471.47999999</v>
      </c>
      <c r="S16" s="81">
        <f>'AD8'!S16</f>
        <v>0</v>
      </c>
      <c r="T16" s="87">
        <v>0</v>
      </c>
      <c r="U16" s="81">
        <f t="shared" ref="U16:U44" si="11">S16+T16</f>
        <v>0</v>
      </c>
      <c r="V16" s="81">
        <f t="shared" ref="V16:V44" si="12">R16+U16</f>
        <v>106109471.47999999</v>
      </c>
      <c r="W16" s="81"/>
      <c r="X16" s="17"/>
    </row>
    <row r="17" spans="1:26">
      <c r="A17" s="6">
        <f t="shared" ref="A17:A43" si="13">A16+1</f>
        <v>1994</v>
      </c>
      <c r="B17" s="81">
        <f>'Exhibit O,3'!Q18+'Exhibit N,3'!Q18+'Exhibit O,3'!AB18</f>
        <v>0</v>
      </c>
      <c r="C17" s="81">
        <f>'Exhibit O,3'!R18+'Exhibit N,3'!R18</f>
        <v>46655939.089999996</v>
      </c>
      <c r="D17" s="81">
        <f>'Exhibit O,3'!S18+'Exhibit N,3'!S18</f>
        <v>46655939.089999996</v>
      </c>
      <c r="E17" s="81">
        <f>'Exhibit O,3'!T18+'Exhibit N,3'!T18</f>
        <v>46655939.089999996</v>
      </c>
      <c r="F17" s="81">
        <f>'Exhibit O,3'!U18+'Exhibit N,3'!U18</f>
        <v>46655939.089999996</v>
      </c>
      <c r="G17" s="81">
        <f t="shared" si="1"/>
        <v>93311878.179999992</v>
      </c>
      <c r="H17" s="81">
        <f t="shared" si="2"/>
        <v>93311878.179999992</v>
      </c>
      <c r="I17" s="81">
        <f t="shared" si="3"/>
        <v>46655939.089999996</v>
      </c>
      <c r="J17" s="81">
        <f t="shared" si="4"/>
        <v>46655939.089999996</v>
      </c>
      <c r="K17" s="81">
        <f t="shared" si="5"/>
        <v>46655939.089999996</v>
      </c>
      <c r="L17" s="81">
        <f t="shared" si="5"/>
        <v>46655939.089999996</v>
      </c>
      <c r="M17" s="81">
        <f t="shared" si="6"/>
        <v>0</v>
      </c>
      <c r="N17" s="81">
        <f t="shared" si="7"/>
        <v>0</v>
      </c>
      <c r="O17" s="81">
        <f>'AD8'!O17*('AD8'!O$45-O$6)/'AD8'!O$45</f>
        <v>0</v>
      </c>
      <c r="P17" s="81">
        <f t="shared" si="8"/>
        <v>46655939.089999996</v>
      </c>
      <c r="Q17" s="81">
        <f t="shared" si="9"/>
        <v>46655939.089999996</v>
      </c>
      <c r="R17" s="81">
        <f t="shared" si="10"/>
        <v>93311878.179999992</v>
      </c>
      <c r="S17" s="81">
        <f>'AD8'!S17</f>
        <v>0</v>
      </c>
      <c r="T17" s="87">
        <v>0</v>
      </c>
      <c r="U17" s="81">
        <f t="shared" si="11"/>
        <v>0</v>
      </c>
      <c r="V17" s="81">
        <f t="shared" si="12"/>
        <v>93311878.179999992</v>
      </c>
      <c r="W17" s="81"/>
      <c r="X17" s="17"/>
    </row>
    <row r="18" spans="1:26">
      <c r="A18" s="6">
        <f t="shared" si="13"/>
        <v>1995</v>
      </c>
      <c r="B18" s="81">
        <f>'Exhibit O,3'!Q19+'Exhibit N,3'!Q19+'Exhibit O,3'!AB19</f>
        <v>0</v>
      </c>
      <c r="C18" s="81">
        <f>'Exhibit O,3'!R19+'Exhibit N,3'!R19</f>
        <v>36175371.239999995</v>
      </c>
      <c r="D18" s="81">
        <f>'Exhibit O,3'!S19+'Exhibit N,3'!S19</f>
        <v>36175371.239999995</v>
      </c>
      <c r="E18" s="81">
        <f>'Exhibit O,3'!T19+'Exhibit N,3'!T19</f>
        <v>36175371.239999995</v>
      </c>
      <c r="F18" s="81">
        <f>'Exhibit O,3'!U19+'Exhibit N,3'!U19</f>
        <v>36175371.239999995</v>
      </c>
      <c r="G18" s="81">
        <f t="shared" si="1"/>
        <v>72350742.479999989</v>
      </c>
      <c r="H18" s="81">
        <f t="shared" si="2"/>
        <v>72350742.479999989</v>
      </c>
      <c r="I18" s="81">
        <f t="shared" si="3"/>
        <v>36175371.239999995</v>
      </c>
      <c r="J18" s="81">
        <f t="shared" si="4"/>
        <v>36175371.239999995</v>
      </c>
      <c r="K18" s="81">
        <f t="shared" si="5"/>
        <v>36175371.239999995</v>
      </c>
      <c r="L18" s="81">
        <f t="shared" si="5"/>
        <v>36175371.239999995</v>
      </c>
      <c r="M18" s="81">
        <f t="shared" si="6"/>
        <v>0</v>
      </c>
      <c r="N18" s="81">
        <f t="shared" si="7"/>
        <v>0</v>
      </c>
      <c r="O18" s="81">
        <f>'AD8'!O18*('AD8'!O$45-O$6)/'AD8'!O$45</f>
        <v>0</v>
      </c>
      <c r="P18" s="81">
        <f t="shared" si="8"/>
        <v>36175371.239999995</v>
      </c>
      <c r="Q18" s="81">
        <f t="shared" si="9"/>
        <v>36175371.239999995</v>
      </c>
      <c r="R18" s="81">
        <f t="shared" si="10"/>
        <v>72350742.479999989</v>
      </c>
      <c r="S18" s="81">
        <f>'AD8'!S18</f>
        <v>0</v>
      </c>
      <c r="T18" s="87">
        <v>0</v>
      </c>
      <c r="U18" s="81">
        <f t="shared" si="11"/>
        <v>0</v>
      </c>
      <c r="V18" s="81">
        <f t="shared" si="12"/>
        <v>72350742.479999989</v>
      </c>
      <c r="W18" s="81"/>
      <c r="X18" s="17"/>
    </row>
    <row r="19" spans="1:26">
      <c r="A19" s="6">
        <f t="shared" si="13"/>
        <v>1996</v>
      </c>
      <c r="B19" s="81">
        <f>'Exhibit O,3'!Q20+'Exhibit N,3'!Q20+'Exhibit O,3'!AB20</f>
        <v>0</v>
      </c>
      <c r="C19" s="81">
        <f>'Exhibit O,3'!R20+'Exhibit N,3'!R20</f>
        <v>53964670.75</v>
      </c>
      <c r="D19" s="81">
        <f>'Exhibit O,3'!S20+'Exhibit N,3'!S20</f>
        <v>53964670.75</v>
      </c>
      <c r="E19" s="81">
        <f>'Exhibit O,3'!T20+'Exhibit N,3'!T20</f>
        <v>53964670.75</v>
      </c>
      <c r="F19" s="81">
        <f>'Exhibit O,3'!U20+'Exhibit N,3'!U20</f>
        <v>53964670.75</v>
      </c>
      <c r="G19" s="81">
        <f t="shared" si="1"/>
        <v>107929341.5</v>
      </c>
      <c r="H19" s="81">
        <f t="shared" si="2"/>
        <v>107929341.5</v>
      </c>
      <c r="I19" s="81">
        <f t="shared" si="3"/>
        <v>53964670.75</v>
      </c>
      <c r="J19" s="81">
        <f t="shared" si="4"/>
        <v>53964670.75</v>
      </c>
      <c r="K19" s="81">
        <f t="shared" si="5"/>
        <v>53964670.75</v>
      </c>
      <c r="L19" s="81">
        <f t="shared" si="5"/>
        <v>53964670.75</v>
      </c>
      <c r="M19" s="81">
        <f t="shared" si="6"/>
        <v>0</v>
      </c>
      <c r="N19" s="81">
        <f t="shared" si="7"/>
        <v>0</v>
      </c>
      <c r="O19" s="81">
        <f>'AD8'!O19*('AD8'!O$45-O$6)/'AD8'!O$45</f>
        <v>0</v>
      </c>
      <c r="P19" s="81">
        <f t="shared" si="8"/>
        <v>53964670.75</v>
      </c>
      <c r="Q19" s="81">
        <f t="shared" si="9"/>
        <v>53964670.75</v>
      </c>
      <c r="R19" s="81">
        <f t="shared" si="10"/>
        <v>107929341.5</v>
      </c>
      <c r="S19" s="81">
        <f>'AD8'!S19</f>
        <v>0</v>
      </c>
      <c r="T19" s="87">
        <v>0</v>
      </c>
      <c r="U19" s="81">
        <f t="shared" si="11"/>
        <v>0</v>
      </c>
      <c r="V19" s="81">
        <f t="shared" si="12"/>
        <v>107929341.5</v>
      </c>
      <c r="W19" s="81"/>
    </row>
    <row r="20" spans="1:26">
      <c r="A20" s="6">
        <f t="shared" si="13"/>
        <v>1997</v>
      </c>
      <c r="B20" s="81">
        <f>'Exhibit O,3'!Q21+'Exhibit N,3'!Q21+'Exhibit O,3'!AB21</f>
        <v>0</v>
      </c>
      <c r="C20" s="81">
        <f>'Exhibit O,3'!R21+'Exhibit N,3'!R21</f>
        <v>53421110.340000004</v>
      </c>
      <c r="D20" s="81">
        <f>'Exhibit O,3'!S21+'Exhibit N,3'!S21</f>
        <v>53421110.340000004</v>
      </c>
      <c r="E20" s="81">
        <f>'Exhibit O,3'!T21+'Exhibit N,3'!T21</f>
        <v>53421110.340000004</v>
      </c>
      <c r="F20" s="81">
        <f>'Exhibit O,3'!U21+'Exhibit N,3'!U21</f>
        <v>53421110.340000004</v>
      </c>
      <c r="G20" s="81">
        <f t="shared" si="1"/>
        <v>106842220.68000001</v>
      </c>
      <c r="H20" s="81">
        <f t="shared" si="2"/>
        <v>106842220.68000001</v>
      </c>
      <c r="I20" s="81">
        <f t="shared" si="3"/>
        <v>53421110.340000004</v>
      </c>
      <c r="J20" s="81">
        <f t="shared" si="4"/>
        <v>53421110.340000004</v>
      </c>
      <c r="K20" s="81">
        <f t="shared" si="5"/>
        <v>53421110.340000004</v>
      </c>
      <c r="L20" s="81">
        <f t="shared" si="5"/>
        <v>53421110.340000004</v>
      </c>
      <c r="M20" s="81">
        <f t="shared" si="6"/>
        <v>0</v>
      </c>
      <c r="N20" s="81">
        <f t="shared" si="7"/>
        <v>0</v>
      </c>
      <c r="O20" s="81">
        <f>'AD8'!O20*('AD8'!O$45-O$6)/'AD8'!O$45</f>
        <v>0</v>
      </c>
      <c r="P20" s="81">
        <f t="shared" si="8"/>
        <v>53421110.340000004</v>
      </c>
      <c r="Q20" s="81">
        <f t="shared" si="9"/>
        <v>53421110.340000004</v>
      </c>
      <c r="R20" s="81">
        <f t="shared" si="10"/>
        <v>106842220.68000001</v>
      </c>
      <c r="S20" s="81">
        <f>'AD8'!S20</f>
        <v>0</v>
      </c>
      <c r="T20" s="87">
        <v>0</v>
      </c>
      <c r="U20" s="81">
        <f t="shared" si="11"/>
        <v>0</v>
      </c>
      <c r="V20" s="81">
        <f t="shared" si="12"/>
        <v>106842220.68000001</v>
      </c>
      <c r="W20" s="81"/>
    </row>
    <row r="21" spans="1:26">
      <c r="A21" s="6">
        <f t="shared" si="13"/>
        <v>1998</v>
      </c>
      <c r="B21" s="81">
        <f>'Exhibit O,3'!Q22+'Exhibit N,3'!Q22+'Exhibit O,3'!AB22</f>
        <v>0</v>
      </c>
      <c r="C21" s="81">
        <f>'Exhibit O,3'!R22+'Exhibit N,3'!R22</f>
        <v>43910495.93</v>
      </c>
      <c r="D21" s="81">
        <f>'Exhibit O,3'!S22+'Exhibit N,3'!S22</f>
        <v>43910495.93</v>
      </c>
      <c r="E21" s="81">
        <f>'Exhibit O,3'!T22+'Exhibit N,3'!T22</f>
        <v>43910495.93</v>
      </c>
      <c r="F21" s="81">
        <f>'Exhibit O,3'!U22+'Exhibit N,3'!U22</f>
        <v>43910495.93</v>
      </c>
      <c r="G21" s="81">
        <f t="shared" si="1"/>
        <v>87820991.859999999</v>
      </c>
      <c r="H21" s="81">
        <f t="shared" si="2"/>
        <v>87820991.859999999</v>
      </c>
      <c r="I21" s="81">
        <f t="shared" si="3"/>
        <v>43910495.93</v>
      </c>
      <c r="J21" s="81">
        <f t="shared" si="4"/>
        <v>43910495.93</v>
      </c>
      <c r="K21" s="81">
        <f t="shared" si="5"/>
        <v>43910495.93</v>
      </c>
      <c r="L21" s="81">
        <f t="shared" si="5"/>
        <v>43910495.93</v>
      </c>
      <c r="M21" s="81">
        <f t="shared" si="6"/>
        <v>0</v>
      </c>
      <c r="N21" s="81">
        <f t="shared" si="7"/>
        <v>0</v>
      </c>
      <c r="O21" s="81">
        <f>'AD8'!O21*('AD8'!O$45-O$6)/'AD8'!O$45</f>
        <v>0</v>
      </c>
      <c r="P21" s="81">
        <f t="shared" si="8"/>
        <v>43910495.93</v>
      </c>
      <c r="Q21" s="81">
        <f t="shared" si="9"/>
        <v>43910495.93</v>
      </c>
      <c r="R21" s="81">
        <f t="shared" si="10"/>
        <v>87820991.859999999</v>
      </c>
      <c r="S21" s="81">
        <f>'AD8'!S21</f>
        <v>0</v>
      </c>
      <c r="T21" s="87">
        <v>0</v>
      </c>
      <c r="U21" s="81">
        <f t="shared" si="11"/>
        <v>0</v>
      </c>
      <c r="V21" s="81">
        <f t="shared" si="12"/>
        <v>87820991.859999999</v>
      </c>
      <c r="W21" s="81"/>
    </row>
    <row r="22" spans="1:26">
      <c r="A22" s="6">
        <f t="shared" si="13"/>
        <v>1999</v>
      </c>
      <c r="B22" s="81">
        <f>'Exhibit O,3'!Q23+'Exhibit N,3'!Q23+'Exhibit O,3'!AB23</f>
        <v>0</v>
      </c>
      <c r="C22" s="81">
        <f>'Exhibit O,3'!R23+'Exhibit N,3'!R23</f>
        <v>34627879.330000006</v>
      </c>
      <c r="D22" s="81">
        <f>'Exhibit O,3'!S23+'Exhibit N,3'!S23</f>
        <v>34627879.330000006</v>
      </c>
      <c r="E22" s="81">
        <f>'Exhibit O,3'!T23+'Exhibit N,3'!T23</f>
        <v>34627879.330000006</v>
      </c>
      <c r="F22" s="81">
        <f>'Exhibit O,3'!U23+'Exhibit N,3'!U23</f>
        <v>34627879.330000006</v>
      </c>
      <c r="G22" s="81">
        <f t="shared" si="1"/>
        <v>69255758.660000011</v>
      </c>
      <c r="H22" s="81">
        <f t="shared" si="2"/>
        <v>69255758.660000011</v>
      </c>
      <c r="I22" s="81">
        <f t="shared" si="3"/>
        <v>34627879.330000006</v>
      </c>
      <c r="J22" s="81">
        <f t="shared" si="4"/>
        <v>34627879.330000006</v>
      </c>
      <c r="K22" s="81">
        <f t="shared" si="5"/>
        <v>34627879.330000006</v>
      </c>
      <c r="L22" s="81">
        <f t="shared" si="5"/>
        <v>34627879.330000006</v>
      </c>
      <c r="M22" s="81">
        <f t="shared" si="6"/>
        <v>0</v>
      </c>
      <c r="N22" s="81">
        <f t="shared" si="7"/>
        <v>0</v>
      </c>
      <c r="O22" s="81">
        <f>'AD8'!O22*('AD8'!O$45-O$6)/'AD8'!O$45</f>
        <v>0</v>
      </c>
      <c r="P22" s="81">
        <f t="shared" si="8"/>
        <v>34627879.330000006</v>
      </c>
      <c r="Q22" s="81">
        <f t="shared" si="9"/>
        <v>34627879.330000006</v>
      </c>
      <c r="R22" s="81">
        <f t="shared" si="10"/>
        <v>69255758.660000011</v>
      </c>
      <c r="S22" s="81">
        <f>'AD8'!S22</f>
        <v>0</v>
      </c>
      <c r="T22" s="87">
        <v>0</v>
      </c>
      <c r="U22" s="81">
        <f t="shared" si="11"/>
        <v>0</v>
      </c>
      <c r="V22" s="81">
        <f t="shared" si="12"/>
        <v>69255758.660000011</v>
      </c>
      <c r="W22" s="81"/>
    </row>
    <row r="23" spans="1:26">
      <c r="A23" s="6">
        <f t="shared" si="13"/>
        <v>2000</v>
      </c>
      <c r="B23" s="81">
        <f>'Exhibit O,3'!Q24+'Exhibit N,3'!Q24+'Exhibit O,3'!AB24</f>
        <v>0</v>
      </c>
      <c r="C23" s="81">
        <f>'Exhibit O,3'!R24+'Exhibit N,3'!R24</f>
        <v>39010397.339999989</v>
      </c>
      <c r="D23" s="81">
        <f>'Exhibit O,3'!S24+'Exhibit N,3'!S24</f>
        <v>39010397.339999989</v>
      </c>
      <c r="E23" s="81">
        <f>'Exhibit O,3'!T24+'Exhibit N,3'!T24</f>
        <v>39010397.339999989</v>
      </c>
      <c r="F23" s="81">
        <f>'Exhibit O,3'!U24+'Exhibit N,3'!U24</f>
        <v>39010397.339999989</v>
      </c>
      <c r="G23" s="81">
        <f t="shared" si="1"/>
        <v>78020794.679999977</v>
      </c>
      <c r="H23" s="81">
        <f t="shared" si="2"/>
        <v>78020794.679999977</v>
      </c>
      <c r="I23" s="81">
        <f t="shared" si="3"/>
        <v>39010397.339999989</v>
      </c>
      <c r="J23" s="81">
        <f t="shared" si="4"/>
        <v>39010397.339999989</v>
      </c>
      <c r="K23" s="81">
        <f t="shared" si="5"/>
        <v>39010397.339999989</v>
      </c>
      <c r="L23" s="81">
        <f t="shared" si="5"/>
        <v>39010397.339999989</v>
      </c>
      <c r="M23" s="81">
        <f t="shared" si="6"/>
        <v>0</v>
      </c>
      <c r="N23" s="81">
        <f t="shared" si="7"/>
        <v>0</v>
      </c>
      <c r="O23" s="81">
        <f>'AD8'!O23*('AD8'!O$45-O$6)/'AD8'!O$45</f>
        <v>0</v>
      </c>
      <c r="P23" s="81">
        <f t="shared" si="8"/>
        <v>39010397.339999989</v>
      </c>
      <c r="Q23" s="81">
        <f t="shared" si="9"/>
        <v>39010397.339999989</v>
      </c>
      <c r="R23" s="81">
        <f t="shared" si="10"/>
        <v>78020794.679999977</v>
      </c>
      <c r="S23" s="81">
        <f>'AD8'!S23</f>
        <v>0</v>
      </c>
      <c r="T23" s="87">
        <v>0</v>
      </c>
      <c r="U23" s="81">
        <f t="shared" si="11"/>
        <v>0</v>
      </c>
      <c r="V23" s="81">
        <f t="shared" si="12"/>
        <v>78020794.679999977</v>
      </c>
      <c r="W23" s="81"/>
    </row>
    <row r="24" spans="1:26">
      <c r="A24" s="6">
        <f t="shared" si="13"/>
        <v>2001</v>
      </c>
      <c r="B24" s="81">
        <f>'Exhibit O,3'!Q25+'Exhibit N,3'!Q25+'Exhibit O,3'!AB25</f>
        <v>0</v>
      </c>
      <c r="C24" s="81">
        <f>'Exhibit O,3'!R25+'Exhibit N,3'!R25</f>
        <v>36418044.310000002</v>
      </c>
      <c r="D24" s="81">
        <f>'Exhibit O,3'!S25+'Exhibit N,3'!S25</f>
        <v>36418044.310000002</v>
      </c>
      <c r="E24" s="81">
        <f>'Exhibit O,3'!T25+'Exhibit N,3'!T25</f>
        <v>36418044.310000002</v>
      </c>
      <c r="F24" s="81">
        <f>'Exhibit O,3'!U25+'Exhibit N,3'!U25</f>
        <v>36418044.310000002</v>
      </c>
      <c r="G24" s="81">
        <f t="shared" si="1"/>
        <v>72836088.620000005</v>
      </c>
      <c r="H24" s="81">
        <f t="shared" si="2"/>
        <v>72836088.620000005</v>
      </c>
      <c r="I24" s="81">
        <f t="shared" si="3"/>
        <v>36418044.310000002</v>
      </c>
      <c r="J24" s="81">
        <f t="shared" si="4"/>
        <v>36418044.310000002</v>
      </c>
      <c r="K24" s="81">
        <f t="shared" si="5"/>
        <v>36418044.310000002</v>
      </c>
      <c r="L24" s="81">
        <f t="shared" si="5"/>
        <v>36418044.310000002</v>
      </c>
      <c r="M24" s="81">
        <f t="shared" si="6"/>
        <v>0</v>
      </c>
      <c r="N24" s="81">
        <f t="shared" si="7"/>
        <v>0</v>
      </c>
      <c r="O24" s="81">
        <f>'AD8'!O24*('AD8'!O$45-O$6)/'AD8'!O$45</f>
        <v>0</v>
      </c>
      <c r="P24" s="81">
        <f t="shared" si="8"/>
        <v>36418044.310000002</v>
      </c>
      <c r="Q24" s="81">
        <f t="shared" si="9"/>
        <v>36418044.310000002</v>
      </c>
      <c r="R24" s="81">
        <f t="shared" si="10"/>
        <v>72836088.620000005</v>
      </c>
      <c r="S24" s="81">
        <f>'AD8'!S24</f>
        <v>0</v>
      </c>
      <c r="T24" s="87">
        <v>0</v>
      </c>
      <c r="U24" s="81">
        <f t="shared" si="11"/>
        <v>0</v>
      </c>
      <c r="V24" s="81">
        <f t="shared" si="12"/>
        <v>72836088.620000005</v>
      </c>
      <c r="W24" s="81"/>
    </row>
    <row r="25" spans="1:26">
      <c r="A25" s="6">
        <f t="shared" si="13"/>
        <v>2002</v>
      </c>
      <c r="B25" s="81">
        <f>'Exhibit O,3'!Q26+'Exhibit N,3'!Q26+'Exhibit O,3'!AB26</f>
        <v>0</v>
      </c>
      <c r="C25" s="81">
        <f>'Exhibit O,3'!R26+'Exhibit N,3'!R26</f>
        <v>19328436.559999995</v>
      </c>
      <c r="D25" s="81">
        <f>'Exhibit O,3'!S26+'Exhibit N,3'!S26</f>
        <v>19328436.559999995</v>
      </c>
      <c r="E25" s="81">
        <f>'Exhibit O,3'!T26+'Exhibit N,3'!T26</f>
        <v>19328436.559999995</v>
      </c>
      <c r="F25" s="81">
        <f>'Exhibit O,3'!U26+'Exhibit N,3'!U26</f>
        <v>19328436.559999995</v>
      </c>
      <c r="G25" s="81">
        <f t="shared" si="1"/>
        <v>38656873.11999999</v>
      </c>
      <c r="H25" s="81">
        <f t="shared" si="2"/>
        <v>38656873.11999999</v>
      </c>
      <c r="I25" s="81">
        <f t="shared" si="3"/>
        <v>19328436.559999995</v>
      </c>
      <c r="J25" s="81">
        <f t="shared" si="4"/>
        <v>19328436.559999995</v>
      </c>
      <c r="K25" s="81">
        <f t="shared" si="5"/>
        <v>19328436.559999995</v>
      </c>
      <c r="L25" s="81">
        <f t="shared" si="5"/>
        <v>19328436.559999995</v>
      </c>
      <c r="M25" s="81">
        <f t="shared" si="6"/>
        <v>0</v>
      </c>
      <c r="N25" s="81">
        <f t="shared" si="7"/>
        <v>0</v>
      </c>
      <c r="O25" s="81">
        <f>'AD8'!O25*('AD8'!O$45-O$6)/'AD8'!O$45</f>
        <v>0</v>
      </c>
      <c r="P25" s="81">
        <f t="shared" si="8"/>
        <v>19328436.559999995</v>
      </c>
      <c r="Q25" s="81">
        <f t="shared" si="9"/>
        <v>19328436.559999995</v>
      </c>
      <c r="R25" s="81">
        <f t="shared" si="10"/>
        <v>38656873.11999999</v>
      </c>
      <c r="S25" s="81">
        <f>'AD8'!S25</f>
        <v>0</v>
      </c>
      <c r="T25" s="87">
        <v>0</v>
      </c>
      <c r="U25" s="81">
        <f t="shared" si="11"/>
        <v>0</v>
      </c>
      <c r="V25" s="81">
        <f t="shared" si="12"/>
        <v>38656873.11999999</v>
      </c>
      <c r="W25" s="81"/>
    </row>
    <row r="26" spans="1:26">
      <c r="A26" s="6">
        <f t="shared" si="13"/>
        <v>2003</v>
      </c>
      <c r="B26" s="81">
        <f>'Exhibit O,3'!Q27+'Exhibit N,3'!Q27+'Exhibit O,3'!AB27</f>
        <v>0</v>
      </c>
      <c r="C26" s="81">
        <f>'Exhibit O,3'!R27+'Exhibit N,3'!R27</f>
        <v>20518160.280000001</v>
      </c>
      <c r="D26" s="81">
        <f>'Exhibit O,3'!S27+'Exhibit N,3'!S27</f>
        <v>20518160.280000001</v>
      </c>
      <c r="E26" s="81">
        <f>'Exhibit O,3'!T27+'Exhibit N,3'!T27</f>
        <v>20518160.280000001</v>
      </c>
      <c r="F26" s="81">
        <f>'Exhibit O,3'!U27+'Exhibit N,3'!U27</f>
        <v>20518160.280000001</v>
      </c>
      <c r="G26" s="81">
        <f t="shared" si="1"/>
        <v>41036320.560000002</v>
      </c>
      <c r="H26" s="81">
        <f t="shared" si="2"/>
        <v>41036320.560000002</v>
      </c>
      <c r="I26" s="81">
        <f t="shared" si="3"/>
        <v>20518160.280000001</v>
      </c>
      <c r="J26" s="81">
        <f t="shared" si="4"/>
        <v>20518160.280000001</v>
      </c>
      <c r="K26" s="81">
        <f t="shared" si="5"/>
        <v>20518160.280000001</v>
      </c>
      <c r="L26" s="81">
        <f t="shared" si="5"/>
        <v>20518160.280000001</v>
      </c>
      <c r="M26" s="81">
        <f t="shared" si="6"/>
        <v>0</v>
      </c>
      <c r="N26" s="81">
        <f t="shared" si="7"/>
        <v>0</v>
      </c>
      <c r="O26" s="81">
        <f>'AD8'!O26*('AD8'!O$45-O$6)/'AD8'!O$45</f>
        <v>0</v>
      </c>
      <c r="P26" s="81">
        <f t="shared" si="8"/>
        <v>20518160.280000001</v>
      </c>
      <c r="Q26" s="81">
        <f t="shared" si="9"/>
        <v>20518160.280000001</v>
      </c>
      <c r="R26" s="81">
        <f t="shared" si="10"/>
        <v>41036320.560000002</v>
      </c>
      <c r="S26" s="81">
        <f>'AD8'!S26</f>
        <v>0</v>
      </c>
      <c r="T26" s="87">
        <v>0</v>
      </c>
      <c r="U26" s="81">
        <f t="shared" si="11"/>
        <v>0</v>
      </c>
      <c r="V26" s="81">
        <f t="shared" si="12"/>
        <v>41036320.560000002</v>
      </c>
      <c r="W26" s="81"/>
    </row>
    <row r="27" spans="1:26">
      <c r="A27" s="6">
        <f t="shared" si="13"/>
        <v>2004</v>
      </c>
      <c r="B27" s="81">
        <f>'Exhibit O,3'!Q28+'Exhibit N,3'!Q28+'Exhibit O,3'!AB28</f>
        <v>0</v>
      </c>
      <c r="C27" s="81">
        <f>'Exhibit O,3'!R28+'Exhibit N,3'!R28</f>
        <v>20009669.5</v>
      </c>
      <c r="D27" s="81">
        <f>'Exhibit O,3'!S28+'Exhibit N,3'!S28</f>
        <v>20009669.5</v>
      </c>
      <c r="E27" s="81">
        <f>'Exhibit O,3'!T28+'Exhibit N,3'!T28</f>
        <v>20006988</v>
      </c>
      <c r="F27" s="81">
        <f>'Exhibit O,3'!U28+'Exhibit N,3'!U28</f>
        <v>20215805.799999997</v>
      </c>
      <c r="G27" s="81">
        <f t="shared" si="1"/>
        <v>40016657.5</v>
      </c>
      <c r="H27" s="81">
        <f t="shared" si="2"/>
        <v>40225475.299999997</v>
      </c>
      <c r="I27" s="81">
        <f t="shared" si="3"/>
        <v>20009669.5</v>
      </c>
      <c r="J27" s="81">
        <f t="shared" si="4"/>
        <v>20009669.5</v>
      </c>
      <c r="K27" s="81">
        <f t="shared" si="5"/>
        <v>20006988</v>
      </c>
      <c r="L27" s="81">
        <f t="shared" si="5"/>
        <v>20215805.799999997</v>
      </c>
      <c r="M27" s="81">
        <f t="shared" si="6"/>
        <v>0</v>
      </c>
      <c r="N27" s="81">
        <f t="shared" si="7"/>
        <v>0</v>
      </c>
      <c r="O27" s="81">
        <f>'AD8'!O27*('AD8'!O$45-O$6)/'AD8'!O$45</f>
        <v>0</v>
      </c>
      <c r="P27" s="81">
        <f t="shared" si="8"/>
        <v>20009669.5</v>
      </c>
      <c r="Q27" s="81">
        <f t="shared" si="9"/>
        <v>20215805.799999997</v>
      </c>
      <c r="R27" s="81">
        <f t="shared" si="10"/>
        <v>40225475.299999997</v>
      </c>
      <c r="S27" s="81">
        <f>'AD8'!S27</f>
        <v>0</v>
      </c>
      <c r="T27" s="87">
        <v>0</v>
      </c>
      <c r="U27" s="81">
        <f t="shared" si="11"/>
        <v>0</v>
      </c>
      <c r="V27" s="81">
        <f t="shared" si="12"/>
        <v>40225475.299999997</v>
      </c>
      <c r="W27" s="81"/>
      <c r="X27" s="6"/>
      <c r="Y27" s="6"/>
    </row>
    <row r="28" spans="1:26">
      <c r="A28" s="6">
        <f t="shared" si="13"/>
        <v>2005</v>
      </c>
      <c r="B28" s="81">
        <f>'Exhibit O,3'!Q29+'Exhibit N,3'!Q29+'Exhibit O,3'!AB29</f>
        <v>0</v>
      </c>
      <c r="C28" s="81">
        <f>'Exhibit O,3'!R29+'Exhibit N,3'!R29</f>
        <v>21064584.210000001</v>
      </c>
      <c r="D28" s="81">
        <f>'Exhibit O,3'!S29+'Exhibit N,3'!S29</f>
        <v>21064584.210000001</v>
      </c>
      <c r="E28" s="81">
        <f>'Exhibit O,3'!T29+'Exhibit N,3'!T29</f>
        <v>21064584.210000001</v>
      </c>
      <c r="F28" s="81">
        <f>'Exhibit O,3'!U29+'Exhibit N,3'!U29</f>
        <v>21064584.210000001</v>
      </c>
      <c r="G28" s="81">
        <f t="shared" si="1"/>
        <v>42129168.420000002</v>
      </c>
      <c r="H28" s="81">
        <f t="shared" si="2"/>
        <v>42129168.420000002</v>
      </c>
      <c r="I28" s="81">
        <f t="shared" si="3"/>
        <v>21064584.210000001</v>
      </c>
      <c r="J28" s="81">
        <f t="shared" si="4"/>
        <v>21064584.210000001</v>
      </c>
      <c r="K28" s="81">
        <f t="shared" si="5"/>
        <v>21064584.210000001</v>
      </c>
      <c r="L28" s="81">
        <f t="shared" si="5"/>
        <v>21064584.210000001</v>
      </c>
      <c r="M28" s="81">
        <f t="shared" si="6"/>
        <v>0</v>
      </c>
      <c r="N28" s="81">
        <f t="shared" si="7"/>
        <v>0</v>
      </c>
      <c r="O28" s="81">
        <f>'AD8'!O28*('AD8'!O$45-O$6)/'AD8'!O$45</f>
        <v>0</v>
      </c>
      <c r="P28" s="81">
        <f t="shared" si="8"/>
        <v>21064584.210000001</v>
      </c>
      <c r="Q28" s="81">
        <f t="shared" si="9"/>
        <v>21064584.210000001</v>
      </c>
      <c r="R28" s="81">
        <f t="shared" si="10"/>
        <v>42129168.420000002</v>
      </c>
      <c r="S28" s="81">
        <f>'AD8'!S28</f>
        <v>0</v>
      </c>
      <c r="T28" s="87">
        <v>0</v>
      </c>
      <c r="U28" s="81">
        <f t="shared" si="11"/>
        <v>0</v>
      </c>
      <c r="V28" s="81">
        <f t="shared" si="12"/>
        <v>42129168.420000002</v>
      </c>
      <c r="W28" s="81"/>
      <c r="X28" s="6"/>
      <c r="Y28" s="6"/>
    </row>
    <row r="29" spans="1:26">
      <c r="A29" s="6">
        <f t="shared" si="13"/>
        <v>2006</v>
      </c>
      <c r="B29" s="81">
        <f>'Exhibit O,3'!Q30+'Exhibit N,3'!Q30+'Exhibit O,3'!AB30</f>
        <v>0</v>
      </c>
      <c r="C29" s="81">
        <f>'Exhibit O,3'!R30+'Exhibit N,3'!R30</f>
        <v>21023781.949999999</v>
      </c>
      <c r="D29" s="81">
        <f>'Exhibit O,3'!S30+'Exhibit N,3'!S30</f>
        <v>21023781.949999999</v>
      </c>
      <c r="E29" s="81">
        <f>'Exhibit O,3'!T30+'Exhibit N,3'!T30</f>
        <v>21023781.949999999</v>
      </c>
      <c r="F29" s="81">
        <f>'Exhibit O,3'!U30+'Exhibit N,3'!U30</f>
        <v>21023781.949999999</v>
      </c>
      <c r="G29" s="81">
        <f t="shared" si="1"/>
        <v>42047563.899999999</v>
      </c>
      <c r="H29" s="81">
        <f t="shared" si="2"/>
        <v>42047563.899999999</v>
      </c>
      <c r="I29" s="81">
        <f t="shared" si="3"/>
        <v>21023781.949999999</v>
      </c>
      <c r="J29" s="81">
        <f t="shared" si="4"/>
        <v>21023781.949999999</v>
      </c>
      <c r="K29" s="81">
        <f t="shared" si="5"/>
        <v>21023781.949999999</v>
      </c>
      <c r="L29" s="81">
        <f t="shared" si="5"/>
        <v>21023781.949999999</v>
      </c>
      <c r="M29" s="81">
        <f t="shared" si="6"/>
        <v>0</v>
      </c>
      <c r="N29" s="81">
        <f t="shared" si="7"/>
        <v>0</v>
      </c>
      <c r="O29" s="81">
        <f>'AD8'!O29*('AD8'!O$45-O$6)/'AD8'!O$45</f>
        <v>0</v>
      </c>
      <c r="P29" s="81">
        <f t="shared" si="8"/>
        <v>21023781.949999999</v>
      </c>
      <c r="Q29" s="81">
        <f t="shared" si="9"/>
        <v>21023781.949999999</v>
      </c>
      <c r="R29" s="81">
        <f t="shared" si="10"/>
        <v>42047563.899999999</v>
      </c>
      <c r="S29" s="81">
        <f>'AD8'!S29</f>
        <v>0</v>
      </c>
      <c r="T29" s="87">
        <v>0</v>
      </c>
      <c r="U29" s="81">
        <f t="shared" si="11"/>
        <v>0</v>
      </c>
      <c r="V29" s="81">
        <f t="shared" si="12"/>
        <v>42047563.899999999</v>
      </c>
      <c r="W29" s="81"/>
      <c r="X29" s="6"/>
      <c r="Y29" s="6"/>
    </row>
    <row r="30" spans="1:26">
      <c r="A30" s="6">
        <f t="shared" si="13"/>
        <v>2007</v>
      </c>
      <c r="B30" s="81">
        <f>'Exhibit O,3'!Q31+'Exhibit N,3'!Q31+'Exhibit O,3'!AB31</f>
        <v>0</v>
      </c>
      <c r="C30" s="81">
        <f>'Exhibit O,3'!R31+'Exhibit N,3'!R31</f>
        <v>18970738.100000001</v>
      </c>
      <c r="D30" s="81">
        <f>'Exhibit O,3'!S31+'Exhibit N,3'!S31</f>
        <v>18970738.100000001</v>
      </c>
      <c r="E30" s="81">
        <f>'Exhibit O,3'!T31+'Exhibit N,3'!T31</f>
        <v>18970738.100000001</v>
      </c>
      <c r="F30" s="81">
        <f>'Exhibit O,3'!U31+'Exhibit N,3'!U31</f>
        <v>18970738.100000001</v>
      </c>
      <c r="G30" s="81">
        <f t="shared" si="1"/>
        <v>37941476.200000003</v>
      </c>
      <c r="H30" s="81">
        <f t="shared" si="2"/>
        <v>37941476.200000003</v>
      </c>
      <c r="I30" s="81">
        <f t="shared" si="3"/>
        <v>18970738.100000001</v>
      </c>
      <c r="J30" s="81">
        <f t="shared" si="4"/>
        <v>18970738.100000001</v>
      </c>
      <c r="K30" s="81">
        <f t="shared" si="5"/>
        <v>18970738.100000001</v>
      </c>
      <c r="L30" s="81">
        <f t="shared" si="5"/>
        <v>18970738.100000001</v>
      </c>
      <c r="M30" s="81">
        <f t="shared" si="6"/>
        <v>0</v>
      </c>
      <c r="N30" s="81">
        <f t="shared" si="7"/>
        <v>0</v>
      </c>
      <c r="O30" s="81">
        <f>'AD8'!O30*('AD8'!O$45-O$6)/'AD8'!O$45</f>
        <v>0</v>
      </c>
      <c r="P30" s="81">
        <f t="shared" si="8"/>
        <v>18970738.100000001</v>
      </c>
      <c r="Q30" s="81">
        <f t="shared" si="9"/>
        <v>18970738.100000001</v>
      </c>
      <c r="R30" s="81">
        <f t="shared" si="10"/>
        <v>37941476.200000003</v>
      </c>
      <c r="S30" s="81">
        <f>'AD8'!S30</f>
        <v>0</v>
      </c>
      <c r="T30" s="87">
        <v>0</v>
      </c>
      <c r="U30" s="81">
        <f t="shared" si="11"/>
        <v>0</v>
      </c>
      <c r="V30" s="81">
        <f t="shared" si="12"/>
        <v>37941476.200000003</v>
      </c>
      <c r="W30" s="81"/>
      <c r="X30" s="6"/>
      <c r="Y30" s="6"/>
    </row>
    <row r="31" spans="1:26">
      <c r="A31" s="6">
        <f t="shared" si="13"/>
        <v>2008</v>
      </c>
      <c r="B31" s="81">
        <f>'Exhibit O,3'!Q32+'Exhibit N,3'!Q32+'Exhibit O,3'!AB32</f>
        <v>0</v>
      </c>
      <c r="C31" s="81">
        <f>'Exhibit O,3'!R32+'Exhibit N,3'!R32</f>
        <v>25135887.52</v>
      </c>
      <c r="D31" s="81">
        <f>'Exhibit O,3'!S32+'Exhibit N,3'!S32</f>
        <v>25135887.52</v>
      </c>
      <c r="E31" s="81">
        <f>'Exhibit O,3'!T32+'Exhibit N,3'!T32</f>
        <v>25135887.52</v>
      </c>
      <c r="F31" s="81">
        <f>'Exhibit O,3'!U32+'Exhibit N,3'!U32</f>
        <v>25135887.52</v>
      </c>
      <c r="G31" s="81">
        <f t="shared" si="1"/>
        <v>50271775.039999999</v>
      </c>
      <c r="H31" s="81">
        <f t="shared" si="2"/>
        <v>50271775.039999999</v>
      </c>
      <c r="I31" s="81">
        <f t="shared" si="3"/>
        <v>25135887.52</v>
      </c>
      <c r="J31" s="81">
        <f t="shared" si="4"/>
        <v>25135887.52</v>
      </c>
      <c r="K31" s="81">
        <f t="shared" si="5"/>
        <v>25135887.52</v>
      </c>
      <c r="L31" s="81">
        <f t="shared" si="5"/>
        <v>25135887.52</v>
      </c>
      <c r="M31" s="81">
        <f t="shared" si="6"/>
        <v>0</v>
      </c>
      <c r="N31" s="81">
        <f t="shared" si="7"/>
        <v>0</v>
      </c>
      <c r="O31" s="81">
        <f>'AD8'!O31*('AD8'!O$45-O$6)/'AD8'!O$45</f>
        <v>0</v>
      </c>
      <c r="P31" s="81">
        <f t="shared" si="8"/>
        <v>25135887.52</v>
      </c>
      <c r="Q31" s="81">
        <f t="shared" si="9"/>
        <v>25135887.52</v>
      </c>
      <c r="R31" s="81">
        <f t="shared" si="10"/>
        <v>50271775.039999999</v>
      </c>
      <c r="S31" s="81">
        <f>'AD8'!S31</f>
        <v>0</v>
      </c>
      <c r="T31" s="87">
        <v>0</v>
      </c>
      <c r="U31" s="81">
        <f t="shared" si="11"/>
        <v>0</v>
      </c>
      <c r="V31" s="81">
        <f t="shared" si="12"/>
        <v>50271775.039999999</v>
      </c>
      <c r="W31" s="81"/>
      <c r="X31" s="81"/>
      <c r="Y31" s="6"/>
      <c r="Z31" s="6"/>
    </row>
    <row r="32" spans="1:26">
      <c r="A32" s="6">
        <f t="shared" si="13"/>
        <v>2009</v>
      </c>
      <c r="B32" s="81">
        <f>'Exhibit O,3'!Q33+'Exhibit N,3'!Q33+'Exhibit O,3'!AB33</f>
        <v>23403618.033471968</v>
      </c>
      <c r="C32" s="81">
        <f>'Exhibit O,3'!R33+'Exhibit N,3'!R33</f>
        <v>16859176.939999998</v>
      </c>
      <c r="D32" s="81">
        <f>'Exhibit O,3'!S33+'Exhibit N,3'!S33</f>
        <v>16859176.939999998</v>
      </c>
      <c r="E32" s="81">
        <f>'Exhibit O,3'!T33+'Exhibit N,3'!T33</f>
        <v>16859176.939999998</v>
      </c>
      <c r="F32" s="81">
        <f>'Exhibit O,3'!U33+'Exhibit N,3'!U33</f>
        <v>16859176.939999998</v>
      </c>
      <c r="G32" s="81">
        <f t="shared" si="1"/>
        <v>10314735.846528027</v>
      </c>
      <c r="H32" s="81">
        <f t="shared" si="2"/>
        <v>10314735.846528027</v>
      </c>
      <c r="I32" s="81">
        <f t="shared" si="3"/>
        <v>-6544441.0934719704</v>
      </c>
      <c r="J32" s="81">
        <f t="shared" si="4"/>
        <v>-6544441.0934719704</v>
      </c>
      <c r="K32" s="81">
        <f t="shared" si="5"/>
        <v>16859176.939999998</v>
      </c>
      <c r="L32" s="81">
        <f t="shared" si="5"/>
        <v>16859176.939999998</v>
      </c>
      <c r="M32" s="81">
        <f t="shared" si="6"/>
        <v>0</v>
      </c>
      <c r="N32" s="81">
        <f t="shared" si="7"/>
        <v>0</v>
      </c>
      <c r="O32" s="81">
        <f>'AD8'!O32*('AD8'!O$45-O$6)/'AD8'!O$45</f>
        <v>0</v>
      </c>
      <c r="P32" s="81">
        <f t="shared" si="8"/>
        <v>-6544441.0934719704</v>
      </c>
      <c r="Q32" s="81">
        <f t="shared" si="9"/>
        <v>16859176.939999998</v>
      </c>
      <c r="R32" s="81">
        <f t="shared" si="10"/>
        <v>10314735.846528027</v>
      </c>
      <c r="S32" s="81">
        <f>'AD8'!S32</f>
        <v>0</v>
      </c>
      <c r="T32" s="87">
        <v>0</v>
      </c>
      <c r="U32" s="81">
        <f t="shared" si="11"/>
        <v>0</v>
      </c>
      <c r="V32" s="81">
        <f t="shared" si="12"/>
        <v>10314735.846528027</v>
      </c>
      <c r="W32" s="81"/>
      <c r="X32" s="6"/>
      <c r="Y32" s="6"/>
    </row>
    <row r="33" spans="1:26">
      <c r="A33" s="6">
        <f t="shared" si="13"/>
        <v>2010</v>
      </c>
      <c r="B33" s="81">
        <f>'Exhibit O,3'!Q34+'Exhibit N,3'!Q34+'Exhibit O,3'!AB34</f>
        <v>22257304.835152261</v>
      </c>
      <c r="C33" s="81">
        <f>'Exhibit O,3'!R34+'Exhibit N,3'!R34</f>
        <v>23396663.590000004</v>
      </c>
      <c r="D33" s="81">
        <f>'Exhibit O,3'!S34+'Exhibit N,3'!S34</f>
        <v>23495663.590000004</v>
      </c>
      <c r="E33" s="81">
        <f>'Exhibit O,3'!T34+'Exhibit N,3'!T34</f>
        <v>23351800.160000004</v>
      </c>
      <c r="F33" s="81">
        <f>'Exhibit O,3'!U34+'Exhibit N,3'!U34</f>
        <v>23472370.420000002</v>
      </c>
      <c r="G33" s="81">
        <f t="shared" si="1"/>
        <v>24491158.914847746</v>
      </c>
      <c r="H33" s="81">
        <f t="shared" si="2"/>
        <v>24710729.174847744</v>
      </c>
      <c r="I33" s="81">
        <f t="shared" si="3"/>
        <v>1139358.7548477426</v>
      </c>
      <c r="J33" s="81">
        <f t="shared" si="4"/>
        <v>1238358.7548477426</v>
      </c>
      <c r="K33" s="81">
        <f t="shared" si="5"/>
        <v>23351800.160000004</v>
      </c>
      <c r="L33" s="81">
        <f t="shared" si="5"/>
        <v>23472370.420000002</v>
      </c>
      <c r="M33" s="81">
        <f t="shared" si="6"/>
        <v>0</v>
      </c>
      <c r="N33" s="81">
        <f t="shared" si="7"/>
        <v>0</v>
      </c>
      <c r="O33" s="81">
        <f>'AD8'!O33*('AD8'!O$45-O$6)/'AD8'!O$45</f>
        <v>0</v>
      </c>
      <c r="P33" s="81">
        <f t="shared" si="8"/>
        <v>1238358.7548477426</v>
      </c>
      <c r="Q33" s="81">
        <f t="shared" si="9"/>
        <v>23472370.420000002</v>
      </c>
      <c r="R33" s="81">
        <f t="shared" si="10"/>
        <v>24710729.174847744</v>
      </c>
      <c r="S33" s="81">
        <f>'AD8'!S33</f>
        <v>2937.9396030492298</v>
      </c>
      <c r="T33" s="87">
        <v>958981.61219296069</v>
      </c>
      <c r="U33" s="81">
        <f t="shared" si="11"/>
        <v>961919.55179600988</v>
      </c>
      <c r="V33" s="81">
        <f t="shared" si="12"/>
        <v>25672648.726643756</v>
      </c>
      <c r="W33" s="81"/>
      <c r="X33" s="81"/>
      <c r="Y33" s="81"/>
      <c r="Z33" s="17"/>
    </row>
    <row r="34" spans="1:26">
      <c r="A34" s="6">
        <f t="shared" si="13"/>
        <v>2011</v>
      </c>
      <c r="B34" s="81">
        <f>'Exhibit O,3'!Q35+'Exhibit N,3'!Q35+'Exhibit O,3'!AB35</f>
        <v>23421624.324585076</v>
      </c>
      <c r="C34" s="81">
        <f>'Exhibit O,3'!R35+'Exhibit N,3'!R35</f>
        <v>20861638.420000002</v>
      </c>
      <c r="D34" s="81">
        <f>'Exhibit O,3'!S35+'Exhibit N,3'!S35</f>
        <v>20861638.420000002</v>
      </c>
      <c r="E34" s="81">
        <f>'Exhibit O,3'!T35+'Exhibit N,3'!T35</f>
        <v>20861638.420000002</v>
      </c>
      <c r="F34" s="81">
        <f>'Exhibit O,3'!U35+'Exhibit N,3'!U35</f>
        <v>20861638.420000002</v>
      </c>
      <c r="G34" s="81">
        <f t="shared" si="1"/>
        <v>18301652.515414927</v>
      </c>
      <c r="H34" s="81">
        <f t="shared" si="2"/>
        <v>18301652.515414927</v>
      </c>
      <c r="I34" s="81">
        <f t="shared" si="3"/>
        <v>-2559985.9045850746</v>
      </c>
      <c r="J34" s="81">
        <f t="shared" si="4"/>
        <v>-2559985.9045850746</v>
      </c>
      <c r="K34" s="81">
        <f t="shared" si="5"/>
        <v>20861638.420000002</v>
      </c>
      <c r="L34" s="81">
        <f t="shared" si="5"/>
        <v>20861638.420000002</v>
      </c>
      <c r="M34" s="81">
        <f t="shared" si="6"/>
        <v>0</v>
      </c>
      <c r="N34" s="81">
        <f t="shared" si="7"/>
        <v>0</v>
      </c>
      <c r="O34" s="81">
        <f>'AD8'!O34*('AD8'!O$45-O$6)/'AD8'!O$45</f>
        <v>0</v>
      </c>
      <c r="P34" s="81">
        <f t="shared" si="8"/>
        <v>-2559985.9045850746</v>
      </c>
      <c r="Q34" s="81">
        <f t="shared" si="9"/>
        <v>20861638.420000002</v>
      </c>
      <c r="R34" s="81">
        <f t="shared" si="10"/>
        <v>18301652.515414927</v>
      </c>
      <c r="S34" s="81">
        <f>'AD8'!S34</f>
        <v>0</v>
      </c>
      <c r="T34" s="87">
        <v>748623.37167133484</v>
      </c>
      <c r="U34" s="81">
        <f t="shared" si="11"/>
        <v>748623.37167133484</v>
      </c>
      <c r="V34" s="81">
        <f t="shared" si="12"/>
        <v>19050275.887086261</v>
      </c>
      <c r="W34" s="87">
        <v>28550668.100000001</v>
      </c>
      <c r="X34" s="81"/>
      <c r="Y34" s="81"/>
      <c r="Z34" s="17"/>
    </row>
    <row r="35" spans="1:26">
      <c r="A35" s="6">
        <f t="shared" si="13"/>
        <v>2012</v>
      </c>
      <c r="B35" s="81">
        <f>'Exhibit O,3'!Q36+'Exhibit N,3'!Q36+'Exhibit O,3'!AB36</f>
        <v>19011278.64334945</v>
      </c>
      <c r="C35" s="81">
        <f>'Exhibit O,3'!R36+'Exhibit N,3'!R36</f>
        <v>13396936.190000001</v>
      </c>
      <c r="D35" s="81">
        <f>'Exhibit O,3'!S36+'Exhibit N,3'!S36</f>
        <v>15413427.860000001</v>
      </c>
      <c r="E35" s="81">
        <f>'Exhibit O,3'!T36+'Exhibit N,3'!T36</f>
        <v>13347833.610000001</v>
      </c>
      <c r="F35" s="81">
        <f>'Exhibit O,3'!U36+'Exhibit N,3'!U36</f>
        <v>15398912.900000002</v>
      </c>
      <c r="G35" s="81">
        <f t="shared" si="1"/>
        <v>7733491.1566505544</v>
      </c>
      <c r="H35" s="81">
        <f t="shared" si="2"/>
        <v>11801062.116650555</v>
      </c>
      <c r="I35" s="81">
        <f t="shared" si="3"/>
        <v>-5614342.4533494487</v>
      </c>
      <c r="J35" s="81">
        <f t="shared" si="4"/>
        <v>-3597850.7833494488</v>
      </c>
      <c r="K35" s="81">
        <f t="shared" si="5"/>
        <v>13347833.610000001</v>
      </c>
      <c r="L35" s="81">
        <f t="shared" si="5"/>
        <v>15398912.900000002</v>
      </c>
      <c r="M35" s="81">
        <f t="shared" si="6"/>
        <v>0</v>
      </c>
      <c r="N35" s="81">
        <f t="shared" si="7"/>
        <v>0</v>
      </c>
      <c r="O35" s="81">
        <f>'AD8'!O35*('AD8'!O$45-O$6)/'AD8'!O$45</f>
        <v>0</v>
      </c>
      <c r="P35" s="81">
        <f t="shared" si="8"/>
        <v>-3597850.7833494488</v>
      </c>
      <c r="Q35" s="81">
        <f t="shared" si="9"/>
        <v>15398912.900000002</v>
      </c>
      <c r="R35" s="81">
        <f t="shared" si="10"/>
        <v>11801062.116650553</v>
      </c>
      <c r="S35" s="81">
        <f>'AD8'!S35</f>
        <v>59841.724611231104</v>
      </c>
      <c r="T35" s="87">
        <v>780034.6736131605</v>
      </c>
      <c r="U35" s="81">
        <f t="shared" si="11"/>
        <v>839876.39822439163</v>
      </c>
      <c r="V35" s="81">
        <f t="shared" si="12"/>
        <v>12640938.514874944</v>
      </c>
      <c r="W35" s="87">
        <v>27077604.5</v>
      </c>
      <c r="X35" s="81"/>
      <c r="Y35" s="81"/>
      <c r="Z35" s="17"/>
    </row>
    <row r="36" spans="1:26">
      <c r="A36" s="6">
        <f t="shared" si="13"/>
        <v>2013</v>
      </c>
      <c r="B36" s="81">
        <f>'Exhibit O,3'!Q37+'Exhibit N,3'!Q37+'Exhibit O,3'!AB37</f>
        <v>17453758.070760861</v>
      </c>
      <c r="C36" s="81">
        <f>'Exhibit O,3'!R37+'Exhibit N,3'!R37</f>
        <v>18771657.799999997</v>
      </c>
      <c r="D36" s="81">
        <f>'Exhibit O,3'!S37+'Exhibit N,3'!S37</f>
        <v>21060004.139999997</v>
      </c>
      <c r="E36" s="81">
        <f>'Exhibit O,3'!T37+'Exhibit N,3'!T37</f>
        <v>18733576.849999998</v>
      </c>
      <c r="F36" s="81">
        <f>'Exhibit O,3'!U37+'Exhibit N,3'!U37</f>
        <v>21050004.139999997</v>
      </c>
      <c r="G36" s="81">
        <f t="shared" si="1"/>
        <v>20051476.57923913</v>
      </c>
      <c r="H36" s="81">
        <f t="shared" si="2"/>
        <v>24656250.209239133</v>
      </c>
      <c r="I36" s="81">
        <f t="shared" si="3"/>
        <v>1317899.729239136</v>
      </c>
      <c r="J36" s="81">
        <f t="shared" si="4"/>
        <v>3606246.0692391358</v>
      </c>
      <c r="K36" s="81">
        <f t="shared" si="5"/>
        <v>18733576.849999998</v>
      </c>
      <c r="L36" s="81">
        <f t="shared" si="5"/>
        <v>21050004.139999997</v>
      </c>
      <c r="M36" s="81">
        <f t="shared" si="6"/>
        <v>21288.457926546631</v>
      </c>
      <c r="N36" s="81">
        <f t="shared" si="7"/>
        <v>6180.5200431909579</v>
      </c>
      <c r="O36" s="81">
        <f>'AD8'!O36*('AD8'!O$45-O$6)/'AD8'!O$45</f>
        <v>27468.977969737589</v>
      </c>
      <c r="P36" s="81">
        <f t="shared" si="8"/>
        <v>3627534.5271656825</v>
      </c>
      <c r="Q36" s="81">
        <f t="shared" si="9"/>
        <v>21056184.660043187</v>
      </c>
      <c r="R36" s="81">
        <f t="shared" si="10"/>
        <v>24683719.187208869</v>
      </c>
      <c r="S36" s="81">
        <f>'AD8'!S36</f>
        <v>68829.520948565652</v>
      </c>
      <c r="T36" s="87">
        <v>937102.00300454616</v>
      </c>
      <c r="U36" s="81">
        <f t="shared" si="11"/>
        <v>1005931.5239531118</v>
      </c>
      <c r="V36" s="81">
        <f t="shared" si="12"/>
        <v>25689650.711161979</v>
      </c>
      <c r="W36" s="87">
        <v>28295079.629999999</v>
      </c>
      <c r="X36" s="81"/>
      <c r="Y36" s="81"/>
      <c r="Z36" s="17"/>
    </row>
    <row r="37" spans="1:26">
      <c r="A37" s="6">
        <f t="shared" si="13"/>
        <v>2014</v>
      </c>
      <c r="B37" s="81">
        <f>'Exhibit O,3'!Q38+'Exhibit N,3'!Q38+'Exhibit O,3'!AB38</f>
        <v>15529882.959710035</v>
      </c>
      <c r="C37" s="81">
        <f>'Exhibit O,3'!R38+'Exhibit N,3'!R38</f>
        <v>10728612.16</v>
      </c>
      <c r="D37" s="81">
        <f>'Exhibit O,3'!S38+'Exhibit N,3'!S38</f>
        <v>12777784.629999999</v>
      </c>
      <c r="E37" s="81">
        <f>'Exhibit O,3'!T38+'Exhibit N,3'!T38</f>
        <v>10680129.359999999</v>
      </c>
      <c r="F37" s="81">
        <f>'Exhibit O,3'!U38+'Exhibit N,3'!U38</f>
        <v>13431122.120000001</v>
      </c>
      <c r="G37" s="81">
        <f t="shared" si="1"/>
        <v>5878858.5602899641</v>
      </c>
      <c r="H37" s="81">
        <f t="shared" si="2"/>
        <v>10679023.790289965</v>
      </c>
      <c r="I37" s="81">
        <f t="shared" si="3"/>
        <v>-4801270.7997100353</v>
      </c>
      <c r="J37" s="81">
        <f t="shared" si="4"/>
        <v>-2752098.3297100365</v>
      </c>
      <c r="K37" s="81">
        <f t="shared" si="5"/>
        <v>10680129.359999999</v>
      </c>
      <c r="L37" s="81">
        <f t="shared" si="5"/>
        <v>13431122.120000001</v>
      </c>
      <c r="M37" s="81">
        <f t="shared" si="6"/>
        <v>103245.30422222948</v>
      </c>
      <c r="N37" s="81">
        <f t="shared" si="7"/>
        <v>29974.443161292424</v>
      </c>
      <c r="O37" s="81">
        <f>'AD8'!O37*('AD8'!O$45-O$6)/'AD8'!O$45</f>
        <v>133219.7473835219</v>
      </c>
      <c r="P37" s="81">
        <f t="shared" si="8"/>
        <v>-2648853.0254878071</v>
      </c>
      <c r="Q37" s="81">
        <f t="shared" si="9"/>
        <v>13461096.563161293</v>
      </c>
      <c r="R37" s="81">
        <f t="shared" si="10"/>
        <v>10812243.537673486</v>
      </c>
      <c r="S37" s="81">
        <f>'AD8'!S37</f>
        <v>65274.34690335609</v>
      </c>
      <c r="T37" s="87">
        <v>751452.69236092025</v>
      </c>
      <c r="U37" s="81">
        <f t="shared" si="11"/>
        <v>816727.03926427639</v>
      </c>
      <c r="V37" s="81">
        <f t="shared" si="12"/>
        <v>11628970.576937763</v>
      </c>
      <c r="W37" s="87">
        <v>27172159.149999999</v>
      </c>
      <c r="X37" s="81"/>
      <c r="Y37" s="81"/>
      <c r="Z37" s="17"/>
    </row>
    <row r="38" spans="1:26">
      <c r="A38" s="6">
        <f t="shared" si="13"/>
        <v>2015</v>
      </c>
      <c r="B38" s="81">
        <f>'Exhibit O,3'!Q39+'Exhibit N,3'!Q39+'Exhibit O,3'!AB39</f>
        <v>13847727.86252768</v>
      </c>
      <c r="C38" s="81">
        <f>'Exhibit O,3'!R39+'Exhibit N,3'!R39</f>
        <v>5166655.9499999993</v>
      </c>
      <c r="D38" s="81">
        <f>'Exhibit O,3'!S39+'Exhibit N,3'!S39</f>
        <v>6912304.1399999987</v>
      </c>
      <c r="E38" s="81">
        <f>'Exhibit O,3'!T39+'Exhibit N,3'!T39</f>
        <v>3731422.55</v>
      </c>
      <c r="F38" s="81">
        <f>'Exhibit O,3'!U39+'Exhibit N,3'!U39</f>
        <v>8705003.0099999979</v>
      </c>
      <c r="G38" s="81">
        <f t="shared" si="1"/>
        <v>-4949649.3625276797</v>
      </c>
      <c r="H38" s="81">
        <f t="shared" si="2"/>
        <v>1769579.287472317</v>
      </c>
      <c r="I38" s="81">
        <f t="shared" si="3"/>
        <v>-8681071.9125276804</v>
      </c>
      <c r="J38" s="81">
        <f t="shared" si="4"/>
        <v>-6935423.7225276809</v>
      </c>
      <c r="K38" s="81">
        <f t="shared" si="5"/>
        <v>3731422.55</v>
      </c>
      <c r="L38" s="81">
        <f t="shared" si="5"/>
        <v>8705003.0099999979</v>
      </c>
      <c r="M38" s="81">
        <f t="shared" si="6"/>
        <v>542739.33120671054</v>
      </c>
      <c r="N38" s="81">
        <f t="shared" si="7"/>
        <v>157569.48325356108</v>
      </c>
      <c r="O38" s="81">
        <f>'AD8'!O38*('AD8'!O$45-O$6)/'AD8'!O$45</f>
        <v>700308.81446027162</v>
      </c>
      <c r="P38" s="81">
        <f t="shared" si="8"/>
        <v>-6392684.3913209699</v>
      </c>
      <c r="Q38" s="81">
        <f t="shared" si="9"/>
        <v>8862572.4932535589</v>
      </c>
      <c r="R38" s="81">
        <f t="shared" si="10"/>
        <v>2469888.101932589</v>
      </c>
      <c r="S38" s="81">
        <f>'AD8'!S38</f>
        <v>75264.056516319702</v>
      </c>
      <c r="T38" s="87">
        <v>806179.24591736076</v>
      </c>
      <c r="U38" s="81">
        <f t="shared" si="11"/>
        <v>881443.30243368051</v>
      </c>
      <c r="V38" s="81">
        <f t="shared" si="12"/>
        <v>3351331.4043662697</v>
      </c>
      <c r="W38" s="87">
        <v>25441658</v>
      </c>
      <c r="X38" s="81"/>
      <c r="Y38" s="81"/>
      <c r="Z38" s="17"/>
    </row>
    <row r="39" spans="1:26">
      <c r="A39" s="6">
        <f t="shared" si="13"/>
        <v>2016</v>
      </c>
      <c r="B39" s="81">
        <f>'Exhibit O,3'!Q40+'Exhibit N,3'!Q40+'Exhibit O,3'!AB40</f>
        <v>12795162.236405367</v>
      </c>
      <c r="C39" s="81">
        <f>'Exhibit O,3'!R40+'Exhibit N,3'!R40</f>
        <v>7396887.2999999998</v>
      </c>
      <c r="D39" s="81">
        <f>'Exhibit O,3'!S40+'Exhibit N,3'!S40</f>
        <v>14350028.960000001</v>
      </c>
      <c r="E39" s="81">
        <f>'Exhibit O,3'!T40+'Exhibit N,3'!T40</f>
        <v>6331176.54</v>
      </c>
      <c r="F39" s="81">
        <f>'Exhibit O,3'!U40+'Exhibit N,3'!U40</f>
        <v>11545635.9</v>
      </c>
      <c r="G39" s="81">
        <f t="shared" si="1"/>
        <v>932901.60359463282</v>
      </c>
      <c r="H39" s="81">
        <f t="shared" si="2"/>
        <v>13100502.623594632</v>
      </c>
      <c r="I39" s="81">
        <f t="shared" si="3"/>
        <v>-5398274.9364053672</v>
      </c>
      <c r="J39" s="81">
        <f t="shared" si="4"/>
        <v>1554866.7235946339</v>
      </c>
      <c r="K39" s="81">
        <f t="shared" si="5"/>
        <v>6331176.54</v>
      </c>
      <c r="L39" s="81">
        <f t="shared" si="5"/>
        <v>11545635.9</v>
      </c>
      <c r="M39" s="81">
        <f t="shared" si="6"/>
        <v>1899424.9690163287</v>
      </c>
      <c r="N39" s="81">
        <f t="shared" si="7"/>
        <v>551445.9587466761</v>
      </c>
      <c r="O39" s="81">
        <f>'AD8'!O39*('AD8'!O$45-O$6)/'AD8'!O$45</f>
        <v>2450870.9277630048</v>
      </c>
      <c r="P39" s="81">
        <f t="shared" si="8"/>
        <v>3454291.6926109623</v>
      </c>
      <c r="Q39" s="81">
        <f t="shared" si="9"/>
        <v>12097081.858746676</v>
      </c>
      <c r="R39" s="81">
        <f t="shared" si="10"/>
        <v>15551373.551357638</v>
      </c>
      <c r="S39" s="81">
        <f>'AD8'!S39</f>
        <v>288445.23543821991</v>
      </c>
      <c r="T39" s="87">
        <v>627226.06351802067</v>
      </c>
      <c r="U39" s="81">
        <f t="shared" si="11"/>
        <v>915671.29895624053</v>
      </c>
      <c r="V39" s="81">
        <f t="shared" si="12"/>
        <v>16467044.85031388</v>
      </c>
      <c r="W39" s="87">
        <v>23948850</v>
      </c>
      <c r="X39" s="81"/>
      <c r="Y39" s="81"/>
      <c r="Z39" s="17"/>
    </row>
    <row r="40" spans="1:26">
      <c r="A40" s="6">
        <f t="shared" si="13"/>
        <v>2017</v>
      </c>
      <c r="B40" s="81">
        <f>'Exhibit O,3'!Q41+'Exhibit N,3'!Q41+'Exhibit O,3'!AB41</f>
        <v>11939166.055086583</v>
      </c>
      <c r="C40" s="81">
        <f>'Exhibit O,3'!R41+'Exhibit N,3'!R41</f>
        <v>6445883.4400000004</v>
      </c>
      <c r="D40" s="81">
        <f>'Exhibit O,3'!S41+'Exhibit N,3'!S41</f>
        <v>10777609.43</v>
      </c>
      <c r="E40" s="81">
        <f>'Exhibit O,3'!T41+'Exhibit N,3'!T41</f>
        <v>4824145.47</v>
      </c>
      <c r="F40" s="81">
        <f>'Exhibit O,3'!U41+'Exhibit N,3'!U41</f>
        <v>8837368.5999999996</v>
      </c>
      <c r="G40" s="81">
        <f t="shared" si="1"/>
        <v>-669137.14508658275</v>
      </c>
      <c r="H40" s="81">
        <f t="shared" si="2"/>
        <v>7675811.9749134183</v>
      </c>
      <c r="I40" s="81">
        <f t="shared" si="3"/>
        <v>-5493282.6150865825</v>
      </c>
      <c r="J40" s="81">
        <f t="shared" si="4"/>
        <v>-1161556.6250865832</v>
      </c>
      <c r="K40" s="81">
        <f t="shared" si="5"/>
        <v>4824145.47</v>
      </c>
      <c r="L40" s="81">
        <f t="shared" si="5"/>
        <v>8837368.5999999996</v>
      </c>
      <c r="M40" s="81">
        <f t="shared" si="6"/>
        <v>2266869.2090695333</v>
      </c>
      <c r="N40" s="81">
        <f t="shared" si="7"/>
        <v>658123.31876212265</v>
      </c>
      <c r="O40" s="81">
        <f>'AD8'!O40*('AD8'!O$45-O$6)/'AD8'!O$45</f>
        <v>2924992.5278316559</v>
      </c>
      <c r="P40" s="81">
        <f t="shared" si="8"/>
        <v>1105312.5839829501</v>
      </c>
      <c r="Q40" s="81">
        <f t="shared" si="9"/>
        <v>9495491.9187621213</v>
      </c>
      <c r="R40" s="81">
        <f t="shared" si="10"/>
        <v>10600804.502745071</v>
      </c>
      <c r="S40" s="81">
        <f>'AD8'!S40</f>
        <v>226534.48040203433</v>
      </c>
      <c r="T40" s="87">
        <v>471711.15187271149</v>
      </c>
      <c r="U40" s="81">
        <f t="shared" si="11"/>
        <v>698245.63227474585</v>
      </c>
      <c r="V40" s="81">
        <f t="shared" si="12"/>
        <v>11299050.135019816</v>
      </c>
      <c r="W40" s="87">
        <v>19315440</v>
      </c>
      <c r="X40" s="81"/>
      <c r="Y40" s="81"/>
      <c r="Z40" s="17"/>
    </row>
    <row r="41" spans="1:26">
      <c r="A41" s="6">
        <f t="shared" si="13"/>
        <v>2018</v>
      </c>
      <c r="B41" s="81">
        <f>'Exhibit O,3'!Q42+'Exhibit N,3'!Q42+'Exhibit O,3'!AB42</f>
        <v>11939002.013593584</v>
      </c>
      <c r="C41" s="81">
        <f>'Exhibit O,3'!R42+'Exhibit N,3'!R42</f>
        <v>5740458.2000000002</v>
      </c>
      <c r="D41" s="81">
        <f>'Exhibit O,3'!S42+'Exhibit N,3'!S42</f>
        <v>8231174.7300000004</v>
      </c>
      <c r="E41" s="81">
        <f>'Exhibit O,3'!T42+'Exhibit N,3'!T42</f>
        <v>893958.71</v>
      </c>
      <c r="F41" s="81">
        <f>'Exhibit O,3'!U42+'Exhibit N,3'!U42</f>
        <v>3336520.29</v>
      </c>
      <c r="G41" s="81">
        <f t="shared" si="1"/>
        <v>-5304585.1035935842</v>
      </c>
      <c r="H41" s="81">
        <f t="shared" si="2"/>
        <v>-371306.99359358475</v>
      </c>
      <c r="I41" s="81">
        <f t="shared" si="3"/>
        <v>-6198543.8135935841</v>
      </c>
      <c r="J41" s="81">
        <f t="shared" si="4"/>
        <v>-3707827.2835935839</v>
      </c>
      <c r="K41" s="81">
        <f t="shared" si="5"/>
        <v>893958.71</v>
      </c>
      <c r="L41" s="81">
        <f t="shared" si="5"/>
        <v>3336520.29</v>
      </c>
      <c r="M41" s="81">
        <f t="shared" si="6"/>
        <v>3116166.8224992929</v>
      </c>
      <c r="N41" s="81">
        <f t="shared" si="7"/>
        <v>904693.59362882702</v>
      </c>
      <c r="O41" s="81">
        <f>'AD8'!O41*('AD8'!O$45-O$6)/'AD8'!O$45</f>
        <v>4020860.4161281199</v>
      </c>
      <c r="P41" s="81">
        <f t="shared" si="8"/>
        <v>-591660.46109429095</v>
      </c>
      <c r="Q41" s="81">
        <f t="shared" si="9"/>
        <v>4241213.8836288266</v>
      </c>
      <c r="R41" s="81">
        <f>P41+Q41</f>
        <v>3649553.4225345356</v>
      </c>
      <c r="S41" s="81">
        <f>'AD8'!S41</f>
        <v>208611.31119606391</v>
      </c>
      <c r="T41" s="87">
        <v>434058.01236503641</v>
      </c>
      <c r="U41" s="81">
        <f t="shared" si="11"/>
        <v>642669.32356110029</v>
      </c>
      <c r="V41" s="81">
        <f t="shared" si="12"/>
        <v>4292222.7460956359</v>
      </c>
      <c r="W41" s="87">
        <v>18836167</v>
      </c>
      <c r="X41" s="81"/>
      <c r="Y41" s="81"/>
      <c r="Z41" s="17"/>
    </row>
    <row r="42" spans="1:26">
      <c r="A42" s="6">
        <f t="shared" si="13"/>
        <v>2019</v>
      </c>
      <c r="B42" s="81">
        <f>'Exhibit O,3'!Q43+'Exhibit N,3'!Q43+'Exhibit O,3'!AB43</f>
        <v>14295246.525080603</v>
      </c>
      <c r="C42" s="81">
        <f>'Exhibit O,3'!R43+'Exhibit N,3'!R43</f>
        <v>497480.03</v>
      </c>
      <c r="D42" s="81">
        <f>'Exhibit O,3'!S43+'Exhibit N,3'!S43</f>
        <v>2146692.9499999997</v>
      </c>
      <c r="E42" s="81">
        <f>'Exhibit O,3'!T43+'Exhibit N,3'!T43</f>
        <v>193612.58000000002</v>
      </c>
      <c r="F42" s="81">
        <f>'Exhibit O,3'!U43+'Exhibit N,3'!U43</f>
        <v>1130509.45</v>
      </c>
      <c r="G42" s="81">
        <f t="shared" si="1"/>
        <v>-13604153.915080603</v>
      </c>
      <c r="H42" s="81">
        <f t="shared" si="2"/>
        <v>-11018044.125080604</v>
      </c>
      <c r="I42" s="81">
        <f t="shared" si="3"/>
        <v>-13797766.495080603</v>
      </c>
      <c r="J42" s="81">
        <f t="shared" si="4"/>
        <v>-12148553.575080603</v>
      </c>
      <c r="K42" s="81">
        <f t="shared" si="5"/>
        <v>193612.58000000002</v>
      </c>
      <c r="L42" s="81">
        <f t="shared" si="5"/>
        <v>1130509.45</v>
      </c>
      <c r="M42" s="81">
        <f t="shared" si="6"/>
        <v>5846575.5674329847</v>
      </c>
      <c r="N42" s="81">
        <f t="shared" si="7"/>
        <v>1697392.9066740917</v>
      </c>
      <c r="O42" s="81">
        <f>'AD8'!O42*('AD8'!O$45-O$6)/'AD8'!O$45</f>
        <v>7543968.4741070764</v>
      </c>
      <c r="P42" s="81">
        <f t="shared" si="8"/>
        <v>-6301978.0076476187</v>
      </c>
      <c r="Q42" s="81">
        <f t="shared" si="9"/>
        <v>2827902.3566740919</v>
      </c>
      <c r="R42" s="81">
        <f t="shared" si="10"/>
        <v>-3474075.6509735268</v>
      </c>
      <c r="S42" s="81">
        <f>'AD8'!S42</f>
        <v>301660.72656104446</v>
      </c>
      <c r="T42" s="87">
        <v>215329.76800396666</v>
      </c>
      <c r="U42" s="81">
        <f t="shared" si="11"/>
        <v>516990.49456501112</v>
      </c>
      <c r="V42" s="81">
        <f t="shared" si="12"/>
        <v>-2957085.1564085158</v>
      </c>
      <c r="W42" s="87">
        <v>22709951.239999998</v>
      </c>
      <c r="X42" s="81"/>
      <c r="Y42" s="81"/>
      <c r="Z42" s="17"/>
    </row>
    <row r="43" spans="1:26">
      <c r="A43" s="6">
        <f t="shared" si="13"/>
        <v>2020</v>
      </c>
      <c r="B43" s="81">
        <f>'Exhibit O,3'!Q44+'Exhibit N,3'!Q44+'Exhibit O,3'!AB44</f>
        <v>15890167.78097108</v>
      </c>
      <c r="C43" s="81">
        <f>'Exhibit O,3'!R44+'Exhibit N,3'!R44</f>
        <v>395862.9</v>
      </c>
      <c r="D43" s="81">
        <f>'Exhibit O,3'!S44+'Exhibit N,3'!S44</f>
        <v>2421009.17</v>
      </c>
      <c r="E43" s="81">
        <f>'Exhibit O,3'!T44+'Exhibit N,3'!T44</f>
        <v>0</v>
      </c>
      <c r="F43" s="81">
        <f>'Exhibit O,3'!U44+'Exhibit N,3'!U44</f>
        <v>0</v>
      </c>
      <c r="G43" s="81">
        <f t="shared" si="1"/>
        <v>-15494304.88097108</v>
      </c>
      <c r="H43" s="81">
        <f t="shared" si="2"/>
        <v>-13469158.61097108</v>
      </c>
      <c r="I43" s="81">
        <f t="shared" si="3"/>
        <v>-15494304.88097108</v>
      </c>
      <c r="J43" s="81">
        <f t="shared" si="4"/>
        <v>-13469158.61097108</v>
      </c>
      <c r="K43" s="81">
        <f t="shared" si="5"/>
        <v>0</v>
      </c>
      <c r="L43" s="81">
        <f t="shared" si="5"/>
        <v>0</v>
      </c>
      <c r="M43" s="81">
        <f t="shared" si="6"/>
        <v>7363381.5214590915</v>
      </c>
      <c r="N43" s="81">
        <f t="shared" si="7"/>
        <v>2137755.9255848974</v>
      </c>
      <c r="O43" s="81">
        <f>'AD8'!O43*('AD8'!O$45-O$6)/'AD8'!O$45</f>
        <v>9501137.4470439889</v>
      </c>
      <c r="P43" s="81">
        <f t="shared" si="8"/>
        <v>-6105777.0895119887</v>
      </c>
      <c r="Q43" s="81">
        <f t="shared" si="9"/>
        <v>2137755.9255848974</v>
      </c>
      <c r="R43" s="81">
        <f t="shared" si="10"/>
        <v>-3968021.1639270913</v>
      </c>
      <c r="S43" s="81">
        <f>'AD8'!S43</f>
        <v>378380.97188842605</v>
      </c>
      <c r="T43" s="87">
        <v>20014.649874795872</v>
      </c>
      <c r="U43" s="81">
        <f t="shared" si="11"/>
        <v>398395.62176322192</v>
      </c>
      <c r="V43" s="81">
        <f t="shared" si="12"/>
        <v>-3569625.5421638694</v>
      </c>
      <c r="W43" s="87">
        <v>15038303.850000016</v>
      </c>
      <c r="X43" s="81"/>
      <c r="Y43" s="81"/>
      <c r="Z43" s="17"/>
    </row>
    <row r="44" spans="1:26">
      <c r="A44" s="6"/>
      <c r="B44" s="81"/>
      <c r="C44" s="17"/>
      <c r="D44" s="81"/>
      <c r="E44" s="81"/>
      <c r="F44" s="81"/>
      <c r="G44" s="81">
        <f t="shared" si="1"/>
        <v>0</v>
      </c>
      <c r="H44" s="81">
        <f t="shared" si="2"/>
        <v>0</v>
      </c>
      <c r="I44" s="81">
        <f t="shared" si="3"/>
        <v>0</v>
      </c>
      <c r="J44" s="81">
        <f t="shared" si="4"/>
        <v>0</v>
      </c>
      <c r="K44" s="81">
        <f t="shared" si="5"/>
        <v>0</v>
      </c>
      <c r="L44" s="81">
        <f t="shared" si="5"/>
        <v>0</v>
      </c>
      <c r="M44" s="81">
        <f t="shared" si="6"/>
        <v>0</v>
      </c>
      <c r="N44" s="81">
        <f t="shared" si="7"/>
        <v>0</v>
      </c>
      <c r="O44" s="81">
        <f>'AD8'!O44*('AD8'!O$45-O$6)/'AD8'!O$45</f>
        <v>0</v>
      </c>
      <c r="P44" s="81">
        <f t="shared" si="8"/>
        <v>0</v>
      </c>
      <c r="Q44" s="81">
        <f t="shared" si="9"/>
        <v>0</v>
      </c>
      <c r="R44" s="81">
        <f t="shared" si="10"/>
        <v>0</v>
      </c>
      <c r="S44" s="81">
        <f>'AD8'!S44</f>
        <v>0</v>
      </c>
      <c r="T44" s="87">
        <v>0</v>
      </c>
      <c r="U44" s="81">
        <f t="shared" si="11"/>
        <v>0</v>
      </c>
      <c r="V44" s="81">
        <f t="shared" si="12"/>
        <v>0</v>
      </c>
      <c r="W44" s="81"/>
      <c r="X44" s="81"/>
      <c r="Y44" s="81"/>
      <c r="Z44" s="17"/>
    </row>
    <row r="45" spans="1:26">
      <c r="A45" s="6" t="s">
        <v>0</v>
      </c>
      <c r="B45" s="82">
        <f t="shared" ref="B45:G45" si="14">SUM(B15:B43)</f>
        <v>201783939.34069455</v>
      </c>
      <c r="C45" s="82">
        <f t="shared" si="14"/>
        <v>707621261.25</v>
      </c>
      <c r="D45" s="82">
        <f t="shared" si="14"/>
        <v>733269863.28999996</v>
      </c>
      <c r="E45" s="82">
        <f t="shared" si="14"/>
        <v>697769138.01999998</v>
      </c>
      <c r="F45" s="82">
        <f t="shared" si="14"/>
        <v>722797746.81999981</v>
      </c>
      <c r="G45" s="82">
        <f t="shared" si="14"/>
        <v>1203606459.9293053</v>
      </c>
      <c r="H45" s="82">
        <f t="shared" ref="H45:Q45" si="15">SUM(H15:H43)</f>
        <v>1254283670.7693052</v>
      </c>
      <c r="I45" s="82">
        <f t="shared" si="15"/>
        <v>505837321.90930527</v>
      </c>
      <c r="J45" s="82">
        <f t="shared" si="15"/>
        <v>531485923.94930553</v>
      </c>
      <c r="K45" s="82">
        <f t="shared" si="15"/>
        <v>697769138.01999998</v>
      </c>
      <c r="L45" s="82">
        <f t="shared" si="15"/>
        <v>722797746.81999981</v>
      </c>
      <c r="M45" s="82">
        <f t="shared" si="15"/>
        <v>21159691.182832718</v>
      </c>
      <c r="N45" s="82">
        <f t="shared" si="15"/>
        <v>6143136.1498546591</v>
      </c>
      <c r="O45" s="82">
        <f t="shared" si="15"/>
        <v>27302827.332687378</v>
      </c>
      <c r="P45" s="82">
        <f t="shared" si="15"/>
        <v>552645615.13213813</v>
      </c>
      <c r="Q45" s="82">
        <f t="shared" si="15"/>
        <v>728940882.96985447</v>
      </c>
      <c r="R45" s="82">
        <f t="shared" ref="R45:W45" si="16">SUM(R15:R43)</f>
        <v>1281586498.1019928</v>
      </c>
      <c r="S45" s="82">
        <f t="shared" si="16"/>
        <v>1675780.3140683104</v>
      </c>
      <c r="T45" s="82">
        <f t="shared" si="16"/>
        <v>6750713.2443948146</v>
      </c>
      <c r="U45" s="82">
        <f t="shared" si="16"/>
        <v>8426493.5584631246</v>
      </c>
      <c r="V45" s="82">
        <f t="shared" si="16"/>
        <v>1290012991.6604557</v>
      </c>
      <c r="W45" s="82">
        <f t="shared" si="16"/>
        <v>236385881.47000003</v>
      </c>
      <c r="X45" s="81"/>
      <c r="Y45" s="81"/>
      <c r="Z45" s="17"/>
    </row>
    <row r="46" spans="1:26">
      <c r="A46" s="6"/>
      <c r="B46" s="81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17"/>
    </row>
    <row r="47" spans="1:26">
      <c r="A47" s="6"/>
      <c r="B47" s="81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 t="s">
        <v>685</v>
      </c>
      <c r="O47" s="81">
        <f>O45+O6-'AD8'!O45</f>
        <v>0</v>
      </c>
      <c r="P47" s="81">
        <f>V45+$O6-'AD8'!V45</f>
        <v>0</v>
      </c>
      <c r="Q47" s="81"/>
      <c r="R47" s="81"/>
      <c r="S47" s="81"/>
      <c r="T47" s="81"/>
      <c r="U47" s="81"/>
      <c r="V47" s="81"/>
      <c r="W47" s="81"/>
      <c r="X47" s="81"/>
      <c r="Y47" s="81"/>
      <c r="Z47" s="17"/>
    </row>
    <row r="48" spans="1:26">
      <c r="A48" s="6"/>
      <c r="B48" s="81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17"/>
    </row>
    <row r="49" spans="1:26">
      <c r="A49" s="6" t="s">
        <v>13</v>
      </c>
      <c r="B49" s="81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  <c r="X49" s="81"/>
      <c r="Y49" s="81"/>
      <c r="Z49" s="17"/>
    </row>
    <row r="50" spans="1:26">
      <c r="A50" s="6"/>
      <c r="B50" s="29" t="s">
        <v>665</v>
      </c>
      <c r="C50" s="29" t="s">
        <v>666</v>
      </c>
      <c r="D50" s="29" t="s">
        <v>667</v>
      </c>
      <c r="E50" s="29" t="s">
        <v>665</v>
      </c>
      <c r="F50" s="29" t="s">
        <v>673</v>
      </c>
      <c r="G50" s="17"/>
      <c r="H50" s="81"/>
      <c r="I50" s="81"/>
      <c r="J50" s="81"/>
      <c r="K50" s="81"/>
      <c r="L50" s="81"/>
      <c r="M50" s="17"/>
      <c r="N50" s="83">
        <v>0.05</v>
      </c>
      <c r="O50" s="81"/>
      <c r="P50" s="81"/>
      <c r="Q50" s="81"/>
      <c r="R50" s="81" t="s">
        <v>67</v>
      </c>
      <c r="S50" s="6"/>
      <c r="T50" s="6"/>
      <c r="U50" s="6"/>
      <c r="V50" s="6" t="s">
        <v>67</v>
      </c>
      <c r="W50" s="6"/>
      <c r="X50" s="81"/>
      <c r="Y50" s="81"/>
      <c r="Z50" s="17"/>
    </row>
    <row r="51" spans="1:26">
      <c r="A51" s="6" t="s">
        <v>3</v>
      </c>
      <c r="B51" s="29" t="s">
        <v>524</v>
      </c>
      <c r="C51" s="29" t="s">
        <v>524</v>
      </c>
      <c r="D51" s="29" t="s">
        <v>524</v>
      </c>
      <c r="E51" s="29" t="s">
        <v>528</v>
      </c>
      <c r="F51" s="29" t="s">
        <v>528</v>
      </c>
      <c r="G51" s="81" t="s">
        <v>14</v>
      </c>
      <c r="H51" s="81" t="s">
        <v>12</v>
      </c>
      <c r="I51" s="81" t="s">
        <v>14</v>
      </c>
      <c r="J51" s="81" t="s">
        <v>12</v>
      </c>
      <c r="K51" s="81" t="s">
        <v>14</v>
      </c>
      <c r="L51" s="81" t="s">
        <v>12</v>
      </c>
      <c r="M51" s="81" t="s">
        <v>381</v>
      </c>
      <c r="N51" s="81" t="s">
        <v>381</v>
      </c>
      <c r="O51" s="81" t="s">
        <v>381</v>
      </c>
      <c r="P51" s="81" t="s">
        <v>660</v>
      </c>
      <c r="Q51" s="81" t="s">
        <v>67</v>
      </c>
      <c r="R51" s="81" t="s">
        <v>662</v>
      </c>
      <c r="S51" s="6" t="s">
        <v>661</v>
      </c>
      <c r="T51" s="6" t="s">
        <v>661</v>
      </c>
      <c r="U51" s="6" t="s">
        <v>67</v>
      </c>
      <c r="V51" s="6" t="s">
        <v>663</v>
      </c>
      <c r="W51" s="6" t="s">
        <v>177</v>
      </c>
      <c r="X51" s="81"/>
      <c r="Y51" s="81"/>
      <c r="Z51" s="17"/>
    </row>
    <row r="52" spans="1:26">
      <c r="A52" s="6" t="s">
        <v>4</v>
      </c>
      <c r="B52" s="30" t="s">
        <v>668</v>
      </c>
      <c r="C52" s="30" t="s">
        <v>669</v>
      </c>
      <c r="D52" s="30" t="s">
        <v>670</v>
      </c>
      <c r="E52" s="30" t="s">
        <v>668</v>
      </c>
      <c r="F52" s="30" t="s">
        <v>670</v>
      </c>
      <c r="G52" s="81" t="s">
        <v>0</v>
      </c>
      <c r="H52" s="81" t="s">
        <v>0</v>
      </c>
      <c r="I52" s="81" t="s">
        <v>566</v>
      </c>
      <c r="J52" s="81" t="s">
        <v>566</v>
      </c>
      <c r="K52" s="81" t="s">
        <v>567</v>
      </c>
      <c r="L52" s="81" t="s">
        <v>567</v>
      </c>
      <c r="M52" s="81" t="s">
        <v>566</v>
      </c>
      <c r="N52" s="81" t="s">
        <v>567</v>
      </c>
      <c r="O52" s="81" t="s">
        <v>0</v>
      </c>
      <c r="P52" s="81" t="s">
        <v>566</v>
      </c>
      <c r="Q52" s="81" t="s">
        <v>567</v>
      </c>
      <c r="R52" s="81" t="s">
        <v>0</v>
      </c>
      <c r="S52" s="6" t="s">
        <v>117</v>
      </c>
      <c r="T52" s="6" t="s">
        <v>14</v>
      </c>
      <c r="U52" s="6" t="s">
        <v>661</v>
      </c>
      <c r="V52" s="6" t="s">
        <v>0</v>
      </c>
      <c r="W52" s="6" t="s">
        <v>16</v>
      </c>
      <c r="X52" s="81"/>
      <c r="Y52" s="81"/>
      <c r="Z52" s="17"/>
    </row>
    <row r="53" spans="1:26">
      <c r="A53" s="10">
        <v>-1</v>
      </c>
      <c r="B53" s="10">
        <f>A53-1</f>
        <v>-2</v>
      </c>
      <c r="C53" s="10">
        <f>B53-1</f>
        <v>-3</v>
      </c>
      <c r="D53" s="10">
        <f>C53-1</f>
        <v>-4</v>
      </c>
      <c r="E53" s="10">
        <f>D53-1</f>
        <v>-5</v>
      </c>
      <c r="F53" s="10">
        <f>E53-1</f>
        <v>-6</v>
      </c>
      <c r="G53" s="10">
        <f t="shared" ref="G53:L53" si="17">F53-1</f>
        <v>-7</v>
      </c>
      <c r="H53" s="10">
        <f t="shared" si="17"/>
        <v>-8</v>
      </c>
      <c r="I53" s="10">
        <f t="shared" si="17"/>
        <v>-9</v>
      </c>
      <c r="J53" s="10">
        <f t="shared" si="17"/>
        <v>-10</v>
      </c>
      <c r="K53" s="10">
        <f t="shared" si="17"/>
        <v>-11</v>
      </c>
      <c r="L53" s="10">
        <f t="shared" si="17"/>
        <v>-12</v>
      </c>
      <c r="M53" s="10">
        <f>L53-1</f>
        <v>-13</v>
      </c>
      <c r="N53" s="10">
        <f t="shared" ref="N53:W53" si="18">M53-1</f>
        <v>-14</v>
      </c>
      <c r="O53" s="10">
        <f t="shared" si="18"/>
        <v>-15</v>
      </c>
      <c r="P53" s="10">
        <f t="shared" si="18"/>
        <v>-16</v>
      </c>
      <c r="Q53" s="10">
        <f t="shared" si="18"/>
        <v>-17</v>
      </c>
      <c r="R53" s="10">
        <f t="shared" si="18"/>
        <v>-18</v>
      </c>
      <c r="S53" s="10">
        <f t="shared" si="18"/>
        <v>-19</v>
      </c>
      <c r="T53" s="10">
        <f t="shared" si="18"/>
        <v>-20</v>
      </c>
      <c r="U53" s="10">
        <f t="shared" si="18"/>
        <v>-21</v>
      </c>
      <c r="V53" s="10">
        <f t="shared" si="18"/>
        <v>-22</v>
      </c>
      <c r="W53" s="10">
        <f t="shared" si="18"/>
        <v>-23</v>
      </c>
      <c r="X53" s="81"/>
      <c r="Y53" s="81"/>
      <c r="Z53" s="17"/>
    </row>
    <row r="54" spans="1:26">
      <c r="A54" s="80"/>
      <c r="B54" s="81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6"/>
      <c r="T54" s="6"/>
      <c r="U54" s="6"/>
      <c r="V54" s="6"/>
      <c r="W54" s="6"/>
      <c r="X54" s="81"/>
      <c r="Y54" s="81"/>
      <c r="Z54" s="17"/>
    </row>
    <row r="55" spans="1:26">
      <c r="A55" s="6">
        <v>1992</v>
      </c>
      <c r="B55" s="81">
        <f>'Exhibit H,5'!Q16</f>
        <v>12530063.48</v>
      </c>
      <c r="C55" s="81">
        <f>'Exhibit H,5'!R16</f>
        <v>12530063.48</v>
      </c>
      <c r="D55" s="81">
        <f>'Exhibit H,5'!S16</f>
        <v>12530063.48</v>
      </c>
      <c r="E55" s="81">
        <f>'Exhibit H,5'!T16</f>
        <v>12530063.48</v>
      </c>
      <c r="F55" s="81">
        <f>'Exhibit H,5'!U16</f>
        <v>0</v>
      </c>
      <c r="G55" s="81">
        <f>B55+C55+E55</f>
        <v>37590190.439999998</v>
      </c>
      <c r="H55" s="81">
        <f>G55+D55+F55</f>
        <v>50120253.920000002</v>
      </c>
      <c r="I55" s="81">
        <f>B55+C55</f>
        <v>25060126.960000001</v>
      </c>
      <c r="J55" s="81">
        <f>I55+D55</f>
        <v>37590190.439999998</v>
      </c>
      <c r="K55" s="81">
        <f>E55</f>
        <v>12530063.48</v>
      </c>
      <c r="L55" s="81">
        <f>E55+F55</f>
        <v>12530063.48</v>
      </c>
      <c r="M55" s="81">
        <f>O55-N55</f>
        <v>0</v>
      </c>
      <c r="N55" s="81">
        <f>N$50*O55</f>
        <v>0</v>
      </c>
      <c r="O55" s="81">
        <f>O15-O95</f>
        <v>0</v>
      </c>
      <c r="P55" s="81">
        <f>J55+M55</f>
        <v>37590190.439999998</v>
      </c>
      <c r="Q55" s="81">
        <f>L55+N55</f>
        <v>12530063.48</v>
      </c>
      <c r="R55" s="81">
        <f t="shared" ref="R55:R83" si="19">P55+Q55</f>
        <v>50120253.920000002</v>
      </c>
      <c r="S55" s="81"/>
      <c r="T55" s="81"/>
      <c r="U55" s="81">
        <f>S55+T55</f>
        <v>0</v>
      </c>
      <c r="V55" s="81">
        <f>R55+U55</f>
        <v>50120253.920000002</v>
      </c>
      <c r="W55" s="81"/>
      <c r="X55" s="81"/>
      <c r="Y55" s="81"/>
      <c r="Z55" s="17"/>
    </row>
    <row r="56" spans="1:26">
      <c r="A56" s="6">
        <f>A55+1</f>
        <v>1993</v>
      </c>
      <c r="B56" s="81">
        <f>'Exhibit H,5'!Q17</f>
        <v>27722793.159999996</v>
      </c>
      <c r="C56" s="81">
        <f>'Exhibit H,5'!R17</f>
        <v>27722793.159999996</v>
      </c>
      <c r="D56" s="81">
        <f>'Exhibit H,5'!S17</f>
        <v>27722793.159999996</v>
      </c>
      <c r="E56" s="81">
        <f>'Exhibit H,5'!T17</f>
        <v>27722793.159999996</v>
      </c>
      <c r="F56" s="81">
        <f>'Exhibit H,5'!U17</f>
        <v>0</v>
      </c>
      <c r="G56" s="81">
        <f t="shared" ref="G56:G83" si="20">B56+C56+E56</f>
        <v>83168379.479999989</v>
      </c>
      <c r="H56" s="81">
        <f t="shared" ref="H56:H83" si="21">G56+D56+F56</f>
        <v>110891172.63999999</v>
      </c>
      <c r="I56" s="81">
        <f t="shared" ref="I56:I83" si="22">B56+C56</f>
        <v>55445586.319999993</v>
      </c>
      <c r="J56" s="81">
        <f t="shared" ref="J56:J83" si="23">I56+D56</f>
        <v>83168379.479999989</v>
      </c>
      <c r="K56" s="81">
        <f t="shared" ref="K56:K83" si="24">E56</f>
        <v>27722793.159999996</v>
      </c>
      <c r="L56" s="81">
        <f t="shared" ref="L56:L83" si="25">E56+F56</f>
        <v>27722793.159999996</v>
      </c>
      <c r="M56" s="81">
        <f t="shared" ref="M56:M84" si="26">O56-N56</f>
        <v>0</v>
      </c>
      <c r="N56" s="81">
        <f t="shared" ref="N56:N84" si="27">N$50*O56</f>
        <v>0</v>
      </c>
      <c r="O56" s="81">
        <f t="shared" ref="O56:O83" si="28">O16-O96</f>
        <v>0</v>
      </c>
      <c r="P56" s="81">
        <f t="shared" ref="P56:P84" si="29">J56+M56</f>
        <v>83168379.479999989</v>
      </c>
      <c r="Q56" s="81">
        <f t="shared" ref="Q56:Q84" si="30">L56+N56</f>
        <v>27722793.159999996</v>
      </c>
      <c r="R56" s="81">
        <f t="shared" si="19"/>
        <v>110891172.63999999</v>
      </c>
      <c r="S56" s="81"/>
      <c r="T56" s="81"/>
      <c r="U56" s="81">
        <f t="shared" ref="U56:U84" si="31">S56+T56</f>
        <v>0</v>
      </c>
      <c r="V56" s="81">
        <f t="shared" ref="V56:V84" si="32">R56+U56</f>
        <v>110891172.63999999</v>
      </c>
      <c r="W56" s="81"/>
      <c r="X56" s="81"/>
      <c r="Y56" s="81"/>
      <c r="Z56" s="17"/>
    </row>
    <row r="57" spans="1:26">
      <c r="A57" s="6">
        <f t="shared" ref="A57:A83" si="33">A56+1</f>
        <v>1994</v>
      </c>
      <c r="B57" s="81">
        <f>'Exhibit H,5'!Q18</f>
        <v>19535873.620000001</v>
      </c>
      <c r="C57" s="81">
        <f>'Exhibit H,5'!R18</f>
        <v>19535873.620000001</v>
      </c>
      <c r="D57" s="81">
        <f>'Exhibit H,5'!S18</f>
        <v>19535873.620000001</v>
      </c>
      <c r="E57" s="81">
        <f>'Exhibit H,5'!T18</f>
        <v>19535873.620000001</v>
      </c>
      <c r="F57" s="81">
        <f>'Exhibit H,5'!U18</f>
        <v>0</v>
      </c>
      <c r="G57" s="81">
        <f t="shared" si="20"/>
        <v>58607620.859999999</v>
      </c>
      <c r="H57" s="81">
        <f t="shared" si="21"/>
        <v>78143494.480000004</v>
      </c>
      <c r="I57" s="81">
        <f t="shared" si="22"/>
        <v>39071747.240000002</v>
      </c>
      <c r="J57" s="81">
        <f t="shared" si="23"/>
        <v>58607620.859999999</v>
      </c>
      <c r="K57" s="81">
        <f t="shared" si="24"/>
        <v>19535873.620000001</v>
      </c>
      <c r="L57" s="81">
        <f t="shared" si="25"/>
        <v>19535873.620000001</v>
      </c>
      <c r="M57" s="81">
        <f t="shared" si="26"/>
        <v>0</v>
      </c>
      <c r="N57" s="81">
        <f t="shared" si="27"/>
        <v>0</v>
      </c>
      <c r="O57" s="81">
        <f t="shared" si="28"/>
        <v>0</v>
      </c>
      <c r="P57" s="81">
        <f t="shared" si="29"/>
        <v>58607620.859999999</v>
      </c>
      <c r="Q57" s="81">
        <f t="shared" si="30"/>
        <v>19535873.620000001</v>
      </c>
      <c r="R57" s="81">
        <f t="shared" si="19"/>
        <v>78143494.480000004</v>
      </c>
      <c r="S57" s="81"/>
      <c r="T57" s="81"/>
      <c r="U57" s="81">
        <f t="shared" si="31"/>
        <v>0</v>
      </c>
      <c r="V57" s="81">
        <f t="shared" si="32"/>
        <v>78143494.480000004</v>
      </c>
      <c r="W57" s="81"/>
      <c r="X57" s="81"/>
      <c r="Y57" s="81"/>
      <c r="Z57" s="17"/>
    </row>
    <row r="58" spans="1:26">
      <c r="A58" s="6">
        <f t="shared" si="33"/>
        <v>1995</v>
      </c>
      <c r="B58" s="81">
        <f>'Exhibit H,5'!Q19</f>
        <v>10551553.370000001</v>
      </c>
      <c r="C58" s="81">
        <f>'Exhibit H,5'!R19</f>
        <v>10551553.370000001</v>
      </c>
      <c r="D58" s="81">
        <f>'Exhibit H,5'!S19</f>
        <v>10551553.370000001</v>
      </c>
      <c r="E58" s="81">
        <f>'Exhibit H,5'!T19</f>
        <v>10551553.370000001</v>
      </c>
      <c r="F58" s="81">
        <f>'Exhibit H,5'!U19</f>
        <v>0</v>
      </c>
      <c r="G58" s="81">
        <f t="shared" si="20"/>
        <v>31654660.110000003</v>
      </c>
      <c r="H58" s="81">
        <f t="shared" si="21"/>
        <v>42206213.480000004</v>
      </c>
      <c r="I58" s="81">
        <f t="shared" si="22"/>
        <v>21103106.740000002</v>
      </c>
      <c r="J58" s="81">
        <f t="shared" si="23"/>
        <v>31654660.110000003</v>
      </c>
      <c r="K58" s="81">
        <f t="shared" si="24"/>
        <v>10551553.370000001</v>
      </c>
      <c r="L58" s="81">
        <f t="shared" si="25"/>
        <v>10551553.370000001</v>
      </c>
      <c r="M58" s="81">
        <f t="shared" si="26"/>
        <v>0</v>
      </c>
      <c r="N58" s="81">
        <f t="shared" si="27"/>
        <v>0</v>
      </c>
      <c r="O58" s="81">
        <f t="shared" si="28"/>
        <v>0</v>
      </c>
      <c r="P58" s="81">
        <f t="shared" si="29"/>
        <v>31654660.110000003</v>
      </c>
      <c r="Q58" s="81">
        <f t="shared" si="30"/>
        <v>10551553.370000001</v>
      </c>
      <c r="R58" s="81">
        <f t="shared" si="19"/>
        <v>42206213.480000004</v>
      </c>
      <c r="S58" s="81"/>
      <c r="T58" s="81"/>
      <c r="U58" s="81">
        <f t="shared" si="31"/>
        <v>0</v>
      </c>
      <c r="V58" s="81">
        <f t="shared" si="32"/>
        <v>42206213.480000004</v>
      </c>
      <c r="W58" s="81"/>
      <c r="X58" s="81"/>
      <c r="Y58" s="81"/>
      <c r="Z58" s="17"/>
    </row>
    <row r="59" spans="1:26">
      <c r="A59" s="6">
        <f t="shared" si="33"/>
        <v>1996</v>
      </c>
      <c r="B59" s="81">
        <f>'Exhibit H,5'!Q20</f>
        <v>28046459.449999999</v>
      </c>
      <c r="C59" s="81">
        <f>'Exhibit H,5'!R20</f>
        <v>28046459.449999999</v>
      </c>
      <c r="D59" s="81">
        <f>'Exhibit H,5'!S20</f>
        <v>28046459.449999999</v>
      </c>
      <c r="E59" s="81">
        <f>'Exhibit H,5'!T20</f>
        <v>28046459.449999999</v>
      </c>
      <c r="F59" s="81">
        <f>'Exhibit H,5'!U20</f>
        <v>0</v>
      </c>
      <c r="G59" s="81">
        <f t="shared" si="20"/>
        <v>84139378.349999994</v>
      </c>
      <c r="H59" s="81">
        <f t="shared" si="21"/>
        <v>112185837.8</v>
      </c>
      <c r="I59" s="81">
        <f t="shared" si="22"/>
        <v>56092918.899999999</v>
      </c>
      <c r="J59" s="81">
        <f t="shared" si="23"/>
        <v>84139378.349999994</v>
      </c>
      <c r="K59" s="81">
        <f t="shared" si="24"/>
        <v>28046459.449999999</v>
      </c>
      <c r="L59" s="81">
        <f t="shared" si="25"/>
        <v>28046459.449999999</v>
      </c>
      <c r="M59" s="81">
        <f t="shared" si="26"/>
        <v>0</v>
      </c>
      <c r="N59" s="81">
        <f t="shared" si="27"/>
        <v>0</v>
      </c>
      <c r="O59" s="81">
        <f t="shared" si="28"/>
        <v>0</v>
      </c>
      <c r="P59" s="81">
        <f t="shared" si="29"/>
        <v>84139378.349999994</v>
      </c>
      <c r="Q59" s="81">
        <f t="shared" si="30"/>
        <v>28046459.449999999</v>
      </c>
      <c r="R59" s="81">
        <f t="shared" si="19"/>
        <v>112185837.8</v>
      </c>
      <c r="S59" s="81"/>
      <c r="T59" s="81"/>
      <c r="U59" s="81">
        <f t="shared" si="31"/>
        <v>0</v>
      </c>
      <c r="V59" s="81">
        <f t="shared" si="32"/>
        <v>112185837.8</v>
      </c>
      <c r="W59" s="81"/>
      <c r="X59" s="81"/>
      <c r="Y59" s="81"/>
      <c r="Z59" s="17"/>
    </row>
    <row r="60" spans="1:26">
      <c r="A60" s="6">
        <f t="shared" si="33"/>
        <v>1997</v>
      </c>
      <c r="B60" s="81">
        <f>'Exhibit H,5'!Q21</f>
        <v>23093430.41</v>
      </c>
      <c r="C60" s="81">
        <f>'Exhibit H,5'!R21</f>
        <v>23093430.41</v>
      </c>
      <c r="D60" s="81">
        <f>'Exhibit H,5'!S21</f>
        <v>23093430.41</v>
      </c>
      <c r="E60" s="81">
        <f>'Exhibit H,5'!T21</f>
        <v>23093430.41</v>
      </c>
      <c r="F60" s="81">
        <f>'Exhibit H,5'!U21</f>
        <v>0</v>
      </c>
      <c r="G60" s="81">
        <f t="shared" si="20"/>
        <v>69280291.230000004</v>
      </c>
      <c r="H60" s="81">
        <f t="shared" si="21"/>
        <v>92373721.640000001</v>
      </c>
      <c r="I60" s="81">
        <f t="shared" si="22"/>
        <v>46186860.82</v>
      </c>
      <c r="J60" s="81">
        <f t="shared" si="23"/>
        <v>69280291.230000004</v>
      </c>
      <c r="K60" s="81">
        <f t="shared" si="24"/>
        <v>23093430.41</v>
      </c>
      <c r="L60" s="81">
        <f t="shared" si="25"/>
        <v>23093430.41</v>
      </c>
      <c r="M60" s="81">
        <f t="shared" si="26"/>
        <v>0</v>
      </c>
      <c r="N60" s="81">
        <f t="shared" si="27"/>
        <v>0</v>
      </c>
      <c r="O60" s="81">
        <f t="shared" si="28"/>
        <v>0</v>
      </c>
      <c r="P60" s="81">
        <f t="shared" si="29"/>
        <v>69280291.230000004</v>
      </c>
      <c r="Q60" s="81">
        <f t="shared" si="30"/>
        <v>23093430.41</v>
      </c>
      <c r="R60" s="81">
        <f t="shared" si="19"/>
        <v>92373721.640000001</v>
      </c>
      <c r="S60" s="81"/>
      <c r="T60" s="81"/>
      <c r="U60" s="81">
        <f t="shared" si="31"/>
        <v>0</v>
      </c>
      <c r="V60" s="81">
        <f t="shared" si="32"/>
        <v>92373721.640000001</v>
      </c>
      <c r="W60" s="81"/>
      <c r="X60" s="81"/>
      <c r="Y60" s="81"/>
      <c r="Z60" s="17"/>
    </row>
    <row r="61" spans="1:26">
      <c r="A61" s="6">
        <f t="shared" si="33"/>
        <v>1998</v>
      </c>
      <c r="B61" s="81">
        <f>'Exhibit H,5'!Q22</f>
        <v>16813843.780000001</v>
      </c>
      <c r="C61" s="81">
        <f>'Exhibit H,5'!R22</f>
        <v>16813843.780000001</v>
      </c>
      <c r="D61" s="81">
        <f>'Exhibit H,5'!S22</f>
        <v>16813843.780000001</v>
      </c>
      <c r="E61" s="81">
        <f>'Exhibit H,5'!T22</f>
        <v>16813843.780000001</v>
      </c>
      <c r="F61" s="81">
        <f>'Exhibit H,5'!U22</f>
        <v>0</v>
      </c>
      <c r="G61" s="81">
        <f t="shared" si="20"/>
        <v>50441531.340000004</v>
      </c>
      <c r="H61" s="81">
        <f t="shared" si="21"/>
        <v>67255375.120000005</v>
      </c>
      <c r="I61" s="81">
        <f t="shared" si="22"/>
        <v>33627687.560000002</v>
      </c>
      <c r="J61" s="81">
        <f t="shared" si="23"/>
        <v>50441531.340000004</v>
      </c>
      <c r="K61" s="81">
        <f t="shared" si="24"/>
        <v>16813843.780000001</v>
      </c>
      <c r="L61" s="81">
        <f t="shared" si="25"/>
        <v>16813843.780000001</v>
      </c>
      <c r="M61" s="81">
        <f t="shared" si="26"/>
        <v>0</v>
      </c>
      <c r="N61" s="81">
        <f t="shared" si="27"/>
        <v>0</v>
      </c>
      <c r="O61" s="81">
        <f t="shared" si="28"/>
        <v>0</v>
      </c>
      <c r="P61" s="81">
        <f t="shared" si="29"/>
        <v>50441531.340000004</v>
      </c>
      <c r="Q61" s="81">
        <f t="shared" si="30"/>
        <v>16813843.780000001</v>
      </c>
      <c r="R61" s="81">
        <f t="shared" si="19"/>
        <v>67255375.120000005</v>
      </c>
      <c r="S61" s="81"/>
      <c r="T61" s="81"/>
      <c r="U61" s="81">
        <f t="shared" si="31"/>
        <v>0</v>
      </c>
      <c r="V61" s="81">
        <f t="shared" si="32"/>
        <v>67255375.120000005</v>
      </c>
      <c r="W61" s="81"/>
      <c r="X61" s="81"/>
      <c r="Y61" s="81"/>
      <c r="Z61" s="17"/>
    </row>
    <row r="62" spans="1:26">
      <c r="A62" s="6">
        <f t="shared" si="33"/>
        <v>1999</v>
      </c>
      <c r="B62" s="81">
        <f>'Exhibit H,5'!Q23</f>
        <v>8970924.5199999996</v>
      </c>
      <c r="C62" s="81">
        <f>'Exhibit H,5'!R23</f>
        <v>8970924.5199999996</v>
      </c>
      <c r="D62" s="81">
        <f>'Exhibit H,5'!S23</f>
        <v>8970924.5199999996</v>
      </c>
      <c r="E62" s="81">
        <f>'Exhibit H,5'!T23</f>
        <v>8970924.5199999996</v>
      </c>
      <c r="F62" s="81">
        <f>'Exhibit H,5'!U23</f>
        <v>0</v>
      </c>
      <c r="G62" s="81">
        <f t="shared" si="20"/>
        <v>26912773.559999999</v>
      </c>
      <c r="H62" s="81">
        <f t="shared" si="21"/>
        <v>35883698.079999998</v>
      </c>
      <c r="I62" s="81">
        <f t="shared" si="22"/>
        <v>17941849.039999999</v>
      </c>
      <c r="J62" s="81">
        <f t="shared" si="23"/>
        <v>26912773.559999999</v>
      </c>
      <c r="K62" s="81">
        <f t="shared" si="24"/>
        <v>8970924.5199999996</v>
      </c>
      <c r="L62" s="81">
        <f t="shared" si="25"/>
        <v>8970924.5199999996</v>
      </c>
      <c r="M62" s="81">
        <f t="shared" si="26"/>
        <v>0</v>
      </c>
      <c r="N62" s="81">
        <f t="shared" si="27"/>
        <v>0</v>
      </c>
      <c r="O62" s="81">
        <f t="shared" si="28"/>
        <v>0</v>
      </c>
      <c r="P62" s="81">
        <f t="shared" si="29"/>
        <v>26912773.559999999</v>
      </c>
      <c r="Q62" s="81">
        <f t="shared" si="30"/>
        <v>8970924.5199999996</v>
      </c>
      <c r="R62" s="81">
        <f t="shared" si="19"/>
        <v>35883698.079999998</v>
      </c>
      <c r="S62" s="81"/>
      <c r="T62" s="81"/>
      <c r="U62" s="81">
        <f t="shared" si="31"/>
        <v>0</v>
      </c>
      <c r="V62" s="81">
        <f t="shared" si="32"/>
        <v>35883698.079999998</v>
      </c>
      <c r="W62" s="81"/>
      <c r="X62" s="81"/>
      <c r="Y62" s="81"/>
      <c r="Z62" s="17"/>
    </row>
    <row r="63" spans="1:26">
      <c r="A63" s="6">
        <f t="shared" si="33"/>
        <v>2000</v>
      </c>
      <c r="B63" s="81">
        <f>'Exhibit H,5'!Q24</f>
        <v>5903704.3700000001</v>
      </c>
      <c r="C63" s="81">
        <f>'Exhibit H,5'!R24</f>
        <v>5903704.3700000048</v>
      </c>
      <c r="D63" s="81">
        <f>'Exhibit H,5'!S24</f>
        <v>5903704.3700000001</v>
      </c>
      <c r="E63" s="81">
        <f>'Exhibit H,5'!T24</f>
        <v>5903704.3700000001</v>
      </c>
      <c r="F63" s="81">
        <f>'Exhibit H,5'!U24</f>
        <v>0</v>
      </c>
      <c r="G63" s="81">
        <f t="shared" si="20"/>
        <v>17711113.110000007</v>
      </c>
      <c r="H63" s="81">
        <f t="shared" si="21"/>
        <v>23614817.480000008</v>
      </c>
      <c r="I63" s="81">
        <f t="shared" si="22"/>
        <v>11807408.740000006</v>
      </c>
      <c r="J63" s="81">
        <f t="shared" si="23"/>
        <v>17711113.110000007</v>
      </c>
      <c r="K63" s="81">
        <f t="shared" si="24"/>
        <v>5903704.3700000001</v>
      </c>
      <c r="L63" s="81">
        <f t="shared" si="25"/>
        <v>5903704.3700000001</v>
      </c>
      <c r="M63" s="81">
        <f t="shared" si="26"/>
        <v>0</v>
      </c>
      <c r="N63" s="81">
        <f t="shared" si="27"/>
        <v>0</v>
      </c>
      <c r="O63" s="81">
        <f t="shared" si="28"/>
        <v>0</v>
      </c>
      <c r="P63" s="81">
        <f t="shared" si="29"/>
        <v>17711113.110000007</v>
      </c>
      <c r="Q63" s="81">
        <f t="shared" si="30"/>
        <v>5903704.3700000001</v>
      </c>
      <c r="R63" s="81">
        <f t="shared" si="19"/>
        <v>23614817.480000008</v>
      </c>
      <c r="S63" s="81"/>
      <c r="T63" s="81"/>
      <c r="U63" s="81">
        <f t="shared" si="31"/>
        <v>0</v>
      </c>
      <c r="V63" s="81">
        <f t="shared" si="32"/>
        <v>23614817.480000008</v>
      </c>
      <c r="W63" s="81"/>
      <c r="X63" s="81"/>
      <c r="Y63" s="81"/>
      <c r="Z63" s="17"/>
    </row>
    <row r="64" spans="1:26">
      <c r="A64" s="6">
        <f t="shared" si="33"/>
        <v>2001</v>
      </c>
      <c r="B64" s="81">
        <f>'Exhibit H,5'!Q25</f>
        <v>8418136.2699999996</v>
      </c>
      <c r="C64" s="81">
        <f>'Exhibit H,5'!R25</f>
        <v>8418136.270000007</v>
      </c>
      <c r="D64" s="81">
        <f>'Exhibit H,5'!S25</f>
        <v>8418136.2699999996</v>
      </c>
      <c r="E64" s="81">
        <f>'Exhibit H,5'!T25</f>
        <v>8418136.2699999996</v>
      </c>
      <c r="F64" s="81">
        <f>'Exhibit H,5'!U25</f>
        <v>0</v>
      </c>
      <c r="G64" s="81">
        <f t="shared" si="20"/>
        <v>25254408.810000006</v>
      </c>
      <c r="H64" s="81">
        <f t="shared" si="21"/>
        <v>33672545.080000006</v>
      </c>
      <c r="I64" s="81">
        <f t="shared" si="22"/>
        <v>16836272.540000007</v>
      </c>
      <c r="J64" s="81">
        <f t="shared" si="23"/>
        <v>25254408.810000006</v>
      </c>
      <c r="K64" s="81">
        <f t="shared" si="24"/>
        <v>8418136.2699999996</v>
      </c>
      <c r="L64" s="81">
        <f t="shared" si="25"/>
        <v>8418136.2699999996</v>
      </c>
      <c r="M64" s="81">
        <f t="shared" si="26"/>
        <v>0</v>
      </c>
      <c r="N64" s="81">
        <f t="shared" si="27"/>
        <v>0</v>
      </c>
      <c r="O64" s="81">
        <f t="shared" si="28"/>
        <v>0</v>
      </c>
      <c r="P64" s="81">
        <f t="shared" si="29"/>
        <v>25254408.810000006</v>
      </c>
      <c r="Q64" s="81">
        <f t="shared" si="30"/>
        <v>8418136.2699999996</v>
      </c>
      <c r="R64" s="81">
        <f t="shared" si="19"/>
        <v>33672545.080000006</v>
      </c>
      <c r="S64" s="81"/>
      <c r="T64" s="81"/>
      <c r="U64" s="81">
        <f t="shared" si="31"/>
        <v>0</v>
      </c>
      <c r="V64" s="81">
        <f t="shared" si="32"/>
        <v>33672545.080000006</v>
      </c>
      <c r="W64" s="81"/>
      <c r="X64" s="81"/>
      <c r="Y64" s="81"/>
      <c r="Z64" s="17"/>
    </row>
    <row r="65" spans="1:26">
      <c r="A65" s="6">
        <f t="shared" si="33"/>
        <v>2002</v>
      </c>
      <c r="B65" s="81">
        <f>'Exhibit H,5'!Q26</f>
        <v>545392.9</v>
      </c>
      <c r="C65" s="81">
        <f>'Exhibit H,5'!R26</f>
        <v>545392.89999999851</v>
      </c>
      <c r="D65" s="81">
        <f>'Exhibit H,5'!S26</f>
        <v>545392.9</v>
      </c>
      <c r="E65" s="81">
        <f>'Exhibit H,5'!T26</f>
        <v>545392.9</v>
      </c>
      <c r="F65" s="81">
        <f>'Exhibit H,5'!U26</f>
        <v>-1.5133991837501526E-9</v>
      </c>
      <c r="G65" s="81">
        <f t="shared" si="20"/>
        <v>1636178.6999999983</v>
      </c>
      <c r="H65" s="81">
        <f t="shared" si="21"/>
        <v>2181571.5999999968</v>
      </c>
      <c r="I65" s="81">
        <f t="shared" si="22"/>
        <v>1090785.7999999984</v>
      </c>
      <c r="J65" s="81">
        <f t="shared" si="23"/>
        <v>1636178.6999999983</v>
      </c>
      <c r="K65" s="81">
        <f t="shared" si="24"/>
        <v>545392.9</v>
      </c>
      <c r="L65" s="81">
        <f t="shared" si="25"/>
        <v>545392.89999999851</v>
      </c>
      <c r="M65" s="81">
        <f t="shared" si="26"/>
        <v>0</v>
      </c>
      <c r="N65" s="81">
        <f t="shared" si="27"/>
        <v>0</v>
      </c>
      <c r="O65" s="81">
        <f t="shared" si="28"/>
        <v>0</v>
      </c>
      <c r="P65" s="81">
        <f t="shared" si="29"/>
        <v>1636178.6999999983</v>
      </c>
      <c r="Q65" s="81">
        <f t="shared" si="30"/>
        <v>545392.89999999851</v>
      </c>
      <c r="R65" s="81">
        <f t="shared" si="19"/>
        <v>2181571.5999999968</v>
      </c>
      <c r="S65" s="81"/>
      <c r="T65" s="81"/>
      <c r="U65" s="81">
        <f t="shared" si="31"/>
        <v>0</v>
      </c>
      <c r="V65" s="81">
        <f t="shared" si="32"/>
        <v>2181571.5999999968</v>
      </c>
      <c r="W65" s="81"/>
      <c r="X65" s="81"/>
      <c r="Y65" s="81"/>
      <c r="Z65" s="17"/>
    </row>
    <row r="66" spans="1:26">
      <c r="A66" s="6">
        <f t="shared" si="33"/>
        <v>2003</v>
      </c>
      <c r="B66" s="81">
        <f>'Exhibit H,5'!Q27</f>
        <v>1276257.68</v>
      </c>
      <c r="C66" s="81">
        <f>'Exhibit H,5'!R27</f>
        <v>1276257.6799999997</v>
      </c>
      <c r="D66" s="81">
        <f>'Exhibit H,5'!S27</f>
        <v>1276257.68</v>
      </c>
      <c r="E66" s="81">
        <f>'Exhibit H,5'!T27</f>
        <v>1276257.68</v>
      </c>
      <c r="F66" s="81">
        <f>'Exhibit H,5'!U27</f>
        <v>0</v>
      </c>
      <c r="G66" s="81">
        <f t="shared" si="20"/>
        <v>3828773.0399999991</v>
      </c>
      <c r="H66" s="81">
        <f t="shared" si="21"/>
        <v>5105030.7199999988</v>
      </c>
      <c r="I66" s="81">
        <f t="shared" si="22"/>
        <v>2552515.3599999994</v>
      </c>
      <c r="J66" s="81">
        <f t="shared" si="23"/>
        <v>3828773.0399999991</v>
      </c>
      <c r="K66" s="81">
        <f t="shared" si="24"/>
        <v>1276257.68</v>
      </c>
      <c r="L66" s="81">
        <f t="shared" si="25"/>
        <v>1276257.68</v>
      </c>
      <c r="M66" s="81">
        <f t="shared" si="26"/>
        <v>0</v>
      </c>
      <c r="N66" s="81">
        <f t="shared" si="27"/>
        <v>0</v>
      </c>
      <c r="O66" s="81">
        <f t="shared" si="28"/>
        <v>0</v>
      </c>
      <c r="P66" s="81">
        <f t="shared" si="29"/>
        <v>3828773.0399999991</v>
      </c>
      <c r="Q66" s="81">
        <f t="shared" si="30"/>
        <v>1276257.68</v>
      </c>
      <c r="R66" s="81">
        <f t="shared" si="19"/>
        <v>5105030.7199999988</v>
      </c>
      <c r="S66" s="81"/>
      <c r="T66" s="81"/>
      <c r="U66" s="81">
        <f t="shared" si="31"/>
        <v>0</v>
      </c>
      <c r="V66" s="81">
        <f t="shared" si="32"/>
        <v>5105030.7199999988</v>
      </c>
      <c r="W66" s="81"/>
      <c r="X66" s="81"/>
      <c r="Y66" s="81"/>
      <c r="Z66" s="17"/>
    </row>
    <row r="67" spans="1:26">
      <c r="A67" s="6">
        <f t="shared" si="33"/>
        <v>2004</v>
      </c>
      <c r="B67" s="81">
        <f>'Exhibit H,5'!Q28</f>
        <v>0</v>
      </c>
      <c r="C67" s="81">
        <f>'Exhibit H,5'!R28</f>
        <v>0</v>
      </c>
      <c r="D67" s="81">
        <f>'Exhibit H,5'!S28</f>
        <v>0</v>
      </c>
      <c r="E67" s="81">
        <f>'Exhibit H,5'!T28</f>
        <v>0</v>
      </c>
      <c r="F67" s="81">
        <f>'Exhibit H,5'!U28</f>
        <v>0</v>
      </c>
      <c r="G67" s="81">
        <f t="shared" si="20"/>
        <v>0</v>
      </c>
      <c r="H67" s="81">
        <f t="shared" si="21"/>
        <v>0</v>
      </c>
      <c r="I67" s="81">
        <f t="shared" si="22"/>
        <v>0</v>
      </c>
      <c r="J67" s="81">
        <f t="shared" si="23"/>
        <v>0</v>
      </c>
      <c r="K67" s="81">
        <f t="shared" si="24"/>
        <v>0</v>
      </c>
      <c r="L67" s="81">
        <f t="shared" si="25"/>
        <v>0</v>
      </c>
      <c r="M67" s="81">
        <f t="shared" si="26"/>
        <v>0</v>
      </c>
      <c r="N67" s="81">
        <f t="shared" si="27"/>
        <v>0</v>
      </c>
      <c r="O67" s="81">
        <f t="shared" si="28"/>
        <v>0</v>
      </c>
      <c r="P67" s="81">
        <f t="shared" si="29"/>
        <v>0</v>
      </c>
      <c r="Q67" s="81">
        <f t="shared" si="30"/>
        <v>0</v>
      </c>
      <c r="R67" s="81">
        <f t="shared" si="19"/>
        <v>0</v>
      </c>
      <c r="S67" s="81"/>
      <c r="T67" s="81"/>
      <c r="U67" s="81">
        <f t="shared" si="31"/>
        <v>0</v>
      </c>
      <c r="V67" s="81">
        <f t="shared" si="32"/>
        <v>0</v>
      </c>
      <c r="W67" s="81"/>
      <c r="X67" s="81"/>
      <c r="Y67" s="81"/>
      <c r="Z67" s="17"/>
    </row>
    <row r="68" spans="1:26">
      <c r="A68" s="6">
        <f t="shared" si="33"/>
        <v>2005</v>
      </c>
      <c r="B68" s="81">
        <f>'Exhibit H,5'!Q29</f>
        <v>638230.88</v>
      </c>
      <c r="C68" s="81">
        <f>'Exhibit H,5'!R29</f>
        <v>638230.88000000268</v>
      </c>
      <c r="D68" s="81">
        <f>'Exhibit H,5'!S29</f>
        <v>638230.88</v>
      </c>
      <c r="E68" s="81">
        <f>'Exhibit H,5'!T29</f>
        <v>638230.88</v>
      </c>
      <c r="F68" s="81">
        <f>'Exhibit H,5'!U29</f>
        <v>2.6775524020195007E-9</v>
      </c>
      <c r="G68" s="81">
        <f t="shared" si="20"/>
        <v>1914692.6400000025</v>
      </c>
      <c r="H68" s="81">
        <f t="shared" si="21"/>
        <v>2552923.5200000051</v>
      </c>
      <c r="I68" s="81">
        <f t="shared" si="22"/>
        <v>1276461.7600000026</v>
      </c>
      <c r="J68" s="81">
        <f t="shared" si="23"/>
        <v>1914692.6400000025</v>
      </c>
      <c r="K68" s="81">
        <f t="shared" si="24"/>
        <v>638230.88</v>
      </c>
      <c r="L68" s="81">
        <f t="shared" si="25"/>
        <v>638230.88000000268</v>
      </c>
      <c r="M68" s="81">
        <f t="shared" si="26"/>
        <v>0</v>
      </c>
      <c r="N68" s="81">
        <f t="shared" si="27"/>
        <v>0</v>
      </c>
      <c r="O68" s="81">
        <f t="shared" si="28"/>
        <v>0</v>
      </c>
      <c r="P68" s="81">
        <f t="shared" si="29"/>
        <v>1914692.6400000025</v>
      </c>
      <c r="Q68" s="81">
        <f t="shared" si="30"/>
        <v>638230.88000000268</v>
      </c>
      <c r="R68" s="81">
        <f t="shared" si="19"/>
        <v>2552923.5200000051</v>
      </c>
      <c r="S68" s="81"/>
      <c r="T68" s="81"/>
      <c r="U68" s="81">
        <f t="shared" si="31"/>
        <v>0</v>
      </c>
      <c r="V68" s="81">
        <f t="shared" si="32"/>
        <v>2552923.5200000051</v>
      </c>
      <c r="W68" s="81"/>
      <c r="X68" s="6"/>
      <c r="Y68" s="6"/>
      <c r="Z68" s="17"/>
    </row>
    <row r="69" spans="1:26">
      <c r="A69" s="6">
        <f t="shared" si="33"/>
        <v>2006</v>
      </c>
      <c r="B69" s="81">
        <f>'Exhibit H,5'!Q30</f>
        <v>823895.11</v>
      </c>
      <c r="C69" s="81">
        <f>'Exhibit H,5'!R30</f>
        <v>823895.1099999994</v>
      </c>
      <c r="D69" s="81">
        <f>'Exhibit H,5'!S30</f>
        <v>823895.11</v>
      </c>
      <c r="E69" s="81">
        <f>'Exhibit H,5'!T30</f>
        <v>823895.11</v>
      </c>
      <c r="F69" s="81">
        <f>'Exhibit H,5'!U30</f>
        <v>0</v>
      </c>
      <c r="G69" s="81">
        <f t="shared" si="20"/>
        <v>2471685.3299999991</v>
      </c>
      <c r="H69" s="81">
        <f t="shared" si="21"/>
        <v>3295580.439999999</v>
      </c>
      <c r="I69" s="81">
        <f t="shared" si="22"/>
        <v>1647790.2199999993</v>
      </c>
      <c r="J69" s="81">
        <f t="shared" si="23"/>
        <v>2471685.3299999991</v>
      </c>
      <c r="K69" s="81">
        <f t="shared" si="24"/>
        <v>823895.11</v>
      </c>
      <c r="L69" s="81">
        <f t="shared" si="25"/>
        <v>823895.11</v>
      </c>
      <c r="M69" s="81">
        <f t="shared" si="26"/>
        <v>0</v>
      </c>
      <c r="N69" s="81">
        <f t="shared" si="27"/>
        <v>0</v>
      </c>
      <c r="O69" s="81">
        <f t="shared" si="28"/>
        <v>0</v>
      </c>
      <c r="P69" s="81">
        <f t="shared" si="29"/>
        <v>2471685.3299999991</v>
      </c>
      <c r="Q69" s="81">
        <f t="shared" si="30"/>
        <v>823895.11</v>
      </c>
      <c r="R69" s="81">
        <f t="shared" si="19"/>
        <v>3295580.439999999</v>
      </c>
      <c r="S69" s="81"/>
      <c r="T69" s="81"/>
      <c r="U69" s="81">
        <f t="shared" si="31"/>
        <v>0</v>
      </c>
      <c r="V69" s="81">
        <f t="shared" si="32"/>
        <v>3295580.439999999</v>
      </c>
      <c r="W69" s="81"/>
      <c r="X69" s="6"/>
      <c r="Y69" s="6"/>
      <c r="Z69" s="17"/>
    </row>
    <row r="70" spans="1:26">
      <c r="A70" s="6">
        <f t="shared" si="33"/>
        <v>2007</v>
      </c>
      <c r="B70" s="81">
        <f>'Exhibit H,5'!Q31</f>
        <v>1716687.82</v>
      </c>
      <c r="C70" s="81">
        <f>'Exhibit H,5'!R31</f>
        <v>1716687.8200000003</v>
      </c>
      <c r="D70" s="81">
        <f>'Exhibit H,5'!S31</f>
        <v>1716687.82</v>
      </c>
      <c r="E70" s="81">
        <f>'Exhibit H,5'!T31</f>
        <v>1716687.82</v>
      </c>
      <c r="F70" s="81">
        <f>'Exhibit H,5'!U31</f>
        <v>0</v>
      </c>
      <c r="G70" s="81">
        <f t="shared" si="20"/>
        <v>5150063.4600000009</v>
      </c>
      <c r="H70" s="81">
        <f t="shared" si="21"/>
        <v>6866751.2800000012</v>
      </c>
      <c r="I70" s="81">
        <f t="shared" si="22"/>
        <v>3433375.6400000006</v>
      </c>
      <c r="J70" s="81">
        <f t="shared" si="23"/>
        <v>5150063.4600000009</v>
      </c>
      <c r="K70" s="81">
        <f t="shared" si="24"/>
        <v>1716687.82</v>
      </c>
      <c r="L70" s="81">
        <f t="shared" si="25"/>
        <v>1716687.82</v>
      </c>
      <c r="M70" s="81">
        <f t="shared" si="26"/>
        <v>0</v>
      </c>
      <c r="N70" s="81">
        <f t="shared" si="27"/>
        <v>0</v>
      </c>
      <c r="O70" s="81">
        <f t="shared" si="28"/>
        <v>0</v>
      </c>
      <c r="P70" s="81">
        <f t="shared" si="29"/>
        <v>5150063.4600000009</v>
      </c>
      <c r="Q70" s="81">
        <f t="shared" si="30"/>
        <v>1716687.82</v>
      </c>
      <c r="R70" s="81">
        <f t="shared" si="19"/>
        <v>6866751.2800000012</v>
      </c>
      <c r="S70" s="81"/>
      <c r="T70" s="81"/>
      <c r="U70" s="81">
        <f t="shared" si="31"/>
        <v>0</v>
      </c>
      <c r="V70" s="81">
        <f t="shared" si="32"/>
        <v>6866751.2800000012</v>
      </c>
      <c r="W70" s="81"/>
      <c r="X70" s="6"/>
      <c r="Y70" s="6"/>
      <c r="Z70" s="17"/>
    </row>
    <row r="71" spans="1:26">
      <c r="A71" s="6">
        <f t="shared" si="33"/>
        <v>2008</v>
      </c>
      <c r="B71" s="81">
        <f>'Exhibit H,5'!Q32</f>
        <v>2126900.69</v>
      </c>
      <c r="C71" s="81">
        <f>'Exhibit H,5'!R32</f>
        <v>2126900.6900000013</v>
      </c>
      <c r="D71" s="81">
        <f>'Exhibit H,5'!S32</f>
        <v>2126900.69</v>
      </c>
      <c r="E71" s="81">
        <f>'Exhibit H,5'!T32</f>
        <v>2126900.69</v>
      </c>
      <c r="F71" s="81">
        <f>'Exhibit H,5'!U32</f>
        <v>0</v>
      </c>
      <c r="G71" s="81">
        <f t="shared" si="20"/>
        <v>6380702.0700000003</v>
      </c>
      <c r="H71" s="81">
        <f t="shared" si="21"/>
        <v>8507602.7599999998</v>
      </c>
      <c r="I71" s="81">
        <f t="shared" si="22"/>
        <v>4253801.3800000008</v>
      </c>
      <c r="J71" s="81">
        <f t="shared" si="23"/>
        <v>6380702.0700000003</v>
      </c>
      <c r="K71" s="81">
        <f t="shared" si="24"/>
        <v>2126900.69</v>
      </c>
      <c r="L71" s="81">
        <f t="shared" si="25"/>
        <v>2126900.69</v>
      </c>
      <c r="M71" s="81">
        <f t="shared" si="26"/>
        <v>0</v>
      </c>
      <c r="N71" s="81">
        <f t="shared" si="27"/>
        <v>0</v>
      </c>
      <c r="O71" s="81">
        <f t="shared" si="28"/>
        <v>0</v>
      </c>
      <c r="P71" s="81">
        <f t="shared" si="29"/>
        <v>6380702.0700000003</v>
      </c>
      <c r="Q71" s="81">
        <f t="shared" si="30"/>
        <v>2126900.69</v>
      </c>
      <c r="R71" s="81">
        <f t="shared" si="19"/>
        <v>8507602.7599999998</v>
      </c>
      <c r="S71" s="81"/>
      <c r="T71" s="81"/>
      <c r="U71" s="81">
        <f t="shared" si="31"/>
        <v>0</v>
      </c>
      <c r="V71" s="81">
        <f t="shared" si="32"/>
        <v>8507602.7599999998</v>
      </c>
      <c r="W71" s="81"/>
      <c r="X71" s="6"/>
      <c r="Y71" s="6"/>
      <c r="Z71" s="17"/>
    </row>
    <row r="72" spans="1:26">
      <c r="A72" s="6">
        <f t="shared" si="33"/>
        <v>2009</v>
      </c>
      <c r="B72" s="81">
        <f>'Exhibit H,5'!Q33</f>
        <v>2235848.35</v>
      </c>
      <c r="C72" s="81">
        <f>'Exhibit H,5'!R33</f>
        <v>2235848.3499999978</v>
      </c>
      <c r="D72" s="81">
        <f>'Exhibit H,5'!S33</f>
        <v>2235848.35</v>
      </c>
      <c r="E72" s="81">
        <f>'Exhibit H,5'!T33</f>
        <v>2235848.35</v>
      </c>
      <c r="F72" s="81">
        <f>'Exhibit H,5'!U33</f>
        <v>0</v>
      </c>
      <c r="G72" s="81">
        <f t="shared" si="20"/>
        <v>6707545.049999997</v>
      </c>
      <c r="H72" s="81">
        <f t="shared" si="21"/>
        <v>8943393.3999999966</v>
      </c>
      <c r="I72" s="81">
        <f t="shared" si="22"/>
        <v>4471696.6999999974</v>
      </c>
      <c r="J72" s="81">
        <f t="shared" si="23"/>
        <v>6707545.049999997</v>
      </c>
      <c r="K72" s="81">
        <f t="shared" si="24"/>
        <v>2235848.35</v>
      </c>
      <c r="L72" s="81">
        <f t="shared" si="25"/>
        <v>2235848.35</v>
      </c>
      <c r="M72" s="81">
        <f t="shared" si="26"/>
        <v>0</v>
      </c>
      <c r="N72" s="81">
        <f t="shared" si="27"/>
        <v>0</v>
      </c>
      <c r="O72" s="81">
        <f t="shared" si="28"/>
        <v>0</v>
      </c>
      <c r="P72" s="81">
        <f t="shared" si="29"/>
        <v>6707545.049999997</v>
      </c>
      <c r="Q72" s="81">
        <f t="shared" si="30"/>
        <v>2235848.35</v>
      </c>
      <c r="R72" s="81">
        <f t="shared" si="19"/>
        <v>8943393.3999999966</v>
      </c>
      <c r="S72" s="81"/>
      <c r="T72" s="81"/>
      <c r="U72" s="81">
        <f t="shared" si="31"/>
        <v>0</v>
      </c>
      <c r="V72" s="81">
        <f t="shared" si="32"/>
        <v>8943393.3999999966</v>
      </c>
      <c r="W72" s="81"/>
      <c r="X72" s="6"/>
      <c r="Y72" s="6"/>
      <c r="Z72" s="17"/>
    </row>
    <row r="73" spans="1:26">
      <c r="A73" s="6">
        <f t="shared" si="33"/>
        <v>2010</v>
      </c>
      <c r="B73" s="81">
        <f>'Exhibit H,5'!Q34</f>
        <v>5992753.5499999998</v>
      </c>
      <c r="C73" s="81">
        <f>'Exhibit H,5'!R34</f>
        <v>5992753.5500000007</v>
      </c>
      <c r="D73" s="81">
        <f>'Exhibit H,5'!S34</f>
        <v>5992753.5499999998</v>
      </c>
      <c r="E73" s="81">
        <f>'Exhibit H,5'!T34</f>
        <v>5992753.5499999998</v>
      </c>
      <c r="F73" s="81">
        <f>'Exhibit H,5'!U34</f>
        <v>0</v>
      </c>
      <c r="G73" s="81">
        <f t="shared" si="20"/>
        <v>17978260.650000002</v>
      </c>
      <c r="H73" s="81">
        <f t="shared" si="21"/>
        <v>23971014.200000003</v>
      </c>
      <c r="I73" s="81">
        <f t="shared" si="22"/>
        <v>11985507.100000001</v>
      </c>
      <c r="J73" s="81">
        <f t="shared" si="23"/>
        <v>17978260.650000002</v>
      </c>
      <c r="K73" s="81">
        <f t="shared" si="24"/>
        <v>5992753.5499999998</v>
      </c>
      <c r="L73" s="81">
        <f t="shared" si="25"/>
        <v>5992753.5499999998</v>
      </c>
      <c r="M73" s="81">
        <f t="shared" si="26"/>
        <v>0</v>
      </c>
      <c r="N73" s="81">
        <f t="shared" si="27"/>
        <v>0</v>
      </c>
      <c r="O73" s="81">
        <f t="shared" si="28"/>
        <v>0</v>
      </c>
      <c r="P73" s="81">
        <f t="shared" si="29"/>
        <v>17978260.650000002</v>
      </c>
      <c r="Q73" s="81">
        <f t="shared" si="30"/>
        <v>5992753.5499999998</v>
      </c>
      <c r="R73" s="81">
        <f t="shared" si="19"/>
        <v>23971014.200000003</v>
      </c>
      <c r="S73" s="81"/>
      <c r="T73" s="81"/>
      <c r="U73" s="81">
        <f t="shared" si="31"/>
        <v>0</v>
      </c>
      <c r="V73" s="81">
        <f t="shared" si="32"/>
        <v>23971014.200000003</v>
      </c>
      <c r="X73" s="81"/>
      <c r="Y73" s="81"/>
      <c r="Z73" s="17"/>
    </row>
    <row r="74" spans="1:26">
      <c r="A74" s="6">
        <f t="shared" si="33"/>
        <v>2011</v>
      </c>
      <c r="B74" s="81">
        <f>'Exhibit H,5'!Q35</f>
        <v>6075393.9800000004</v>
      </c>
      <c r="C74" s="81">
        <f>'Exhibit H,5'!R35</f>
        <v>6075393.9799999986</v>
      </c>
      <c r="D74" s="81">
        <f>'Exhibit H,5'!S35</f>
        <v>6075393.9800000004</v>
      </c>
      <c r="E74" s="81">
        <f>'Exhibit H,5'!T35</f>
        <v>6075393.9800000004</v>
      </c>
      <c r="F74" s="81">
        <f>'Exhibit H,5'!U35</f>
        <v>0</v>
      </c>
      <c r="G74" s="81">
        <f t="shared" si="20"/>
        <v>18226181.939999998</v>
      </c>
      <c r="H74" s="81">
        <f t="shared" si="21"/>
        <v>24301575.919999998</v>
      </c>
      <c r="I74" s="81">
        <f t="shared" si="22"/>
        <v>12150787.959999999</v>
      </c>
      <c r="J74" s="81">
        <f t="shared" si="23"/>
        <v>18226181.939999998</v>
      </c>
      <c r="K74" s="81">
        <f t="shared" si="24"/>
        <v>6075393.9800000004</v>
      </c>
      <c r="L74" s="81">
        <f t="shared" si="25"/>
        <v>6075393.9800000004</v>
      </c>
      <c r="M74" s="81">
        <f t="shared" si="26"/>
        <v>0</v>
      </c>
      <c r="N74" s="81">
        <f t="shared" si="27"/>
        <v>0</v>
      </c>
      <c r="O74" s="81">
        <f t="shared" si="28"/>
        <v>0</v>
      </c>
      <c r="P74" s="81">
        <f t="shared" si="29"/>
        <v>18226181.939999998</v>
      </c>
      <c r="Q74" s="81">
        <f t="shared" si="30"/>
        <v>6075393.9800000004</v>
      </c>
      <c r="R74" s="81">
        <f t="shared" si="19"/>
        <v>24301575.919999998</v>
      </c>
      <c r="S74" s="81"/>
      <c r="T74" s="81"/>
      <c r="U74" s="81">
        <f t="shared" si="31"/>
        <v>0</v>
      </c>
      <c r="V74" s="81">
        <f t="shared" si="32"/>
        <v>24301575.919999998</v>
      </c>
      <c r="W74" s="87">
        <v>4417560.5885055466</v>
      </c>
      <c r="X74" s="81"/>
      <c r="Y74" s="81"/>
      <c r="Z74" s="17"/>
    </row>
    <row r="75" spans="1:26">
      <c r="A75" s="6">
        <f t="shared" si="33"/>
        <v>2012</v>
      </c>
      <c r="B75" s="81">
        <f>'Exhibit H,5'!Q36</f>
        <v>1329575.07</v>
      </c>
      <c r="C75" s="81">
        <f>'Exhibit H,5'!R36</f>
        <v>1329575.0700000003</v>
      </c>
      <c r="D75" s="81">
        <f>'Exhibit H,5'!S36</f>
        <v>1329575.07</v>
      </c>
      <c r="E75" s="81">
        <f>'Exhibit H,5'!T36</f>
        <v>1329575.07</v>
      </c>
      <c r="F75" s="81">
        <f>'Exhibit H,5'!U36</f>
        <v>0</v>
      </c>
      <c r="G75" s="81">
        <f t="shared" si="20"/>
        <v>3988725.2100000009</v>
      </c>
      <c r="H75" s="81">
        <f t="shared" si="21"/>
        <v>5318300.2800000012</v>
      </c>
      <c r="I75" s="81">
        <f t="shared" si="22"/>
        <v>2659150.1400000006</v>
      </c>
      <c r="J75" s="81">
        <f t="shared" si="23"/>
        <v>3988725.2100000009</v>
      </c>
      <c r="K75" s="81">
        <f t="shared" si="24"/>
        <v>1329575.07</v>
      </c>
      <c r="L75" s="81">
        <f t="shared" si="25"/>
        <v>1329575.07</v>
      </c>
      <c r="M75" s="81">
        <f t="shared" si="26"/>
        <v>0</v>
      </c>
      <c r="N75" s="81">
        <f t="shared" si="27"/>
        <v>0</v>
      </c>
      <c r="O75" s="81">
        <f t="shared" si="28"/>
        <v>0</v>
      </c>
      <c r="P75" s="81">
        <f t="shared" si="29"/>
        <v>3988725.2100000009</v>
      </c>
      <c r="Q75" s="81">
        <f t="shared" si="30"/>
        <v>1329575.07</v>
      </c>
      <c r="R75" s="81">
        <f t="shared" si="19"/>
        <v>5318300.2800000012</v>
      </c>
      <c r="S75" s="81"/>
      <c r="T75" s="81"/>
      <c r="U75" s="81">
        <f t="shared" si="31"/>
        <v>0</v>
      </c>
      <c r="V75" s="81">
        <f t="shared" si="32"/>
        <v>5318300.2800000012</v>
      </c>
      <c r="W75" s="87">
        <v>4242997.5351055767</v>
      </c>
      <c r="X75" s="81"/>
      <c r="Y75" s="81"/>
      <c r="Z75" s="17"/>
    </row>
    <row r="76" spans="1:26">
      <c r="A76" s="6">
        <f t="shared" si="33"/>
        <v>2013</v>
      </c>
      <c r="B76" s="81">
        <f>'Exhibit H,5'!Q37</f>
        <v>1325604.94</v>
      </c>
      <c r="C76" s="81">
        <f>'Exhibit H,5'!R37</f>
        <v>1325604.9400000013</v>
      </c>
      <c r="D76" s="81">
        <f>'Exhibit H,5'!S37</f>
        <v>1325604.94</v>
      </c>
      <c r="E76" s="81">
        <f>'Exhibit H,5'!T37</f>
        <v>1325604.94</v>
      </c>
      <c r="F76" s="81">
        <f>'Exhibit H,5'!U37</f>
        <v>0</v>
      </c>
      <c r="G76" s="81">
        <f t="shared" si="20"/>
        <v>3976814.8200000012</v>
      </c>
      <c r="H76" s="81">
        <f t="shared" si="21"/>
        <v>5302419.7600000016</v>
      </c>
      <c r="I76" s="81">
        <f t="shared" si="22"/>
        <v>2651209.8800000013</v>
      </c>
      <c r="J76" s="81">
        <f t="shared" si="23"/>
        <v>3976814.8200000012</v>
      </c>
      <c r="K76" s="81">
        <f t="shared" si="24"/>
        <v>1325604.94</v>
      </c>
      <c r="L76" s="81">
        <f t="shared" si="25"/>
        <v>1325604.94</v>
      </c>
      <c r="M76" s="81">
        <f t="shared" si="26"/>
        <v>0</v>
      </c>
      <c r="N76" s="81">
        <f t="shared" si="27"/>
        <v>0</v>
      </c>
      <c r="O76" s="81">
        <f t="shared" si="28"/>
        <v>0</v>
      </c>
      <c r="P76" s="81">
        <f t="shared" si="29"/>
        <v>3976814.8200000012</v>
      </c>
      <c r="Q76" s="81">
        <f t="shared" si="30"/>
        <v>1325604.94</v>
      </c>
      <c r="R76" s="81">
        <f t="shared" si="19"/>
        <v>5302419.7600000016</v>
      </c>
      <c r="S76" s="81"/>
      <c r="T76" s="81"/>
      <c r="U76" s="81">
        <f t="shared" si="31"/>
        <v>0</v>
      </c>
      <c r="V76" s="81">
        <f t="shared" si="32"/>
        <v>5302419.7600000016</v>
      </c>
      <c r="W76" s="87">
        <v>4303233.5766016664</v>
      </c>
      <c r="X76" s="81"/>
      <c r="Y76" s="81"/>
      <c r="Z76" s="17"/>
    </row>
    <row r="77" spans="1:26">
      <c r="A77" s="6">
        <f t="shared" si="33"/>
        <v>2014</v>
      </c>
      <c r="B77" s="81">
        <f>'Exhibit H,5'!Q38</f>
        <v>1795488.32</v>
      </c>
      <c r="C77" s="81">
        <f>'Exhibit H,5'!R38</f>
        <v>2347702.3199999984</v>
      </c>
      <c r="D77" s="81">
        <f>'Exhibit H,5'!S38</f>
        <v>1795488.32</v>
      </c>
      <c r="E77" s="81">
        <f>'Exhibit H,5'!T38</f>
        <v>2347316.3199999998</v>
      </c>
      <c r="F77" s="81">
        <f>'Exhibit H,5'!U38</f>
        <v>385.99999999860302</v>
      </c>
      <c r="G77" s="81">
        <f t="shared" si="20"/>
        <v>6490506.959999999</v>
      </c>
      <c r="H77" s="81">
        <f t="shared" si="21"/>
        <v>8286381.2799999975</v>
      </c>
      <c r="I77" s="81">
        <f t="shared" si="22"/>
        <v>4143190.6399999987</v>
      </c>
      <c r="J77" s="81">
        <f t="shared" si="23"/>
        <v>5938678.959999999</v>
      </c>
      <c r="K77" s="81">
        <f t="shared" si="24"/>
        <v>2347316.3199999998</v>
      </c>
      <c r="L77" s="81">
        <f t="shared" si="25"/>
        <v>2347702.3199999984</v>
      </c>
      <c r="M77" s="81">
        <f t="shared" si="26"/>
        <v>13276.428756130961</v>
      </c>
      <c r="N77" s="81">
        <f t="shared" si="27"/>
        <v>698.75940821741904</v>
      </c>
      <c r="O77" s="81">
        <f t="shared" si="28"/>
        <v>13975.188164348379</v>
      </c>
      <c r="P77" s="81">
        <f t="shared" si="29"/>
        <v>5951955.3887561299</v>
      </c>
      <c r="Q77" s="81">
        <f t="shared" si="30"/>
        <v>2348401.0794082158</v>
      </c>
      <c r="R77" s="81">
        <f t="shared" si="19"/>
        <v>8300356.4681643452</v>
      </c>
      <c r="S77" s="81"/>
      <c r="T77" s="81"/>
      <c r="U77" s="81">
        <f t="shared" si="31"/>
        <v>0</v>
      </c>
      <c r="V77" s="81">
        <f t="shared" si="32"/>
        <v>8300356.4681643452</v>
      </c>
      <c r="W77" s="87">
        <v>2376194.5856042476</v>
      </c>
      <c r="X77" s="81"/>
      <c r="Y77" s="81"/>
      <c r="Z77" s="17"/>
    </row>
    <row r="78" spans="1:26">
      <c r="A78" s="6">
        <f t="shared" si="33"/>
        <v>2015</v>
      </c>
      <c r="B78" s="81">
        <f>'Exhibit H,5'!Q39</f>
        <v>0</v>
      </c>
      <c r="C78" s="81">
        <f>'Exhibit H,5'!R39</f>
        <v>220160</v>
      </c>
      <c r="D78" s="81">
        <f>'Exhibit H,5'!S39</f>
        <v>0</v>
      </c>
      <c r="E78" s="81">
        <f>'Exhibit H,5'!T39</f>
        <v>1052160</v>
      </c>
      <c r="F78" s="81">
        <f>'Exhibit H,5'!U39</f>
        <v>-832000</v>
      </c>
      <c r="G78" s="81">
        <f t="shared" si="20"/>
        <v>1272320</v>
      </c>
      <c r="H78" s="81">
        <f t="shared" si="21"/>
        <v>440320</v>
      </c>
      <c r="I78" s="81">
        <f t="shared" si="22"/>
        <v>220160</v>
      </c>
      <c r="J78" s="81">
        <f t="shared" si="23"/>
        <v>220160</v>
      </c>
      <c r="K78" s="81">
        <f t="shared" si="24"/>
        <v>1052160</v>
      </c>
      <c r="L78" s="81">
        <f t="shared" si="25"/>
        <v>220160</v>
      </c>
      <c r="M78" s="81">
        <f t="shared" si="26"/>
        <v>15816.391598533379</v>
      </c>
      <c r="N78" s="81">
        <f t="shared" si="27"/>
        <v>832.44166308070419</v>
      </c>
      <c r="O78" s="81">
        <f t="shared" si="28"/>
        <v>16648.833261614083</v>
      </c>
      <c r="P78" s="81">
        <f t="shared" si="29"/>
        <v>235976.39159853337</v>
      </c>
      <c r="Q78" s="81">
        <f t="shared" si="30"/>
        <v>220992.44166308071</v>
      </c>
      <c r="R78" s="81">
        <f t="shared" si="19"/>
        <v>456968.83326161408</v>
      </c>
      <c r="S78" s="81"/>
      <c r="T78" s="81"/>
      <c r="U78" s="81">
        <f t="shared" si="31"/>
        <v>0</v>
      </c>
      <c r="V78" s="81">
        <f t="shared" si="32"/>
        <v>456968.83326161408</v>
      </c>
      <c r="W78" s="87">
        <v>2282084.5057349936</v>
      </c>
      <c r="X78" s="81"/>
      <c r="Y78" s="81"/>
      <c r="Z78" s="17"/>
    </row>
    <row r="79" spans="1:26">
      <c r="A79" s="6">
        <f t="shared" si="33"/>
        <v>2016</v>
      </c>
      <c r="B79" s="81">
        <f>'Exhibit H,5'!Q40</f>
        <v>0</v>
      </c>
      <c r="C79" s="81">
        <f>'Exhibit H,5'!R40</f>
        <v>2000000</v>
      </c>
      <c r="D79" s="81">
        <f>'Exhibit H,5'!S40</f>
        <v>0</v>
      </c>
      <c r="E79" s="81">
        <f>'Exhibit H,5'!T40</f>
        <v>0</v>
      </c>
      <c r="F79" s="81">
        <f>'Exhibit H,5'!U40</f>
        <v>2000000</v>
      </c>
      <c r="G79" s="81">
        <f t="shared" si="20"/>
        <v>2000000</v>
      </c>
      <c r="H79" s="81">
        <f t="shared" si="21"/>
        <v>4000000</v>
      </c>
      <c r="I79" s="81">
        <f t="shared" si="22"/>
        <v>2000000</v>
      </c>
      <c r="J79" s="81">
        <f t="shared" si="23"/>
        <v>2000000</v>
      </c>
      <c r="K79" s="81">
        <f t="shared" si="24"/>
        <v>0</v>
      </c>
      <c r="L79" s="81">
        <f t="shared" si="25"/>
        <v>2000000</v>
      </c>
      <c r="M79" s="81">
        <f t="shared" si="26"/>
        <v>695142.82195309456</v>
      </c>
      <c r="N79" s="81">
        <f t="shared" si="27"/>
        <v>36586.464313320772</v>
      </c>
      <c r="O79" s="81">
        <f t="shared" si="28"/>
        <v>731729.28626641538</v>
      </c>
      <c r="P79" s="81">
        <f t="shared" si="29"/>
        <v>2695142.8219530946</v>
      </c>
      <c r="Q79" s="81">
        <f t="shared" si="30"/>
        <v>2036586.4643133208</v>
      </c>
      <c r="R79" s="81">
        <f t="shared" si="19"/>
        <v>4731729.2862664154</v>
      </c>
      <c r="S79" s="81"/>
      <c r="T79" s="81"/>
      <c r="U79" s="81">
        <f t="shared" si="31"/>
        <v>0</v>
      </c>
      <c r="V79" s="81">
        <f t="shared" si="32"/>
        <v>4731729.2862664154</v>
      </c>
      <c r="W79" s="87">
        <v>3067294.8278026339</v>
      </c>
      <c r="X79" s="81"/>
      <c r="Y79" s="81"/>
      <c r="Z79" s="17"/>
    </row>
    <row r="80" spans="1:26">
      <c r="A80" s="6">
        <f t="shared" si="33"/>
        <v>2017</v>
      </c>
      <c r="B80" s="81">
        <f>'Exhibit H,5'!Q41</f>
        <v>1875.87</v>
      </c>
      <c r="C80" s="81">
        <f>'Exhibit H,5'!R41</f>
        <v>194376.86999999918</v>
      </c>
      <c r="D80" s="81">
        <f>'Exhibit H,5'!S41</f>
        <v>1750</v>
      </c>
      <c r="E80" s="81">
        <f>'Exhibit H,5'!T41</f>
        <v>95813</v>
      </c>
      <c r="F80" s="81">
        <f>'Exhibit H,5'!U41</f>
        <v>98563.86999999918</v>
      </c>
      <c r="G80" s="81">
        <f t="shared" si="20"/>
        <v>292065.73999999918</v>
      </c>
      <c r="H80" s="81">
        <f t="shared" si="21"/>
        <v>392379.60999999836</v>
      </c>
      <c r="I80" s="81">
        <f t="shared" si="22"/>
        <v>196252.73999999918</v>
      </c>
      <c r="J80" s="81">
        <f t="shared" si="23"/>
        <v>198002.73999999918</v>
      </c>
      <c r="K80" s="81">
        <f t="shared" si="24"/>
        <v>95813</v>
      </c>
      <c r="L80" s="81">
        <f t="shared" si="25"/>
        <v>194376.86999999918</v>
      </c>
      <c r="M80" s="81">
        <f t="shared" si="26"/>
        <v>428595.00164873572</v>
      </c>
      <c r="N80" s="81">
        <f t="shared" si="27"/>
        <v>22557.631665722933</v>
      </c>
      <c r="O80" s="81">
        <f t="shared" si="28"/>
        <v>451152.63331445865</v>
      </c>
      <c r="P80" s="81">
        <f t="shared" si="29"/>
        <v>626597.7416487349</v>
      </c>
      <c r="Q80" s="81">
        <f t="shared" si="30"/>
        <v>216934.50166572211</v>
      </c>
      <c r="R80" s="81">
        <f t="shared" si="19"/>
        <v>843532.24331445701</v>
      </c>
      <c r="S80" s="81"/>
      <c r="T80" s="81"/>
      <c r="U80" s="81">
        <f t="shared" si="31"/>
        <v>0</v>
      </c>
      <c r="V80" s="81">
        <f t="shared" si="32"/>
        <v>843532.24331445701</v>
      </c>
      <c r="W80" s="87">
        <v>3052433.5551910456</v>
      </c>
      <c r="X80" s="81"/>
      <c r="Y80" s="81"/>
      <c r="Z80" s="17"/>
    </row>
    <row r="81" spans="1:26">
      <c r="A81" s="6">
        <f t="shared" si="33"/>
        <v>2018</v>
      </c>
      <c r="B81" s="81">
        <f>'Exhibit H,5'!Q42</f>
        <v>592996.41</v>
      </c>
      <c r="C81" s="81">
        <f>'Exhibit H,5'!R42</f>
        <v>592996.41000000015</v>
      </c>
      <c r="D81" s="81">
        <f>'Exhibit H,5'!S42</f>
        <v>0</v>
      </c>
      <c r="E81" s="81">
        <f>'Exhibit H,5'!T42</f>
        <v>0</v>
      </c>
      <c r="F81" s="81">
        <f>'Exhibit H,5'!U42</f>
        <v>592996.41000000015</v>
      </c>
      <c r="G81" s="81">
        <f t="shared" si="20"/>
        <v>1185992.8200000003</v>
      </c>
      <c r="H81" s="81">
        <f t="shared" si="21"/>
        <v>1778989.2300000004</v>
      </c>
      <c r="I81" s="81">
        <f t="shared" si="22"/>
        <v>1185992.8200000003</v>
      </c>
      <c r="J81" s="81">
        <f t="shared" si="23"/>
        <v>1185992.8200000003</v>
      </c>
      <c r="K81" s="81">
        <f t="shared" si="24"/>
        <v>0</v>
      </c>
      <c r="L81" s="81">
        <f t="shared" si="25"/>
        <v>592996.41000000015</v>
      </c>
      <c r="M81" s="81">
        <f t="shared" si="26"/>
        <v>552284.69341481349</v>
      </c>
      <c r="N81" s="81">
        <f t="shared" si="27"/>
        <v>29067.615442884926</v>
      </c>
      <c r="O81" s="81">
        <f t="shared" si="28"/>
        <v>581352.30885769846</v>
      </c>
      <c r="P81" s="81">
        <f t="shared" si="29"/>
        <v>1738277.5134148137</v>
      </c>
      <c r="Q81" s="81">
        <f t="shared" si="30"/>
        <v>622064.02544288512</v>
      </c>
      <c r="R81" s="81">
        <f t="shared" si="19"/>
        <v>2360341.5388576989</v>
      </c>
      <c r="S81" s="81"/>
      <c r="T81" s="81"/>
      <c r="U81" s="81">
        <f t="shared" si="31"/>
        <v>0</v>
      </c>
      <c r="V81" s="81">
        <f t="shared" si="32"/>
        <v>2360341.5388576989</v>
      </c>
      <c r="W81" s="87">
        <v>2621028.0682064886</v>
      </c>
      <c r="X81" s="81"/>
      <c r="Y81" s="81"/>
      <c r="Z81" s="17"/>
    </row>
    <row r="82" spans="1:26">
      <c r="A82" s="6">
        <f t="shared" si="33"/>
        <v>2019</v>
      </c>
      <c r="B82" s="81">
        <f>'Exhibit H,5'!Q43</f>
        <v>0</v>
      </c>
      <c r="C82" s="81">
        <f>'Exhibit H,5'!R43</f>
        <v>0</v>
      </c>
      <c r="D82" s="81">
        <f>'Exhibit H,5'!S43</f>
        <v>0</v>
      </c>
      <c r="E82" s="81">
        <f>'Exhibit H,5'!T43</f>
        <v>0</v>
      </c>
      <c r="F82" s="81">
        <f>'Exhibit H,5'!U43</f>
        <v>0</v>
      </c>
      <c r="G82" s="81">
        <f t="shared" si="20"/>
        <v>0</v>
      </c>
      <c r="H82" s="81">
        <f t="shared" si="21"/>
        <v>0</v>
      </c>
      <c r="I82" s="81">
        <f t="shared" si="22"/>
        <v>0</v>
      </c>
      <c r="J82" s="81">
        <f t="shared" si="23"/>
        <v>0</v>
      </c>
      <c r="K82" s="81">
        <f t="shared" si="24"/>
        <v>0</v>
      </c>
      <c r="L82" s="81">
        <f t="shared" si="25"/>
        <v>0</v>
      </c>
      <c r="M82" s="81">
        <f t="shared" si="26"/>
        <v>485335.51366340596</v>
      </c>
      <c r="N82" s="81">
        <f t="shared" si="27"/>
        <v>25543.974403337157</v>
      </c>
      <c r="O82" s="81">
        <f t="shared" si="28"/>
        <v>510879.48806674313</v>
      </c>
      <c r="P82" s="81">
        <f t="shared" si="29"/>
        <v>485335.51366340596</v>
      </c>
      <c r="Q82" s="81">
        <f t="shared" si="30"/>
        <v>25543.974403337157</v>
      </c>
      <c r="R82" s="81">
        <f t="shared" si="19"/>
        <v>510879.48806674313</v>
      </c>
      <c r="S82" s="81"/>
      <c r="T82" s="81"/>
      <c r="U82" s="81">
        <f t="shared" si="31"/>
        <v>0</v>
      </c>
      <c r="V82" s="81">
        <f t="shared" si="32"/>
        <v>510879.48806674313</v>
      </c>
      <c r="W82" s="87">
        <v>3337586.9134227308</v>
      </c>
      <c r="X82" s="81"/>
      <c r="Y82" s="81"/>
      <c r="Z82" s="17"/>
    </row>
    <row r="83" spans="1:26">
      <c r="A83" s="6">
        <f t="shared" si="33"/>
        <v>2020</v>
      </c>
      <c r="B83" s="81">
        <f>'Exhibit H,5'!Q44</f>
        <v>0</v>
      </c>
      <c r="C83" s="81">
        <f>'Exhibit H,5'!R44</f>
        <v>0</v>
      </c>
      <c r="D83" s="81">
        <f>'Exhibit H,5'!S44</f>
        <v>0</v>
      </c>
      <c r="E83" s="81">
        <f>'Exhibit H,5'!T44</f>
        <v>0</v>
      </c>
      <c r="F83" s="81">
        <f>'Exhibit H,5'!U44</f>
        <v>0</v>
      </c>
      <c r="G83" s="81">
        <f t="shared" si="20"/>
        <v>0</v>
      </c>
      <c r="H83" s="81">
        <f t="shared" si="21"/>
        <v>0</v>
      </c>
      <c r="I83" s="81">
        <f t="shared" si="22"/>
        <v>0</v>
      </c>
      <c r="J83" s="81">
        <f t="shared" si="23"/>
        <v>0</v>
      </c>
      <c r="K83" s="81">
        <f t="shared" si="24"/>
        <v>0</v>
      </c>
      <c r="L83" s="81">
        <f t="shared" si="25"/>
        <v>0</v>
      </c>
      <c r="M83" s="81">
        <f t="shared" si="26"/>
        <v>575449.11788611172</v>
      </c>
      <c r="N83" s="81">
        <f t="shared" si="27"/>
        <v>30286.795678216407</v>
      </c>
      <c r="O83" s="81">
        <f t="shared" si="28"/>
        <v>605735.9135643281</v>
      </c>
      <c r="P83" s="81">
        <f t="shared" si="29"/>
        <v>575449.11788611172</v>
      </c>
      <c r="Q83" s="81">
        <f t="shared" si="30"/>
        <v>30286.795678216407</v>
      </c>
      <c r="R83" s="81">
        <f t="shared" si="19"/>
        <v>605735.9135643281</v>
      </c>
      <c r="S83" s="81"/>
      <c r="T83" s="81"/>
      <c r="U83" s="81">
        <f t="shared" si="31"/>
        <v>0</v>
      </c>
      <c r="V83" s="81">
        <f t="shared" si="32"/>
        <v>605735.9135643281</v>
      </c>
      <c r="W83" s="87">
        <v>3626379.05</v>
      </c>
      <c r="X83" s="81"/>
      <c r="Y83" s="81"/>
      <c r="Z83" s="17"/>
    </row>
    <row r="84" spans="1:26">
      <c r="A84" s="6"/>
      <c r="B84" s="81">
        <f>'Exhibit H,5'!Q45</f>
        <v>0</v>
      </c>
      <c r="C84" s="81">
        <f>'Exhibit H,5'!R45</f>
        <v>0</v>
      </c>
      <c r="D84" s="81">
        <f>'Exhibit H,5'!S45</f>
        <v>0</v>
      </c>
      <c r="E84" s="81">
        <f>'Exhibit H,5'!T45</f>
        <v>0</v>
      </c>
      <c r="F84" s="81">
        <f>'Exhibit H,5'!U45</f>
        <v>0</v>
      </c>
      <c r="G84" s="81"/>
      <c r="H84" s="81"/>
      <c r="I84" s="81"/>
      <c r="J84" s="81"/>
      <c r="K84" s="81"/>
      <c r="L84" s="81"/>
      <c r="M84" s="81">
        <f t="shared" si="26"/>
        <v>0</v>
      </c>
      <c r="N84" s="81">
        <f t="shared" si="27"/>
        <v>0</v>
      </c>
      <c r="O84" s="81"/>
      <c r="P84" s="81">
        <f t="shared" si="29"/>
        <v>0</v>
      </c>
      <c r="Q84" s="81">
        <f t="shared" si="30"/>
        <v>0</v>
      </c>
      <c r="R84" s="81"/>
      <c r="S84" s="81"/>
      <c r="T84" s="81"/>
      <c r="U84" s="81">
        <f t="shared" si="31"/>
        <v>0</v>
      </c>
      <c r="V84" s="81">
        <f t="shared" si="32"/>
        <v>0</v>
      </c>
      <c r="W84" s="87"/>
      <c r="X84" s="81"/>
      <c r="Y84" s="81"/>
      <c r="Z84" s="17"/>
    </row>
    <row r="85" spans="1:26">
      <c r="A85" s="6" t="s">
        <v>0</v>
      </c>
      <c r="B85" s="82">
        <f t="shared" ref="B85:G85" si="34">SUM(B55:B83)</f>
        <v>188063684.00000003</v>
      </c>
      <c r="C85" s="82">
        <f t="shared" si="34"/>
        <v>191028559.00000003</v>
      </c>
      <c r="D85" s="82">
        <f t="shared" si="34"/>
        <v>187470561.72000003</v>
      </c>
      <c r="E85" s="82">
        <f t="shared" si="34"/>
        <v>189168612.72000003</v>
      </c>
      <c r="F85" s="82">
        <f t="shared" si="34"/>
        <v>1859946.2799999991</v>
      </c>
      <c r="G85" s="82">
        <f t="shared" si="34"/>
        <v>568260855.72000027</v>
      </c>
      <c r="H85" s="82">
        <f t="shared" ref="H85:Q85" si="35">SUM(H55:H83)</f>
        <v>757591363.72000015</v>
      </c>
      <c r="I85" s="82">
        <f t="shared" si="35"/>
        <v>379092243.00000006</v>
      </c>
      <c r="J85" s="82">
        <f>SUM(J55:J83)</f>
        <v>566562804.72000027</v>
      </c>
      <c r="K85" s="82">
        <f t="shared" si="35"/>
        <v>189168612.72000003</v>
      </c>
      <c r="L85" s="82">
        <f t="shared" si="35"/>
        <v>191028559.00000003</v>
      </c>
      <c r="M85" s="82">
        <f t="shared" si="35"/>
        <v>2765899.9689208255</v>
      </c>
      <c r="N85" s="82">
        <f t="shared" si="35"/>
        <v>145573.68257478031</v>
      </c>
      <c r="O85" s="82">
        <f t="shared" si="35"/>
        <v>2911473.6514956062</v>
      </c>
      <c r="P85" s="82">
        <f t="shared" si="35"/>
        <v>569328704.68892109</v>
      </c>
      <c r="Q85" s="82">
        <f t="shared" si="35"/>
        <v>191174132.68257487</v>
      </c>
      <c r="R85" s="82">
        <f>SUM(R55:R83)</f>
        <v>760502837.37149584</v>
      </c>
      <c r="S85" s="82">
        <f>SUM(S55:S83)</f>
        <v>0</v>
      </c>
      <c r="T85" s="82">
        <f>SUM(T55:T83)</f>
        <v>0</v>
      </c>
      <c r="U85" s="82">
        <f>SUM(U55:U83)</f>
        <v>0</v>
      </c>
      <c r="V85" s="82">
        <f>SUM(V55:V83)</f>
        <v>760502837.37149584</v>
      </c>
      <c r="W85" s="90">
        <v>33326793.206174932</v>
      </c>
      <c r="X85" s="81"/>
      <c r="Y85" s="81"/>
      <c r="Z85" s="17"/>
    </row>
    <row r="86" spans="1:26">
      <c r="A86" s="6"/>
      <c r="B86" s="81"/>
      <c r="C86" s="81"/>
      <c r="D86" s="81"/>
      <c r="E86" s="81"/>
      <c r="F86" s="81"/>
      <c r="G86" s="81"/>
      <c r="H86" s="81"/>
      <c r="I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7"/>
      <c r="X86" s="81"/>
      <c r="Y86" s="81"/>
      <c r="Z86" s="17"/>
    </row>
    <row r="87" spans="1:26">
      <c r="A87" s="6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1" t="s">
        <v>844</v>
      </c>
      <c r="N87" s="81"/>
      <c r="O87" s="81">
        <f>'AD IIC Total'!E142</f>
        <v>3142390.5931703448</v>
      </c>
      <c r="P87" s="81"/>
      <c r="Q87" s="81"/>
      <c r="R87" s="81"/>
      <c r="S87" s="81"/>
      <c r="T87" s="81"/>
      <c r="U87" s="81"/>
      <c r="V87" s="81"/>
      <c r="W87" s="87"/>
      <c r="X87" s="81"/>
      <c r="Y87" s="81"/>
      <c r="Z87" s="17"/>
    </row>
    <row r="88" spans="1:26">
      <c r="A88" s="6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7"/>
      <c r="X88" s="81"/>
      <c r="Y88" s="81"/>
      <c r="Z88" s="17"/>
    </row>
    <row r="89" spans="1:26">
      <c r="A89" s="6" t="s">
        <v>17</v>
      </c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7"/>
      <c r="X89" s="81"/>
      <c r="Y89" s="81"/>
      <c r="Z89" s="17"/>
    </row>
    <row r="90" spans="1:26">
      <c r="A90" s="6"/>
      <c r="B90" s="29"/>
      <c r="C90" s="29"/>
      <c r="D90" s="29"/>
      <c r="E90" s="29"/>
      <c r="F90" s="29"/>
      <c r="G90" s="17"/>
      <c r="H90" s="81"/>
      <c r="I90" s="81"/>
      <c r="J90" s="81"/>
      <c r="K90" s="81"/>
      <c r="L90" s="81"/>
      <c r="M90" s="17"/>
      <c r="N90" s="81"/>
      <c r="O90" s="81"/>
      <c r="P90" s="81"/>
      <c r="Q90" s="81"/>
      <c r="R90" s="81" t="s">
        <v>67</v>
      </c>
      <c r="S90" s="6"/>
      <c r="T90" s="6"/>
      <c r="U90" s="6"/>
      <c r="V90" s="6" t="s">
        <v>67</v>
      </c>
      <c r="W90" s="6"/>
      <c r="X90" s="81"/>
      <c r="Y90" s="81"/>
      <c r="Z90" s="17"/>
    </row>
    <row r="91" spans="1:26">
      <c r="A91" s="6" t="s">
        <v>3</v>
      </c>
      <c r="B91" s="29"/>
      <c r="C91" s="29"/>
      <c r="D91" s="29"/>
      <c r="E91" s="29"/>
      <c r="F91" s="29"/>
      <c r="G91" s="81" t="s">
        <v>14</v>
      </c>
      <c r="H91" s="81" t="s">
        <v>12</v>
      </c>
      <c r="I91" s="81" t="s">
        <v>14</v>
      </c>
      <c r="J91" s="81" t="s">
        <v>12</v>
      </c>
      <c r="K91" s="81" t="s">
        <v>14</v>
      </c>
      <c r="L91" s="81" t="s">
        <v>12</v>
      </c>
      <c r="M91" s="81" t="s">
        <v>381</v>
      </c>
      <c r="N91" s="81" t="s">
        <v>381</v>
      </c>
      <c r="O91" s="81" t="s">
        <v>381</v>
      </c>
      <c r="P91" s="81" t="s">
        <v>660</v>
      </c>
      <c r="Q91" s="81" t="s">
        <v>67</v>
      </c>
      <c r="R91" s="81" t="s">
        <v>662</v>
      </c>
      <c r="S91" s="6" t="s">
        <v>661</v>
      </c>
      <c r="T91" s="6" t="s">
        <v>661</v>
      </c>
      <c r="U91" s="6" t="s">
        <v>67</v>
      </c>
      <c r="V91" s="6" t="s">
        <v>663</v>
      </c>
      <c r="W91" s="6" t="s">
        <v>177</v>
      </c>
      <c r="X91" s="81"/>
      <c r="Y91" s="81"/>
      <c r="Z91" s="17"/>
    </row>
    <row r="92" spans="1:26">
      <c r="A92" s="6" t="s">
        <v>4</v>
      </c>
      <c r="B92" s="30"/>
      <c r="C92" s="30"/>
      <c r="D92" s="30"/>
      <c r="E92" s="30"/>
      <c r="F92" s="30"/>
      <c r="G92" s="81" t="s">
        <v>0</v>
      </c>
      <c r="H92" s="81" t="s">
        <v>0</v>
      </c>
      <c r="I92" s="81" t="s">
        <v>566</v>
      </c>
      <c r="J92" s="81" t="s">
        <v>566</v>
      </c>
      <c r="K92" s="81" t="s">
        <v>567</v>
      </c>
      <c r="L92" s="81" t="s">
        <v>567</v>
      </c>
      <c r="M92" s="81" t="s">
        <v>566</v>
      </c>
      <c r="N92" s="81" t="s">
        <v>567</v>
      </c>
      <c r="O92" s="81" t="s">
        <v>0</v>
      </c>
      <c r="P92" s="81" t="s">
        <v>566</v>
      </c>
      <c r="Q92" s="81" t="s">
        <v>567</v>
      </c>
      <c r="R92" s="81" t="s">
        <v>0</v>
      </c>
      <c r="S92" s="6" t="s">
        <v>117</v>
      </c>
      <c r="T92" s="6" t="s">
        <v>14</v>
      </c>
      <c r="U92" s="6" t="s">
        <v>661</v>
      </c>
      <c r="V92" s="6" t="s">
        <v>0</v>
      </c>
      <c r="W92" s="6" t="s">
        <v>16</v>
      </c>
      <c r="X92" s="81"/>
      <c r="Y92" s="81"/>
      <c r="Z92" s="17"/>
    </row>
    <row r="93" spans="1:26">
      <c r="A93" s="10">
        <v>-1</v>
      </c>
      <c r="B93" s="10">
        <f>A93-1</f>
        <v>-2</v>
      </c>
      <c r="C93" s="10">
        <f>B93-1</f>
        <v>-3</v>
      </c>
      <c r="D93" s="10">
        <f>C93-1</f>
        <v>-4</v>
      </c>
      <c r="E93" s="10">
        <f>D93-1</f>
        <v>-5</v>
      </c>
      <c r="F93" s="10">
        <f>E93-1</f>
        <v>-6</v>
      </c>
      <c r="G93" s="10">
        <f t="shared" ref="G93:L93" si="36">F93-1</f>
        <v>-7</v>
      </c>
      <c r="H93" s="10">
        <f t="shared" si="36"/>
        <v>-8</v>
      </c>
      <c r="I93" s="10">
        <f t="shared" si="36"/>
        <v>-9</v>
      </c>
      <c r="J93" s="10">
        <f t="shared" si="36"/>
        <v>-10</v>
      </c>
      <c r="K93" s="10">
        <f t="shared" si="36"/>
        <v>-11</v>
      </c>
      <c r="L93" s="10">
        <f t="shared" si="36"/>
        <v>-12</v>
      </c>
      <c r="M93" s="10">
        <f>L93-1</f>
        <v>-13</v>
      </c>
      <c r="N93" s="10">
        <f t="shared" ref="N93:V93" si="37">M93-1</f>
        <v>-14</v>
      </c>
      <c r="O93" s="10">
        <f t="shared" si="37"/>
        <v>-15</v>
      </c>
      <c r="P93" s="10">
        <f t="shared" si="37"/>
        <v>-16</v>
      </c>
      <c r="Q93" s="10">
        <f t="shared" si="37"/>
        <v>-17</v>
      </c>
      <c r="R93" s="10">
        <f t="shared" si="37"/>
        <v>-18</v>
      </c>
      <c r="S93" s="10">
        <f t="shared" si="37"/>
        <v>-19</v>
      </c>
      <c r="T93" s="10">
        <f t="shared" si="37"/>
        <v>-20</v>
      </c>
      <c r="U93" s="10">
        <f t="shared" si="37"/>
        <v>-21</v>
      </c>
      <c r="V93" s="10">
        <f t="shared" si="37"/>
        <v>-22</v>
      </c>
      <c r="W93" s="10">
        <v>-23</v>
      </c>
      <c r="X93" s="81"/>
      <c r="Y93" s="81"/>
      <c r="Z93" s="17"/>
    </row>
    <row r="94" spans="1:26">
      <c r="A94" s="80"/>
      <c r="B94" s="81"/>
      <c r="C94" s="81"/>
      <c r="D94" s="81"/>
      <c r="E94" s="81"/>
      <c r="F94" s="81"/>
      <c r="G94" s="17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6"/>
      <c r="T94" s="6"/>
      <c r="U94" s="6"/>
      <c r="V94" s="6"/>
      <c r="W94" s="6"/>
      <c r="X94" s="81"/>
      <c r="Y94" s="81"/>
      <c r="Z94" s="17"/>
    </row>
    <row r="95" spans="1:26">
      <c r="A95" s="6">
        <v>1992</v>
      </c>
      <c r="B95" s="81"/>
      <c r="C95" s="81"/>
      <c r="D95" s="81"/>
      <c r="E95" s="81"/>
      <c r="F95" s="81"/>
      <c r="G95" s="81">
        <f>G15-G55</f>
        <v>31756701.840000004</v>
      </c>
      <c r="H95" s="81">
        <f t="shared" ref="H95:T95" si="38">H15-H55</f>
        <v>19226638.359999999</v>
      </c>
      <c r="I95" s="81">
        <f t="shared" si="38"/>
        <v>9613319.1799999997</v>
      </c>
      <c r="J95" s="81">
        <f t="shared" si="38"/>
        <v>-2916744.299999997</v>
      </c>
      <c r="K95" s="81">
        <f t="shared" si="38"/>
        <v>22143382.66</v>
      </c>
      <c r="L95" s="81">
        <f t="shared" si="38"/>
        <v>22143382.66</v>
      </c>
      <c r="M95" s="81">
        <f t="shared" si="38"/>
        <v>0</v>
      </c>
      <c r="N95" s="81">
        <f t="shared" si="38"/>
        <v>0</v>
      </c>
      <c r="O95" s="81">
        <f>'AD8'!O95*('AD8'!O$125-O$87)/'AD8'!O$125</f>
        <v>0</v>
      </c>
      <c r="P95" s="81">
        <f t="shared" si="38"/>
        <v>-2916744.299999997</v>
      </c>
      <c r="Q95" s="81">
        <f t="shared" si="38"/>
        <v>22143382.66</v>
      </c>
      <c r="R95" s="81">
        <f t="shared" si="38"/>
        <v>19226638.359999999</v>
      </c>
      <c r="S95" s="81">
        <f t="shared" si="38"/>
        <v>0</v>
      </c>
      <c r="T95" s="81">
        <f t="shared" si="38"/>
        <v>0</v>
      </c>
      <c r="U95" s="81">
        <f>S95+T95</f>
        <v>0</v>
      </c>
      <c r="V95" s="81">
        <f>R95+U95</f>
        <v>19226638.359999999</v>
      </c>
      <c r="W95" s="87">
        <v>0</v>
      </c>
      <c r="X95" s="81"/>
      <c r="Y95" s="81"/>
      <c r="Z95" s="17"/>
    </row>
    <row r="96" spans="1:26">
      <c r="A96" s="6">
        <f>A95+1</f>
        <v>1993</v>
      </c>
      <c r="B96" s="81"/>
      <c r="C96" s="81"/>
      <c r="D96" s="81"/>
      <c r="E96" s="81"/>
      <c r="F96" s="81"/>
      <c r="G96" s="81">
        <f t="shared" ref="G96:T111" si="39">G16-G56</f>
        <v>22941092</v>
      </c>
      <c r="H96" s="81">
        <f t="shared" si="39"/>
        <v>-4781701.1599999964</v>
      </c>
      <c r="I96" s="81">
        <f t="shared" si="39"/>
        <v>-2390850.5799999982</v>
      </c>
      <c r="J96" s="81">
        <f t="shared" si="39"/>
        <v>-30113643.739999995</v>
      </c>
      <c r="K96" s="81">
        <f t="shared" si="39"/>
        <v>25331942.579999998</v>
      </c>
      <c r="L96" s="81">
        <f t="shared" si="39"/>
        <v>25331942.579999998</v>
      </c>
      <c r="M96" s="81">
        <f t="shared" si="39"/>
        <v>0</v>
      </c>
      <c r="N96" s="81">
        <f t="shared" si="39"/>
        <v>0</v>
      </c>
      <c r="O96" s="81">
        <f>'AD8'!O96*('AD8'!O$125-O$87)/'AD8'!O$125</f>
        <v>0</v>
      </c>
      <c r="P96" s="81">
        <f t="shared" si="39"/>
        <v>-30113643.739999995</v>
      </c>
      <c r="Q96" s="81">
        <f t="shared" si="39"/>
        <v>25331942.579999998</v>
      </c>
      <c r="R96" s="81">
        <f t="shared" si="39"/>
        <v>-4781701.1599999964</v>
      </c>
      <c r="S96" s="81">
        <f t="shared" si="39"/>
        <v>0</v>
      </c>
      <c r="T96" s="81">
        <f t="shared" si="39"/>
        <v>0</v>
      </c>
      <c r="U96" s="81">
        <f t="shared" ref="U96:U124" si="40">S96+T96</f>
        <v>0</v>
      </c>
      <c r="V96" s="81">
        <f t="shared" ref="V96:V124" si="41">R96+U96</f>
        <v>-4781701.1599999964</v>
      </c>
      <c r="W96" s="87">
        <v>0</v>
      </c>
      <c r="X96" s="81"/>
      <c r="Y96" s="81"/>
      <c r="Z96" s="17"/>
    </row>
    <row r="97" spans="1:26">
      <c r="A97" s="6">
        <f t="shared" ref="A97:A123" si="42">A96+1</f>
        <v>1994</v>
      </c>
      <c r="B97" s="81"/>
      <c r="C97" s="81"/>
      <c r="D97" s="81"/>
      <c r="E97" s="81"/>
      <c r="F97" s="81"/>
      <c r="G97" s="81">
        <f t="shared" si="39"/>
        <v>34704257.319999993</v>
      </c>
      <c r="H97" s="81">
        <f t="shared" si="39"/>
        <v>15168383.699999988</v>
      </c>
      <c r="I97" s="81">
        <f t="shared" si="39"/>
        <v>7584191.849999994</v>
      </c>
      <c r="J97" s="81">
        <f t="shared" si="39"/>
        <v>-11951681.770000003</v>
      </c>
      <c r="K97" s="81">
        <f t="shared" si="39"/>
        <v>27120065.469999995</v>
      </c>
      <c r="L97" s="81">
        <f t="shared" si="39"/>
        <v>27120065.469999995</v>
      </c>
      <c r="M97" s="81">
        <f t="shared" si="39"/>
        <v>0</v>
      </c>
      <c r="N97" s="81">
        <f t="shared" si="39"/>
        <v>0</v>
      </c>
      <c r="O97" s="81">
        <f>'AD8'!O97*('AD8'!O$125-O$87)/'AD8'!O$125</f>
        <v>0</v>
      </c>
      <c r="P97" s="81">
        <f t="shared" si="39"/>
        <v>-11951681.770000003</v>
      </c>
      <c r="Q97" s="81">
        <f t="shared" si="39"/>
        <v>27120065.469999995</v>
      </c>
      <c r="R97" s="81">
        <f t="shared" si="39"/>
        <v>15168383.699999988</v>
      </c>
      <c r="S97" s="81">
        <f t="shared" si="39"/>
        <v>0</v>
      </c>
      <c r="T97" s="81">
        <f t="shared" si="39"/>
        <v>0</v>
      </c>
      <c r="U97" s="81">
        <f t="shared" si="40"/>
        <v>0</v>
      </c>
      <c r="V97" s="81">
        <f t="shared" si="41"/>
        <v>15168383.699999988</v>
      </c>
      <c r="W97" s="87">
        <v>0</v>
      </c>
      <c r="X97" s="81"/>
      <c r="Y97" s="81"/>
      <c r="Z97" s="17"/>
    </row>
    <row r="98" spans="1:26">
      <c r="A98" s="6">
        <f t="shared" si="42"/>
        <v>1995</v>
      </c>
      <c r="B98" s="81"/>
      <c r="C98" s="81"/>
      <c r="D98" s="81"/>
      <c r="E98" s="81"/>
      <c r="F98" s="81"/>
      <c r="G98" s="81">
        <f t="shared" si="39"/>
        <v>40696082.36999999</v>
      </c>
      <c r="H98" s="81">
        <f t="shared" si="39"/>
        <v>30144528.999999985</v>
      </c>
      <c r="I98" s="81">
        <f t="shared" si="39"/>
        <v>15072264.499999993</v>
      </c>
      <c r="J98" s="81">
        <f t="shared" si="39"/>
        <v>4520711.1299999915</v>
      </c>
      <c r="K98" s="81">
        <f t="shared" si="39"/>
        <v>25623817.869999994</v>
      </c>
      <c r="L98" s="81">
        <f t="shared" si="39"/>
        <v>25623817.869999994</v>
      </c>
      <c r="M98" s="81">
        <f t="shared" si="39"/>
        <v>0</v>
      </c>
      <c r="N98" s="81">
        <f t="shared" si="39"/>
        <v>0</v>
      </c>
      <c r="O98" s="81">
        <f>'AD8'!O98*('AD8'!O$125-O$87)/'AD8'!O$125</f>
        <v>0</v>
      </c>
      <c r="P98" s="81">
        <f t="shared" si="39"/>
        <v>4520711.1299999915</v>
      </c>
      <c r="Q98" s="81">
        <f t="shared" si="39"/>
        <v>25623817.869999994</v>
      </c>
      <c r="R98" s="81">
        <f t="shared" si="39"/>
        <v>30144528.999999985</v>
      </c>
      <c r="S98" s="81">
        <f t="shared" si="39"/>
        <v>0</v>
      </c>
      <c r="T98" s="81">
        <f t="shared" si="39"/>
        <v>0</v>
      </c>
      <c r="U98" s="81">
        <f t="shared" si="40"/>
        <v>0</v>
      </c>
      <c r="V98" s="81">
        <f t="shared" si="41"/>
        <v>30144528.999999985</v>
      </c>
      <c r="W98" s="87">
        <v>0</v>
      </c>
      <c r="X98" s="81"/>
      <c r="Y98" s="81"/>
      <c r="Z98" s="17"/>
    </row>
    <row r="99" spans="1:26">
      <c r="A99" s="6">
        <f t="shared" si="42"/>
        <v>1996</v>
      </c>
      <c r="B99" s="81"/>
      <c r="C99" s="81"/>
      <c r="D99" s="81"/>
      <c r="E99" s="81"/>
      <c r="F99" s="81"/>
      <c r="G99" s="81">
        <f t="shared" si="39"/>
        <v>23789963.150000006</v>
      </c>
      <c r="H99" s="81">
        <f t="shared" si="39"/>
        <v>-4256496.299999997</v>
      </c>
      <c r="I99" s="81">
        <f t="shared" si="39"/>
        <v>-2128248.1499999985</v>
      </c>
      <c r="J99" s="81">
        <f t="shared" si="39"/>
        <v>-30174707.599999994</v>
      </c>
      <c r="K99" s="81">
        <f t="shared" si="39"/>
        <v>25918211.300000001</v>
      </c>
      <c r="L99" s="81">
        <f t="shared" si="39"/>
        <v>25918211.300000001</v>
      </c>
      <c r="M99" s="81">
        <f t="shared" si="39"/>
        <v>0</v>
      </c>
      <c r="N99" s="81">
        <f t="shared" si="39"/>
        <v>0</v>
      </c>
      <c r="O99" s="81">
        <f>'AD8'!O99*('AD8'!O$125-O$87)/'AD8'!O$125</f>
        <v>0</v>
      </c>
      <c r="P99" s="81">
        <f t="shared" si="39"/>
        <v>-30174707.599999994</v>
      </c>
      <c r="Q99" s="81">
        <f t="shared" si="39"/>
        <v>25918211.300000001</v>
      </c>
      <c r="R99" s="81">
        <f t="shared" si="39"/>
        <v>-4256496.299999997</v>
      </c>
      <c r="S99" s="81">
        <f t="shared" si="39"/>
        <v>0</v>
      </c>
      <c r="T99" s="81">
        <f t="shared" si="39"/>
        <v>0</v>
      </c>
      <c r="U99" s="81">
        <f t="shared" si="40"/>
        <v>0</v>
      </c>
      <c r="V99" s="81">
        <f t="shared" si="41"/>
        <v>-4256496.299999997</v>
      </c>
      <c r="W99" s="87">
        <v>0</v>
      </c>
      <c r="X99" s="81"/>
      <c r="Y99" s="81"/>
      <c r="Z99" s="17"/>
    </row>
    <row r="100" spans="1:26">
      <c r="A100" s="6">
        <f t="shared" si="42"/>
        <v>1997</v>
      </c>
      <c r="B100" s="81"/>
      <c r="C100" s="81"/>
      <c r="D100" s="81"/>
      <c r="E100" s="81"/>
      <c r="F100" s="81"/>
      <c r="G100" s="81">
        <f t="shared" si="39"/>
        <v>37561929.450000003</v>
      </c>
      <c r="H100" s="81">
        <f t="shared" si="39"/>
        <v>14468499.040000007</v>
      </c>
      <c r="I100" s="81">
        <f t="shared" si="39"/>
        <v>7234249.5200000033</v>
      </c>
      <c r="J100" s="81">
        <f t="shared" si="39"/>
        <v>-15859180.890000001</v>
      </c>
      <c r="K100" s="81">
        <f t="shared" si="39"/>
        <v>30327679.930000003</v>
      </c>
      <c r="L100" s="81">
        <f t="shared" si="39"/>
        <v>30327679.930000003</v>
      </c>
      <c r="M100" s="81">
        <f t="shared" si="39"/>
        <v>0</v>
      </c>
      <c r="N100" s="81">
        <f t="shared" si="39"/>
        <v>0</v>
      </c>
      <c r="O100" s="81">
        <f>'AD8'!O100*('AD8'!O$125-O$87)/'AD8'!O$125</f>
        <v>0</v>
      </c>
      <c r="P100" s="81">
        <f t="shared" si="39"/>
        <v>-15859180.890000001</v>
      </c>
      <c r="Q100" s="81">
        <f t="shared" si="39"/>
        <v>30327679.930000003</v>
      </c>
      <c r="R100" s="81">
        <f t="shared" si="39"/>
        <v>14468499.040000007</v>
      </c>
      <c r="S100" s="81">
        <f t="shared" si="39"/>
        <v>0</v>
      </c>
      <c r="T100" s="81">
        <f t="shared" si="39"/>
        <v>0</v>
      </c>
      <c r="U100" s="81">
        <f t="shared" si="40"/>
        <v>0</v>
      </c>
      <c r="V100" s="81">
        <f t="shared" si="41"/>
        <v>14468499.040000007</v>
      </c>
      <c r="W100" s="87">
        <v>0</v>
      </c>
      <c r="X100" s="81"/>
      <c r="Y100" s="81"/>
      <c r="Z100" s="17"/>
    </row>
    <row r="101" spans="1:26">
      <c r="A101" s="6">
        <f t="shared" si="42"/>
        <v>1998</v>
      </c>
      <c r="B101" s="81"/>
      <c r="C101" s="81"/>
      <c r="D101" s="81"/>
      <c r="E101" s="81"/>
      <c r="F101" s="81"/>
      <c r="G101" s="81">
        <f t="shared" si="39"/>
        <v>37379460.519999996</v>
      </c>
      <c r="H101" s="81">
        <f t="shared" si="39"/>
        <v>20565616.739999995</v>
      </c>
      <c r="I101" s="81">
        <f t="shared" si="39"/>
        <v>10282808.369999997</v>
      </c>
      <c r="J101" s="81">
        <f t="shared" si="39"/>
        <v>-6531035.4100000039</v>
      </c>
      <c r="K101" s="81">
        <f t="shared" si="39"/>
        <v>27096652.149999999</v>
      </c>
      <c r="L101" s="81">
        <f t="shared" si="39"/>
        <v>27096652.149999999</v>
      </c>
      <c r="M101" s="81">
        <f t="shared" si="39"/>
        <v>0</v>
      </c>
      <c r="N101" s="81">
        <f t="shared" si="39"/>
        <v>0</v>
      </c>
      <c r="O101" s="81">
        <f>'AD8'!O101*('AD8'!O$125-O$87)/'AD8'!O$125</f>
        <v>0</v>
      </c>
      <c r="P101" s="81">
        <f t="shared" si="39"/>
        <v>-6531035.4100000039</v>
      </c>
      <c r="Q101" s="81">
        <f t="shared" si="39"/>
        <v>27096652.149999999</v>
      </c>
      <c r="R101" s="81">
        <f t="shared" si="39"/>
        <v>20565616.739999995</v>
      </c>
      <c r="S101" s="81">
        <f t="shared" si="39"/>
        <v>0</v>
      </c>
      <c r="T101" s="81">
        <f t="shared" si="39"/>
        <v>0</v>
      </c>
      <c r="U101" s="81">
        <f t="shared" si="40"/>
        <v>0</v>
      </c>
      <c r="V101" s="81">
        <f t="shared" si="41"/>
        <v>20565616.739999995</v>
      </c>
      <c r="W101" s="87">
        <v>0</v>
      </c>
      <c r="X101" s="81"/>
      <c r="Y101" s="81"/>
      <c r="Z101" s="17"/>
    </row>
    <row r="102" spans="1:26">
      <c r="A102" s="6">
        <f t="shared" si="42"/>
        <v>1999</v>
      </c>
      <c r="B102" s="81"/>
      <c r="C102" s="81"/>
      <c r="D102" s="81"/>
      <c r="E102" s="81"/>
      <c r="F102" s="81"/>
      <c r="G102" s="81">
        <f t="shared" si="39"/>
        <v>42342985.100000009</v>
      </c>
      <c r="H102" s="81">
        <f t="shared" si="39"/>
        <v>33372060.580000013</v>
      </c>
      <c r="I102" s="81">
        <f t="shared" si="39"/>
        <v>16686030.290000007</v>
      </c>
      <c r="J102" s="81">
        <f t="shared" si="39"/>
        <v>7715105.770000007</v>
      </c>
      <c r="K102" s="81">
        <f t="shared" si="39"/>
        <v>25656954.810000006</v>
      </c>
      <c r="L102" s="81">
        <f t="shared" si="39"/>
        <v>25656954.810000006</v>
      </c>
      <c r="M102" s="81">
        <f t="shared" si="39"/>
        <v>0</v>
      </c>
      <c r="N102" s="81">
        <f t="shared" si="39"/>
        <v>0</v>
      </c>
      <c r="O102" s="81">
        <f>'AD8'!O102*('AD8'!O$125-O$87)/'AD8'!O$125</f>
        <v>0</v>
      </c>
      <c r="P102" s="81">
        <f t="shared" si="39"/>
        <v>7715105.770000007</v>
      </c>
      <c r="Q102" s="81">
        <f t="shared" si="39"/>
        <v>25656954.810000006</v>
      </c>
      <c r="R102" s="81">
        <f t="shared" si="39"/>
        <v>33372060.580000013</v>
      </c>
      <c r="S102" s="81">
        <f t="shared" si="39"/>
        <v>0</v>
      </c>
      <c r="T102" s="81">
        <f t="shared" si="39"/>
        <v>0</v>
      </c>
      <c r="U102" s="81">
        <f t="shared" si="40"/>
        <v>0</v>
      </c>
      <c r="V102" s="81">
        <f t="shared" si="41"/>
        <v>33372060.580000013</v>
      </c>
      <c r="W102" s="87">
        <v>0</v>
      </c>
      <c r="X102" s="81"/>
      <c r="Y102" s="81"/>
      <c r="Z102" s="17"/>
    </row>
    <row r="103" spans="1:26">
      <c r="A103" s="6">
        <f t="shared" si="42"/>
        <v>2000</v>
      </c>
      <c r="B103" s="81"/>
      <c r="C103" s="81"/>
      <c r="D103" s="81"/>
      <c r="E103" s="81"/>
      <c r="F103" s="81"/>
      <c r="G103" s="81">
        <f t="shared" si="39"/>
        <v>60309681.56999997</v>
      </c>
      <c r="H103" s="81">
        <f t="shared" si="39"/>
        <v>54405977.199999973</v>
      </c>
      <c r="I103" s="81">
        <f t="shared" si="39"/>
        <v>27202988.599999983</v>
      </c>
      <c r="J103" s="81">
        <f t="shared" si="39"/>
        <v>21299284.229999982</v>
      </c>
      <c r="K103" s="81">
        <f t="shared" si="39"/>
        <v>33106692.969999988</v>
      </c>
      <c r="L103" s="81">
        <f t="shared" si="39"/>
        <v>33106692.969999988</v>
      </c>
      <c r="M103" s="81">
        <f t="shared" si="39"/>
        <v>0</v>
      </c>
      <c r="N103" s="81">
        <f t="shared" si="39"/>
        <v>0</v>
      </c>
      <c r="O103" s="81">
        <f>'AD8'!O103*('AD8'!O$125-O$87)/'AD8'!O$125</f>
        <v>0</v>
      </c>
      <c r="P103" s="81">
        <f t="shared" si="39"/>
        <v>21299284.229999982</v>
      </c>
      <c r="Q103" s="81">
        <f t="shared" si="39"/>
        <v>33106692.969999988</v>
      </c>
      <c r="R103" s="81">
        <f t="shared" si="39"/>
        <v>54405977.199999973</v>
      </c>
      <c r="S103" s="81">
        <f t="shared" si="39"/>
        <v>0</v>
      </c>
      <c r="T103" s="81">
        <f t="shared" si="39"/>
        <v>0</v>
      </c>
      <c r="U103" s="81">
        <f t="shared" si="40"/>
        <v>0</v>
      </c>
      <c r="V103" s="81">
        <f t="shared" si="41"/>
        <v>54405977.199999973</v>
      </c>
      <c r="W103" s="87">
        <v>0</v>
      </c>
      <c r="X103" s="81"/>
      <c r="Y103" s="81"/>
      <c r="Z103" s="17"/>
    </row>
    <row r="104" spans="1:26">
      <c r="A104" s="6">
        <f t="shared" si="42"/>
        <v>2001</v>
      </c>
      <c r="B104" s="81"/>
      <c r="C104" s="81"/>
      <c r="D104" s="81"/>
      <c r="E104" s="81"/>
      <c r="F104" s="81"/>
      <c r="G104" s="81">
        <f t="shared" si="39"/>
        <v>47581679.810000002</v>
      </c>
      <c r="H104" s="81">
        <f t="shared" si="39"/>
        <v>39163543.539999999</v>
      </c>
      <c r="I104" s="81">
        <f t="shared" si="39"/>
        <v>19581771.769999996</v>
      </c>
      <c r="J104" s="81">
        <f t="shared" si="39"/>
        <v>11163635.499999996</v>
      </c>
      <c r="K104" s="81">
        <f t="shared" si="39"/>
        <v>27999908.040000003</v>
      </c>
      <c r="L104" s="81">
        <f t="shared" si="39"/>
        <v>27999908.040000003</v>
      </c>
      <c r="M104" s="81">
        <f t="shared" si="39"/>
        <v>0</v>
      </c>
      <c r="N104" s="81">
        <f t="shared" si="39"/>
        <v>0</v>
      </c>
      <c r="O104" s="81">
        <f>'AD8'!O104*('AD8'!O$125-O$87)/'AD8'!O$125</f>
        <v>0</v>
      </c>
      <c r="P104" s="81">
        <f t="shared" si="39"/>
        <v>11163635.499999996</v>
      </c>
      <c r="Q104" s="81">
        <f t="shared" si="39"/>
        <v>27999908.040000003</v>
      </c>
      <c r="R104" s="81">
        <f t="shared" si="39"/>
        <v>39163543.539999999</v>
      </c>
      <c r="S104" s="81">
        <f t="shared" si="39"/>
        <v>0</v>
      </c>
      <c r="T104" s="81">
        <f t="shared" si="39"/>
        <v>0</v>
      </c>
      <c r="U104" s="81">
        <f t="shared" si="40"/>
        <v>0</v>
      </c>
      <c r="V104" s="81">
        <f t="shared" si="41"/>
        <v>39163543.539999999</v>
      </c>
      <c r="W104" s="87">
        <v>0</v>
      </c>
      <c r="X104" s="81"/>
      <c r="Y104" s="81"/>
      <c r="Z104" s="17"/>
    </row>
    <row r="105" spans="1:26">
      <c r="A105" s="6">
        <f t="shared" si="42"/>
        <v>2002</v>
      </c>
      <c r="B105" s="81"/>
      <c r="C105" s="81"/>
      <c r="D105" s="81"/>
      <c r="E105" s="81"/>
      <c r="F105" s="81"/>
      <c r="G105" s="81">
        <f t="shared" si="39"/>
        <v>37020694.419999994</v>
      </c>
      <c r="H105" s="81">
        <f t="shared" si="39"/>
        <v>36475301.519999996</v>
      </c>
      <c r="I105" s="81">
        <f t="shared" si="39"/>
        <v>18237650.759999998</v>
      </c>
      <c r="J105" s="81">
        <f t="shared" si="39"/>
        <v>17692257.859999996</v>
      </c>
      <c r="K105" s="81">
        <f t="shared" si="39"/>
        <v>18783043.659999996</v>
      </c>
      <c r="L105" s="81">
        <f t="shared" si="39"/>
        <v>18783043.659999996</v>
      </c>
      <c r="M105" s="81">
        <f t="shared" si="39"/>
        <v>0</v>
      </c>
      <c r="N105" s="81">
        <f t="shared" si="39"/>
        <v>0</v>
      </c>
      <c r="O105" s="81">
        <f>'AD8'!O105*('AD8'!O$125-O$87)/'AD8'!O$125</f>
        <v>0</v>
      </c>
      <c r="P105" s="81">
        <f t="shared" si="39"/>
        <v>17692257.859999996</v>
      </c>
      <c r="Q105" s="81">
        <f t="shared" si="39"/>
        <v>18783043.659999996</v>
      </c>
      <c r="R105" s="81">
        <f t="shared" si="39"/>
        <v>36475301.519999996</v>
      </c>
      <c r="S105" s="81">
        <f t="shared" si="39"/>
        <v>0</v>
      </c>
      <c r="T105" s="81">
        <f t="shared" si="39"/>
        <v>0</v>
      </c>
      <c r="U105" s="81">
        <f t="shared" si="40"/>
        <v>0</v>
      </c>
      <c r="V105" s="81">
        <f t="shared" si="41"/>
        <v>36475301.519999996</v>
      </c>
      <c r="W105" s="87">
        <v>0</v>
      </c>
      <c r="X105" s="81"/>
      <c r="Y105" s="81"/>
      <c r="Z105" s="17"/>
    </row>
    <row r="106" spans="1:26">
      <c r="A106" s="6">
        <f t="shared" si="42"/>
        <v>2003</v>
      </c>
      <c r="B106" s="81"/>
      <c r="C106" s="81"/>
      <c r="D106" s="81"/>
      <c r="E106" s="81"/>
      <c r="F106" s="81"/>
      <c r="G106" s="81">
        <f t="shared" si="39"/>
        <v>37207547.520000003</v>
      </c>
      <c r="H106" s="81">
        <f t="shared" si="39"/>
        <v>35931289.840000004</v>
      </c>
      <c r="I106" s="81">
        <f t="shared" si="39"/>
        <v>17965644.920000002</v>
      </c>
      <c r="J106" s="81">
        <f t="shared" si="39"/>
        <v>16689387.240000002</v>
      </c>
      <c r="K106" s="81">
        <f t="shared" si="39"/>
        <v>19241902.600000001</v>
      </c>
      <c r="L106" s="81">
        <f t="shared" si="39"/>
        <v>19241902.600000001</v>
      </c>
      <c r="M106" s="81">
        <f t="shared" si="39"/>
        <v>0</v>
      </c>
      <c r="N106" s="81">
        <f t="shared" si="39"/>
        <v>0</v>
      </c>
      <c r="O106" s="81">
        <f>'AD8'!O106*('AD8'!O$125-O$87)/'AD8'!O$125</f>
        <v>0</v>
      </c>
      <c r="P106" s="81">
        <f t="shared" si="39"/>
        <v>16689387.240000002</v>
      </c>
      <c r="Q106" s="81">
        <f t="shared" si="39"/>
        <v>19241902.600000001</v>
      </c>
      <c r="R106" s="81">
        <f t="shared" si="39"/>
        <v>35931289.840000004</v>
      </c>
      <c r="S106" s="81">
        <f t="shared" si="39"/>
        <v>0</v>
      </c>
      <c r="T106" s="81">
        <f t="shared" si="39"/>
        <v>0</v>
      </c>
      <c r="U106" s="81">
        <f t="shared" si="40"/>
        <v>0</v>
      </c>
      <c r="V106" s="81">
        <f t="shared" si="41"/>
        <v>35931289.840000004</v>
      </c>
      <c r="W106" s="87">
        <v>0</v>
      </c>
      <c r="X106" s="81"/>
      <c r="Y106" s="81"/>
      <c r="Z106" s="17"/>
    </row>
    <row r="107" spans="1:26">
      <c r="A107" s="6">
        <f t="shared" si="42"/>
        <v>2004</v>
      </c>
      <c r="B107" s="81"/>
      <c r="C107" s="81"/>
      <c r="D107" s="81"/>
      <c r="E107" s="81"/>
      <c r="F107" s="81"/>
      <c r="G107" s="81">
        <f t="shared" si="39"/>
        <v>40016657.5</v>
      </c>
      <c r="H107" s="81">
        <f t="shared" si="39"/>
        <v>40225475.299999997</v>
      </c>
      <c r="I107" s="81">
        <f t="shared" si="39"/>
        <v>20009669.5</v>
      </c>
      <c r="J107" s="81">
        <f t="shared" si="39"/>
        <v>20009669.5</v>
      </c>
      <c r="K107" s="81">
        <f t="shared" si="39"/>
        <v>20006988</v>
      </c>
      <c r="L107" s="81">
        <f t="shared" si="39"/>
        <v>20215805.799999997</v>
      </c>
      <c r="M107" s="81">
        <f t="shared" si="39"/>
        <v>0</v>
      </c>
      <c r="N107" s="81">
        <f t="shared" si="39"/>
        <v>0</v>
      </c>
      <c r="O107" s="81">
        <f>'AD8'!O107*('AD8'!O$125-O$87)/'AD8'!O$125</f>
        <v>0</v>
      </c>
      <c r="P107" s="81">
        <f t="shared" si="39"/>
        <v>20009669.5</v>
      </c>
      <c r="Q107" s="81">
        <f t="shared" si="39"/>
        <v>20215805.799999997</v>
      </c>
      <c r="R107" s="81">
        <f t="shared" si="39"/>
        <v>40225475.299999997</v>
      </c>
      <c r="S107" s="81">
        <f t="shared" si="39"/>
        <v>0</v>
      </c>
      <c r="T107" s="81">
        <f t="shared" si="39"/>
        <v>0</v>
      </c>
      <c r="U107" s="81">
        <f t="shared" si="40"/>
        <v>0</v>
      </c>
      <c r="V107" s="81">
        <f t="shared" si="41"/>
        <v>40225475.299999997</v>
      </c>
      <c r="W107" s="87">
        <v>0</v>
      </c>
      <c r="X107" s="81"/>
      <c r="Y107" s="81"/>
      <c r="Z107" s="17"/>
    </row>
    <row r="108" spans="1:26">
      <c r="A108" s="6">
        <f t="shared" si="42"/>
        <v>2005</v>
      </c>
      <c r="B108" s="81"/>
      <c r="C108" s="81"/>
      <c r="D108" s="81"/>
      <c r="E108" s="81"/>
      <c r="F108" s="81"/>
      <c r="G108" s="81">
        <f t="shared" si="39"/>
        <v>40214475.780000001</v>
      </c>
      <c r="H108" s="81">
        <f t="shared" si="39"/>
        <v>39576244.899999999</v>
      </c>
      <c r="I108" s="81">
        <f t="shared" si="39"/>
        <v>19788122.449999999</v>
      </c>
      <c r="J108" s="81">
        <f t="shared" si="39"/>
        <v>19149891.57</v>
      </c>
      <c r="K108" s="81">
        <f t="shared" si="39"/>
        <v>20426353.330000002</v>
      </c>
      <c r="L108" s="81">
        <f t="shared" si="39"/>
        <v>20426353.329999998</v>
      </c>
      <c r="M108" s="81">
        <f t="shared" si="39"/>
        <v>0</v>
      </c>
      <c r="N108" s="81">
        <f t="shared" si="39"/>
        <v>0</v>
      </c>
      <c r="O108" s="81">
        <f>'AD8'!O108*('AD8'!O$125-O$87)/'AD8'!O$125</f>
        <v>0</v>
      </c>
      <c r="P108" s="81">
        <f t="shared" si="39"/>
        <v>19149891.57</v>
      </c>
      <c r="Q108" s="81">
        <f t="shared" si="39"/>
        <v>20426353.329999998</v>
      </c>
      <c r="R108" s="81">
        <f t="shared" si="39"/>
        <v>39576244.899999999</v>
      </c>
      <c r="S108" s="81">
        <f t="shared" si="39"/>
        <v>0</v>
      </c>
      <c r="T108" s="81">
        <f t="shared" si="39"/>
        <v>0</v>
      </c>
      <c r="U108" s="81">
        <f t="shared" si="40"/>
        <v>0</v>
      </c>
      <c r="V108" s="81">
        <f t="shared" si="41"/>
        <v>39576244.899999999</v>
      </c>
      <c r="W108" s="87">
        <v>0</v>
      </c>
      <c r="X108" s="6"/>
      <c r="Y108" s="6"/>
      <c r="Z108" s="17"/>
    </row>
    <row r="109" spans="1:26">
      <c r="A109" s="6">
        <f t="shared" si="42"/>
        <v>2006</v>
      </c>
      <c r="B109" s="81"/>
      <c r="C109" s="81"/>
      <c r="D109" s="81"/>
      <c r="E109" s="81"/>
      <c r="F109" s="81"/>
      <c r="G109" s="81">
        <f t="shared" si="39"/>
        <v>39575878.57</v>
      </c>
      <c r="H109" s="81">
        <f t="shared" si="39"/>
        <v>38751983.460000001</v>
      </c>
      <c r="I109" s="81">
        <f t="shared" si="39"/>
        <v>19375991.73</v>
      </c>
      <c r="J109" s="81">
        <f t="shared" si="39"/>
        <v>18552096.620000001</v>
      </c>
      <c r="K109" s="81">
        <f t="shared" si="39"/>
        <v>20199886.84</v>
      </c>
      <c r="L109" s="81">
        <f t="shared" si="39"/>
        <v>20199886.84</v>
      </c>
      <c r="M109" s="81">
        <f t="shared" si="39"/>
        <v>0</v>
      </c>
      <c r="N109" s="81">
        <f t="shared" si="39"/>
        <v>0</v>
      </c>
      <c r="O109" s="81">
        <f>'AD8'!O109*('AD8'!O$125-O$87)/'AD8'!O$125</f>
        <v>0</v>
      </c>
      <c r="P109" s="81">
        <f t="shared" si="39"/>
        <v>18552096.620000001</v>
      </c>
      <c r="Q109" s="81">
        <f t="shared" si="39"/>
        <v>20199886.84</v>
      </c>
      <c r="R109" s="81">
        <f t="shared" si="39"/>
        <v>38751983.460000001</v>
      </c>
      <c r="S109" s="81">
        <f t="shared" si="39"/>
        <v>0</v>
      </c>
      <c r="T109" s="81">
        <f t="shared" si="39"/>
        <v>0</v>
      </c>
      <c r="U109" s="81">
        <f t="shared" si="40"/>
        <v>0</v>
      </c>
      <c r="V109" s="81">
        <f t="shared" si="41"/>
        <v>38751983.460000001</v>
      </c>
      <c r="W109" s="87">
        <v>0</v>
      </c>
      <c r="X109" s="6"/>
      <c r="Y109" s="6"/>
      <c r="Z109" s="17"/>
    </row>
    <row r="110" spans="1:26">
      <c r="A110" s="6">
        <f t="shared" si="42"/>
        <v>2007</v>
      </c>
      <c r="B110" s="81"/>
      <c r="C110" s="81"/>
      <c r="D110" s="81"/>
      <c r="E110" s="81"/>
      <c r="F110" s="81"/>
      <c r="G110" s="81">
        <f t="shared" si="39"/>
        <v>32791412.740000002</v>
      </c>
      <c r="H110" s="81">
        <f t="shared" si="39"/>
        <v>31074724.920000002</v>
      </c>
      <c r="I110" s="81">
        <f t="shared" si="39"/>
        <v>15537362.460000001</v>
      </c>
      <c r="J110" s="81">
        <f t="shared" si="39"/>
        <v>13820674.640000001</v>
      </c>
      <c r="K110" s="81">
        <f t="shared" si="39"/>
        <v>17254050.280000001</v>
      </c>
      <c r="L110" s="81">
        <f t="shared" si="39"/>
        <v>17254050.280000001</v>
      </c>
      <c r="M110" s="81">
        <f t="shared" si="39"/>
        <v>0</v>
      </c>
      <c r="N110" s="81">
        <f t="shared" si="39"/>
        <v>0</v>
      </c>
      <c r="O110" s="81">
        <f>'AD8'!O110*('AD8'!O$125-O$87)/'AD8'!O$125</f>
        <v>0</v>
      </c>
      <c r="P110" s="81">
        <f t="shared" si="39"/>
        <v>13820674.640000001</v>
      </c>
      <c r="Q110" s="81">
        <f t="shared" si="39"/>
        <v>17254050.280000001</v>
      </c>
      <c r="R110" s="81">
        <f t="shared" si="39"/>
        <v>31074724.920000002</v>
      </c>
      <c r="S110" s="81">
        <f t="shared" si="39"/>
        <v>0</v>
      </c>
      <c r="T110" s="81">
        <f t="shared" si="39"/>
        <v>0</v>
      </c>
      <c r="U110" s="81">
        <f t="shared" si="40"/>
        <v>0</v>
      </c>
      <c r="V110" s="81">
        <f t="shared" si="41"/>
        <v>31074724.920000002</v>
      </c>
      <c r="W110" s="87">
        <v>0</v>
      </c>
      <c r="X110" s="6"/>
      <c r="Y110" s="6"/>
      <c r="Z110" s="17"/>
    </row>
    <row r="111" spans="1:26">
      <c r="A111" s="6">
        <f t="shared" si="42"/>
        <v>2008</v>
      </c>
      <c r="B111" s="81"/>
      <c r="C111" s="81"/>
      <c r="D111" s="81"/>
      <c r="E111" s="81"/>
      <c r="F111" s="81"/>
      <c r="G111" s="81">
        <f t="shared" si="39"/>
        <v>43891072.969999999</v>
      </c>
      <c r="H111" s="81">
        <f t="shared" si="39"/>
        <v>41764172.280000001</v>
      </c>
      <c r="I111" s="81">
        <f t="shared" si="39"/>
        <v>20882086.140000001</v>
      </c>
      <c r="J111" s="81">
        <f t="shared" si="39"/>
        <v>18755185.449999999</v>
      </c>
      <c r="K111" s="81">
        <f t="shared" si="39"/>
        <v>23008986.829999998</v>
      </c>
      <c r="L111" s="81">
        <f t="shared" si="39"/>
        <v>23008986.829999998</v>
      </c>
      <c r="M111" s="81">
        <f t="shared" si="39"/>
        <v>0</v>
      </c>
      <c r="N111" s="81">
        <f t="shared" si="39"/>
        <v>0</v>
      </c>
      <c r="O111" s="81">
        <f>'AD8'!O111*('AD8'!O$125-O$87)/'AD8'!O$125</f>
        <v>0</v>
      </c>
      <c r="P111" s="81">
        <f t="shared" si="39"/>
        <v>18755185.449999999</v>
      </c>
      <c r="Q111" s="81">
        <f t="shared" si="39"/>
        <v>23008986.829999998</v>
      </c>
      <c r="R111" s="81">
        <f t="shared" si="39"/>
        <v>41764172.280000001</v>
      </c>
      <c r="S111" s="81">
        <f t="shared" si="39"/>
        <v>0</v>
      </c>
      <c r="T111" s="81">
        <f t="shared" si="39"/>
        <v>0</v>
      </c>
      <c r="U111" s="81">
        <f t="shared" si="40"/>
        <v>0</v>
      </c>
      <c r="V111" s="81">
        <f t="shared" si="41"/>
        <v>41764172.280000001</v>
      </c>
      <c r="W111" s="87">
        <v>0</v>
      </c>
      <c r="X111" s="6"/>
      <c r="Y111" s="6"/>
      <c r="Z111" s="17"/>
    </row>
    <row r="112" spans="1:26">
      <c r="A112" s="6">
        <f t="shared" si="42"/>
        <v>2009</v>
      </c>
      <c r="B112" s="81"/>
      <c r="C112" s="81"/>
      <c r="D112" s="81"/>
      <c r="E112" s="81"/>
      <c r="F112" s="81"/>
      <c r="G112" s="81">
        <f t="shared" ref="G112:T124" si="43">G32-G72</f>
        <v>3607190.7965280302</v>
      </c>
      <c r="H112" s="81">
        <f t="shared" si="43"/>
        <v>1371342.4465280306</v>
      </c>
      <c r="I112" s="81">
        <f t="shared" si="43"/>
        <v>-11016137.793471968</v>
      </c>
      <c r="J112" s="81">
        <f t="shared" si="43"/>
        <v>-13251986.143471967</v>
      </c>
      <c r="K112" s="81">
        <f t="shared" si="43"/>
        <v>14623328.589999998</v>
      </c>
      <c r="L112" s="81">
        <f t="shared" si="43"/>
        <v>14623328.589999998</v>
      </c>
      <c r="M112" s="81">
        <f t="shared" si="43"/>
        <v>0</v>
      </c>
      <c r="N112" s="81">
        <f t="shared" si="43"/>
        <v>0</v>
      </c>
      <c r="O112" s="81">
        <f>'AD8'!O112*('AD8'!O$125-O$87)/'AD8'!O$125</f>
        <v>0</v>
      </c>
      <c r="P112" s="81">
        <f t="shared" si="43"/>
        <v>-13251986.143471967</v>
      </c>
      <c r="Q112" s="81">
        <f t="shared" si="43"/>
        <v>14623328.589999998</v>
      </c>
      <c r="R112" s="81">
        <f t="shared" si="43"/>
        <v>1371342.4465280306</v>
      </c>
      <c r="S112" s="81">
        <f t="shared" si="43"/>
        <v>0</v>
      </c>
      <c r="T112" s="81">
        <f t="shared" si="43"/>
        <v>0</v>
      </c>
      <c r="U112" s="81">
        <f t="shared" si="40"/>
        <v>0</v>
      </c>
      <c r="V112" s="81">
        <f t="shared" si="41"/>
        <v>1371342.4465280306</v>
      </c>
      <c r="W112" s="87">
        <v>0</v>
      </c>
      <c r="X112" s="6"/>
      <c r="Y112" s="6"/>
      <c r="Z112" s="17"/>
    </row>
    <row r="113" spans="1:26">
      <c r="A113" s="6">
        <f t="shared" si="42"/>
        <v>2010</v>
      </c>
      <c r="B113" s="81"/>
      <c r="C113" s="81"/>
      <c r="D113" s="81"/>
      <c r="E113" s="81"/>
      <c r="F113" s="81"/>
      <c r="G113" s="81">
        <f t="shared" si="43"/>
        <v>6512898.2648477443</v>
      </c>
      <c r="H113" s="81">
        <f t="shared" si="43"/>
        <v>739714.97484774143</v>
      </c>
      <c r="I113" s="81">
        <f t="shared" si="43"/>
        <v>-10846148.345152259</v>
      </c>
      <c r="J113" s="81">
        <f t="shared" si="43"/>
        <v>-16739901.89515226</v>
      </c>
      <c r="K113" s="81">
        <f t="shared" si="43"/>
        <v>17359046.610000003</v>
      </c>
      <c r="L113" s="81">
        <f t="shared" si="43"/>
        <v>17479616.870000001</v>
      </c>
      <c r="M113" s="81">
        <f t="shared" si="43"/>
        <v>0</v>
      </c>
      <c r="N113" s="81">
        <f t="shared" si="43"/>
        <v>0</v>
      </c>
      <c r="O113" s="81">
        <f>'AD8'!O113*('AD8'!O$125-O$87)/'AD8'!O$125</f>
        <v>0</v>
      </c>
      <c r="P113" s="81">
        <f t="shared" si="43"/>
        <v>-16739901.89515226</v>
      </c>
      <c r="Q113" s="81">
        <f t="shared" si="43"/>
        <v>17479616.870000001</v>
      </c>
      <c r="R113" s="81">
        <f t="shared" si="43"/>
        <v>739714.97484774143</v>
      </c>
      <c r="S113" s="81">
        <f t="shared" si="43"/>
        <v>2937.9396030492298</v>
      </c>
      <c r="T113" s="81">
        <f t="shared" si="43"/>
        <v>958981.61219296069</v>
      </c>
      <c r="U113" s="81">
        <f t="shared" si="40"/>
        <v>961919.55179600988</v>
      </c>
      <c r="V113" s="81">
        <f t="shared" si="41"/>
        <v>1701634.5266437512</v>
      </c>
      <c r="W113" s="87">
        <v>0</v>
      </c>
      <c r="X113" s="81"/>
      <c r="Y113" s="81"/>
      <c r="Z113" s="17"/>
    </row>
    <row r="114" spans="1:26">
      <c r="A114" s="6">
        <f t="shared" si="42"/>
        <v>2011</v>
      </c>
      <c r="B114" s="81"/>
      <c r="C114" s="81"/>
      <c r="D114" s="81"/>
      <c r="E114" s="81"/>
      <c r="F114" s="81"/>
      <c r="G114" s="81">
        <f t="shared" si="43"/>
        <v>75470.575414929539</v>
      </c>
      <c r="H114" s="81">
        <f t="shared" si="43"/>
        <v>-5999923.4045850709</v>
      </c>
      <c r="I114" s="81">
        <f t="shared" si="43"/>
        <v>-14710773.864585074</v>
      </c>
      <c r="J114" s="81">
        <f t="shared" si="43"/>
        <v>-20786167.844585072</v>
      </c>
      <c r="K114" s="81">
        <f t="shared" si="43"/>
        <v>14786244.440000001</v>
      </c>
      <c r="L114" s="81">
        <f t="shared" si="43"/>
        <v>14786244.440000001</v>
      </c>
      <c r="M114" s="81">
        <f t="shared" si="43"/>
        <v>0</v>
      </c>
      <c r="N114" s="81">
        <f t="shared" si="43"/>
        <v>0</v>
      </c>
      <c r="O114" s="81">
        <f>'AD8'!O114*('AD8'!O$125-O$87)/'AD8'!O$125</f>
        <v>0</v>
      </c>
      <c r="P114" s="81">
        <f t="shared" si="43"/>
        <v>-20786167.844585072</v>
      </c>
      <c r="Q114" s="81">
        <f t="shared" si="43"/>
        <v>14786244.440000001</v>
      </c>
      <c r="R114" s="81">
        <f t="shared" si="43"/>
        <v>-5999923.4045850709</v>
      </c>
      <c r="S114" s="81">
        <f t="shared" si="43"/>
        <v>0</v>
      </c>
      <c r="T114" s="81">
        <f t="shared" si="43"/>
        <v>748623.37167133484</v>
      </c>
      <c r="U114" s="81">
        <f t="shared" si="40"/>
        <v>748623.37167133484</v>
      </c>
      <c r="V114" s="81">
        <f t="shared" si="41"/>
        <v>-5251300.0329137361</v>
      </c>
      <c r="W114" s="87">
        <v>24133107.511494454</v>
      </c>
      <c r="X114" s="81"/>
      <c r="Y114" s="81"/>
      <c r="Z114" s="17"/>
    </row>
    <row r="115" spans="1:26">
      <c r="A115" s="6">
        <f t="shared" si="42"/>
        <v>2012</v>
      </c>
      <c r="B115" s="81"/>
      <c r="C115" s="81"/>
      <c r="D115" s="81"/>
      <c r="E115" s="81"/>
      <c r="F115" s="81"/>
      <c r="G115" s="81">
        <f t="shared" si="43"/>
        <v>3744765.9466505535</v>
      </c>
      <c r="H115" s="81">
        <f t="shared" si="43"/>
        <v>6482761.8366505541</v>
      </c>
      <c r="I115" s="81">
        <f t="shared" si="43"/>
        <v>-8273492.5933494493</v>
      </c>
      <c r="J115" s="81">
        <f t="shared" si="43"/>
        <v>-7586575.9933494497</v>
      </c>
      <c r="K115" s="81">
        <f t="shared" si="43"/>
        <v>12018258.540000001</v>
      </c>
      <c r="L115" s="81">
        <f t="shared" si="43"/>
        <v>14069337.830000002</v>
      </c>
      <c r="M115" s="81">
        <f t="shared" si="43"/>
        <v>0</v>
      </c>
      <c r="N115" s="81">
        <f t="shared" si="43"/>
        <v>0</v>
      </c>
      <c r="O115" s="81">
        <f>'AD8'!O115*('AD8'!O$125-O$87)/'AD8'!O$125</f>
        <v>0</v>
      </c>
      <c r="P115" s="81">
        <f t="shared" si="43"/>
        <v>-7586575.9933494497</v>
      </c>
      <c r="Q115" s="81">
        <f t="shared" si="43"/>
        <v>14069337.830000002</v>
      </c>
      <c r="R115" s="81">
        <f t="shared" si="43"/>
        <v>6482761.8366505522</v>
      </c>
      <c r="S115" s="81">
        <f t="shared" si="43"/>
        <v>59841.724611231104</v>
      </c>
      <c r="T115" s="81">
        <f t="shared" si="43"/>
        <v>780034.6736131605</v>
      </c>
      <c r="U115" s="81">
        <f t="shared" si="40"/>
        <v>839876.39822439163</v>
      </c>
      <c r="V115" s="81">
        <f t="shared" si="41"/>
        <v>7322638.2348749442</v>
      </c>
      <c r="W115" s="87">
        <v>22834606.964894421</v>
      </c>
      <c r="X115" s="81"/>
      <c r="Y115" s="81"/>
      <c r="Z115" s="17"/>
    </row>
    <row r="116" spans="1:26">
      <c r="A116" s="6">
        <f t="shared" si="42"/>
        <v>2013</v>
      </c>
      <c r="B116" s="81"/>
      <c r="C116" s="81"/>
      <c r="D116" s="81"/>
      <c r="E116" s="81"/>
      <c r="F116" s="81"/>
      <c r="G116" s="81">
        <f t="shared" si="43"/>
        <v>16074661.75923913</v>
      </c>
      <c r="H116" s="81">
        <f t="shared" si="43"/>
        <v>19353830.449239131</v>
      </c>
      <c r="I116" s="81">
        <f t="shared" si="43"/>
        <v>-1333310.1507608653</v>
      </c>
      <c r="J116" s="81">
        <f t="shared" si="43"/>
        <v>-370568.7507608654</v>
      </c>
      <c r="K116" s="81">
        <f t="shared" si="43"/>
        <v>17407971.909999996</v>
      </c>
      <c r="L116" s="81">
        <f t="shared" si="43"/>
        <v>19724399.199999996</v>
      </c>
      <c r="M116" s="81">
        <f t="shared" si="43"/>
        <v>21288.457926546631</v>
      </c>
      <c r="N116" s="81">
        <f t="shared" si="43"/>
        <v>6180.5200431909579</v>
      </c>
      <c r="O116" s="81">
        <f>'AD8'!O116*('AD8'!O$125-O$87)/'AD8'!O$125</f>
        <v>27468.977969737582</v>
      </c>
      <c r="P116" s="81">
        <f t="shared" si="43"/>
        <v>-349280.29283431871</v>
      </c>
      <c r="Q116" s="81">
        <f t="shared" si="43"/>
        <v>19730579.720043186</v>
      </c>
      <c r="R116" s="81">
        <f t="shared" si="43"/>
        <v>19381299.427208867</v>
      </c>
      <c r="S116" s="81">
        <f t="shared" si="43"/>
        <v>68829.520948565652</v>
      </c>
      <c r="T116" s="81">
        <f t="shared" si="43"/>
        <v>937102.00300454616</v>
      </c>
      <c r="U116" s="81">
        <f t="shared" si="40"/>
        <v>1005931.5239531118</v>
      </c>
      <c r="V116" s="81">
        <f t="shared" si="41"/>
        <v>20387230.951161981</v>
      </c>
      <c r="W116" s="87">
        <v>23991846.053398333</v>
      </c>
      <c r="X116" s="81"/>
      <c r="Y116" s="81"/>
      <c r="Z116" s="17"/>
    </row>
    <row r="117" spans="1:26">
      <c r="A117" s="6">
        <f t="shared" si="42"/>
        <v>2014</v>
      </c>
      <c r="B117" s="81"/>
      <c r="C117" s="81"/>
      <c r="D117" s="81"/>
      <c r="E117" s="81"/>
      <c r="F117" s="81"/>
      <c r="G117" s="81">
        <f t="shared" si="43"/>
        <v>-611648.39971003495</v>
      </c>
      <c r="H117" s="81">
        <f t="shared" si="43"/>
        <v>2392642.5102899671</v>
      </c>
      <c r="I117" s="81">
        <f t="shared" si="43"/>
        <v>-8944461.4397100341</v>
      </c>
      <c r="J117" s="81">
        <f t="shared" si="43"/>
        <v>-8690777.2897100355</v>
      </c>
      <c r="K117" s="81">
        <f t="shared" si="43"/>
        <v>8332813.0399999991</v>
      </c>
      <c r="L117" s="81">
        <f t="shared" si="43"/>
        <v>11083419.800000003</v>
      </c>
      <c r="M117" s="81">
        <f t="shared" si="43"/>
        <v>89968.875466098514</v>
      </c>
      <c r="N117" s="81">
        <f t="shared" si="43"/>
        <v>29275.683753075005</v>
      </c>
      <c r="O117" s="81">
        <f>'AD8'!O117*('AD8'!O$125-O$87)/'AD8'!O$125</f>
        <v>119244.55921917352</v>
      </c>
      <c r="P117" s="81">
        <f t="shared" si="43"/>
        <v>-8600808.4142439365</v>
      </c>
      <c r="Q117" s="81">
        <f t="shared" si="43"/>
        <v>11112695.483753078</v>
      </c>
      <c r="R117" s="81">
        <f t="shared" si="43"/>
        <v>2511887.0695091411</v>
      </c>
      <c r="S117" s="81">
        <f t="shared" si="43"/>
        <v>65274.34690335609</v>
      </c>
      <c r="T117" s="81">
        <f t="shared" si="43"/>
        <v>751452.69236092025</v>
      </c>
      <c r="U117" s="81">
        <f t="shared" si="40"/>
        <v>816727.03926427639</v>
      </c>
      <c r="V117" s="81">
        <f t="shared" si="41"/>
        <v>3328614.1087734178</v>
      </c>
      <c r="W117" s="87">
        <v>24795964.564395752</v>
      </c>
      <c r="X117" s="81"/>
      <c r="Y117" s="81"/>
      <c r="Z117" s="17"/>
    </row>
    <row r="118" spans="1:26">
      <c r="A118" s="6">
        <f t="shared" si="42"/>
        <v>2015</v>
      </c>
      <c r="B118" s="81"/>
      <c r="C118" s="81"/>
      <c r="D118" s="81"/>
      <c r="E118" s="81"/>
      <c r="F118" s="81"/>
      <c r="G118" s="81">
        <f t="shared" si="43"/>
        <v>-6221969.3625276797</v>
      </c>
      <c r="H118" s="81">
        <f t="shared" si="43"/>
        <v>1329259.287472317</v>
      </c>
      <c r="I118" s="81">
        <f t="shared" si="43"/>
        <v>-8901231.9125276804</v>
      </c>
      <c r="J118" s="81">
        <f t="shared" si="43"/>
        <v>-7155583.7225276809</v>
      </c>
      <c r="K118" s="81">
        <f t="shared" si="43"/>
        <v>2679262.5499999998</v>
      </c>
      <c r="L118" s="81">
        <f t="shared" si="43"/>
        <v>8484843.0099999979</v>
      </c>
      <c r="M118" s="81">
        <f t="shared" si="43"/>
        <v>526922.93960817717</v>
      </c>
      <c r="N118" s="81">
        <f t="shared" si="43"/>
        <v>156737.04159048037</v>
      </c>
      <c r="O118" s="81">
        <f>'AD8'!O118*('AD8'!O$125-O$87)/'AD8'!O$125</f>
        <v>683659.98119865754</v>
      </c>
      <c r="P118" s="81">
        <f t="shared" si="43"/>
        <v>-6628660.7829195037</v>
      </c>
      <c r="Q118" s="81">
        <f t="shared" si="43"/>
        <v>8641580.051590478</v>
      </c>
      <c r="R118" s="81">
        <f t="shared" si="43"/>
        <v>2012919.2686709748</v>
      </c>
      <c r="S118" s="81">
        <f t="shared" si="43"/>
        <v>75264.056516319702</v>
      </c>
      <c r="T118" s="81">
        <f t="shared" si="43"/>
        <v>806179.24591736076</v>
      </c>
      <c r="U118" s="81">
        <f t="shared" si="40"/>
        <v>881443.30243368051</v>
      </c>
      <c r="V118" s="81">
        <f t="shared" si="41"/>
        <v>2894362.571104655</v>
      </c>
      <c r="W118" s="87">
        <v>23159573.494265005</v>
      </c>
      <c r="X118" s="81"/>
      <c r="Y118" s="81"/>
      <c r="Z118" s="17"/>
    </row>
    <row r="119" spans="1:26">
      <c r="A119" s="6">
        <f t="shared" si="42"/>
        <v>2016</v>
      </c>
      <c r="B119" s="81"/>
      <c r="C119" s="81"/>
      <c r="D119" s="81"/>
      <c r="E119" s="81"/>
      <c r="F119" s="81"/>
      <c r="G119" s="81">
        <f t="shared" si="43"/>
        <v>-1067098.3964053672</v>
      </c>
      <c r="H119" s="81">
        <f t="shared" si="43"/>
        <v>9100502.6235946324</v>
      </c>
      <c r="I119" s="81">
        <f t="shared" si="43"/>
        <v>-7398274.9364053672</v>
      </c>
      <c r="J119" s="81">
        <f t="shared" si="43"/>
        <v>-445133.27640536614</v>
      </c>
      <c r="K119" s="81">
        <f t="shared" si="43"/>
        <v>6331176.54</v>
      </c>
      <c r="L119" s="81">
        <f t="shared" si="43"/>
        <v>9545635.9000000004</v>
      </c>
      <c r="M119" s="81">
        <f t="shared" si="43"/>
        <v>1204282.1470632341</v>
      </c>
      <c r="N119" s="81">
        <f t="shared" si="43"/>
        <v>514859.49443335534</v>
      </c>
      <c r="O119" s="81">
        <f>'AD8'!O119*('AD8'!O$125-O$87)/'AD8'!O$125</f>
        <v>1719141.6414965894</v>
      </c>
      <c r="P119" s="81">
        <f t="shared" si="43"/>
        <v>759148.87065786775</v>
      </c>
      <c r="Q119" s="81">
        <f t="shared" si="43"/>
        <v>10060495.394433355</v>
      </c>
      <c r="R119" s="81">
        <f t="shared" si="43"/>
        <v>10819644.265091222</v>
      </c>
      <c r="S119" s="81">
        <f t="shared" si="43"/>
        <v>288445.23543821991</v>
      </c>
      <c r="T119" s="81">
        <f t="shared" si="43"/>
        <v>627226.06351802067</v>
      </c>
      <c r="U119" s="81">
        <f t="shared" si="40"/>
        <v>915671.29895624053</v>
      </c>
      <c r="V119" s="81">
        <f t="shared" si="41"/>
        <v>11735315.564047463</v>
      </c>
      <c r="W119" s="87">
        <v>20881555.172197364</v>
      </c>
      <c r="X119" s="81"/>
      <c r="Y119" s="81"/>
      <c r="Z119" s="17"/>
    </row>
    <row r="120" spans="1:26">
      <c r="A120" s="6">
        <f t="shared" si="42"/>
        <v>2017</v>
      </c>
      <c r="B120" s="81"/>
      <c r="C120" s="81"/>
      <c r="D120" s="81"/>
      <c r="E120" s="81"/>
      <c r="F120" s="81"/>
      <c r="G120" s="81">
        <f t="shared" si="43"/>
        <v>-961202.88508658193</v>
      </c>
      <c r="H120" s="81">
        <f t="shared" si="43"/>
        <v>7283432.3649134198</v>
      </c>
      <c r="I120" s="81">
        <f t="shared" si="43"/>
        <v>-5689535.3550865818</v>
      </c>
      <c r="J120" s="81">
        <f t="shared" si="43"/>
        <v>-1359559.3650865825</v>
      </c>
      <c r="K120" s="81">
        <f t="shared" si="43"/>
        <v>4728332.47</v>
      </c>
      <c r="L120" s="81">
        <f t="shared" si="43"/>
        <v>8642991.7300000004</v>
      </c>
      <c r="M120" s="81">
        <f t="shared" si="43"/>
        <v>1838274.2074207976</v>
      </c>
      <c r="N120" s="81">
        <f t="shared" si="43"/>
        <v>635565.68709639972</v>
      </c>
      <c r="O120" s="81">
        <f>'AD8'!O120*('AD8'!O$125-O$87)/'AD8'!O$125</f>
        <v>2473839.8945171973</v>
      </c>
      <c r="P120" s="81">
        <f t="shared" si="43"/>
        <v>478714.84233421518</v>
      </c>
      <c r="Q120" s="81">
        <f t="shared" si="43"/>
        <v>9278557.4170963988</v>
      </c>
      <c r="R120" s="81">
        <f t="shared" si="43"/>
        <v>9757272.2594306152</v>
      </c>
      <c r="S120" s="81">
        <f t="shared" si="43"/>
        <v>226534.48040203433</v>
      </c>
      <c r="T120" s="81">
        <f t="shared" si="43"/>
        <v>471711.15187271149</v>
      </c>
      <c r="U120" s="81">
        <f t="shared" si="40"/>
        <v>698245.63227474585</v>
      </c>
      <c r="V120" s="81">
        <f t="shared" si="41"/>
        <v>10455517.89170536</v>
      </c>
      <c r="W120" s="87">
        <v>16263006.444808954</v>
      </c>
      <c r="X120" s="81"/>
      <c r="Y120" s="81"/>
      <c r="Z120" s="17"/>
    </row>
    <row r="121" spans="1:26">
      <c r="A121" s="6">
        <f t="shared" si="42"/>
        <v>2018</v>
      </c>
      <c r="B121" s="81"/>
      <c r="C121" s="81"/>
      <c r="D121" s="81"/>
      <c r="E121" s="81"/>
      <c r="F121" s="81"/>
      <c r="G121" s="81">
        <f t="shared" si="43"/>
        <v>-6490577.9235935844</v>
      </c>
      <c r="H121" s="81">
        <f t="shared" si="43"/>
        <v>-2150296.2235935852</v>
      </c>
      <c r="I121" s="81">
        <f t="shared" si="43"/>
        <v>-7384536.6335935844</v>
      </c>
      <c r="J121" s="81">
        <f t="shared" si="43"/>
        <v>-4893820.1035935842</v>
      </c>
      <c r="K121" s="81">
        <f t="shared" si="43"/>
        <v>893958.71</v>
      </c>
      <c r="L121" s="81">
        <f t="shared" si="43"/>
        <v>2743523.88</v>
      </c>
      <c r="M121" s="81">
        <f t="shared" si="43"/>
        <v>2563882.1290844795</v>
      </c>
      <c r="N121" s="81">
        <f t="shared" si="43"/>
        <v>875625.97818594205</v>
      </c>
      <c r="O121" s="81">
        <f>'AD8'!O121*('AD8'!O$125-O$87)/'AD8'!O$125</f>
        <v>3439508.1072704215</v>
      </c>
      <c r="P121" s="81">
        <f t="shared" si="43"/>
        <v>-2329937.9745091046</v>
      </c>
      <c r="Q121" s="81">
        <f t="shared" si="43"/>
        <v>3619149.8581859414</v>
      </c>
      <c r="R121" s="81">
        <f t="shared" si="43"/>
        <v>1289211.8836768367</v>
      </c>
      <c r="S121" s="81">
        <f t="shared" si="43"/>
        <v>208611.31119606391</v>
      </c>
      <c r="T121" s="81">
        <f t="shared" si="43"/>
        <v>434058.01236503641</v>
      </c>
      <c r="U121" s="81">
        <f t="shared" si="40"/>
        <v>642669.32356110029</v>
      </c>
      <c r="V121" s="81">
        <f t="shared" si="41"/>
        <v>1931881.207237937</v>
      </c>
      <c r="W121" s="87">
        <v>16215138.931793511</v>
      </c>
      <c r="X121" s="81"/>
      <c r="Y121" s="81"/>
      <c r="Z121" s="17"/>
    </row>
    <row r="122" spans="1:26">
      <c r="A122" s="6">
        <f t="shared" si="42"/>
        <v>2019</v>
      </c>
      <c r="B122" s="81"/>
      <c r="C122" s="81"/>
      <c r="D122" s="81"/>
      <c r="E122" s="81"/>
      <c r="F122" s="81"/>
      <c r="G122" s="81">
        <f t="shared" si="43"/>
        <v>-13604153.915080603</v>
      </c>
      <c r="H122" s="81">
        <f t="shared" si="43"/>
        <v>-11018044.125080604</v>
      </c>
      <c r="I122" s="81">
        <f t="shared" si="43"/>
        <v>-13797766.495080603</v>
      </c>
      <c r="J122" s="81">
        <f t="shared" si="43"/>
        <v>-12148553.575080603</v>
      </c>
      <c r="K122" s="81">
        <f t="shared" si="43"/>
        <v>193612.58000000002</v>
      </c>
      <c r="L122" s="81">
        <f t="shared" si="43"/>
        <v>1130509.45</v>
      </c>
      <c r="M122" s="81">
        <f t="shared" si="43"/>
        <v>5361240.0537695792</v>
      </c>
      <c r="N122" s="81">
        <f t="shared" si="43"/>
        <v>1671848.9322707546</v>
      </c>
      <c r="O122" s="81">
        <f>'AD8'!O122*('AD8'!O$125-O$87)/'AD8'!O$125</f>
        <v>7033088.9860403333</v>
      </c>
      <c r="P122" s="81">
        <f t="shared" si="43"/>
        <v>-6787313.5213110242</v>
      </c>
      <c r="Q122" s="81">
        <f t="shared" si="43"/>
        <v>2802358.3822707548</v>
      </c>
      <c r="R122" s="81">
        <f t="shared" si="43"/>
        <v>-3984955.1390402699</v>
      </c>
      <c r="S122" s="81">
        <f t="shared" si="43"/>
        <v>301660.72656104446</v>
      </c>
      <c r="T122" s="81">
        <f t="shared" si="43"/>
        <v>215329.76800396666</v>
      </c>
      <c r="U122" s="81">
        <f t="shared" si="40"/>
        <v>516990.49456501112</v>
      </c>
      <c r="V122" s="81">
        <f t="shared" si="41"/>
        <v>-3467964.6444752589</v>
      </c>
      <c r="W122" s="87">
        <v>19372364.326577269</v>
      </c>
      <c r="X122" s="81"/>
      <c r="Y122" s="81"/>
      <c r="Z122" s="17"/>
    </row>
    <row r="123" spans="1:26">
      <c r="A123" s="6">
        <f t="shared" si="42"/>
        <v>2020</v>
      </c>
      <c r="B123" s="81"/>
      <c r="C123" s="81"/>
      <c r="D123" s="81"/>
      <c r="E123" s="81"/>
      <c r="F123" s="81"/>
      <c r="G123" s="81">
        <f t="shared" si="43"/>
        <v>-15494304.88097108</v>
      </c>
      <c r="H123" s="81">
        <f t="shared" si="43"/>
        <v>-13469158.61097108</v>
      </c>
      <c r="I123" s="81">
        <f t="shared" si="43"/>
        <v>-15494304.88097108</v>
      </c>
      <c r="J123" s="81">
        <f t="shared" si="43"/>
        <v>-13469158.61097108</v>
      </c>
      <c r="K123" s="81">
        <f t="shared" si="43"/>
        <v>0</v>
      </c>
      <c r="L123" s="81">
        <f t="shared" si="43"/>
        <v>0</v>
      </c>
      <c r="M123" s="81">
        <f t="shared" si="43"/>
        <v>6787932.4035729794</v>
      </c>
      <c r="N123" s="81">
        <f t="shared" si="43"/>
        <v>2107469.1299066809</v>
      </c>
      <c r="O123" s="81">
        <f>'AD8'!O123*('AD8'!O$125-O$87)/'AD8'!O$125</f>
        <v>8895401.5334796607</v>
      </c>
      <c r="P123" s="81">
        <f t="shared" si="43"/>
        <v>-6681226.2073981008</v>
      </c>
      <c r="Q123" s="81">
        <f t="shared" si="43"/>
        <v>2107469.1299066809</v>
      </c>
      <c r="R123" s="81">
        <f t="shared" si="43"/>
        <v>-4573757.0774914194</v>
      </c>
      <c r="S123" s="81">
        <f t="shared" si="43"/>
        <v>378380.97188842605</v>
      </c>
      <c r="T123" s="81">
        <f t="shared" si="43"/>
        <v>20014.649874795872</v>
      </c>
      <c r="U123" s="81">
        <f t="shared" si="40"/>
        <v>398395.62176322192</v>
      </c>
      <c r="V123" s="81">
        <f t="shared" si="41"/>
        <v>-4175361.4557281975</v>
      </c>
      <c r="W123" s="87">
        <v>11411924.800000016</v>
      </c>
      <c r="X123" s="81"/>
      <c r="Y123" s="81"/>
      <c r="Z123" s="17"/>
    </row>
    <row r="124" spans="1:26">
      <c r="A124" s="6"/>
      <c r="B124" s="81"/>
      <c r="C124" s="17"/>
      <c r="D124" s="81"/>
      <c r="E124" s="81"/>
      <c r="F124" s="81"/>
      <c r="G124" s="81">
        <f t="shared" si="43"/>
        <v>0</v>
      </c>
      <c r="H124" s="81">
        <f t="shared" si="43"/>
        <v>0</v>
      </c>
      <c r="I124" s="81">
        <f t="shared" si="43"/>
        <v>0</v>
      </c>
      <c r="J124" s="81">
        <f t="shared" si="43"/>
        <v>0</v>
      </c>
      <c r="K124" s="81">
        <f t="shared" si="43"/>
        <v>0</v>
      </c>
      <c r="L124" s="81">
        <f t="shared" si="43"/>
        <v>0</v>
      </c>
      <c r="M124" s="81">
        <f t="shared" si="43"/>
        <v>0</v>
      </c>
      <c r="N124" s="81">
        <f t="shared" si="43"/>
        <v>0</v>
      </c>
      <c r="O124" s="81">
        <f>'AD8'!O124*('AD8'!O$125-O$87)/'AD8'!O$125</f>
        <v>0</v>
      </c>
      <c r="P124" s="81">
        <f t="shared" si="43"/>
        <v>0</v>
      </c>
      <c r="Q124" s="81">
        <f t="shared" si="43"/>
        <v>0</v>
      </c>
      <c r="R124" s="81">
        <f t="shared" si="43"/>
        <v>0</v>
      </c>
      <c r="S124" s="81">
        <f t="shared" si="43"/>
        <v>0</v>
      </c>
      <c r="T124" s="81">
        <f t="shared" si="43"/>
        <v>0</v>
      </c>
      <c r="U124" s="81">
        <f t="shared" si="40"/>
        <v>0</v>
      </c>
      <c r="V124" s="81">
        <f t="shared" si="41"/>
        <v>0</v>
      </c>
      <c r="W124" s="87">
        <v>0</v>
      </c>
      <c r="X124" s="81"/>
      <c r="Y124" s="81"/>
      <c r="Z124" s="17"/>
    </row>
    <row r="125" spans="1:26">
      <c r="A125" s="6" t="s">
        <v>0</v>
      </c>
      <c r="B125" s="82">
        <f t="shared" ref="B125:G125" si="44">SUM(B95:B123)</f>
        <v>0</v>
      </c>
      <c r="C125" s="82">
        <f t="shared" si="44"/>
        <v>0</v>
      </c>
      <c r="D125" s="82">
        <f t="shared" si="44"/>
        <v>0</v>
      </c>
      <c r="E125" s="82">
        <f t="shared" si="44"/>
        <v>0</v>
      </c>
      <c r="F125" s="82">
        <f t="shared" si="44"/>
        <v>0</v>
      </c>
      <c r="G125" s="82">
        <f t="shared" si="44"/>
        <v>635345604.20930541</v>
      </c>
      <c r="H125" s="82">
        <f t="shared" ref="H125:Q125" si="45">SUM(H95:H123)</f>
        <v>496692307.04930538</v>
      </c>
      <c r="I125" s="82">
        <f t="shared" si="45"/>
        <v>126745078.90930542</v>
      </c>
      <c r="J125" s="82">
        <f t="shared" si="45"/>
        <v>-35076880.770694569</v>
      </c>
      <c r="K125" s="82">
        <f t="shared" si="45"/>
        <v>508600525.29999989</v>
      </c>
      <c r="L125" s="82">
        <f t="shared" si="45"/>
        <v>531769187.81999987</v>
      </c>
      <c r="M125" s="82">
        <f t="shared" si="45"/>
        <v>18393791.213911891</v>
      </c>
      <c r="N125" s="82">
        <f t="shared" si="45"/>
        <v>5997562.4672798794</v>
      </c>
      <c r="O125" s="82">
        <f t="shared" si="45"/>
        <v>24391353.681191772</v>
      </c>
      <c r="P125" s="82">
        <f t="shared" si="45"/>
        <v>-16683089.556782674</v>
      </c>
      <c r="Q125" s="82">
        <f t="shared" si="45"/>
        <v>537766750.28727984</v>
      </c>
      <c r="R125" s="82">
        <f>SUM(R95:R123)</f>
        <v>521083660.73049712</v>
      </c>
      <c r="S125" s="82">
        <f>SUM(S95:S123)</f>
        <v>1675780.3140683104</v>
      </c>
      <c r="T125" s="82">
        <f>SUM(T95:T123)</f>
        <v>6750713.2443948146</v>
      </c>
      <c r="U125" s="82">
        <f>SUM(U95:U123)</f>
        <v>8426493.5584631246</v>
      </c>
      <c r="V125" s="82">
        <f>SUM(V95:V123)</f>
        <v>529510154.28896028</v>
      </c>
      <c r="W125" s="90">
        <v>203059088.26382509</v>
      </c>
      <c r="X125" s="81"/>
      <c r="Y125" s="81"/>
      <c r="Z125" s="17"/>
    </row>
    <row r="126" spans="1:26">
      <c r="A126" s="6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/>
      <c r="Q126" s="81"/>
      <c r="R126" s="81"/>
      <c r="S126" s="81"/>
      <c r="T126" s="81"/>
      <c r="U126" s="81"/>
      <c r="V126" s="81"/>
      <c r="W126" s="81"/>
      <c r="X126" s="81"/>
      <c r="Y126" s="81"/>
      <c r="Z126" s="17"/>
    </row>
    <row r="127" spans="1:26">
      <c r="A127" s="6"/>
      <c r="B127" s="81"/>
      <c r="C127" s="6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 t="s">
        <v>685</v>
      </c>
      <c r="O127" s="81">
        <f>O125+O87-'AD8'!O125</f>
        <v>0</v>
      </c>
      <c r="P127" s="81">
        <f>V125+O87-'AD8'!V125</f>
        <v>0</v>
      </c>
      <c r="Q127" s="81"/>
      <c r="R127" s="81"/>
      <c r="S127" s="81"/>
      <c r="T127" s="81"/>
      <c r="U127" s="81"/>
      <c r="V127" s="81"/>
      <c r="W127" s="81"/>
      <c r="X127" s="81"/>
      <c r="Y127" s="81"/>
      <c r="Z127" s="17"/>
    </row>
    <row r="128" spans="1:26">
      <c r="A128" s="6"/>
      <c r="B128" s="81"/>
      <c r="C128" s="6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17"/>
    </row>
    <row r="129" spans="1:26">
      <c r="A129" s="6"/>
      <c r="B129" s="81"/>
      <c r="C129" s="6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1"/>
      <c r="W129" s="81"/>
      <c r="X129" s="81"/>
      <c r="Y129" s="81"/>
      <c r="Z129" s="17"/>
    </row>
    <row r="130" spans="1:26">
      <c r="A130" s="6"/>
      <c r="B130" s="81"/>
      <c r="C130" s="6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1"/>
      <c r="W130" s="81"/>
      <c r="X130" s="81"/>
      <c r="Y130" s="81"/>
      <c r="Z130" s="17"/>
    </row>
    <row r="131" spans="1:26">
      <c r="A131" s="6"/>
      <c r="B131" s="81"/>
      <c r="C131" s="6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1"/>
      <c r="W131" s="81"/>
      <c r="X131" s="81"/>
      <c r="Y131" s="81"/>
      <c r="Z131" s="17"/>
    </row>
    <row r="132" spans="1:26">
      <c r="A132" s="6"/>
      <c r="B132" s="81"/>
      <c r="C132" s="6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17"/>
    </row>
    <row r="133" spans="1:26">
      <c r="A133" s="6"/>
      <c r="B133" s="81"/>
      <c r="C133" s="6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81"/>
      <c r="P133" s="81"/>
      <c r="Q133" s="81"/>
      <c r="R133" s="81"/>
      <c r="S133" s="81"/>
      <c r="T133" s="81"/>
      <c r="U133" s="81"/>
      <c r="V133" s="81"/>
      <c r="W133" s="81"/>
      <c r="X133" s="81"/>
      <c r="Y133" s="81"/>
      <c r="Z133" s="17"/>
    </row>
    <row r="134" spans="1:26">
      <c r="A134" s="6"/>
      <c r="B134" s="81"/>
      <c r="C134" s="6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81"/>
      <c r="Q134" s="81"/>
      <c r="R134" s="81"/>
      <c r="S134" s="81"/>
      <c r="T134" s="81"/>
      <c r="U134" s="81"/>
      <c r="V134" s="81"/>
      <c r="W134" s="81"/>
      <c r="X134" s="81"/>
      <c r="Y134" s="81"/>
      <c r="Z134" s="17"/>
    </row>
    <row r="135" spans="1:26">
      <c r="A135" s="6"/>
      <c r="B135" s="81"/>
      <c r="C135" s="6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1"/>
      <c r="W135" s="81"/>
      <c r="X135" s="81"/>
      <c r="Y135" s="81"/>
      <c r="Z135" s="17"/>
    </row>
    <row r="136" spans="1:26">
      <c r="A136" s="6"/>
      <c r="B136" s="81"/>
      <c r="C136" s="6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1"/>
      <c r="W136" s="81"/>
      <c r="X136" s="81"/>
      <c r="Y136" s="81"/>
      <c r="Z136" s="17"/>
    </row>
    <row r="137" spans="1:26">
      <c r="A137" s="6"/>
      <c r="B137" s="81"/>
      <c r="C137" s="6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1"/>
      <c r="O137" s="81"/>
      <c r="P137" s="81"/>
      <c r="Q137" s="81"/>
      <c r="R137" s="81"/>
      <c r="S137" s="81"/>
      <c r="T137" s="81"/>
      <c r="U137" s="81"/>
      <c r="V137" s="81"/>
      <c r="W137" s="81"/>
      <c r="X137" s="81"/>
      <c r="Y137" s="81"/>
      <c r="Z137" s="17"/>
    </row>
    <row r="138" spans="1:26">
      <c r="A138" s="6"/>
      <c r="B138" s="81"/>
      <c r="C138" s="6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1"/>
      <c r="O138" s="81"/>
      <c r="P138" s="81"/>
      <c r="Q138" s="81"/>
      <c r="R138" s="81"/>
      <c r="S138" s="81"/>
      <c r="T138" s="81"/>
      <c r="U138" s="81"/>
      <c r="V138" s="81"/>
      <c r="W138" s="81"/>
      <c r="X138" s="81"/>
      <c r="Y138" s="81"/>
      <c r="Z138" s="17"/>
    </row>
    <row r="139" spans="1:26">
      <c r="A139" s="6"/>
      <c r="B139" s="81"/>
      <c r="C139" s="6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/>
      <c r="Q139" s="81"/>
      <c r="R139" s="81"/>
      <c r="S139" s="81"/>
      <c r="T139" s="81"/>
      <c r="U139" s="81"/>
      <c r="V139" s="81"/>
      <c r="W139" s="81"/>
      <c r="X139" s="81"/>
      <c r="Y139" s="81"/>
      <c r="Z139" s="17"/>
    </row>
    <row r="140" spans="1:26">
      <c r="A140" s="6"/>
      <c r="B140" s="81"/>
      <c r="C140" s="6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/>
      <c r="Q140" s="81"/>
      <c r="R140" s="81"/>
      <c r="S140" s="81"/>
      <c r="T140" s="81"/>
      <c r="U140" s="81"/>
      <c r="V140" s="81"/>
      <c r="W140" s="81"/>
      <c r="X140" s="81"/>
      <c r="Y140" s="81"/>
      <c r="Z140" s="17"/>
    </row>
    <row r="141" spans="1:26">
      <c r="A141" s="6"/>
      <c r="B141" s="81"/>
      <c r="C141" s="6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1"/>
      <c r="O141" s="81"/>
      <c r="P141" s="81"/>
      <c r="Q141" s="81"/>
      <c r="R141" s="81"/>
      <c r="S141" s="81"/>
      <c r="T141" s="81"/>
      <c r="U141" s="81"/>
      <c r="V141" s="81"/>
      <c r="W141" s="81"/>
      <c r="X141" s="81"/>
      <c r="Y141" s="81"/>
      <c r="Z141" s="17"/>
    </row>
    <row r="142" spans="1:26">
      <c r="A142" s="6"/>
      <c r="B142" s="81"/>
      <c r="C142" s="6"/>
      <c r="D142" s="81"/>
      <c r="E142" s="17"/>
      <c r="F142" s="81"/>
      <c r="G142" s="81"/>
      <c r="H142" s="81"/>
      <c r="I142" s="81"/>
      <c r="J142" s="81"/>
      <c r="K142" s="81"/>
      <c r="L142" s="81"/>
      <c r="M142" s="81"/>
      <c r="N142" s="81"/>
      <c r="O142" s="81"/>
      <c r="P142" s="81"/>
      <c r="Q142" s="81"/>
      <c r="R142" s="81"/>
      <c r="S142" s="81"/>
      <c r="T142" s="81"/>
      <c r="U142" s="81"/>
      <c r="V142" s="81"/>
      <c r="W142" s="81"/>
      <c r="X142" s="81"/>
      <c r="Y142" s="81"/>
      <c r="Z142" s="17"/>
    </row>
    <row r="143" spans="1:26">
      <c r="A143" s="6"/>
      <c r="B143" s="81"/>
      <c r="C143" s="6"/>
      <c r="D143" s="82"/>
      <c r="E143" s="82"/>
      <c r="F143" s="82"/>
      <c r="G143" s="82"/>
      <c r="H143" s="82"/>
      <c r="I143" s="82"/>
      <c r="J143" s="82"/>
      <c r="K143" s="82"/>
      <c r="L143" s="82"/>
      <c r="M143" s="82"/>
      <c r="N143" s="82"/>
      <c r="O143" s="82"/>
      <c r="P143" s="82"/>
      <c r="Q143" s="82"/>
      <c r="R143" s="82"/>
      <c r="S143" s="82"/>
      <c r="T143" s="82"/>
      <c r="U143" s="82"/>
      <c r="V143" s="82"/>
      <c r="W143" s="82"/>
      <c r="X143" s="82"/>
      <c r="Y143" s="81"/>
      <c r="Z143" s="17"/>
    </row>
    <row r="144" spans="1:26">
      <c r="A144" s="6"/>
      <c r="B144" s="81"/>
      <c r="C144" s="6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1"/>
      <c r="O144" s="81"/>
      <c r="P144" s="81"/>
      <c r="Q144" s="81"/>
      <c r="R144" s="81"/>
      <c r="S144" s="81"/>
      <c r="T144" s="81"/>
      <c r="U144" s="81"/>
      <c r="V144" s="81"/>
      <c r="W144" s="81"/>
      <c r="X144" s="81"/>
      <c r="Y144" s="81"/>
      <c r="Z144" s="17"/>
    </row>
    <row r="145" spans="1:26">
      <c r="A145" s="6"/>
      <c r="B145" s="81"/>
      <c r="C145" s="6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1"/>
      <c r="O145" s="81"/>
      <c r="P145" s="81"/>
      <c r="Q145" s="81"/>
      <c r="R145" s="81"/>
      <c r="S145" s="81"/>
      <c r="T145" s="81"/>
      <c r="U145" s="81"/>
      <c r="V145" s="81"/>
      <c r="W145" s="81"/>
      <c r="X145" s="81"/>
      <c r="Y145" s="81"/>
      <c r="Z145" s="17"/>
    </row>
    <row r="146" spans="1:26">
      <c r="A146" s="6"/>
      <c r="B146" s="81"/>
      <c r="C146" s="6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1"/>
      <c r="O146" s="81"/>
      <c r="P146" s="81"/>
      <c r="Q146" s="81"/>
      <c r="R146" s="81"/>
      <c r="S146" s="81"/>
      <c r="T146" s="81"/>
      <c r="U146" s="81"/>
      <c r="V146" s="81"/>
      <c r="W146" s="81"/>
      <c r="X146" s="81"/>
      <c r="Y146" s="81"/>
      <c r="Z146" s="17"/>
    </row>
    <row r="147" spans="1:26">
      <c r="A147" s="6"/>
      <c r="B147" s="81"/>
      <c r="C147" s="6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1"/>
      <c r="O147" s="81"/>
      <c r="P147" s="81"/>
      <c r="Q147" s="81"/>
      <c r="R147" s="81"/>
      <c r="S147" s="81"/>
      <c r="T147" s="81"/>
      <c r="U147" s="81"/>
      <c r="V147" s="81"/>
      <c r="W147" s="81"/>
      <c r="X147" s="81"/>
      <c r="Y147" s="81"/>
      <c r="Z147" s="17"/>
    </row>
    <row r="148" spans="1:26">
      <c r="A148" s="6"/>
      <c r="B148" s="81"/>
      <c r="C148" s="6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17"/>
    </row>
    <row r="149" spans="1:26">
      <c r="A149" s="6"/>
      <c r="B149" s="81"/>
      <c r="C149" s="6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1"/>
      <c r="O149" s="81"/>
      <c r="P149" s="81"/>
      <c r="Q149" s="81"/>
      <c r="R149" s="81"/>
      <c r="S149" s="81"/>
      <c r="T149" s="81"/>
      <c r="U149" s="81"/>
      <c r="V149" s="81"/>
      <c r="W149" s="81"/>
      <c r="X149" s="81"/>
      <c r="Y149" s="81"/>
      <c r="Z149" s="17"/>
    </row>
    <row r="150" spans="1:26">
      <c r="A150" s="6"/>
      <c r="B150" s="81"/>
      <c r="C150" s="6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1"/>
      <c r="O150" s="81"/>
      <c r="P150" s="81"/>
      <c r="Q150" s="81"/>
      <c r="R150" s="81"/>
      <c r="S150" s="81"/>
      <c r="T150" s="81"/>
      <c r="U150" s="81"/>
      <c r="V150" s="81"/>
      <c r="W150" s="81"/>
      <c r="X150" s="81"/>
      <c r="Y150" s="81"/>
      <c r="Z150" s="17"/>
    </row>
    <row r="151" spans="1:26">
      <c r="A151" s="6"/>
      <c r="B151" s="81"/>
      <c r="C151" s="6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1"/>
      <c r="O151" s="81"/>
      <c r="P151" s="81"/>
      <c r="Q151" s="81"/>
      <c r="R151" s="81"/>
      <c r="S151" s="81"/>
      <c r="T151" s="81"/>
      <c r="U151" s="81"/>
      <c r="V151" s="81"/>
      <c r="W151" s="81"/>
      <c r="X151" s="81"/>
      <c r="Y151" s="81"/>
      <c r="Z151" s="17"/>
    </row>
    <row r="152" spans="1:26">
      <c r="A152" s="6"/>
      <c r="B152" s="81"/>
      <c r="C152" s="6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1"/>
      <c r="O152" s="81"/>
      <c r="P152" s="81"/>
      <c r="Q152" s="81"/>
      <c r="R152" s="81"/>
      <c r="S152" s="81"/>
      <c r="T152" s="81"/>
      <c r="U152" s="81"/>
      <c r="V152" s="81"/>
      <c r="W152" s="81"/>
      <c r="X152" s="81"/>
      <c r="Y152" s="81"/>
      <c r="Z152" s="17"/>
    </row>
    <row r="153" spans="1:26">
      <c r="A153" s="6"/>
      <c r="B153" s="81"/>
      <c r="C153" s="6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1"/>
      <c r="O153" s="81"/>
      <c r="P153" s="81"/>
      <c r="Q153" s="81"/>
      <c r="R153" s="81"/>
      <c r="S153" s="81"/>
      <c r="T153" s="81"/>
      <c r="U153" s="81"/>
      <c r="V153" s="81"/>
      <c r="W153" s="81"/>
      <c r="X153" s="81"/>
      <c r="Y153" s="81"/>
      <c r="Z153" s="17"/>
    </row>
    <row r="154" spans="1:26">
      <c r="A154" s="6"/>
      <c r="B154" s="81"/>
      <c r="C154" s="6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1"/>
      <c r="O154" s="81"/>
      <c r="P154" s="81"/>
      <c r="Q154" s="81"/>
      <c r="R154" s="81"/>
      <c r="S154" s="81"/>
      <c r="T154" s="81"/>
      <c r="U154" s="81"/>
      <c r="V154" s="81"/>
      <c r="W154" s="81"/>
      <c r="X154" s="81"/>
      <c r="Y154" s="81"/>
      <c r="Z154" s="17"/>
    </row>
    <row r="155" spans="1:26">
      <c r="A155" s="6"/>
      <c r="B155" s="81"/>
      <c r="C155" s="6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1"/>
      <c r="O155" s="81"/>
      <c r="P155" s="81"/>
      <c r="Q155" s="81"/>
      <c r="R155" s="81"/>
      <c r="S155" s="81"/>
      <c r="T155" s="81"/>
      <c r="U155" s="81"/>
      <c r="V155" s="81"/>
      <c r="W155" s="81"/>
      <c r="X155" s="81"/>
      <c r="Y155" s="81"/>
      <c r="Z155" s="17"/>
    </row>
    <row r="156" spans="1:26">
      <c r="A156" s="6"/>
      <c r="B156" s="81"/>
      <c r="C156" s="6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81"/>
      <c r="P156" s="81"/>
      <c r="Q156" s="81"/>
      <c r="R156" s="81"/>
      <c r="S156" s="81"/>
      <c r="T156" s="81"/>
      <c r="U156" s="81"/>
      <c r="V156" s="81"/>
      <c r="W156" s="81"/>
      <c r="X156" s="81"/>
      <c r="Y156" s="81"/>
      <c r="Z156" s="17"/>
    </row>
    <row r="157" spans="1:26">
      <c r="A157" s="6"/>
      <c r="B157" s="81"/>
      <c r="C157" s="6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81"/>
      <c r="P157" s="81"/>
      <c r="Q157" s="81"/>
      <c r="R157" s="81"/>
      <c r="S157" s="81"/>
      <c r="T157" s="81"/>
      <c r="U157" s="81"/>
      <c r="V157" s="81"/>
      <c r="W157" s="81"/>
      <c r="X157" s="81"/>
      <c r="Y157" s="81"/>
      <c r="Z157" s="17"/>
    </row>
    <row r="158" spans="1:26">
      <c r="A158" s="6"/>
      <c r="B158" s="81"/>
      <c r="C158" s="6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1"/>
      <c r="O158" s="81"/>
      <c r="P158" s="81"/>
      <c r="Q158" s="81"/>
      <c r="R158" s="81"/>
      <c r="S158" s="81"/>
      <c r="T158" s="81"/>
      <c r="U158" s="81"/>
      <c r="V158" s="81"/>
      <c r="W158" s="81"/>
      <c r="X158" s="81"/>
      <c r="Y158" s="81"/>
      <c r="Z158" s="17"/>
    </row>
    <row r="159" spans="1:26">
      <c r="A159" s="6"/>
      <c r="B159" s="81"/>
      <c r="C159" s="6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81"/>
      <c r="P159" s="81"/>
      <c r="Q159" s="81"/>
      <c r="R159" s="81"/>
      <c r="S159" s="81"/>
      <c r="T159" s="81"/>
      <c r="U159" s="81"/>
      <c r="V159" s="81"/>
      <c r="W159" s="81"/>
      <c r="X159" s="81"/>
      <c r="Y159" s="81"/>
      <c r="Z159" s="17"/>
    </row>
    <row r="160" spans="1:26">
      <c r="A160" s="6"/>
      <c r="B160" s="81"/>
      <c r="C160" s="6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81"/>
      <c r="P160" s="81"/>
      <c r="Q160" s="81"/>
      <c r="R160" s="81"/>
      <c r="S160" s="81"/>
      <c r="T160" s="81"/>
      <c r="U160" s="81"/>
      <c r="V160" s="81"/>
      <c r="W160" s="81"/>
      <c r="X160" s="81"/>
      <c r="Y160" s="81"/>
      <c r="Z160" s="17"/>
    </row>
    <row r="161" spans="1:26">
      <c r="A161" s="6"/>
      <c r="B161" s="81"/>
      <c r="C161" s="6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81"/>
      <c r="P161" s="81"/>
      <c r="Q161" s="81"/>
      <c r="R161" s="81"/>
      <c r="S161" s="81"/>
      <c r="T161" s="81"/>
      <c r="U161" s="81"/>
      <c r="V161" s="81"/>
      <c r="W161" s="81"/>
      <c r="X161" s="81"/>
      <c r="Y161" s="81"/>
      <c r="Z161" s="17"/>
    </row>
    <row r="162" spans="1:26">
      <c r="A162" s="6"/>
      <c r="B162" s="81"/>
      <c r="C162" s="6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1"/>
      <c r="O162" s="81"/>
      <c r="P162" s="81"/>
      <c r="Q162" s="81"/>
      <c r="R162" s="81"/>
      <c r="S162" s="81"/>
      <c r="T162" s="81"/>
      <c r="U162" s="81"/>
      <c r="V162" s="81"/>
      <c r="W162" s="81"/>
      <c r="X162" s="81"/>
      <c r="Y162" s="81"/>
      <c r="Z162" s="17"/>
    </row>
    <row r="163" spans="1:26">
      <c r="A163" s="6"/>
      <c r="B163" s="81"/>
      <c r="C163" s="6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1"/>
      <c r="O163" s="81"/>
      <c r="P163" s="81"/>
      <c r="Q163" s="81"/>
      <c r="R163" s="81"/>
      <c r="S163" s="81"/>
      <c r="T163" s="81"/>
      <c r="U163" s="81"/>
      <c r="V163" s="81"/>
      <c r="W163" s="81"/>
      <c r="X163" s="81"/>
      <c r="Y163" s="81"/>
      <c r="Z163" s="17"/>
    </row>
    <row r="164" spans="1:26">
      <c r="A164" s="6"/>
      <c r="B164" s="81"/>
      <c r="C164" s="6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1"/>
      <c r="X164" s="81"/>
      <c r="Y164" s="81"/>
      <c r="Z164" s="17"/>
    </row>
    <row r="165" spans="1:26">
      <c r="A165" s="6"/>
      <c r="B165" s="81"/>
      <c r="C165" s="6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17"/>
    </row>
    <row r="166" spans="1:26">
      <c r="A166" s="6"/>
      <c r="B166" s="81"/>
      <c r="C166" s="6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  <c r="X166" s="81"/>
      <c r="Y166" s="81"/>
      <c r="Z166" s="17"/>
    </row>
    <row r="167" spans="1:26">
      <c r="A167" s="6"/>
      <c r="B167" s="81"/>
      <c r="C167" s="6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  <c r="X167" s="81"/>
      <c r="Y167" s="81"/>
      <c r="Z167" s="17"/>
    </row>
    <row r="168" spans="1:26">
      <c r="A168" s="6"/>
      <c r="B168" s="81"/>
      <c r="C168" s="6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1"/>
      <c r="X168" s="81"/>
      <c r="Y168" s="81"/>
      <c r="Z168" s="17"/>
    </row>
    <row r="169" spans="1:26">
      <c r="A169" s="6"/>
      <c r="B169" s="81"/>
      <c r="C169" s="6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1"/>
      <c r="X169" s="81"/>
      <c r="Y169" s="81"/>
      <c r="Z169" s="17"/>
    </row>
    <row r="170" spans="1:26">
      <c r="A170" s="6"/>
      <c r="B170" s="81"/>
      <c r="C170" s="6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  <c r="X170" s="81"/>
      <c r="Y170" s="81"/>
      <c r="Z170" s="17"/>
    </row>
    <row r="171" spans="1:26">
      <c r="A171" s="6"/>
      <c r="B171" s="81"/>
      <c r="C171" s="6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  <c r="X171" s="81"/>
      <c r="Y171" s="81"/>
      <c r="Z171" s="17"/>
    </row>
    <row r="172" spans="1:26">
      <c r="A172" s="6"/>
      <c r="B172" s="81"/>
      <c r="C172" s="6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1"/>
      <c r="X172" s="81"/>
      <c r="Y172" s="81"/>
      <c r="Z172" s="17"/>
    </row>
    <row r="173" spans="1:26">
      <c r="A173" s="6"/>
      <c r="B173" s="81"/>
      <c r="C173" s="6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1"/>
      <c r="W173" s="81"/>
      <c r="X173" s="81"/>
      <c r="Y173" s="81"/>
      <c r="Z173" s="17"/>
    </row>
    <row r="174" spans="1:26">
      <c r="A174" s="6"/>
      <c r="B174" s="81"/>
      <c r="C174" s="6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1"/>
      <c r="W174" s="81"/>
      <c r="X174" s="81"/>
      <c r="Y174" s="81"/>
      <c r="Z174" s="17"/>
    </row>
    <row r="175" spans="1:26">
      <c r="A175" s="6"/>
      <c r="B175" s="81"/>
      <c r="C175" s="6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1"/>
      <c r="W175" s="81"/>
      <c r="X175" s="81"/>
      <c r="Y175" s="81"/>
      <c r="Z175" s="17"/>
    </row>
    <row r="176" spans="1:26">
      <c r="A176" s="6"/>
      <c r="B176" s="81"/>
      <c r="C176" s="6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1"/>
      <c r="W176" s="81"/>
      <c r="X176" s="81"/>
      <c r="Y176" s="81"/>
      <c r="Z176" s="17"/>
    </row>
    <row r="177" spans="1:26">
      <c r="A177" s="6"/>
      <c r="B177" s="81"/>
      <c r="C177" s="6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1"/>
      <c r="W177" s="81"/>
      <c r="X177" s="81"/>
      <c r="Y177" s="81"/>
      <c r="Z177" s="17"/>
    </row>
    <row r="178" spans="1:26">
      <c r="A178" s="6"/>
      <c r="B178" s="81"/>
      <c r="C178" s="6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1"/>
      <c r="W178" s="81"/>
      <c r="X178" s="81"/>
      <c r="Y178" s="81"/>
      <c r="Z178" s="17"/>
    </row>
    <row r="179" spans="1:26">
      <c r="A179" s="6"/>
      <c r="B179" s="81"/>
      <c r="C179" s="6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1"/>
      <c r="W179" s="81"/>
      <c r="X179" s="81"/>
      <c r="Y179" s="81"/>
      <c r="Z179" s="17"/>
    </row>
    <row r="180" spans="1:26">
      <c r="A180" s="6"/>
      <c r="B180" s="81"/>
      <c r="C180" s="6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1"/>
      <c r="W180" s="81"/>
      <c r="X180" s="81"/>
      <c r="Y180" s="81"/>
      <c r="Z180" s="17"/>
    </row>
    <row r="181" spans="1:26">
      <c r="A181" s="6"/>
      <c r="B181" s="81"/>
      <c r="C181" s="6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1"/>
      <c r="W181" s="81"/>
      <c r="X181" s="81"/>
      <c r="Y181" s="81"/>
      <c r="Z181" s="17"/>
    </row>
    <row r="182" spans="1:26">
      <c r="A182" s="6"/>
      <c r="B182" s="81"/>
      <c r="C182" s="6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1"/>
      <c r="W182" s="81"/>
      <c r="X182" s="81"/>
      <c r="Y182" s="81"/>
      <c r="Z182" s="17"/>
    </row>
    <row r="183" spans="1:26">
      <c r="A183" s="6"/>
      <c r="B183" s="81"/>
      <c r="C183" s="6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/>
      <c r="Q183" s="81"/>
      <c r="R183" s="81"/>
      <c r="S183" s="81"/>
      <c r="T183" s="81"/>
      <c r="U183" s="81"/>
      <c r="V183" s="81"/>
      <c r="W183" s="81"/>
      <c r="X183" s="81"/>
      <c r="Y183" s="81"/>
      <c r="Z183" s="17"/>
    </row>
    <row r="184" spans="1:26">
      <c r="A184" s="6"/>
      <c r="B184" s="81"/>
      <c r="C184" s="6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81"/>
      <c r="S184" s="81"/>
      <c r="T184" s="81"/>
      <c r="U184" s="81"/>
      <c r="V184" s="81"/>
      <c r="W184" s="81"/>
      <c r="X184" s="81"/>
      <c r="Y184" s="81"/>
      <c r="Z184" s="17"/>
    </row>
    <row r="185" spans="1:26">
      <c r="A185" s="6"/>
      <c r="B185" s="81"/>
      <c r="C185" s="6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/>
      <c r="Q185" s="81"/>
      <c r="R185" s="81"/>
      <c r="S185" s="81"/>
      <c r="T185" s="81"/>
      <c r="U185" s="81"/>
      <c r="V185" s="81"/>
      <c r="W185" s="81"/>
      <c r="X185" s="81"/>
      <c r="Y185" s="81"/>
      <c r="Z185" s="17"/>
    </row>
    <row r="186" spans="1:26">
      <c r="A186" s="6"/>
      <c r="B186" s="81"/>
      <c r="C186" s="6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81"/>
      <c r="R186" s="81"/>
      <c r="S186" s="81"/>
      <c r="T186" s="81"/>
      <c r="U186" s="81"/>
      <c r="V186" s="81"/>
      <c r="W186" s="81"/>
      <c r="X186" s="81"/>
      <c r="Y186" s="81"/>
      <c r="Z186" s="17"/>
    </row>
    <row r="187" spans="1:26">
      <c r="A187" s="6"/>
      <c r="B187" s="81"/>
      <c r="C187" s="6"/>
      <c r="D187" s="81"/>
      <c r="E187" s="81"/>
      <c r="F187" s="81"/>
      <c r="G187" s="81"/>
      <c r="H187" s="81"/>
      <c r="I187" s="81"/>
      <c r="J187" s="81"/>
      <c r="K187" s="81"/>
      <c r="L187" s="81"/>
      <c r="M187" s="81"/>
      <c r="N187" s="81"/>
      <c r="O187" s="81"/>
      <c r="P187" s="81"/>
      <c r="Q187" s="81"/>
      <c r="R187" s="81"/>
      <c r="S187" s="81"/>
      <c r="T187" s="81"/>
      <c r="U187" s="81"/>
      <c r="V187" s="81"/>
      <c r="W187" s="81"/>
      <c r="X187" s="81"/>
      <c r="Y187" s="81"/>
      <c r="Z187" s="17"/>
    </row>
    <row r="188" spans="1:26">
      <c r="A188" s="6"/>
      <c r="B188" s="81"/>
      <c r="C188" s="6"/>
      <c r="D188" s="81"/>
      <c r="E188" s="81"/>
      <c r="F188" s="81"/>
      <c r="G188" s="81"/>
      <c r="H188" s="81"/>
      <c r="I188" s="81"/>
      <c r="J188" s="81"/>
      <c r="K188" s="81"/>
      <c r="L188" s="81"/>
      <c r="M188" s="81"/>
      <c r="N188" s="81"/>
      <c r="O188" s="81"/>
      <c r="P188" s="81"/>
      <c r="Q188" s="81"/>
      <c r="R188" s="81"/>
      <c r="S188" s="81"/>
      <c r="T188" s="81"/>
      <c r="U188" s="81"/>
      <c r="V188" s="81"/>
      <c r="W188" s="81"/>
      <c r="X188" s="81"/>
      <c r="Y188" s="81"/>
      <c r="Z188" s="17"/>
    </row>
    <row r="189" spans="1:26">
      <c r="A189" s="6"/>
      <c r="B189" s="81"/>
      <c r="C189" s="6"/>
      <c r="D189" s="81"/>
      <c r="E189" s="81"/>
      <c r="F189" s="81"/>
      <c r="G189" s="81"/>
      <c r="H189" s="81"/>
      <c r="I189" s="81"/>
      <c r="J189" s="81"/>
      <c r="K189" s="81"/>
      <c r="L189" s="81"/>
      <c r="M189" s="81"/>
      <c r="N189" s="81"/>
      <c r="O189" s="81"/>
      <c r="P189" s="81"/>
      <c r="Q189" s="81"/>
      <c r="R189" s="81"/>
      <c r="S189" s="81"/>
      <c r="T189" s="81"/>
      <c r="U189" s="81"/>
      <c r="V189" s="81"/>
      <c r="W189" s="81"/>
      <c r="X189" s="81"/>
      <c r="Y189" s="81"/>
      <c r="Z189" s="17"/>
    </row>
    <row r="190" spans="1:26">
      <c r="A190" s="6"/>
      <c r="B190" s="81"/>
      <c r="C190" s="6"/>
      <c r="D190" s="81"/>
      <c r="E190" s="81"/>
      <c r="F190" s="81"/>
      <c r="G190" s="81"/>
      <c r="H190" s="81"/>
      <c r="I190" s="81"/>
      <c r="J190" s="81"/>
      <c r="K190" s="81"/>
      <c r="L190" s="81"/>
      <c r="M190" s="81"/>
      <c r="N190" s="81"/>
      <c r="O190" s="81"/>
      <c r="P190" s="81"/>
      <c r="Q190" s="81"/>
      <c r="R190" s="81"/>
      <c r="S190" s="81"/>
      <c r="T190" s="81"/>
      <c r="U190" s="81"/>
      <c r="V190" s="81"/>
      <c r="W190" s="81"/>
      <c r="X190" s="81"/>
      <c r="Y190" s="81"/>
      <c r="Z190" s="17"/>
    </row>
    <row r="191" spans="1:26">
      <c r="A191" s="6"/>
      <c r="B191" s="81"/>
      <c r="C191" s="6"/>
      <c r="D191" s="81"/>
      <c r="E191" s="81"/>
      <c r="F191" s="81"/>
      <c r="G191" s="81"/>
      <c r="H191" s="81"/>
      <c r="I191" s="81"/>
      <c r="J191" s="81"/>
      <c r="K191" s="81"/>
      <c r="L191" s="81"/>
      <c r="M191" s="81"/>
      <c r="N191" s="81"/>
      <c r="O191" s="81"/>
      <c r="P191" s="81"/>
      <c r="Q191" s="81"/>
      <c r="R191" s="81"/>
      <c r="S191" s="81"/>
      <c r="T191" s="81"/>
      <c r="U191" s="81"/>
      <c r="V191" s="81"/>
      <c r="W191" s="81"/>
      <c r="X191" s="81"/>
      <c r="Y191" s="81"/>
      <c r="Z191" s="17"/>
    </row>
    <row r="192" spans="1:26">
      <c r="A192" s="6"/>
      <c r="B192" s="81"/>
      <c r="C192" s="6"/>
      <c r="D192" s="81"/>
      <c r="E192" s="81"/>
      <c r="F192" s="81"/>
      <c r="G192" s="81"/>
      <c r="H192" s="81"/>
      <c r="I192" s="81"/>
      <c r="J192" s="81"/>
      <c r="K192" s="81"/>
      <c r="L192" s="81"/>
      <c r="M192" s="81"/>
      <c r="N192" s="81"/>
      <c r="O192" s="81"/>
      <c r="P192" s="81"/>
      <c r="Q192" s="81"/>
      <c r="R192" s="81"/>
      <c r="S192" s="81"/>
      <c r="T192" s="81"/>
      <c r="U192" s="81"/>
      <c r="V192" s="81"/>
      <c r="W192" s="81"/>
      <c r="X192" s="81"/>
      <c r="Y192" s="81"/>
      <c r="Z192" s="17"/>
    </row>
    <row r="193" spans="1:26">
      <c r="A193" s="6"/>
      <c r="B193" s="81"/>
      <c r="C193" s="6"/>
      <c r="D193" s="81"/>
      <c r="E193" s="81"/>
      <c r="F193" s="81"/>
      <c r="G193" s="81"/>
      <c r="H193" s="81"/>
      <c r="I193" s="81"/>
      <c r="J193" s="81"/>
      <c r="K193" s="81"/>
      <c r="L193" s="81"/>
      <c r="M193" s="81"/>
      <c r="N193" s="81"/>
      <c r="O193" s="81"/>
      <c r="P193" s="81"/>
      <c r="Q193" s="81"/>
      <c r="R193" s="81"/>
      <c r="S193" s="81"/>
      <c r="T193" s="81"/>
      <c r="U193" s="81"/>
      <c r="V193" s="81"/>
      <c r="W193" s="81"/>
      <c r="X193" s="81"/>
      <c r="Y193" s="81"/>
      <c r="Z193" s="17"/>
    </row>
    <row r="194" spans="1:26">
      <c r="A194" s="6"/>
      <c r="B194" s="81"/>
      <c r="C194" s="6"/>
      <c r="D194" s="81"/>
      <c r="E194" s="81"/>
      <c r="F194" s="81"/>
      <c r="G194" s="81"/>
      <c r="H194" s="81"/>
      <c r="I194" s="81"/>
      <c r="J194" s="81"/>
      <c r="K194" s="81"/>
      <c r="L194" s="81"/>
      <c r="M194" s="81"/>
      <c r="N194" s="81"/>
      <c r="O194" s="81"/>
      <c r="P194" s="81"/>
      <c r="Q194" s="81"/>
      <c r="R194" s="81"/>
      <c r="S194" s="81"/>
      <c r="T194" s="81"/>
      <c r="U194" s="81"/>
      <c r="V194" s="81"/>
      <c r="W194" s="81"/>
      <c r="X194" s="81"/>
      <c r="Y194" s="81"/>
      <c r="Z194" s="17"/>
    </row>
    <row r="195" spans="1:26">
      <c r="A195" s="6"/>
      <c r="B195" s="81"/>
      <c r="C195" s="6"/>
      <c r="D195" s="81"/>
      <c r="E195" s="81"/>
      <c r="F195" s="81"/>
      <c r="G195" s="81"/>
      <c r="H195" s="81"/>
      <c r="I195" s="81"/>
      <c r="J195" s="81"/>
      <c r="K195" s="81"/>
      <c r="L195" s="81"/>
      <c r="M195" s="81"/>
      <c r="N195" s="81"/>
      <c r="O195" s="81"/>
      <c r="P195" s="81"/>
      <c r="Q195" s="81"/>
      <c r="R195" s="81"/>
      <c r="S195" s="81"/>
      <c r="T195" s="81"/>
      <c r="U195" s="81"/>
      <c r="V195" s="81"/>
      <c r="W195" s="81"/>
      <c r="X195" s="81"/>
      <c r="Y195" s="81"/>
      <c r="Z195" s="17"/>
    </row>
    <row r="196" spans="1:26">
      <c r="A196" s="6"/>
      <c r="B196" s="81"/>
      <c r="C196" s="6"/>
      <c r="D196" s="81"/>
      <c r="E196" s="81"/>
      <c r="F196" s="81"/>
      <c r="G196" s="81"/>
      <c r="H196" s="81"/>
      <c r="I196" s="81"/>
      <c r="J196" s="81"/>
      <c r="K196" s="81"/>
      <c r="L196" s="81"/>
      <c r="M196" s="81"/>
      <c r="N196" s="81"/>
      <c r="O196" s="81"/>
      <c r="P196" s="81"/>
      <c r="Q196" s="81"/>
      <c r="R196" s="81"/>
      <c r="S196" s="81"/>
      <c r="T196" s="81"/>
      <c r="U196" s="81"/>
      <c r="V196" s="81"/>
      <c r="W196" s="81"/>
      <c r="X196" s="81"/>
      <c r="Y196" s="81"/>
      <c r="Z196" s="17"/>
    </row>
    <row r="197" spans="1:26">
      <c r="A197" s="6"/>
      <c r="B197" s="81"/>
      <c r="C197" s="6"/>
      <c r="D197" s="81"/>
      <c r="E197" s="81"/>
      <c r="F197" s="81"/>
      <c r="G197" s="81"/>
      <c r="H197" s="81"/>
      <c r="I197" s="81"/>
      <c r="J197" s="81"/>
      <c r="K197" s="81"/>
      <c r="L197" s="81"/>
      <c r="M197" s="81"/>
      <c r="N197" s="81"/>
      <c r="O197" s="81"/>
      <c r="P197" s="81"/>
      <c r="Q197" s="81"/>
      <c r="R197" s="81"/>
      <c r="S197" s="81"/>
      <c r="T197" s="81"/>
      <c r="U197" s="81"/>
      <c r="V197" s="81"/>
      <c r="W197" s="81"/>
      <c r="X197" s="81"/>
      <c r="Y197" s="81"/>
      <c r="Z197" s="17"/>
    </row>
    <row r="198" spans="1:26">
      <c r="A198" s="6"/>
      <c r="B198" s="81"/>
      <c r="C198" s="6"/>
      <c r="D198" s="81"/>
      <c r="E198" s="81"/>
      <c r="F198" s="81"/>
      <c r="G198" s="81"/>
      <c r="H198" s="81"/>
      <c r="I198" s="81"/>
      <c r="J198" s="81"/>
      <c r="K198" s="81"/>
      <c r="L198" s="81"/>
      <c r="M198" s="81"/>
      <c r="N198" s="81"/>
      <c r="O198" s="81"/>
      <c r="P198" s="81"/>
      <c r="Q198" s="81"/>
      <c r="R198" s="81"/>
      <c r="S198" s="81"/>
      <c r="T198" s="81"/>
      <c r="U198" s="81"/>
      <c r="V198" s="81"/>
      <c r="W198" s="81"/>
      <c r="X198" s="81"/>
      <c r="Y198" s="81"/>
      <c r="Z198" s="17"/>
    </row>
    <row r="199" spans="1:26">
      <c r="A199" s="6"/>
      <c r="B199" s="81"/>
      <c r="C199" s="6"/>
      <c r="D199" s="81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17"/>
    </row>
    <row r="200" spans="1:26">
      <c r="A200" s="6"/>
      <c r="B200" s="81"/>
      <c r="C200" s="6"/>
      <c r="D200" s="81"/>
      <c r="E200" s="81"/>
      <c r="F200" s="81"/>
      <c r="G200" s="81"/>
      <c r="H200" s="81"/>
      <c r="I200" s="81"/>
      <c r="J200" s="81"/>
      <c r="K200" s="81"/>
      <c r="L200" s="81"/>
      <c r="M200" s="81"/>
      <c r="N200" s="81"/>
      <c r="O200" s="81"/>
      <c r="P200" s="81"/>
      <c r="Q200" s="81"/>
      <c r="R200" s="81"/>
      <c r="S200" s="81"/>
      <c r="T200" s="81"/>
      <c r="U200" s="81"/>
      <c r="V200" s="81"/>
      <c r="W200" s="81"/>
      <c r="X200" s="81"/>
      <c r="Y200" s="81"/>
      <c r="Z200" s="17"/>
    </row>
    <row r="201" spans="1:26">
      <c r="A201" s="6"/>
      <c r="B201" s="81"/>
      <c r="C201" s="6"/>
      <c r="D201" s="81"/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81"/>
      <c r="P201" s="81"/>
      <c r="Q201" s="81"/>
      <c r="R201" s="81"/>
      <c r="S201" s="81"/>
      <c r="T201" s="81"/>
      <c r="U201" s="81"/>
      <c r="V201" s="81"/>
      <c r="W201" s="81"/>
      <c r="X201" s="81"/>
      <c r="Y201" s="81"/>
      <c r="Z201" s="17"/>
    </row>
    <row r="202" spans="1:26">
      <c r="A202" s="6"/>
      <c r="B202" s="81"/>
      <c r="C202" s="6"/>
      <c r="D202" s="81"/>
      <c r="E202" s="81"/>
      <c r="F202" s="81"/>
      <c r="G202" s="81"/>
      <c r="H202" s="81"/>
      <c r="I202" s="81"/>
      <c r="J202" s="81"/>
      <c r="K202" s="81"/>
      <c r="L202" s="81"/>
      <c r="M202" s="81"/>
      <c r="N202" s="81"/>
      <c r="O202" s="81"/>
      <c r="P202" s="81"/>
      <c r="Q202" s="81"/>
      <c r="R202" s="81"/>
      <c r="S202" s="81"/>
      <c r="T202" s="81"/>
      <c r="U202" s="81"/>
      <c r="V202" s="81"/>
      <c r="W202" s="81"/>
      <c r="X202" s="81"/>
      <c r="Y202" s="81"/>
      <c r="Z202" s="17"/>
    </row>
    <row r="203" spans="1:26">
      <c r="A203" s="6"/>
      <c r="B203" s="81"/>
      <c r="C203" s="6"/>
      <c r="D203" s="81"/>
      <c r="E203" s="81"/>
      <c r="F203" s="81"/>
      <c r="G203" s="81"/>
      <c r="H203" s="81"/>
      <c r="I203" s="81"/>
      <c r="J203" s="81"/>
      <c r="K203" s="81"/>
      <c r="L203" s="81"/>
      <c r="M203" s="81"/>
      <c r="N203" s="81"/>
      <c r="O203" s="81"/>
      <c r="P203" s="81"/>
      <c r="Q203" s="81"/>
      <c r="R203" s="81"/>
      <c r="S203" s="81"/>
      <c r="T203" s="81"/>
      <c r="U203" s="81"/>
      <c r="V203" s="81"/>
      <c r="W203" s="81"/>
      <c r="X203" s="81"/>
      <c r="Y203" s="81"/>
      <c r="Z203" s="17"/>
    </row>
    <row r="204" spans="1:26">
      <c r="A204" s="6"/>
      <c r="B204" s="81"/>
      <c r="C204" s="6"/>
      <c r="D204" s="81"/>
      <c r="E204" s="81"/>
      <c r="F204" s="81"/>
      <c r="G204" s="81"/>
      <c r="H204" s="81"/>
      <c r="I204" s="81"/>
      <c r="J204" s="81"/>
      <c r="K204" s="81"/>
      <c r="L204" s="81"/>
      <c r="M204" s="81"/>
      <c r="N204" s="81"/>
      <c r="O204" s="81"/>
      <c r="P204" s="81"/>
      <c r="Q204" s="81"/>
      <c r="R204" s="81"/>
      <c r="S204" s="81"/>
      <c r="T204" s="81"/>
      <c r="U204" s="81"/>
      <c r="V204" s="81"/>
      <c r="W204" s="81"/>
      <c r="X204" s="81"/>
      <c r="Y204" s="81"/>
      <c r="Z204" s="17"/>
    </row>
    <row r="205" spans="1:26">
      <c r="A205" s="6"/>
      <c r="B205" s="81"/>
      <c r="C205" s="6"/>
      <c r="D205" s="81"/>
      <c r="E205" s="81"/>
      <c r="F205" s="81"/>
      <c r="G205" s="81"/>
      <c r="H205" s="81"/>
      <c r="I205" s="81"/>
      <c r="J205" s="81"/>
      <c r="K205" s="81"/>
      <c r="L205" s="81"/>
      <c r="M205" s="81"/>
      <c r="N205" s="81"/>
      <c r="O205" s="81"/>
      <c r="P205" s="81"/>
      <c r="Q205" s="81"/>
      <c r="R205" s="81"/>
      <c r="S205" s="81"/>
      <c r="T205" s="81"/>
      <c r="U205" s="81"/>
      <c r="V205" s="81"/>
      <c r="W205" s="81"/>
      <c r="X205" s="81"/>
      <c r="Y205" s="81"/>
      <c r="Z205" s="17"/>
    </row>
    <row r="206" spans="1:26">
      <c r="A206" s="6"/>
      <c r="B206" s="81"/>
      <c r="C206" s="6"/>
      <c r="D206" s="81"/>
      <c r="E206" s="81"/>
      <c r="F206" s="81"/>
      <c r="G206" s="81"/>
      <c r="H206" s="81"/>
      <c r="I206" s="81"/>
      <c r="J206" s="81"/>
      <c r="K206" s="81"/>
      <c r="L206" s="81"/>
      <c r="M206" s="81"/>
      <c r="N206" s="81"/>
      <c r="O206" s="81"/>
      <c r="P206" s="81"/>
      <c r="Q206" s="81"/>
      <c r="R206" s="81"/>
      <c r="S206" s="81"/>
      <c r="T206" s="81"/>
      <c r="U206" s="81"/>
      <c r="V206" s="81"/>
      <c r="W206" s="81"/>
      <c r="X206" s="81"/>
      <c r="Y206" s="81"/>
      <c r="Z206" s="17"/>
    </row>
    <row r="207" spans="1:26">
      <c r="A207" s="6"/>
      <c r="B207" s="81"/>
      <c r="C207" s="6"/>
      <c r="D207" s="81"/>
      <c r="E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17"/>
    </row>
    <row r="208" spans="1:26">
      <c r="A208" s="6"/>
      <c r="B208" s="81"/>
      <c r="C208" s="6"/>
      <c r="D208" s="81"/>
      <c r="E208" s="81"/>
      <c r="F208" s="81"/>
      <c r="G208" s="81"/>
      <c r="H208" s="81"/>
      <c r="I208" s="81"/>
      <c r="J208" s="81"/>
      <c r="K208" s="81"/>
      <c r="L208" s="81"/>
      <c r="M208" s="81"/>
      <c r="N208" s="81"/>
      <c r="O208" s="81"/>
      <c r="P208" s="81"/>
      <c r="Q208" s="81"/>
      <c r="R208" s="81"/>
      <c r="S208" s="81"/>
      <c r="T208" s="81"/>
      <c r="U208" s="81"/>
      <c r="V208" s="81"/>
      <c r="W208" s="81"/>
      <c r="X208" s="81"/>
      <c r="Y208" s="81"/>
      <c r="Z208" s="17"/>
    </row>
    <row r="209" spans="1:26">
      <c r="A209" s="6"/>
      <c r="B209" s="81"/>
      <c r="C209" s="6"/>
      <c r="D209" s="81"/>
      <c r="E209" s="81"/>
      <c r="F209" s="81"/>
      <c r="G209" s="81"/>
      <c r="H209" s="81"/>
      <c r="I209" s="81"/>
      <c r="J209" s="81"/>
      <c r="K209" s="81"/>
      <c r="L209" s="81"/>
      <c r="M209" s="81"/>
      <c r="N209" s="81"/>
      <c r="O209" s="81"/>
      <c r="P209" s="81"/>
      <c r="Q209" s="81"/>
      <c r="R209" s="81"/>
      <c r="S209" s="81"/>
      <c r="T209" s="81"/>
      <c r="U209" s="81"/>
      <c r="V209" s="81"/>
      <c r="W209" s="81"/>
      <c r="X209" s="81"/>
      <c r="Y209" s="81"/>
      <c r="Z209" s="17"/>
    </row>
    <row r="210" spans="1:26">
      <c r="A210" s="6"/>
      <c r="B210" s="81"/>
      <c r="C210" s="6"/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1"/>
      <c r="W210" s="81"/>
      <c r="X210" s="81"/>
      <c r="Y210" s="81"/>
      <c r="Z210" s="17"/>
    </row>
    <row r="211" spans="1:26">
      <c r="A211" s="6"/>
      <c r="B211" s="81"/>
      <c r="C211" s="6"/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1"/>
      <c r="W211" s="81"/>
      <c r="X211" s="81"/>
      <c r="Y211" s="81"/>
      <c r="Z211" s="17"/>
    </row>
    <row r="212" spans="1:26">
      <c r="A212" s="6"/>
      <c r="B212" s="81"/>
      <c r="C212" s="6"/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81"/>
      <c r="Y212" s="81"/>
      <c r="Z212" s="17"/>
    </row>
    <row r="213" spans="1:26">
      <c r="A213" s="6"/>
      <c r="B213" s="81"/>
      <c r="C213" s="6"/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81"/>
      <c r="Y213" s="81"/>
      <c r="Z213" s="17"/>
    </row>
    <row r="214" spans="1:26">
      <c r="A214" s="6"/>
      <c r="B214" s="81"/>
      <c r="C214" s="6"/>
      <c r="D214" s="81"/>
      <c r="E214" s="81"/>
      <c r="F214" s="81"/>
      <c r="G214" s="81"/>
      <c r="H214" s="81"/>
      <c r="I214" s="81"/>
      <c r="J214" s="81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81"/>
      <c r="Y214" s="81"/>
      <c r="Z214" s="17"/>
    </row>
    <row r="215" spans="1:26">
      <c r="A215" s="6"/>
      <c r="B215" s="81"/>
      <c r="C215" s="6"/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81"/>
      <c r="Y215" s="81"/>
      <c r="Z215" s="17"/>
    </row>
    <row r="216" spans="1:26">
      <c r="A216" s="6"/>
      <c r="B216" s="81"/>
      <c r="C216" s="6"/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17"/>
    </row>
    <row r="217" spans="1:26">
      <c r="A217" s="6"/>
      <c r="B217" s="81"/>
      <c r="C217" s="6"/>
      <c r="D217" s="81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81"/>
      <c r="Y217" s="81"/>
      <c r="Z217" s="17"/>
    </row>
    <row r="218" spans="1:26">
      <c r="A218" s="6"/>
      <c r="B218" s="81"/>
      <c r="C218" s="6"/>
      <c r="D218" s="81"/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81"/>
      <c r="Y218" s="81"/>
      <c r="Z218" s="17"/>
    </row>
    <row r="219" spans="1:26">
      <c r="A219" s="6"/>
      <c r="B219" s="81"/>
      <c r="C219" s="6"/>
      <c r="D219" s="81"/>
      <c r="E219" s="81"/>
      <c r="F219" s="81"/>
      <c r="G219" s="81"/>
      <c r="H219" s="81"/>
      <c r="I219" s="81"/>
      <c r="J219" s="81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81"/>
      <c r="Y219" s="81"/>
      <c r="Z219" s="17"/>
    </row>
    <row r="220" spans="1:26">
      <c r="A220" s="6"/>
      <c r="B220" s="81"/>
      <c r="C220" s="6"/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81"/>
      <c r="Y220" s="81"/>
      <c r="Z220" s="17"/>
    </row>
    <row r="221" spans="1:26">
      <c r="A221" s="6"/>
      <c r="B221" s="81"/>
      <c r="C221" s="6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81"/>
      <c r="Y221" s="81"/>
      <c r="Z221" s="17"/>
    </row>
    <row r="222" spans="1:26">
      <c r="A222" s="6"/>
      <c r="B222" s="81"/>
      <c r="C222" s="6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17"/>
    </row>
    <row r="223" spans="1:26">
      <c r="A223" s="6"/>
      <c r="B223" s="81"/>
      <c r="C223" s="6"/>
      <c r="D223" s="81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17"/>
    </row>
    <row r="224" spans="1:26">
      <c r="C224" s="6"/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1"/>
      <c r="W224" s="81"/>
      <c r="X224" s="81"/>
      <c r="Y224" s="81"/>
      <c r="Z224" s="17"/>
    </row>
    <row r="225" spans="3:26">
      <c r="C225" s="6"/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1"/>
      <c r="W225" s="81"/>
      <c r="X225" s="81"/>
      <c r="Y225" s="81"/>
      <c r="Z225" s="17"/>
    </row>
    <row r="226" spans="3:26">
      <c r="C226" s="6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81"/>
      <c r="Y226" s="81"/>
      <c r="Z226" s="17"/>
    </row>
    <row r="227" spans="3:26">
      <c r="C227" s="6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81"/>
      <c r="Y227" s="81"/>
      <c r="Z227" s="17"/>
    </row>
    <row r="228" spans="3:26">
      <c r="C228" s="6"/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81"/>
      <c r="Y228" s="81"/>
      <c r="Z228" s="17"/>
    </row>
    <row r="229" spans="3:26">
      <c r="C229" s="6"/>
      <c r="D229" s="81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81"/>
      <c r="Y229" s="81"/>
      <c r="Z229" s="17"/>
    </row>
    <row r="230" spans="3:26">
      <c r="C230" s="6"/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81"/>
      <c r="Y230" s="81"/>
      <c r="Z230" s="17"/>
    </row>
    <row r="231" spans="3:26">
      <c r="C231" s="6"/>
      <c r="D231" s="81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81"/>
      <c r="P231" s="81"/>
      <c r="Q231" s="81"/>
      <c r="R231" s="81"/>
      <c r="S231" s="81"/>
      <c r="T231" s="81"/>
      <c r="U231" s="81"/>
      <c r="V231" s="81"/>
      <c r="W231" s="81"/>
      <c r="X231" s="81"/>
      <c r="Y231" s="81"/>
      <c r="Z231" s="17"/>
    </row>
    <row r="232" spans="3:26">
      <c r="C232" s="6"/>
      <c r="D232" s="81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1"/>
      <c r="W232" s="81"/>
      <c r="X232" s="81"/>
      <c r="Y232" s="81"/>
      <c r="Z232" s="17"/>
    </row>
    <row r="233" spans="3:26">
      <c r="C233" s="6"/>
      <c r="D233" s="81"/>
      <c r="E233" s="81"/>
      <c r="F233" s="81"/>
      <c r="G233" s="81"/>
      <c r="H233" s="81"/>
      <c r="I233" s="81"/>
      <c r="J233" s="81"/>
      <c r="K233" s="81"/>
      <c r="L233" s="81"/>
      <c r="M233" s="81"/>
      <c r="N233" s="81"/>
      <c r="O233" s="81"/>
      <c r="P233" s="81"/>
      <c r="Q233" s="81"/>
      <c r="R233" s="81"/>
      <c r="S233" s="81"/>
      <c r="T233" s="81"/>
      <c r="U233" s="81"/>
      <c r="V233" s="81"/>
      <c r="W233" s="81"/>
      <c r="X233" s="81"/>
      <c r="Y233" s="81"/>
      <c r="Z233" s="17"/>
    </row>
    <row r="234" spans="3:26">
      <c r="C234" s="6"/>
      <c r="D234" s="81"/>
      <c r="E234" s="81"/>
      <c r="F234" s="81"/>
      <c r="G234" s="81"/>
      <c r="H234" s="81"/>
      <c r="I234" s="81"/>
      <c r="J234" s="81"/>
      <c r="K234" s="81"/>
      <c r="L234" s="81"/>
      <c r="M234" s="81"/>
      <c r="N234" s="81"/>
      <c r="O234" s="81"/>
      <c r="P234" s="81"/>
      <c r="Q234" s="81"/>
      <c r="R234" s="81"/>
      <c r="S234" s="81"/>
      <c r="T234" s="81"/>
      <c r="U234" s="81"/>
      <c r="V234" s="81"/>
      <c r="W234" s="81"/>
      <c r="X234" s="81"/>
      <c r="Y234" s="81"/>
      <c r="Z234" s="17"/>
    </row>
    <row r="235" spans="3:26">
      <c r="C235" s="6"/>
      <c r="D235" s="81"/>
      <c r="E235" s="81"/>
      <c r="F235" s="81"/>
      <c r="G235" s="81"/>
      <c r="H235" s="81"/>
      <c r="I235" s="81"/>
      <c r="J235" s="81"/>
      <c r="K235" s="81"/>
      <c r="L235" s="81"/>
      <c r="M235" s="81"/>
      <c r="N235" s="81"/>
      <c r="O235" s="81"/>
      <c r="P235" s="81"/>
      <c r="Q235" s="81"/>
      <c r="R235" s="81"/>
      <c r="S235" s="81"/>
      <c r="T235" s="81"/>
      <c r="U235" s="81"/>
      <c r="V235" s="81"/>
      <c r="W235" s="81"/>
      <c r="X235" s="81"/>
      <c r="Y235" s="81"/>
      <c r="Z235" s="17"/>
    </row>
    <row r="236" spans="3:26">
      <c r="C236" s="6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81"/>
      <c r="Q236" s="81"/>
      <c r="R236" s="81"/>
      <c r="S236" s="81"/>
      <c r="T236" s="81"/>
      <c r="U236" s="81"/>
      <c r="V236" s="81"/>
      <c r="W236" s="81"/>
      <c r="X236" s="81"/>
      <c r="Y236" s="81"/>
      <c r="Z236" s="17"/>
    </row>
    <row r="237" spans="3:26">
      <c r="C237" s="6"/>
      <c r="D237" s="81"/>
      <c r="E237" s="81"/>
      <c r="F237" s="81"/>
      <c r="G237" s="81"/>
      <c r="H237" s="81"/>
      <c r="I237" s="81"/>
      <c r="J237" s="81"/>
      <c r="K237" s="81"/>
      <c r="L237" s="81"/>
      <c r="M237" s="81"/>
      <c r="N237" s="81"/>
      <c r="O237" s="81"/>
      <c r="P237" s="81"/>
      <c r="Q237" s="81"/>
      <c r="R237" s="81"/>
      <c r="S237" s="81"/>
      <c r="T237" s="81"/>
      <c r="U237" s="81"/>
      <c r="V237" s="81"/>
      <c r="W237" s="81"/>
      <c r="X237" s="81"/>
      <c r="Y237" s="81"/>
      <c r="Z237" s="17"/>
    </row>
    <row r="238" spans="3:26">
      <c r="C238" s="6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81"/>
      <c r="Q238" s="81"/>
      <c r="R238" s="81"/>
      <c r="S238" s="81"/>
      <c r="T238" s="81"/>
      <c r="U238" s="81"/>
      <c r="V238" s="81"/>
      <c r="W238" s="81"/>
      <c r="X238" s="81"/>
      <c r="Y238" s="81"/>
      <c r="Z238" s="17"/>
    </row>
    <row r="239" spans="3:26">
      <c r="C239" s="6"/>
      <c r="D239" s="81"/>
      <c r="E239" s="81"/>
      <c r="F239" s="81"/>
      <c r="G239" s="81"/>
      <c r="H239" s="81"/>
      <c r="I239" s="81"/>
      <c r="J239" s="81"/>
      <c r="K239" s="81"/>
      <c r="L239" s="81"/>
      <c r="M239" s="81"/>
      <c r="N239" s="81"/>
      <c r="O239" s="81"/>
      <c r="P239" s="81"/>
      <c r="Q239" s="81"/>
      <c r="R239" s="81"/>
      <c r="S239" s="81"/>
      <c r="T239" s="81"/>
      <c r="U239" s="81"/>
      <c r="V239" s="81"/>
      <c r="W239" s="81"/>
      <c r="X239" s="81"/>
      <c r="Y239" s="81"/>
      <c r="Z239" s="17"/>
    </row>
    <row r="240" spans="3:26">
      <c r="C240" s="6"/>
      <c r="D240" s="81"/>
      <c r="E240" s="81"/>
      <c r="F240" s="81"/>
      <c r="G240" s="81"/>
      <c r="H240" s="81"/>
      <c r="I240" s="81"/>
      <c r="J240" s="81"/>
      <c r="K240" s="81"/>
      <c r="L240" s="81"/>
      <c r="M240" s="81"/>
      <c r="N240" s="81"/>
      <c r="O240" s="81"/>
      <c r="P240" s="81"/>
      <c r="Q240" s="81"/>
      <c r="R240" s="81"/>
      <c r="S240" s="81"/>
      <c r="T240" s="81"/>
      <c r="U240" s="81"/>
      <c r="V240" s="81"/>
      <c r="W240" s="81"/>
      <c r="X240" s="81"/>
      <c r="Y240" s="81"/>
      <c r="Z240" s="17"/>
    </row>
    <row r="241" spans="3:26">
      <c r="C241" s="6"/>
      <c r="D241" s="81"/>
      <c r="E241" s="81"/>
      <c r="F241" s="81"/>
      <c r="G241" s="81"/>
      <c r="H241" s="81"/>
      <c r="I241" s="81"/>
      <c r="J241" s="81"/>
      <c r="K241" s="81"/>
      <c r="L241" s="81"/>
      <c r="M241" s="81"/>
      <c r="N241" s="81"/>
      <c r="O241" s="81"/>
      <c r="P241" s="81"/>
      <c r="Q241" s="81"/>
      <c r="R241" s="81"/>
      <c r="S241" s="81"/>
      <c r="T241" s="81"/>
      <c r="U241" s="81"/>
      <c r="V241" s="81"/>
      <c r="W241" s="81"/>
      <c r="X241" s="81"/>
      <c r="Y241" s="81"/>
      <c r="Z241" s="17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Sheet101">
    <tabColor rgb="FFFF0000"/>
  </sheetPr>
  <dimension ref="A5:X127"/>
  <sheetViews>
    <sheetView topLeftCell="C1" workbookViewId="0">
      <selection activeCell="A6" sqref="A6"/>
    </sheetView>
  </sheetViews>
  <sheetFormatPr baseColWidth="10" defaultColWidth="8.7109375" defaultRowHeight="15"/>
  <cols>
    <col min="1" max="1" width="8.7109375" style="1"/>
    <col min="2" max="2" width="12.7109375" style="1" customWidth="1"/>
    <col min="3" max="3" width="12.7109375" style="1" bestFit="1" customWidth="1"/>
    <col min="4" max="4" width="13.7109375" style="1" bestFit="1" customWidth="1"/>
    <col min="5" max="7" width="12.7109375" style="1" bestFit="1" customWidth="1"/>
    <col min="8" max="8" width="13.7109375" style="1" bestFit="1" customWidth="1"/>
    <col min="9" max="9" width="12.7109375" style="1" bestFit="1" customWidth="1"/>
    <col min="10" max="10" width="13.7109375" style="1" bestFit="1" customWidth="1"/>
    <col min="11" max="19" width="12.7109375" style="1" bestFit="1" customWidth="1"/>
    <col min="20" max="21" width="12.7109375" style="1" customWidth="1"/>
    <col min="22" max="23" width="12.7109375" style="1" bestFit="1" customWidth="1"/>
    <col min="24" max="16384" width="8.7109375" style="1"/>
  </cols>
  <sheetData>
    <row r="5" spans="1:23" ht="16">
      <c r="A5" s="4"/>
      <c r="B5" s="4"/>
      <c r="H5" s="4"/>
      <c r="I5" s="4"/>
      <c r="J5" s="51" t="s">
        <v>872</v>
      </c>
      <c r="K5" s="4"/>
      <c r="L5" s="4"/>
    </row>
    <row r="6" spans="1:23" ht="16">
      <c r="A6" s="4"/>
      <c r="B6" s="4"/>
      <c r="H6" s="5" t="s">
        <v>674</v>
      </c>
      <c r="I6" s="5"/>
      <c r="J6" s="5"/>
      <c r="K6" s="5"/>
      <c r="L6" s="5"/>
    </row>
    <row r="7" spans="1:23">
      <c r="J7" s="1" t="s">
        <v>658</v>
      </c>
    </row>
    <row r="8" spans="1:23">
      <c r="I8" s="6"/>
      <c r="J8" s="6" t="s">
        <v>659</v>
      </c>
      <c r="K8" s="6"/>
      <c r="L8" s="6"/>
    </row>
    <row r="9" spans="1:23">
      <c r="A9" s="6" t="s">
        <v>9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</row>
    <row r="10" spans="1:23">
      <c r="A10" s="6"/>
      <c r="B10" s="27" t="s">
        <v>665</v>
      </c>
      <c r="C10" s="27" t="s">
        <v>523</v>
      </c>
      <c r="D10" s="27" t="s">
        <v>523</v>
      </c>
      <c r="E10" s="27" t="s">
        <v>523</v>
      </c>
      <c r="F10" s="27" t="s">
        <v>523</v>
      </c>
      <c r="H10" s="6"/>
      <c r="I10" s="6"/>
      <c r="J10" s="6"/>
      <c r="K10" s="6"/>
      <c r="L10" s="6"/>
      <c r="N10" s="79">
        <v>0.22500000000000001</v>
      </c>
      <c r="O10" s="6"/>
      <c r="P10" s="6"/>
      <c r="Q10" s="6"/>
      <c r="R10" s="6" t="s">
        <v>67</v>
      </c>
      <c r="S10" s="6"/>
      <c r="T10" s="6"/>
      <c r="U10" s="6"/>
      <c r="V10" s="6" t="s">
        <v>67</v>
      </c>
    </row>
    <row r="11" spans="1:23">
      <c r="A11" s="6" t="s">
        <v>3</v>
      </c>
      <c r="B11" s="27" t="s">
        <v>524</v>
      </c>
      <c r="C11" s="27" t="s">
        <v>524</v>
      </c>
      <c r="D11" s="27" t="s">
        <v>524</v>
      </c>
      <c r="E11" s="27" t="s">
        <v>528</v>
      </c>
      <c r="F11" s="27" t="s">
        <v>528</v>
      </c>
      <c r="G11" s="6" t="s">
        <v>14</v>
      </c>
      <c r="H11" s="6" t="s">
        <v>12</v>
      </c>
      <c r="I11" s="6" t="s">
        <v>14</v>
      </c>
      <c r="J11" s="6" t="s">
        <v>12</v>
      </c>
      <c r="K11" s="6" t="s">
        <v>14</v>
      </c>
      <c r="L11" s="6" t="s">
        <v>12</v>
      </c>
      <c r="M11" s="6" t="s">
        <v>381</v>
      </c>
      <c r="N11" s="6" t="s">
        <v>381</v>
      </c>
      <c r="O11" s="6" t="s">
        <v>381</v>
      </c>
      <c r="P11" s="6" t="s">
        <v>660</v>
      </c>
      <c r="Q11" s="6" t="s">
        <v>67</v>
      </c>
      <c r="R11" s="6" t="s">
        <v>662</v>
      </c>
      <c r="S11" s="6" t="s">
        <v>661</v>
      </c>
      <c r="T11" s="6" t="s">
        <v>661</v>
      </c>
      <c r="U11" s="6" t="s">
        <v>67</v>
      </c>
      <c r="V11" s="6" t="s">
        <v>663</v>
      </c>
      <c r="W11" s="6" t="s">
        <v>177</v>
      </c>
    </row>
    <row r="12" spans="1:23">
      <c r="A12" s="6" t="s">
        <v>4</v>
      </c>
      <c r="B12" s="28" t="s">
        <v>672</v>
      </c>
      <c r="C12" s="28" t="s">
        <v>671</v>
      </c>
      <c r="D12" s="28" t="s">
        <v>525</v>
      </c>
      <c r="E12" s="28" t="s">
        <v>671</v>
      </c>
      <c r="F12" s="28" t="s">
        <v>525</v>
      </c>
      <c r="G12" s="6" t="s">
        <v>0</v>
      </c>
      <c r="H12" s="6" t="s">
        <v>0</v>
      </c>
      <c r="I12" s="6" t="s">
        <v>566</v>
      </c>
      <c r="J12" s="6" t="s">
        <v>566</v>
      </c>
      <c r="K12" s="6" t="s">
        <v>567</v>
      </c>
      <c r="L12" s="6" t="s">
        <v>567</v>
      </c>
      <c r="M12" s="6" t="s">
        <v>566</v>
      </c>
      <c r="N12" s="6" t="s">
        <v>567</v>
      </c>
      <c r="O12" s="6" t="s">
        <v>0</v>
      </c>
      <c r="P12" s="6" t="s">
        <v>566</v>
      </c>
      <c r="Q12" s="6" t="s">
        <v>567</v>
      </c>
      <c r="R12" s="6" t="s">
        <v>0</v>
      </c>
      <c r="S12" s="6" t="s">
        <v>117</v>
      </c>
      <c r="T12" s="6" t="s">
        <v>14</v>
      </c>
      <c r="U12" s="6" t="s">
        <v>661</v>
      </c>
      <c r="V12" s="6" t="s">
        <v>0</v>
      </c>
      <c r="W12" s="6" t="s">
        <v>16</v>
      </c>
    </row>
    <row r="13" spans="1:23">
      <c r="A13" s="10">
        <v>-1</v>
      </c>
      <c r="B13" s="10">
        <f>A13-1</f>
        <v>-2</v>
      </c>
      <c r="C13" s="10">
        <f>B13-1</f>
        <v>-3</v>
      </c>
      <c r="D13" s="10">
        <f t="shared" ref="D13:W13" si="0">C13-1</f>
        <v>-4</v>
      </c>
      <c r="E13" s="10">
        <f t="shared" si="0"/>
        <v>-5</v>
      </c>
      <c r="F13" s="10">
        <f t="shared" si="0"/>
        <v>-6</v>
      </c>
      <c r="G13" s="10">
        <f t="shared" si="0"/>
        <v>-7</v>
      </c>
      <c r="H13" s="10">
        <f t="shared" si="0"/>
        <v>-8</v>
      </c>
      <c r="I13" s="10">
        <f t="shared" si="0"/>
        <v>-9</v>
      </c>
      <c r="J13" s="10">
        <f t="shared" si="0"/>
        <v>-10</v>
      </c>
      <c r="K13" s="10">
        <f t="shared" si="0"/>
        <v>-11</v>
      </c>
      <c r="L13" s="10">
        <f t="shared" si="0"/>
        <v>-12</v>
      </c>
      <c r="M13" s="10">
        <f>L13-1</f>
        <v>-13</v>
      </c>
      <c r="N13" s="10">
        <f t="shared" si="0"/>
        <v>-14</v>
      </c>
      <c r="O13" s="10">
        <f t="shared" si="0"/>
        <v>-15</v>
      </c>
      <c r="P13" s="10">
        <f t="shared" si="0"/>
        <v>-16</v>
      </c>
      <c r="Q13" s="10">
        <f t="shared" si="0"/>
        <v>-17</v>
      </c>
      <c r="R13" s="10">
        <f t="shared" si="0"/>
        <v>-18</v>
      </c>
      <c r="S13" s="10">
        <f t="shared" si="0"/>
        <v>-19</v>
      </c>
      <c r="T13" s="10">
        <f t="shared" si="0"/>
        <v>-20</v>
      </c>
      <c r="U13" s="10">
        <f t="shared" si="0"/>
        <v>-21</v>
      </c>
      <c r="V13" s="10">
        <f t="shared" si="0"/>
        <v>-22</v>
      </c>
      <c r="W13" s="10">
        <f t="shared" si="0"/>
        <v>-23</v>
      </c>
    </row>
    <row r="14" spans="1:23">
      <c r="A14" s="80"/>
      <c r="B14" s="80"/>
      <c r="C14" s="6"/>
      <c r="D14" s="6"/>
      <c r="E14" s="6"/>
      <c r="F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</row>
    <row r="15" spans="1:23">
      <c r="A15" s="6">
        <v>1992</v>
      </c>
      <c r="B15" s="81">
        <f>'Exhibit L,3'!Q16+'Exhibit M,3'!Q16</f>
        <v>0</v>
      </c>
      <c r="C15" s="81">
        <f>'Exhibit L,3'!R16+'Exhibit M,3'!R16</f>
        <v>9600</v>
      </c>
      <c r="D15" s="81">
        <f>'Exhibit L,3'!S16+'Exhibit M,3'!S16</f>
        <v>9600</v>
      </c>
      <c r="E15" s="81">
        <f>'Exhibit L,3'!T16+'Exhibit M,3'!T16</f>
        <v>9600</v>
      </c>
      <c r="F15" s="81">
        <f>'Exhibit L,3'!U16+'Exhibit M,3'!U16</f>
        <v>9600</v>
      </c>
      <c r="G15" s="81">
        <f>C15+E15-B15</f>
        <v>19200</v>
      </c>
      <c r="H15" s="81">
        <f>D15+F15-B15</f>
        <v>19200</v>
      </c>
      <c r="I15" s="81">
        <f>C15-B15</f>
        <v>9600</v>
      </c>
      <c r="J15" s="81">
        <f>D15-B15</f>
        <v>9600</v>
      </c>
      <c r="K15" s="81">
        <f>E15</f>
        <v>9600</v>
      </c>
      <c r="L15" s="81">
        <f>F15</f>
        <v>9600</v>
      </c>
      <c r="M15" s="81">
        <f>O15*(1-N$10)</f>
        <v>0</v>
      </c>
      <c r="N15" s="81">
        <f>O15-M15</f>
        <v>0</v>
      </c>
      <c r="O15" s="81">
        <f>'Exhibit F,1'!AA16</f>
        <v>0</v>
      </c>
      <c r="P15" s="81">
        <f>J15+M15</f>
        <v>9600</v>
      </c>
      <c r="Q15" s="81">
        <f>L15+N15</f>
        <v>9600</v>
      </c>
      <c r="R15" s="81">
        <f>P15+Q15</f>
        <v>19200</v>
      </c>
      <c r="S15" s="81">
        <f>'Exhibit C,1'!Y16</f>
        <v>0</v>
      </c>
      <c r="T15" s="87">
        <v>0</v>
      </c>
      <c r="U15" s="81">
        <f>S15+T15</f>
        <v>0</v>
      </c>
      <c r="V15" s="81">
        <f>R15+U15</f>
        <v>19200</v>
      </c>
      <c r="W15" s="87"/>
    </row>
    <row r="16" spans="1:23">
      <c r="A16" s="6">
        <f>A15+1</f>
        <v>1993</v>
      </c>
      <c r="B16" s="81">
        <f>'Exhibit L,3'!Q17+'Exhibit M,3'!Q17</f>
        <v>0</v>
      </c>
      <c r="C16" s="81">
        <f>'Exhibit L,3'!R17+'Exhibit M,3'!R17</f>
        <v>924635.38</v>
      </c>
      <c r="D16" s="81">
        <f>'Exhibit L,3'!S17+'Exhibit M,3'!S17</f>
        <v>924635.38</v>
      </c>
      <c r="E16" s="81">
        <f>'Exhibit L,3'!T17+'Exhibit M,3'!T17</f>
        <v>924635.38</v>
      </c>
      <c r="F16" s="81">
        <f>'Exhibit L,3'!U17+'Exhibit M,3'!U17</f>
        <v>924635.38</v>
      </c>
      <c r="G16" s="81">
        <f t="shared" ref="G16:G44" si="1">C16+E16-B16</f>
        <v>1849270.76</v>
      </c>
      <c r="H16" s="81">
        <f t="shared" ref="H16:H44" si="2">D16+F16-B16</f>
        <v>1849270.76</v>
      </c>
      <c r="I16" s="81">
        <f t="shared" ref="I16:I44" si="3">C16-B16</f>
        <v>924635.38</v>
      </c>
      <c r="J16" s="81">
        <f t="shared" ref="J16:J44" si="4">D16-B16</f>
        <v>924635.38</v>
      </c>
      <c r="K16" s="81">
        <f t="shared" ref="K16:K44" si="5">E16</f>
        <v>924635.38</v>
      </c>
      <c r="L16" s="81">
        <f t="shared" ref="L16:L44" si="6">F16</f>
        <v>924635.38</v>
      </c>
      <c r="M16" s="81">
        <f t="shared" ref="M16:M44" si="7">O16*(1-N$10)</f>
        <v>0</v>
      </c>
      <c r="N16" s="81">
        <f t="shared" ref="N16:N44" si="8">O16-M16</f>
        <v>0</v>
      </c>
      <c r="O16" s="81">
        <f>'Exhibit F,1'!AA17</f>
        <v>0</v>
      </c>
      <c r="P16" s="81">
        <f t="shared" ref="P16:P44" si="9">J16+M16</f>
        <v>924635.38</v>
      </c>
      <c r="Q16" s="81">
        <f t="shared" ref="Q16:Q44" si="10">L16+N16</f>
        <v>924635.38</v>
      </c>
      <c r="R16" s="81">
        <f t="shared" ref="R16:R44" si="11">P16+Q16</f>
        <v>1849270.76</v>
      </c>
      <c r="S16" s="81">
        <f>'Exhibit C,1'!Y17</f>
        <v>0</v>
      </c>
      <c r="T16" s="87">
        <v>0</v>
      </c>
      <c r="U16" s="81">
        <f t="shared" ref="U16:U44" si="12">S16+T16</f>
        <v>0</v>
      </c>
      <c r="V16" s="81">
        <f t="shared" ref="V16:V44" si="13">R16+U16</f>
        <v>1849270.76</v>
      </c>
      <c r="W16" s="87"/>
    </row>
    <row r="17" spans="1:23">
      <c r="A17" s="6">
        <f t="shared" ref="A17:A43" si="14">A16+1</f>
        <v>1994</v>
      </c>
      <c r="B17" s="81">
        <f>'Exhibit L,3'!Q18+'Exhibit M,3'!Q18</f>
        <v>0</v>
      </c>
      <c r="C17" s="81">
        <f>'Exhibit L,3'!R18+'Exhibit M,3'!R18</f>
        <v>931618.13</v>
      </c>
      <c r="D17" s="81">
        <f>'Exhibit L,3'!S18+'Exhibit M,3'!S18</f>
        <v>931618.13</v>
      </c>
      <c r="E17" s="81">
        <f>'Exhibit L,3'!T18+'Exhibit M,3'!T18</f>
        <v>931618.13</v>
      </c>
      <c r="F17" s="81">
        <f>'Exhibit L,3'!U18+'Exhibit M,3'!U18</f>
        <v>931618.13</v>
      </c>
      <c r="G17" s="81">
        <f t="shared" si="1"/>
        <v>1863236.26</v>
      </c>
      <c r="H17" s="81">
        <f t="shared" si="2"/>
        <v>1863236.26</v>
      </c>
      <c r="I17" s="81">
        <f t="shared" si="3"/>
        <v>931618.13</v>
      </c>
      <c r="J17" s="81">
        <f t="shared" si="4"/>
        <v>931618.13</v>
      </c>
      <c r="K17" s="81">
        <f t="shared" si="5"/>
        <v>931618.13</v>
      </c>
      <c r="L17" s="81">
        <f t="shared" si="6"/>
        <v>931618.13</v>
      </c>
      <c r="M17" s="81">
        <f t="shared" si="7"/>
        <v>0</v>
      </c>
      <c r="N17" s="81">
        <f t="shared" si="8"/>
        <v>0</v>
      </c>
      <c r="O17" s="81">
        <f>'Exhibit F,1'!AA18</f>
        <v>0</v>
      </c>
      <c r="P17" s="81">
        <f t="shared" si="9"/>
        <v>931618.13</v>
      </c>
      <c r="Q17" s="81">
        <f t="shared" si="10"/>
        <v>931618.13</v>
      </c>
      <c r="R17" s="81">
        <f t="shared" si="11"/>
        <v>1863236.26</v>
      </c>
      <c r="S17" s="81">
        <f>'Exhibit C,1'!Y18</f>
        <v>0</v>
      </c>
      <c r="T17" s="87">
        <v>0</v>
      </c>
      <c r="U17" s="81">
        <f t="shared" si="12"/>
        <v>0</v>
      </c>
      <c r="V17" s="81">
        <f t="shared" si="13"/>
        <v>1863236.26</v>
      </c>
      <c r="W17" s="87"/>
    </row>
    <row r="18" spans="1:23">
      <c r="A18" s="6">
        <f t="shared" si="14"/>
        <v>1995</v>
      </c>
      <c r="B18" s="81">
        <f>'Exhibit L,3'!Q19+'Exhibit M,3'!Q19</f>
        <v>0</v>
      </c>
      <c r="C18" s="81">
        <f>'Exhibit L,3'!R19+'Exhibit M,3'!R19</f>
        <v>1920601.1</v>
      </c>
      <c r="D18" s="81">
        <f>'Exhibit L,3'!S19+'Exhibit M,3'!S19</f>
        <v>1920601.1</v>
      </c>
      <c r="E18" s="81">
        <f>'Exhibit L,3'!T19+'Exhibit M,3'!T19</f>
        <v>1920601.1</v>
      </c>
      <c r="F18" s="81">
        <f>'Exhibit L,3'!U19+'Exhibit M,3'!U19</f>
        <v>1920601.1</v>
      </c>
      <c r="G18" s="81">
        <f t="shared" si="1"/>
        <v>3841202.2</v>
      </c>
      <c r="H18" s="81">
        <f t="shared" si="2"/>
        <v>3841202.2</v>
      </c>
      <c r="I18" s="81">
        <f t="shared" si="3"/>
        <v>1920601.1</v>
      </c>
      <c r="J18" s="81">
        <f t="shared" si="4"/>
        <v>1920601.1</v>
      </c>
      <c r="K18" s="81">
        <f t="shared" si="5"/>
        <v>1920601.1</v>
      </c>
      <c r="L18" s="81">
        <f t="shared" si="6"/>
        <v>1920601.1</v>
      </c>
      <c r="M18" s="81">
        <f t="shared" si="7"/>
        <v>0</v>
      </c>
      <c r="N18" s="81">
        <f t="shared" si="8"/>
        <v>0</v>
      </c>
      <c r="O18" s="81">
        <f>'Exhibit F,1'!AA19</f>
        <v>0</v>
      </c>
      <c r="P18" s="81">
        <f t="shared" si="9"/>
        <v>1920601.1</v>
      </c>
      <c r="Q18" s="81">
        <f t="shared" si="10"/>
        <v>1920601.1</v>
      </c>
      <c r="R18" s="81">
        <f t="shared" si="11"/>
        <v>3841202.2</v>
      </c>
      <c r="S18" s="81">
        <f>'Exhibit C,1'!Y19</f>
        <v>0</v>
      </c>
      <c r="T18" s="87">
        <v>0</v>
      </c>
      <c r="U18" s="81">
        <f t="shared" si="12"/>
        <v>0</v>
      </c>
      <c r="V18" s="81">
        <f t="shared" si="13"/>
        <v>3841202.2</v>
      </c>
      <c r="W18" s="87"/>
    </row>
    <row r="19" spans="1:23">
      <c r="A19" s="6">
        <f t="shared" si="14"/>
        <v>1996</v>
      </c>
      <c r="B19" s="81">
        <f>'Exhibit L,3'!Q20+'Exhibit M,3'!Q20</f>
        <v>0</v>
      </c>
      <c r="C19" s="81">
        <f>'Exhibit L,3'!R20+'Exhibit M,3'!R20</f>
        <v>810501.99</v>
      </c>
      <c r="D19" s="81">
        <f>'Exhibit L,3'!S20+'Exhibit M,3'!S20</f>
        <v>810501.99</v>
      </c>
      <c r="E19" s="81">
        <f>'Exhibit L,3'!T20+'Exhibit M,3'!T20</f>
        <v>810501.99</v>
      </c>
      <c r="F19" s="81">
        <f>'Exhibit L,3'!U20+'Exhibit M,3'!U20</f>
        <v>810501.99</v>
      </c>
      <c r="G19" s="81">
        <f t="shared" si="1"/>
        <v>1621003.98</v>
      </c>
      <c r="H19" s="81">
        <f t="shared" si="2"/>
        <v>1621003.98</v>
      </c>
      <c r="I19" s="81">
        <f t="shared" si="3"/>
        <v>810501.99</v>
      </c>
      <c r="J19" s="81">
        <f t="shared" si="4"/>
        <v>810501.99</v>
      </c>
      <c r="K19" s="81">
        <f t="shared" si="5"/>
        <v>810501.99</v>
      </c>
      <c r="L19" s="81">
        <f t="shared" si="6"/>
        <v>810501.99</v>
      </c>
      <c r="M19" s="81">
        <f t="shared" si="7"/>
        <v>0</v>
      </c>
      <c r="N19" s="81">
        <f t="shared" si="8"/>
        <v>0</v>
      </c>
      <c r="O19" s="81">
        <f>'Exhibit F,1'!AA20</f>
        <v>0</v>
      </c>
      <c r="P19" s="81">
        <f t="shared" si="9"/>
        <v>810501.99</v>
      </c>
      <c r="Q19" s="81">
        <f t="shared" si="10"/>
        <v>810501.99</v>
      </c>
      <c r="R19" s="81">
        <f t="shared" si="11"/>
        <v>1621003.98</v>
      </c>
      <c r="S19" s="81">
        <f>'Exhibit C,1'!Y20</f>
        <v>0</v>
      </c>
      <c r="T19" s="87">
        <v>0</v>
      </c>
      <c r="U19" s="81">
        <f t="shared" si="12"/>
        <v>0</v>
      </c>
      <c r="V19" s="81">
        <f t="shared" si="13"/>
        <v>1621003.98</v>
      </c>
      <c r="W19" s="87"/>
    </row>
    <row r="20" spans="1:23">
      <c r="A20" s="6">
        <f t="shared" si="14"/>
        <v>1997</v>
      </c>
      <c r="B20" s="81">
        <f>'Exhibit L,3'!Q21+'Exhibit M,3'!Q21</f>
        <v>0</v>
      </c>
      <c r="C20" s="81">
        <f>'Exhibit L,3'!R21+'Exhibit M,3'!R21</f>
        <v>818508.42</v>
      </c>
      <c r="D20" s="81">
        <f>'Exhibit L,3'!S21+'Exhibit M,3'!S21</f>
        <v>818508.42</v>
      </c>
      <c r="E20" s="81">
        <f>'Exhibit L,3'!T21+'Exhibit M,3'!T21</f>
        <v>818508.42</v>
      </c>
      <c r="F20" s="81">
        <f>'Exhibit L,3'!U21+'Exhibit M,3'!U21</f>
        <v>818508.42</v>
      </c>
      <c r="G20" s="81">
        <f t="shared" si="1"/>
        <v>1637016.84</v>
      </c>
      <c r="H20" s="81">
        <f t="shared" si="2"/>
        <v>1637016.84</v>
      </c>
      <c r="I20" s="81">
        <f t="shared" si="3"/>
        <v>818508.42</v>
      </c>
      <c r="J20" s="81">
        <f t="shared" si="4"/>
        <v>818508.42</v>
      </c>
      <c r="K20" s="81">
        <f t="shared" si="5"/>
        <v>818508.42</v>
      </c>
      <c r="L20" s="81">
        <f t="shared" si="6"/>
        <v>818508.42</v>
      </c>
      <c r="M20" s="81">
        <f t="shared" si="7"/>
        <v>0</v>
      </c>
      <c r="N20" s="81">
        <f t="shared" si="8"/>
        <v>0</v>
      </c>
      <c r="O20" s="81">
        <f>'Exhibit F,1'!AA21</f>
        <v>0</v>
      </c>
      <c r="P20" s="81">
        <f t="shared" si="9"/>
        <v>818508.42</v>
      </c>
      <c r="Q20" s="81">
        <f t="shared" si="10"/>
        <v>818508.42</v>
      </c>
      <c r="R20" s="81">
        <f t="shared" si="11"/>
        <v>1637016.84</v>
      </c>
      <c r="S20" s="81">
        <f>'Exhibit C,1'!Y21</f>
        <v>0</v>
      </c>
      <c r="T20" s="87">
        <v>0</v>
      </c>
      <c r="U20" s="81">
        <f t="shared" si="12"/>
        <v>0</v>
      </c>
      <c r="V20" s="81">
        <f t="shared" si="13"/>
        <v>1637016.84</v>
      </c>
      <c r="W20" s="87"/>
    </row>
    <row r="21" spans="1:23">
      <c r="A21" s="6">
        <f t="shared" si="14"/>
        <v>1998</v>
      </c>
      <c r="B21" s="81">
        <f>'Exhibit L,3'!Q22+'Exhibit M,3'!Q22</f>
        <v>44861485.079999998</v>
      </c>
      <c r="C21" s="81">
        <f>'Exhibit L,3'!R22+'Exhibit M,3'!R22</f>
        <v>1599932.79</v>
      </c>
      <c r="D21" s="81">
        <f>'Exhibit L,3'!S22+'Exhibit M,3'!S22</f>
        <v>1599932.79</v>
      </c>
      <c r="E21" s="81">
        <f>'Exhibit L,3'!T22+'Exhibit M,3'!T22</f>
        <v>1599932.79</v>
      </c>
      <c r="F21" s="81">
        <f>'Exhibit L,3'!U22+'Exhibit M,3'!U22</f>
        <v>1599932.79</v>
      </c>
      <c r="G21" s="81">
        <f t="shared" si="1"/>
        <v>-41661619.5</v>
      </c>
      <c r="H21" s="81">
        <f t="shared" si="2"/>
        <v>-41661619.5</v>
      </c>
      <c r="I21" s="81">
        <f t="shared" si="3"/>
        <v>-43261552.289999999</v>
      </c>
      <c r="J21" s="81">
        <f t="shared" si="4"/>
        <v>-43261552.289999999</v>
      </c>
      <c r="K21" s="81">
        <f t="shared" si="5"/>
        <v>1599932.79</v>
      </c>
      <c r="L21" s="81">
        <f t="shared" si="6"/>
        <v>1599932.79</v>
      </c>
      <c r="M21" s="81">
        <f t="shared" si="7"/>
        <v>0</v>
      </c>
      <c r="N21" s="81">
        <f t="shared" si="8"/>
        <v>0</v>
      </c>
      <c r="O21" s="81">
        <f>'Exhibit F,1'!AA22</f>
        <v>0</v>
      </c>
      <c r="P21" s="81">
        <f t="shared" si="9"/>
        <v>-43261552.289999999</v>
      </c>
      <c r="Q21" s="81">
        <f t="shared" si="10"/>
        <v>1599932.79</v>
      </c>
      <c r="R21" s="81">
        <f t="shared" si="11"/>
        <v>-41661619.5</v>
      </c>
      <c r="S21" s="81">
        <f>'Exhibit C,1'!Y22</f>
        <v>0</v>
      </c>
      <c r="T21" s="87">
        <v>0</v>
      </c>
      <c r="U21" s="81">
        <f t="shared" si="12"/>
        <v>0</v>
      </c>
      <c r="V21" s="81">
        <f t="shared" si="13"/>
        <v>-41661619.5</v>
      </c>
      <c r="W21" s="87"/>
    </row>
    <row r="22" spans="1:23">
      <c r="A22" s="6">
        <f t="shared" si="14"/>
        <v>1999</v>
      </c>
      <c r="B22" s="81">
        <f>'Exhibit L,3'!Q23+'Exhibit M,3'!Q23</f>
        <v>37443343.790000014</v>
      </c>
      <c r="C22" s="81">
        <f>'Exhibit L,3'!R23+'Exhibit M,3'!R23</f>
        <v>3016042.23</v>
      </c>
      <c r="D22" s="81">
        <f>'Exhibit L,3'!S23+'Exhibit M,3'!S23</f>
        <v>3016042.23</v>
      </c>
      <c r="E22" s="81">
        <f>'Exhibit L,3'!T23+'Exhibit M,3'!T23</f>
        <v>3016042.23</v>
      </c>
      <c r="F22" s="81">
        <f>'Exhibit L,3'!U23+'Exhibit M,3'!U23</f>
        <v>3016042.23</v>
      </c>
      <c r="G22" s="81">
        <f t="shared" si="1"/>
        <v>-31411259.330000013</v>
      </c>
      <c r="H22" s="81">
        <f t="shared" si="2"/>
        <v>-31411259.330000013</v>
      </c>
      <c r="I22" s="81">
        <f t="shared" si="3"/>
        <v>-34427301.560000017</v>
      </c>
      <c r="J22" s="81">
        <f t="shared" si="4"/>
        <v>-34427301.560000017</v>
      </c>
      <c r="K22" s="81">
        <f t="shared" si="5"/>
        <v>3016042.23</v>
      </c>
      <c r="L22" s="81">
        <f t="shared" si="6"/>
        <v>3016042.23</v>
      </c>
      <c r="M22" s="81">
        <f t="shared" si="7"/>
        <v>0</v>
      </c>
      <c r="N22" s="81">
        <f t="shared" si="8"/>
        <v>0</v>
      </c>
      <c r="O22" s="81">
        <f>'Exhibit F,1'!AA23</f>
        <v>0</v>
      </c>
      <c r="P22" s="81">
        <f t="shared" si="9"/>
        <v>-34427301.560000017</v>
      </c>
      <c r="Q22" s="81">
        <f t="shared" si="10"/>
        <v>3016042.23</v>
      </c>
      <c r="R22" s="81">
        <f t="shared" si="11"/>
        <v>-31411259.330000017</v>
      </c>
      <c r="S22" s="81">
        <f>'Exhibit C,1'!Y23</f>
        <v>0</v>
      </c>
      <c r="T22" s="87">
        <v>0</v>
      </c>
      <c r="U22" s="81">
        <f t="shared" si="12"/>
        <v>0</v>
      </c>
      <c r="V22" s="81">
        <f t="shared" si="13"/>
        <v>-31411259.330000017</v>
      </c>
      <c r="W22" s="87"/>
    </row>
    <row r="23" spans="1:23">
      <c r="A23" s="6">
        <f t="shared" si="14"/>
        <v>2000</v>
      </c>
      <c r="B23" s="81">
        <f>'Exhibit L,3'!Q24+'Exhibit M,3'!Q24</f>
        <v>39552267.629999995</v>
      </c>
      <c r="C23" s="81">
        <f>'Exhibit L,3'!R24+'Exhibit M,3'!R24</f>
        <v>647640.80999999994</v>
      </c>
      <c r="D23" s="81">
        <f>'Exhibit L,3'!S24+'Exhibit M,3'!S24</f>
        <v>647640.80999999994</v>
      </c>
      <c r="E23" s="81">
        <f>'Exhibit L,3'!T24+'Exhibit M,3'!T24</f>
        <v>647640.80999999994</v>
      </c>
      <c r="F23" s="81">
        <f>'Exhibit L,3'!U24+'Exhibit M,3'!U24</f>
        <v>647640.80999999994</v>
      </c>
      <c r="G23" s="81">
        <f t="shared" si="1"/>
        <v>-38256986.009999998</v>
      </c>
      <c r="H23" s="81">
        <f t="shared" si="2"/>
        <v>-38256986.009999998</v>
      </c>
      <c r="I23" s="81">
        <f t="shared" si="3"/>
        <v>-38904626.819999993</v>
      </c>
      <c r="J23" s="81">
        <f t="shared" si="4"/>
        <v>-38904626.819999993</v>
      </c>
      <c r="K23" s="81">
        <f t="shared" si="5"/>
        <v>647640.80999999994</v>
      </c>
      <c r="L23" s="81">
        <f t="shared" si="6"/>
        <v>647640.80999999994</v>
      </c>
      <c r="M23" s="81">
        <f t="shared" si="7"/>
        <v>0</v>
      </c>
      <c r="N23" s="81">
        <f t="shared" si="8"/>
        <v>0</v>
      </c>
      <c r="O23" s="81">
        <f>'Exhibit F,1'!AA24</f>
        <v>0</v>
      </c>
      <c r="P23" s="81">
        <f t="shared" si="9"/>
        <v>-38904626.819999993</v>
      </c>
      <c r="Q23" s="81">
        <f t="shared" si="10"/>
        <v>647640.80999999994</v>
      </c>
      <c r="R23" s="81">
        <f t="shared" si="11"/>
        <v>-38256986.00999999</v>
      </c>
      <c r="S23" s="81">
        <f>'Exhibit C,1'!Y24</f>
        <v>0</v>
      </c>
      <c r="T23" s="87">
        <v>0</v>
      </c>
      <c r="U23" s="81">
        <f t="shared" si="12"/>
        <v>0</v>
      </c>
      <c r="V23" s="81">
        <f t="shared" si="13"/>
        <v>-38256986.00999999</v>
      </c>
      <c r="W23" s="87"/>
    </row>
    <row r="24" spans="1:23">
      <c r="A24" s="6">
        <f t="shared" si="14"/>
        <v>2001</v>
      </c>
      <c r="B24" s="81">
        <f>'Exhibit L,3'!Q25+'Exhibit M,3'!Q25</f>
        <v>39422571.869999997</v>
      </c>
      <c r="C24" s="81">
        <f>'Exhibit L,3'!R25+'Exhibit M,3'!R25</f>
        <v>3203612.7199999997</v>
      </c>
      <c r="D24" s="81">
        <f>'Exhibit L,3'!S25+'Exhibit M,3'!S25</f>
        <v>3203612.7199999997</v>
      </c>
      <c r="E24" s="81">
        <f>'Exhibit L,3'!T25+'Exhibit M,3'!T25</f>
        <v>3203612.7199999997</v>
      </c>
      <c r="F24" s="81">
        <f>'Exhibit L,3'!U25+'Exhibit M,3'!U25</f>
        <v>3203612.7199999997</v>
      </c>
      <c r="G24" s="81">
        <f t="shared" si="1"/>
        <v>-33015346.43</v>
      </c>
      <c r="H24" s="81">
        <f t="shared" si="2"/>
        <v>-33015346.43</v>
      </c>
      <c r="I24" s="81">
        <f t="shared" si="3"/>
        <v>-36218959.149999999</v>
      </c>
      <c r="J24" s="81">
        <f t="shared" si="4"/>
        <v>-36218959.149999999</v>
      </c>
      <c r="K24" s="81">
        <f t="shared" si="5"/>
        <v>3203612.7199999997</v>
      </c>
      <c r="L24" s="81">
        <f t="shared" si="6"/>
        <v>3203612.7199999997</v>
      </c>
      <c r="M24" s="81">
        <f t="shared" si="7"/>
        <v>0</v>
      </c>
      <c r="N24" s="81">
        <f t="shared" si="8"/>
        <v>0</v>
      </c>
      <c r="O24" s="81">
        <f>'Exhibit F,1'!AA25</f>
        <v>0</v>
      </c>
      <c r="P24" s="81">
        <f t="shared" si="9"/>
        <v>-36218959.149999999</v>
      </c>
      <c r="Q24" s="81">
        <f t="shared" si="10"/>
        <v>3203612.7199999997</v>
      </c>
      <c r="R24" s="81">
        <f t="shared" si="11"/>
        <v>-33015346.43</v>
      </c>
      <c r="S24" s="81">
        <f>'Exhibit C,1'!Y25</f>
        <v>0</v>
      </c>
      <c r="T24" s="87">
        <v>0</v>
      </c>
      <c r="U24" s="81">
        <f t="shared" si="12"/>
        <v>0</v>
      </c>
      <c r="V24" s="81">
        <f t="shared" si="13"/>
        <v>-33015346.43</v>
      </c>
      <c r="W24" s="87"/>
    </row>
    <row r="25" spans="1:23">
      <c r="A25" s="6">
        <f t="shared" si="14"/>
        <v>2002</v>
      </c>
      <c r="B25" s="81">
        <f>'Exhibit L,3'!Q26+'Exhibit M,3'!Q26</f>
        <v>22310323.52</v>
      </c>
      <c r="C25" s="81">
        <f>'Exhibit L,3'!R26+'Exhibit M,3'!R26</f>
        <v>3017389.9</v>
      </c>
      <c r="D25" s="81">
        <f>'Exhibit L,3'!S26+'Exhibit M,3'!S26</f>
        <v>3017389.9</v>
      </c>
      <c r="E25" s="81">
        <f>'Exhibit L,3'!T26+'Exhibit M,3'!T26</f>
        <v>3012389.9</v>
      </c>
      <c r="F25" s="81">
        <f>'Exhibit L,3'!U26+'Exhibit M,3'!U26</f>
        <v>3012389.9</v>
      </c>
      <c r="G25" s="81">
        <f t="shared" si="1"/>
        <v>-16280543.719999999</v>
      </c>
      <c r="H25" s="81">
        <f t="shared" si="2"/>
        <v>-16280543.719999999</v>
      </c>
      <c r="I25" s="81">
        <f t="shared" si="3"/>
        <v>-19292933.620000001</v>
      </c>
      <c r="J25" s="81">
        <f t="shared" si="4"/>
        <v>-19292933.620000001</v>
      </c>
      <c r="K25" s="81">
        <f t="shared" si="5"/>
        <v>3012389.9</v>
      </c>
      <c r="L25" s="81">
        <f t="shared" si="6"/>
        <v>3012389.9</v>
      </c>
      <c r="M25" s="81">
        <f t="shared" si="7"/>
        <v>0</v>
      </c>
      <c r="N25" s="81">
        <f t="shared" si="8"/>
        <v>0</v>
      </c>
      <c r="O25" s="81">
        <f>'Exhibit F,1'!AA26</f>
        <v>0</v>
      </c>
      <c r="P25" s="81">
        <f t="shared" si="9"/>
        <v>-19292933.620000001</v>
      </c>
      <c r="Q25" s="81">
        <f t="shared" si="10"/>
        <v>3012389.9</v>
      </c>
      <c r="R25" s="81">
        <f t="shared" si="11"/>
        <v>-16280543.720000001</v>
      </c>
      <c r="S25" s="81">
        <f>'Exhibit C,1'!Y26</f>
        <v>0</v>
      </c>
      <c r="T25" s="87">
        <v>0</v>
      </c>
      <c r="U25" s="81">
        <f t="shared" si="12"/>
        <v>0</v>
      </c>
      <c r="V25" s="81">
        <f t="shared" si="13"/>
        <v>-16280543.720000001</v>
      </c>
      <c r="W25" s="87"/>
    </row>
    <row r="26" spans="1:23">
      <c r="A26" s="6">
        <f t="shared" si="14"/>
        <v>2003</v>
      </c>
      <c r="B26" s="81">
        <f>'Exhibit L,3'!Q27+'Exhibit M,3'!Q27</f>
        <v>22639690.779999997</v>
      </c>
      <c r="C26" s="81">
        <f>'Exhibit L,3'!R27+'Exhibit M,3'!R27</f>
        <v>2531133.4699999997</v>
      </c>
      <c r="D26" s="81">
        <f>'Exhibit L,3'!S27+'Exhibit M,3'!S27</f>
        <v>2531133.4699999997</v>
      </c>
      <c r="E26" s="81">
        <f>'Exhibit L,3'!T27+'Exhibit M,3'!T27</f>
        <v>2531133.4699999997</v>
      </c>
      <c r="F26" s="81">
        <f>'Exhibit L,3'!U27+'Exhibit M,3'!U27</f>
        <v>2531133.4699999997</v>
      </c>
      <c r="G26" s="81">
        <f t="shared" si="1"/>
        <v>-17577423.839999996</v>
      </c>
      <c r="H26" s="81">
        <f t="shared" si="2"/>
        <v>-17577423.839999996</v>
      </c>
      <c r="I26" s="81">
        <f t="shared" si="3"/>
        <v>-20108557.309999999</v>
      </c>
      <c r="J26" s="81">
        <f t="shared" si="4"/>
        <v>-20108557.309999999</v>
      </c>
      <c r="K26" s="81">
        <f t="shared" si="5"/>
        <v>2531133.4699999997</v>
      </c>
      <c r="L26" s="81">
        <f t="shared" si="6"/>
        <v>2531133.4699999997</v>
      </c>
      <c r="M26" s="81">
        <f t="shared" si="7"/>
        <v>0</v>
      </c>
      <c r="N26" s="81">
        <f t="shared" si="8"/>
        <v>0</v>
      </c>
      <c r="O26" s="81">
        <f>'Exhibit F,1'!AA27</f>
        <v>0</v>
      </c>
      <c r="P26" s="81">
        <f t="shared" si="9"/>
        <v>-20108557.309999999</v>
      </c>
      <c r="Q26" s="81">
        <f t="shared" si="10"/>
        <v>2531133.4699999997</v>
      </c>
      <c r="R26" s="81">
        <f t="shared" si="11"/>
        <v>-17577423.84</v>
      </c>
      <c r="S26" s="81">
        <f>'Exhibit C,1'!Y27</f>
        <v>0</v>
      </c>
      <c r="T26" s="87">
        <v>0</v>
      </c>
      <c r="U26" s="81">
        <f t="shared" si="12"/>
        <v>0</v>
      </c>
      <c r="V26" s="81">
        <f t="shared" si="13"/>
        <v>-17577423.84</v>
      </c>
      <c r="W26" s="87"/>
    </row>
    <row r="27" spans="1:23">
      <c r="A27" s="6">
        <f t="shared" si="14"/>
        <v>2004</v>
      </c>
      <c r="B27" s="81">
        <f>'Exhibit L,3'!Q28+'Exhibit M,3'!Q28</f>
        <v>19806564.920000002</v>
      </c>
      <c r="C27" s="81">
        <f>'Exhibit L,3'!R28+'Exhibit M,3'!R28</f>
        <v>39380.269999999997</v>
      </c>
      <c r="D27" s="81">
        <f>'Exhibit L,3'!S28+'Exhibit M,3'!S28</f>
        <v>78000</v>
      </c>
      <c r="E27" s="81">
        <f>'Exhibit L,3'!T28+'Exhibit M,3'!T28</f>
        <v>8895</v>
      </c>
      <c r="F27" s="81">
        <f>'Exhibit L,3'!U28+'Exhibit M,3'!U28</f>
        <v>58000</v>
      </c>
      <c r="G27" s="81">
        <f t="shared" si="1"/>
        <v>-19758289.650000002</v>
      </c>
      <c r="H27" s="81">
        <f t="shared" si="2"/>
        <v>-19670564.920000002</v>
      </c>
      <c r="I27" s="81">
        <f t="shared" si="3"/>
        <v>-19767184.650000002</v>
      </c>
      <c r="J27" s="81">
        <f t="shared" si="4"/>
        <v>-19728564.920000002</v>
      </c>
      <c r="K27" s="81">
        <f t="shared" si="5"/>
        <v>8895</v>
      </c>
      <c r="L27" s="81">
        <f t="shared" si="6"/>
        <v>58000</v>
      </c>
      <c r="M27" s="81">
        <f t="shared" si="7"/>
        <v>0</v>
      </c>
      <c r="N27" s="81">
        <f t="shared" si="8"/>
        <v>0</v>
      </c>
      <c r="O27" s="81">
        <f>'Exhibit F,1'!AA28</f>
        <v>0</v>
      </c>
      <c r="P27" s="81">
        <f t="shared" si="9"/>
        <v>-19728564.920000002</v>
      </c>
      <c r="Q27" s="81">
        <f t="shared" si="10"/>
        <v>58000</v>
      </c>
      <c r="R27" s="81">
        <f t="shared" si="11"/>
        <v>-19670564.920000002</v>
      </c>
      <c r="S27" s="81">
        <f>'Exhibit C,1'!Y28</f>
        <v>1146.0851942027116</v>
      </c>
      <c r="T27" s="87">
        <v>0</v>
      </c>
      <c r="U27" s="81">
        <f t="shared" si="12"/>
        <v>1146.0851942027116</v>
      </c>
      <c r="V27" s="81">
        <f t="shared" si="13"/>
        <v>-19669418.834805798</v>
      </c>
      <c r="W27" s="87"/>
    </row>
    <row r="28" spans="1:23">
      <c r="A28" s="6">
        <f t="shared" si="14"/>
        <v>2005</v>
      </c>
      <c r="B28" s="81">
        <f>'Exhibit L,3'!Q29+'Exhibit M,3'!Q29</f>
        <v>21825714.289999999</v>
      </c>
      <c r="C28" s="81">
        <f>'Exhibit L,3'!R29+'Exhibit M,3'!R29</f>
        <v>1306127.32</v>
      </c>
      <c r="D28" s="81">
        <f>'Exhibit L,3'!S29+'Exhibit M,3'!S29</f>
        <v>1306127.32</v>
      </c>
      <c r="E28" s="81">
        <f>'Exhibit L,3'!T29+'Exhibit M,3'!T29</f>
        <v>1306127.32</v>
      </c>
      <c r="F28" s="81">
        <f>'Exhibit L,3'!U29+'Exhibit M,3'!U29</f>
        <v>1306127.32</v>
      </c>
      <c r="G28" s="81">
        <f t="shared" si="1"/>
        <v>-19213459.649999999</v>
      </c>
      <c r="H28" s="81">
        <f t="shared" si="2"/>
        <v>-19213459.649999999</v>
      </c>
      <c r="I28" s="81">
        <f t="shared" si="3"/>
        <v>-20519586.969999999</v>
      </c>
      <c r="J28" s="81">
        <f t="shared" si="4"/>
        <v>-20519586.969999999</v>
      </c>
      <c r="K28" s="81">
        <f t="shared" si="5"/>
        <v>1306127.32</v>
      </c>
      <c r="L28" s="81">
        <f t="shared" si="6"/>
        <v>1306127.32</v>
      </c>
      <c r="M28" s="81">
        <f t="shared" si="7"/>
        <v>0</v>
      </c>
      <c r="N28" s="81">
        <f t="shared" si="8"/>
        <v>0</v>
      </c>
      <c r="O28" s="81">
        <f>'Exhibit F,1'!AA29</f>
        <v>0</v>
      </c>
      <c r="P28" s="81">
        <f t="shared" si="9"/>
        <v>-20519586.969999999</v>
      </c>
      <c r="Q28" s="81">
        <f t="shared" si="10"/>
        <v>1306127.32</v>
      </c>
      <c r="R28" s="81">
        <f t="shared" si="11"/>
        <v>-19213459.649999999</v>
      </c>
      <c r="S28" s="81">
        <f>'Exhibit C,1'!Y29</f>
        <v>0</v>
      </c>
      <c r="T28" s="87">
        <v>0</v>
      </c>
      <c r="U28" s="81">
        <f t="shared" si="12"/>
        <v>0</v>
      </c>
      <c r="V28" s="81">
        <f t="shared" si="13"/>
        <v>-19213459.649999999</v>
      </c>
      <c r="W28" s="87"/>
    </row>
    <row r="29" spans="1:23">
      <c r="A29" s="6">
        <f t="shared" si="14"/>
        <v>2006</v>
      </c>
      <c r="B29" s="81">
        <f>'Exhibit L,3'!Q30+'Exhibit M,3'!Q30</f>
        <v>22032491.739999998</v>
      </c>
      <c r="C29" s="81">
        <f>'Exhibit L,3'!R30+'Exhibit M,3'!R30</f>
        <v>1078745.1299999999</v>
      </c>
      <c r="D29" s="81">
        <f>'Exhibit L,3'!S30+'Exhibit M,3'!S30</f>
        <v>1078745.1299999999</v>
      </c>
      <c r="E29" s="81">
        <f>'Exhibit L,3'!T30+'Exhibit M,3'!T30</f>
        <v>1078745.1299999999</v>
      </c>
      <c r="F29" s="81">
        <f>'Exhibit L,3'!U30+'Exhibit M,3'!U30</f>
        <v>1078745.1299999999</v>
      </c>
      <c r="G29" s="81">
        <f t="shared" si="1"/>
        <v>-19875001.479999997</v>
      </c>
      <c r="H29" s="81">
        <f t="shared" si="2"/>
        <v>-19875001.479999997</v>
      </c>
      <c r="I29" s="81">
        <f t="shared" si="3"/>
        <v>-20953746.609999999</v>
      </c>
      <c r="J29" s="81">
        <f t="shared" si="4"/>
        <v>-20953746.609999999</v>
      </c>
      <c r="K29" s="81">
        <f t="shared" si="5"/>
        <v>1078745.1299999999</v>
      </c>
      <c r="L29" s="81">
        <f t="shared" si="6"/>
        <v>1078745.1299999999</v>
      </c>
      <c r="M29" s="81">
        <f t="shared" si="7"/>
        <v>0</v>
      </c>
      <c r="N29" s="81">
        <f t="shared" si="8"/>
        <v>0</v>
      </c>
      <c r="O29" s="81">
        <f>'Exhibit F,1'!AA30</f>
        <v>0</v>
      </c>
      <c r="P29" s="81">
        <f t="shared" si="9"/>
        <v>-20953746.609999999</v>
      </c>
      <c r="Q29" s="81">
        <f t="shared" si="10"/>
        <v>1078745.1299999999</v>
      </c>
      <c r="R29" s="81">
        <f t="shared" si="11"/>
        <v>-19875001.48</v>
      </c>
      <c r="S29" s="81">
        <f>'Exhibit C,1'!Y30</f>
        <v>0</v>
      </c>
      <c r="T29" s="87">
        <v>0</v>
      </c>
      <c r="U29" s="81">
        <f t="shared" si="12"/>
        <v>0</v>
      </c>
      <c r="V29" s="81">
        <f t="shared" si="13"/>
        <v>-19875001.48</v>
      </c>
      <c r="W29" s="87"/>
    </row>
    <row r="30" spans="1:23">
      <c r="A30" s="6">
        <f t="shared" si="14"/>
        <v>2007</v>
      </c>
      <c r="B30" s="81">
        <f>'Exhibit L,3'!Q31+'Exhibit M,3'!Q31</f>
        <v>18916151.940000001</v>
      </c>
      <c r="C30" s="81">
        <f>'Exhibit L,3'!R31+'Exhibit M,3'!R31</f>
        <v>2851</v>
      </c>
      <c r="D30" s="81">
        <f>'Exhibit L,3'!S31+'Exhibit M,3'!S31</f>
        <v>2851</v>
      </c>
      <c r="E30" s="81">
        <f>'Exhibit L,3'!T31+'Exhibit M,3'!T31</f>
        <v>2851</v>
      </c>
      <c r="F30" s="81">
        <f>'Exhibit L,3'!U31+'Exhibit M,3'!U31</f>
        <v>2851</v>
      </c>
      <c r="G30" s="81">
        <f t="shared" si="1"/>
        <v>-18910449.940000001</v>
      </c>
      <c r="H30" s="81">
        <f t="shared" si="2"/>
        <v>-18910449.940000001</v>
      </c>
      <c r="I30" s="81">
        <f t="shared" si="3"/>
        <v>-18913300.940000001</v>
      </c>
      <c r="J30" s="81">
        <f t="shared" si="4"/>
        <v>-18913300.940000001</v>
      </c>
      <c r="K30" s="81">
        <f t="shared" si="5"/>
        <v>2851</v>
      </c>
      <c r="L30" s="81">
        <f t="shared" si="6"/>
        <v>2851</v>
      </c>
      <c r="M30" s="81">
        <f t="shared" si="7"/>
        <v>0</v>
      </c>
      <c r="N30" s="81">
        <f t="shared" si="8"/>
        <v>0</v>
      </c>
      <c r="O30" s="81">
        <f>'Exhibit F,1'!AA31</f>
        <v>0</v>
      </c>
      <c r="P30" s="81">
        <f t="shared" si="9"/>
        <v>-18913300.940000001</v>
      </c>
      <c r="Q30" s="81">
        <f t="shared" si="10"/>
        <v>2851</v>
      </c>
      <c r="R30" s="81">
        <f t="shared" si="11"/>
        <v>-18910449.940000001</v>
      </c>
      <c r="S30" s="81">
        <f>'Exhibit C,1'!Y31</f>
        <v>0</v>
      </c>
      <c r="T30" s="87">
        <v>416.96689735816676</v>
      </c>
      <c r="U30" s="81">
        <f t="shared" si="12"/>
        <v>416.96689735816676</v>
      </c>
      <c r="V30" s="81">
        <f t="shared" si="13"/>
        <v>-18910032.973102644</v>
      </c>
      <c r="W30" s="87"/>
    </row>
    <row r="31" spans="1:23">
      <c r="A31" s="6">
        <f t="shared" si="14"/>
        <v>2008</v>
      </c>
      <c r="B31" s="81">
        <f>'Exhibit L,3'!Q32+'Exhibit M,3'!Q32</f>
        <v>24630135.52</v>
      </c>
      <c r="C31" s="81">
        <f>'Exhibit L,3'!R32+'Exhibit M,3'!R32</f>
        <v>0</v>
      </c>
      <c r="D31" s="81">
        <f>'Exhibit L,3'!S32+'Exhibit M,3'!S32</f>
        <v>0</v>
      </c>
      <c r="E31" s="81">
        <f>'Exhibit L,3'!T32+'Exhibit M,3'!T32</f>
        <v>0</v>
      </c>
      <c r="F31" s="81">
        <f>'Exhibit L,3'!U32+'Exhibit M,3'!U32</f>
        <v>0</v>
      </c>
      <c r="G31" s="81">
        <f t="shared" si="1"/>
        <v>-24630135.52</v>
      </c>
      <c r="H31" s="81">
        <f t="shared" si="2"/>
        <v>-24630135.52</v>
      </c>
      <c r="I31" s="81">
        <f t="shared" si="3"/>
        <v>-24630135.52</v>
      </c>
      <c r="J31" s="81">
        <f t="shared" si="4"/>
        <v>-24630135.52</v>
      </c>
      <c r="K31" s="81">
        <f t="shared" si="5"/>
        <v>0</v>
      </c>
      <c r="L31" s="81">
        <f t="shared" si="6"/>
        <v>0</v>
      </c>
      <c r="M31" s="81">
        <f t="shared" si="7"/>
        <v>0</v>
      </c>
      <c r="N31" s="81">
        <f t="shared" si="8"/>
        <v>0</v>
      </c>
      <c r="O31" s="81">
        <f>'Exhibit F,1'!AA32</f>
        <v>0</v>
      </c>
      <c r="P31" s="81">
        <f t="shared" si="9"/>
        <v>-24630135.52</v>
      </c>
      <c r="Q31" s="81">
        <f t="shared" si="10"/>
        <v>0</v>
      </c>
      <c r="R31" s="81">
        <f t="shared" si="11"/>
        <v>-24630135.52</v>
      </c>
      <c r="S31" s="81">
        <f>'Exhibit C,1'!Y32</f>
        <v>0</v>
      </c>
      <c r="T31" s="87">
        <v>36230.974506352737</v>
      </c>
      <c r="U31" s="81">
        <f t="shared" si="12"/>
        <v>36230.974506352737</v>
      </c>
      <c r="V31" s="81">
        <f t="shared" si="13"/>
        <v>-24593904.545493647</v>
      </c>
      <c r="W31" s="87"/>
    </row>
    <row r="32" spans="1:23">
      <c r="A32" s="6">
        <f t="shared" si="14"/>
        <v>2009</v>
      </c>
      <c r="B32" s="81">
        <f>'Exhibit L,3'!Q33+'Exhibit M,3'!Q33</f>
        <v>17440925.105492938</v>
      </c>
      <c r="C32" s="81">
        <f>'Exhibit L,3'!R33+'Exhibit M,3'!R33</f>
        <v>407297.79</v>
      </c>
      <c r="D32" s="81">
        <f>'Exhibit L,3'!S33+'Exhibit M,3'!S33</f>
        <v>407297.79</v>
      </c>
      <c r="E32" s="81">
        <f>'Exhibit L,3'!T33+'Exhibit M,3'!T33</f>
        <v>407297.79</v>
      </c>
      <c r="F32" s="81">
        <f>'Exhibit L,3'!U33+'Exhibit M,3'!U33</f>
        <v>407297.79</v>
      </c>
      <c r="G32" s="81">
        <f t="shared" si="1"/>
        <v>-16626329.525492938</v>
      </c>
      <c r="H32" s="81">
        <f t="shared" si="2"/>
        <v>-16626329.525492938</v>
      </c>
      <c r="I32" s="81">
        <f t="shared" si="3"/>
        <v>-17033627.315492939</v>
      </c>
      <c r="J32" s="81">
        <f t="shared" si="4"/>
        <v>-17033627.315492939</v>
      </c>
      <c r="K32" s="81">
        <f t="shared" si="5"/>
        <v>407297.79</v>
      </c>
      <c r="L32" s="81">
        <f t="shared" si="6"/>
        <v>407297.79</v>
      </c>
      <c r="M32" s="81">
        <f t="shared" si="7"/>
        <v>49.437654141832901</v>
      </c>
      <c r="N32" s="81">
        <f t="shared" si="8"/>
        <v>14.352867331499873</v>
      </c>
      <c r="O32" s="81">
        <f>'Exhibit F,1'!AA33</f>
        <v>63.790521473332774</v>
      </c>
      <c r="P32" s="81">
        <f t="shared" si="9"/>
        <v>-17033577.877838798</v>
      </c>
      <c r="Q32" s="81">
        <f t="shared" si="10"/>
        <v>407312.14286733145</v>
      </c>
      <c r="R32" s="81">
        <f t="shared" si="11"/>
        <v>-16626265.734971466</v>
      </c>
      <c r="S32" s="81">
        <f>'Exhibit C,1'!Y33</f>
        <v>1.8930575690471381</v>
      </c>
      <c r="T32" s="87">
        <v>0</v>
      </c>
      <c r="U32" s="81">
        <f t="shared" si="12"/>
        <v>1.8930575690471381</v>
      </c>
      <c r="V32" s="81">
        <f t="shared" si="13"/>
        <v>-16626263.841913896</v>
      </c>
      <c r="W32" s="87"/>
    </row>
    <row r="33" spans="1:24">
      <c r="A33" s="6">
        <f t="shared" si="14"/>
        <v>2010</v>
      </c>
      <c r="B33" s="81">
        <f>'Exhibit L,3'!Q34+'Exhibit M,3'!Q34</f>
        <v>24745822.711914916</v>
      </c>
      <c r="C33" s="81">
        <f>'Exhibit L,3'!R34+'Exhibit M,3'!R34</f>
        <v>1101243.9099999999</v>
      </c>
      <c r="D33" s="81">
        <f>'Exhibit L,3'!S34+'Exhibit M,3'!S34</f>
        <v>1101243.9099999999</v>
      </c>
      <c r="E33" s="81">
        <f>'Exhibit L,3'!T34+'Exhibit M,3'!T34</f>
        <v>1101243.9099999999</v>
      </c>
      <c r="F33" s="81">
        <f>'Exhibit L,3'!U34+'Exhibit M,3'!U34</f>
        <v>1101243.9099999999</v>
      </c>
      <c r="G33" s="81">
        <f t="shared" si="1"/>
        <v>-22543334.891914915</v>
      </c>
      <c r="H33" s="81">
        <f t="shared" si="2"/>
        <v>-22543334.891914915</v>
      </c>
      <c r="I33" s="81">
        <f t="shared" si="3"/>
        <v>-23644578.801914915</v>
      </c>
      <c r="J33" s="81">
        <f t="shared" si="4"/>
        <v>-23644578.801914915</v>
      </c>
      <c r="K33" s="81">
        <f t="shared" si="5"/>
        <v>1101243.9099999999</v>
      </c>
      <c r="L33" s="81">
        <f t="shared" si="6"/>
        <v>1101243.9099999999</v>
      </c>
      <c r="M33" s="81">
        <f t="shared" si="7"/>
        <v>613.83894569795814</v>
      </c>
      <c r="N33" s="81">
        <f t="shared" si="8"/>
        <v>178.2113068155362</v>
      </c>
      <c r="O33" s="81">
        <f>'Exhibit F,1'!AA34</f>
        <v>792.05025251349434</v>
      </c>
      <c r="P33" s="81">
        <f t="shared" si="9"/>
        <v>-23643964.962969217</v>
      </c>
      <c r="Q33" s="81">
        <f t="shared" si="10"/>
        <v>1101422.1213068154</v>
      </c>
      <c r="R33" s="81">
        <f t="shared" si="11"/>
        <v>-22542542.841662403</v>
      </c>
      <c r="S33" s="81">
        <f>'Exhibit C,1'!Y34</f>
        <v>23.505008125904425</v>
      </c>
      <c r="T33" s="87">
        <v>0</v>
      </c>
      <c r="U33" s="81">
        <f t="shared" si="12"/>
        <v>23.505008125904425</v>
      </c>
      <c r="V33" s="81">
        <f t="shared" si="13"/>
        <v>-22542519.336654276</v>
      </c>
      <c r="W33" s="87"/>
    </row>
    <row r="34" spans="1:24">
      <c r="A34" s="6">
        <f t="shared" si="14"/>
        <v>2011</v>
      </c>
      <c r="B34" s="81">
        <f>'Exhibit L,3'!Q35+'Exhibit M,3'!Q35</f>
        <v>22865820.969389588</v>
      </c>
      <c r="C34" s="81">
        <f>'Exhibit L,3'!R35+'Exhibit M,3'!R35</f>
        <v>1991946.4100000001</v>
      </c>
      <c r="D34" s="81">
        <f>'Exhibit L,3'!S35+'Exhibit M,3'!S35</f>
        <v>1991946.4100000001</v>
      </c>
      <c r="E34" s="81">
        <f>'Exhibit L,3'!T35+'Exhibit M,3'!T35</f>
        <v>1991946.4100000001</v>
      </c>
      <c r="F34" s="81">
        <f>'Exhibit L,3'!U35+'Exhibit M,3'!U35</f>
        <v>1991946.4100000001</v>
      </c>
      <c r="G34" s="81">
        <f t="shared" si="1"/>
        <v>-18881928.149389587</v>
      </c>
      <c r="H34" s="81">
        <f t="shared" si="2"/>
        <v>-18881928.149389587</v>
      </c>
      <c r="I34" s="81">
        <f t="shared" si="3"/>
        <v>-20873874.559389587</v>
      </c>
      <c r="J34" s="81">
        <f t="shared" si="4"/>
        <v>-20873874.559389587</v>
      </c>
      <c r="K34" s="81">
        <f t="shared" si="5"/>
        <v>1991946.4100000001</v>
      </c>
      <c r="L34" s="81">
        <f t="shared" si="6"/>
        <v>1991946.4100000001</v>
      </c>
      <c r="M34" s="81">
        <f t="shared" si="7"/>
        <v>5193.2671780276578</v>
      </c>
      <c r="N34" s="81">
        <f t="shared" si="8"/>
        <v>1507.7227291048039</v>
      </c>
      <c r="O34" s="81">
        <f>'Exhibit F,1'!AA35</f>
        <v>6700.9899071324617</v>
      </c>
      <c r="P34" s="81">
        <f t="shared" si="9"/>
        <v>-20868681.292211559</v>
      </c>
      <c r="Q34" s="81">
        <f t="shared" si="10"/>
        <v>1993454.132729105</v>
      </c>
      <c r="R34" s="81">
        <f t="shared" si="11"/>
        <v>-18875227.159482453</v>
      </c>
      <c r="S34" s="81">
        <f>'Exhibit C,1'!Y35</f>
        <v>198.85963260401658</v>
      </c>
      <c r="T34" s="87">
        <v>1880.07701653237</v>
      </c>
      <c r="U34" s="81">
        <f t="shared" si="12"/>
        <v>2078.9366491363867</v>
      </c>
      <c r="V34" s="81">
        <f t="shared" si="13"/>
        <v>-18873148.222833317</v>
      </c>
      <c r="W34" s="87">
        <v>335139.90000000002</v>
      </c>
    </row>
    <row r="35" spans="1:24">
      <c r="A35" s="6">
        <f t="shared" si="14"/>
        <v>2012</v>
      </c>
      <c r="B35" s="81">
        <f>'Exhibit L,3'!Q36+'Exhibit M,3'!Q36</f>
        <v>14189682.921505203</v>
      </c>
      <c r="C35" s="81">
        <f>'Exhibit L,3'!R36+'Exhibit M,3'!R36</f>
        <v>543806.18000000005</v>
      </c>
      <c r="D35" s="81">
        <f>'Exhibit L,3'!S36+'Exhibit M,3'!S36</f>
        <v>543806.18000000005</v>
      </c>
      <c r="E35" s="81">
        <f>'Exhibit L,3'!T36+'Exhibit M,3'!T36</f>
        <v>543806.18000000005</v>
      </c>
      <c r="F35" s="81">
        <f>'Exhibit L,3'!U36+'Exhibit M,3'!U36</f>
        <v>543806.18000000005</v>
      </c>
      <c r="G35" s="81">
        <f t="shared" si="1"/>
        <v>-13102070.561505204</v>
      </c>
      <c r="H35" s="81">
        <f t="shared" si="2"/>
        <v>-13102070.561505204</v>
      </c>
      <c r="I35" s="81">
        <f t="shared" si="3"/>
        <v>-13645876.741505204</v>
      </c>
      <c r="J35" s="81">
        <f t="shared" si="4"/>
        <v>-13645876.741505204</v>
      </c>
      <c r="K35" s="81">
        <f t="shared" si="5"/>
        <v>543806.18000000005</v>
      </c>
      <c r="L35" s="81">
        <f t="shared" si="6"/>
        <v>543806.18000000005</v>
      </c>
      <c r="M35" s="81">
        <f t="shared" si="7"/>
        <v>4022.6240786203971</v>
      </c>
      <c r="N35" s="81">
        <f t="shared" si="8"/>
        <v>1167.8586034704376</v>
      </c>
      <c r="O35" s="81">
        <f>'Exhibit F,1'!AA36</f>
        <v>5190.4826820908347</v>
      </c>
      <c r="P35" s="81">
        <f t="shared" si="9"/>
        <v>-13641854.117426584</v>
      </c>
      <c r="Q35" s="81">
        <f t="shared" si="10"/>
        <v>544974.03860347054</v>
      </c>
      <c r="R35" s="81">
        <f t="shared" si="11"/>
        <v>-13096880.078823114</v>
      </c>
      <c r="S35" s="81">
        <f>'Exhibit C,1'!Y36</f>
        <v>154.03358212783689</v>
      </c>
      <c r="T35" s="87">
        <v>3808.279329495851</v>
      </c>
      <c r="U35" s="81">
        <f t="shared" si="12"/>
        <v>3962.3129116236878</v>
      </c>
      <c r="V35" s="81">
        <f t="shared" si="13"/>
        <v>-13092917.76591149</v>
      </c>
      <c r="W35" s="87">
        <v>391706.49999999971</v>
      </c>
    </row>
    <row r="36" spans="1:24">
      <c r="A36" s="6">
        <f t="shared" si="14"/>
        <v>2013</v>
      </c>
      <c r="B36" s="81">
        <f>'Exhibit L,3'!Q37+'Exhibit M,3'!Q37</f>
        <v>19877113.673945162</v>
      </c>
      <c r="C36" s="81">
        <f>'Exhibit L,3'!R37+'Exhibit M,3'!R37</f>
        <v>651635.24</v>
      </c>
      <c r="D36" s="81">
        <f>'Exhibit L,3'!S37+'Exhibit M,3'!S37</f>
        <v>651635.24</v>
      </c>
      <c r="E36" s="81">
        <f>'Exhibit L,3'!T37+'Exhibit M,3'!T37</f>
        <v>651635.24</v>
      </c>
      <c r="F36" s="81">
        <f>'Exhibit L,3'!U37+'Exhibit M,3'!U37</f>
        <v>651635.24</v>
      </c>
      <c r="G36" s="81">
        <f t="shared" si="1"/>
        <v>-18573843.193945162</v>
      </c>
      <c r="H36" s="81">
        <f t="shared" si="2"/>
        <v>-18573843.193945162</v>
      </c>
      <c r="I36" s="81">
        <f t="shared" si="3"/>
        <v>-19225478.433945164</v>
      </c>
      <c r="J36" s="81">
        <f t="shared" si="4"/>
        <v>-19225478.433945164</v>
      </c>
      <c r="K36" s="81">
        <f t="shared" si="5"/>
        <v>651635.24</v>
      </c>
      <c r="L36" s="81">
        <f t="shared" si="6"/>
        <v>651635.24</v>
      </c>
      <c r="M36" s="81">
        <f t="shared" si="7"/>
        <v>15566.39198973511</v>
      </c>
      <c r="N36" s="81">
        <f t="shared" si="8"/>
        <v>4519.2750937940637</v>
      </c>
      <c r="O36" s="81">
        <f>'Exhibit F,1'!AA37</f>
        <v>20085.667083529173</v>
      </c>
      <c r="P36" s="81">
        <f t="shared" si="9"/>
        <v>-19209912.04195543</v>
      </c>
      <c r="Q36" s="81">
        <f t="shared" si="10"/>
        <v>656154.51509379409</v>
      </c>
      <c r="R36" s="81">
        <f t="shared" si="11"/>
        <v>-18553757.526861638</v>
      </c>
      <c r="S36" s="81">
        <f>'Exhibit C,1'!Y37</f>
        <v>596.06542200366357</v>
      </c>
      <c r="T36" s="87">
        <v>10884.280753275008</v>
      </c>
      <c r="U36" s="81">
        <f t="shared" si="12"/>
        <v>11480.346175278672</v>
      </c>
      <c r="V36" s="81">
        <f t="shared" si="13"/>
        <v>-18542277.180686358</v>
      </c>
      <c r="W36" s="87">
        <v>346465.37</v>
      </c>
    </row>
    <row r="37" spans="1:24">
      <c r="A37" s="6">
        <f t="shared" si="14"/>
        <v>2014</v>
      </c>
      <c r="B37" s="81">
        <f>'Exhibit L,3'!Q38+'Exhibit M,3'!Q38</f>
        <v>15615074.343613856</v>
      </c>
      <c r="C37" s="81">
        <f>'Exhibit L,3'!R38+'Exhibit M,3'!R38</f>
        <v>4540014.8499999996</v>
      </c>
      <c r="D37" s="81">
        <f>'Exhibit L,3'!S38+'Exhibit M,3'!S38</f>
        <v>4540014.8499999996</v>
      </c>
      <c r="E37" s="81">
        <f>'Exhibit L,3'!T38+'Exhibit M,3'!T38</f>
        <v>3778904.85</v>
      </c>
      <c r="F37" s="81">
        <f>'Exhibit L,3'!U38+'Exhibit M,3'!U38</f>
        <v>4795779.51</v>
      </c>
      <c r="G37" s="81">
        <f t="shared" si="1"/>
        <v>-7296154.6436138563</v>
      </c>
      <c r="H37" s="81">
        <f t="shared" si="2"/>
        <v>-6279279.9836138561</v>
      </c>
      <c r="I37" s="81">
        <f t="shared" si="3"/>
        <v>-11075059.493613856</v>
      </c>
      <c r="J37" s="81">
        <f t="shared" si="4"/>
        <v>-11075059.493613856</v>
      </c>
      <c r="K37" s="81">
        <f t="shared" si="5"/>
        <v>3778904.85</v>
      </c>
      <c r="L37" s="81">
        <f t="shared" si="6"/>
        <v>4795779.51</v>
      </c>
      <c r="M37" s="81">
        <f t="shared" si="7"/>
        <v>498278.24634294101</v>
      </c>
      <c r="N37" s="81">
        <f t="shared" si="8"/>
        <v>144661.42635762802</v>
      </c>
      <c r="O37" s="81">
        <f>'Exhibit F,1'!AA38</f>
        <v>642939.67270056903</v>
      </c>
      <c r="P37" s="81">
        <f t="shared" si="9"/>
        <v>-10576781.247270916</v>
      </c>
      <c r="Q37" s="81">
        <f t="shared" si="10"/>
        <v>4940440.9363576276</v>
      </c>
      <c r="R37" s="81">
        <f t="shared" si="11"/>
        <v>-5636340.310913288</v>
      </c>
      <c r="S37" s="81">
        <f>'Exhibit C,1'!Y38</f>
        <v>19079.979058570825</v>
      </c>
      <c r="T37" s="87">
        <v>3829.1700742794269</v>
      </c>
      <c r="U37" s="81">
        <f t="shared" si="12"/>
        <v>22909.149132850252</v>
      </c>
      <c r="V37" s="81">
        <f t="shared" si="13"/>
        <v>-5613431.1617804375</v>
      </c>
      <c r="W37" s="87">
        <v>308152.84999999998</v>
      </c>
    </row>
    <row r="38" spans="1:24">
      <c r="A38" s="6">
        <f t="shared" si="14"/>
        <v>2015</v>
      </c>
      <c r="B38" s="81">
        <f>'Exhibit L,3'!Q39+'Exhibit M,3'!Q39</f>
        <v>4711095.6102915574</v>
      </c>
      <c r="C38" s="81">
        <f>'Exhibit L,3'!R39+'Exhibit M,3'!R39</f>
        <v>97119.950000000012</v>
      </c>
      <c r="D38" s="81">
        <f>'Exhibit L,3'!S39+'Exhibit M,3'!S39</f>
        <v>202847.07</v>
      </c>
      <c r="E38" s="81">
        <f>'Exhibit L,3'!T39+'Exhibit M,3'!T39</f>
        <v>70467.070000000007</v>
      </c>
      <c r="F38" s="81">
        <f>'Exhibit L,3'!U39+'Exhibit M,3'!U39</f>
        <v>202847.07</v>
      </c>
      <c r="G38" s="81">
        <f t="shared" si="1"/>
        <v>-4543508.5902915578</v>
      </c>
      <c r="H38" s="81">
        <f t="shared" si="2"/>
        <v>-4305401.4702915577</v>
      </c>
      <c r="I38" s="81">
        <f t="shared" si="3"/>
        <v>-4613975.6602915572</v>
      </c>
      <c r="J38" s="81">
        <f t="shared" si="4"/>
        <v>-4508248.5402915571</v>
      </c>
      <c r="K38" s="81">
        <f t="shared" si="5"/>
        <v>70467.070000000007</v>
      </c>
      <c r="L38" s="81">
        <f t="shared" si="6"/>
        <v>202847.07</v>
      </c>
      <c r="M38" s="81">
        <f t="shared" si="7"/>
        <v>341407.5018538154</v>
      </c>
      <c r="N38" s="81">
        <f t="shared" si="8"/>
        <v>99118.306989817356</v>
      </c>
      <c r="O38" s="81">
        <f>'Exhibit F,1'!AA39</f>
        <v>440525.80884363275</v>
      </c>
      <c r="P38" s="81">
        <f t="shared" si="9"/>
        <v>-4166841.0384377418</v>
      </c>
      <c r="Q38" s="81">
        <f t="shared" si="10"/>
        <v>301965.37698981736</v>
      </c>
      <c r="R38" s="81">
        <f t="shared" si="11"/>
        <v>-3864875.6614479246</v>
      </c>
      <c r="S38" s="81">
        <f>'Exhibit C,1'!Y39</f>
        <v>16210.688009407495</v>
      </c>
      <c r="T38" s="87">
        <v>24915.764885506858</v>
      </c>
      <c r="U38" s="81">
        <f t="shared" si="12"/>
        <v>41126.452894914357</v>
      </c>
      <c r="V38" s="81">
        <f t="shared" si="13"/>
        <v>-3823749.2085530101</v>
      </c>
      <c r="W38" s="87">
        <v>1669443</v>
      </c>
    </row>
    <row r="39" spans="1:24">
      <c r="A39" s="6">
        <f t="shared" si="14"/>
        <v>2016</v>
      </c>
      <c r="B39" s="81">
        <f>'Exhibit L,3'!Q40+'Exhibit M,3'!Q40</f>
        <v>7248757.8933120109</v>
      </c>
      <c r="C39" s="81">
        <f>'Exhibit L,3'!R40+'Exhibit M,3'!R40</f>
        <v>1011731.98</v>
      </c>
      <c r="D39" s="81">
        <f>'Exhibit L,3'!S40+'Exhibit M,3'!S40</f>
        <v>1530224.19</v>
      </c>
      <c r="E39" s="81">
        <f>'Exhibit L,3'!T40+'Exhibit M,3'!T40</f>
        <v>218563.54</v>
      </c>
      <c r="F39" s="81">
        <f>'Exhibit L,3'!U40+'Exhibit M,3'!U40</f>
        <v>497316.88</v>
      </c>
      <c r="G39" s="81">
        <f t="shared" si="1"/>
        <v>-6018462.3733120114</v>
      </c>
      <c r="H39" s="81">
        <f t="shared" si="2"/>
        <v>-5221216.8233120106</v>
      </c>
      <c r="I39" s="81">
        <f t="shared" si="3"/>
        <v>-6237025.9133120105</v>
      </c>
      <c r="J39" s="81">
        <f t="shared" si="4"/>
        <v>-5718533.7033120114</v>
      </c>
      <c r="K39" s="81">
        <f t="shared" si="5"/>
        <v>218563.54</v>
      </c>
      <c r="L39" s="81">
        <f t="shared" si="6"/>
        <v>497316.88</v>
      </c>
      <c r="M39" s="81">
        <f t="shared" si="7"/>
        <v>485203.96543687605</v>
      </c>
      <c r="N39" s="81">
        <f t="shared" si="8"/>
        <v>140865.66738489945</v>
      </c>
      <c r="O39" s="81">
        <f>'Exhibit F,1'!AA40</f>
        <v>626069.63282177551</v>
      </c>
      <c r="P39" s="81">
        <f t="shared" si="9"/>
        <v>-5233329.7378751356</v>
      </c>
      <c r="Q39" s="81">
        <f t="shared" si="10"/>
        <v>638182.54738489946</v>
      </c>
      <c r="R39" s="81">
        <f t="shared" si="11"/>
        <v>-4595147.1904902365</v>
      </c>
      <c r="S39" s="81">
        <f>'Exhibit C,1'!Y40</f>
        <v>33966.197638031335</v>
      </c>
      <c r="T39" s="87">
        <v>77071.700786460191</v>
      </c>
      <c r="U39" s="81">
        <f t="shared" si="12"/>
        <v>111037.89842449152</v>
      </c>
      <c r="V39" s="81">
        <f t="shared" si="13"/>
        <v>-4484109.2920657452</v>
      </c>
      <c r="W39" s="87">
        <v>1513973</v>
      </c>
    </row>
    <row r="40" spans="1:24">
      <c r="A40" s="6">
        <f t="shared" si="14"/>
        <v>2017</v>
      </c>
      <c r="B40" s="81">
        <f>'Exhibit L,3'!Q41+'Exhibit M,3'!Q41</f>
        <v>6138783.488564671</v>
      </c>
      <c r="C40" s="81">
        <f>'Exhibit L,3'!R41+'Exhibit M,3'!R41</f>
        <v>1122227.6099999999</v>
      </c>
      <c r="D40" s="81">
        <f>'Exhibit L,3'!S41+'Exhibit M,3'!S41</f>
        <v>2428737.89</v>
      </c>
      <c r="E40" s="81">
        <f>'Exhibit L,3'!T41+'Exhibit M,3'!T41</f>
        <v>1091517.3900000001</v>
      </c>
      <c r="F40" s="81">
        <f>'Exhibit L,3'!U41+'Exhibit M,3'!U41</f>
        <v>1478737.8900000001</v>
      </c>
      <c r="G40" s="81">
        <f t="shared" si="1"/>
        <v>-3925038.488564671</v>
      </c>
      <c r="H40" s="81">
        <f t="shared" si="2"/>
        <v>-2231307.7085646708</v>
      </c>
      <c r="I40" s="81">
        <f t="shared" si="3"/>
        <v>-5016555.8785646707</v>
      </c>
      <c r="J40" s="81">
        <f t="shared" si="4"/>
        <v>-3710045.5985646709</v>
      </c>
      <c r="K40" s="81">
        <f t="shared" si="5"/>
        <v>1091517.3900000001</v>
      </c>
      <c r="L40" s="81">
        <f t="shared" si="6"/>
        <v>1478737.8900000001</v>
      </c>
      <c r="M40" s="81">
        <f t="shared" si="7"/>
        <v>491026.23934934835</v>
      </c>
      <c r="N40" s="81">
        <f t="shared" si="8"/>
        <v>142556.00497239141</v>
      </c>
      <c r="O40" s="81">
        <f>'Exhibit F,1'!AA41</f>
        <v>633582.24432173977</v>
      </c>
      <c r="P40" s="81">
        <f t="shared" si="9"/>
        <v>-3219019.3592153224</v>
      </c>
      <c r="Q40" s="81">
        <f t="shared" si="10"/>
        <v>1621293.8949723914</v>
      </c>
      <c r="R40" s="81">
        <f t="shared" si="11"/>
        <v>-1597725.464242931</v>
      </c>
      <c r="S40" s="81">
        <f>'Exhibit C,1'!Y41</f>
        <v>57574.491523076686</v>
      </c>
      <c r="T40" s="87">
        <v>9038.0397977349039</v>
      </c>
      <c r="U40" s="81">
        <f t="shared" si="12"/>
        <v>66612.531320811584</v>
      </c>
      <c r="V40" s="81">
        <f t="shared" si="13"/>
        <v>-1531112.9329221195</v>
      </c>
      <c r="W40" s="87">
        <v>1085146</v>
      </c>
    </row>
    <row r="41" spans="1:24">
      <c r="A41" s="6">
        <f t="shared" si="14"/>
        <v>2018</v>
      </c>
      <c r="B41" s="81">
        <f>'Exhibit L,3'!Q42+'Exhibit M,3'!Q42</f>
        <v>1159093.436157594</v>
      </c>
      <c r="C41" s="81">
        <f>'Exhibit L,3'!R42+'Exhibit M,3'!R42</f>
        <v>568134.42000000004</v>
      </c>
      <c r="D41" s="81">
        <f>'Exhibit L,3'!S42+'Exhibit M,3'!S42</f>
        <v>583411.92000000004</v>
      </c>
      <c r="E41" s="81">
        <f>'Exhibit L,3'!T42+'Exhibit M,3'!T42</f>
        <v>21579.21</v>
      </c>
      <c r="F41" s="81">
        <f>'Exhibit L,3'!U42+'Exhibit M,3'!U42</f>
        <v>139702</v>
      </c>
      <c r="G41" s="81">
        <f t="shared" si="1"/>
        <v>-569379.80615759396</v>
      </c>
      <c r="H41" s="81">
        <f t="shared" si="2"/>
        <v>-435979.51615759393</v>
      </c>
      <c r="I41" s="81">
        <f t="shared" si="3"/>
        <v>-590959.01615759393</v>
      </c>
      <c r="J41" s="81">
        <f t="shared" si="4"/>
        <v>-575681.51615759393</v>
      </c>
      <c r="K41" s="81">
        <f t="shared" si="5"/>
        <v>21579.21</v>
      </c>
      <c r="L41" s="81">
        <f t="shared" si="6"/>
        <v>139702</v>
      </c>
      <c r="M41" s="81">
        <f t="shared" si="7"/>
        <v>528263.07148425246</v>
      </c>
      <c r="N41" s="81">
        <f t="shared" si="8"/>
        <v>153366.69817284751</v>
      </c>
      <c r="O41" s="81">
        <f>'Exhibit F,1'!AA42</f>
        <v>681629.76965709997</v>
      </c>
      <c r="P41" s="81">
        <f t="shared" si="9"/>
        <v>-47418.444673341466</v>
      </c>
      <c r="Q41" s="81">
        <f t="shared" si="10"/>
        <v>293068.69817284751</v>
      </c>
      <c r="R41" s="81">
        <f t="shared" si="11"/>
        <v>245650.25349950604</v>
      </c>
      <c r="S41" s="81">
        <f>'Exhibit C,1'!Y42</f>
        <v>20681.529971500033</v>
      </c>
      <c r="T41" s="87">
        <v>9058.8748339205686</v>
      </c>
      <c r="U41" s="81">
        <f t="shared" si="12"/>
        <v>29740.4048054206</v>
      </c>
      <c r="V41" s="81">
        <f t="shared" si="13"/>
        <v>275390.65830492665</v>
      </c>
      <c r="W41" s="87">
        <v>324528</v>
      </c>
    </row>
    <row r="42" spans="1:24">
      <c r="A42" s="6">
        <f t="shared" si="14"/>
        <v>2019</v>
      </c>
      <c r="B42" s="81">
        <f>'Exhibit L,3'!Q43+'Exhibit M,3'!Q43</f>
        <v>468614.53136026813</v>
      </c>
      <c r="C42" s="81">
        <f>'Exhibit L,3'!R43+'Exhibit M,3'!R43</f>
        <v>11426.5</v>
      </c>
      <c r="D42" s="81">
        <f>'Exhibit L,3'!S43+'Exhibit M,3'!S43</f>
        <v>18712.5</v>
      </c>
      <c r="E42" s="81">
        <f>'Exhibit L,3'!T43+'Exhibit M,3'!T43</f>
        <v>7701.5</v>
      </c>
      <c r="F42" s="81">
        <f>'Exhibit L,3'!U43+'Exhibit M,3'!U43</f>
        <v>13712.5</v>
      </c>
      <c r="G42" s="81">
        <f t="shared" si="1"/>
        <v>-449486.53136026813</v>
      </c>
      <c r="H42" s="81">
        <f t="shared" si="2"/>
        <v>-436189.53136026813</v>
      </c>
      <c r="I42" s="81">
        <f t="shared" si="3"/>
        <v>-457188.03136026813</v>
      </c>
      <c r="J42" s="81">
        <f t="shared" si="4"/>
        <v>-449902.03136026813</v>
      </c>
      <c r="K42" s="81">
        <f t="shared" si="5"/>
        <v>7701.5</v>
      </c>
      <c r="L42" s="81">
        <f t="shared" si="6"/>
        <v>13712.5</v>
      </c>
      <c r="M42" s="81">
        <f t="shared" si="7"/>
        <v>645603.82066677732</v>
      </c>
      <c r="N42" s="81">
        <f t="shared" si="8"/>
        <v>187433.36729035468</v>
      </c>
      <c r="O42" s="81">
        <f>'Exhibit F,1'!AA43</f>
        <v>833037.187957132</v>
      </c>
      <c r="P42" s="81">
        <f t="shared" si="9"/>
        <v>195701.78930650919</v>
      </c>
      <c r="Q42" s="81">
        <f t="shared" si="10"/>
        <v>201145.86729035468</v>
      </c>
      <c r="R42" s="81">
        <f t="shared" si="11"/>
        <v>396847.65659686388</v>
      </c>
      <c r="S42" s="81">
        <f>'Exhibit C,1'!Y43</f>
        <v>24937.563366261013</v>
      </c>
      <c r="T42" s="87">
        <v>23379.72388534846</v>
      </c>
      <c r="U42" s="81">
        <f t="shared" si="12"/>
        <v>48317.287251609472</v>
      </c>
      <c r="V42" s="81">
        <f t="shared" si="13"/>
        <v>445164.94384847337</v>
      </c>
      <c r="W42" s="87">
        <v>387314.76</v>
      </c>
    </row>
    <row r="43" spans="1:24">
      <c r="A43" s="6">
        <f t="shared" si="14"/>
        <v>2020</v>
      </c>
      <c r="B43" s="81">
        <f>'Exhibit L,3'!Q44+'Exhibit M,3'!Q44</f>
        <v>1134600.3793432082</v>
      </c>
      <c r="C43" s="81">
        <f>'Exhibit L,3'!R44+'Exhibit M,3'!R44</f>
        <v>2950</v>
      </c>
      <c r="D43" s="81">
        <f>'Exhibit L,3'!S44+'Exhibit M,3'!S44</f>
        <v>15000</v>
      </c>
      <c r="E43" s="81">
        <f>'Exhibit L,3'!T44+'Exhibit M,3'!T44</f>
        <v>0</v>
      </c>
      <c r="F43" s="81">
        <f>'Exhibit L,3'!U44+'Exhibit M,3'!U44</f>
        <v>0</v>
      </c>
      <c r="G43" s="81">
        <f t="shared" si="1"/>
        <v>-1131650.3793432082</v>
      </c>
      <c r="H43" s="81">
        <f t="shared" si="2"/>
        <v>-1119600.3793432082</v>
      </c>
      <c r="I43" s="81">
        <f t="shared" si="3"/>
        <v>-1131650.3793432082</v>
      </c>
      <c r="J43" s="81">
        <f t="shared" si="4"/>
        <v>-1119600.3793432082</v>
      </c>
      <c r="K43" s="81">
        <f t="shared" si="5"/>
        <v>0</v>
      </c>
      <c r="L43" s="81">
        <f t="shared" si="6"/>
        <v>0</v>
      </c>
      <c r="M43" s="81">
        <f t="shared" si="7"/>
        <v>2392341.0558649842</v>
      </c>
      <c r="N43" s="81">
        <f t="shared" si="8"/>
        <v>694550.62912209239</v>
      </c>
      <c r="O43" s="81">
        <f>'Exhibit F,1'!AA44</f>
        <v>3086891.6849870766</v>
      </c>
      <c r="P43" s="81">
        <f t="shared" si="9"/>
        <v>1272740.676521776</v>
      </c>
      <c r="Q43" s="81">
        <f t="shared" si="10"/>
        <v>694550.62912209239</v>
      </c>
      <c r="R43" s="81">
        <f t="shared" si="11"/>
        <v>1967291.3056438684</v>
      </c>
      <c r="S43" s="81">
        <f>'Exhibit C,1'!Y44</f>
        <v>91964.681857208532</v>
      </c>
      <c r="T43" s="87">
        <v>373.76069202975856</v>
      </c>
      <c r="U43" s="81">
        <f t="shared" si="12"/>
        <v>92338.442549238287</v>
      </c>
      <c r="V43" s="81">
        <f t="shared" si="13"/>
        <v>2059629.7481931066</v>
      </c>
      <c r="W43" s="87">
        <v>309502.59000000008</v>
      </c>
    </row>
    <row r="44" spans="1:24">
      <c r="A44" s="6"/>
      <c r="B44" s="81">
        <f>'Exhibit O,3'!Q45+'Exhibit N,3'!Q45</f>
        <v>0</v>
      </c>
      <c r="C44" s="81">
        <f>'Exhibit L,3'!R45+'Exhibit M,3'!R45</f>
        <v>0</v>
      </c>
      <c r="D44" s="81">
        <f>'Exhibit L,3'!S45+'Exhibit M,3'!S45</f>
        <v>0</v>
      </c>
      <c r="E44" s="81">
        <f>'Exhibit L,3'!T45+'Exhibit M,3'!T45</f>
        <v>0</v>
      </c>
      <c r="F44" s="81">
        <f>'Exhibit L,3'!U45+'Exhibit M,3'!U45</f>
        <v>0</v>
      </c>
      <c r="G44" s="81">
        <f t="shared" si="1"/>
        <v>0</v>
      </c>
      <c r="H44" s="81">
        <f t="shared" si="2"/>
        <v>0</v>
      </c>
      <c r="I44" s="81">
        <f t="shared" si="3"/>
        <v>0</v>
      </c>
      <c r="J44" s="81">
        <f t="shared" si="4"/>
        <v>0</v>
      </c>
      <c r="K44" s="81">
        <f t="shared" si="5"/>
        <v>0</v>
      </c>
      <c r="L44" s="81">
        <f t="shared" si="6"/>
        <v>0</v>
      </c>
      <c r="M44" s="81">
        <f t="shared" si="7"/>
        <v>0</v>
      </c>
      <c r="N44" s="81">
        <f t="shared" si="8"/>
        <v>0</v>
      </c>
      <c r="O44" s="81">
        <f>'Exhibit F,1'!AA45</f>
        <v>0</v>
      </c>
      <c r="P44" s="81">
        <f t="shared" si="9"/>
        <v>0</v>
      </c>
      <c r="Q44" s="81">
        <f t="shared" si="10"/>
        <v>0</v>
      </c>
      <c r="R44" s="81">
        <f t="shared" si="11"/>
        <v>0</v>
      </c>
      <c r="S44" s="81">
        <f>'Exhibit C,1'!Y45</f>
        <v>0</v>
      </c>
      <c r="T44" s="87">
        <v>0</v>
      </c>
      <c r="U44" s="81">
        <f t="shared" si="12"/>
        <v>0</v>
      </c>
      <c r="V44" s="81">
        <f t="shared" si="13"/>
        <v>0</v>
      </c>
      <c r="W44" s="87"/>
      <c r="X44" s="17"/>
    </row>
    <row r="45" spans="1:24">
      <c r="A45" s="6" t="s">
        <v>0</v>
      </c>
      <c r="B45" s="82">
        <f>SUM(B15:B43)</f>
        <v>449036126.14489102</v>
      </c>
      <c r="C45" s="82">
        <f>SUM(C15:C43)</f>
        <v>33907855.499999993</v>
      </c>
      <c r="D45" s="82">
        <f t="shared" ref="D45:Q45" si="15">SUM(D15:D43)</f>
        <v>35911818.339999996</v>
      </c>
      <c r="E45" s="82">
        <f t="shared" si="15"/>
        <v>31707498.479999997</v>
      </c>
      <c r="F45" s="82">
        <f t="shared" si="15"/>
        <v>33695965.769999996</v>
      </c>
      <c r="G45" s="82">
        <f>SUM(G15:G43)</f>
        <v>-383420772.164891</v>
      </c>
      <c r="H45" s="82">
        <f t="shared" si="15"/>
        <v>-379428342.03489095</v>
      </c>
      <c r="I45" s="82">
        <f t="shared" si="15"/>
        <v>-415128270.64489096</v>
      </c>
      <c r="J45" s="82">
        <f t="shared" si="15"/>
        <v>-413124307.80489099</v>
      </c>
      <c r="K45" s="82">
        <f t="shared" si="15"/>
        <v>31707498.479999997</v>
      </c>
      <c r="L45" s="82">
        <f t="shared" si="15"/>
        <v>33695965.769999996</v>
      </c>
      <c r="M45" s="82">
        <f t="shared" si="15"/>
        <v>5407569.4608452171</v>
      </c>
      <c r="N45" s="82">
        <f t="shared" si="15"/>
        <v>1569939.5208905472</v>
      </c>
      <c r="O45" s="82">
        <f t="shared" si="15"/>
        <v>6977508.981735765</v>
      </c>
      <c r="P45" s="82">
        <f t="shared" si="15"/>
        <v>-407716738.34404576</v>
      </c>
      <c r="Q45" s="82">
        <f t="shared" si="15"/>
        <v>35265905.290890545</v>
      </c>
      <c r="R45" s="82">
        <f>SUM(R15:R43)</f>
        <v>-372450833.0531553</v>
      </c>
      <c r="S45" s="82">
        <f>SUM(S15:S43)</f>
        <v>266535.57332068915</v>
      </c>
      <c r="T45" s="82">
        <f>SUM(T15:T43)</f>
        <v>200887.61345829428</v>
      </c>
      <c r="U45" s="82">
        <f>SUM(U15:U43)</f>
        <v>467423.18677898339</v>
      </c>
      <c r="V45" s="82">
        <f>SUM(V15:V43)</f>
        <v>-371983409.86637622</v>
      </c>
      <c r="W45" s="90">
        <v>6671371.9699999988</v>
      </c>
      <c r="X45" s="17"/>
    </row>
    <row r="46" spans="1:24">
      <c r="A46" s="6"/>
      <c r="B46" s="6"/>
      <c r="C46" s="6"/>
      <c r="D46" s="6"/>
      <c r="E46" s="6"/>
      <c r="F46" s="6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7"/>
    </row>
    <row r="47" spans="1:24">
      <c r="A47" s="6"/>
      <c r="B47" s="6"/>
      <c r="C47" s="6"/>
      <c r="D47" s="6"/>
      <c r="E47" s="6"/>
      <c r="F47" s="6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7"/>
    </row>
    <row r="48" spans="1:24">
      <c r="A48" s="6"/>
      <c r="B48" s="6"/>
      <c r="C48" s="6"/>
      <c r="D48" s="6"/>
      <c r="E48" s="6"/>
      <c r="F48" s="6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7"/>
    </row>
    <row r="49" spans="1:23">
      <c r="A49" s="6" t="s">
        <v>13</v>
      </c>
      <c r="B49" s="6"/>
      <c r="C49" s="6"/>
      <c r="D49" s="6"/>
      <c r="E49" s="6"/>
      <c r="F49" s="6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7"/>
    </row>
    <row r="50" spans="1:23">
      <c r="A50" s="6"/>
      <c r="B50" s="27" t="s">
        <v>665</v>
      </c>
      <c r="C50" s="27" t="s">
        <v>666</v>
      </c>
      <c r="D50" s="27" t="s">
        <v>667</v>
      </c>
      <c r="E50" s="27" t="s">
        <v>665</v>
      </c>
      <c r="F50" s="27" t="s">
        <v>673</v>
      </c>
      <c r="G50" s="17"/>
      <c r="H50" s="81"/>
      <c r="I50" s="81"/>
      <c r="J50" s="81"/>
      <c r="K50" s="81"/>
      <c r="L50" s="81"/>
      <c r="M50" s="17"/>
      <c r="N50" s="83">
        <v>0.05</v>
      </c>
      <c r="O50" s="81"/>
      <c r="P50" s="81"/>
      <c r="Q50" s="81"/>
      <c r="R50" s="81" t="s">
        <v>67</v>
      </c>
      <c r="S50" s="6"/>
      <c r="T50" s="6"/>
      <c r="U50" s="6"/>
      <c r="V50" s="6" t="s">
        <v>67</v>
      </c>
      <c r="W50" s="87"/>
    </row>
    <row r="51" spans="1:23">
      <c r="A51" s="6" t="s">
        <v>3</v>
      </c>
      <c r="B51" s="27" t="s">
        <v>524</v>
      </c>
      <c r="C51" s="27" t="s">
        <v>524</v>
      </c>
      <c r="D51" s="27" t="s">
        <v>524</v>
      </c>
      <c r="E51" s="27" t="s">
        <v>528</v>
      </c>
      <c r="F51" s="27" t="s">
        <v>528</v>
      </c>
      <c r="G51" s="81" t="s">
        <v>14</v>
      </c>
      <c r="H51" s="81" t="s">
        <v>12</v>
      </c>
      <c r="I51" s="81" t="s">
        <v>14</v>
      </c>
      <c r="J51" s="81" t="s">
        <v>12</v>
      </c>
      <c r="K51" s="81" t="s">
        <v>14</v>
      </c>
      <c r="L51" s="81" t="s">
        <v>12</v>
      </c>
      <c r="M51" s="81" t="s">
        <v>381</v>
      </c>
      <c r="N51" s="81" t="s">
        <v>381</v>
      </c>
      <c r="O51" s="81" t="s">
        <v>381</v>
      </c>
      <c r="P51" s="81" t="s">
        <v>660</v>
      </c>
      <c r="Q51" s="81" t="s">
        <v>67</v>
      </c>
      <c r="R51" s="81" t="s">
        <v>662</v>
      </c>
      <c r="S51" s="6" t="s">
        <v>661</v>
      </c>
      <c r="T51" s="6" t="s">
        <v>661</v>
      </c>
      <c r="U51" s="6" t="s">
        <v>67</v>
      </c>
      <c r="V51" s="6" t="s">
        <v>663</v>
      </c>
      <c r="W51" s="6" t="s">
        <v>177</v>
      </c>
    </row>
    <row r="52" spans="1:23">
      <c r="A52" s="6" t="s">
        <v>4</v>
      </c>
      <c r="B52" s="28" t="s">
        <v>668</v>
      </c>
      <c r="C52" s="28" t="s">
        <v>669</v>
      </c>
      <c r="D52" s="28" t="s">
        <v>670</v>
      </c>
      <c r="E52" s="28" t="s">
        <v>668</v>
      </c>
      <c r="F52" s="28" t="s">
        <v>670</v>
      </c>
      <c r="G52" s="81" t="s">
        <v>0</v>
      </c>
      <c r="H52" s="81" t="s">
        <v>0</v>
      </c>
      <c r="I52" s="81" t="s">
        <v>566</v>
      </c>
      <c r="J52" s="81" t="s">
        <v>566</v>
      </c>
      <c r="K52" s="81" t="s">
        <v>567</v>
      </c>
      <c r="L52" s="81" t="s">
        <v>567</v>
      </c>
      <c r="M52" s="81" t="s">
        <v>566</v>
      </c>
      <c r="N52" s="81" t="s">
        <v>567</v>
      </c>
      <c r="O52" s="81" t="s">
        <v>0</v>
      </c>
      <c r="P52" s="81" t="s">
        <v>566</v>
      </c>
      <c r="Q52" s="81" t="s">
        <v>567</v>
      </c>
      <c r="R52" s="81" t="s">
        <v>0</v>
      </c>
      <c r="S52" s="6" t="s">
        <v>117</v>
      </c>
      <c r="T52" s="6" t="s">
        <v>14</v>
      </c>
      <c r="U52" s="6" t="s">
        <v>661</v>
      </c>
      <c r="V52" s="6" t="s">
        <v>0</v>
      </c>
      <c r="W52" s="6" t="s">
        <v>16</v>
      </c>
    </row>
    <row r="53" spans="1:23">
      <c r="A53" s="10">
        <v>-1</v>
      </c>
      <c r="B53" s="10">
        <f>A53-1</f>
        <v>-2</v>
      </c>
      <c r="C53" s="10">
        <f>B53-1</f>
        <v>-3</v>
      </c>
      <c r="D53" s="10">
        <f t="shared" ref="D53:L53" si="16">C53-1</f>
        <v>-4</v>
      </c>
      <c r="E53" s="10">
        <f t="shared" si="16"/>
        <v>-5</v>
      </c>
      <c r="F53" s="10">
        <f t="shared" si="16"/>
        <v>-6</v>
      </c>
      <c r="G53" s="10">
        <f t="shared" si="16"/>
        <v>-7</v>
      </c>
      <c r="H53" s="10">
        <f t="shared" si="16"/>
        <v>-8</v>
      </c>
      <c r="I53" s="10">
        <f t="shared" si="16"/>
        <v>-9</v>
      </c>
      <c r="J53" s="10">
        <f t="shared" si="16"/>
        <v>-10</v>
      </c>
      <c r="K53" s="10">
        <f t="shared" si="16"/>
        <v>-11</v>
      </c>
      <c r="L53" s="10">
        <f t="shared" si="16"/>
        <v>-12</v>
      </c>
      <c r="M53" s="10">
        <f>L53-1</f>
        <v>-13</v>
      </c>
      <c r="N53" s="10">
        <f t="shared" ref="N53:V53" si="17">M53-1</f>
        <v>-14</v>
      </c>
      <c r="O53" s="10">
        <f t="shared" si="17"/>
        <v>-15</v>
      </c>
      <c r="P53" s="10">
        <f t="shared" si="17"/>
        <v>-16</v>
      </c>
      <c r="Q53" s="10">
        <f t="shared" si="17"/>
        <v>-17</v>
      </c>
      <c r="R53" s="10">
        <f t="shared" si="17"/>
        <v>-18</v>
      </c>
      <c r="S53" s="10">
        <f t="shared" si="17"/>
        <v>-19</v>
      </c>
      <c r="T53" s="10">
        <f t="shared" si="17"/>
        <v>-20</v>
      </c>
      <c r="U53" s="10">
        <f t="shared" si="17"/>
        <v>-21</v>
      </c>
      <c r="V53" s="10">
        <f t="shared" si="17"/>
        <v>-22</v>
      </c>
      <c r="W53" s="10">
        <v>-23</v>
      </c>
    </row>
    <row r="54" spans="1:23">
      <c r="A54" s="80"/>
      <c r="B54" s="6"/>
      <c r="C54" s="6"/>
      <c r="D54" s="6"/>
      <c r="E54" s="6"/>
      <c r="F54" s="6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6"/>
      <c r="T54" s="6"/>
      <c r="U54" s="6"/>
      <c r="V54" s="6"/>
      <c r="W54" s="87"/>
    </row>
    <row r="55" spans="1:23">
      <c r="A55" s="6">
        <v>1992</v>
      </c>
      <c r="B55" s="104">
        <f>'Exhibit G,3'!Q16</f>
        <v>0</v>
      </c>
      <c r="C55" s="104">
        <f>'Exhibit G,3'!R16</f>
        <v>0</v>
      </c>
      <c r="D55" s="104">
        <f>'Exhibit G,3'!S16</f>
        <v>0</v>
      </c>
      <c r="E55" s="104">
        <f>'Exhibit G,3'!T16</f>
        <v>0</v>
      </c>
      <c r="F55" s="104">
        <f>'Exhibit G,3'!U16</f>
        <v>0</v>
      </c>
      <c r="G55" s="81">
        <f>B55+C55+E55</f>
        <v>0</v>
      </c>
      <c r="H55" s="81">
        <f>G55+D55+F55</f>
        <v>0</v>
      </c>
      <c r="I55" s="81">
        <f>B55+C55</f>
        <v>0</v>
      </c>
      <c r="J55" s="81">
        <f>I55+D55</f>
        <v>0</v>
      </c>
      <c r="K55" s="81">
        <f>E55</f>
        <v>0</v>
      </c>
      <c r="L55" s="81">
        <f>E55+F55</f>
        <v>0</v>
      </c>
      <c r="M55" s="81">
        <f>O55-N55</f>
        <v>0</v>
      </c>
      <c r="N55" s="81">
        <f>N$50*O55</f>
        <v>0</v>
      </c>
      <c r="O55" s="81">
        <f>O15-O95</f>
        <v>0</v>
      </c>
      <c r="P55" s="81">
        <f>J55+M55</f>
        <v>0</v>
      </c>
      <c r="Q55" s="81">
        <f>L55+N55</f>
        <v>0</v>
      </c>
      <c r="R55" s="81">
        <f t="shared" ref="R55:R83" si="18">P55+Q55</f>
        <v>0</v>
      </c>
      <c r="S55" s="81"/>
      <c r="T55" s="81"/>
      <c r="U55" s="81">
        <f>S55+T55</f>
        <v>0</v>
      </c>
      <c r="V55" s="81">
        <f>R55+U55</f>
        <v>0</v>
      </c>
      <c r="W55" s="87"/>
    </row>
    <row r="56" spans="1:23">
      <c r="A56" s="6">
        <f>A55+1</f>
        <v>1993</v>
      </c>
      <c r="B56" s="104">
        <f>'Exhibit G,3'!Q17</f>
        <v>274068.21000000002</v>
      </c>
      <c r="C56" s="104">
        <f>'Exhibit G,3'!R17</f>
        <v>274068.21000000002</v>
      </c>
      <c r="D56" s="104">
        <f>'Exhibit G,3'!S17</f>
        <v>274068.21000000002</v>
      </c>
      <c r="E56" s="104">
        <f>'Exhibit G,3'!T17</f>
        <v>274068.21000000002</v>
      </c>
      <c r="F56" s="104">
        <f>'Exhibit G,3'!U17</f>
        <v>0</v>
      </c>
      <c r="G56" s="81">
        <f t="shared" ref="G56:G83" si="19">B56+C56+E56</f>
        <v>822204.63000000012</v>
      </c>
      <c r="H56" s="81">
        <f t="shared" ref="H56:H83" si="20">G56+D56+F56</f>
        <v>1096272.8400000001</v>
      </c>
      <c r="I56" s="81">
        <f t="shared" ref="I56:I83" si="21">B56+C56</f>
        <v>548136.42000000004</v>
      </c>
      <c r="J56" s="81">
        <f t="shared" ref="J56:J83" si="22">I56+D56</f>
        <v>822204.63000000012</v>
      </c>
      <c r="K56" s="81">
        <f t="shared" ref="K56:K83" si="23">E56</f>
        <v>274068.21000000002</v>
      </c>
      <c r="L56" s="81">
        <f t="shared" ref="L56:L83" si="24">E56+F56</f>
        <v>274068.21000000002</v>
      </c>
      <c r="M56" s="81">
        <f t="shared" ref="M56:M84" si="25">O56-N56</f>
        <v>0</v>
      </c>
      <c r="N56" s="81">
        <f t="shared" ref="N56:N84" si="26">N$50*O56</f>
        <v>0</v>
      </c>
      <c r="O56" s="81">
        <f t="shared" ref="O56:O84" si="27">O16-O96</f>
        <v>0</v>
      </c>
      <c r="P56" s="81">
        <f t="shared" ref="P56:P84" si="28">J56+M56</f>
        <v>822204.63000000012</v>
      </c>
      <c r="Q56" s="81">
        <f t="shared" ref="Q56:Q84" si="29">L56+N56</f>
        <v>274068.21000000002</v>
      </c>
      <c r="R56" s="81">
        <f t="shared" si="18"/>
        <v>1096272.8400000001</v>
      </c>
      <c r="S56" s="81"/>
      <c r="T56" s="81"/>
      <c r="U56" s="81">
        <f t="shared" ref="U56:U84" si="30">S56+T56</f>
        <v>0</v>
      </c>
      <c r="V56" s="81">
        <f t="shared" ref="V56:V84" si="31">R56+U56</f>
        <v>1096272.8400000001</v>
      </c>
      <c r="W56" s="87"/>
    </row>
    <row r="57" spans="1:23">
      <c r="A57" s="6">
        <f t="shared" ref="A57:A83" si="32">A56+1</f>
        <v>1994</v>
      </c>
      <c r="B57" s="104">
        <f>'Exhibit G,3'!Q18</f>
        <v>0</v>
      </c>
      <c r="C57" s="104">
        <f>'Exhibit G,3'!R18</f>
        <v>0</v>
      </c>
      <c r="D57" s="104">
        <f>'Exhibit G,3'!S18</f>
        <v>0</v>
      </c>
      <c r="E57" s="104">
        <f>'Exhibit G,3'!T18</f>
        <v>0</v>
      </c>
      <c r="F57" s="104">
        <f>'Exhibit G,3'!U18</f>
        <v>0</v>
      </c>
      <c r="G57" s="81">
        <f t="shared" si="19"/>
        <v>0</v>
      </c>
      <c r="H57" s="81">
        <f t="shared" si="20"/>
        <v>0</v>
      </c>
      <c r="I57" s="81">
        <f t="shared" si="21"/>
        <v>0</v>
      </c>
      <c r="J57" s="81">
        <f t="shared" si="22"/>
        <v>0</v>
      </c>
      <c r="K57" s="81">
        <f t="shared" si="23"/>
        <v>0</v>
      </c>
      <c r="L57" s="81">
        <f t="shared" si="24"/>
        <v>0</v>
      </c>
      <c r="M57" s="81">
        <f t="shared" si="25"/>
        <v>0</v>
      </c>
      <c r="N57" s="81">
        <f t="shared" si="26"/>
        <v>0</v>
      </c>
      <c r="O57" s="81">
        <f t="shared" si="27"/>
        <v>0</v>
      </c>
      <c r="P57" s="81">
        <f t="shared" si="28"/>
        <v>0</v>
      </c>
      <c r="Q57" s="81">
        <f t="shared" si="29"/>
        <v>0</v>
      </c>
      <c r="R57" s="81">
        <f t="shared" si="18"/>
        <v>0</v>
      </c>
      <c r="S57" s="81"/>
      <c r="T57" s="81"/>
      <c r="U57" s="81">
        <f t="shared" si="30"/>
        <v>0</v>
      </c>
      <c r="V57" s="81">
        <f t="shared" si="31"/>
        <v>0</v>
      </c>
      <c r="W57" s="87"/>
    </row>
    <row r="58" spans="1:23">
      <c r="A58" s="6">
        <f t="shared" si="32"/>
        <v>1995</v>
      </c>
      <c r="B58" s="104">
        <f>'Exhibit G,3'!Q19</f>
        <v>1415179.75</v>
      </c>
      <c r="C58" s="104">
        <f>'Exhibit G,3'!R19</f>
        <v>1415179.75</v>
      </c>
      <c r="D58" s="104">
        <f>'Exhibit G,3'!S19</f>
        <v>1415179.75</v>
      </c>
      <c r="E58" s="104">
        <f>'Exhibit G,3'!T19</f>
        <v>1415179.75</v>
      </c>
      <c r="F58" s="104">
        <f>'Exhibit G,3'!U19</f>
        <v>0</v>
      </c>
      <c r="G58" s="81">
        <f t="shared" si="19"/>
        <v>4245539.25</v>
      </c>
      <c r="H58" s="81">
        <f t="shared" si="20"/>
        <v>5660719</v>
      </c>
      <c r="I58" s="81">
        <f t="shared" si="21"/>
        <v>2830359.5</v>
      </c>
      <c r="J58" s="81">
        <f t="shared" si="22"/>
        <v>4245539.25</v>
      </c>
      <c r="K58" s="81">
        <f t="shared" si="23"/>
        <v>1415179.75</v>
      </c>
      <c r="L58" s="81">
        <f t="shared" si="24"/>
        <v>1415179.75</v>
      </c>
      <c r="M58" s="81">
        <f t="shared" si="25"/>
        <v>0</v>
      </c>
      <c r="N58" s="81">
        <f t="shared" si="26"/>
        <v>0</v>
      </c>
      <c r="O58" s="81">
        <f t="shared" si="27"/>
        <v>0</v>
      </c>
      <c r="P58" s="81">
        <f t="shared" si="28"/>
        <v>4245539.25</v>
      </c>
      <c r="Q58" s="81">
        <f t="shared" si="29"/>
        <v>1415179.75</v>
      </c>
      <c r="R58" s="81">
        <f t="shared" si="18"/>
        <v>5660719</v>
      </c>
      <c r="S58" s="81"/>
      <c r="T58" s="81"/>
      <c r="U58" s="81">
        <f t="shared" si="30"/>
        <v>0</v>
      </c>
      <c r="V58" s="81">
        <f t="shared" si="31"/>
        <v>5660719</v>
      </c>
      <c r="W58" s="87"/>
    </row>
    <row r="59" spans="1:23">
      <c r="A59" s="6">
        <f t="shared" si="32"/>
        <v>1996</v>
      </c>
      <c r="B59" s="104">
        <f>'Exhibit G,3'!Q20</f>
        <v>207108.40000000002</v>
      </c>
      <c r="C59" s="104">
        <f>'Exhibit G,3'!R20</f>
        <v>207108.40000000002</v>
      </c>
      <c r="D59" s="104">
        <f>'Exhibit G,3'!S20</f>
        <v>207108.40000000002</v>
      </c>
      <c r="E59" s="104">
        <f>'Exhibit G,3'!T20</f>
        <v>207108.40000000002</v>
      </c>
      <c r="F59" s="104">
        <f>'Exhibit G,3'!U20</f>
        <v>0</v>
      </c>
      <c r="G59" s="81">
        <f t="shared" si="19"/>
        <v>621325.20000000007</v>
      </c>
      <c r="H59" s="81">
        <f t="shared" si="20"/>
        <v>828433.60000000009</v>
      </c>
      <c r="I59" s="81">
        <f t="shared" si="21"/>
        <v>414216.80000000005</v>
      </c>
      <c r="J59" s="81">
        <f t="shared" si="22"/>
        <v>621325.20000000007</v>
      </c>
      <c r="K59" s="81">
        <f t="shared" si="23"/>
        <v>207108.40000000002</v>
      </c>
      <c r="L59" s="81">
        <f t="shared" si="24"/>
        <v>207108.40000000002</v>
      </c>
      <c r="M59" s="81">
        <f t="shared" si="25"/>
        <v>0</v>
      </c>
      <c r="N59" s="81">
        <f t="shared" si="26"/>
        <v>0</v>
      </c>
      <c r="O59" s="81">
        <f t="shared" si="27"/>
        <v>0</v>
      </c>
      <c r="P59" s="81">
        <f t="shared" si="28"/>
        <v>621325.20000000007</v>
      </c>
      <c r="Q59" s="81">
        <f t="shared" si="29"/>
        <v>207108.40000000002</v>
      </c>
      <c r="R59" s="81">
        <f t="shared" si="18"/>
        <v>828433.60000000009</v>
      </c>
      <c r="S59" s="81"/>
      <c r="T59" s="81"/>
      <c r="U59" s="81">
        <f t="shared" si="30"/>
        <v>0</v>
      </c>
      <c r="V59" s="81">
        <f t="shared" si="31"/>
        <v>828433.60000000009</v>
      </c>
      <c r="W59" s="87"/>
    </row>
    <row r="60" spans="1:23">
      <c r="A60" s="6">
        <f t="shared" si="32"/>
        <v>1997</v>
      </c>
      <c r="B60" s="104">
        <f>'Exhibit G,3'!Q21</f>
        <v>0</v>
      </c>
      <c r="C60" s="104">
        <f>'Exhibit G,3'!R21</f>
        <v>0</v>
      </c>
      <c r="D60" s="104">
        <f>'Exhibit G,3'!S21</f>
        <v>0</v>
      </c>
      <c r="E60" s="104">
        <f>'Exhibit G,3'!T21</f>
        <v>0</v>
      </c>
      <c r="F60" s="104">
        <f>'Exhibit G,3'!U21</f>
        <v>0</v>
      </c>
      <c r="G60" s="81">
        <f t="shared" si="19"/>
        <v>0</v>
      </c>
      <c r="H60" s="81">
        <f t="shared" si="20"/>
        <v>0</v>
      </c>
      <c r="I60" s="81">
        <f t="shared" si="21"/>
        <v>0</v>
      </c>
      <c r="J60" s="81">
        <f t="shared" si="22"/>
        <v>0</v>
      </c>
      <c r="K60" s="81">
        <f t="shared" si="23"/>
        <v>0</v>
      </c>
      <c r="L60" s="81">
        <f t="shared" si="24"/>
        <v>0</v>
      </c>
      <c r="M60" s="81">
        <f t="shared" si="25"/>
        <v>0</v>
      </c>
      <c r="N60" s="81">
        <f t="shared" si="26"/>
        <v>0</v>
      </c>
      <c r="O60" s="81">
        <f t="shared" si="27"/>
        <v>0</v>
      </c>
      <c r="P60" s="81">
        <f t="shared" si="28"/>
        <v>0</v>
      </c>
      <c r="Q60" s="81">
        <f t="shared" si="29"/>
        <v>0</v>
      </c>
      <c r="R60" s="81">
        <f t="shared" si="18"/>
        <v>0</v>
      </c>
      <c r="S60" s="81"/>
      <c r="T60" s="81"/>
      <c r="U60" s="81">
        <f t="shared" si="30"/>
        <v>0</v>
      </c>
      <c r="V60" s="81">
        <f t="shared" si="31"/>
        <v>0</v>
      </c>
      <c r="W60" s="87"/>
    </row>
    <row r="61" spans="1:23">
      <c r="A61" s="6">
        <f t="shared" si="32"/>
        <v>1998</v>
      </c>
      <c r="B61" s="104">
        <f>'Exhibit G,3'!Q22</f>
        <v>139204.46</v>
      </c>
      <c r="C61" s="104">
        <f>'Exhibit G,3'!R22</f>
        <v>139204.45999999996</v>
      </c>
      <c r="D61" s="104">
        <f>'Exhibit G,3'!S22</f>
        <v>139204.46</v>
      </c>
      <c r="E61" s="104">
        <f>'Exhibit G,3'!T22</f>
        <v>139204.46</v>
      </c>
      <c r="F61" s="104">
        <f>'Exhibit G,3'!U22</f>
        <v>0</v>
      </c>
      <c r="G61" s="81">
        <f t="shared" si="19"/>
        <v>417613.37999999989</v>
      </c>
      <c r="H61" s="81">
        <f t="shared" si="20"/>
        <v>556817.83999999985</v>
      </c>
      <c r="I61" s="81">
        <f t="shared" si="21"/>
        <v>278408.91999999993</v>
      </c>
      <c r="J61" s="81">
        <f t="shared" si="22"/>
        <v>417613.37999999989</v>
      </c>
      <c r="K61" s="81">
        <f t="shared" si="23"/>
        <v>139204.46</v>
      </c>
      <c r="L61" s="81">
        <f t="shared" si="24"/>
        <v>139204.46</v>
      </c>
      <c r="M61" s="81">
        <f t="shared" si="25"/>
        <v>0</v>
      </c>
      <c r="N61" s="81">
        <f t="shared" si="26"/>
        <v>0</v>
      </c>
      <c r="O61" s="81">
        <f t="shared" si="27"/>
        <v>0</v>
      </c>
      <c r="P61" s="81">
        <f t="shared" si="28"/>
        <v>417613.37999999989</v>
      </c>
      <c r="Q61" s="81">
        <f t="shared" si="29"/>
        <v>139204.46</v>
      </c>
      <c r="R61" s="81">
        <f t="shared" si="18"/>
        <v>556817.83999999985</v>
      </c>
      <c r="S61" s="81"/>
      <c r="T61" s="81"/>
      <c r="U61" s="81">
        <f t="shared" si="30"/>
        <v>0</v>
      </c>
      <c r="V61" s="81">
        <f t="shared" si="31"/>
        <v>556817.83999999985</v>
      </c>
      <c r="W61" s="87"/>
    </row>
    <row r="62" spans="1:23">
      <c r="A62" s="6">
        <f t="shared" si="32"/>
        <v>1999</v>
      </c>
      <c r="B62" s="104">
        <f>'Exhibit G,3'!Q23</f>
        <v>355647.08</v>
      </c>
      <c r="C62" s="104">
        <f>'Exhibit G,3'!R23</f>
        <v>355647.08000000007</v>
      </c>
      <c r="D62" s="104">
        <f>'Exhibit G,3'!S23</f>
        <v>355647.08</v>
      </c>
      <c r="E62" s="104">
        <f>'Exhibit G,3'!T23</f>
        <v>355647.08</v>
      </c>
      <c r="F62" s="104">
        <f>'Exhibit G,3'!U23</f>
        <v>0</v>
      </c>
      <c r="G62" s="81">
        <f t="shared" si="19"/>
        <v>1066941.2400000002</v>
      </c>
      <c r="H62" s="81">
        <f t="shared" si="20"/>
        <v>1422588.3200000003</v>
      </c>
      <c r="I62" s="81">
        <f t="shared" si="21"/>
        <v>711294.16000000015</v>
      </c>
      <c r="J62" s="81">
        <f t="shared" si="22"/>
        <v>1066941.2400000002</v>
      </c>
      <c r="K62" s="81">
        <f t="shared" si="23"/>
        <v>355647.08</v>
      </c>
      <c r="L62" s="81">
        <f t="shared" si="24"/>
        <v>355647.08</v>
      </c>
      <c r="M62" s="81">
        <f t="shared" si="25"/>
        <v>0</v>
      </c>
      <c r="N62" s="81">
        <f t="shared" si="26"/>
        <v>0</v>
      </c>
      <c r="O62" s="81">
        <f t="shared" si="27"/>
        <v>0</v>
      </c>
      <c r="P62" s="81">
        <f t="shared" si="28"/>
        <v>1066941.2400000002</v>
      </c>
      <c r="Q62" s="81">
        <f t="shared" si="29"/>
        <v>355647.08</v>
      </c>
      <c r="R62" s="81">
        <f t="shared" si="18"/>
        <v>1422588.3200000003</v>
      </c>
      <c r="S62" s="81"/>
      <c r="T62" s="81"/>
      <c r="U62" s="81">
        <f t="shared" si="30"/>
        <v>0</v>
      </c>
      <c r="V62" s="81">
        <f t="shared" si="31"/>
        <v>1422588.3200000003</v>
      </c>
      <c r="W62" s="87"/>
    </row>
    <row r="63" spans="1:23">
      <c r="A63" s="6">
        <f t="shared" si="32"/>
        <v>2000</v>
      </c>
      <c r="B63" s="104">
        <f>'Exhibit G,3'!Q24</f>
        <v>0</v>
      </c>
      <c r="C63" s="104">
        <f>'Exhibit G,3'!R24</f>
        <v>0</v>
      </c>
      <c r="D63" s="104">
        <f>'Exhibit G,3'!S24</f>
        <v>0</v>
      </c>
      <c r="E63" s="104">
        <f>'Exhibit G,3'!T24</f>
        <v>0</v>
      </c>
      <c r="F63" s="104">
        <f>'Exhibit G,3'!U24</f>
        <v>0</v>
      </c>
      <c r="G63" s="81">
        <f t="shared" si="19"/>
        <v>0</v>
      </c>
      <c r="H63" s="81">
        <f t="shared" si="20"/>
        <v>0</v>
      </c>
      <c r="I63" s="81">
        <f t="shared" si="21"/>
        <v>0</v>
      </c>
      <c r="J63" s="81">
        <f t="shared" si="22"/>
        <v>0</v>
      </c>
      <c r="K63" s="81">
        <f t="shared" si="23"/>
        <v>0</v>
      </c>
      <c r="L63" s="81">
        <f t="shared" si="24"/>
        <v>0</v>
      </c>
      <c r="M63" s="81">
        <f t="shared" si="25"/>
        <v>0</v>
      </c>
      <c r="N63" s="81">
        <f t="shared" si="26"/>
        <v>0</v>
      </c>
      <c r="O63" s="81">
        <f t="shared" si="27"/>
        <v>0</v>
      </c>
      <c r="P63" s="81">
        <f t="shared" si="28"/>
        <v>0</v>
      </c>
      <c r="Q63" s="81">
        <f t="shared" si="29"/>
        <v>0</v>
      </c>
      <c r="R63" s="81">
        <f t="shared" si="18"/>
        <v>0</v>
      </c>
      <c r="S63" s="81"/>
      <c r="T63" s="81"/>
      <c r="U63" s="81">
        <f t="shared" si="30"/>
        <v>0</v>
      </c>
      <c r="V63" s="81">
        <f t="shared" si="31"/>
        <v>0</v>
      </c>
      <c r="W63" s="87"/>
    </row>
    <row r="64" spans="1:23">
      <c r="A64" s="6">
        <f t="shared" si="32"/>
        <v>2001</v>
      </c>
      <c r="B64" s="104">
        <f>'Exhibit G,3'!Q25</f>
        <v>227752.88</v>
      </c>
      <c r="C64" s="104">
        <f>'Exhibit G,3'!R25</f>
        <v>227752.87999999989</v>
      </c>
      <c r="D64" s="104">
        <f>'Exhibit G,3'!S25</f>
        <v>227752.88</v>
      </c>
      <c r="E64" s="104">
        <f>'Exhibit G,3'!T25</f>
        <v>227752.88</v>
      </c>
      <c r="F64" s="104">
        <f>'Exhibit G,3'!U25</f>
        <v>0</v>
      </c>
      <c r="G64" s="81">
        <f t="shared" si="19"/>
        <v>683258.6399999999</v>
      </c>
      <c r="H64" s="81">
        <f t="shared" si="20"/>
        <v>911011.5199999999</v>
      </c>
      <c r="I64" s="81">
        <f t="shared" si="21"/>
        <v>455505.75999999989</v>
      </c>
      <c r="J64" s="81">
        <f t="shared" si="22"/>
        <v>683258.6399999999</v>
      </c>
      <c r="K64" s="81">
        <f t="shared" si="23"/>
        <v>227752.88</v>
      </c>
      <c r="L64" s="81">
        <f t="shared" si="24"/>
        <v>227752.88</v>
      </c>
      <c r="M64" s="81">
        <f t="shared" si="25"/>
        <v>0</v>
      </c>
      <c r="N64" s="81">
        <f t="shared" si="26"/>
        <v>0</v>
      </c>
      <c r="O64" s="81">
        <f t="shared" si="27"/>
        <v>0</v>
      </c>
      <c r="P64" s="81">
        <f t="shared" si="28"/>
        <v>683258.6399999999</v>
      </c>
      <c r="Q64" s="81">
        <f t="shared" si="29"/>
        <v>227752.88</v>
      </c>
      <c r="R64" s="81">
        <f t="shared" si="18"/>
        <v>911011.5199999999</v>
      </c>
      <c r="S64" s="81"/>
      <c r="T64" s="81"/>
      <c r="U64" s="81">
        <f t="shared" si="30"/>
        <v>0</v>
      </c>
      <c r="V64" s="81">
        <f t="shared" si="31"/>
        <v>911011.5199999999</v>
      </c>
      <c r="W64" s="87"/>
    </row>
    <row r="65" spans="1:23">
      <c r="A65" s="6">
        <f t="shared" si="32"/>
        <v>2002</v>
      </c>
      <c r="B65" s="104">
        <f>'Exhibit G,3'!Q26</f>
        <v>0</v>
      </c>
      <c r="C65" s="104">
        <f>'Exhibit G,3'!R26</f>
        <v>0</v>
      </c>
      <c r="D65" s="104">
        <f>'Exhibit G,3'!S26</f>
        <v>0</v>
      </c>
      <c r="E65" s="104">
        <f>'Exhibit G,3'!T26</f>
        <v>0</v>
      </c>
      <c r="F65" s="104">
        <f>'Exhibit G,3'!U26</f>
        <v>0</v>
      </c>
      <c r="G65" s="81">
        <f t="shared" si="19"/>
        <v>0</v>
      </c>
      <c r="H65" s="81">
        <f t="shared" si="20"/>
        <v>0</v>
      </c>
      <c r="I65" s="81">
        <f t="shared" si="21"/>
        <v>0</v>
      </c>
      <c r="J65" s="81">
        <f t="shared" si="22"/>
        <v>0</v>
      </c>
      <c r="K65" s="81">
        <f t="shared" si="23"/>
        <v>0</v>
      </c>
      <c r="L65" s="81">
        <f t="shared" si="24"/>
        <v>0</v>
      </c>
      <c r="M65" s="81">
        <f t="shared" si="25"/>
        <v>0</v>
      </c>
      <c r="N65" s="81">
        <f t="shared" si="26"/>
        <v>0</v>
      </c>
      <c r="O65" s="81">
        <f t="shared" si="27"/>
        <v>0</v>
      </c>
      <c r="P65" s="81">
        <f t="shared" si="28"/>
        <v>0</v>
      </c>
      <c r="Q65" s="81">
        <f t="shared" si="29"/>
        <v>0</v>
      </c>
      <c r="R65" s="81">
        <f t="shared" si="18"/>
        <v>0</v>
      </c>
      <c r="S65" s="81"/>
      <c r="T65" s="81"/>
      <c r="U65" s="81">
        <f t="shared" si="30"/>
        <v>0</v>
      </c>
      <c r="V65" s="81">
        <f t="shared" si="31"/>
        <v>0</v>
      </c>
      <c r="W65" s="87"/>
    </row>
    <row r="66" spans="1:23">
      <c r="A66" s="6">
        <f t="shared" si="32"/>
        <v>2003</v>
      </c>
      <c r="B66" s="104">
        <f>'Exhibit G,3'!Q27</f>
        <v>53771.83</v>
      </c>
      <c r="C66" s="104">
        <f>'Exhibit G,3'!R27</f>
        <v>53771.829999999609</v>
      </c>
      <c r="D66" s="104">
        <f>'Exhibit G,3'!S27</f>
        <v>53771.83</v>
      </c>
      <c r="E66" s="104">
        <f>'Exhibit G,3'!T27</f>
        <v>53771.83</v>
      </c>
      <c r="F66" s="104">
        <f>'Exhibit G,3'!U27</f>
        <v>-3.92901711165905E-10</v>
      </c>
      <c r="G66" s="81">
        <f t="shared" si="19"/>
        <v>161315.48999999961</v>
      </c>
      <c r="H66" s="81">
        <f t="shared" si="20"/>
        <v>215087.31999999919</v>
      </c>
      <c r="I66" s="81">
        <f t="shared" si="21"/>
        <v>107543.65999999961</v>
      </c>
      <c r="J66" s="81">
        <f t="shared" si="22"/>
        <v>161315.48999999961</v>
      </c>
      <c r="K66" s="81">
        <f t="shared" si="23"/>
        <v>53771.83</v>
      </c>
      <c r="L66" s="81">
        <f t="shared" si="24"/>
        <v>53771.829999999609</v>
      </c>
      <c r="M66" s="81">
        <f t="shared" si="25"/>
        <v>0</v>
      </c>
      <c r="N66" s="81">
        <f t="shared" si="26"/>
        <v>0</v>
      </c>
      <c r="O66" s="81">
        <f t="shared" si="27"/>
        <v>0</v>
      </c>
      <c r="P66" s="81">
        <f t="shared" si="28"/>
        <v>161315.48999999961</v>
      </c>
      <c r="Q66" s="81">
        <f t="shared" si="29"/>
        <v>53771.829999999609</v>
      </c>
      <c r="R66" s="81">
        <f t="shared" si="18"/>
        <v>215087.31999999922</v>
      </c>
      <c r="S66" s="81"/>
      <c r="T66" s="81"/>
      <c r="U66" s="81">
        <f t="shared" si="30"/>
        <v>0</v>
      </c>
      <c r="V66" s="81">
        <f t="shared" si="31"/>
        <v>215087.31999999922</v>
      </c>
      <c r="W66" s="87"/>
    </row>
    <row r="67" spans="1:23">
      <c r="A67" s="6">
        <f t="shared" si="32"/>
        <v>2004</v>
      </c>
      <c r="B67" s="104">
        <f>'Exhibit G,3'!Q28</f>
        <v>0</v>
      </c>
      <c r="C67" s="104">
        <f>'Exhibit G,3'!R28</f>
        <v>0</v>
      </c>
      <c r="D67" s="104">
        <f>'Exhibit G,3'!S28</f>
        <v>0</v>
      </c>
      <c r="E67" s="104">
        <f>'Exhibit G,3'!T28</f>
        <v>0</v>
      </c>
      <c r="F67" s="104">
        <f>'Exhibit G,3'!U28</f>
        <v>0</v>
      </c>
      <c r="G67" s="81">
        <f t="shared" si="19"/>
        <v>0</v>
      </c>
      <c r="H67" s="81">
        <f t="shared" si="20"/>
        <v>0</v>
      </c>
      <c r="I67" s="81">
        <f t="shared" si="21"/>
        <v>0</v>
      </c>
      <c r="J67" s="81">
        <f t="shared" si="22"/>
        <v>0</v>
      </c>
      <c r="K67" s="81">
        <f t="shared" si="23"/>
        <v>0</v>
      </c>
      <c r="L67" s="81">
        <f t="shared" si="24"/>
        <v>0</v>
      </c>
      <c r="M67" s="81">
        <f t="shared" si="25"/>
        <v>0</v>
      </c>
      <c r="N67" s="81">
        <f t="shared" si="26"/>
        <v>0</v>
      </c>
      <c r="O67" s="81">
        <f t="shared" si="27"/>
        <v>0</v>
      </c>
      <c r="P67" s="81">
        <f t="shared" si="28"/>
        <v>0</v>
      </c>
      <c r="Q67" s="81">
        <f t="shared" si="29"/>
        <v>0</v>
      </c>
      <c r="R67" s="81">
        <f t="shared" si="18"/>
        <v>0</v>
      </c>
      <c r="S67" s="81"/>
      <c r="T67" s="81"/>
      <c r="U67" s="81">
        <f t="shared" si="30"/>
        <v>0</v>
      </c>
      <c r="V67" s="81">
        <f t="shared" si="31"/>
        <v>0</v>
      </c>
      <c r="W67" s="87"/>
    </row>
    <row r="68" spans="1:23">
      <c r="A68" s="6">
        <f t="shared" si="32"/>
        <v>2005</v>
      </c>
      <c r="B68" s="104">
        <f>'Exhibit G,3'!Q29</f>
        <v>95234.08</v>
      </c>
      <c r="C68" s="104">
        <f>'Exhibit G,3'!R29</f>
        <v>95234.080000000075</v>
      </c>
      <c r="D68" s="104">
        <f>'Exhibit G,3'!S29</f>
        <v>95234.08</v>
      </c>
      <c r="E68" s="104">
        <f>'Exhibit G,3'!T29</f>
        <v>95234.08</v>
      </c>
      <c r="F68" s="104">
        <f>'Exhibit G,3'!U29</f>
        <v>0</v>
      </c>
      <c r="G68" s="81">
        <f t="shared" si="19"/>
        <v>285702.24000000011</v>
      </c>
      <c r="H68" s="81">
        <f t="shared" si="20"/>
        <v>380936.32000000012</v>
      </c>
      <c r="I68" s="81">
        <f t="shared" si="21"/>
        <v>190468.16000000009</v>
      </c>
      <c r="J68" s="81">
        <f t="shared" si="22"/>
        <v>285702.24000000011</v>
      </c>
      <c r="K68" s="81">
        <f t="shared" si="23"/>
        <v>95234.08</v>
      </c>
      <c r="L68" s="81">
        <f t="shared" si="24"/>
        <v>95234.08</v>
      </c>
      <c r="M68" s="81">
        <f t="shared" si="25"/>
        <v>0</v>
      </c>
      <c r="N68" s="81">
        <f t="shared" si="26"/>
        <v>0</v>
      </c>
      <c r="O68" s="81">
        <f t="shared" si="27"/>
        <v>0</v>
      </c>
      <c r="P68" s="81">
        <f t="shared" si="28"/>
        <v>285702.24000000011</v>
      </c>
      <c r="Q68" s="81">
        <f t="shared" si="29"/>
        <v>95234.08</v>
      </c>
      <c r="R68" s="81">
        <f t="shared" si="18"/>
        <v>380936.32000000012</v>
      </c>
      <c r="S68" s="81"/>
      <c r="T68" s="81"/>
      <c r="U68" s="81">
        <f t="shared" si="30"/>
        <v>0</v>
      </c>
      <c r="V68" s="81">
        <f t="shared" si="31"/>
        <v>380936.32000000012</v>
      </c>
      <c r="W68" s="87"/>
    </row>
    <row r="69" spans="1:23">
      <c r="A69" s="6">
        <f t="shared" si="32"/>
        <v>2006</v>
      </c>
      <c r="B69" s="104">
        <f>'Exhibit G,3'!Q30</f>
        <v>0</v>
      </c>
      <c r="C69" s="104">
        <f>'Exhibit G,3'!R30</f>
        <v>0</v>
      </c>
      <c r="D69" s="104">
        <f>'Exhibit G,3'!S30</f>
        <v>0</v>
      </c>
      <c r="E69" s="104">
        <f>'Exhibit G,3'!T30</f>
        <v>0</v>
      </c>
      <c r="F69" s="104">
        <f>'Exhibit G,3'!U30</f>
        <v>0</v>
      </c>
      <c r="G69" s="81">
        <f t="shared" si="19"/>
        <v>0</v>
      </c>
      <c r="H69" s="81">
        <f t="shared" si="20"/>
        <v>0</v>
      </c>
      <c r="I69" s="81">
        <f t="shared" si="21"/>
        <v>0</v>
      </c>
      <c r="J69" s="81">
        <f t="shared" si="22"/>
        <v>0</v>
      </c>
      <c r="K69" s="81">
        <f t="shared" si="23"/>
        <v>0</v>
      </c>
      <c r="L69" s="81">
        <f t="shared" si="24"/>
        <v>0</v>
      </c>
      <c r="M69" s="81">
        <f t="shared" si="25"/>
        <v>0</v>
      </c>
      <c r="N69" s="81">
        <f t="shared" si="26"/>
        <v>0</v>
      </c>
      <c r="O69" s="81">
        <f t="shared" si="27"/>
        <v>0</v>
      </c>
      <c r="P69" s="81">
        <f t="shared" si="28"/>
        <v>0</v>
      </c>
      <c r="Q69" s="81">
        <f t="shared" si="29"/>
        <v>0</v>
      </c>
      <c r="R69" s="81">
        <f t="shared" si="18"/>
        <v>0</v>
      </c>
      <c r="S69" s="81"/>
      <c r="T69" s="81"/>
      <c r="U69" s="81">
        <f t="shared" si="30"/>
        <v>0</v>
      </c>
      <c r="V69" s="81">
        <f t="shared" si="31"/>
        <v>0</v>
      </c>
      <c r="W69" s="87"/>
    </row>
    <row r="70" spans="1:23">
      <c r="A70" s="6">
        <f t="shared" si="32"/>
        <v>2007</v>
      </c>
      <c r="B70" s="104">
        <f>'Exhibit G,3'!Q31</f>
        <v>0</v>
      </c>
      <c r="C70" s="104">
        <f>'Exhibit G,3'!R31</f>
        <v>0</v>
      </c>
      <c r="D70" s="104">
        <f>'Exhibit G,3'!S31</f>
        <v>0</v>
      </c>
      <c r="E70" s="104">
        <f>'Exhibit G,3'!T31</f>
        <v>0</v>
      </c>
      <c r="F70" s="104">
        <f>'Exhibit G,3'!U31</f>
        <v>0</v>
      </c>
      <c r="G70" s="81">
        <f t="shared" si="19"/>
        <v>0</v>
      </c>
      <c r="H70" s="81">
        <f t="shared" si="20"/>
        <v>0</v>
      </c>
      <c r="I70" s="81">
        <f t="shared" si="21"/>
        <v>0</v>
      </c>
      <c r="J70" s="81">
        <f t="shared" si="22"/>
        <v>0</v>
      </c>
      <c r="K70" s="81">
        <f t="shared" si="23"/>
        <v>0</v>
      </c>
      <c r="L70" s="81">
        <f t="shared" si="24"/>
        <v>0</v>
      </c>
      <c r="M70" s="81">
        <f t="shared" si="25"/>
        <v>0</v>
      </c>
      <c r="N70" s="81">
        <f t="shared" si="26"/>
        <v>0</v>
      </c>
      <c r="O70" s="81">
        <f t="shared" si="27"/>
        <v>0</v>
      </c>
      <c r="P70" s="81">
        <f t="shared" si="28"/>
        <v>0</v>
      </c>
      <c r="Q70" s="81">
        <f t="shared" si="29"/>
        <v>0</v>
      </c>
      <c r="R70" s="81">
        <f t="shared" si="18"/>
        <v>0</v>
      </c>
      <c r="S70" s="81"/>
      <c r="T70" s="81"/>
      <c r="U70" s="81">
        <f t="shared" si="30"/>
        <v>0</v>
      </c>
      <c r="V70" s="81">
        <f t="shared" si="31"/>
        <v>0</v>
      </c>
      <c r="W70" s="87"/>
    </row>
    <row r="71" spans="1:23">
      <c r="A71" s="6">
        <f t="shared" si="32"/>
        <v>2008</v>
      </c>
      <c r="B71" s="104">
        <f>'Exhibit G,3'!Q32</f>
        <v>0</v>
      </c>
      <c r="C71" s="104">
        <f>'Exhibit G,3'!R32</f>
        <v>0</v>
      </c>
      <c r="D71" s="104">
        <f>'Exhibit G,3'!S32</f>
        <v>0</v>
      </c>
      <c r="E71" s="104">
        <f>'Exhibit G,3'!T32</f>
        <v>0</v>
      </c>
      <c r="F71" s="104">
        <f>'Exhibit G,3'!U32</f>
        <v>0</v>
      </c>
      <c r="G71" s="81">
        <f t="shared" si="19"/>
        <v>0</v>
      </c>
      <c r="H71" s="81">
        <f t="shared" si="20"/>
        <v>0</v>
      </c>
      <c r="I71" s="81">
        <f t="shared" si="21"/>
        <v>0</v>
      </c>
      <c r="J71" s="81">
        <f t="shared" si="22"/>
        <v>0</v>
      </c>
      <c r="K71" s="81">
        <f t="shared" si="23"/>
        <v>0</v>
      </c>
      <c r="L71" s="81">
        <f t="shared" si="24"/>
        <v>0</v>
      </c>
      <c r="M71" s="81">
        <f t="shared" si="25"/>
        <v>0</v>
      </c>
      <c r="N71" s="81">
        <f t="shared" si="26"/>
        <v>0</v>
      </c>
      <c r="O71" s="81">
        <f t="shared" si="27"/>
        <v>0</v>
      </c>
      <c r="P71" s="81">
        <f t="shared" si="28"/>
        <v>0</v>
      </c>
      <c r="Q71" s="81">
        <f t="shared" si="29"/>
        <v>0</v>
      </c>
      <c r="R71" s="81">
        <f t="shared" si="18"/>
        <v>0</v>
      </c>
      <c r="S71" s="81"/>
      <c r="T71" s="81"/>
      <c r="U71" s="81">
        <f t="shared" si="30"/>
        <v>0</v>
      </c>
      <c r="V71" s="81">
        <f t="shared" si="31"/>
        <v>0</v>
      </c>
      <c r="W71" s="87"/>
    </row>
    <row r="72" spans="1:23">
      <c r="A72" s="6">
        <f t="shared" si="32"/>
        <v>2009</v>
      </c>
      <c r="B72" s="104">
        <f>'Exhibit G,3'!Q33</f>
        <v>0</v>
      </c>
      <c r="C72" s="104">
        <f>'Exhibit G,3'!R33</f>
        <v>0</v>
      </c>
      <c r="D72" s="104">
        <f>'Exhibit G,3'!S33</f>
        <v>0</v>
      </c>
      <c r="E72" s="104">
        <f>'Exhibit G,3'!T33</f>
        <v>0</v>
      </c>
      <c r="F72" s="104">
        <f>'Exhibit G,3'!U33</f>
        <v>0</v>
      </c>
      <c r="G72" s="81">
        <f t="shared" si="19"/>
        <v>0</v>
      </c>
      <c r="H72" s="81">
        <f t="shared" si="20"/>
        <v>0</v>
      </c>
      <c r="I72" s="81">
        <f t="shared" si="21"/>
        <v>0</v>
      </c>
      <c r="J72" s="81">
        <f t="shared" si="22"/>
        <v>0</v>
      </c>
      <c r="K72" s="81">
        <f t="shared" si="23"/>
        <v>0</v>
      </c>
      <c r="L72" s="81">
        <f t="shared" si="24"/>
        <v>0</v>
      </c>
      <c r="M72" s="81">
        <f t="shared" si="25"/>
        <v>0</v>
      </c>
      <c r="N72" s="81">
        <f t="shared" si="26"/>
        <v>0</v>
      </c>
      <c r="O72" s="81">
        <f t="shared" si="27"/>
        <v>0</v>
      </c>
      <c r="P72" s="81">
        <f t="shared" si="28"/>
        <v>0</v>
      </c>
      <c r="Q72" s="81">
        <f t="shared" si="29"/>
        <v>0</v>
      </c>
      <c r="R72" s="81">
        <f t="shared" si="18"/>
        <v>0</v>
      </c>
      <c r="S72" s="81"/>
      <c r="T72" s="81"/>
      <c r="U72" s="81">
        <f t="shared" si="30"/>
        <v>0</v>
      </c>
      <c r="V72" s="81">
        <f t="shared" si="31"/>
        <v>0</v>
      </c>
      <c r="W72" s="87"/>
    </row>
    <row r="73" spans="1:23">
      <c r="A73" s="6">
        <f t="shared" si="32"/>
        <v>2010</v>
      </c>
      <c r="B73" s="104">
        <f>'Exhibit G,3'!Q34</f>
        <v>0</v>
      </c>
      <c r="C73" s="104">
        <f>'Exhibit G,3'!R34</f>
        <v>0</v>
      </c>
      <c r="D73" s="104">
        <f>'Exhibit G,3'!S34</f>
        <v>0</v>
      </c>
      <c r="E73" s="104">
        <f>'Exhibit G,3'!T34</f>
        <v>0</v>
      </c>
      <c r="F73" s="104">
        <f>'Exhibit G,3'!U34</f>
        <v>0</v>
      </c>
      <c r="G73" s="81">
        <f t="shared" si="19"/>
        <v>0</v>
      </c>
      <c r="H73" s="81">
        <f t="shared" si="20"/>
        <v>0</v>
      </c>
      <c r="I73" s="81">
        <f t="shared" si="21"/>
        <v>0</v>
      </c>
      <c r="J73" s="81">
        <f t="shared" si="22"/>
        <v>0</v>
      </c>
      <c r="K73" s="81">
        <f t="shared" si="23"/>
        <v>0</v>
      </c>
      <c r="L73" s="81">
        <f t="shared" si="24"/>
        <v>0</v>
      </c>
      <c r="M73" s="81">
        <f t="shared" si="25"/>
        <v>0</v>
      </c>
      <c r="N73" s="81">
        <f t="shared" si="26"/>
        <v>0</v>
      </c>
      <c r="O73" s="81">
        <f t="shared" si="27"/>
        <v>0</v>
      </c>
      <c r="P73" s="81">
        <f t="shared" si="28"/>
        <v>0</v>
      </c>
      <c r="Q73" s="81">
        <f t="shared" si="29"/>
        <v>0</v>
      </c>
      <c r="R73" s="81">
        <f t="shared" si="18"/>
        <v>0</v>
      </c>
      <c r="S73" s="81"/>
      <c r="T73" s="81"/>
      <c r="U73" s="81">
        <f t="shared" si="30"/>
        <v>0</v>
      </c>
      <c r="V73" s="81">
        <f t="shared" si="31"/>
        <v>0</v>
      </c>
      <c r="W73" s="87"/>
    </row>
    <row r="74" spans="1:23">
      <c r="A74" s="6">
        <f t="shared" si="32"/>
        <v>2011</v>
      </c>
      <c r="B74" s="104">
        <f>'Exhibit G,3'!Q35</f>
        <v>0</v>
      </c>
      <c r="C74" s="104">
        <f>'Exhibit G,3'!R35</f>
        <v>0</v>
      </c>
      <c r="D74" s="104">
        <f>'Exhibit G,3'!S35</f>
        <v>0</v>
      </c>
      <c r="E74" s="104">
        <f>'Exhibit G,3'!T35</f>
        <v>0</v>
      </c>
      <c r="F74" s="104">
        <f>'Exhibit G,3'!U35</f>
        <v>0</v>
      </c>
      <c r="G74" s="81">
        <f t="shared" si="19"/>
        <v>0</v>
      </c>
      <c r="H74" s="81">
        <f t="shared" si="20"/>
        <v>0</v>
      </c>
      <c r="I74" s="81">
        <f t="shared" si="21"/>
        <v>0</v>
      </c>
      <c r="J74" s="81">
        <f t="shared" si="22"/>
        <v>0</v>
      </c>
      <c r="K74" s="81">
        <f t="shared" si="23"/>
        <v>0</v>
      </c>
      <c r="L74" s="81">
        <f t="shared" si="24"/>
        <v>0</v>
      </c>
      <c r="M74" s="81">
        <f t="shared" si="25"/>
        <v>0.32587378213647755</v>
      </c>
      <c r="N74" s="81">
        <f t="shared" si="26"/>
        <v>1.7151251691393556E-2</v>
      </c>
      <c r="O74" s="81">
        <f t="shared" si="27"/>
        <v>0.34302503382787108</v>
      </c>
      <c r="P74" s="81">
        <f t="shared" si="28"/>
        <v>0.32587378213647755</v>
      </c>
      <c r="Q74" s="81">
        <f t="shared" si="29"/>
        <v>1.7151251691393556E-2</v>
      </c>
      <c r="R74" s="81">
        <f t="shared" si="18"/>
        <v>0.34302503382787108</v>
      </c>
      <c r="S74" s="81"/>
      <c r="T74" s="81"/>
      <c r="U74" s="81">
        <f t="shared" si="30"/>
        <v>0</v>
      </c>
      <c r="V74" s="81">
        <f t="shared" si="31"/>
        <v>0.34302503382787108</v>
      </c>
      <c r="W74" s="87">
        <v>81880.681473813936</v>
      </c>
    </row>
    <row r="75" spans="1:23">
      <c r="A75" s="6">
        <f t="shared" si="32"/>
        <v>2012</v>
      </c>
      <c r="B75" s="104">
        <f>'Exhibit G,3'!Q36</f>
        <v>0</v>
      </c>
      <c r="C75" s="104">
        <f>'Exhibit G,3'!R36</f>
        <v>0</v>
      </c>
      <c r="D75" s="104">
        <f>'Exhibit G,3'!S36</f>
        <v>0</v>
      </c>
      <c r="E75" s="104">
        <f>'Exhibit G,3'!T36</f>
        <v>0</v>
      </c>
      <c r="F75" s="104">
        <f>'Exhibit G,3'!U36</f>
        <v>0</v>
      </c>
      <c r="G75" s="81">
        <f t="shared" si="19"/>
        <v>0</v>
      </c>
      <c r="H75" s="81">
        <f t="shared" si="20"/>
        <v>0</v>
      </c>
      <c r="I75" s="81">
        <f t="shared" si="21"/>
        <v>0</v>
      </c>
      <c r="J75" s="81">
        <f t="shared" si="22"/>
        <v>0</v>
      </c>
      <c r="K75" s="81">
        <f t="shared" si="23"/>
        <v>0</v>
      </c>
      <c r="L75" s="81">
        <f t="shared" si="24"/>
        <v>0</v>
      </c>
      <c r="M75" s="81">
        <f t="shared" si="25"/>
        <v>56.930154111841695</v>
      </c>
      <c r="N75" s="81">
        <f t="shared" si="26"/>
        <v>2.9963239006232474</v>
      </c>
      <c r="O75" s="81">
        <f t="shared" si="27"/>
        <v>59.926478012464941</v>
      </c>
      <c r="P75" s="81">
        <f t="shared" si="28"/>
        <v>56.930154111841695</v>
      </c>
      <c r="Q75" s="81">
        <f t="shared" si="29"/>
        <v>2.9963239006232474</v>
      </c>
      <c r="R75" s="81">
        <f t="shared" si="18"/>
        <v>59.926478012464941</v>
      </c>
      <c r="S75" s="81"/>
      <c r="T75" s="81"/>
      <c r="U75" s="81">
        <f t="shared" si="30"/>
        <v>0</v>
      </c>
      <c r="V75" s="81">
        <f t="shared" si="31"/>
        <v>59.926478012464941</v>
      </c>
      <c r="W75" s="87">
        <v>47970.220562498733</v>
      </c>
    </row>
    <row r="76" spans="1:23">
      <c r="A76" s="6">
        <f t="shared" si="32"/>
        <v>2013</v>
      </c>
      <c r="B76" s="104">
        <f>'Exhibit G,3'!Q37</f>
        <v>0</v>
      </c>
      <c r="C76" s="104">
        <f>'Exhibit G,3'!R37</f>
        <v>0</v>
      </c>
      <c r="D76" s="104">
        <f>'Exhibit G,3'!S37</f>
        <v>0</v>
      </c>
      <c r="E76" s="104">
        <f>'Exhibit G,3'!T37</f>
        <v>0</v>
      </c>
      <c r="F76" s="104">
        <f>'Exhibit G,3'!U37</f>
        <v>0</v>
      </c>
      <c r="G76" s="81">
        <f t="shared" si="19"/>
        <v>0</v>
      </c>
      <c r="H76" s="81">
        <f t="shared" si="20"/>
        <v>0</v>
      </c>
      <c r="I76" s="81">
        <f t="shared" si="21"/>
        <v>0</v>
      </c>
      <c r="J76" s="81">
        <f t="shared" si="22"/>
        <v>0</v>
      </c>
      <c r="K76" s="81">
        <f t="shared" si="23"/>
        <v>0</v>
      </c>
      <c r="L76" s="81">
        <f t="shared" si="24"/>
        <v>0</v>
      </c>
      <c r="M76" s="81">
        <f t="shared" si="25"/>
        <v>982.33892729413344</v>
      </c>
      <c r="N76" s="81">
        <f t="shared" si="26"/>
        <v>51.702048804954394</v>
      </c>
      <c r="O76" s="81">
        <f t="shared" si="27"/>
        <v>1034.0409760990879</v>
      </c>
      <c r="P76" s="81">
        <f t="shared" si="28"/>
        <v>982.33892729413344</v>
      </c>
      <c r="Q76" s="81">
        <f t="shared" si="29"/>
        <v>51.702048804954394</v>
      </c>
      <c r="R76" s="81">
        <f t="shared" si="18"/>
        <v>1034.0409760990879</v>
      </c>
      <c r="S76" s="81"/>
      <c r="T76" s="81"/>
      <c r="U76" s="81">
        <f t="shared" si="30"/>
        <v>0</v>
      </c>
      <c r="V76" s="81">
        <f t="shared" si="31"/>
        <v>1034.0409760990879</v>
      </c>
      <c r="W76" s="87">
        <v>64797.114065057314</v>
      </c>
    </row>
    <row r="77" spans="1:23">
      <c r="A77" s="6">
        <f t="shared" si="32"/>
        <v>2014</v>
      </c>
      <c r="B77" s="104">
        <f>'Exhibit G,3'!Q38</f>
        <v>856276.11</v>
      </c>
      <c r="C77" s="104">
        <f>'Exhibit G,3'!R38</f>
        <v>856276.10999999987</v>
      </c>
      <c r="D77" s="104">
        <f>'Exhibit G,3'!S38</f>
        <v>856276.11</v>
      </c>
      <c r="E77" s="104">
        <f>'Exhibit G,3'!T38</f>
        <v>1299610.1100000001</v>
      </c>
      <c r="F77" s="104">
        <f>'Exhibit G,3'!U38</f>
        <v>-443334.00000000023</v>
      </c>
      <c r="G77" s="81">
        <f t="shared" si="19"/>
        <v>3012162.33</v>
      </c>
      <c r="H77" s="81">
        <f t="shared" si="20"/>
        <v>3425104.4399999995</v>
      </c>
      <c r="I77" s="81">
        <f t="shared" si="21"/>
        <v>1712552.2199999997</v>
      </c>
      <c r="J77" s="81">
        <f t="shared" si="22"/>
        <v>2568828.3299999996</v>
      </c>
      <c r="K77" s="81">
        <f t="shared" si="23"/>
        <v>1299610.1100000001</v>
      </c>
      <c r="L77" s="81">
        <f t="shared" si="24"/>
        <v>856276.10999999987</v>
      </c>
      <c r="M77" s="81">
        <f t="shared" si="25"/>
        <v>215064.17119870431</v>
      </c>
      <c r="N77" s="81">
        <f t="shared" si="26"/>
        <v>11319.166905194965</v>
      </c>
      <c r="O77" s="81">
        <f t="shared" si="27"/>
        <v>226383.33810389927</v>
      </c>
      <c r="P77" s="81">
        <f t="shared" si="28"/>
        <v>2783892.5011987039</v>
      </c>
      <c r="Q77" s="81">
        <f t="shared" si="29"/>
        <v>867595.27690519486</v>
      </c>
      <c r="R77" s="81">
        <f t="shared" si="18"/>
        <v>3651487.7781038987</v>
      </c>
      <c r="S77" s="81"/>
      <c r="T77" s="81"/>
      <c r="U77" s="81">
        <f t="shared" si="30"/>
        <v>0</v>
      </c>
      <c r="V77" s="81">
        <f t="shared" si="31"/>
        <v>3651487.7781038987</v>
      </c>
      <c r="W77" s="87">
        <v>76744.709288553917</v>
      </c>
    </row>
    <row r="78" spans="1:23">
      <c r="A78" s="6">
        <f t="shared" si="32"/>
        <v>2015</v>
      </c>
      <c r="B78" s="104">
        <f>'Exhibit G,3'!Q39</f>
        <v>0</v>
      </c>
      <c r="C78" s="104">
        <f>'Exhibit G,3'!R39</f>
        <v>0</v>
      </c>
      <c r="D78" s="104">
        <f>'Exhibit G,3'!S39</f>
        <v>0</v>
      </c>
      <c r="E78" s="104">
        <f>'Exhibit G,3'!T39</f>
        <v>0</v>
      </c>
      <c r="F78" s="104">
        <f>'Exhibit G,3'!U39</f>
        <v>0</v>
      </c>
      <c r="G78" s="81">
        <f t="shared" si="19"/>
        <v>0</v>
      </c>
      <c r="H78" s="81">
        <f t="shared" si="20"/>
        <v>0</v>
      </c>
      <c r="I78" s="81">
        <f t="shared" si="21"/>
        <v>0</v>
      </c>
      <c r="J78" s="81">
        <f t="shared" si="22"/>
        <v>0</v>
      </c>
      <c r="K78" s="81">
        <f t="shared" si="23"/>
        <v>0</v>
      </c>
      <c r="L78" s="81">
        <f t="shared" si="24"/>
        <v>0</v>
      </c>
      <c r="M78" s="81">
        <f t="shared" si="25"/>
        <v>11791.724830384326</v>
      </c>
      <c r="N78" s="81">
        <f t="shared" si="26"/>
        <v>620.6170963360172</v>
      </c>
      <c r="O78" s="81">
        <f t="shared" si="27"/>
        <v>12412.341926720343</v>
      </c>
      <c r="P78" s="81">
        <f t="shared" si="28"/>
        <v>11791.724830384326</v>
      </c>
      <c r="Q78" s="81">
        <f t="shared" si="29"/>
        <v>620.6170963360172</v>
      </c>
      <c r="R78" s="81">
        <f t="shared" si="18"/>
        <v>12412.341926720343</v>
      </c>
      <c r="S78" s="81"/>
      <c r="T78" s="81"/>
      <c r="U78" s="81">
        <f t="shared" si="30"/>
        <v>0</v>
      </c>
      <c r="V78" s="81">
        <f t="shared" si="31"/>
        <v>12412.341926720343</v>
      </c>
      <c r="W78" s="87">
        <v>317917.55501122482</v>
      </c>
    </row>
    <row r="79" spans="1:23">
      <c r="A79" s="6">
        <f t="shared" si="32"/>
        <v>2016</v>
      </c>
      <c r="B79" s="104">
        <f>'Exhibit G,3'!Q40</f>
        <v>0</v>
      </c>
      <c r="C79" s="104">
        <f>'Exhibit G,3'!R40</f>
        <v>0</v>
      </c>
      <c r="D79" s="104">
        <f>'Exhibit G,3'!S40</f>
        <v>0</v>
      </c>
      <c r="E79" s="104">
        <f>'Exhibit G,3'!T40</f>
        <v>0</v>
      </c>
      <c r="F79" s="104">
        <f>'Exhibit G,3'!U40</f>
        <v>0</v>
      </c>
      <c r="G79" s="81">
        <f t="shared" si="19"/>
        <v>0</v>
      </c>
      <c r="H79" s="81">
        <f t="shared" si="20"/>
        <v>0</v>
      </c>
      <c r="I79" s="81">
        <f t="shared" si="21"/>
        <v>0</v>
      </c>
      <c r="J79" s="81">
        <f t="shared" si="22"/>
        <v>0</v>
      </c>
      <c r="K79" s="81">
        <f t="shared" si="23"/>
        <v>0</v>
      </c>
      <c r="L79" s="81">
        <f t="shared" si="24"/>
        <v>0</v>
      </c>
      <c r="M79" s="81">
        <f t="shared" si="25"/>
        <v>80739.63432294465</v>
      </c>
      <c r="N79" s="81">
        <f t="shared" si="26"/>
        <v>4249.4544380497191</v>
      </c>
      <c r="O79" s="81">
        <f t="shared" si="27"/>
        <v>84989.088760994375</v>
      </c>
      <c r="P79" s="81">
        <f t="shared" si="28"/>
        <v>80739.63432294465</v>
      </c>
      <c r="Q79" s="81">
        <f t="shared" si="29"/>
        <v>4249.4544380497191</v>
      </c>
      <c r="R79" s="81">
        <f t="shared" si="18"/>
        <v>84989.088760994375</v>
      </c>
      <c r="S79" s="81"/>
      <c r="T79" s="81"/>
      <c r="U79" s="81">
        <f t="shared" si="30"/>
        <v>0</v>
      </c>
      <c r="V79" s="81">
        <f t="shared" si="31"/>
        <v>84989.088760994375</v>
      </c>
      <c r="W79" s="87">
        <v>176483.59740817445</v>
      </c>
    </row>
    <row r="80" spans="1:23">
      <c r="A80" s="6">
        <f t="shared" si="32"/>
        <v>2017</v>
      </c>
      <c r="B80" s="104">
        <f>'Exhibit G,3'!Q41</f>
        <v>92260.52</v>
      </c>
      <c r="C80" s="104">
        <f>'Exhibit G,3'!R41</f>
        <v>183260.52000000002</v>
      </c>
      <c r="D80" s="104">
        <f>'Exhibit G,3'!S41</f>
        <v>92260.52</v>
      </c>
      <c r="E80" s="104">
        <f>'Exhibit G,3'!T41</f>
        <v>92260.52</v>
      </c>
      <c r="F80" s="104">
        <f>'Exhibit G,3'!U41</f>
        <v>91000.000000000015</v>
      </c>
      <c r="G80" s="81">
        <f t="shared" si="19"/>
        <v>367781.56000000006</v>
      </c>
      <c r="H80" s="81">
        <f t="shared" si="20"/>
        <v>551042.08000000007</v>
      </c>
      <c r="I80" s="81">
        <f t="shared" si="21"/>
        <v>275521.04000000004</v>
      </c>
      <c r="J80" s="81">
        <f t="shared" si="22"/>
        <v>367781.56000000006</v>
      </c>
      <c r="K80" s="81">
        <f t="shared" si="23"/>
        <v>92260.52</v>
      </c>
      <c r="L80" s="81">
        <f t="shared" si="24"/>
        <v>183260.52000000002</v>
      </c>
      <c r="M80" s="81">
        <f t="shared" si="25"/>
        <v>172181.34602845678</v>
      </c>
      <c r="N80" s="81">
        <f t="shared" si="26"/>
        <v>9062.1761067608841</v>
      </c>
      <c r="O80" s="81">
        <f t="shared" si="27"/>
        <v>181243.52213521767</v>
      </c>
      <c r="P80" s="81">
        <f t="shared" si="28"/>
        <v>539962.90602845687</v>
      </c>
      <c r="Q80" s="81">
        <f t="shared" si="29"/>
        <v>192322.69610676091</v>
      </c>
      <c r="R80" s="81">
        <f t="shared" si="18"/>
        <v>732285.60213521775</v>
      </c>
      <c r="S80" s="81"/>
      <c r="T80" s="81"/>
      <c r="U80" s="81">
        <f t="shared" si="30"/>
        <v>0</v>
      </c>
      <c r="V80" s="81">
        <f t="shared" si="31"/>
        <v>732285.60213521775</v>
      </c>
      <c r="W80" s="87">
        <v>185315.17088570376</v>
      </c>
    </row>
    <row r="81" spans="1:23">
      <c r="A81" s="6">
        <f t="shared" si="32"/>
        <v>2018</v>
      </c>
      <c r="B81" s="104">
        <f>'Exhibit G,3'!Q42</f>
        <v>0</v>
      </c>
      <c r="C81" s="104">
        <f>'Exhibit G,3'!R42</f>
        <v>0</v>
      </c>
      <c r="D81" s="104">
        <f>'Exhibit G,3'!S42</f>
        <v>0</v>
      </c>
      <c r="E81" s="104">
        <f>'Exhibit G,3'!T42</f>
        <v>0</v>
      </c>
      <c r="F81" s="104">
        <f>'Exhibit G,3'!U42</f>
        <v>0</v>
      </c>
      <c r="G81" s="81">
        <f t="shared" si="19"/>
        <v>0</v>
      </c>
      <c r="H81" s="81">
        <f t="shared" si="20"/>
        <v>0</v>
      </c>
      <c r="I81" s="81">
        <f t="shared" si="21"/>
        <v>0</v>
      </c>
      <c r="J81" s="81">
        <f t="shared" si="22"/>
        <v>0</v>
      </c>
      <c r="K81" s="81">
        <f t="shared" si="23"/>
        <v>0</v>
      </c>
      <c r="L81" s="81">
        <f t="shared" si="24"/>
        <v>0</v>
      </c>
      <c r="M81" s="81">
        <f t="shared" si="25"/>
        <v>86764.735355385026</v>
      </c>
      <c r="N81" s="81">
        <f t="shared" si="26"/>
        <v>4566.5650187044757</v>
      </c>
      <c r="O81" s="81">
        <f t="shared" si="27"/>
        <v>91331.300374089507</v>
      </c>
      <c r="P81" s="81">
        <f t="shared" si="28"/>
        <v>86764.735355385026</v>
      </c>
      <c r="Q81" s="81">
        <f t="shared" si="29"/>
        <v>4566.5650187044757</v>
      </c>
      <c r="R81" s="81">
        <f t="shared" si="18"/>
        <v>91331.300374089507</v>
      </c>
      <c r="S81" s="81"/>
      <c r="T81" s="81"/>
      <c r="U81" s="81">
        <f t="shared" si="30"/>
        <v>0</v>
      </c>
      <c r="V81" s="81">
        <f t="shared" si="31"/>
        <v>91331.300374089507</v>
      </c>
      <c r="W81" s="87">
        <v>44668.809509200968</v>
      </c>
    </row>
    <row r="82" spans="1:23">
      <c r="A82" s="6">
        <f t="shared" si="32"/>
        <v>2019</v>
      </c>
      <c r="B82" s="104">
        <f>'Exhibit G,3'!Q43</f>
        <v>0</v>
      </c>
      <c r="C82" s="104">
        <f>'Exhibit G,3'!R43</f>
        <v>0</v>
      </c>
      <c r="D82" s="104">
        <f>'Exhibit G,3'!S43</f>
        <v>0</v>
      </c>
      <c r="E82" s="104">
        <f>'Exhibit G,3'!T43</f>
        <v>0</v>
      </c>
      <c r="F82" s="104">
        <f>'Exhibit G,3'!U43</f>
        <v>0</v>
      </c>
      <c r="G82" s="81">
        <f t="shared" si="19"/>
        <v>0</v>
      </c>
      <c r="H82" s="81">
        <f t="shared" si="20"/>
        <v>0</v>
      </c>
      <c r="I82" s="81">
        <f t="shared" si="21"/>
        <v>0</v>
      </c>
      <c r="J82" s="81">
        <f t="shared" si="22"/>
        <v>0</v>
      </c>
      <c r="K82" s="81">
        <f t="shared" si="23"/>
        <v>0</v>
      </c>
      <c r="L82" s="81">
        <f t="shared" si="24"/>
        <v>0</v>
      </c>
      <c r="M82" s="81">
        <f t="shared" si="25"/>
        <v>49682.783424649562</v>
      </c>
      <c r="N82" s="81">
        <f t="shared" si="26"/>
        <v>2614.8833381394506</v>
      </c>
      <c r="O82" s="81">
        <f t="shared" si="27"/>
        <v>52297.666762789013</v>
      </c>
      <c r="P82" s="81">
        <f t="shared" si="28"/>
        <v>49682.783424649562</v>
      </c>
      <c r="Q82" s="81">
        <f t="shared" si="29"/>
        <v>2614.8833381394506</v>
      </c>
      <c r="R82" s="81">
        <f t="shared" si="18"/>
        <v>52297.666762789013</v>
      </c>
      <c r="S82" s="81"/>
      <c r="T82" s="81"/>
      <c r="U82" s="81">
        <f t="shared" si="30"/>
        <v>0</v>
      </c>
      <c r="V82" s="81">
        <f t="shared" si="31"/>
        <v>52297.666762789013</v>
      </c>
      <c r="W82" s="87">
        <v>84714.791133667415</v>
      </c>
    </row>
    <row r="83" spans="1:23">
      <c r="A83" s="6">
        <f t="shared" si="32"/>
        <v>2020</v>
      </c>
      <c r="B83" s="104">
        <f>'Exhibit G,3'!Q44</f>
        <v>0</v>
      </c>
      <c r="C83" s="104">
        <f>'Exhibit G,3'!R44</f>
        <v>0</v>
      </c>
      <c r="D83" s="104">
        <f>'Exhibit G,3'!S44</f>
        <v>0</v>
      </c>
      <c r="E83" s="104">
        <f>'Exhibit G,3'!T44</f>
        <v>0</v>
      </c>
      <c r="F83" s="104">
        <f>'Exhibit G,3'!U44</f>
        <v>0</v>
      </c>
      <c r="G83" s="81">
        <f t="shared" si="19"/>
        <v>0</v>
      </c>
      <c r="H83" s="81">
        <f t="shared" si="20"/>
        <v>0</v>
      </c>
      <c r="I83" s="81">
        <f t="shared" si="21"/>
        <v>0</v>
      </c>
      <c r="J83" s="81">
        <f t="shared" si="22"/>
        <v>0</v>
      </c>
      <c r="K83" s="81">
        <f t="shared" si="23"/>
        <v>0</v>
      </c>
      <c r="L83" s="81">
        <f t="shared" si="24"/>
        <v>0</v>
      </c>
      <c r="M83" s="81">
        <f t="shared" si="25"/>
        <v>154980.24940684409</v>
      </c>
      <c r="N83" s="81">
        <f t="shared" si="26"/>
        <v>8156.8552319391638</v>
      </c>
      <c r="O83" s="81">
        <f t="shared" si="27"/>
        <v>163137.10463878326</v>
      </c>
      <c r="P83" s="81">
        <f t="shared" si="28"/>
        <v>154980.24940684409</v>
      </c>
      <c r="Q83" s="81">
        <f t="shared" si="29"/>
        <v>8156.8552319391638</v>
      </c>
      <c r="R83" s="81">
        <f t="shared" si="18"/>
        <v>163137.10463878326</v>
      </c>
      <c r="S83" s="81"/>
      <c r="T83" s="81"/>
      <c r="U83" s="81">
        <f t="shared" si="30"/>
        <v>0</v>
      </c>
      <c r="V83" s="81">
        <f t="shared" si="31"/>
        <v>163137.10463878326</v>
      </c>
      <c r="W83" s="87">
        <v>69300.14</v>
      </c>
    </row>
    <row r="84" spans="1:23">
      <c r="A84" s="6"/>
      <c r="B84" s="104">
        <f>'Exhibit G,3'!Q45</f>
        <v>0</v>
      </c>
      <c r="C84" s="104">
        <f>'Exhibit G,3'!R45</f>
        <v>0</v>
      </c>
      <c r="D84" s="104">
        <f>'Exhibit G,3'!S45</f>
        <v>0</v>
      </c>
      <c r="E84" s="104">
        <f>'Exhibit G,3'!T45</f>
        <v>0</v>
      </c>
      <c r="F84" s="104">
        <f>'Exhibit G,3'!U45</f>
        <v>0</v>
      </c>
      <c r="G84" s="81"/>
      <c r="H84" s="81"/>
      <c r="I84" s="81"/>
      <c r="J84" s="81"/>
      <c r="K84" s="81"/>
      <c r="L84" s="81"/>
      <c r="M84" s="81">
        <f t="shared" si="25"/>
        <v>0</v>
      </c>
      <c r="N84" s="81">
        <f t="shared" si="26"/>
        <v>0</v>
      </c>
      <c r="O84" s="81">
        <f t="shared" si="27"/>
        <v>0</v>
      </c>
      <c r="P84" s="81">
        <f t="shared" si="28"/>
        <v>0</v>
      </c>
      <c r="Q84" s="81">
        <f t="shared" si="29"/>
        <v>0</v>
      </c>
      <c r="R84" s="81"/>
      <c r="S84" s="81"/>
      <c r="T84" s="81"/>
      <c r="U84" s="81">
        <f t="shared" si="30"/>
        <v>0</v>
      </c>
      <c r="V84" s="81">
        <f t="shared" si="31"/>
        <v>0</v>
      </c>
      <c r="W84" s="87"/>
    </row>
    <row r="85" spans="1:23">
      <c r="A85" s="6" t="s">
        <v>0</v>
      </c>
      <c r="B85" s="82">
        <f>SUM(B55:B83)</f>
        <v>3716503.32</v>
      </c>
      <c r="C85" s="82">
        <f>SUM(C55:C83)</f>
        <v>3807503.3199999994</v>
      </c>
      <c r="D85" s="82">
        <f t="shared" ref="D85:Q85" si="33">SUM(D55:D83)</f>
        <v>3716503.32</v>
      </c>
      <c r="E85" s="82">
        <f t="shared" si="33"/>
        <v>4159837.32</v>
      </c>
      <c r="F85" s="82">
        <f t="shared" si="33"/>
        <v>-352334.00000000064</v>
      </c>
      <c r="G85" s="82">
        <f>SUM(G55:G83)</f>
        <v>11683843.959999999</v>
      </c>
      <c r="H85" s="82">
        <f t="shared" si="33"/>
        <v>15048013.279999997</v>
      </c>
      <c r="I85" s="82">
        <f t="shared" si="33"/>
        <v>7524006.6399999987</v>
      </c>
      <c r="J85" s="82">
        <f t="shared" si="33"/>
        <v>11240509.959999999</v>
      </c>
      <c r="K85" s="82">
        <f t="shared" si="33"/>
        <v>4159837.32</v>
      </c>
      <c r="L85" s="82">
        <f t="shared" si="33"/>
        <v>3807503.3199999994</v>
      </c>
      <c r="M85" s="82">
        <f t="shared" si="33"/>
        <v>772244.23952255701</v>
      </c>
      <c r="N85" s="82">
        <f t="shared" si="33"/>
        <v>40644.433659081944</v>
      </c>
      <c r="O85" s="82">
        <f t="shared" si="33"/>
        <v>812888.67318163882</v>
      </c>
      <c r="P85" s="82">
        <f t="shared" si="33"/>
        <v>12012754.199522555</v>
      </c>
      <c r="Q85" s="82">
        <f t="shared" si="33"/>
        <v>3848147.7536590821</v>
      </c>
      <c r="R85" s="82">
        <f>SUM(R55:R83)</f>
        <v>15860901.953181637</v>
      </c>
      <c r="S85" s="82">
        <f>SUM(S55:S83)</f>
        <v>0</v>
      </c>
      <c r="T85" s="82">
        <f>SUM(T55:T83)</f>
        <v>0</v>
      </c>
      <c r="U85" s="82">
        <f>SUM(U55:U83)</f>
        <v>0</v>
      </c>
      <c r="V85" s="82">
        <f>SUM(V55:V83)</f>
        <v>15860901.953181637</v>
      </c>
      <c r="W85" s="90">
        <v>1149792.7893378951</v>
      </c>
    </row>
    <row r="86" spans="1:23">
      <c r="A86" s="6"/>
      <c r="B86" s="6"/>
      <c r="C86" s="6"/>
      <c r="D86" s="6"/>
      <c r="E86" s="6"/>
      <c r="F86" s="6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7"/>
    </row>
    <row r="87" spans="1:23">
      <c r="A87" s="6"/>
      <c r="B87" s="6"/>
      <c r="C87" s="6"/>
      <c r="D87" s="6"/>
      <c r="E87" s="6"/>
      <c r="F87" s="6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7"/>
    </row>
    <row r="88" spans="1:23">
      <c r="A88" s="6"/>
      <c r="B88" s="6"/>
      <c r="C88" s="6"/>
      <c r="D88" s="6"/>
      <c r="E88" s="6"/>
      <c r="F88" s="6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7"/>
    </row>
    <row r="89" spans="1:23">
      <c r="A89" s="6" t="s">
        <v>17</v>
      </c>
      <c r="B89" s="6"/>
      <c r="C89" s="6"/>
      <c r="D89" s="6"/>
      <c r="E89" s="6"/>
      <c r="F89" s="6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7"/>
    </row>
    <row r="90" spans="1:23">
      <c r="A90" s="6"/>
      <c r="B90" s="27"/>
      <c r="C90" s="27"/>
      <c r="D90" s="27"/>
      <c r="E90" s="27"/>
      <c r="F90" s="27"/>
      <c r="G90" s="17"/>
      <c r="H90" s="81"/>
      <c r="I90" s="81"/>
      <c r="J90" s="81"/>
      <c r="K90" s="81"/>
      <c r="L90" s="81"/>
      <c r="M90" s="17"/>
      <c r="N90" s="79"/>
      <c r="O90" s="81"/>
      <c r="P90" s="81"/>
      <c r="Q90" s="81"/>
      <c r="R90" s="81" t="s">
        <v>67</v>
      </c>
      <c r="S90" s="6"/>
      <c r="T90" s="6"/>
      <c r="U90" s="6"/>
      <c r="V90" s="6" t="s">
        <v>67</v>
      </c>
      <c r="W90" s="87"/>
    </row>
    <row r="91" spans="1:23">
      <c r="A91" s="6" t="s">
        <v>3</v>
      </c>
      <c r="B91" s="27"/>
      <c r="C91" s="27"/>
      <c r="D91" s="27"/>
      <c r="E91" s="27"/>
      <c r="F91" s="27"/>
      <c r="G91" s="81" t="s">
        <v>14</v>
      </c>
      <c r="H91" s="81" t="s">
        <v>12</v>
      </c>
      <c r="I91" s="81" t="s">
        <v>14</v>
      </c>
      <c r="J91" s="81" t="s">
        <v>12</v>
      </c>
      <c r="K91" s="81" t="s">
        <v>14</v>
      </c>
      <c r="L91" s="81" t="s">
        <v>12</v>
      </c>
      <c r="M91" s="81" t="s">
        <v>381</v>
      </c>
      <c r="N91" s="81" t="s">
        <v>381</v>
      </c>
      <c r="O91" s="81" t="s">
        <v>381</v>
      </c>
      <c r="P91" s="81" t="s">
        <v>660</v>
      </c>
      <c r="Q91" s="81" t="s">
        <v>67</v>
      </c>
      <c r="R91" s="81" t="s">
        <v>662</v>
      </c>
      <c r="S91" s="6" t="s">
        <v>661</v>
      </c>
      <c r="T91" s="6" t="s">
        <v>661</v>
      </c>
      <c r="U91" s="6" t="s">
        <v>67</v>
      </c>
      <c r="V91" s="6" t="s">
        <v>663</v>
      </c>
      <c r="W91" s="6" t="s">
        <v>177</v>
      </c>
    </row>
    <row r="92" spans="1:23">
      <c r="A92" s="6" t="s">
        <v>4</v>
      </c>
      <c r="B92" s="28"/>
      <c r="C92" s="28"/>
      <c r="D92" s="28"/>
      <c r="E92" s="28"/>
      <c r="F92" s="28"/>
      <c r="G92" s="81" t="s">
        <v>0</v>
      </c>
      <c r="H92" s="81" t="s">
        <v>0</v>
      </c>
      <c r="I92" s="81" t="s">
        <v>566</v>
      </c>
      <c r="J92" s="81" t="s">
        <v>566</v>
      </c>
      <c r="K92" s="81" t="s">
        <v>567</v>
      </c>
      <c r="L92" s="81" t="s">
        <v>567</v>
      </c>
      <c r="M92" s="81" t="s">
        <v>566</v>
      </c>
      <c r="N92" s="81" t="s">
        <v>567</v>
      </c>
      <c r="O92" s="81" t="s">
        <v>0</v>
      </c>
      <c r="P92" s="81" t="s">
        <v>566</v>
      </c>
      <c r="Q92" s="81" t="s">
        <v>567</v>
      </c>
      <c r="R92" s="81" t="s">
        <v>0</v>
      </c>
      <c r="S92" s="6" t="s">
        <v>117</v>
      </c>
      <c r="T92" s="6" t="s">
        <v>14</v>
      </c>
      <c r="U92" s="6" t="s">
        <v>661</v>
      </c>
      <c r="V92" s="6" t="s">
        <v>0</v>
      </c>
      <c r="W92" s="6" t="s">
        <v>16</v>
      </c>
    </row>
    <row r="93" spans="1:23">
      <c r="A93" s="10">
        <v>-1</v>
      </c>
      <c r="B93" s="10">
        <f t="shared" ref="B93:V93" si="34">A93-1</f>
        <v>-2</v>
      </c>
      <c r="C93" s="10">
        <f t="shared" si="34"/>
        <v>-3</v>
      </c>
      <c r="D93" s="10">
        <f t="shared" si="34"/>
        <v>-4</v>
      </c>
      <c r="E93" s="10">
        <f t="shared" si="34"/>
        <v>-5</v>
      </c>
      <c r="F93" s="10">
        <f t="shared" si="34"/>
        <v>-6</v>
      </c>
      <c r="G93" s="10">
        <f t="shared" si="34"/>
        <v>-7</v>
      </c>
      <c r="H93" s="10">
        <f t="shared" si="34"/>
        <v>-8</v>
      </c>
      <c r="I93" s="10">
        <f t="shared" si="34"/>
        <v>-9</v>
      </c>
      <c r="J93" s="10">
        <f t="shared" si="34"/>
        <v>-10</v>
      </c>
      <c r="K93" s="10">
        <f t="shared" si="34"/>
        <v>-11</v>
      </c>
      <c r="L93" s="10">
        <f t="shared" si="34"/>
        <v>-12</v>
      </c>
      <c r="M93" s="10">
        <f t="shared" si="34"/>
        <v>-13</v>
      </c>
      <c r="N93" s="10">
        <f t="shared" si="34"/>
        <v>-14</v>
      </c>
      <c r="O93" s="10">
        <f t="shared" si="34"/>
        <v>-15</v>
      </c>
      <c r="P93" s="10">
        <f t="shared" si="34"/>
        <v>-16</v>
      </c>
      <c r="Q93" s="10">
        <f t="shared" si="34"/>
        <v>-17</v>
      </c>
      <c r="R93" s="10">
        <f t="shared" si="34"/>
        <v>-18</v>
      </c>
      <c r="S93" s="10">
        <f t="shared" si="34"/>
        <v>-19</v>
      </c>
      <c r="T93" s="10">
        <f t="shared" si="34"/>
        <v>-20</v>
      </c>
      <c r="U93" s="10">
        <f t="shared" si="34"/>
        <v>-21</v>
      </c>
      <c r="V93" s="10">
        <f t="shared" si="34"/>
        <v>-22</v>
      </c>
      <c r="W93" s="10">
        <v>-23</v>
      </c>
    </row>
    <row r="94" spans="1:23">
      <c r="A94" s="80"/>
      <c r="B94" s="80"/>
      <c r="C94" s="6"/>
      <c r="D94" s="6"/>
      <c r="E94" s="6"/>
      <c r="F94" s="6"/>
      <c r="G94" s="17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6"/>
      <c r="T94" s="6"/>
      <c r="U94" s="6"/>
      <c r="V94" s="6"/>
      <c r="W94" s="87"/>
    </row>
    <row r="95" spans="1:23">
      <c r="A95" s="6">
        <v>1992</v>
      </c>
      <c r="B95" s="6"/>
      <c r="C95" s="6"/>
      <c r="D95" s="6"/>
      <c r="E95" s="6"/>
      <c r="F95" s="6"/>
      <c r="G95" s="81">
        <f t="shared" ref="G95:N95" si="35">G15-G55</f>
        <v>19200</v>
      </c>
      <c r="H95" s="81">
        <f t="shared" si="35"/>
        <v>19200</v>
      </c>
      <c r="I95" s="81">
        <f t="shared" si="35"/>
        <v>9600</v>
      </c>
      <c r="J95" s="81">
        <f t="shared" si="35"/>
        <v>9600</v>
      </c>
      <c r="K95" s="81">
        <f t="shared" si="35"/>
        <v>9600</v>
      </c>
      <c r="L95" s="81">
        <f t="shared" si="35"/>
        <v>9600</v>
      </c>
      <c r="M95" s="81">
        <f t="shared" si="35"/>
        <v>0</v>
      </c>
      <c r="N95" s="81">
        <f t="shared" si="35"/>
        <v>0</v>
      </c>
      <c r="O95" s="81">
        <f>'Exhibit F,1'!AE16</f>
        <v>0</v>
      </c>
      <c r="P95" s="81">
        <f>P15-P55</f>
        <v>9600</v>
      </c>
      <c r="Q95" s="81">
        <f>Q15-Q55</f>
        <v>9600</v>
      </c>
      <c r="R95" s="81">
        <f>R15-R55</f>
        <v>19200</v>
      </c>
      <c r="S95" s="81">
        <f>S15-S55</f>
        <v>0</v>
      </c>
      <c r="T95" s="81">
        <f>T15-T55</f>
        <v>0</v>
      </c>
      <c r="U95" s="81">
        <f>S95+T95</f>
        <v>0</v>
      </c>
      <c r="V95" s="81">
        <f>R95+U95</f>
        <v>19200</v>
      </c>
      <c r="W95" s="87">
        <v>0</v>
      </c>
    </row>
    <row r="96" spans="1:23">
      <c r="A96" s="6">
        <f>A95+1</f>
        <v>1993</v>
      </c>
      <c r="B96" s="6"/>
      <c r="C96" s="6"/>
      <c r="D96" s="6"/>
      <c r="E96" s="6"/>
      <c r="F96" s="6"/>
      <c r="G96" s="81">
        <f t="shared" ref="G96:T111" si="36">G16-G56</f>
        <v>1027066.1299999999</v>
      </c>
      <c r="H96" s="81">
        <f t="shared" si="36"/>
        <v>752997.91999999993</v>
      </c>
      <c r="I96" s="81">
        <f t="shared" si="36"/>
        <v>376498.95999999996</v>
      </c>
      <c r="J96" s="81">
        <f t="shared" si="36"/>
        <v>102430.74999999988</v>
      </c>
      <c r="K96" s="81">
        <f t="shared" si="36"/>
        <v>650567.16999999993</v>
      </c>
      <c r="L96" s="81">
        <f t="shared" si="36"/>
        <v>650567.16999999993</v>
      </c>
      <c r="M96" s="81">
        <f t="shared" si="36"/>
        <v>0</v>
      </c>
      <c r="N96" s="81">
        <f t="shared" si="36"/>
        <v>0</v>
      </c>
      <c r="O96" s="81">
        <f>'Exhibit F,1'!AE17</f>
        <v>0</v>
      </c>
      <c r="P96" s="81">
        <f t="shared" si="36"/>
        <v>102430.74999999988</v>
      </c>
      <c r="Q96" s="81">
        <f t="shared" si="36"/>
        <v>650567.16999999993</v>
      </c>
      <c r="R96" s="81">
        <f t="shared" si="36"/>
        <v>752997.91999999993</v>
      </c>
      <c r="S96" s="81">
        <f t="shared" ref="S96:T110" si="37">S16-S56</f>
        <v>0</v>
      </c>
      <c r="T96" s="81">
        <f t="shared" si="37"/>
        <v>0</v>
      </c>
      <c r="U96" s="81">
        <f t="shared" ref="U96:U124" si="38">S96+T96</f>
        <v>0</v>
      </c>
      <c r="V96" s="81">
        <f t="shared" ref="V96:V124" si="39">R96+U96</f>
        <v>752997.91999999993</v>
      </c>
      <c r="W96" s="87">
        <v>0</v>
      </c>
    </row>
    <row r="97" spans="1:23">
      <c r="A97" s="6">
        <f t="shared" ref="A97:A123" si="40">A96+1</f>
        <v>1994</v>
      </c>
      <c r="B97" s="6"/>
      <c r="C97" s="6"/>
      <c r="D97" s="6"/>
      <c r="E97" s="6"/>
      <c r="F97" s="6"/>
      <c r="G97" s="81">
        <f t="shared" si="36"/>
        <v>1863236.26</v>
      </c>
      <c r="H97" s="81">
        <f t="shared" si="36"/>
        <v>1863236.26</v>
      </c>
      <c r="I97" s="81">
        <f t="shared" si="36"/>
        <v>931618.13</v>
      </c>
      <c r="J97" s="81">
        <f t="shared" si="36"/>
        <v>931618.13</v>
      </c>
      <c r="K97" s="81">
        <f t="shared" si="36"/>
        <v>931618.13</v>
      </c>
      <c r="L97" s="81">
        <f t="shared" si="36"/>
        <v>931618.13</v>
      </c>
      <c r="M97" s="81">
        <f t="shared" si="36"/>
        <v>0</v>
      </c>
      <c r="N97" s="81">
        <f t="shared" si="36"/>
        <v>0</v>
      </c>
      <c r="O97" s="81">
        <f>'Exhibit F,1'!AE18</f>
        <v>0</v>
      </c>
      <c r="P97" s="81">
        <f t="shared" si="36"/>
        <v>931618.13</v>
      </c>
      <c r="Q97" s="81">
        <f t="shared" si="36"/>
        <v>931618.13</v>
      </c>
      <c r="R97" s="81">
        <f t="shared" si="36"/>
        <v>1863236.26</v>
      </c>
      <c r="S97" s="81">
        <f t="shared" si="37"/>
        <v>0</v>
      </c>
      <c r="T97" s="81">
        <f t="shared" si="37"/>
        <v>0</v>
      </c>
      <c r="U97" s="81">
        <f t="shared" si="38"/>
        <v>0</v>
      </c>
      <c r="V97" s="81">
        <f t="shared" si="39"/>
        <v>1863236.26</v>
      </c>
      <c r="W97" s="87">
        <v>0</v>
      </c>
    </row>
    <row r="98" spans="1:23">
      <c r="A98" s="6">
        <f t="shared" si="40"/>
        <v>1995</v>
      </c>
      <c r="B98" s="6"/>
      <c r="C98" s="6"/>
      <c r="D98" s="6"/>
      <c r="E98" s="6"/>
      <c r="F98" s="6"/>
      <c r="G98" s="81">
        <f t="shared" si="36"/>
        <v>-404337.04999999981</v>
      </c>
      <c r="H98" s="81">
        <f t="shared" si="36"/>
        <v>-1819516.7999999998</v>
      </c>
      <c r="I98" s="81">
        <f t="shared" si="36"/>
        <v>-909758.39999999991</v>
      </c>
      <c r="J98" s="81">
        <f t="shared" si="36"/>
        <v>-2324938.15</v>
      </c>
      <c r="K98" s="81">
        <f t="shared" si="36"/>
        <v>505421.35000000009</v>
      </c>
      <c r="L98" s="81">
        <f t="shared" si="36"/>
        <v>505421.35000000009</v>
      </c>
      <c r="M98" s="81">
        <f t="shared" si="36"/>
        <v>0</v>
      </c>
      <c r="N98" s="81">
        <f t="shared" si="36"/>
        <v>0</v>
      </c>
      <c r="O98" s="81">
        <f>'Exhibit F,1'!AE19</f>
        <v>0</v>
      </c>
      <c r="P98" s="81">
        <f t="shared" si="36"/>
        <v>-2324938.15</v>
      </c>
      <c r="Q98" s="81">
        <f t="shared" si="36"/>
        <v>505421.35000000009</v>
      </c>
      <c r="R98" s="81">
        <f t="shared" si="36"/>
        <v>-1819516.7999999998</v>
      </c>
      <c r="S98" s="81">
        <f t="shared" si="37"/>
        <v>0</v>
      </c>
      <c r="T98" s="81">
        <f t="shared" si="37"/>
        <v>0</v>
      </c>
      <c r="U98" s="81">
        <f t="shared" si="38"/>
        <v>0</v>
      </c>
      <c r="V98" s="81">
        <f t="shared" si="39"/>
        <v>-1819516.7999999998</v>
      </c>
      <c r="W98" s="87">
        <v>0</v>
      </c>
    </row>
    <row r="99" spans="1:23">
      <c r="A99" s="6">
        <f t="shared" si="40"/>
        <v>1996</v>
      </c>
      <c r="B99" s="6"/>
      <c r="C99" s="6"/>
      <c r="D99" s="6"/>
      <c r="E99" s="6"/>
      <c r="F99" s="6"/>
      <c r="G99" s="81">
        <f t="shared" si="36"/>
        <v>999678.77999999991</v>
      </c>
      <c r="H99" s="81">
        <f t="shared" si="36"/>
        <v>792570.37999999989</v>
      </c>
      <c r="I99" s="81">
        <f t="shared" si="36"/>
        <v>396285.18999999994</v>
      </c>
      <c r="J99" s="81">
        <f t="shared" si="36"/>
        <v>189176.78999999992</v>
      </c>
      <c r="K99" s="81">
        <f t="shared" si="36"/>
        <v>603393.59</v>
      </c>
      <c r="L99" s="81">
        <f t="shared" si="36"/>
        <v>603393.59</v>
      </c>
      <c r="M99" s="81">
        <f t="shared" si="36"/>
        <v>0</v>
      </c>
      <c r="N99" s="81">
        <f t="shared" si="36"/>
        <v>0</v>
      </c>
      <c r="O99" s="81">
        <f>'Exhibit F,1'!AE20</f>
        <v>0</v>
      </c>
      <c r="P99" s="81">
        <f t="shared" si="36"/>
        <v>189176.78999999992</v>
      </c>
      <c r="Q99" s="81">
        <f t="shared" si="36"/>
        <v>603393.59</v>
      </c>
      <c r="R99" s="81">
        <f t="shared" si="36"/>
        <v>792570.37999999989</v>
      </c>
      <c r="S99" s="81">
        <f t="shared" si="37"/>
        <v>0</v>
      </c>
      <c r="T99" s="81">
        <f t="shared" si="37"/>
        <v>0</v>
      </c>
      <c r="U99" s="81">
        <f t="shared" si="38"/>
        <v>0</v>
      </c>
      <c r="V99" s="81">
        <f t="shared" si="39"/>
        <v>792570.37999999989</v>
      </c>
      <c r="W99" s="87">
        <v>0</v>
      </c>
    </row>
    <row r="100" spans="1:23">
      <c r="A100" s="6">
        <f t="shared" si="40"/>
        <v>1997</v>
      </c>
      <c r="B100" s="6"/>
      <c r="C100" s="6"/>
      <c r="D100" s="6"/>
      <c r="E100" s="6"/>
      <c r="F100" s="6"/>
      <c r="G100" s="81">
        <f t="shared" si="36"/>
        <v>1637016.84</v>
      </c>
      <c r="H100" s="81">
        <f t="shared" si="36"/>
        <v>1637016.84</v>
      </c>
      <c r="I100" s="81">
        <f t="shared" si="36"/>
        <v>818508.42</v>
      </c>
      <c r="J100" s="81">
        <f t="shared" si="36"/>
        <v>818508.42</v>
      </c>
      <c r="K100" s="81">
        <f t="shared" si="36"/>
        <v>818508.42</v>
      </c>
      <c r="L100" s="81">
        <f t="shared" si="36"/>
        <v>818508.42</v>
      </c>
      <c r="M100" s="81">
        <f t="shared" si="36"/>
        <v>0</v>
      </c>
      <c r="N100" s="81">
        <f t="shared" si="36"/>
        <v>0</v>
      </c>
      <c r="O100" s="81">
        <f>'Exhibit F,1'!AE21</f>
        <v>0</v>
      </c>
      <c r="P100" s="81">
        <f t="shared" si="36"/>
        <v>818508.42</v>
      </c>
      <c r="Q100" s="81">
        <f t="shared" si="36"/>
        <v>818508.42</v>
      </c>
      <c r="R100" s="81">
        <f t="shared" si="36"/>
        <v>1637016.84</v>
      </c>
      <c r="S100" s="81">
        <f t="shared" si="37"/>
        <v>0</v>
      </c>
      <c r="T100" s="81">
        <f t="shared" si="37"/>
        <v>0</v>
      </c>
      <c r="U100" s="81">
        <f t="shared" si="38"/>
        <v>0</v>
      </c>
      <c r="V100" s="81">
        <f t="shared" si="39"/>
        <v>1637016.84</v>
      </c>
      <c r="W100" s="87">
        <v>0</v>
      </c>
    </row>
    <row r="101" spans="1:23">
      <c r="A101" s="6">
        <f t="shared" si="40"/>
        <v>1998</v>
      </c>
      <c r="B101" s="6"/>
      <c r="C101" s="6"/>
      <c r="D101" s="6"/>
      <c r="E101" s="6"/>
      <c r="F101" s="6"/>
      <c r="G101" s="81">
        <f t="shared" si="36"/>
        <v>-42079232.880000003</v>
      </c>
      <c r="H101" s="81">
        <f t="shared" si="36"/>
        <v>-42218437.340000004</v>
      </c>
      <c r="I101" s="81">
        <f t="shared" si="36"/>
        <v>-43539961.210000001</v>
      </c>
      <c r="J101" s="81">
        <f t="shared" si="36"/>
        <v>-43679165.670000002</v>
      </c>
      <c r="K101" s="81">
        <f t="shared" si="36"/>
        <v>1460728.33</v>
      </c>
      <c r="L101" s="81">
        <f t="shared" si="36"/>
        <v>1460728.33</v>
      </c>
      <c r="M101" s="81">
        <f t="shared" si="36"/>
        <v>0</v>
      </c>
      <c r="N101" s="81">
        <f t="shared" si="36"/>
        <v>0</v>
      </c>
      <c r="O101" s="81">
        <f>'Exhibit F,1'!AE22</f>
        <v>0</v>
      </c>
      <c r="P101" s="81">
        <f t="shared" si="36"/>
        <v>-43679165.670000002</v>
      </c>
      <c r="Q101" s="81">
        <f t="shared" si="36"/>
        <v>1460728.33</v>
      </c>
      <c r="R101" s="81">
        <f t="shared" si="36"/>
        <v>-42218437.340000004</v>
      </c>
      <c r="S101" s="81">
        <f t="shared" si="37"/>
        <v>0</v>
      </c>
      <c r="T101" s="81">
        <f t="shared" si="37"/>
        <v>0</v>
      </c>
      <c r="U101" s="81">
        <f t="shared" si="38"/>
        <v>0</v>
      </c>
      <c r="V101" s="81">
        <f t="shared" si="39"/>
        <v>-42218437.340000004</v>
      </c>
      <c r="W101" s="87">
        <v>0</v>
      </c>
    </row>
    <row r="102" spans="1:23">
      <c r="A102" s="6">
        <f t="shared" si="40"/>
        <v>1999</v>
      </c>
      <c r="B102" s="6"/>
      <c r="C102" s="6"/>
      <c r="D102" s="6"/>
      <c r="E102" s="6"/>
      <c r="F102" s="6"/>
      <c r="G102" s="81">
        <f t="shared" si="36"/>
        <v>-32478200.570000015</v>
      </c>
      <c r="H102" s="81">
        <f t="shared" si="36"/>
        <v>-32833847.650000013</v>
      </c>
      <c r="I102" s="81">
        <f t="shared" si="36"/>
        <v>-35138595.720000014</v>
      </c>
      <c r="J102" s="81">
        <f t="shared" si="36"/>
        <v>-35494242.800000019</v>
      </c>
      <c r="K102" s="81">
        <f t="shared" si="36"/>
        <v>2660395.15</v>
      </c>
      <c r="L102" s="81">
        <f t="shared" si="36"/>
        <v>2660395.15</v>
      </c>
      <c r="M102" s="81">
        <f t="shared" si="36"/>
        <v>0</v>
      </c>
      <c r="N102" s="81">
        <f t="shared" si="36"/>
        <v>0</v>
      </c>
      <c r="O102" s="81">
        <f>'Exhibit F,1'!AE23</f>
        <v>0</v>
      </c>
      <c r="P102" s="81">
        <f t="shared" si="36"/>
        <v>-35494242.800000019</v>
      </c>
      <c r="Q102" s="81">
        <f t="shared" si="36"/>
        <v>2660395.15</v>
      </c>
      <c r="R102" s="81">
        <f t="shared" si="36"/>
        <v>-32833847.650000017</v>
      </c>
      <c r="S102" s="81">
        <f t="shared" si="37"/>
        <v>0</v>
      </c>
      <c r="T102" s="81">
        <f t="shared" si="37"/>
        <v>0</v>
      </c>
      <c r="U102" s="81">
        <f t="shared" si="38"/>
        <v>0</v>
      </c>
      <c r="V102" s="81">
        <f t="shared" si="39"/>
        <v>-32833847.650000017</v>
      </c>
      <c r="W102" s="87">
        <v>0</v>
      </c>
    </row>
    <row r="103" spans="1:23">
      <c r="A103" s="6">
        <f t="shared" si="40"/>
        <v>2000</v>
      </c>
      <c r="B103" s="6"/>
      <c r="C103" s="6"/>
      <c r="D103" s="6"/>
      <c r="E103" s="6"/>
      <c r="F103" s="6"/>
      <c r="G103" s="81">
        <f t="shared" si="36"/>
        <v>-38256986.009999998</v>
      </c>
      <c r="H103" s="81">
        <f t="shared" si="36"/>
        <v>-38256986.009999998</v>
      </c>
      <c r="I103" s="81">
        <f t="shared" si="36"/>
        <v>-38904626.819999993</v>
      </c>
      <c r="J103" s="81">
        <f t="shared" si="36"/>
        <v>-38904626.819999993</v>
      </c>
      <c r="K103" s="81">
        <f t="shared" si="36"/>
        <v>647640.80999999994</v>
      </c>
      <c r="L103" s="81">
        <f t="shared" si="36"/>
        <v>647640.80999999994</v>
      </c>
      <c r="M103" s="81">
        <f t="shared" si="36"/>
        <v>0</v>
      </c>
      <c r="N103" s="81">
        <f t="shared" si="36"/>
        <v>0</v>
      </c>
      <c r="O103" s="81">
        <f>'Exhibit F,1'!AE24</f>
        <v>0</v>
      </c>
      <c r="P103" s="81">
        <f t="shared" si="36"/>
        <v>-38904626.819999993</v>
      </c>
      <c r="Q103" s="81">
        <f t="shared" si="36"/>
        <v>647640.80999999994</v>
      </c>
      <c r="R103" s="81">
        <f t="shared" si="36"/>
        <v>-38256986.00999999</v>
      </c>
      <c r="S103" s="81">
        <f t="shared" si="37"/>
        <v>0</v>
      </c>
      <c r="T103" s="81">
        <f t="shared" si="37"/>
        <v>0</v>
      </c>
      <c r="U103" s="81">
        <f t="shared" si="38"/>
        <v>0</v>
      </c>
      <c r="V103" s="81">
        <f t="shared" si="39"/>
        <v>-38256986.00999999</v>
      </c>
      <c r="W103" s="87">
        <v>0</v>
      </c>
    </row>
    <row r="104" spans="1:23">
      <c r="A104" s="6">
        <f t="shared" si="40"/>
        <v>2001</v>
      </c>
      <c r="B104" s="6"/>
      <c r="C104" s="6"/>
      <c r="D104" s="6"/>
      <c r="E104" s="6"/>
      <c r="F104" s="6"/>
      <c r="G104" s="81">
        <f t="shared" si="36"/>
        <v>-33698605.07</v>
      </c>
      <c r="H104" s="81">
        <f t="shared" si="36"/>
        <v>-33926357.950000003</v>
      </c>
      <c r="I104" s="81">
        <f t="shared" si="36"/>
        <v>-36674464.909999996</v>
      </c>
      <c r="J104" s="81">
        <f t="shared" si="36"/>
        <v>-36902217.789999999</v>
      </c>
      <c r="K104" s="81">
        <f t="shared" si="36"/>
        <v>2975859.84</v>
      </c>
      <c r="L104" s="81">
        <f t="shared" si="36"/>
        <v>2975859.84</v>
      </c>
      <c r="M104" s="81">
        <f t="shared" si="36"/>
        <v>0</v>
      </c>
      <c r="N104" s="81">
        <f t="shared" si="36"/>
        <v>0</v>
      </c>
      <c r="O104" s="81">
        <f>'Exhibit F,1'!AE25</f>
        <v>0</v>
      </c>
      <c r="P104" s="81">
        <f t="shared" si="36"/>
        <v>-36902217.789999999</v>
      </c>
      <c r="Q104" s="81">
        <f t="shared" si="36"/>
        <v>2975859.84</v>
      </c>
      <c r="R104" s="81">
        <f t="shared" si="36"/>
        <v>-33926357.950000003</v>
      </c>
      <c r="S104" s="81">
        <f t="shared" si="37"/>
        <v>0</v>
      </c>
      <c r="T104" s="81">
        <f t="shared" si="37"/>
        <v>0</v>
      </c>
      <c r="U104" s="81">
        <f t="shared" si="38"/>
        <v>0</v>
      </c>
      <c r="V104" s="81">
        <f t="shared" si="39"/>
        <v>-33926357.950000003</v>
      </c>
      <c r="W104" s="87">
        <v>0</v>
      </c>
    </row>
    <row r="105" spans="1:23">
      <c r="A105" s="6">
        <f t="shared" si="40"/>
        <v>2002</v>
      </c>
      <c r="B105" s="6"/>
      <c r="C105" s="6"/>
      <c r="D105" s="6"/>
      <c r="E105" s="6"/>
      <c r="F105" s="6"/>
      <c r="G105" s="81">
        <f t="shared" si="36"/>
        <v>-16280543.719999999</v>
      </c>
      <c r="H105" s="81">
        <f t="shared" si="36"/>
        <v>-16280543.719999999</v>
      </c>
      <c r="I105" s="81">
        <f t="shared" si="36"/>
        <v>-19292933.620000001</v>
      </c>
      <c r="J105" s="81">
        <f t="shared" si="36"/>
        <v>-19292933.620000001</v>
      </c>
      <c r="K105" s="81">
        <f t="shared" si="36"/>
        <v>3012389.9</v>
      </c>
      <c r="L105" s="81">
        <f t="shared" si="36"/>
        <v>3012389.9</v>
      </c>
      <c r="M105" s="81">
        <f t="shared" si="36"/>
        <v>0</v>
      </c>
      <c r="N105" s="81">
        <f t="shared" si="36"/>
        <v>0</v>
      </c>
      <c r="O105" s="81">
        <f>'Exhibit F,1'!AE26</f>
        <v>0</v>
      </c>
      <c r="P105" s="81">
        <f t="shared" si="36"/>
        <v>-19292933.620000001</v>
      </c>
      <c r="Q105" s="81">
        <f t="shared" si="36"/>
        <v>3012389.9</v>
      </c>
      <c r="R105" s="81">
        <f t="shared" si="36"/>
        <v>-16280543.720000001</v>
      </c>
      <c r="S105" s="81">
        <f t="shared" si="37"/>
        <v>0</v>
      </c>
      <c r="T105" s="81">
        <f t="shared" si="37"/>
        <v>0</v>
      </c>
      <c r="U105" s="81">
        <f t="shared" si="38"/>
        <v>0</v>
      </c>
      <c r="V105" s="81">
        <f t="shared" si="39"/>
        <v>-16280543.720000001</v>
      </c>
      <c r="W105" s="87">
        <v>0</v>
      </c>
    </row>
    <row r="106" spans="1:23">
      <c r="A106" s="6">
        <f t="shared" si="40"/>
        <v>2003</v>
      </c>
      <c r="B106" s="6"/>
      <c r="C106" s="6"/>
      <c r="D106" s="6"/>
      <c r="E106" s="6"/>
      <c r="F106" s="6"/>
      <c r="G106" s="81">
        <f t="shared" si="36"/>
        <v>-17738739.329999994</v>
      </c>
      <c r="H106" s="81">
        <f t="shared" si="36"/>
        <v>-17792511.159999996</v>
      </c>
      <c r="I106" s="81">
        <f t="shared" si="36"/>
        <v>-20216100.969999999</v>
      </c>
      <c r="J106" s="81">
        <f t="shared" si="36"/>
        <v>-20269872.799999997</v>
      </c>
      <c r="K106" s="81">
        <f t="shared" si="36"/>
        <v>2477361.6399999997</v>
      </c>
      <c r="L106" s="81">
        <f t="shared" si="36"/>
        <v>2477361.64</v>
      </c>
      <c r="M106" s="81">
        <f t="shared" si="36"/>
        <v>0</v>
      </c>
      <c r="N106" s="81">
        <f t="shared" si="36"/>
        <v>0</v>
      </c>
      <c r="O106" s="81">
        <f>'Exhibit F,1'!AE27</f>
        <v>0</v>
      </c>
      <c r="P106" s="81">
        <f t="shared" si="36"/>
        <v>-20269872.799999997</v>
      </c>
      <c r="Q106" s="81">
        <f t="shared" si="36"/>
        <v>2477361.64</v>
      </c>
      <c r="R106" s="81">
        <f t="shared" si="36"/>
        <v>-17792511.16</v>
      </c>
      <c r="S106" s="81">
        <f t="shared" si="37"/>
        <v>0</v>
      </c>
      <c r="T106" s="81">
        <f t="shared" si="37"/>
        <v>0</v>
      </c>
      <c r="U106" s="81">
        <f t="shared" si="38"/>
        <v>0</v>
      </c>
      <c r="V106" s="81">
        <f t="shared" si="39"/>
        <v>-17792511.16</v>
      </c>
      <c r="W106" s="87">
        <v>0</v>
      </c>
    </row>
    <row r="107" spans="1:23">
      <c r="A107" s="6">
        <f t="shared" si="40"/>
        <v>2004</v>
      </c>
      <c r="B107" s="6"/>
      <c r="C107" s="6"/>
      <c r="D107" s="6"/>
      <c r="E107" s="6"/>
      <c r="F107" s="6"/>
      <c r="G107" s="81">
        <f t="shared" si="36"/>
        <v>-19758289.650000002</v>
      </c>
      <c r="H107" s="81">
        <f t="shared" si="36"/>
        <v>-19670564.920000002</v>
      </c>
      <c r="I107" s="81">
        <f t="shared" si="36"/>
        <v>-19767184.650000002</v>
      </c>
      <c r="J107" s="81">
        <f t="shared" si="36"/>
        <v>-19728564.920000002</v>
      </c>
      <c r="K107" s="81">
        <f t="shared" si="36"/>
        <v>8895</v>
      </c>
      <c r="L107" s="81">
        <f t="shared" si="36"/>
        <v>58000</v>
      </c>
      <c r="M107" s="81">
        <f t="shared" si="36"/>
        <v>0</v>
      </c>
      <c r="N107" s="81">
        <f t="shared" si="36"/>
        <v>0</v>
      </c>
      <c r="O107" s="81">
        <f>'Exhibit F,1'!AE28</f>
        <v>0</v>
      </c>
      <c r="P107" s="81">
        <f t="shared" si="36"/>
        <v>-19728564.920000002</v>
      </c>
      <c r="Q107" s="81">
        <f t="shared" si="36"/>
        <v>58000</v>
      </c>
      <c r="R107" s="81">
        <f t="shared" si="36"/>
        <v>-19670564.920000002</v>
      </c>
      <c r="S107" s="81">
        <f t="shared" si="37"/>
        <v>1146.0851942027116</v>
      </c>
      <c r="T107" s="81">
        <f t="shared" si="37"/>
        <v>0</v>
      </c>
      <c r="U107" s="81">
        <f t="shared" si="38"/>
        <v>1146.0851942027116</v>
      </c>
      <c r="V107" s="81">
        <f t="shared" si="39"/>
        <v>-19669418.834805798</v>
      </c>
      <c r="W107" s="87">
        <v>0</v>
      </c>
    </row>
    <row r="108" spans="1:23">
      <c r="A108" s="6">
        <f t="shared" si="40"/>
        <v>2005</v>
      </c>
      <c r="B108" s="6"/>
      <c r="C108" s="6"/>
      <c r="D108" s="6"/>
      <c r="E108" s="6"/>
      <c r="F108" s="6"/>
      <c r="G108" s="81">
        <f t="shared" si="36"/>
        <v>-19499161.889999997</v>
      </c>
      <c r="H108" s="81">
        <f t="shared" si="36"/>
        <v>-19594395.969999999</v>
      </c>
      <c r="I108" s="81">
        <f t="shared" si="36"/>
        <v>-20710055.129999999</v>
      </c>
      <c r="J108" s="81">
        <f t="shared" si="36"/>
        <v>-20805289.209999997</v>
      </c>
      <c r="K108" s="81">
        <f t="shared" si="36"/>
        <v>1210893.24</v>
      </c>
      <c r="L108" s="81">
        <f t="shared" si="36"/>
        <v>1210893.24</v>
      </c>
      <c r="M108" s="81">
        <f t="shared" si="36"/>
        <v>0</v>
      </c>
      <c r="N108" s="81">
        <f t="shared" si="36"/>
        <v>0</v>
      </c>
      <c r="O108" s="81">
        <f>'Exhibit F,1'!AE29</f>
        <v>0</v>
      </c>
      <c r="P108" s="81">
        <f t="shared" si="36"/>
        <v>-20805289.209999997</v>
      </c>
      <c r="Q108" s="81">
        <f t="shared" si="36"/>
        <v>1210893.24</v>
      </c>
      <c r="R108" s="81">
        <f t="shared" si="36"/>
        <v>-19594395.969999999</v>
      </c>
      <c r="S108" s="81">
        <f t="shared" si="37"/>
        <v>0</v>
      </c>
      <c r="T108" s="81">
        <f t="shared" si="37"/>
        <v>0</v>
      </c>
      <c r="U108" s="81">
        <f t="shared" si="38"/>
        <v>0</v>
      </c>
      <c r="V108" s="81">
        <f t="shared" si="39"/>
        <v>-19594395.969999999</v>
      </c>
      <c r="W108" s="87">
        <v>0</v>
      </c>
    </row>
    <row r="109" spans="1:23">
      <c r="A109" s="6">
        <f t="shared" si="40"/>
        <v>2006</v>
      </c>
      <c r="B109" s="6"/>
      <c r="C109" s="6"/>
      <c r="D109" s="6"/>
      <c r="E109" s="6"/>
      <c r="F109" s="6"/>
      <c r="G109" s="81">
        <f t="shared" si="36"/>
        <v>-19875001.479999997</v>
      </c>
      <c r="H109" s="81">
        <f t="shared" si="36"/>
        <v>-19875001.479999997</v>
      </c>
      <c r="I109" s="81">
        <f t="shared" si="36"/>
        <v>-20953746.609999999</v>
      </c>
      <c r="J109" s="81">
        <f t="shared" si="36"/>
        <v>-20953746.609999999</v>
      </c>
      <c r="K109" s="81">
        <f t="shared" si="36"/>
        <v>1078745.1299999999</v>
      </c>
      <c r="L109" s="81">
        <f t="shared" si="36"/>
        <v>1078745.1299999999</v>
      </c>
      <c r="M109" s="81">
        <f t="shared" si="36"/>
        <v>0</v>
      </c>
      <c r="N109" s="81">
        <f t="shared" si="36"/>
        <v>0</v>
      </c>
      <c r="O109" s="81">
        <f>'Exhibit F,1'!AE30</f>
        <v>0</v>
      </c>
      <c r="P109" s="81">
        <f t="shared" si="36"/>
        <v>-20953746.609999999</v>
      </c>
      <c r="Q109" s="81">
        <f t="shared" si="36"/>
        <v>1078745.1299999999</v>
      </c>
      <c r="R109" s="81">
        <f t="shared" si="36"/>
        <v>-19875001.48</v>
      </c>
      <c r="S109" s="81">
        <f t="shared" si="37"/>
        <v>0</v>
      </c>
      <c r="T109" s="81">
        <f t="shared" si="37"/>
        <v>0</v>
      </c>
      <c r="U109" s="81">
        <f t="shared" si="38"/>
        <v>0</v>
      </c>
      <c r="V109" s="81">
        <f t="shared" si="39"/>
        <v>-19875001.48</v>
      </c>
      <c r="W109" s="87">
        <v>0</v>
      </c>
    </row>
    <row r="110" spans="1:23">
      <c r="A110" s="6">
        <f t="shared" si="40"/>
        <v>2007</v>
      </c>
      <c r="B110" s="6"/>
      <c r="C110" s="6"/>
      <c r="D110" s="6"/>
      <c r="E110" s="6"/>
      <c r="F110" s="6"/>
      <c r="G110" s="81">
        <f t="shared" si="36"/>
        <v>-18910449.940000001</v>
      </c>
      <c r="H110" s="81">
        <f t="shared" si="36"/>
        <v>-18910449.940000001</v>
      </c>
      <c r="I110" s="81">
        <f t="shared" si="36"/>
        <v>-18913300.940000001</v>
      </c>
      <c r="J110" s="81">
        <f t="shared" si="36"/>
        <v>-18913300.940000001</v>
      </c>
      <c r="K110" s="81">
        <f t="shared" si="36"/>
        <v>2851</v>
      </c>
      <c r="L110" s="81">
        <f t="shared" si="36"/>
        <v>2851</v>
      </c>
      <c r="M110" s="81">
        <f t="shared" si="36"/>
        <v>0</v>
      </c>
      <c r="N110" s="81">
        <f t="shared" si="36"/>
        <v>0</v>
      </c>
      <c r="O110" s="81">
        <f>'Exhibit F,1'!AE31</f>
        <v>0</v>
      </c>
      <c r="P110" s="81">
        <f t="shared" si="36"/>
        <v>-18913300.940000001</v>
      </c>
      <c r="Q110" s="81">
        <f t="shared" si="36"/>
        <v>2851</v>
      </c>
      <c r="R110" s="81">
        <f t="shared" si="36"/>
        <v>-18910449.940000001</v>
      </c>
      <c r="S110" s="81">
        <f t="shared" si="37"/>
        <v>0</v>
      </c>
      <c r="T110" s="81">
        <f t="shared" si="37"/>
        <v>416.96689735816676</v>
      </c>
      <c r="U110" s="81">
        <f t="shared" si="38"/>
        <v>416.96689735816676</v>
      </c>
      <c r="V110" s="81">
        <f t="shared" si="39"/>
        <v>-18910032.973102644</v>
      </c>
      <c r="W110" s="87">
        <v>0</v>
      </c>
    </row>
    <row r="111" spans="1:23">
      <c r="A111" s="6">
        <f t="shared" si="40"/>
        <v>2008</v>
      </c>
      <c r="B111" s="6"/>
      <c r="C111" s="6"/>
      <c r="D111" s="6"/>
      <c r="E111" s="6"/>
      <c r="F111" s="6"/>
      <c r="G111" s="81">
        <f t="shared" si="36"/>
        <v>-24630135.52</v>
      </c>
      <c r="H111" s="81">
        <f t="shared" si="36"/>
        <v>-24630135.52</v>
      </c>
      <c r="I111" s="81">
        <f t="shared" si="36"/>
        <v>-24630135.52</v>
      </c>
      <c r="J111" s="81">
        <f t="shared" si="36"/>
        <v>-24630135.52</v>
      </c>
      <c r="K111" s="81">
        <f t="shared" si="36"/>
        <v>0</v>
      </c>
      <c r="L111" s="81">
        <f t="shared" si="36"/>
        <v>0</v>
      </c>
      <c r="M111" s="81">
        <f t="shared" si="36"/>
        <v>0</v>
      </c>
      <c r="N111" s="81">
        <f t="shared" si="36"/>
        <v>0</v>
      </c>
      <c r="O111" s="81">
        <f>'Exhibit F,1'!AE32</f>
        <v>0</v>
      </c>
      <c r="P111" s="81">
        <f t="shared" si="36"/>
        <v>-24630135.52</v>
      </c>
      <c r="Q111" s="81">
        <f t="shared" si="36"/>
        <v>0</v>
      </c>
      <c r="R111" s="81">
        <f t="shared" si="36"/>
        <v>-24630135.52</v>
      </c>
      <c r="S111" s="81">
        <f t="shared" si="36"/>
        <v>0</v>
      </c>
      <c r="T111" s="81">
        <f t="shared" si="36"/>
        <v>36230.974506352737</v>
      </c>
      <c r="U111" s="81">
        <f t="shared" si="38"/>
        <v>36230.974506352737</v>
      </c>
      <c r="V111" s="81">
        <f t="shared" si="39"/>
        <v>-24593904.545493647</v>
      </c>
      <c r="W111" s="87">
        <v>0</v>
      </c>
    </row>
    <row r="112" spans="1:23">
      <c r="A112" s="6">
        <f t="shared" si="40"/>
        <v>2009</v>
      </c>
      <c r="B112" s="6"/>
      <c r="C112" s="6"/>
      <c r="D112" s="6"/>
      <c r="E112" s="6"/>
      <c r="F112" s="6"/>
      <c r="G112" s="81">
        <f t="shared" ref="G112:T124" si="41">G32-G72</f>
        <v>-16626329.525492938</v>
      </c>
      <c r="H112" s="81">
        <f t="shared" si="41"/>
        <v>-16626329.525492938</v>
      </c>
      <c r="I112" s="81">
        <f t="shared" si="41"/>
        <v>-17033627.315492939</v>
      </c>
      <c r="J112" s="81">
        <f t="shared" si="41"/>
        <v>-17033627.315492939</v>
      </c>
      <c r="K112" s="81">
        <f t="shared" si="41"/>
        <v>407297.79</v>
      </c>
      <c r="L112" s="81">
        <f t="shared" si="41"/>
        <v>407297.79</v>
      </c>
      <c r="M112" s="81">
        <f t="shared" si="41"/>
        <v>49.437654141832901</v>
      </c>
      <c r="N112" s="81">
        <f t="shared" si="41"/>
        <v>14.352867331499873</v>
      </c>
      <c r="O112" s="81">
        <f>'Exhibit F,1'!AE33</f>
        <v>63.790521473332774</v>
      </c>
      <c r="P112" s="81">
        <f t="shared" si="41"/>
        <v>-17033577.877838798</v>
      </c>
      <c r="Q112" s="81">
        <f t="shared" si="41"/>
        <v>407312.14286733145</v>
      </c>
      <c r="R112" s="81">
        <f t="shared" si="41"/>
        <v>-16626265.734971466</v>
      </c>
      <c r="S112" s="81">
        <f t="shared" si="41"/>
        <v>1.8930575690471381</v>
      </c>
      <c r="T112" s="81">
        <f t="shared" si="41"/>
        <v>0</v>
      </c>
      <c r="U112" s="81">
        <f t="shared" si="38"/>
        <v>1.8930575690471381</v>
      </c>
      <c r="V112" s="81">
        <f t="shared" si="39"/>
        <v>-16626263.841913896</v>
      </c>
      <c r="W112" s="87">
        <v>0</v>
      </c>
    </row>
    <row r="113" spans="1:23">
      <c r="A113" s="6">
        <f t="shared" si="40"/>
        <v>2010</v>
      </c>
      <c r="B113" s="6"/>
      <c r="C113" s="6"/>
      <c r="D113" s="6"/>
      <c r="E113" s="6"/>
      <c r="F113" s="6"/>
      <c r="G113" s="81">
        <f t="shared" si="41"/>
        <v>-22543334.891914915</v>
      </c>
      <c r="H113" s="81">
        <f t="shared" si="41"/>
        <v>-22543334.891914915</v>
      </c>
      <c r="I113" s="81">
        <f t="shared" si="41"/>
        <v>-23644578.801914915</v>
      </c>
      <c r="J113" s="81">
        <f t="shared" si="41"/>
        <v>-23644578.801914915</v>
      </c>
      <c r="K113" s="81">
        <f t="shared" si="41"/>
        <v>1101243.9099999999</v>
      </c>
      <c r="L113" s="81">
        <f t="shared" si="41"/>
        <v>1101243.9099999999</v>
      </c>
      <c r="M113" s="81">
        <f t="shared" si="41"/>
        <v>613.83894569795814</v>
      </c>
      <c r="N113" s="81">
        <f t="shared" si="41"/>
        <v>178.2113068155362</v>
      </c>
      <c r="O113" s="81">
        <f>'Exhibit F,1'!AE34</f>
        <v>792.05025251349434</v>
      </c>
      <c r="P113" s="81">
        <f t="shared" si="41"/>
        <v>-23643964.962969217</v>
      </c>
      <c r="Q113" s="81">
        <f t="shared" si="41"/>
        <v>1101422.1213068154</v>
      </c>
      <c r="R113" s="81">
        <f t="shared" si="41"/>
        <v>-22542542.841662403</v>
      </c>
      <c r="S113" s="81">
        <f t="shared" si="41"/>
        <v>23.505008125904425</v>
      </c>
      <c r="T113" s="81">
        <f t="shared" si="41"/>
        <v>0</v>
      </c>
      <c r="U113" s="81">
        <f t="shared" si="38"/>
        <v>23.505008125904425</v>
      </c>
      <c r="V113" s="81">
        <f t="shared" si="39"/>
        <v>-22542519.336654276</v>
      </c>
      <c r="W113" s="87">
        <v>0</v>
      </c>
    </row>
    <row r="114" spans="1:23">
      <c r="A114" s="6">
        <f t="shared" si="40"/>
        <v>2011</v>
      </c>
      <c r="B114" s="6"/>
      <c r="C114" s="6"/>
      <c r="D114" s="6"/>
      <c r="E114" s="6"/>
      <c r="F114" s="6"/>
      <c r="G114" s="81">
        <f t="shared" si="41"/>
        <v>-18881928.149389587</v>
      </c>
      <c r="H114" s="81">
        <f t="shared" si="41"/>
        <v>-18881928.149389587</v>
      </c>
      <c r="I114" s="81">
        <f t="shared" si="41"/>
        <v>-20873874.559389587</v>
      </c>
      <c r="J114" s="81">
        <f t="shared" si="41"/>
        <v>-20873874.559389587</v>
      </c>
      <c r="K114" s="81">
        <f t="shared" si="41"/>
        <v>1991946.4100000001</v>
      </c>
      <c r="L114" s="81">
        <f t="shared" si="41"/>
        <v>1991946.4100000001</v>
      </c>
      <c r="M114" s="81">
        <f t="shared" si="41"/>
        <v>5192.9413042455217</v>
      </c>
      <c r="N114" s="81">
        <f t="shared" si="41"/>
        <v>1507.7055778531126</v>
      </c>
      <c r="O114" s="81">
        <f>'Exhibit F,1'!AE35</f>
        <v>6700.6468820986338</v>
      </c>
      <c r="P114" s="81">
        <f t="shared" si="41"/>
        <v>-20868681.61808534</v>
      </c>
      <c r="Q114" s="81">
        <f t="shared" si="41"/>
        <v>1993454.1155778533</v>
      </c>
      <c r="R114" s="81">
        <f t="shared" si="41"/>
        <v>-18875227.502507485</v>
      </c>
      <c r="S114" s="81">
        <f t="shared" si="41"/>
        <v>198.85963260401658</v>
      </c>
      <c r="T114" s="81">
        <f t="shared" si="41"/>
        <v>1880.07701653237</v>
      </c>
      <c r="U114" s="81">
        <f t="shared" si="38"/>
        <v>2078.9366491363867</v>
      </c>
      <c r="V114" s="81">
        <f t="shared" si="39"/>
        <v>-18873148.565858349</v>
      </c>
      <c r="W114" s="87">
        <v>253259.21852618607</v>
      </c>
    </row>
    <row r="115" spans="1:23">
      <c r="A115" s="6">
        <f t="shared" si="40"/>
        <v>2012</v>
      </c>
      <c r="B115" s="6"/>
      <c r="C115" s="6"/>
      <c r="D115" s="6"/>
      <c r="E115" s="6"/>
      <c r="F115" s="6"/>
      <c r="G115" s="81">
        <f t="shared" si="41"/>
        <v>-13102070.561505204</v>
      </c>
      <c r="H115" s="81">
        <f t="shared" si="41"/>
        <v>-13102070.561505204</v>
      </c>
      <c r="I115" s="81">
        <f t="shared" si="41"/>
        <v>-13645876.741505204</v>
      </c>
      <c r="J115" s="81">
        <f t="shared" si="41"/>
        <v>-13645876.741505204</v>
      </c>
      <c r="K115" s="81">
        <f t="shared" si="41"/>
        <v>543806.18000000005</v>
      </c>
      <c r="L115" s="81">
        <f t="shared" si="41"/>
        <v>543806.18000000005</v>
      </c>
      <c r="M115" s="81">
        <f t="shared" si="41"/>
        <v>3965.6939245085555</v>
      </c>
      <c r="N115" s="81">
        <f t="shared" si="41"/>
        <v>1164.8622795698143</v>
      </c>
      <c r="O115" s="81">
        <f>'Exhibit F,1'!AE36</f>
        <v>5130.5562040783698</v>
      </c>
      <c r="P115" s="81">
        <f t="shared" si="41"/>
        <v>-13641911.047580695</v>
      </c>
      <c r="Q115" s="81">
        <f t="shared" si="41"/>
        <v>544971.0422795699</v>
      </c>
      <c r="R115" s="81">
        <f t="shared" si="41"/>
        <v>-13096940.005301125</v>
      </c>
      <c r="S115" s="81">
        <f t="shared" si="41"/>
        <v>154.03358212783689</v>
      </c>
      <c r="T115" s="81">
        <f t="shared" si="41"/>
        <v>3808.279329495851</v>
      </c>
      <c r="U115" s="81">
        <f t="shared" si="38"/>
        <v>3962.3129116236878</v>
      </c>
      <c r="V115" s="81">
        <f t="shared" si="39"/>
        <v>-13092977.692389501</v>
      </c>
      <c r="W115" s="87">
        <v>343736.27943750098</v>
      </c>
    </row>
    <row r="116" spans="1:23">
      <c r="A116" s="6">
        <f t="shared" si="40"/>
        <v>2013</v>
      </c>
      <c r="B116" s="6"/>
      <c r="C116" s="6"/>
      <c r="D116" s="6"/>
      <c r="E116" s="6"/>
      <c r="F116" s="6"/>
      <c r="G116" s="81">
        <f t="shared" si="41"/>
        <v>-18573843.193945162</v>
      </c>
      <c r="H116" s="81">
        <f t="shared" si="41"/>
        <v>-18573843.193945162</v>
      </c>
      <c r="I116" s="81">
        <f t="shared" si="41"/>
        <v>-19225478.433945164</v>
      </c>
      <c r="J116" s="81">
        <f t="shared" si="41"/>
        <v>-19225478.433945164</v>
      </c>
      <c r="K116" s="81">
        <f t="shared" si="41"/>
        <v>651635.24</v>
      </c>
      <c r="L116" s="81">
        <f t="shared" si="41"/>
        <v>651635.24</v>
      </c>
      <c r="M116" s="81">
        <f t="shared" si="41"/>
        <v>14584.053062440977</v>
      </c>
      <c r="N116" s="81">
        <f t="shared" si="41"/>
        <v>4467.5730449891089</v>
      </c>
      <c r="O116" s="81">
        <f>'Exhibit F,1'!AE37</f>
        <v>19051.626107430086</v>
      </c>
      <c r="P116" s="81">
        <f t="shared" si="41"/>
        <v>-19210894.380882725</v>
      </c>
      <c r="Q116" s="81">
        <f t="shared" si="41"/>
        <v>656102.81304498913</v>
      </c>
      <c r="R116" s="81">
        <f t="shared" si="41"/>
        <v>-18554791.567837738</v>
      </c>
      <c r="S116" s="81">
        <f t="shared" si="41"/>
        <v>596.06542200366357</v>
      </c>
      <c r="T116" s="81">
        <f t="shared" si="41"/>
        <v>10884.280753275008</v>
      </c>
      <c r="U116" s="81">
        <f t="shared" si="38"/>
        <v>11480.346175278672</v>
      </c>
      <c r="V116" s="81">
        <f t="shared" si="39"/>
        <v>-18543311.221662458</v>
      </c>
      <c r="W116" s="87">
        <v>281668.25593494269</v>
      </c>
    </row>
    <row r="117" spans="1:23">
      <c r="A117" s="6">
        <f t="shared" si="40"/>
        <v>2014</v>
      </c>
      <c r="B117" s="6"/>
      <c r="C117" s="6"/>
      <c r="D117" s="6"/>
      <c r="E117" s="6"/>
      <c r="F117" s="6"/>
      <c r="G117" s="81">
        <f t="shared" si="41"/>
        <v>-10308316.973613856</v>
      </c>
      <c r="H117" s="81">
        <f t="shared" si="41"/>
        <v>-9704384.4236138556</v>
      </c>
      <c r="I117" s="81">
        <f t="shared" si="41"/>
        <v>-12787611.713613857</v>
      </c>
      <c r="J117" s="81">
        <f t="shared" si="41"/>
        <v>-13643887.823613856</v>
      </c>
      <c r="K117" s="81">
        <f t="shared" si="41"/>
        <v>2479294.7400000002</v>
      </c>
      <c r="L117" s="81">
        <f t="shared" si="41"/>
        <v>3939503.4</v>
      </c>
      <c r="M117" s="81">
        <f t="shared" si="41"/>
        <v>283214.07514423667</v>
      </c>
      <c r="N117" s="81">
        <f t="shared" si="41"/>
        <v>133342.25945243306</v>
      </c>
      <c r="O117" s="81">
        <f>'Exhibit F,1'!AE38</f>
        <v>416556.33459666977</v>
      </c>
      <c r="P117" s="81">
        <f t="shared" si="41"/>
        <v>-13360673.748469619</v>
      </c>
      <c r="Q117" s="81">
        <f t="shared" si="41"/>
        <v>4072845.6594524328</v>
      </c>
      <c r="R117" s="81">
        <f t="shared" si="41"/>
        <v>-9287828.0890171863</v>
      </c>
      <c r="S117" s="81">
        <f t="shared" si="41"/>
        <v>19079.979058570825</v>
      </c>
      <c r="T117" s="81">
        <f t="shared" si="41"/>
        <v>3829.1700742794269</v>
      </c>
      <c r="U117" s="81">
        <f t="shared" si="38"/>
        <v>22909.149132850252</v>
      </c>
      <c r="V117" s="81">
        <f t="shared" si="39"/>
        <v>-9264918.9398843367</v>
      </c>
      <c r="W117" s="87">
        <v>231408.14071144606</v>
      </c>
    </row>
    <row r="118" spans="1:23">
      <c r="A118" s="6">
        <f t="shared" si="40"/>
        <v>2015</v>
      </c>
      <c r="B118" s="6"/>
      <c r="C118" s="6"/>
      <c r="D118" s="6"/>
      <c r="E118" s="6"/>
      <c r="F118" s="6"/>
      <c r="G118" s="81">
        <f t="shared" si="41"/>
        <v>-4543508.5902915578</v>
      </c>
      <c r="H118" s="81">
        <f t="shared" si="41"/>
        <v>-4305401.4702915577</v>
      </c>
      <c r="I118" s="81">
        <f t="shared" si="41"/>
        <v>-4613975.6602915572</v>
      </c>
      <c r="J118" s="81">
        <f t="shared" si="41"/>
        <v>-4508248.5402915571</v>
      </c>
      <c r="K118" s="81">
        <f t="shared" si="41"/>
        <v>70467.070000000007</v>
      </c>
      <c r="L118" s="81">
        <f t="shared" si="41"/>
        <v>202847.07</v>
      </c>
      <c r="M118" s="81">
        <f t="shared" si="41"/>
        <v>329615.77702343109</v>
      </c>
      <c r="N118" s="81">
        <f t="shared" si="41"/>
        <v>98497.689893481336</v>
      </c>
      <c r="O118" s="81">
        <f>'Exhibit F,1'!AE39</f>
        <v>428113.46691691241</v>
      </c>
      <c r="P118" s="81">
        <f t="shared" si="41"/>
        <v>-4178632.7632681262</v>
      </c>
      <c r="Q118" s="81">
        <f t="shared" si="41"/>
        <v>301344.75989348133</v>
      </c>
      <c r="R118" s="81">
        <f t="shared" si="41"/>
        <v>-3877288.003374645</v>
      </c>
      <c r="S118" s="81">
        <f t="shared" si="41"/>
        <v>16210.688009407495</v>
      </c>
      <c r="T118" s="81">
        <f t="shared" si="41"/>
        <v>24915.764885506858</v>
      </c>
      <c r="U118" s="81">
        <f t="shared" si="38"/>
        <v>41126.452894914357</v>
      </c>
      <c r="V118" s="81">
        <f t="shared" si="39"/>
        <v>-3836161.5504797306</v>
      </c>
      <c r="W118" s="87">
        <v>1351525.4449887751</v>
      </c>
    </row>
    <row r="119" spans="1:23">
      <c r="A119" s="6">
        <f t="shared" si="40"/>
        <v>2016</v>
      </c>
      <c r="B119" s="6"/>
      <c r="C119" s="6"/>
      <c r="D119" s="6"/>
      <c r="E119" s="6"/>
      <c r="F119" s="6"/>
      <c r="G119" s="81">
        <f t="shared" si="41"/>
        <v>-6018462.3733120114</v>
      </c>
      <c r="H119" s="81">
        <f t="shared" si="41"/>
        <v>-5221216.8233120106</v>
      </c>
      <c r="I119" s="81">
        <f t="shared" si="41"/>
        <v>-6237025.9133120105</v>
      </c>
      <c r="J119" s="81">
        <f t="shared" si="41"/>
        <v>-5718533.7033120114</v>
      </c>
      <c r="K119" s="81">
        <f t="shared" si="41"/>
        <v>218563.54</v>
      </c>
      <c r="L119" s="81">
        <f t="shared" si="41"/>
        <v>497316.88</v>
      </c>
      <c r="M119" s="81">
        <f t="shared" si="41"/>
        <v>404464.33111393137</v>
      </c>
      <c r="N119" s="81">
        <f t="shared" si="41"/>
        <v>136616.21294684973</v>
      </c>
      <c r="O119" s="81">
        <f>'Exhibit F,1'!AE40</f>
        <v>541080.54406078113</v>
      </c>
      <c r="P119" s="81">
        <f t="shared" si="41"/>
        <v>-5314069.3721980806</v>
      </c>
      <c r="Q119" s="81">
        <f t="shared" si="41"/>
        <v>633933.09294684976</v>
      </c>
      <c r="R119" s="81">
        <f t="shared" si="41"/>
        <v>-4680136.2792512309</v>
      </c>
      <c r="S119" s="81">
        <f t="shared" si="41"/>
        <v>33966.197638031335</v>
      </c>
      <c r="T119" s="81">
        <f t="shared" si="41"/>
        <v>77071.700786460191</v>
      </c>
      <c r="U119" s="81">
        <f t="shared" si="38"/>
        <v>111037.89842449152</v>
      </c>
      <c r="V119" s="81">
        <f t="shared" si="39"/>
        <v>-4569098.3808267396</v>
      </c>
      <c r="W119" s="87">
        <v>1337489.4025918255</v>
      </c>
    </row>
    <row r="120" spans="1:23">
      <c r="A120" s="6">
        <f t="shared" si="40"/>
        <v>2017</v>
      </c>
      <c r="B120" s="6"/>
      <c r="C120" s="6"/>
      <c r="D120" s="6"/>
      <c r="E120" s="6"/>
      <c r="F120" s="6"/>
      <c r="G120" s="81">
        <f t="shared" si="41"/>
        <v>-4292820.0485646706</v>
      </c>
      <c r="H120" s="81">
        <f t="shared" si="41"/>
        <v>-2782349.7885646708</v>
      </c>
      <c r="I120" s="81">
        <f t="shared" si="41"/>
        <v>-5292076.9185646707</v>
      </c>
      <c r="J120" s="81">
        <f t="shared" si="41"/>
        <v>-4077827.1585646709</v>
      </c>
      <c r="K120" s="81">
        <f t="shared" si="41"/>
        <v>999256.87000000011</v>
      </c>
      <c r="L120" s="81">
        <f t="shared" si="41"/>
        <v>1295477.3700000001</v>
      </c>
      <c r="M120" s="81">
        <f t="shared" si="41"/>
        <v>318844.89332089154</v>
      </c>
      <c r="N120" s="81">
        <f t="shared" si="41"/>
        <v>133493.82886563052</v>
      </c>
      <c r="O120" s="81">
        <f>'Exhibit F,1'!AE41</f>
        <v>452338.72218652209</v>
      </c>
      <c r="P120" s="81">
        <f t="shared" si="41"/>
        <v>-3758982.2652437794</v>
      </c>
      <c r="Q120" s="81">
        <f t="shared" si="41"/>
        <v>1428971.1988656304</v>
      </c>
      <c r="R120" s="81">
        <f t="shared" si="41"/>
        <v>-2330011.0663781487</v>
      </c>
      <c r="S120" s="81">
        <f t="shared" si="41"/>
        <v>57574.491523076686</v>
      </c>
      <c r="T120" s="81">
        <f t="shared" si="41"/>
        <v>9038.0397977349039</v>
      </c>
      <c r="U120" s="81">
        <f t="shared" si="38"/>
        <v>66612.531320811584</v>
      </c>
      <c r="V120" s="81">
        <f t="shared" si="39"/>
        <v>-2263398.535057337</v>
      </c>
      <c r="W120" s="87">
        <v>899830.82911429624</v>
      </c>
    </row>
    <row r="121" spans="1:23">
      <c r="A121" s="6">
        <f t="shared" si="40"/>
        <v>2018</v>
      </c>
      <c r="B121" s="6"/>
      <c r="C121" s="6"/>
      <c r="D121" s="6"/>
      <c r="E121" s="6"/>
      <c r="F121" s="6"/>
      <c r="G121" s="81">
        <f t="shared" si="41"/>
        <v>-569379.80615759396</v>
      </c>
      <c r="H121" s="81">
        <f t="shared" si="41"/>
        <v>-435979.51615759393</v>
      </c>
      <c r="I121" s="81">
        <f t="shared" si="41"/>
        <v>-590959.01615759393</v>
      </c>
      <c r="J121" s="81">
        <f t="shared" si="41"/>
        <v>-575681.51615759393</v>
      </c>
      <c r="K121" s="81">
        <f t="shared" si="41"/>
        <v>21579.21</v>
      </c>
      <c r="L121" s="81">
        <f t="shared" si="41"/>
        <v>139702</v>
      </c>
      <c r="M121" s="81">
        <f t="shared" si="41"/>
        <v>441498.33612886746</v>
      </c>
      <c r="N121" s="81">
        <f t="shared" si="41"/>
        <v>148800.13315414303</v>
      </c>
      <c r="O121" s="81">
        <f>'Exhibit F,1'!AE42</f>
        <v>590298.46928301046</v>
      </c>
      <c r="P121" s="81">
        <f t="shared" si="41"/>
        <v>-134183.18002872649</v>
      </c>
      <c r="Q121" s="81">
        <f t="shared" si="41"/>
        <v>288502.13315414306</v>
      </c>
      <c r="R121" s="81">
        <f t="shared" si="41"/>
        <v>154318.95312541653</v>
      </c>
      <c r="S121" s="81">
        <f t="shared" si="41"/>
        <v>20681.529971500033</v>
      </c>
      <c r="T121" s="81">
        <f t="shared" si="41"/>
        <v>9058.8748339205686</v>
      </c>
      <c r="U121" s="81">
        <f t="shared" si="38"/>
        <v>29740.4048054206</v>
      </c>
      <c r="V121" s="81">
        <f t="shared" si="39"/>
        <v>184059.35793083714</v>
      </c>
      <c r="W121" s="87">
        <v>279859.19049079902</v>
      </c>
    </row>
    <row r="122" spans="1:23">
      <c r="A122" s="6">
        <f t="shared" si="40"/>
        <v>2019</v>
      </c>
      <c r="B122" s="6"/>
      <c r="C122" s="6"/>
      <c r="D122" s="6"/>
      <c r="E122" s="6"/>
      <c r="F122" s="6"/>
      <c r="G122" s="81">
        <f t="shared" si="41"/>
        <v>-449486.53136026813</v>
      </c>
      <c r="H122" s="81">
        <f t="shared" si="41"/>
        <v>-436189.53136026813</v>
      </c>
      <c r="I122" s="81">
        <f t="shared" si="41"/>
        <v>-457188.03136026813</v>
      </c>
      <c r="J122" s="81">
        <f t="shared" si="41"/>
        <v>-449902.03136026813</v>
      </c>
      <c r="K122" s="81">
        <f t="shared" si="41"/>
        <v>7701.5</v>
      </c>
      <c r="L122" s="81">
        <f t="shared" si="41"/>
        <v>13712.5</v>
      </c>
      <c r="M122" s="81">
        <f t="shared" si="41"/>
        <v>595921.03724212782</v>
      </c>
      <c r="N122" s="81">
        <f t="shared" si="41"/>
        <v>184818.48395221523</v>
      </c>
      <c r="O122" s="81">
        <f>'Exhibit F,1'!AE43</f>
        <v>780739.52119434299</v>
      </c>
      <c r="P122" s="81">
        <f t="shared" si="41"/>
        <v>146019.00588185963</v>
      </c>
      <c r="Q122" s="81">
        <f t="shared" si="41"/>
        <v>198530.98395221523</v>
      </c>
      <c r="R122" s="81">
        <f t="shared" si="41"/>
        <v>344549.98983407486</v>
      </c>
      <c r="S122" s="81">
        <f t="shared" si="41"/>
        <v>24937.563366261013</v>
      </c>
      <c r="T122" s="81">
        <f t="shared" si="41"/>
        <v>23379.72388534846</v>
      </c>
      <c r="U122" s="81">
        <f t="shared" si="38"/>
        <v>48317.287251609472</v>
      </c>
      <c r="V122" s="81">
        <f t="shared" si="39"/>
        <v>392867.27708568436</v>
      </c>
      <c r="W122" s="87">
        <v>302599.96886633261</v>
      </c>
    </row>
    <row r="123" spans="1:23">
      <c r="A123" s="6">
        <f t="shared" si="40"/>
        <v>2020</v>
      </c>
      <c r="B123" s="6"/>
      <c r="C123" s="6"/>
      <c r="D123" s="6"/>
      <c r="E123" s="6"/>
      <c r="F123" s="6"/>
      <c r="G123" s="81">
        <f t="shared" si="41"/>
        <v>-1131650.3793432082</v>
      </c>
      <c r="H123" s="81">
        <f t="shared" si="41"/>
        <v>-1119600.3793432082</v>
      </c>
      <c r="I123" s="81">
        <f t="shared" si="41"/>
        <v>-1131650.3793432082</v>
      </c>
      <c r="J123" s="81">
        <f t="shared" si="41"/>
        <v>-1119600.3793432082</v>
      </c>
      <c r="K123" s="81">
        <f t="shared" si="41"/>
        <v>0</v>
      </c>
      <c r="L123" s="81">
        <f t="shared" si="41"/>
        <v>0</v>
      </c>
      <c r="M123" s="81">
        <f t="shared" si="41"/>
        <v>2237360.8064581403</v>
      </c>
      <c r="N123" s="81">
        <f t="shared" si="41"/>
        <v>686393.77389015327</v>
      </c>
      <c r="O123" s="81">
        <f>'Exhibit F,1'!AE44</f>
        <v>2923754.5803482933</v>
      </c>
      <c r="P123" s="81">
        <f t="shared" si="41"/>
        <v>1117760.4271149319</v>
      </c>
      <c r="Q123" s="81">
        <f t="shared" si="41"/>
        <v>686393.77389015327</v>
      </c>
      <c r="R123" s="81">
        <f t="shared" si="41"/>
        <v>1804154.2010050851</v>
      </c>
      <c r="S123" s="81">
        <f t="shared" si="41"/>
        <v>91964.681857208532</v>
      </c>
      <c r="T123" s="81">
        <f t="shared" si="41"/>
        <v>373.76069202975856</v>
      </c>
      <c r="U123" s="81">
        <f t="shared" si="38"/>
        <v>92338.442549238287</v>
      </c>
      <c r="V123" s="81">
        <f t="shared" si="39"/>
        <v>1896492.6435543234</v>
      </c>
      <c r="W123" s="87">
        <v>240202.45000000007</v>
      </c>
    </row>
    <row r="124" spans="1:23">
      <c r="A124" s="6"/>
      <c r="B124" s="6"/>
      <c r="D124" s="6"/>
      <c r="E124" s="6"/>
      <c r="F124" s="6"/>
      <c r="G124" s="81">
        <f t="shared" si="41"/>
        <v>0</v>
      </c>
      <c r="H124" s="81">
        <f t="shared" si="41"/>
        <v>0</v>
      </c>
      <c r="I124" s="81">
        <f t="shared" si="41"/>
        <v>0</v>
      </c>
      <c r="J124" s="81">
        <f t="shared" si="41"/>
        <v>0</v>
      </c>
      <c r="K124" s="81">
        <f t="shared" si="41"/>
        <v>0</v>
      </c>
      <c r="L124" s="81">
        <f t="shared" si="41"/>
        <v>0</v>
      </c>
      <c r="M124" s="81">
        <f t="shared" si="41"/>
        <v>0</v>
      </c>
      <c r="N124" s="81">
        <f t="shared" si="41"/>
        <v>0</v>
      </c>
      <c r="O124" s="81">
        <f>'Exhibit F,1'!AE45</f>
        <v>0</v>
      </c>
      <c r="P124" s="81">
        <f t="shared" si="41"/>
        <v>0</v>
      </c>
      <c r="Q124" s="81">
        <f t="shared" si="41"/>
        <v>0</v>
      </c>
      <c r="R124" s="81">
        <f t="shared" si="41"/>
        <v>0</v>
      </c>
      <c r="S124" s="81">
        <f t="shared" si="41"/>
        <v>0</v>
      </c>
      <c r="T124" s="81">
        <f t="shared" si="41"/>
        <v>0</v>
      </c>
      <c r="U124" s="81">
        <f t="shared" si="38"/>
        <v>0</v>
      </c>
      <c r="V124" s="81">
        <f t="shared" si="39"/>
        <v>0</v>
      </c>
      <c r="W124" s="87">
        <v>0</v>
      </c>
    </row>
    <row r="125" spans="1:23">
      <c r="A125" s="6" t="s">
        <v>0</v>
      </c>
      <c r="B125" s="82">
        <f>SUM(B95:B123)</f>
        <v>0</v>
      </c>
      <c r="C125" s="82">
        <f>SUM(C95:C123)</f>
        <v>0</v>
      </c>
      <c r="D125" s="82">
        <f t="shared" ref="D125:Q125" si="42">SUM(D95:D123)</f>
        <v>0</v>
      </c>
      <c r="E125" s="82">
        <f t="shared" si="42"/>
        <v>0</v>
      </c>
      <c r="F125" s="82">
        <f t="shared" si="42"/>
        <v>0</v>
      </c>
      <c r="G125" s="82">
        <f>SUM(G95:G123)</f>
        <v>-395104616.12489092</v>
      </c>
      <c r="H125" s="82">
        <f t="shared" si="42"/>
        <v>-394476355.31489092</v>
      </c>
      <c r="I125" s="82">
        <f t="shared" si="42"/>
        <v>-422652277.28489101</v>
      </c>
      <c r="J125" s="82">
        <f t="shared" si="42"/>
        <v>-424364817.76489103</v>
      </c>
      <c r="K125" s="82">
        <f t="shared" si="42"/>
        <v>27547661.159999993</v>
      </c>
      <c r="L125" s="82">
        <f t="shared" si="42"/>
        <v>29888462.449999992</v>
      </c>
      <c r="M125" s="82">
        <f t="shared" si="42"/>
        <v>4635325.2213226613</v>
      </c>
      <c r="N125" s="82">
        <f t="shared" si="42"/>
        <v>1529295.0872314651</v>
      </c>
      <c r="O125" s="82">
        <f t="shared" si="42"/>
        <v>6164620.3085541259</v>
      </c>
      <c r="P125" s="82">
        <f t="shared" si="42"/>
        <v>-419729492.54356837</v>
      </c>
      <c r="Q125" s="82">
        <f t="shared" si="42"/>
        <v>31417757.53723146</v>
      </c>
      <c r="R125" s="82">
        <f>SUM(R95:R123)</f>
        <v>-388311735.00633687</v>
      </c>
      <c r="S125" s="82">
        <f>SUM(S95:S123)</f>
        <v>266535.57332068915</v>
      </c>
      <c r="T125" s="82">
        <f>SUM(T95:T123)</f>
        <v>200887.61345829428</v>
      </c>
      <c r="U125" s="82">
        <f>SUM(U95:U123)</f>
        <v>467423.18677898339</v>
      </c>
      <c r="V125" s="82">
        <f>SUM(V95:V123)</f>
        <v>-387844311.81955785</v>
      </c>
      <c r="W125" s="90">
        <v>5521579.1806621039</v>
      </c>
    </row>
    <row r="126" spans="1:2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81"/>
    </row>
    <row r="127" spans="1:2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sheetPr codeName="Sheet102">
    <tabColor rgb="FFFF0000"/>
  </sheetPr>
  <dimension ref="A5:W144"/>
  <sheetViews>
    <sheetView topLeftCell="A15" workbookViewId="0">
      <selection activeCell="A6" sqref="A6"/>
    </sheetView>
  </sheetViews>
  <sheetFormatPr baseColWidth="10" defaultColWidth="8.7109375" defaultRowHeight="15"/>
  <cols>
    <col min="1" max="26" width="12.7109375" style="1" customWidth="1"/>
    <col min="27" max="16384" width="8.7109375" style="1"/>
  </cols>
  <sheetData>
    <row r="5" spans="1:23" ht="16">
      <c r="A5" s="4"/>
      <c r="B5" s="4"/>
      <c r="H5" s="4"/>
      <c r="I5" s="4"/>
      <c r="J5" s="51" t="s">
        <v>872</v>
      </c>
      <c r="K5" s="4"/>
      <c r="L5" s="4"/>
    </row>
    <row r="6" spans="1:23" ht="16">
      <c r="A6" s="4"/>
      <c r="B6" s="4"/>
      <c r="H6" s="5" t="s">
        <v>531</v>
      </c>
      <c r="I6" s="5"/>
      <c r="J6" s="5"/>
      <c r="K6" s="5"/>
      <c r="L6" s="5"/>
    </row>
    <row r="7" spans="1:23">
      <c r="J7" s="1" t="s">
        <v>658</v>
      </c>
    </row>
    <row r="8" spans="1:23">
      <c r="I8" s="6"/>
      <c r="J8" s="6" t="s">
        <v>659</v>
      </c>
      <c r="K8" s="6"/>
      <c r="L8" s="6"/>
    </row>
    <row r="9" spans="1:23">
      <c r="A9" s="6" t="s">
        <v>9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</row>
    <row r="10" spans="1:23">
      <c r="A10" s="6"/>
      <c r="B10" s="27" t="s">
        <v>665</v>
      </c>
      <c r="C10" s="27" t="s">
        <v>523</v>
      </c>
      <c r="D10" s="27" t="s">
        <v>523</v>
      </c>
      <c r="E10" s="27" t="s">
        <v>523</v>
      </c>
      <c r="F10" s="27" t="s">
        <v>523</v>
      </c>
      <c r="H10" s="6"/>
      <c r="I10" s="6"/>
      <c r="J10" s="6"/>
      <c r="K10" s="6"/>
      <c r="L10" s="6"/>
      <c r="N10" s="79">
        <v>0.22500000000000001</v>
      </c>
      <c r="O10" s="6"/>
      <c r="P10" s="6"/>
      <c r="Q10" s="6"/>
      <c r="R10" s="6" t="s">
        <v>67</v>
      </c>
      <c r="S10" s="6"/>
      <c r="T10" s="6"/>
      <c r="U10" s="6"/>
      <c r="V10" s="6" t="s">
        <v>67</v>
      </c>
    </row>
    <row r="11" spans="1:23">
      <c r="A11" s="6" t="s">
        <v>3</v>
      </c>
      <c r="B11" s="27" t="s">
        <v>524</v>
      </c>
      <c r="C11" s="27" t="s">
        <v>524</v>
      </c>
      <c r="D11" s="27" t="s">
        <v>524</v>
      </c>
      <c r="E11" s="27" t="s">
        <v>528</v>
      </c>
      <c r="F11" s="27" t="s">
        <v>528</v>
      </c>
      <c r="G11" s="6" t="s">
        <v>14</v>
      </c>
      <c r="H11" s="6" t="s">
        <v>12</v>
      </c>
      <c r="I11" s="6" t="s">
        <v>14</v>
      </c>
      <c r="J11" s="6" t="s">
        <v>12</v>
      </c>
      <c r="K11" s="6" t="s">
        <v>14</v>
      </c>
      <c r="L11" s="6" t="s">
        <v>12</v>
      </c>
      <c r="M11" s="6" t="s">
        <v>381</v>
      </c>
      <c r="N11" s="6" t="s">
        <v>381</v>
      </c>
      <c r="O11" s="6" t="s">
        <v>381</v>
      </c>
      <c r="P11" s="6" t="s">
        <v>660</v>
      </c>
      <c r="Q11" s="6" t="s">
        <v>67</v>
      </c>
      <c r="R11" s="6" t="s">
        <v>662</v>
      </c>
      <c r="S11" s="6" t="s">
        <v>661</v>
      </c>
      <c r="T11" s="6" t="s">
        <v>661</v>
      </c>
      <c r="U11" s="6" t="s">
        <v>67</v>
      </c>
      <c r="V11" s="6" t="s">
        <v>663</v>
      </c>
      <c r="W11" s="6" t="s">
        <v>177</v>
      </c>
    </row>
    <row r="12" spans="1:23">
      <c r="A12" s="6" t="s">
        <v>4</v>
      </c>
      <c r="B12" s="28" t="s">
        <v>672</v>
      </c>
      <c r="C12" s="28" t="s">
        <v>671</v>
      </c>
      <c r="D12" s="28" t="s">
        <v>688</v>
      </c>
      <c r="E12" s="28" t="s">
        <v>671</v>
      </c>
      <c r="F12" s="28" t="s">
        <v>688</v>
      </c>
      <c r="G12" s="6" t="s">
        <v>0</v>
      </c>
      <c r="H12" s="6" t="s">
        <v>0</v>
      </c>
      <c r="I12" s="6" t="s">
        <v>566</v>
      </c>
      <c r="J12" s="6" t="s">
        <v>566</v>
      </c>
      <c r="K12" s="6" t="s">
        <v>567</v>
      </c>
      <c r="L12" s="6" t="s">
        <v>567</v>
      </c>
      <c r="M12" s="6" t="s">
        <v>566</v>
      </c>
      <c r="N12" s="6" t="s">
        <v>567</v>
      </c>
      <c r="O12" s="6" t="s">
        <v>0</v>
      </c>
      <c r="P12" s="6" t="s">
        <v>566</v>
      </c>
      <c r="Q12" s="6" t="s">
        <v>567</v>
      </c>
      <c r="R12" s="6" t="s">
        <v>0</v>
      </c>
      <c r="S12" s="6" t="s">
        <v>117</v>
      </c>
      <c r="T12" s="6" t="s">
        <v>14</v>
      </c>
      <c r="U12" s="6" t="s">
        <v>661</v>
      </c>
      <c r="V12" s="6" t="s">
        <v>0</v>
      </c>
      <c r="W12" s="6" t="s">
        <v>16</v>
      </c>
    </row>
    <row r="13" spans="1:23">
      <c r="A13" s="10">
        <v>-1</v>
      </c>
      <c r="B13" s="10">
        <f>A13-1</f>
        <v>-2</v>
      </c>
      <c r="C13" s="10">
        <f>B13-1</f>
        <v>-3</v>
      </c>
      <c r="D13" s="10">
        <f t="shared" ref="D13:W13" si="0">C13-1</f>
        <v>-4</v>
      </c>
      <c r="E13" s="10">
        <f t="shared" si="0"/>
        <v>-5</v>
      </c>
      <c r="F13" s="10">
        <f t="shared" si="0"/>
        <v>-6</v>
      </c>
      <c r="G13" s="10">
        <f t="shared" si="0"/>
        <v>-7</v>
      </c>
      <c r="H13" s="10">
        <f t="shared" si="0"/>
        <v>-8</v>
      </c>
      <c r="I13" s="10">
        <f t="shared" si="0"/>
        <v>-9</v>
      </c>
      <c r="J13" s="10">
        <f t="shared" si="0"/>
        <v>-10</v>
      </c>
      <c r="K13" s="10">
        <f t="shared" si="0"/>
        <v>-11</v>
      </c>
      <c r="L13" s="10">
        <f t="shared" si="0"/>
        <v>-12</v>
      </c>
      <c r="M13" s="10">
        <f>L13-1</f>
        <v>-13</v>
      </c>
      <c r="N13" s="10">
        <f t="shared" si="0"/>
        <v>-14</v>
      </c>
      <c r="O13" s="10">
        <f t="shared" si="0"/>
        <v>-15</v>
      </c>
      <c r="P13" s="10">
        <f t="shared" si="0"/>
        <v>-16</v>
      </c>
      <c r="Q13" s="10">
        <f t="shared" si="0"/>
        <v>-17</v>
      </c>
      <c r="R13" s="10">
        <f t="shared" si="0"/>
        <v>-18</v>
      </c>
      <c r="S13" s="10">
        <f t="shared" si="0"/>
        <v>-19</v>
      </c>
      <c r="T13" s="10">
        <f t="shared" si="0"/>
        <v>-20</v>
      </c>
      <c r="U13" s="10">
        <f t="shared" si="0"/>
        <v>-21</v>
      </c>
      <c r="V13" s="10">
        <f t="shared" si="0"/>
        <v>-22</v>
      </c>
      <c r="W13" s="10">
        <f t="shared" si="0"/>
        <v>-23</v>
      </c>
    </row>
    <row r="14" spans="1:23">
      <c r="A14" s="80"/>
      <c r="B14" s="80"/>
      <c r="C14" s="6"/>
      <c r="D14" s="6"/>
      <c r="E14" s="6"/>
      <c r="F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</row>
    <row r="15" spans="1:23">
      <c r="A15" s="6">
        <v>1992</v>
      </c>
      <c r="B15" s="81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>
        <f>'Exhibit C,1'!Z16</f>
        <v>0</v>
      </c>
      <c r="T15" s="87"/>
      <c r="U15" s="81">
        <f>S15+T15</f>
        <v>0</v>
      </c>
      <c r="V15" s="81">
        <f>R15+U15</f>
        <v>0</v>
      </c>
      <c r="W15" s="87"/>
    </row>
    <row r="16" spans="1:23">
      <c r="A16" s="6">
        <f>A15+1</f>
        <v>1993</v>
      </c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>
        <f>'Exhibit C,1'!Z17</f>
        <v>0</v>
      </c>
      <c r="T16" s="87">
        <v>0</v>
      </c>
      <c r="U16" s="81">
        <f t="shared" ref="U16:U44" si="1">S16+T16</f>
        <v>0</v>
      </c>
      <c r="V16" s="81">
        <f t="shared" ref="V16:V44" si="2">R16+U16</f>
        <v>0</v>
      </c>
      <c r="W16" s="87"/>
    </row>
    <row r="17" spans="1:23">
      <c r="A17" s="6">
        <f t="shared" ref="A17:A43" si="3">A16+1</f>
        <v>1994</v>
      </c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>
        <f>'Exhibit C,1'!Z18</f>
        <v>0</v>
      </c>
      <c r="T17" s="87">
        <v>0</v>
      </c>
      <c r="U17" s="81">
        <f t="shared" si="1"/>
        <v>0</v>
      </c>
      <c r="V17" s="81">
        <f t="shared" si="2"/>
        <v>0</v>
      </c>
      <c r="W17" s="87"/>
    </row>
    <row r="18" spans="1:23">
      <c r="A18" s="6">
        <f t="shared" si="3"/>
        <v>1995</v>
      </c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>
        <f>'Exhibit C,1'!Z19</f>
        <v>0</v>
      </c>
      <c r="T18" s="87">
        <v>0</v>
      </c>
      <c r="U18" s="81">
        <f t="shared" si="1"/>
        <v>0</v>
      </c>
      <c r="V18" s="81">
        <f t="shared" si="2"/>
        <v>0</v>
      </c>
      <c r="W18" s="87"/>
    </row>
    <row r="19" spans="1:23">
      <c r="A19" s="6">
        <f t="shared" si="3"/>
        <v>1996</v>
      </c>
      <c r="B19" s="81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>
        <f>'Exhibit C,1'!Z20</f>
        <v>0</v>
      </c>
      <c r="T19" s="87">
        <v>0</v>
      </c>
      <c r="U19" s="81">
        <f t="shared" si="1"/>
        <v>0</v>
      </c>
      <c r="V19" s="81">
        <f t="shared" si="2"/>
        <v>0</v>
      </c>
      <c r="W19" s="87"/>
    </row>
    <row r="20" spans="1:23">
      <c r="A20" s="6">
        <f t="shared" si="3"/>
        <v>1997</v>
      </c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>
        <f>'Exhibit C,1'!Z21</f>
        <v>0</v>
      </c>
      <c r="T20" s="87">
        <v>0</v>
      </c>
      <c r="U20" s="81">
        <f t="shared" si="1"/>
        <v>0</v>
      </c>
      <c r="V20" s="81">
        <f t="shared" si="2"/>
        <v>0</v>
      </c>
      <c r="W20" s="87"/>
    </row>
    <row r="21" spans="1:23">
      <c r="A21" s="6">
        <f t="shared" si="3"/>
        <v>1998</v>
      </c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>
        <f>'Exhibit C,1'!Z22</f>
        <v>0</v>
      </c>
      <c r="T21" s="87">
        <v>0</v>
      </c>
      <c r="U21" s="81">
        <f t="shared" si="1"/>
        <v>0</v>
      </c>
      <c r="V21" s="81">
        <f t="shared" si="2"/>
        <v>0</v>
      </c>
      <c r="W21" s="87"/>
    </row>
    <row r="22" spans="1:23">
      <c r="A22" s="6">
        <f t="shared" si="3"/>
        <v>1999</v>
      </c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>
        <f>'Exhibit C,1'!Z23</f>
        <v>0</v>
      </c>
      <c r="T22" s="87">
        <v>0</v>
      </c>
      <c r="U22" s="81">
        <f t="shared" si="1"/>
        <v>0</v>
      </c>
      <c r="V22" s="81">
        <f t="shared" si="2"/>
        <v>0</v>
      </c>
      <c r="W22" s="87"/>
    </row>
    <row r="23" spans="1:23">
      <c r="A23" s="6">
        <f t="shared" si="3"/>
        <v>2000</v>
      </c>
      <c r="B23" s="81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>
        <f>'Exhibit C,1'!Z24</f>
        <v>0</v>
      </c>
      <c r="T23" s="87">
        <v>0</v>
      </c>
      <c r="U23" s="81">
        <f t="shared" si="1"/>
        <v>0</v>
      </c>
      <c r="V23" s="81">
        <f t="shared" si="2"/>
        <v>0</v>
      </c>
      <c r="W23" s="87"/>
    </row>
    <row r="24" spans="1:23">
      <c r="A24" s="6">
        <f t="shared" si="3"/>
        <v>2001</v>
      </c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>
        <f>'Exhibit C,1'!Z25</f>
        <v>0</v>
      </c>
      <c r="T24" s="87">
        <v>0</v>
      </c>
      <c r="U24" s="81">
        <f t="shared" si="1"/>
        <v>0</v>
      </c>
      <c r="V24" s="81">
        <f t="shared" si="2"/>
        <v>0</v>
      </c>
      <c r="W24" s="87"/>
    </row>
    <row r="25" spans="1:23">
      <c r="A25" s="6">
        <f t="shared" si="3"/>
        <v>2002</v>
      </c>
      <c r="B25" s="81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>
        <f>'Exhibit C,1'!Z26</f>
        <v>0</v>
      </c>
      <c r="T25" s="87">
        <v>0</v>
      </c>
      <c r="U25" s="81">
        <f t="shared" si="1"/>
        <v>0</v>
      </c>
      <c r="V25" s="81">
        <f t="shared" si="2"/>
        <v>0</v>
      </c>
      <c r="W25" s="87"/>
    </row>
    <row r="26" spans="1:23">
      <c r="A26" s="6">
        <f t="shared" si="3"/>
        <v>2003</v>
      </c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>
        <f>'Exhibit C,1'!Z27</f>
        <v>0</v>
      </c>
      <c r="T26" s="87">
        <v>0</v>
      </c>
      <c r="U26" s="81">
        <f t="shared" si="1"/>
        <v>0</v>
      </c>
      <c r="V26" s="81">
        <f t="shared" si="2"/>
        <v>0</v>
      </c>
      <c r="W26" s="87"/>
    </row>
    <row r="27" spans="1:23">
      <c r="A27" s="6">
        <f t="shared" si="3"/>
        <v>2004</v>
      </c>
      <c r="B27" s="81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>
        <f>'Exhibit C,1'!Z28</f>
        <v>0</v>
      </c>
      <c r="T27" s="87">
        <v>0</v>
      </c>
      <c r="U27" s="81">
        <f t="shared" si="1"/>
        <v>0</v>
      </c>
      <c r="V27" s="81">
        <f t="shared" si="2"/>
        <v>0</v>
      </c>
      <c r="W27" s="87"/>
    </row>
    <row r="28" spans="1:23">
      <c r="A28" s="6">
        <f t="shared" si="3"/>
        <v>2005</v>
      </c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>
        <f>'Exhibit C,1'!Z29</f>
        <v>0</v>
      </c>
      <c r="T28" s="87">
        <v>0</v>
      </c>
      <c r="U28" s="81">
        <f t="shared" si="1"/>
        <v>0</v>
      </c>
      <c r="V28" s="81">
        <f t="shared" si="2"/>
        <v>0</v>
      </c>
      <c r="W28" s="87"/>
    </row>
    <row r="29" spans="1:23">
      <c r="A29" s="6">
        <f t="shared" si="3"/>
        <v>2006</v>
      </c>
      <c r="B29" s="81">
        <f>'Exhibit U,5'!AA17</f>
        <v>0</v>
      </c>
      <c r="C29" s="81">
        <f>'Exhibit U,5'!W17</f>
        <v>0</v>
      </c>
      <c r="D29" s="81" t="e">
        <f>'Exhibit U,5'!#REF!</f>
        <v>#REF!</v>
      </c>
      <c r="E29" s="81">
        <f>'Exhibit U,5'!X17</f>
        <v>0</v>
      </c>
      <c r="F29" s="81">
        <f>'Exhibit U,5'!Z17</f>
        <v>577451.15</v>
      </c>
      <c r="G29" s="81">
        <f>C29+E29-B29</f>
        <v>0</v>
      </c>
      <c r="H29" s="81" t="e">
        <f>SUM(C29:F29)-B29</f>
        <v>#REF!</v>
      </c>
      <c r="I29" s="81">
        <f>C29-B29</f>
        <v>0</v>
      </c>
      <c r="J29" s="81" t="e">
        <f>I29+D29</f>
        <v>#REF!</v>
      </c>
      <c r="K29" s="81">
        <f>E29</f>
        <v>0</v>
      </c>
      <c r="L29" s="81">
        <f>K29+F29</f>
        <v>577451.15</v>
      </c>
      <c r="M29" s="81">
        <f t="shared" ref="M29:M44" si="4">O29*(1-N$10)</f>
        <v>0</v>
      </c>
      <c r="N29" s="81">
        <f t="shared" ref="N29:N44" si="5">O29-M29</f>
        <v>0</v>
      </c>
      <c r="O29" s="81">
        <f>'Exhibit U,2'!O17</f>
        <v>0</v>
      </c>
      <c r="P29" s="81" t="e">
        <f t="shared" ref="P29:P44" si="6">J29+M29</f>
        <v>#REF!</v>
      </c>
      <c r="Q29" s="81">
        <f t="shared" ref="Q29:Q44" si="7">L29+N29</f>
        <v>577451.15</v>
      </c>
      <c r="R29" s="81" t="e">
        <f t="shared" ref="R29:R44" si="8">P29+Q29</f>
        <v>#REF!</v>
      </c>
      <c r="S29" s="81">
        <f>'Exhibit C,1'!Z30</f>
        <v>0</v>
      </c>
      <c r="T29" s="87">
        <v>0</v>
      </c>
      <c r="U29" s="81">
        <f t="shared" si="1"/>
        <v>0</v>
      </c>
      <c r="V29" s="81" t="e">
        <f t="shared" si="2"/>
        <v>#REF!</v>
      </c>
      <c r="W29" s="87"/>
    </row>
    <row r="30" spans="1:23">
      <c r="A30" s="6">
        <f t="shared" si="3"/>
        <v>2007</v>
      </c>
      <c r="B30" s="81">
        <f>'Exhibit U,5'!AA18</f>
        <v>0</v>
      </c>
      <c r="C30" s="81">
        <f>'Exhibit U,5'!W18</f>
        <v>0</v>
      </c>
      <c r="D30" s="81">
        <f>'Exhibit U,5'!Y18</f>
        <v>28875.5</v>
      </c>
      <c r="E30" s="81">
        <f>'Exhibit U,5'!X18</f>
        <v>0</v>
      </c>
      <c r="F30" s="81">
        <f>'Exhibit U,5'!Z18</f>
        <v>28875.5</v>
      </c>
      <c r="G30" s="81">
        <f t="shared" ref="G30:G43" si="9">C30+E30-B30</f>
        <v>0</v>
      </c>
      <c r="H30" s="81">
        <f t="shared" ref="H30:H43" si="10">SUM(C30:F30)-B30</f>
        <v>57751</v>
      </c>
      <c r="I30" s="81">
        <f t="shared" ref="I30:I43" si="11">C30-B30</f>
        <v>0</v>
      </c>
      <c r="J30" s="81">
        <f t="shared" ref="J30:J43" si="12">I30+D30</f>
        <v>28875.5</v>
      </c>
      <c r="K30" s="81">
        <f t="shared" ref="K30:K43" si="13">E30</f>
        <v>0</v>
      </c>
      <c r="L30" s="81">
        <f t="shared" ref="L30:L43" si="14">K30+F30</f>
        <v>28875.5</v>
      </c>
      <c r="M30" s="81">
        <f t="shared" si="4"/>
        <v>0</v>
      </c>
      <c r="N30" s="81">
        <f t="shared" si="5"/>
        <v>0</v>
      </c>
      <c r="O30" s="81">
        <f>'Exhibit U,2'!O18</f>
        <v>0</v>
      </c>
      <c r="P30" s="81">
        <f t="shared" si="6"/>
        <v>28875.5</v>
      </c>
      <c r="Q30" s="81">
        <f t="shared" si="7"/>
        <v>28875.5</v>
      </c>
      <c r="R30" s="81">
        <f t="shared" si="8"/>
        <v>57751</v>
      </c>
      <c r="S30" s="81">
        <f>'Exhibit C,1'!Z31</f>
        <v>0</v>
      </c>
      <c r="T30" s="87">
        <v>0</v>
      </c>
      <c r="U30" s="81">
        <f t="shared" si="1"/>
        <v>0</v>
      </c>
      <c r="V30" s="81">
        <f t="shared" si="2"/>
        <v>57751</v>
      </c>
      <c r="W30" s="87"/>
    </row>
    <row r="31" spans="1:23">
      <c r="A31" s="6">
        <f t="shared" si="3"/>
        <v>2008</v>
      </c>
      <c r="B31" s="81">
        <f>'Exhibit U,5'!AA19</f>
        <v>0</v>
      </c>
      <c r="C31" s="81">
        <f>'Exhibit U,5'!W19</f>
        <v>0</v>
      </c>
      <c r="D31" s="81">
        <f>'Exhibit U,5'!Y19</f>
        <v>1056390.7999999998</v>
      </c>
      <c r="E31" s="81">
        <f>'Exhibit U,5'!X19</f>
        <v>0</v>
      </c>
      <c r="F31" s="81">
        <f>'Exhibit U,5'!Z19</f>
        <v>1056390.7999999998</v>
      </c>
      <c r="G31" s="81">
        <f t="shared" si="9"/>
        <v>0</v>
      </c>
      <c r="H31" s="81">
        <f t="shared" si="10"/>
        <v>2112781.5999999996</v>
      </c>
      <c r="I31" s="81">
        <f t="shared" si="11"/>
        <v>0</v>
      </c>
      <c r="J31" s="81">
        <f t="shared" si="12"/>
        <v>1056390.7999999998</v>
      </c>
      <c r="K31" s="81">
        <f t="shared" si="13"/>
        <v>0</v>
      </c>
      <c r="L31" s="81">
        <f t="shared" si="14"/>
        <v>1056390.7999999998</v>
      </c>
      <c r="M31" s="81">
        <f t="shared" si="4"/>
        <v>0</v>
      </c>
      <c r="N31" s="81">
        <f t="shared" si="5"/>
        <v>0</v>
      </c>
      <c r="O31" s="81">
        <f>'Exhibit U,2'!O19</f>
        <v>0</v>
      </c>
      <c r="P31" s="81">
        <f t="shared" si="6"/>
        <v>1056390.7999999998</v>
      </c>
      <c r="Q31" s="81">
        <f t="shared" si="7"/>
        <v>1056390.7999999998</v>
      </c>
      <c r="R31" s="81">
        <f t="shared" si="8"/>
        <v>2112781.5999999996</v>
      </c>
      <c r="S31" s="81">
        <f>'Exhibit C,1'!Z32</f>
        <v>0</v>
      </c>
      <c r="T31" s="87">
        <v>0</v>
      </c>
      <c r="U31" s="81">
        <f t="shared" si="1"/>
        <v>0</v>
      </c>
      <c r="V31" s="81">
        <f t="shared" si="2"/>
        <v>2112781.5999999996</v>
      </c>
      <c r="W31" s="87"/>
    </row>
    <row r="32" spans="1:23">
      <c r="A32" s="6">
        <f t="shared" si="3"/>
        <v>2009</v>
      </c>
      <c r="B32" s="81">
        <f>'Exhibit U,5'!AA20</f>
        <v>0</v>
      </c>
      <c r="C32" s="81">
        <f>'Exhibit U,5'!W20</f>
        <v>0</v>
      </c>
      <c r="D32" s="81">
        <f>'Exhibit U,5'!Y20</f>
        <v>640869.17000000004</v>
      </c>
      <c r="E32" s="81">
        <f>'Exhibit U,5'!X20</f>
        <v>0</v>
      </c>
      <c r="F32" s="81">
        <f>'Exhibit U,5'!Z20</f>
        <v>640869.17000000004</v>
      </c>
      <c r="G32" s="81">
        <f t="shared" si="9"/>
        <v>0</v>
      </c>
      <c r="H32" s="81">
        <f t="shared" si="10"/>
        <v>1281738.3400000001</v>
      </c>
      <c r="I32" s="81">
        <f t="shared" si="11"/>
        <v>0</v>
      </c>
      <c r="J32" s="81">
        <f t="shared" si="12"/>
        <v>640869.17000000004</v>
      </c>
      <c r="K32" s="81">
        <f t="shared" si="13"/>
        <v>0</v>
      </c>
      <c r="L32" s="81">
        <f t="shared" si="14"/>
        <v>640869.17000000004</v>
      </c>
      <c r="M32" s="81">
        <f t="shared" si="4"/>
        <v>0</v>
      </c>
      <c r="N32" s="81">
        <f t="shared" si="5"/>
        <v>0</v>
      </c>
      <c r="O32" s="81">
        <f>'Exhibit U,2'!O20</f>
        <v>0</v>
      </c>
      <c r="P32" s="81">
        <f t="shared" si="6"/>
        <v>640869.17000000004</v>
      </c>
      <c r="Q32" s="81">
        <f t="shared" si="7"/>
        <v>640869.17000000004</v>
      </c>
      <c r="R32" s="81">
        <f t="shared" si="8"/>
        <v>1281738.3400000001</v>
      </c>
      <c r="S32" s="81">
        <f>'Exhibit C,1'!Z33</f>
        <v>0</v>
      </c>
      <c r="T32" s="87">
        <v>0</v>
      </c>
      <c r="U32" s="81">
        <f t="shared" si="1"/>
        <v>0</v>
      </c>
      <c r="V32" s="81">
        <f t="shared" si="2"/>
        <v>1281738.3400000001</v>
      </c>
      <c r="W32" s="87"/>
    </row>
    <row r="33" spans="1:23">
      <c r="A33" s="6">
        <f t="shared" si="3"/>
        <v>2010</v>
      </c>
      <c r="B33" s="81">
        <f>'Exhibit U,5'!AA21</f>
        <v>0</v>
      </c>
      <c r="C33" s="81">
        <f>'Exhibit U,5'!W21</f>
        <v>0</v>
      </c>
      <c r="D33" s="81">
        <f>'Exhibit U,5'!Y21</f>
        <v>4744399.03</v>
      </c>
      <c r="E33" s="81">
        <f>'Exhibit U,5'!X21</f>
        <v>0</v>
      </c>
      <c r="F33" s="81">
        <f>'Exhibit U,5'!Z21</f>
        <v>4744399.03</v>
      </c>
      <c r="G33" s="81">
        <f t="shared" si="9"/>
        <v>0</v>
      </c>
      <c r="H33" s="81">
        <f t="shared" si="10"/>
        <v>9488798.0600000005</v>
      </c>
      <c r="I33" s="81">
        <f t="shared" si="11"/>
        <v>0</v>
      </c>
      <c r="J33" s="81">
        <f t="shared" si="12"/>
        <v>4744399.03</v>
      </c>
      <c r="K33" s="81">
        <f t="shared" si="13"/>
        <v>0</v>
      </c>
      <c r="L33" s="81">
        <f t="shared" si="14"/>
        <v>4744399.03</v>
      </c>
      <c r="M33" s="81">
        <f t="shared" si="4"/>
        <v>0</v>
      </c>
      <c r="N33" s="81">
        <f t="shared" si="5"/>
        <v>0</v>
      </c>
      <c r="O33" s="81">
        <f>'Exhibit U,2'!O21</f>
        <v>0</v>
      </c>
      <c r="P33" s="81">
        <f t="shared" si="6"/>
        <v>4744399.03</v>
      </c>
      <c r="Q33" s="81">
        <f t="shared" si="7"/>
        <v>4744399.03</v>
      </c>
      <c r="R33" s="81">
        <f t="shared" si="8"/>
        <v>9488798.0600000005</v>
      </c>
      <c r="S33" s="81">
        <f>'Exhibit C,1'!Z34</f>
        <v>0</v>
      </c>
      <c r="T33" s="87">
        <v>45018.38780703918</v>
      </c>
      <c r="U33" s="81">
        <f t="shared" si="1"/>
        <v>45018.38780703918</v>
      </c>
      <c r="V33" s="81">
        <f t="shared" si="2"/>
        <v>9533816.4478070401</v>
      </c>
      <c r="W33" s="87"/>
    </row>
    <row r="34" spans="1:23">
      <c r="A34" s="6">
        <f t="shared" si="3"/>
        <v>2011</v>
      </c>
      <c r="B34" s="81">
        <f>'Exhibit U,5'!AA22</f>
        <v>2633.7300000000978</v>
      </c>
      <c r="C34" s="81">
        <f>'Exhibit U,5'!W22</f>
        <v>0</v>
      </c>
      <c r="D34" s="81">
        <f>'Exhibit U,5'!Y22</f>
        <v>712208.5199999999</v>
      </c>
      <c r="E34" s="81">
        <f>'Exhibit U,5'!X22</f>
        <v>0</v>
      </c>
      <c r="F34" s="81">
        <f>'Exhibit U,5'!Z22</f>
        <v>712208.5199999999</v>
      </c>
      <c r="G34" s="81">
        <f t="shared" si="9"/>
        <v>-2633.7300000000978</v>
      </c>
      <c r="H34" s="81">
        <f t="shared" si="10"/>
        <v>1421783.3099999996</v>
      </c>
      <c r="I34" s="81">
        <f t="shared" si="11"/>
        <v>-2633.7300000000978</v>
      </c>
      <c r="J34" s="81">
        <f t="shared" si="12"/>
        <v>709574.7899999998</v>
      </c>
      <c r="K34" s="81">
        <f t="shared" si="13"/>
        <v>0</v>
      </c>
      <c r="L34" s="81">
        <f t="shared" si="14"/>
        <v>712208.5199999999</v>
      </c>
      <c r="M34" s="81">
        <f t="shared" si="4"/>
        <v>0</v>
      </c>
      <c r="N34" s="81">
        <f t="shared" si="5"/>
        <v>0</v>
      </c>
      <c r="O34" s="81">
        <f>'Exhibit U,2'!O22</f>
        <v>0</v>
      </c>
      <c r="P34" s="81">
        <f t="shared" si="6"/>
        <v>709574.7899999998</v>
      </c>
      <c r="Q34" s="81">
        <f t="shared" si="7"/>
        <v>712208.5199999999</v>
      </c>
      <c r="R34" s="81">
        <f t="shared" si="8"/>
        <v>1421783.3099999996</v>
      </c>
      <c r="S34" s="81">
        <f>'Exhibit C,1'!Z35</f>
        <v>0</v>
      </c>
      <c r="T34" s="87">
        <v>32333.379222395371</v>
      </c>
      <c r="U34" s="81">
        <f t="shared" si="1"/>
        <v>32333.379222395371</v>
      </c>
      <c r="V34" s="81">
        <f t="shared" si="2"/>
        <v>1454116.689222395</v>
      </c>
      <c r="W34" s="87">
        <v>2319569</v>
      </c>
    </row>
    <row r="35" spans="1:23">
      <c r="A35" s="6">
        <f t="shared" si="3"/>
        <v>2012</v>
      </c>
      <c r="B35" s="81">
        <f>'Exhibit U,5'!AA23</f>
        <v>-212948.29000000004</v>
      </c>
      <c r="C35" s="81">
        <f>'Exhibit U,5'!W23</f>
        <v>0</v>
      </c>
      <c r="D35" s="81">
        <f>'Exhibit U,5'!Y23</f>
        <v>3117737.0300000003</v>
      </c>
      <c r="E35" s="81">
        <f>'Exhibit U,5'!X23</f>
        <v>0</v>
      </c>
      <c r="F35" s="81">
        <f>'Exhibit U,5'!Z23</f>
        <v>3385152.22</v>
      </c>
      <c r="G35" s="81">
        <f t="shared" si="9"/>
        <v>212948.29000000004</v>
      </c>
      <c r="H35" s="81">
        <f t="shared" si="10"/>
        <v>6715837.54</v>
      </c>
      <c r="I35" s="81">
        <f t="shared" si="11"/>
        <v>212948.29000000004</v>
      </c>
      <c r="J35" s="81">
        <f t="shared" si="12"/>
        <v>3330685.3200000003</v>
      </c>
      <c r="K35" s="81">
        <f t="shared" si="13"/>
        <v>0</v>
      </c>
      <c r="L35" s="81">
        <f t="shared" si="14"/>
        <v>3385152.22</v>
      </c>
      <c r="M35" s="81">
        <f t="shared" si="4"/>
        <v>0</v>
      </c>
      <c r="N35" s="81">
        <f t="shared" si="5"/>
        <v>0</v>
      </c>
      <c r="O35" s="81">
        <f>'Exhibit U,2'!O23</f>
        <v>0</v>
      </c>
      <c r="P35" s="81">
        <f t="shared" si="6"/>
        <v>3330685.3200000003</v>
      </c>
      <c r="Q35" s="81">
        <f t="shared" si="7"/>
        <v>3385152.22</v>
      </c>
      <c r="R35" s="81">
        <f t="shared" si="8"/>
        <v>6715837.540000001</v>
      </c>
      <c r="S35" s="81">
        <f>'Exhibit C,1'!Z36</f>
        <v>0</v>
      </c>
      <c r="T35" s="87">
        <v>184654.16530795814</v>
      </c>
      <c r="U35" s="81">
        <f t="shared" si="1"/>
        <v>184654.16530795814</v>
      </c>
      <c r="V35" s="81">
        <f t="shared" si="2"/>
        <v>6900491.7053079586</v>
      </c>
      <c r="W35" s="87">
        <v>1837292.9</v>
      </c>
    </row>
    <row r="36" spans="1:23">
      <c r="A36" s="6">
        <f t="shared" si="3"/>
        <v>2013</v>
      </c>
      <c r="B36" s="81">
        <f>'Exhibit U,5'!AA24</f>
        <v>324948.86999999988</v>
      </c>
      <c r="C36" s="81">
        <f>'Exhibit U,5'!W24</f>
        <v>0</v>
      </c>
      <c r="D36" s="81">
        <f>'Exhibit U,5'!Y24</f>
        <v>806448.95</v>
      </c>
      <c r="E36" s="81">
        <f>'Exhibit U,5'!X24</f>
        <v>0</v>
      </c>
      <c r="F36" s="81">
        <f>'Exhibit U,5'!Z24</f>
        <v>1556448.95</v>
      </c>
      <c r="G36" s="81">
        <f t="shared" si="9"/>
        <v>-324948.86999999988</v>
      </c>
      <c r="H36" s="81">
        <f t="shared" si="10"/>
        <v>2037949.03</v>
      </c>
      <c r="I36" s="81">
        <f t="shared" si="11"/>
        <v>-324948.86999999988</v>
      </c>
      <c r="J36" s="81">
        <f t="shared" si="12"/>
        <v>481500.08000000007</v>
      </c>
      <c r="K36" s="81">
        <f t="shared" si="13"/>
        <v>0</v>
      </c>
      <c r="L36" s="81">
        <f t="shared" si="14"/>
        <v>1556448.95</v>
      </c>
      <c r="M36" s="81">
        <f t="shared" si="4"/>
        <v>0</v>
      </c>
      <c r="N36" s="81">
        <f t="shared" si="5"/>
        <v>0</v>
      </c>
      <c r="O36" s="81">
        <f>'Exhibit U,2'!O24</f>
        <v>0</v>
      </c>
      <c r="P36" s="81">
        <f t="shared" si="6"/>
        <v>481500.08000000007</v>
      </c>
      <c r="Q36" s="81">
        <f t="shared" si="7"/>
        <v>1556448.95</v>
      </c>
      <c r="R36" s="81">
        <f t="shared" si="8"/>
        <v>2037949.03</v>
      </c>
      <c r="S36" s="81">
        <f>'Exhibit C,1'!Z37</f>
        <v>0</v>
      </c>
      <c r="T36" s="87">
        <v>45940.927461689702</v>
      </c>
      <c r="U36" s="81">
        <f t="shared" si="1"/>
        <v>45940.927461689702</v>
      </c>
      <c r="V36" s="81">
        <f t="shared" si="2"/>
        <v>2083889.9574616898</v>
      </c>
      <c r="W36" s="87">
        <v>1019160.03</v>
      </c>
    </row>
    <row r="37" spans="1:23">
      <c r="A37" s="6">
        <f t="shared" si="3"/>
        <v>2014</v>
      </c>
      <c r="B37" s="81">
        <f>'Exhibit U,5'!AA25</f>
        <v>287657.61000000034</v>
      </c>
      <c r="C37" s="81">
        <f>'Exhibit U,5'!W25</f>
        <v>0</v>
      </c>
      <c r="D37" s="81">
        <f>'Exhibit U,5'!Y25</f>
        <v>4307373.26</v>
      </c>
      <c r="E37" s="81">
        <f>'Exhibit U,5'!X25</f>
        <v>0</v>
      </c>
      <c r="F37" s="81">
        <f>'Exhibit U,5'!Z25</f>
        <v>4469276.92</v>
      </c>
      <c r="G37" s="81">
        <f t="shared" si="9"/>
        <v>-287657.61000000034</v>
      </c>
      <c r="H37" s="81">
        <f t="shared" si="10"/>
        <v>8488992.5700000003</v>
      </c>
      <c r="I37" s="81">
        <f t="shared" si="11"/>
        <v>-287657.61000000034</v>
      </c>
      <c r="J37" s="81">
        <f t="shared" si="12"/>
        <v>4019715.6499999994</v>
      </c>
      <c r="K37" s="81">
        <f t="shared" si="13"/>
        <v>0</v>
      </c>
      <c r="L37" s="81">
        <f t="shared" si="14"/>
        <v>4469276.92</v>
      </c>
      <c r="M37" s="81">
        <f t="shared" si="4"/>
        <v>306280</v>
      </c>
      <c r="N37" s="81">
        <f t="shared" si="5"/>
        <v>88920</v>
      </c>
      <c r="O37" s="81">
        <f>'Exhibit U,2'!O25</f>
        <v>395200</v>
      </c>
      <c r="P37" s="81">
        <f t="shared" si="6"/>
        <v>4325995.6499999994</v>
      </c>
      <c r="Q37" s="81">
        <f t="shared" si="7"/>
        <v>4558196.92</v>
      </c>
      <c r="R37" s="81">
        <f t="shared" si="8"/>
        <v>8884192.5700000003</v>
      </c>
      <c r="S37" s="81">
        <f>'Exhibit C,1'!Z38</f>
        <v>23818.290344318728</v>
      </c>
      <c r="T37" s="87">
        <v>147842.1612519043</v>
      </c>
      <c r="U37" s="81">
        <f t="shared" si="1"/>
        <v>171660.45159622302</v>
      </c>
      <c r="V37" s="81">
        <f t="shared" si="2"/>
        <v>9055853.0215962231</v>
      </c>
      <c r="W37" s="87">
        <v>2110546.4045000002</v>
      </c>
    </row>
    <row r="38" spans="1:23">
      <c r="A38" s="6">
        <f t="shared" si="3"/>
        <v>2015</v>
      </c>
      <c r="B38" s="81">
        <f>'Exhibit U,5'!AA26</f>
        <v>522.09999999997672</v>
      </c>
      <c r="C38" s="81">
        <f>'Exhibit U,5'!W26</f>
        <v>0</v>
      </c>
      <c r="D38" s="81">
        <f>'Exhibit U,5'!Y26</f>
        <v>282540.98</v>
      </c>
      <c r="E38" s="81">
        <f>'Exhibit U,5'!X26</f>
        <v>0</v>
      </c>
      <c r="F38" s="81">
        <f>'Exhibit U,5'!Z26</f>
        <v>304640.94</v>
      </c>
      <c r="G38" s="81">
        <f t="shared" si="9"/>
        <v>-522.09999999997672</v>
      </c>
      <c r="H38" s="81">
        <f t="shared" si="10"/>
        <v>586659.81999999995</v>
      </c>
      <c r="I38" s="81">
        <f t="shared" si="11"/>
        <v>-522.09999999997672</v>
      </c>
      <c r="J38" s="81">
        <f t="shared" si="12"/>
        <v>282018.88</v>
      </c>
      <c r="K38" s="81">
        <f t="shared" si="13"/>
        <v>0</v>
      </c>
      <c r="L38" s="81">
        <f t="shared" si="14"/>
        <v>304640.94</v>
      </c>
      <c r="M38" s="81">
        <f t="shared" si="4"/>
        <v>0</v>
      </c>
      <c r="N38" s="81">
        <f t="shared" si="5"/>
        <v>0</v>
      </c>
      <c r="O38" s="81">
        <f>'Exhibit U,2'!O26</f>
        <v>0</v>
      </c>
      <c r="P38" s="81">
        <f t="shared" si="6"/>
        <v>282018.88</v>
      </c>
      <c r="Q38" s="81">
        <f t="shared" si="7"/>
        <v>304640.94</v>
      </c>
      <c r="R38" s="81">
        <f t="shared" si="8"/>
        <v>586659.82000000007</v>
      </c>
      <c r="S38" s="81">
        <f>'Exhibit C,1'!Z39</f>
        <v>267.0854184590209</v>
      </c>
      <c r="T38" s="87">
        <v>62593.439391684456</v>
      </c>
      <c r="U38" s="81">
        <f t="shared" si="1"/>
        <v>62860.524810143477</v>
      </c>
      <c r="V38" s="81">
        <f t="shared" si="2"/>
        <v>649520.34481014358</v>
      </c>
      <c r="W38" s="87">
        <v>3153334</v>
      </c>
    </row>
    <row r="39" spans="1:23">
      <c r="A39" s="6">
        <f t="shared" si="3"/>
        <v>2016</v>
      </c>
      <c r="B39" s="81">
        <f>'Exhibit U,5'!AA27</f>
        <v>-486664.4800000001</v>
      </c>
      <c r="C39" s="81">
        <f>'Exhibit U,5'!W27</f>
        <v>0</v>
      </c>
      <c r="D39" s="81">
        <f>'Exhibit U,5'!Y27</f>
        <v>163104.99000000002</v>
      </c>
      <c r="E39" s="81">
        <f>'Exhibit U,5'!X27</f>
        <v>0</v>
      </c>
      <c r="F39" s="81">
        <f>'Exhibit U,5'!Z27</f>
        <v>1384999.85</v>
      </c>
      <c r="G39" s="81">
        <f t="shared" si="9"/>
        <v>486664.4800000001</v>
      </c>
      <c r="H39" s="81">
        <f t="shared" si="10"/>
        <v>2034769.3200000003</v>
      </c>
      <c r="I39" s="81">
        <f t="shared" si="11"/>
        <v>486664.4800000001</v>
      </c>
      <c r="J39" s="81">
        <f t="shared" si="12"/>
        <v>649769.47000000009</v>
      </c>
      <c r="K39" s="81">
        <f t="shared" si="13"/>
        <v>0</v>
      </c>
      <c r="L39" s="81">
        <f t="shared" si="14"/>
        <v>1384999.85</v>
      </c>
      <c r="M39" s="81">
        <f t="shared" si="4"/>
        <v>0</v>
      </c>
      <c r="N39" s="81">
        <f t="shared" si="5"/>
        <v>0</v>
      </c>
      <c r="O39" s="81">
        <f>'Exhibit U,2'!O27</f>
        <v>0</v>
      </c>
      <c r="P39" s="81">
        <f t="shared" si="6"/>
        <v>649769.47000000009</v>
      </c>
      <c r="Q39" s="81">
        <f t="shared" si="7"/>
        <v>1384999.85</v>
      </c>
      <c r="R39" s="81">
        <f t="shared" si="8"/>
        <v>2034769.3200000003</v>
      </c>
      <c r="S39" s="81">
        <f>'Exhibit C,1'!Z40</f>
        <v>14506.809791148456</v>
      </c>
      <c r="T39" s="87">
        <v>32378.839857169194</v>
      </c>
      <c r="U39" s="81">
        <f t="shared" si="1"/>
        <v>46885.649648317652</v>
      </c>
      <c r="V39" s="81">
        <f t="shared" si="2"/>
        <v>2081654.9696483179</v>
      </c>
      <c r="W39" s="87">
        <v>3092926</v>
      </c>
    </row>
    <row r="40" spans="1:23">
      <c r="A40" s="6">
        <f t="shared" si="3"/>
        <v>2017</v>
      </c>
      <c r="B40" s="81">
        <f>'Exhibit U,5'!AA28</f>
        <v>26419.580000000016</v>
      </c>
      <c r="C40" s="81">
        <f>'Exhibit U,5'!W28</f>
        <v>0</v>
      </c>
      <c r="D40" s="81">
        <f>'Exhibit U,5'!Y28</f>
        <v>74916.14</v>
      </c>
      <c r="E40" s="81">
        <f>'Exhibit U,5'!X28</f>
        <v>0</v>
      </c>
      <c r="F40" s="81">
        <f>'Exhibit U,5'!Z28</f>
        <v>389263.95</v>
      </c>
      <c r="G40" s="81">
        <f t="shared" si="9"/>
        <v>-26419.580000000016</v>
      </c>
      <c r="H40" s="81">
        <f t="shared" si="10"/>
        <v>437760.51</v>
      </c>
      <c r="I40" s="81">
        <f t="shared" si="11"/>
        <v>-26419.580000000016</v>
      </c>
      <c r="J40" s="81">
        <f t="shared" si="12"/>
        <v>48496.559999999983</v>
      </c>
      <c r="K40" s="81">
        <f t="shared" si="13"/>
        <v>0</v>
      </c>
      <c r="L40" s="81">
        <f t="shared" si="14"/>
        <v>389263.95</v>
      </c>
      <c r="M40" s="81">
        <f t="shared" si="4"/>
        <v>54203.376530578622</v>
      </c>
      <c r="N40" s="81">
        <f t="shared" si="5"/>
        <v>15736.464154038957</v>
      </c>
      <c r="O40" s="81">
        <f>'Exhibit U,2'!O28</f>
        <v>69939.840684617579</v>
      </c>
      <c r="P40" s="81">
        <f t="shared" si="6"/>
        <v>102699.93653057861</v>
      </c>
      <c r="Q40" s="81">
        <f t="shared" si="7"/>
        <v>405000.414154039</v>
      </c>
      <c r="R40" s="81">
        <f t="shared" si="8"/>
        <v>507700.35068461759</v>
      </c>
      <c r="S40" s="81">
        <f>'Exhibit C,1'!Z41</f>
        <v>11079.444785175596</v>
      </c>
      <c r="T40" s="87">
        <v>22960.761666017028</v>
      </c>
      <c r="U40" s="81">
        <f t="shared" si="1"/>
        <v>34040.206451192622</v>
      </c>
      <c r="V40" s="81">
        <f t="shared" si="2"/>
        <v>541740.55713581026</v>
      </c>
      <c r="W40" s="87">
        <v>2330762</v>
      </c>
    </row>
    <row r="41" spans="1:23">
      <c r="A41" s="6">
        <f t="shared" si="3"/>
        <v>2018</v>
      </c>
      <c r="B41" s="81">
        <f>'Exhibit U,5'!AA29</f>
        <v>-76214.959999999963</v>
      </c>
      <c r="C41" s="81">
        <f>'Exhibit U,5'!W29</f>
        <v>0</v>
      </c>
      <c r="D41" s="81">
        <f>'Exhibit U,5'!Y29</f>
        <v>86733.65</v>
      </c>
      <c r="E41" s="81">
        <f>'Exhibit U,5'!X29</f>
        <v>0</v>
      </c>
      <c r="F41" s="81">
        <f>'Exhibit U,5'!Z29</f>
        <v>248461.47999999998</v>
      </c>
      <c r="G41" s="81">
        <f t="shared" si="9"/>
        <v>76214.959999999963</v>
      </c>
      <c r="H41" s="81">
        <f t="shared" si="10"/>
        <v>411410.08999999997</v>
      </c>
      <c r="I41" s="81">
        <f t="shared" si="11"/>
        <v>76214.959999999963</v>
      </c>
      <c r="J41" s="81">
        <f t="shared" si="12"/>
        <v>162948.60999999996</v>
      </c>
      <c r="K41" s="81">
        <f t="shared" si="13"/>
        <v>0</v>
      </c>
      <c r="L41" s="81">
        <f t="shared" si="14"/>
        <v>248461.47999999998</v>
      </c>
      <c r="M41" s="81">
        <f t="shared" si="4"/>
        <v>297338.48026612232</v>
      </c>
      <c r="N41" s="81">
        <f t="shared" si="5"/>
        <v>86324.074915970967</v>
      </c>
      <c r="O41" s="81">
        <f>'Exhibit U,2'!O29</f>
        <v>383662.55518209329</v>
      </c>
      <c r="P41" s="81">
        <f t="shared" si="6"/>
        <v>460287.09026612225</v>
      </c>
      <c r="Q41" s="81">
        <f t="shared" si="7"/>
        <v>334785.55491597095</v>
      </c>
      <c r="R41" s="81">
        <f t="shared" si="8"/>
        <v>795072.64518209314</v>
      </c>
      <c r="S41" s="81">
        <f>'Exhibit C,1'!Z42</f>
        <v>13599.147155603512</v>
      </c>
      <c r="T41" s="87">
        <v>46216.254160439465</v>
      </c>
      <c r="U41" s="81">
        <f t="shared" si="1"/>
        <v>59815.401316042975</v>
      </c>
      <c r="V41" s="81">
        <f t="shared" si="2"/>
        <v>854888.04649813613</v>
      </c>
      <c r="W41" s="87">
        <v>1502458</v>
      </c>
    </row>
    <row r="42" spans="1:23">
      <c r="A42" s="6">
        <f t="shared" si="3"/>
        <v>2019</v>
      </c>
      <c r="B42" s="81">
        <f>'Exhibit U,5'!AA30</f>
        <v>15725</v>
      </c>
      <c r="C42" s="81">
        <f>'Exhibit U,5'!W30</f>
        <v>0</v>
      </c>
      <c r="D42" s="81">
        <f>'Exhibit U,5'!Y30</f>
        <v>8324.19</v>
      </c>
      <c r="E42" s="81">
        <f>'Exhibit U,5'!X30</f>
        <v>0</v>
      </c>
      <c r="F42" s="81">
        <f>'Exhibit U,5'!Z30</f>
        <v>35409.19</v>
      </c>
      <c r="G42" s="81">
        <f t="shared" si="9"/>
        <v>-15725</v>
      </c>
      <c r="H42" s="81">
        <f t="shared" si="10"/>
        <v>28008.380000000005</v>
      </c>
      <c r="I42" s="81">
        <f t="shared" si="11"/>
        <v>-15725</v>
      </c>
      <c r="J42" s="81">
        <f t="shared" si="12"/>
        <v>-7400.8099999999995</v>
      </c>
      <c r="K42" s="81">
        <f t="shared" si="13"/>
        <v>0</v>
      </c>
      <c r="L42" s="81">
        <f t="shared" si="14"/>
        <v>35409.19</v>
      </c>
      <c r="M42" s="81">
        <f t="shared" si="4"/>
        <v>894316.6123413709</v>
      </c>
      <c r="N42" s="81">
        <f t="shared" si="5"/>
        <v>259640.30680878507</v>
      </c>
      <c r="O42" s="81">
        <f>'Exhibit U,2'!O30</f>
        <v>1153956.919150156</v>
      </c>
      <c r="P42" s="81">
        <f t="shared" si="6"/>
        <v>886915.80234137084</v>
      </c>
      <c r="Q42" s="81">
        <f t="shared" si="7"/>
        <v>295049.49680878507</v>
      </c>
      <c r="R42" s="81">
        <f t="shared" si="8"/>
        <v>1181965.2991501559</v>
      </c>
      <c r="S42" s="81">
        <f>'Exhibit C,1'!Z43</f>
        <v>35408.312782055065</v>
      </c>
      <c r="T42" s="87">
        <v>7515.2685857249453</v>
      </c>
      <c r="U42" s="81">
        <f t="shared" si="1"/>
        <v>42923.581367780011</v>
      </c>
      <c r="V42" s="81">
        <f t="shared" si="2"/>
        <v>1224888.8805179358</v>
      </c>
      <c r="W42" s="87">
        <v>3640255.4999999977</v>
      </c>
    </row>
    <row r="43" spans="1:23">
      <c r="A43" s="6">
        <f t="shared" si="3"/>
        <v>2020</v>
      </c>
      <c r="B43" s="81">
        <f>'Exhibit U,5'!AA31</f>
        <v>174500</v>
      </c>
      <c r="C43" s="81">
        <f>'Exhibit U,5'!W31</f>
        <v>0</v>
      </c>
      <c r="D43" s="81">
        <f>'Exhibit U,5'!Y31</f>
        <v>0</v>
      </c>
      <c r="E43" s="81">
        <f>'Exhibit U,5'!X31</f>
        <v>0</v>
      </c>
      <c r="F43" s="81">
        <f>'Exhibit U,5'!Z31</f>
        <v>0</v>
      </c>
      <c r="G43" s="81">
        <f t="shared" si="9"/>
        <v>-174500</v>
      </c>
      <c r="H43" s="81">
        <f t="shared" si="10"/>
        <v>-174500</v>
      </c>
      <c r="I43" s="81">
        <f t="shared" si="11"/>
        <v>-174500</v>
      </c>
      <c r="J43" s="81">
        <f t="shared" si="12"/>
        <v>-174500</v>
      </c>
      <c r="K43" s="81">
        <f t="shared" si="13"/>
        <v>0</v>
      </c>
      <c r="L43" s="81">
        <f t="shared" si="14"/>
        <v>0</v>
      </c>
      <c r="M43" s="81">
        <f t="shared" si="4"/>
        <v>1059156.3880999996</v>
      </c>
      <c r="N43" s="81">
        <f t="shared" si="5"/>
        <v>307497.0159</v>
      </c>
      <c r="O43" s="81">
        <f>'Exhibit U,2'!O31</f>
        <v>1366653.4039999996</v>
      </c>
      <c r="P43" s="81">
        <f t="shared" si="6"/>
        <v>884656.38809999963</v>
      </c>
      <c r="Q43" s="81">
        <f t="shared" si="7"/>
        <v>307497.0159</v>
      </c>
      <c r="R43" s="81">
        <f t="shared" si="8"/>
        <v>1192153.4039999996</v>
      </c>
      <c r="S43" s="81">
        <f>'Exhibit C,1'!Z44</f>
        <v>45084.179599361581</v>
      </c>
      <c r="T43" s="87">
        <v>1374.1066407492372</v>
      </c>
      <c r="U43" s="81">
        <f t="shared" si="1"/>
        <v>46458.286240110821</v>
      </c>
      <c r="V43" s="81">
        <f t="shared" si="2"/>
        <v>1238611.6902401105</v>
      </c>
      <c r="W43" s="87">
        <v>884363.79</v>
      </c>
    </row>
    <row r="44" spans="1:23">
      <c r="A44" s="6"/>
      <c r="B44" s="81"/>
      <c r="C44" s="17"/>
      <c r="D44" s="81"/>
      <c r="E44" s="81"/>
      <c r="F44" s="81"/>
      <c r="G44" s="81">
        <f>C44+E44-B44</f>
        <v>0</v>
      </c>
      <c r="H44" s="81">
        <f>D44+F44-B44</f>
        <v>0</v>
      </c>
      <c r="I44" s="81">
        <f>C44-B44</f>
        <v>0</v>
      </c>
      <c r="J44" s="81">
        <f>D44-B44</f>
        <v>0</v>
      </c>
      <c r="K44" s="81">
        <f>E44</f>
        <v>0</v>
      </c>
      <c r="L44" s="81">
        <f>F44</f>
        <v>0</v>
      </c>
      <c r="M44" s="81">
        <f t="shared" si="4"/>
        <v>0</v>
      </c>
      <c r="N44" s="81">
        <f t="shared" si="5"/>
        <v>0</v>
      </c>
      <c r="O44" s="81">
        <f>'Exhibit U,2'!O32</f>
        <v>0</v>
      </c>
      <c r="P44" s="81">
        <f t="shared" si="6"/>
        <v>0</v>
      </c>
      <c r="Q44" s="81">
        <f t="shared" si="7"/>
        <v>0</v>
      </c>
      <c r="R44" s="81">
        <f t="shared" si="8"/>
        <v>0</v>
      </c>
      <c r="S44" s="81">
        <f>'Exhibit C,1'!Z45</f>
        <v>0</v>
      </c>
      <c r="T44" s="87">
        <v>0</v>
      </c>
      <c r="U44" s="81">
        <f t="shared" si="1"/>
        <v>0</v>
      </c>
      <c r="V44" s="81">
        <f t="shared" si="2"/>
        <v>0</v>
      </c>
      <c r="W44" s="87"/>
    </row>
    <row r="45" spans="1:23">
      <c r="A45" s="6" t="s">
        <v>0</v>
      </c>
      <c r="B45" s="82">
        <f>SUM(B15:B43)</f>
        <v>56579.160000000207</v>
      </c>
      <c r="C45" s="82">
        <f>SUM(C15:C43)</f>
        <v>0</v>
      </c>
      <c r="D45" s="82" t="e">
        <f t="shared" ref="D45:Q45" si="15">SUM(D15:D43)</f>
        <v>#REF!</v>
      </c>
      <c r="E45" s="82">
        <f t="shared" si="15"/>
        <v>0</v>
      </c>
      <c r="F45" s="82">
        <f t="shared" si="15"/>
        <v>19533847.670000002</v>
      </c>
      <c r="G45" s="82">
        <f>SUM(G15:G43)</f>
        <v>-56579.160000000207</v>
      </c>
      <c r="H45" s="82" t="e">
        <f t="shared" si="15"/>
        <v>#REF!</v>
      </c>
      <c r="I45" s="82">
        <f t="shared" si="15"/>
        <v>-56579.160000000207</v>
      </c>
      <c r="J45" s="82" t="e">
        <f t="shared" si="15"/>
        <v>#REF!</v>
      </c>
      <c r="K45" s="82">
        <f t="shared" si="15"/>
        <v>0</v>
      </c>
      <c r="L45" s="82">
        <f t="shared" si="15"/>
        <v>19533847.670000002</v>
      </c>
      <c r="M45" s="82">
        <f t="shared" si="15"/>
        <v>2611294.8572380715</v>
      </c>
      <c r="N45" s="82">
        <f t="shared" si="15"/>
        <v>758117.86177879502</v>
      </c>
      <c r="O45" s="82">
        <f t="shared" si="15"/>
        <v>3369412.7190168668</v>
      </c>
      <c r="P45" s="82" t="e">
        <f t="shared" si="15"/>
        <v>#REF!</v>
      </c>
      <c r="Q45" s="82">
        <f t="shared" si="15"/>
        <v>20291965.531778798</v>
      </c>
      <c r="R45" s="82" t="e">
        <f>SUM(R15:R43)</f>
        <v>#REF!</v>
      </c>
      <c r="S45" s="82">
        <f>SUM(S15:S43)</f>
        <v>143763.26987612195</v>
      </c>
      <c r="T45" s="82">
        <f>SUM(T15:T43)</f>
        <v>628827.69135277113</v>
      </c>
      <c r="U45" s="82">
        <f>SUM(U15:U43)</f>
        <v>772590.96122889302</v>
      </c>
      <c r="V45" s="82" t="e">
        <f>SUM(V15:V43)</f>
        <v>#REF!</v>
      </c>
      <c r="W45" s="90">
        <v>21890667.624499995</v>
      </c>
    </row>
    <row r="46" spans="1:23">
      <c r="A46" s="6"/>
      <c r="B46" s="6"/>
      <c r="C46" s="6"/>
      <c r="D46" s="6"/>
      <c r="E46" s="6"/>
      <c r="F46" s="6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7"/>
    </row>
    <row r="47" spans="1:23">
      <c r="A47" s="6"/>
      <c r="B47" s="6"/>
      <c r="C47" s="6"/>
      <c r="D47" s="6"/>
      <c r="E47" s="6"/>
      <c r="F47" s="6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7"/>
    </row>
    <row r="48" spans="1:23">
      <c r="A48" s="6"/>
      <c r="B48" s="6"/>
      <c r="C48" s="6"/>
      <c r="D48" s="6"/>
      <c r="E48" s="6"/>
      <c r="F48" s="6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7"/>
    </row>
    <row r="49" spans="1:23">
      <c r="A49" s="6" t="s">
        <v>13</v>
      </c>
      <c r="B49" s="6"/>
      <c r="C49" s="6"/>
      <c r="D49" s="6"/>
      <c r="E49" s="6"/>
      <c r="F49" s="6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7"/>
    </row>
    <row r="50" spans="1:23">
      <c r="A50" s="6"/>
      <c r="B50" s="27" t="s">
        <v>665</v>
      </c>
      <c r="C50" s="27" t="s">
        <v>666</v>
      </c>
      <c r="D50" s="27" t="s">
        <v>667</v>
      </c>
      <c r="E50" s="27" t="s">
        <v>665</v>
      </c>
      <c r="F50" s="27" t="s">
        <v>673</v>
      </c>
      <c r="G50" s="17"/>
      <c r="H50" s="81"/>
      <c r="I50" s="81"/>
      <c r="J50" s="81"/>
      <c r="K50" s="81"/>
      <c r="L50" s="81"/>
      <c r="M50" s="17"/>
      <c r="N50" s="83">
        <v>0.05</v>
      </c>
      <c r="O50" s="81"/>
      <c r="P50" s="81"/>
      <c r="Q50" s="81"/>
      <c r="R50" s="81" t="s">
        <v>67</v>
      </c>
      <c r="S50" s="6"/>
      <c r="T50" s="6"/>
      <c r="U50" s="6"/>
      <c r="V50" s="6" t="s">
        <v>67</v>
      </c>
      <c r="W50" s="87"/>
    </row>
    <row r="51" spans="1:23">
      <c r="A51" s="6" t="s">
        <v>3</v>
      </c>
      <c r="B51" s="27" t="s">
        <v>524</v>
      </c>
      <c r="C51" s="27" t="s">
        <v>524</v>
      </c>
      <c r="D51" s="27" t="s">
        <v>524</v>
      </c>
      <c r="E51" s="27" t="s">
        <v>528</v>
      </c>
      <c r="F51" s="27" t="s">
        <v>528</v>
      </c>
      <c r="G51" s="81" t="s">
        <v>14</v>
      </c>
      <c r="H51" s="81" t="s">
        <v>12</v>
      </c>
      <c r="I51" s="81" t="s">
        <v>14</v>
      </c>
      <c r="J51" s="81" t="s">
        <v>12</v>
      </c>
      <c r="K51" s="81" t="s">
        <v>14</v>
      </c>
      <c r="L51" s="81" t="s">
        <v>12</v>
      </c>
      <c r="M51" s="81" t="s">
        <v>381</v>
      </c>
      <c r="N51" s="81" t="s">
        <v>381</v>
      </c>
      <c r="O51" s="81" t="s">
        <v>381</v>
      </c>
      <c r="P51" s="81" t="s">
        <v>660</v>
      </c>
      <c r="Q51" s="81" t="s">
        <v>67</v>
      </c>
      <c r="R51" s="81" t="s">
        <v>662</v>
      </c>
      <c r="S51" s="6" t="s">
        <v>661</v>
      </c>
      <c r="T51" s="6" t="s">
        <v>661</v>
      </c>
      <c r="U51" s="6" t="s">
        <v>67</v>
      </c>
      <c r="V51" s="6" t="s">
        <v>663</v>
      </c>
      <c r="W51" s="6" t="s">
        <v>177</v>
      </c>
    </row>
    <row r="52" spans="1:23">
      <c r="A52" s="6" t="s">
        <v>4</v>
      </c>
      <c r="B52" s="28" t="s">
        <v>668</v>
      </c>
      <c r="C52" s="28" t="s">
        <v>669</v>
      </c>
      <c r="D52" s="28" t="s">
        <v>670</v>
      </c>
      <c r="E52" s="28" t="s">
        <v>668</v>
      </c>
      <c r="F52" s="28" t="s">
        <v>670</v>
      </c>
      <c r="G52" s="81" t="s">
        <v>0</v>
      </c>
      <c r="H52" s="81" t="s">
        <v>0</v>
      </c>
      <c r="I52" s="81" t="s">
        <v>566</v>
      </c>
      <c r="J52" s="81" t="s">
        <v>566</v>
      </c>
      <c r="K52" s="81" t="s">
        <v>567</v>
      </c>
      <c r="L52" s="81" t="s">
        <v>567</v>
      </c>
      <c r="M52" s="81" t="s">
        <v>566</v>
      </c>
      <c r="N52" s="81" t="s">
        <v>567</v>
      </c>
      <c r="O52" s="81" t="s">
        <v>0</v>
      </c>
      <c r="P52" s="81" t="s">
        <v>566</v>
      </c>
      <c r="Q52" s="81" t="s">
        <v>567</v>
      </c>
      <c r="R52" s="81" t="s">
        <v>0</v>
      </c>
      <c r="S52" s="6" t="s">
        <v>117</v>
      </c>
      <c r="T52" s="6" t="s">
        <v>14</v>
      </c>
      <c r="U52" s="6" t="s">
        <v>661</v>
      </c>
      <c r="V52" s="6" t="s">
        <v>0</v>
      </c>
      <c r="W52" s="6" t="s">
        <v>16</v>
      </c>
    </row>
    <row r="53" spans="1:23">
      <c r="A53" s="10">
        <v>-1</v>
      </c>
      <c r="B53" s="10">
        <f>A53-1</f>
        <v>-2</v>
      </c>
      <c r="C53" s="10">
        <f>B53-1</f>
        <v>-3</v>
      </c>
      <c r="D53" s="10">
        <f t="shared" ref="D53:L53" si="16">C53-1</f>
        <v>-4</v>
      </c>
      <c r="E53" s="10">
        <f t="shared" si="16"/>
        <v>-5</v>
      </c>
      <c r="F53" s="10">
        <f t="shared" si="16"/>
        <v>-6</v>
      </c>
      <c r="G53" s="10">
        <f t="shared" si="16"/>
        <v>-7</v>
      </c>
      <c r="H53" s="10">
        <f t="shared" si="16"/>
        <v>-8</v>
      </c>
      <c r="I53" s="10">
        <f t="shared" si="16"/>
        <v>-9</v>
      </c>
      <c r="J53" s="10">
        <f t="shared" si="16"/>
        <v>-10</v>
      </c>
      <c r="K53" s="10">
        <f t="shared" si="16"/>
        <v>-11</v>
      </c>
      <c r="L53" s="10">
        <f t="shared" si="16"/>
        <v>-12</v>
      </c>
      <c r="M53" s="10">
        <f>L53-1</f>
        <v>-13</v>
      </c>
      <c r="N53" s="10">
        <f t="shared" ref="N53:V53" si="17">M53-1</f>
        <v>-14</v>
      </c>
      <c r="O53" s="10">
        <f t="shared" si="17"/>
        <v>-15</v>
      </c>
      <c r="P53" s="10">
        <f t="shared" si="17"/>
        <v>-16</v>
      </c>
      <c r="Q53" s="10">
        <f t="shared" si="17"/>
        <v>-17</v>
      </c>
      <c r="R53" s="10">
        <f t="shared" si="17"/>
        <v>-18</v>
      </c>
      <c r="S53" s="10">
        <f t="shared" si="17"/>
        <v>-19</v>
      </c>
      <c r="T53" s="10">
        <f t="shared" si="17"/>
        <v>-20</v>
      </c>
      <c r="U53" s="10">
        <f t="shared" si="17"/>
        <v>-21</v>
      </c>
      <c r="V53" s="10">
        <f t="shared" si="17"/>
        <v>-22</v>
      </c>
      <c r="W53" s="10">
        <v>-23</v>
      </c>
    </row>
    <row r="54" spans="1:23">
      <c r="A54" s="80"/>
      <c r="B54" s="6"/>
      <c r="C54" s="6"/>
      <c r="D54" s="6"/>
      <c r="E54" s="6"/>
      <c r="F54" s="6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6"/>
      <c r="T54" s="6"/>
      <c r="U54" s="6"/>
      <c r="V54" s="6"/>
      <c r="W54" s="87"/>
    </row>
    <row r="55" spans="1:23">
      <c r="A55" s="6">
        <v>1992</v>
      </c>
      <c r="B55" s="6"/>
      <c r="C55" s="6"/>
      <c r="D55" s="6"/>
      <c r="E55" s="6"/>
      <c r="F55" s="6"/>
      <c r="G55" s="81">
        <f>B55+C55+E55</f>
        <v>0</v>
      </c>
      <c r="H55" s="81">
        <f>G55+D55+F55</f>
        <v>0</v>
      </c>
      <c r="I55" s="81">
        <f>B55+C55</f>
        <v>0</v>
      </c>
      <c r="J55" s="81">
        <f>I55+D55</f>
        <v>0</v>
      </c>
      <c r="K55" s="81">
        <f>E55</f>
        <v>0</v>
      </c>
      <c r="L55" s="81">
        <f>E55+F55</f>
        <v>0</v>
      </c>
      <c r="M55" s="81">
        <f>O55-N55</f>
        <v>0</v>
      </c>
      <c r="N55" s="81">
        <f>N$50*O55</f>
        <v>0</v>
      </c>
      <c r="O55" s="81">
        <f>O15-O95</f>
        <v>0</v>
      </c>
      <c r="P55" s="81"/>
      <c r="Q55" s="81"/>
      <c r="R55" s="81"/>
      <c r="S55" s="81"/>
      <c r="T55" s="81"/>
      <c r="U55" s="81">
        <f>S55+T55</f>
        <v>0</v>
      </c>
      <c r="V55" s="81">
        <f>R55+U55</f>
        <v>0</v>
      </c>
      <c r="W55" s="87"/>
    </row>
    <row r="56" spans="1:23">
      <c r="A56" s="6">
        <f>A55+1</f>
        <v>1993</v>
      </c>
      <c r="B56" s="6"/>
      <c r="C56" s="6"/>
      <c r="D56" s="6"/>
      <c r="E56" s="6"/>
      <c r="F56" s="6"/>
      <c r="G56" s="81">
        <f t="shared" ref="G56:G83" si="18">B56+C56+E56</f>
        <v>0</v>
      </c>
      <c r="H56" s="81">
        <f t="shared" ref="H56:H83" si="19">G56+D56+F56</f>
        <v>0</v>
      </c>
      <c r="I56" s="81">
        <f t="shared" ref="I56:I83" si="20">B56+C56</f>
        <v>0</v>
      </c>
      <c r="J56" s="81">
        <f t="shared" ref="J56:J83" si="21">I56+D56</f>
        <v>0</v>
      </c>
      <c r="K56" s="81">
        <f t="shared" ref="K56:K83" si="22">E56</f>
        <v>0</v>
      </c>
      <c r="L56" s="81">
        <f t="shared" ref="L56:L83" si="23">E56+F56</f>
        <v>0</v>
      </c>
      <c r="M56" s="81">
        <f t="shared" ref="M56:M84" si="24">O56-N56</f>
        <v>0</v>
      </c>
      <c r="N56" s="81">
        <f t="shared" ref="N56:N84" si="25">N$50*O56</f>
        <v>0</v>
      </c>
      <c r="O56" s="81"/>
      <c r="P56" s="81"/>
      <c r="Q56" s="81"/>
      <c r="R56" s="81"/>
      <c r="S56" s="81"/>
      <c r="T56" s="81"/>
      <c r="U56" s="81">
        <f t="shared" ref="U56:U84" si="26">S56+T56</f>
        <v>0</v>
      </c>
      <c r="V56" s="81">
        <f t="shared" ref="V56:V84" si="27">R56+U56</f>
        <v>0</v>
      </c>
      <c r="W56" s="87"/>
    </row>
    <row r="57" spans="1:23">
      <c r="A57" s="6">
        <f t="shared" ref="A57:A83" si="28">A56+1</f>
        <v>1994</v>
      </c>
      <c r="B57" s="6"/>
      <c r="C57" s="6"/>
      <c r="D57" s="6"/>
      <c r="E57" s="6"/>
      <c r="F57" s="6"/>
      <c r="G57" s="81">
        <f t="shared" si="18"/>
        <v>0</v>
      </c>
      <c r="H57" s="81">
        <f t="shared" si="19"/>
        <v>0</v>
      </c>
      <c r="I57" s="81">
        <f t="shared" si="20"/>
        <v>0</v>
      </c>
      <c r="J57" s="81">
        <f t="shared" si="21"/>
        <v>0</v>
      </c>
      <c r="K57" s="81">
        <f t="shared" si="22"/>
        <v>0</v>
      </c>
      <c r="L57" s="81">
        <f t="shared" si="23"/>
        <v>0</v>
      </c>
      <c r="M57" s="81">
        <f t="shared" si="24"/>
        <v>0</v>
      </c>
      <c r="N57" s="81">
        <f t="shared" si="25"/>
        <v>0</v>
      </c>
      <c r="O57" s="81"/>
      <c r="P57" s="81"/>
      <c r="Q57" s="81"/>
      <c r="R57" s="81"/>
      <c r="S57" s="81"/>
      <c r="T57" s="81"/>
      <c r="U57" s="81">
        <f t="shared" si="26"/>
        <v>0</v>
      </c>
      <c r="V57" s="81">
        <f t="shared" si="27"/>
        <v>0</v>
      </c>
      <c r="W57" s="87"/>
    </row>
    <row r="58" spans="1:23">
      <c r="A58" s="6">
        <f t="shared" si="28"/>
        <v>1995</v>
      </c>
      <c r="B58" s="6"/>
      <c r="C58" s="6"/>
      <c r="D58" s="6"/>
      <c r="E58" s="6"/>
      <c r="F58" s="6"/>
      <c r="G58" s="81">
        <f t="shared" si="18"/>
        <v>0</v>
      </c>
      <c r="H58" s="81">
        <f t="shared" si="19"/>
        <v>0</v>
      </c>
      <c r="I58" s="81">
        <f t="shared" si="20"/>
        <v>0</v>
      </c>
      <c r="J58" s="81">
        <f t="shared" si="21"/>
        <v>0</v>
      </c>
      <c r="K58" s="81">
        <f t="shared" si="22"/>
        <v>0</v>
      </c>
      <c r="L58" s="81">
        <f t="shared" si="23"/>
        <v>0</v>
      </c>
      <c r="M58" s="81">
        <f t="shared" si="24"/>
        <v>0</v>
      </c>
      <c r="N58" s="81">
        <f t="shared" si="25"/>
        <v>0</v>
      </c>
      <c r="O58" s="81"/>
      <c r="P58" s="81"/>
      <c r="Q58" s="81"/>
      <c r="R58" s="81"/>
      <c r="S58" s="81"/>
      <c r="T58" s="81"/>
      <c r="U58" s="81">
        <f t="shared" si="26"/>
        <v>0</v>
      </c>
      <c r="V58" s="81">
        <f t="shared" si="27"/>
        <v>0</v>
      </c>
      <c r="W58" s="87"/>
    </row>
    <row r="59" spans="1:23">
      <c r="A59" s="6">
        <f t="shared" si="28"/>
        <v>1996</v>
      </c>
      <c r="B59" s="6"/>
      <c r="C59" s="6"/>
      <c r="D59" s="6"/>
      <c r="E59" s="6"/>
      <c r="F59" s="6"/>
      <c r="G59" s="81">
        <f t="shared" si="18"/>
        <v>0</v>
      </c>
      <c r="H59" s="81">
        <f t="shared" si="19"/>
        <v>0</v>
      </c>
      <c r="I59" s="81">
        <f t="shared" si="20"/>
        <v>0</v>
      </c>
      <c r="J59" s="81">
        <f t="shared" si="21"/>
        <v>0</v>
      </c>
      <c r="K59" s="81">
        <f t="shared" si="22"/>
        <v>0</v>
      </c>
      <c r="L59" s="81">
        <f t="shared" si="23"/>
        <v>0</v>
      </c>
      <c r="M59" s="81">
        <f t="shared" si="24"/>
        <v>0</v>
      </c>
      <c r="N59" s="81">
        <f t="shared" si="25"/>
        <v>0</v>
      </c>
      <c r="O59" s="81"/>
      <c r="P59" s="81"/>
      <c r="Q59" s="81"/>
      <c r="R59" s="81"/>
      <c r="S59" s="81"/>
      <c r="T59" s="81"/>
      <c r="U59" s="81">
        <f t="shared" si="26"/>
        <v>0</v>
      </c>
      <c r="V59" s="81">
        <f t="shared" si="27"/>
        <v>0</v>
      </c>
      <c r="W59" s="87"/>
    </row>
    <row r="60" spans="1:23">
      <c r="A60" s="6">
        <f t="shared" si="28"/>
        <v>1997</v>
      </c>
      <c r="B60" s="6"/>
      <c r="C60" s="6"/>
      <c r="D60" s="6"/>
      <c r="E60" s="6"/>
      <c r="F60" s="6"/>
      <c r="G60" s="81">
        <f t="shared" si="18"/>
        <v>0</v>
      </c>
      <c r="H60" s="81">
        <f t="shared" si="19"/>
        <v>0</v>
      </c>
      <c r="I60" s="81">
        <f t="shared" si="20"/>
        <v>0</v>
      </c>
      <c r="J60" s="81">
        <f t="shared" si="21"/>
        <v>0</v>
      </c>
      <c r="K60" s="81">
        <f t="shared" si="22"/>
        <v>0</v>
      </c>
      <c r="L60" s="81">
        <f t="shared" si="23"/>
        <v>0</v>
      </c>
      <c r="M60" s="81">
        <f t="shared" si="24"/>
        <v>0</v>
      </c>
      <c r="N60" s="81">
        <f t="shared" si="25"/>
        <v>0</v>
      </c>
      <c r="O60" s="81"/>
      <c r="P60" s="81"/>
      <c r="Q60" s="81"/>
      <c r="R60" s="81"/>
      <c r="S60" s="81"/>
      <c r="T60" s="81"/>
      <c r="U60" s="81">
        <f t="shared" si="26"/>
        <v>0</v>
      </c>
      <c r="V60" s="81">
        <f t="shared" si="27"/>
        <v>0</v>
      </c>
      <c r="W60" s="87"/>
    </row>
    <row r="61" spans="1:23">
      <c r="A61" s="6">
        <f t="shared" si="28"/>
        <v>1998</v>
      </c>
      <c r="B61" s="6"/>
      <c r="C61" s="6"/>
      <c r="D61" s="6"/>
      <c r="E61" s="6"/>
      <c r="F61" s="6"/>
      <c r="G61" s="81">
        <f t="shared" si="18"/>
        <v>0</v>
      </c>
      <c r="H61" s="81">
        <f t="shared" si="19"/>
        <v>0</v>
      </c>
      <c r="I61" s="81">
        <f t="shared" si="20"/>
        <v>0</v>
      </c>
      <c r="J61" s="81">
        <f t="shared" si="21"/>
        <v>0</v>
      </c>
      <c r="K61" s="81">
        <f t="shared" si="22"/>
        <v>0</v>
      </c>
      <c r="L61" s="81">
        <f t="shared" si="23"/>
        <v>0</v>
      </c>
      <c r="M61" s="81">
        <f t="shared" si="24"/>
        <v>0</v>
      </c>
      <c r="N61" s="81">
        <f t="shared" si="25"/>
        <v>0</v>
      </c>
      <c r="O61" s="81"/>
      <c r="P61" s="81"/>
      <c r="Q61" s="81"/>
      <c r="R61" s="81"/>
      <c r="S61" s="81"/>
      <c r="T61" s="81"/>
      <c r="U61" s="81">
        <f t="shared" si="26"/>
        <v>0</v>
      </c>
      <c r="V61" s="81">
        <f t="shared" si="27"/>
        <v>0</v>
      </c>
      <c r="W61" s="87"/>
    </row>
    <row r="62" spans="1:23">
      <c r="A62" s="6">
        <f t="shared" si="28"/>
        <v>1999</v>
      </c>
      <c r="B62" s="6"/>
      <c r="C62" s="6"/>
      <c r="D62" s="6"/>
      <c r="E62" s="6"/>
      <c r="F62" s="6"/>
      <c r="G62" s="81">
        <f t="shared" si="18"/>
        <v>0</v>
      </c>
      <c r="H62" s="81">
        <f t="shared" si="19"/>
        <v>0</v>
      </c>
      <c r="I62" s="81">
        <f t="shared" si="20"/>
        <v>0</v>
      </c>
      <c r="J62" s="81">
        <f t="shared" si="21"/>
        <v>0</v>
      </c>
      <c r="K62" s="81">
        <f t="shared" si="22"/>
        <v>0</v>
      </c>
      <c r="L62" s="81">
        <f t="shared" si="23"/>
        <v>0</v>
      </c>
      <c r="M62" s="81">
        <f t="shared" si="24"/>
        <v>0</v>
      </c>
      <c r="N62" s="81">
        <f t="shared" si="25"/>
        <v>0</v>
      </c>
      <c r="O62" s="81"/>
      <c r="P62" s="81"/>
      <c r="Q62" s="81"/>
      <c r="R62" s="81"/>
      <c r="S62" s="81"/>
      <c r="T62" s="81"/>
      <c r="U62" s="81">
        <f t="shared" si="26"/>
        <v>0</v>
      </c>
      <c r="V62" s="81">
        <f t="shared" si="27"/>
        <v>0</v>
      </c>
      <c r="W62" s="87"/>
    </row>
    <row r="63" spans="1:23">
      <c r="A63" s="6">
        <f t="shared" si="28"/>
        <v>2000</v>
      </c>
      <c r="B63" s="6"/>
      <c r="C63" s="6"/>
      <c r="D63" s="6"/>
      <c r="E63" s="6"/>
      <c r="F63" s="6"/>
      <c r="G63" s="81">
        <f t="shared" si="18"/>
        <v>0</v>
      </c>
      <c r="H63" s="81">
        <f t="shared" si="19"/>
        <v>0</v>
      </c>
      <c r="I63" s="81">
        <f t="shared" si="20"/>
        <v>0</v>
      </c>
      <c r="J63" s="81">
        <f t="shared" si="21"/>
        <v>0</v>
      </c>
      <c r="K63" s="81">
        <f t="shared" si="22"/>
        <v>0</v>
      </c>
      <c r="L63" s="81">
        <f t="shared" si="23"/>
        <v>0</v>
      </c>
      <c r="M63" s="81">
        <f t="shared" si="24"/>
        <v>0</v>
      </c>
      <c r="N63" s="81">
        <f t="shared" si="25"/>
        <v>0</v>
      </c>
      <c r="O63" s="81"/>
      <c r="P63" s="81"/>
      <c r="Q63" s="81"/>
      <c r="R63" s="81"/>
      <c r="S63" s="81"/>
      <c r="T63" s="81"/>
      <c r="U63" s="81">
        <f t="shared" si="26"/>
        <v>0</v>
      </c>
      <c r="V63" s="81">
        <f t="shared" si="27"/>
        <v>0</v>
      </c>
      <c r="W63" s="87"/>
    </row>
    <row r="64" spans="1:23">
      <c r="A64" s="6">
        <f t="shared" si="28"/>
        <v>2001</v>
      </c>
      <c r="B64" s="6"/>
      <c r="C64" s="6"/>
      <c r="D64" s="6"/>
      <c r="E64" s="6"/>
      <c r="F64" s="6"/>
      <c r="G64" s="81">
        <f t="shared" si="18"/>
        <v>0</v>
      </c>
      <c r="H64" s="81">
        <f t="shared" si="19"/>
        <v>0</v>
      </c>
      <c r="I64" s="81">
        <f t="shared" si="20"/>
        <v>0</v>
      </c>
      <c r="J64" s="81">
        <f t="shared" si="21"/>
        <v>0</v>
      </c>
      <c r="K64" s="81">
        <f t="shared" si="22"/>
        <v>0</v>
      </c>
      <c r="L64" s="81">
        <f t="shared" si="23"/>
        <v>0</v>
      </c>
      <c r="M64" s="81">
        <f t="shared" si="24"/>
        <v>0</v>
      </c>
      <c r="N64" s="81">
        <f t="shared" si="25"/>
        <v>0</v>
      </c>
      <c r="O64" s="81"/>
      <c r="P64" s="81"/>
      <c r="Q64" s="81"/>
      <c r="R64" s="81"/>
      <c r="S64" s="81"/>
      <c r="T64" s="81"/>
      <c r="U64" s="81">
        <f t="shared" si="26"/>
        <v>0</v>
      </c>
      <c r="V64" s="81">
        <f t="shared" si="27"/>
        <v>0</v>
      </c>
      <c r="W64" s="87"/>
    </row>
    <row r="65" spans="1:23">
      <c r="A65" s="6">
        <f t="shared" si="28"/>
        <v>2002</v>
      </c>
      <c r="B65" s="6"/>
      <c r="C65" s="6"/>
      <c r="D65" s="6"/>
      <c r="E65" s="6"/>
      <c r="F65" s="6"/>
      <c r="G65" s="81">
        <f t="shared" si="18"/>
        <v>0</v>
      </c>
      <c r="H65" s="81">
        <f t="shared" si="19"/>
        <v>0</v>
      </c>
      <c r="I65" s="81">
        <f t="shared" si="20"/>
        <v>0</v>
      </c>
      <c r="J65" s="81">
        <f t="shared" si="21"/>
        <v>0</v>
      </c>
      <c r="K65" s="81">
        <f t="shared" si="22"/>
        <v>0</v>
      </c>
      <c r="L65" s="81">
        <f t="shared" si="23"/>
        <v>0</v>
      </c>
      <c r="M65" s="81">
        <f t="shared" si="24"/>
        <v>0</v>
      </c>
      <c r="N65" s="81">
        <f t="shared" si="25"/>
        <v>0</v>
      </c>
      <c r="O65" s="81"/>
      <c r="P65" s="81"/>
      <c r="Q65" s="81"/>
      <c r="R65" s="81"/>
      <c r="S65" s="81"/>
      <c r="T65" s="81"/>
      <c r="U65" s="81">
        <f t="shared" si="26"/>
        <v>0</v>
      </c>
      <c r="V65" s="81">
        <f t="shared" si="27"/>
        <v>0</v>
      </c>
      <c r="W65" s="87"/>
    </row>
    <row r="66" spans="1:23">
      <c r="A66" s="6">
        <f t="shared" si="28"/>
        <v>2003</v>
      </c>
      <c r="B66" s="6"/>
      <c r="C66" s="6"/>
      <c r="D66" s="6"/>
      <c r="E66" s="6"/>
      <c r="F66" s="6"/>
      <c r="G66" s="81">
        <f t="shared" si="18"/>
        <v>0</v>
      </c>
      <c r="H66" s="81">
        <f t="shared" si="19"/>
        <v>0</v>
      </c>
      <c r="I66" s="81">
        <f t="shared" si="20"/>
        <v>0</v>
      </c>
      <c r="J66" s="81">
        <f t="shared" si="21"/>
        <v>0</v>
      </c>
      <c r="K66" s="81">
        <f t="shared" si="22"/>
        <v>0</v>
      </c>
      <c r="L66" s="81">
        <f t="shared" si="23"/>
        <v>0</v>
      </c>
      <c r="M66" s="81">
        <f t="shared" si="24"/>
        <v>0</v>
      </c>
      <c r="N66" s="81">
        <f t="shared" si="25"/>
        <v>0</v>
      </c>
      <c r="O66" s="81"/>
      <c r="P66" s="81"/>
      <c r="Q66" s="81"/>
      <c r="R66" s="81"/>
      <c r="S66" s="81"/>
      <c r="T66" s="81"/>
      <c r="U66" s="81">
        <f t="shared" si="26"/>
        <v>0</v>
      </c>
      <c r="V66" s="81">
        <f t="shared" si="27"/>
        <v>0</v>
      </c>
      <c r="W66" s="87"/>
    </row>
    <row r="67" spans="1:23">
      <c r="A67" s="6">
        <f t="shared" si="28"/>
        <v>2004</v>
      </c>
      <c r="B67" s="6"/>
      <c r="C67" s="6"/>
      <c r="D67" s="6"/>
      <c r="E67" s="6"/>
      <c r="F67" s="6"/>
      <c r="G67" s="81">
        <f t="shared" si="18"/>
        <v>0</v>
      </c>
      <c r="H67" s="81">
        <f t="shared" si="19"/>
        <v>0</v>
      </c>
      <c r="I67" s="81">
        <f t="shared" si="20"/>
        <v>0</v>
      </c>
      <c r="J67" s="81">
        <f t="shared" si="21"/>
        <v>0</v>
      </c>
      <c r="K67" s="81">
        <f t="shared" si="22"/>
        <v>0</v>
      </c>
      <c r="L67" s="81">
        <f t="shared" si="23"/>
        <v>0</v>
      </c>
      <c r="M67" s="81">
        <f t="shared" si="24"/>
        <v>0</v>
      </c>
      <c r="N67" s="81">
        <f t="shared" si="25"/>
        <v>0</v>
      </c>
      <c r="O67" s="81"/>
      <c r="P67" s="81"/>
      <c r="Q67" s="81"/>
      <c r="R67" s="81"/>
      <c r="S67" s="81"/>
      <c r="T67" s="81"/>
      <c r="U67" s="81">
        <f t="shared" si="26"/>
        <v>0</v>
      </c>
      <c r="V67" s="81">
        <f t="shared" si="27"/>
        <v>0</v>
      </c>
      <c r="W67" s="87"/>
    </row>
    <row r="68" spans="1:23">
      <c r="A68" s="6">
        <f t="shared" si="28"/>
        <v>2005</v>
      </c>
      <c r="B68" s="6"/>
      <c r="C68" s="6"/>
      <c r="D68" s="6"/>
      <c r="E68" s="6"/>
      <c r="F68" s="6"/>
      <c r="G68" s="81">
        <f t="shared" si="18"/>
        <v>0</v>
      </c>
      <c r="H68" s="81">
        <f t="shared" si="19"/>
        <v>0</v>
      </c>
      <c r="I68" s="81">
        <f t="shared" si="20"/>
        <v>0</v>
      </c>
      <c r="J68" s="81">
        <f t="shared" si="21"/>
        <v>0</v>
      </c>
      <c r="K68" s="81">
        <f t="shared" si="22"/>
        <v>0</v>
      </c>
      <c r="L68" s="81">
        <f t="shared" si="23"/>
        <v>0</v>
      </c>
      <c r="M68" s="81">
        <f t="shared" si="24"/>
        <v>0</v>
      </c>
      <c r="N68" s="81">
        <f t="shared" si="25"/>
        <v>0</v>
      </c>
      <c r="O68" s="81"/>
      <c r="P68" s="81"/>
      <c r="Q68" s="81"/>
      <c r="R68" s="81"/>
      <c r="S68" s="81"/>
      <c r="T68" s="81"/>
      <c r="U68" s="81">
        <f t="shared" si="26"/>
        <v>0</v>
      </c>
      <c r="V68" s="81">
        <f t="shared" si="27"/>
        <v>0</v>
      </c>
      <c r="W68" s="87"/>
    </row>
    <row r="69" spans="1:23">
      <c r="A69" s="6">
        <f t="shared" si="28"/>
        <v>2006</v>
      </c>
      <c r="B69" s="95">
        <f>'Exhibit U,5'!W59</f>
        <v>0</v>
      </c>
      <c r="C69" s="95">
        <f>'Exhibit U,5'!X59</f>
        <v>0</v>
      </c>
      <c r="D69" s="95">
        <f>'Exhibit U,5'!Y59</f>
        <v>0</v>
      </c>
      <c r="E69" s="95">
        <f>'Exhibit U,5'!Z59</f>
        <v>0</v>
      </c>
      <c r="F69" s="95">
        <f>'Exhibit U,5'!AA59</f>
        <v>0</v>
      </c>
      <c r="G69" s="81">
        <f t="shared" si="18"/>
        <v>0</v>
      </c>
      <c r="H69" s="81">
        <f t="shared" si="19"/>
        <v>0</v>
      </c>
      <c r="I69" s="81">
        <f t="shared" si="20"/>
        <v>0</v>
      </c>
      <c r="J69" s="81">
        <f t="shared" si="21"/>
        <v>0</v>
      </c>
      <c r="K69" s="81">
        <f t="shared" si="22"/>
        <v>0</v>
      </c>
      <c r="L69" s="81">
        <f t="shared" si="23"/>
        <v>0</v>
      </c>
      <c r="M69" s="81">
        <f t="shared" si="24"/>
        <v>0</v>
      </c>
      <c r="N69" s="81">
        <f t="shared" si="25"/>
        <v>0</v>
      </c>
      <c r="O69" s="81">
        <f t="shared" ref="O69:O82" si="29">O29-O109</f>
        <v>0</v>
      </c>
      <c r="P69" s="81">
        <f>J69+M69</f>
        <v>0</v>
      </c>
      <c r="Q69" s="81">
        <f>L69+N69</f>
        <v>0</v>
      </c>
      <c r="R69" s="81">
        <f t="shared" ref="R69:R83" si="30">P69+Q69</f>
        <v>0</v>
      </c>
      <c r="S69" s="81"/>
      <c r="T69" s="81"/>
      <c r="U69" s="81">
        <f t="shared" si="26"/>
        <v>0</v>
      </c>
      <c r="V69" s="81">
        <f t="shared" si="27"/>
        <v>0</v>
      </c>
      <c r="W69" s="87"/>
    </row>
    <row r="70" spans="1:23">
      <c r="A70" s="6">
        <f t="shared" si="28"/>
        <v>2007</v>
      </c>
      <c r="B70" s="95">
        <f>'Exhibit U,5'!W60</f>
        <v>0</v>
      </c>
      <c r="C70" s="95">
        <f>'Exhibit U,5'!X60</f>
        <v>0</v>
      </c>
      <c r="D70" s="95">
        <f>'Exhibit U,5'!Y60</f>
        <v>0</v>
      </c>
      <c r="E70" s="95">
        <f>'Exhibit U,5'!Z60</f>
        <v>0</v>
      </c>
      <c r="F70" s="95">
        <f>'Exhibit U,5'!AA60</f>
        <v>0</v>
      </c>
      <c r="G70" s="81">
        <f t="shared" si="18"/>
        <v>0</v>
      </c>
      <c r="H70" s="81">
        <f t="shared" si="19"/>
        <v>0</v>
      </c>
      <c r="I70" s="81">
        <f t="shared" si="20"/>
        <v>0</v>
      </c>
      <c r="J70" s="81">
        <f t="shared" si="21"/>
        <v>0</v>
      </c>
      <c r="K70" s="81">
        <f t="shared" si="22"/>
        <v>0</v>
      </c>
      <c r="L70" s="81">
        <f t="shared" si="23"/>
        <v>0</v>
      </c>
      <c r="M70" s="81">
        <f t="shared" si="24"/>
        <v>0</v>
      </c>
      <c r="N70" s="81">
        <f t="shared" si="25"/>
        <v>0</v>
      </c>
      <c r="O70" s="81">
        <f t="shared" si="29"/>
        <v>0</v>
      </c>
      <c r="P70" s="81">
        <f t="shared" ref="P70:P84" si="31">J70+M70</f>
        <v>0</v>
      </c>
      <c r="Q70" s="81">
        <f t="shared" ref="Q70:Q84" si="32">L70+N70</f>
        <v>0</v>
      </c>
      <c r="R70" s="81">
        <f t="shared" si="30"/>
        <v>0</v>
      </c>
      <c r="S70" s="81"/>
      <c r="T70" s="81"/>
      <c r="U70" s="81">
        <f t="shared" si="26"/>
        <v>0</v>
      </c>
      <c r="V70" s="81">
        <f t="shared" si="27"/>
        <v>0</v>
      </c>
      <c r="W70" s="87"/>
    </row>
    <row r="71" spans="1:23">
      <c r="A71" s="6">
        <f t="shared" si="28"/>
        <v>2008</v>
      </c>
      <c r="B71" s="95">
        <f>'Exhibit U,5'!W61</f>
        <v>0</v>
      </c>
      <c r="C71" s="95">
        <f>'Exhibit U,5'!X61</f>
        <v>0</v>
      </c>
      <c r="D71" s="95">
        <f>'Exhibit U,5'!Y61</f>
        <v>0</v>
      </c>
      <c r="E71" s="95">
        <f>'Exhibit U,5'!Z61</f>
        <v>0</v>
      </c>
      <c r="F71" s="95">
        <f>'Exhibit U,5'!AA61</f>
        <v>0</v>
      </c>
      <c r="G71" s="81">
        <f t="shared" si="18"/>
        <v>0</v>
      </c>
      <c r="H71" s="81">
        <f t="shared" si="19"/>
        <v>0</v>
      </c>
      <c r="I71" s="81">
        <f t="shared" si="20"/>
        <v>0</v>
      </c>
      <c r="J71" s="81">
        <f t="shared" si="21"/>
        <v>0</v>
      </c>
      <c r="K71" s="81">
        <f t="shared" si="22"/>
        <v>0</v>
      </c>
      <c r="L71" s="81">
        <f t="shared" si="23"/>
        <v>0</v>
      </c>
      <c r="M71" s="81">
        <f t="shared" si="24"/>
        <v>0</v>
      </c>
      <c r="N71" s="81">
        <f t="shared" si="25"/>
        <v>0</v>
      </c>
      <c r="O71" s="81">
        <f t="shared" si="29"/>
        <v>0</v>
      </c>
      <c r="P71" s="81">
        <f t="shared" si="31"/>
        <v>0</v>
      </c>
      <c r="Q71" s="81">
        <f t="shared" si="32"/>
        <v>0</v>
      </c>
      <c r="R71" s="81">
        <f t="shared" si="30"/>
        <v>0</v>
      </c>
      <c r="S71" s="81"/>
      <c r="T71" s="81"/>
      <c r="U71" s="81">
        <f t="shared" si="26"/>
        <v>0</v>
      </c>
      <c r="V71" s="81">
        <f t="shared" si="27"/>
        <v>0</v>
      </c>
      <c r="W71" s="87"/>
    </row>
    <row r="72" spans="1:23">
      <c r="A72" s="6">
        <f t="shared" si="28"/>
        <v>2009</v>
      </c>
      <c r="B72" s="95">
        <f>'Exhibit U,5'!W62</f>
        <v>0</v>
      </c>
      <c r="C72" s="95">
        <f>'Exhibit U,5'!X62</f>
        <v>0</v>
      </c>
      <c r="D72" s="95">
        <f>'Exhibit U,5'!Y62</f>
        <v>0</v>
      </c>
      <c r="E72" s="95">
        <f>'Exhibit U,5'!Z62</f>
        <v>0</v>
      </c>
      <c r="F72" s="95">
        <f>'Exhibit U,5'!AA62</f>
        <v>0</v>
      </c>
      <c r="G72" s="81">
        <f t="shared" si="18"/>
        <v>0</v>
      </c>
      <c r="H72" s="81">
        <f t="shared" si="19"/>
        <v>0</v>
      </c>
      <c r="I72" s="81">
        <f t="shared" si="20"/>
        <v>0</v>
      </c>
      <c r="J72" s="81">
        <f t="shared" si="21"/>
        <v>0</v>
      </c>
      <c r="K72" s="81">
        <f t="shared" si="22"/>
        <v>0</v>
      </c>
      <c r="L72" s="81">
        <f t="shared" si="23"/>
        <v>0</v>
      </c>
      <c r="M72" s="81">
        <f t="shared" si="24"/>
        <v>0</v>
      </c>
      <c r="N72" s="81">
        <f t="shared" si="25"/>
        <v>0</v>
      </c>
      <c r="O72" s="81">
        <f t="shared" si="29"/>
        <v>0</v>
      </c>
      <c r="P72" s="81">
        <f t="shared" si="31"/>
        <v>0</v>
      </c>
      <c r="Q72" s="81">
        <f t="shared" si="32"/>
        <v>0</v>
      </c>
      <c r="R72" s="81">
        <f t="shared" si="30"/>
        <v>0</v>
      </c>
      <c r="S72" s="81"/>
      <c r="T72" s="81"/>
      <c r="U72" s="81">
        <f t="shared" si="26"/>
        <v>0</v>
      </c>
      <c r="V72" s="81">
        <f t="shared" si="27"/>
        <v>0</v>
      </c>
      <c r="W72" s="87"/>
    </row>
    <row r="73" spans="1:23">
      <c r="A73" s="6">
        <f t="shared" si="28"/>
        <v>2010</v>
      </c>
      <c r="B73" s="95">
        <f>'Exhibit U,5'!W63</f>
        <v>0</v>
      </c>
      <c r="C73" s="95">
        <f>'Exhibit U,5'!X63</f>
        <v>0</v>
      </c>
      <c r="D73" s="95">
        <f>'Exhibit U,5'!Y63</f>
        <v>0</v>
      </c>
      <c r="E73" s="95">
        <f>'Exhibit U,5'!Z63</f>
        <v>0</v>
      </c>
      <c r="F73" s="95">
        <f>'Exhibit U,5'!AA63</f>
        <v>0</v>
      </c>
      <c r="G73" s="81">
        <f t="shared" si="18"/>
        <v>0</v>
      </c>
      <c r="H73" s="81">
        <f t="shared" si="19"/>
        <v>0</v>
      </c>
      <c r="I73" s="81">
        <f t="shared" si="20"/>
        <v>0</v>
      </c>
      <c r="J73" s="81">
        <f t="shared" si="21"/>
        <v>0</v>
      </c>
      <c r="K73" s="81">
        <f t="shared" si="22"/>
        <v>0</v>
      </c>
      <c r="L73" s="81">
        <f t="shared" si="23"/>
        <v>0</v>
      </c>
      <c r="M73" s="81">
        <f t="shared" si="24"/>
        <v>0</v>
      </c>
      <c r="N73" s="81">
        <f t="shared" si="25"/>
        <v>0</v>
      </c>
      <c r="O73" s="81">
        <f t="shared" si="29"/>
        <v>0</v>
      </c>
      <c r="P73" s="81">
        <f t="shared" si="31"/>
        <v>0</v>
      </c>
      <c r="Q73" s="81">
        <f t="shared" si="32"/>
        <v>0</v>
      </c>
      <c r="R73" s="81">
        <f t="shared" si="30"/>
        <v>0</v>
      </c>
      <c r="S73" s="81"/>
      <c r="T73" s="81"/>
      <c r="U73" s="81">
        <f t="shared" si="26"/>
        <v>0</v>
      </c>
      <c r="V73" s="81">
        <f t="shared" si="27"/>
        <v>0</v>
      </c>
      <c r="W73" s="87"/>
    </row>
    <row r="74" spans="1:23">
      <c r="A74" s="6">
        <f t="shared" si="28"/>
        <v>2011</v>
      </c>
      <c r="B74" s="95">
        <f>'Exhibit U,5'!W64</f>
        <v>0</v>
      </c>
      <c r="C74" s="95">
        <f>'Exhibit U,5'!X64</f>
        <v>0</v>
      </c>
      <c r="D74" s="95">
        <f>'Exhibit U,5'!Y64</f>
        <v>0</v>
      </c>
      <c r="E74" s="95">
        <f>'Exhibit U,5'!Z64</f>
        <v>0</v>
      </c>
      <c r="F74" s="95">
        <f>'Exhibit U,5'!AA64</f>
        <v>0</v>
      </c>
      <c r="G74" s="81">
        <f t="shared" si="18"/>
        <v>0</v>
      </c>
      <c r="H74" s="81">
        <f t="shared" si="19"/>
        <v>0</v>
      </c>
      <c r="I74" s="81">
        <f t="shared" si="20"/>
        <v>0</v>
      </c>
      <c r="J74" s="81">
        <f t="shared" si="21"/>
        <v>0</v>
      </c>
      <c r="K74" s="81">
        <f t="shared" si="22"/>
        <v>0</v>
      </c>
      <c r="L74" s="81">
        <f t="shared" si="23"/>
        <v>0</v>
      </c>
      <c r="M74" s="81">
        <f t="shared" si="24"/>
        <v>0</v>
      </c>
      <c r="N74" s="81">
        <f t="shared" si="25"/>
        <v>0</v>
      </c>
      <c r="O74" s="81">
        <f t="shared" si="29"/>
        <v>0</v>
      </c>
      <c r="P74" s="81">
        <f t="shared" si="31"/>
        <v>0</v>
      </c>
      <c r="Q74" s="81">
        <f t="shared" si="32"/>
        <v>0</v>
      </c>
      <c r="R74" s="81">
        <f t="shared" si="30"/>
        <v>0</v>
      </c>
      <c r="S74" s="81"/>
      <c r="T74" s="81"/>
      <c r="U74" s="81">
        <f t="shared" si="26"/>
        <v>0</v>
      </c>
      <c r="V74" s="81">
        <f t="shared" si="27"/>
        <v>0</v>
      </c>
      <c r="W74" s="87">
        <v>358900.06359323062</v>
      </c>
    </row>
    <row r="75" spans="1:23">
      <c r="A75" s="6">
        <f t="shared" si="28"/>
        <v>2012</v>
      </c>
      <c r="B75" s="95">
        <f>'Exhibit U,5'!W65</f>
        <v>0</v>
      </c>
      <c r="C75" s="95">
        <f>'Exhibit U,5'!X65</f>
        <v>0</v>
      </c>
      <c r="D75" s="95">
        <f>'Exhibit U,5'!Y65</f>
        <v>0</v>
      </c>
      <c r="E75" s="95">
        <f>'Exhibit U,5'!Z65</f>
        <v>0</v>
      </c>
      <c r="F75" s="95">
        <f>'Exhibit U,5'!AA65</f>
        <v>0</v>
      </c>
      <c r="G75" s="81">
        <f t="shared" si="18"/>
        <v>0</v>
      </c>
      <c r="H75" s="81">
        <f t="shared" si="19"/>
        <v>0</v>
      </c>
      <c r="I75" s="81">
        <f t="shared" si="20"/>
        <v>0</v>
      </c>
      <c r="J75" s="81">
        <f t="shared" si="21"/>
        <v>0</v>
      </c>
      <c r="K75" s="81">
        <f t="shared" si="22"/>
        <v>0</v>
      </c>
      <c r="L75" s="81">
        <f t="shared" si="23"/>
        <v>0</v>
      </c>
      <c r="M75" s="81">
        <f t="shared" si="24"/>
        <v>0</v>
      </c>
      <c r="N75" s="81">
        <f t="shared" si="25"/>
        <v>0</v>
      </c>
      <c r="O75" s="81">
        <f t="shared" si="29"/>
        <v>0</v>
      </c>
      <c r="P75" s="81">
        <f t="shared" si="31"/>
        <v>0</v>
      </c>
      <c r="Q75" s="81">
        <f t="shared" si="32"/>
        <v>0</v>
      </c>
      <c r="R75" s="81">
        <f t="shared" si="30"/>
        <v>0</v>
      </c>
      <c r="S75" s="81"/>
      <c r="T75" s="81"/>
      <c r="U75" s="81">
        <f t="shared" si="26"/>
        <v>0</v>
      </c>
      <c r="V75" s="81">
        <f t="shared" si="27"/>
        <v>0</v>
      </c>
      <c r="W75" s="87">
        <v>287899.51659006526</v>
      </c>
    </row>
    <row r="76" spans="1:23">
      <c r="A76" s="6">
        <f t="shared" si="28"/>
        <v>2013</v>
      </c>
      <c r="B76" s="95">
        <f>'Exhibit U,5'!W66</f>
        <v>0</v>
      </c>
      <c r="C76" s="95">
        <f>'Exhibit U,5'!X66</f>
        <v>0</v>
      </c>
      <c r="D76" s="95">
        <f>'Exhibit U,5'!Y66</f>
        <v>0</v>
      </c>
      <c r="E76" s="95">
        <f>'Exhibit U,5'!Z66</f>
        <v>0</v>
      </c>
      <c r="F76" s="95">
        <f>'Exhibit U,5'!AA66</f>
        <v>0</v>
      </c>
      <c r="G76" s="81">
        <f t="shared" si="18"/>
        <v>0</v>
      </c>
      <c r="H76" s="81">
        <f t="shared" si="19"/>
        <v>0</v>
      </c>
      <c r="I76" s="81">
        <f t="shared" si="20"/>
        <v>0</v>
      </c>
      <c r="J76" s="81">
        <f t="shared" si="21"/>
        <v>0</v>
      </c>
      <c r="K76" s="81">
        <f t="shared" si="22"/>
        <v>0</v>
      </c>
      <c r="L76" s="81">
        <f t="shared" si="23"/>
        <v>0</v>
      </c>
      <c r="M76" s="81">
        <f t="shared" si="24"/>
        <v>0</v>
      </c>
      <c r="N76" s="81">
        <f t="shared" si="25"/>
        <v>0</v>
      </c>
      <c r="O76" s="81">
        <f t="shared" si="29"/>
        <v>0</v>
      </c>
      <c r="P76" s="81">
        <f t="shared" si="31"/>
        <v>0</v>
      </c>
      <c r="Q76" s="81">
        <f t="shared" si="32"/>
        <v>0</v>
      </c>
      <c r="R76" s="81">
        <f t="shared" si="30"/>
        <v>0</v>
      </c>
      <c r="S76" s="81"/>
      <c r="T76" s="81"/>
      <c r="U76" s="81">
        <f t="shared" si="26"/>
        <v>0</v>
      </c>
      <c r="V76" s="81">
        <f t="shared" si="27"/>
        <v>0</v>
      </c>
      <c r="W76" s="87">
        <v>154998.10279298239</v>
      </c>
    </row>
    <row r="77" spans="1:23">
      <c r="A77" s="6">
        <f>A76+1</f>
        <v>2014</v>
      </c>
      <c r="B77" s="95">
        <f>'Exhibit U,5'!W67</f>
        <v>0</v>
      </c>
      <c r="C77" s="95">
        <f>'Exhibit U,5'!X67</f>
        <v>0</v>
      </c>
      <c r="D77" s="95">
        <f>'Exhibit U,5'!Y67</f>
        <v>0</v>
      </c>
      <c r="E77" s="95">
        <f>'Exhibit U,5'!Z67</f>
        <v>0</v>
      </c>
      <c r="F77" s="95">
        <f>'Exhibit U,5'!AA67</f>
        <v>0</v>
      </c>
      <c r="G77" s="81">
        <f t="shared" si="18"/>
        <v>0</v>
      </c>
      <c r="H77" s="81">
        <f t="shared" si="19"/>
        <v>0</v>
      </c>
      <c r="I77" s="81">
        <f t="shared" si="20"/>
        <v>0</v>
      </c>
      <c r="J77" s="81">
        <f t="shared" si="21"/>
        <v>0</v>
      </c>
      <c r="K77" s="81">
        <f t="shared" si="22"/>
        <v>0</v>
      </c>
      <c r="L77" s="81">
        <f t="shared" si="23"/>
        <v>0</v>
      </c>
      <c r="M77" s="81">
        <f t="shared" si="24"/>
        <v>0</v>
      </c>
      <c r="N77" s="81">
        <f t="shared" si="25"/>
        <v>0</v>
      </c>
      <c r="O77" s="81">
        <f t="shared" si="29"/>
        <v>0</v>
      </c>
      <c r="P77" s="81">
        <f t="shared" si="31"/>
        <v>0</v>
      </c>
      <c r="Q77" s="81">
        <f t="shared" si="32"/>
        <v>0</v>
      </c>
      <c r="R77" s="81">
        <f t="shared" si="30"/>
        <v>0</v>
      </c>
      <c r="S77" s="81"/>
      <c r="T77" s="81"/>
      <c r="U77" s="81">
        <f t="shared" si="26"/>
        <v>0</v>
      </c>
      <c r="V77" s="81">
        <f t="shared" si="27"/>
        <v>0</v>
      </c>
      <c r="W77" s="87">
        <v>184566.44948067787</v>
      </c>
    </row>
    <row r="78" spans="1:23">
      <c r="A78" s="6">
        <f t="shared" si="28"/>
        <v>2015</v>
      </c>
      <c r="B78" s="95">
        <f>'Exhibit U,5'!W68</f>
        <v>0</v>
      </c>
      <c r="C78" s="95">
        <f>'Exhibit U,5'!X68</f>
        <v>0</v>
      </c>
      <c r="D78" s="95">
        <f>'Exhibit U,5'!Y68</f>
        <v>0</v>
      </c>
      <c r="E78" s="95">
        <f>'Exhibit U,5'!Z68</f>
        <v>0</v>
      </c>
      <c r="F78" s="95">
        <f>'Exhibit U,5'!AA68</f>
        <v>0</v>
      </c>
      <c r="G78" s="81">
        <f t="shared" si="18"/>
        <v>0</v>
      </c>
      <c r="H78" s="81">
        <f t="shared" si="19"/>
        <v>0</v>
      </c>
      <c r="I78" s="81">
        <f t="shared" si="20"/>
        <v>0</v>
      </c>
      <c r="J78" s="81">
        <f t="shared" si="21"/>
        <v>0</v>
      </c>
      <c r="K78" s="81">
        <f t="shared" si="22"/>
        <v>0</v>
      </c>
      <c r="L78" s="81">
        <f t="shared" si="23"/>
        <v>0</v>
      </c>
      <c r="M78" s="81">
        <f t="shared" si="24"/>
        <v>0</v>
      </c>
      <c r="N78" s="81">
        <f t="shared" si="25"/>
        <v>0</v>
      </c>
      <c r="O78" s="81">
        <f t="shared" si="29"/>
        <v>0</v>
      </c>
      <c r="P78" s="81">
        <f t="shared" si="31"/>
        <v>0</v>
      </c>
      <c r="Q78" s="81">
        <f t="shared" si="32"/>
        <v>0</v>
      </c>
      <c r="R78" s="81">
        <f t="shared" si="30"/>
        <v>0</v>
      </c>
      <c r="S78" s="81"/>
      <c r="T78" s="81"/>
      <c r="U78" s="81">
        <f t="shared" si="26"/>
        <v>0</v>
      </c>
      <c r="V78" s="81">
        <f t="shared" si="27"/>
        <v>0</v>
      </c>
      <c r="W78" s="87">
        <v>282850.0667215694</v>
      </c>
    </row>
    <row r="79" spans="1:23">
      <c r="A79" s="6">
        <f t="shared" si="28"/>
        <v>2016</v>
      </c>
      <c r="B79" s="95">
        <f>'Exhibit U,5'!W69</f>
        <v>0</v>
      </c>
      <c r="C79" s="95">
        <f>'Exhibit U,5'!X69</f>
        <v>0</v>
      </c>
      <c r="D79" s="95">
        <f>'Exhibit U,5'!Y69</f>
        <v>0</v>
      </c>
      <c r="E79" s="95">
        <f>'Exhibit U,5'!Z69</f>
        <v>0</v>
      </c>
      <c r="F79" s="95">
        <f>'Exhibit U,5'!AA69</f>
        <v>0</v>
      </c>
      <c r="G79" s="81">
        <f t="shared" si="18"/>
        <v>0</v>
      </c>
      <c r="H79" s="81">
        <f t="shared" si="19"/>
        <v>0</v>
      </c>
      <c r="I79" s="81">
        <f t="shared" si="20"/>
        <v>0</v>
      </c>
      <c r="J79" s="81">
        <f t="shared" si="21"/>
        <v>0</v>
      </c>
      <c r="K79" s="81">
        <f t="shared" si="22"/>
        <v>0</v>
      </c>
      <c r="L79" s="81">
        <f t="shared" si="23"/>
        <v>0</v>
      </c>
      <c r="M79" s="81">
        <f t="shared" si="24"/>
        <v>0</v>
      </c>
      <c r="N79" s="81">
        <f t="shared" si="25"/>
        <v>0</v>
      </c>
      <c r="O79" s="81">
        <f t="shared" si="29"/>
        <v>0</v>
      </c>
      <c r="P79" s="81">
        <f t="shared" si="31"/>
        <v>0</v>
      </c>
      <c r="Q79" s="81">
        <f t="shared" si="32"/>
        <v>0</v>
      </c>
      <c r="R79" s="81">
        <f t="shared" si="30"/>
        <v>0</v>
      </c>
      <c r="S79" s="81"/>
      <c r="T79" s="81"/>
      <c r="U79" s="81">
        <f t="shared" si="26"/>
        <v>0</v>
      </c>
      <c r="V79" s="81">
        <f t="shared" si="27"/>
        <v>0</v>
      </c>
      <c r="W79" s="87">
        <v>396132.4206622151</v>
      </c>
    </row>
    <row r="80" spans="1:23">
      <c r="A80" s="6">
        <f t="shared" si="28"/>
        <v>2017</v>
      </c>
      <c r="B80" s="95">
        <f>'Exhibit U,5'!W70</f>
        <v>0</v>
      </c>
      <c r="C80" s="95">
        <f>'Exhibit U,5'!X70</f>
        <v>0</v>
      </c>
      <c r="D80" s="95">
        <f>'Exhibit U,5'!Y70</f>
        <v>0</v>
      </c>
      <c r="E80" s="95">
        <f>'Exhibit U,5'!Z70</f>
        <v>0</v>
      </c>
      <c r="F80" s="95">
        <f>'Exhibit U,5'!AA70</f>
        <v>0</v>
      </c>
      <c r="G80" s="81">
        <f t="shared" si="18"/>
        <v>0</v>
      </c>
      <c r="H80" s="81">
        <f t="shared" si="19"/>
        <v>0</v>
      </c>
      <c r="I80" s="81">
        <f t="shared" si="20"/>
        <v>0</v>
      </c>
      <c r="J80" s="81">
        <f t="shared" si="21"/>
        <v>0</v>
      </c>
      <c r="K80" s="81">
        <f t="shared" si="22"/>
        <v>0</v>
      </c>
      <c r="L80" s="81">
        <f t="shared" si="23"/>
        <v>0</v>
      </c>
      <c r="M80" s="81">
        <f t="shared" si="24"/>
        <v>39936.426009331743</v>
      </c>
      <c r="N80" s="81">
        <f t="shared" si="25"/>
        <v>2101.9171583858815</v>
      </c>
      <c r="O80" s="81">
        <f t="shared" si="29"/>
        <v>42038.343167717627</v>
      </c>
      <c r="P80" s="81">
        <f t="shared" si="31"/>
        <v>39936.426009331743</v>
      </c>
      <c r="Q80" s="81">
        <f t="shared" si="32"/>
        <v>2101.9171583858815</v>
      </c>
      <c r="R80" s="81">
        <f t="shared" si="30"/>
        <v>42038.343167717627</v>
      </c>
      <c r="S80" s="81"/>
      <c r="T80" s="81"/>
      <c r="U80" s="81">
        <f t="shared" si="26"/>
        <v>0</v>
      </c>
      <c r="V80" s="81">
        <f t="shared" si="27"/>
        <v>42038.343167717627</v>
      </c>
      <c r="W80" s="87">
        <v>368332.07723790873</v>
      </c>
    </row>
    <row r="81" spans="1:23">
      <c r="A81" s="6">
        <f t="shared" si="28"/>
        <v>2018</v>
      </c>
      <c r="B81" s="95">
        <f>'Exhibit U,5'!W71</f>
        <v>0</v>
      </c>
      <c r="C81" s="95">
        <f>'Exhibit U,5'!X71</f>
        <v>0</v>
      </c>
      <c r="D81" s="95">
        <f>'Exhibit U,5'!Y71</f>
        <v>0</v>
      </c>
      <c r="E81" s="95">
        <f>'Exhibit U,5'!Z71</f>
        <v>0</v>
      </c>
      <c r="F81" s="95">
        <f>'Exhibit U,5'!AA71</f>
        <v>0</v>
      </c>
      <c r="G81" s="81">
        <f t="shared" si="18"/>
        <v>0</v>
      </c>
      <c r="H81" s="81">
        <f t="shared" si="19"/>
        <v>0</v>
      </c>
      <c r="I81" s="81">
        <f t="shared" si="20"/>
        <v>0</v>
      </c>
      <c r="J81" s="81">
        <f t="shared" si="21"/>
        <v>0</v>
      </c>
      <c r="K81" s="81">
        <f t="shared" si="22"/>
        <v>0</v>
      </c>
      <c r="L81" s="81">
        <f t="shared" si="23"/>
        <v>0</v>
      </c>
      <c r="M81" s="81">
        <f t="shared" si="24"/>
        <v>215851.12563779051</v>
      </c>
      <c r="N81" s="81">
        <f t="shared" si="25"/>
        <v>11360.585559883712</v>
      </c>
      <c r="O81" s="81">
        <f t="shared" si="29"/>
        <v>227211.71119767422</v>
      </c>
      <c r="P81" s="81">
        <f t="shared" si="31"/>
        <v>215851.12563779051</v>
      </c>
      <c r="Q81" s="81">
        <f t="shared" si="32"/>
        <v>11360.585559883712</v>
      </c>
      <c r="R81" s="81">
        <f t="shared" si="30"/>
        <v>227211.71119767422</v>
      </c>
      <c r="S81" s="81"/>
      <c r="T81" s="81"/>
      <c r="U81" s="81">
        <f t="shared" si="26"/>
        <v>0</v>
      </c>
      <c r="V81" s="81">
        <f t="shared" si="27"/>
        <v>227211.71119767422</v>
      </c>
      <c r="W81" s="87">
        <v>209065.07089799026</v>
      </c>
    </row>
    <row r="82" spans="1:23">
      <c r="A82" s="6">
        <f t="shared" si="28"/>
        <v>2019</v>
      </c>
      <c r="B82" s="95">
        <f>'Exhibit U,5'!W72</f>
        <v>0</v>
      </c>
      <c r="C82" s="95">
        <f>'Exhibit U,5'!X72</f>
        <v>0</v>
      </c>
      <c r="D82" s="95">
        <f>'Exhibit U,5'!Y72</f>
        <v>0</v>
      </c>
      <c r="E82" s="95">
        <f>'Exhibit U,5'!Z72</f>
        <v>0</v>
      </c>
      <c r="F82" s="95">
        <f>'Exhibit U,5'!AA72</f>
        <v>0</v>
      </c>
      <c r="G82" s="81">
        <f t="shared" si="18"/>
        <v>0</v>
      </c>
      <c r="H82" s="81">
        <f t="shared" si="19"/>
        <v>0</v>
      </c>
      <c r="I82" s="81">
        <f t="shared" si="20"/>
        <v>0</v>
      </c>
      <c r="J82" s="81">
        <f t="shared" si="21"/>
        <v>0</v>
      </c>
      <c r="K82" s="81">
        <f t="shared" si="22"/>
        <v>0</v>
      </c>
      <c r="L82" s="81">
        <f t="shared" si="23"/>
        <v>0</v>
      </c>
      <c r="M82" s="81">
        <f t="shared" si="24"/>
        <v>507351.03469467448</v>
      </c>
      <c r="N82" s="81">
        <f t="shared" si="25"/>
        <v>26702.686036561816</v>
      </c>
      <c r="O82" s="81">
        <f t="shared" si="29"/>
        <v>534053.72073123627</v>
      </c>
      <c r="P82" s="81">
        <f t="shared" si="31"/>
        <v>507351.03469467448</v>
      </c>
      <c r="Q82" s="81">
        <f t="shared" si="32"/>
        <v>26702.686036561816</v>
      </c>
      <c r="R82" s="81">
        <f t="shared" si="30"/>
        <v>534053.72073123627</v>
      </c>
      <c r="S82" s="81"/>
      <c r="T82" s="81"/>
      <c r="U82" s="81">
        <f t="shared" si="26"/>
        <v>0</v>
      </c>
      <c r="V82" s="81">
        <f t="shared" si="27"/>
        <v>534053.72073123627</v>
      </c>
      <c r="W82" s="87">
        <v>534993.18382134556</v>
      </c>
    </row>
    <row r="83" spans="1:23">
      <c r="A83" s="6">
        <f t="shared" si="28"/>
        <v>2020</v>
      </c>
      <c r="B83" s="95">
        <f>'Exhibit U,5'!W73</f>
        <v>0</v>
      </c>
      <c r="C83" s="95">
        <f>'Exhibit U,5'!X73</f>
        <v>0</v>
      </c>
      <c r="D83" s="95">
        <f>'Exhibit U,5'!Y73</f>
        <v>0</v>
      </c>
      <c r="E83" s="95">
        <f>'Exhibit U,5'!Z73</f>
        <v>0</v>
      </c>
      <c r="F83" s="95">
        <f>'Exhibit U,5'!AA73</f>
        <v>0</v>
      </c>
      <c r="G83" s="81">
        <f t="shared" si="18"/>
        <v>0</v>
      </c>
      <c r="H83" s="81">
        <f t="shared" si="19"/>
        <v>0</v>
      </c>
      <c r="I83" s="81">
        <f t="shared" si="20"/>
        <v>0</v>
      </c>
      <c r="J83" s="81">
        <f t="shared" si="21"/>
        <v>0</v>
      </c>
      <c r="K83" s="81">
        <f t="shared" si="22"/>
        <v>0</v>
      </c>
      <c r="L83" s="81">
        <f t="shared" si="23"/>
        <v>0</v>
      </c>
      <c r="M83" s="81">
        <f t="shared" si="24"/>
        <v>214757.67289371623</v>
      </c>
      <c r="N83" s="81">
        <f t="shared" si="25"/>
        <v>11303.035415458749</v>
      </c>
      <c r="O83" s="81">
        <f>O43-O123</f>
        <v>226060.70830917498</v>
      </c>
      <c r="P83" s="81">
        <f t="shared" si="31"/>
        <v>214757.67289371623</v>
      </c>
      <c r="Q83" s="81">
        <f t="shared" si="32"/>
        <v>11303.035415458749</v>
      </c>
      <c r="R83" s="81">
        <f t="shared" si="30"/>
        <v>226060.70830917498</v>
      </c>
      <c r="S83" s="81"/>
      <c r="T83" s="81"/>
      <c r="U83" s="81">
        <f t="shared" si="26"/>
        <v>0</v>
      </c>
      <c r="V83" s="81">
        <f t="shared" si="27"/>
        <v>226060.70830917498</v>
      </c>
      <c r="W83" s="87">
        <v>215077.23</v>
      </c>
    </row>
    <row r="84" spans="1:23">
      <c r="A84" s="6"/>
      <c r="B84" s="6"/>
      <c r="C84" s="6"/>
      <c r="D84" s="6"/>
      <c r="E84" s="6"/>
      <c r="F84" s="6"/>
      <c r="G84" s="81"/>
      <c r="H84" s="81"/>
      <c r="I84" s="81"/>
      <c r="J84" s="81"/>
      <c r="K84" s="81"/>
      <c r="L84" s="81"/>
      <c r="M84" s="81">
        <f t="shared" si="24"/>
        <v>0</v>
      </c>
      <c r="N84" s="81">
        <f t="shared" si="25"/>
        <v>0</v>
      </c>
      <c r="O84" s="81">
        <f>'Exhibit U,4'!K51-('Exhibit U,5'!W51+'Exhibit U,5'!X51)</f>
        <v>0</v>
      </c>
      <c r="P84" s="81">
        <f t="shared" si="31"/>
        <v>0</v>
      </c>
      <c r="Q84" s="81">
        <f t="shared" si="32"/>
        <v>0</v>
      </c>
      <c r="R84" s="81"/>
      <c r="S84" s="81"/>
      <c r="T84" s="81"/>
      <c r="U84" s="81">
        <f t="shared" si="26"/>
        <v>0</v>
      </c>
      <c r="V84" s="81">
        <f t="shared" si="27"/>
        <v>0</v>
      </c>
      <c r="W84" s="87"/>
    </row>
    <row r="85" spans="1:23">
      <c r="A85" s="6" t="s">
        <v>0</v>
      </c>
      <c r="B85" s="82">
        <f>SUM(B55:B83)</f>
        <v>0</v>
      </c>
      <c r="C85" s="82">
        <f>SUM(C55:C83)</f>
        <v>0</v>
      </c>
      <c r="D85" s="82">
        <f t="shared" ref="D85:Q85" si="33">SUM(D55:D83)</f>
        <v>0</v>
      </c>
      <c r="E85" s="82">
        <f t="shared" si="33"/>
        <v>0</v>
      </c>
      <c r="F85" s="82">
        <f t="shared" si="33"/>
        <v>0</v>
      </c>
      <c r="G85" s="82">
        <f>SUM(G55:G83)</f>
        <v>0</v>
      </c>
      <c r="H85" s="82">
        <f t="shared" si="33"/>
        <v>0</v>
      </c>
      <c r="I85" s="82">
        <f t="shared" si="33"/>
        <v>0</v>
      </c>
      <c r="J85" s="82">
        <f t="shared" si="33"/>
        <v>0</v>
      </c>
      <c r="K85" s="82">
        <f t="shared" si="33"/>
        <v>0</v>
      </c>
      <c r="L85" s="82">
        <f t="shared" si="33"/>
        <v>0</v>
      </c>
      <c r="M85" s="82">
        <f t="shared" si="33"/>
        <v>977896.25923551293</v>
      </c>
      <c r="N85" s="82">
        <f t="shared" si="33"/>
        <v>51468.224170290159</v>
      </c>
      <c r="O85" s="82">
        <f t="shared" si="33"/>
        <v>1029364.4834058031</v>
      </c>
      <c r="P85" s="82">
        <f t="shared" si="33"/>
        <v>977896.25923551293</v>
      </c>
      <c r="Q85" s="82">
        <f t="shared" si="33"/>
        <v>51468.224170290159</v>
      </c>
      <c r="R85" s="82">
        <f>SUM(R55:R83)</f>
        <v>1029364.4834058031</v>
      </c>
      <c r="S85" s="82">
        <f>SUM(S55:S83)</f>
        <v>0</v>
      </c>
      <c r="T85" s="82">
        <f>SUM(T55:T83)</f>
        <v>0</v>
      </c>
      <c r="U85" s="82">
        <f>SUM(U55:U83)</f>
        <v>0</v>
      </c>
      <c r="V85" s="82">
        <f>SUM(V55:V83)</f>
        <v>1029364.4834058031</v>
      </c>
      <c r="W85" s="90">
        <v>2992814.1817979855</v>
      </c>
    </row>
    <row r="86" spans="1:23">
      <c r="A86" s="6"/>
      <c r="B86" s="6"/>
      <c r="C86" s="6"/>
      <c r="D86" s="6"/>
      <c r="E86" s="6"/>
      <c r="F86" s="6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7"/>
    </row>
    <row r="87" spans="1:23">
      <c r="A87" s="6"/>
      <c r="B87" s="6"/>
      <c r="C87" s="6"/>
      <c r="D87" s="6"/>
      <c r="E87" s="6"/>
      <c r="F87" s="6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7"/>
    </row>
    <row r="88" spans="1:23">
      <c r="A88" s="6"/>
      <c r="B88" s="6"/>
      <c r="C88" s="6"/>
      <c r="D88" s="6"/>
      <c r="E88" s="6"/>
      <c r="F88" s="6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7"/>
    </row>
    <row r="89" spans="1:23">
      <c r="A89" s="6" t="s">
        <v>17</v>
      </c>
      <c r="B89" s="6"/>
      <c r="C89" s="6"/>
      <c r="D89" s="6"/>
      <c r="E89" s="6"/>
      <c r="F89" s="6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7"/>
    </row>
    <row r="90" spans="1:23">
      <c r="A90" s="6"/>
      <c r="B90" s="27"/>
      <c r="C90" s="27"/>
      <c r="D90" s="27"/>
      <c r="E90" s="27"/>
      <c r="F90" s="27"/>
      <c r="G90" s="17"/>
      <c r="H90" s="81"/>
      <c r="I90" s="81"/>
      <c r="J90" s="81"/>
      <c r="K90" s="81"/>
      <c r="L90" s="81"/>
      <c r="M90" s="17"/>
      <c r="N90" s="81"/>
      <c r="O90" s="81"/>
      <c r="P90" s="81"/>
      <c r="Q90" s="81"/>
      <c r="R90" s="81" t="s">
        <v>67</v>
      </c>
      <c r="S90" s="6"/>
      <c r="T90" s="6"/>
      <c r="U90" s="6"/>
      <c r="V90" s="6" t="s">
        <v>67</v>
      </c>
      <c r="W90" s="87"/>
    </row>
    <row r="91" spans="1:23">
      <c r="A91" s="6" t="s">
        <v>3</v>
      </c>
      <c r="B91" s="27"/>
      <c r="C91" s="27"/>
      <c r="D91" s="27"/>
      <c r="E91" s="27"/>
      <c r="F91" s="27"/>
      <c r="G91" s="81" t="s">
        <v>14</v>
      </c>
      <c r="H91" s="81" t="s">
        <v>12</v>
      </c>
      <c r="I91" s="81" t="s">
        <v>14</v>
      </c>
      <c r="J91" s="81" t="s">
        <v>12</v>
      </c>
      <c r="K91" s="81" t="s">
        <v>14</v>
      </c>
      <c r="L91" s="81" t="s">
        <v>12</v>
      </c>
      <c r="M91" s="81" t="s">
        <v>381</v>
      </c>
      <c r="N91" s="81" t="s">
        <v>381</v>
      </c>
      <c r="O91" s="81" t="s">
        <v>381</v>
      </c>
      <c r="P91" s="81" t="s">
        <v>660</v>
      </c>
      <c r="Q91" s="81" t="s">
        <v>67</v>
      </c>
      <c r="R91" s="81" t="s">
        <v>662</v>
      </c>
      <c r="S91" s="6" t="s">
        <v>661</v>
      </c>
      <c r="T91" s="6" t="s">
        <v>661</v>
      </c>
      <c r="U91" s="6" t="s">
        <v>67</v>
      </c>
      <c r="V91" s="6" t="s">
        <v>663</v>
      </c>
      <c r="W91" s="6" t="s">
        <v>177</v>
      </c>
    </row>
    <row r="92" spans="1:23">
      <c r="A92" s="6" t="s">
        <v>4</v>
      </c>
      <c r="B92" s="28"/>
      <c r="C92" s="28"/>
      <c r="D92" s="28"/>
      <c r="E92" s="28"/>
      <c r="F92" s="28"/>
      <c r="G92" s="81" t="s">
        <v>0</v>
      </c>
      <c r="H92" s="81" t="s">
        <v>0</v>
      </c>
      <c r="I92" s="81" t="s">
        <v>566</v>
      </c>
      <c r="J92" s="81" t="s">
        <v>566</v>
      </c>
      <c r="K92" s="81" t="s">
        <v>567</v>
      </c>
      <c r="L92" s="81" t="s">
        <v>567</v>
      </c>
      <c r="M92" s="81" t="s">
        <v>566</v>
      </c>
      <c r="N92" s="81" t="s">
        <v>567</v>
      </c>
      <c r="O92" s="81" t="s">
        <v>0</v>
      </c>
      <c r="P92" s="81" t="s">
        <v>566</v>
      </c>
      <c r="Q92" s="81" t="s">
        <v>567</v>
      </c>
      <c r="R92" s="81" t="s">
        <v>0</v>
      </c>
      <c r="S92" s="6" t="s">
        <v>117</v>
      </c>
      <c r="T92" s="6" t="s">
        <v>14</v>
      </c>
      <c r="U92" s="6" t="s">
        <v>661</v>
      </c>
      <c r="V92" s="6" t="s">
        <v>0</v>
      </c>
      <c r="W92" s="6" t="s">
        <v>16</v>
      </c>
    </row>
    <row r="93" spans="1:23">
      <c r="A93" s="10">
        <v>-1</v>
      </c>
      <c r="B93" s="10">
        <f>A93-1</f>
        <v>-2</v>
      </c>
      <c r="C93" s="10">
        <f>B93-1</f>
        <v>-3</v>
      </c>
      <c r="D93" s="10">
        <f t="shared" ref="D93:L93" si="34">C93-1</f>
        <v>-4</v>
      </c>
      <c r="E93" s="10">
        <f t="shared" si="34"/>
        <v>-5</v>
      </c>
      <c r="F93" s="10">
        <f t="shared" si="34"/>
        <v>-6</v>
      </c>
      <c r="G93" s="10">
        <f t="shared" si="34"/>
        <v>-7</v>
      </c>
      <c r="H93" s="10">
        <f t="shared" si="34"/>
        <v>-8</v>
      </c>
      <c r="I93" s="10">
        <f t="shared" si="34"/>
        <v>-9</v>
      </c>
      <c r="J93" s="10">
        <f t="shared" si="34"/>
        <v>-10</v>
      </c>
      <c r="K93" s="10">
        <f t="shared" si="34"/>
        <v>-11</v>
      </c>
      <c r="L93" s="10">
        <f t="shared" si="34"/>
        <v>-12</v>
      </c>
      <c r="M93" s="10">
        <f>L93-1</f>
        <v>-13</v>
      </c>
      <c r="N93" s="10">
        <f t="shared" ref="N93:V93" si="35">M93-1</f>
        <v>-14</v>
      </c>
      <c r="O93" s="10">
        <f t="shared" si="35"/>
        <v>-15</v>
      </c>
      <c r="P93" s="10">
        <f t="shared" si="35"/>
        <v>-16</v>
      </c>
      <c r="Q93" s="10">
        <f t="shared" si="35"/>
        <v>-17</v>
      </c>
      <c r="R93" s="10">
        <f t="shared" si="35"/>
        <v>-18</v>
      </c>
      <c r="S93" s="10">
        <f t="shared" si="35"/>
        <v>-19</v>
      </c>
      <c r="T93" s="10">
        <f t="shared" si="35"/>
        <v>-20</v>
      </c>
      <c r="U93" s="10">
        <f t="shared" si="35"/>
        <v>-21</v>
      </c>
      <c r="V93" s="10">
        <f t="shared" si="35"/>
        <v>-22</v>
      </c>
      <c r="W93" s="10">
        <v>-23</v>
      </c>
    </row>
    <row r="94" spans="1:23">
      <c r="A94" s="80"/>
      <c r="B94" s="80"/>
      <c r="C94" s="6"/>
      <c r="D94" s="6"/>
      <c r="E94" s="6"/>
      <c r="F94" s="6"/>
      <c r="G94" s="17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6"/>
      <c r="T94" s="6"/>
      <c r="U94" s="6"/>
      <c r="V94" s="6"/>
      <c r="W94" s="87"/>
    </row>
    <row r="95" spans="1:23">
      <c r="A95" s="6">
        <v>1992</v>
      </c>
      <c r="B95" s="6"/>
      <c r="C95" s="6"/>
      <c r="D95" s="6"/>
      <c r="E95" s="6"/>
      <c r="F95" s="6"/>
      <c r="G95" s="81">
        <f t="shared" ref="G95:N95" si="36">G15-G55</f>
        <v>0</v>
      </c>
      <c r="H95" s="81">
        <f t="shared" si="36"/>
        <v>0</v>
      </c>
      <c r="I95" s="81">
        <f t="shared" si="36"/>
        <v>0</v>
      </c>
      <c r="J95" s="81">
        <f t="shared" si="36"/>
        <v>0</v>
      </c>
      <c r="K95" s="81">
        <f t="shared" si="36"/>
        <v>0</v>
      </c>
      <c r="L95" s="81">
        <f t="shared" si="36"/>
        <v>0</v>
      </c>
      <c r="M95" s="81">
        <f t="shared" si="36"/>
        <v>0</v>
      </c>
      <c r="N95" s="81">
        <f t="shared" si="36"/>
        <v>0</v>
      </c>
      <c r="O95" s="81"/>
      <c r="P95" s="81">
        <f>P15-P55</f>
        <v>0</v>
      </c>
      <c r="Q95" s="81">
        <f>Q15-Q55</f>
        <v>0</v>
      </c>
      <c r="R95" s="81">
        <f>R15-R55</f>
        <v>0</v>
      </c>
      <c r="S95" s="81">
        <f>S15-S55</f>
        <v>0</v>
      </c>
      <c r="T95" s="81">
        <f>T15-T55</f>
        <v>0</v>
      </c>
      <c r="U95" s="81">
        <f>S95+T95</f>
        <v>0</v>
      </c>
      <c r="V95" s="81">
        <f>R95+U95</f>
        <v>0</v>
      </c>
      <c r="W95" s="87">
        <v>0</v>
      </c>
    </row>
    <row r="96" spans="1:23">
      <c r="A96" s="6">
        <f>A95+1</f>
        <v>1993</v>
      </c>
      <c r="B96" s="6"/>
      <c r="C96" s="6"/>
      <c r="D96" s="6"/>
      <c r="E96" s="6"/>
      <c r="F96" s="6"/>
      <c r="G96" s="81">
        <f t="shared" ref="G96:T111" si="37">G16-G56</f>
        <v>0</v>
      </c>
      <c r="H96" s="81">
        <f t="shared" si="37"/>
        <v>0</v>
      </c>
      <c r="I96" s="81">
        <f t="shared" si="37"/>
        <v>0</v>
      </c>
      <c r="J96" s="81">
        <f t="shared" si="37"/>
        <v>0</v>
      </c>
      <c r="K96" s="81">
        <f t="shared" si="37"/>
        <v>0</v>
      </c>
      <c r="L96" s="81">
        <f t="shared" si="37"/>
        <v>0</v>
      </c>
      <c r="M96" s="81">
        <f t="shared" si="37"/>
        <v>0</v>
      </c>
      <c r="N96" s="81">
        <f t="shared" si="37"/>
        <v>0</v>
      </c>
      <c r="O96" s="81"/>
      <c r="P96" s="81">
        <f t="shared" si="37"/>
        <v>0</v>
      </c>
      <c r="Q96" s="81">
        <f t="shared" si="37"/>
        <v>0</v>
      </c>
      <c r="R96" s="81">
        <f t="shared" si="37"/>
        <v>0</v>
      </c>
      <c r="S96" s="81">
        <f t="shared" ref="S96:T110" si="38">S16-S56</f>
        <v>0</v>
      </c>
      <c r="T96" s="81">
        <f t="shared" si="38"/>
        <v>0</v>
      </c>
      <c r="U96" s="81">
        <f t="shared" ref="U96:U124" si="39">S96+T96</f>
        <v>0</v>
      </c>
      <c r="V96" s="81">
        <f t="shared" ref="V96:V124" si="40">R96+U96</f>
        <v>0</v>
      </c>
      <c r="W96" s="87">
        <v>0</v>
      </c>
    </row>
    <row r="97" spans="1:23">
      <c r="A97" s="6">
        <f t="shared" ref="A97:A123" si="41">A96+1</f>
        <v>1994</v>
      </c>
      <c r="B97" s="6"/>
      <c r="C97" s="6"/>
      <c r="D97" s="6"/>
      <c r="E97" s="6"/>
      <c r="F97" s="6"/>
      <c r="G97" s="81">
        <f t="shared" si="37"/>
        <v>0</v>
      </c>
      <c r="H97" s="81">
        <f t="shared" si="37"/>
        <v>0</v>
      </c>
      <c r="I97" s="81">
        <f t="shared" si="37"/>
        <v>0</v>
      </c>
      <c r="J97" s="81">
        <f t="shared" si="37"/>
        <v>0</v>
      </c>
      <c r="K97" s="81">
        <f t="shared" si="37"/>
        <v>0</v>
      </c>
      <c r="L97" s="81">
        <f t="shared" si="37"/>
        <v>0</v>
      </c>
      <c r="M97" s="81">
        <f t="shared" si="37"/>
        <v>0</v>
      </c>
      <c r="N97" s="81">
        <f t="shared" si="37"/>
        <v>0</v>
      </c>
      <c r="O97" s="81"/>
      <c r="P97" s="81">
        <f t="shared" si="37"/>
        <v>0</v>
      </c>
      <c r="Q97" s="81">
        <f t="shared" si="37"/>
        <v>0</v>
      </c>
      <c r="R97" s="81">
        <f t="shared" si="37"/>
        <v>0</v>
      </c>
      <c r="S97" s="81">
        <f t="shared" si="38"/>
        <v>0</v>
      </c>
      <c r="T97" s="81">
        <f t="shared" si="38"/>
        <v>0</v>
      </c>
      <c r="U97" s="81">
        <f t="shared" si="39"/>
        <v>0</v>
      </c>
      <c r="V97" s="81">
        <f t="shared" si="40"/>
        <v>0</v>
      </c>
      <c r="W97" s="87">
        <v>0</v>
      </c>
    </row>
    <row r="98" spans="1:23">
      <c r="A98" s="6">
        <f t="shared" si="41"/>
        <v>1995</v>
      </c>
      <c r="B98" s="6"/>
      <c r="C98" s="6"/>
      <c r="D98" s="6"/>
      <c r="E98" s="6"/>
      <c r="F98" s="6"/>
      <c r="G98" s="81">
        <f t="shared" si="37"/>
        <v>0</v>
      </c>
      <c r="H98" s="81">
        <f t="shared" si="37"/>
        <v>0</v>
      </c>
      <c r="I98" s="81">
        <f t="shared" si="37"/>
        <v>0</v>
      </c>
      <c r="J98" s="81">
        <f t="shared" si="37"/>
        <v>0</v>
      </c>
      <c r="K98" s="81">
        <f t="shared" si="37"/>
        <v>0</v>
      </c>
      <c r="L98" s="81">
        <f t="shared" si="37"/>
        <v>0</v>
      </c>
      <c r="M98" s="81">
        <f t="shared" si="37"/>
        <v>0</v>
      </c>
      <c r="N98" s="81">
        <f t="shared" si="37"/>
        <v>0</v>
      </c>
      <c r="O98" s="81"/>
      <c r="P98" s="81">
        <f t="shared" si="37"/>
        <v>0</v>
      </c>
      <c r="Q98" s="81">
        <f t="shared" si="37"/>
        <v>0</v>
      </c>
      <c r="R98" s="81">
        <f t="shared" si="37"/>
        <v>0</v>
      </c>
      <c r="S98" s="81">
        <f t="shared" si="38"/>
        <v>0</v>
      </c>
      <c r="T98" s="81">
        <f t="shared" si="38"/>
        <v>0</v>
      </c>
      <c r="U98" s="81">
        <f t="shared" si="39"/>
        <v>0</v>
      </c>
      <c r="V98" s="81">
        <f t="shared" si="40"/>
        <v>0</v>
      </c>
      <c r="W98" s="87">
        <v>0</v>
      </c>
    </row>
    <row r="99" spans="1:23">
      <c r="A99" s="6">
        <f t="shared" si="41"/>
        <v>1996</v>
      </c>
      <c r="B99" s="6"/>
      <c r="C99" s="6"/>
      <c r="D99" s="6"/>
      <c r="E99" s="6"/>
      <c r="F99" s="6"/>
      <c r="G99" s="81">
        <f t="shared" si="37"/>
        <v>0</v>
      </c>
      <c r="H99" s="81">
        <f t="shared" si="37"/>
        <v>0</v>
      </c>
      <c r="I99" s="81">
        <f t="shared" si="37"/>
        <v>0</v>
      </c>
      <c r="J99" s="81">
        <f t="shared" si="37"/>
        <v>0</v>
      </c>
      <c r="K99" s="81">
        <f t="shared" si="37"/>
        <v>0</v>
      </c>
      <c r="L99" s="81">
        <f t="shared" si="37"/>
        <v>0</v>
      </c>
      <c r="M99" s="81">
        <f t="shared" si="37"/>
        <v>0</v>
      </c>
      <c r="N99" s="81">
        <f t="shared" si="37"/>
        <v>0</v>
      </c>
      <c r="O99" s="81"/>
      <c r="P99" s="81">
        <f t="shared" si="37"/>
        <v>0</v>
      </c>
      <c r="Q99" s="81">
        <f t="shared" si="37"/>
        <v>0</v>
      </c>
      <c r="R99" s="81">
        <f t="shared" si="37"/>
        <v>0</v>
      </c>
      <c r="S99" s="81">
        <f t="shared" si="38"/>
        <v>0</v>
      </c>
      <c r="T99" s="81">
        <f t="shared" si="38"/>
        <v>0</v>
      </c>
      <c r="U99" s="81">
        <f t="shared" si="39"/>
        <v>0</v>
      </c>
      <c r="V99" s="81">
        <f t="shared" si="40"/>
        <v>0</v>
      </c>
      <c r="W99" s="87">
        <v>0</v>
      </c>
    </row>
    <row r="100" spans="1:23">
      <c r="A100" s="6">
        <f t="shared" si="41"/>
        <v>1997</v>
      </c>
      <c r="B100" s="6"/>
      <c r="C100" s="6"/>
      <c r="D100" s="6"/>
      <c r="E100" s="6"/>
      <c r="F100" s="6"/>
      <c r="G100" s="81">
        <f t="shared" si="37"/>
        <v>0</v>
      </c>
      <c r="H100" s="81">
        <f t="shared" si="37"/>
        <v>0</v>
      </c>
      <c r="I100" s="81">
        <f t="shared" si="37"/>
        <v>0</v>
      </c>
      <c r="J100" s="81">
        <f t="shared" si="37"/>
        <v>0</v>
      </c>
      <c r="K100" s="81">
        <f t="shared" si="37"/>
        <v>0</v>
      </c>
      <c r="L100" s="81">
        <f t="shared" si="37"/>
        <v>0</v>
      </c>
      <c r="M100" s="81">
        <f t="shared" si="37"/>
        <v>0</v>
      </c>
      <c r="N100" s="81">
        <f t="shared" si="37"/>
        <v>0</v>
      </c>
      <c r="O100" s="81"/>
      <c r="P100" s="81">
        <f t="shared" si="37"/>
        <v>0</v>
      </c>
      <c r="Q100" s="81">
        <f t="shared" si="37"/>
        <v>0</v>
      </c>
      <c r="R100" s="81">
        <f t="shared" si="37"/>
        <v>0</v>
      </c>
      <c r="S100" s="81">
        <f t="shared" si="38"/>
        <v>0</v>
      </c>
      <c r="T100" s="81">
        <f t="shared" si="38"/>
        <v>0</v>
      </c>
      <c r="U100" s="81">
        <f t="shared" si="39"/>
        <v>0</v>
      </c>
      <c r="V100" s="81">
        <f t="shared" si="40"/>
        <v>0</v>
      </c>
      <c r="W100" s="87">
        <v>0</v>
      </c>
    </row>
    <row r="101" spans="1:23">
      <c r="A101" s="6">
        <f t="shared" si="41"/>
        <v>1998</v>
      </c>
      <c r="B101" s="6"/>
      <c r="C101" s="6"/>
      <c r="D101" s="6"/>
      <c r="E101" s="6"/>
      <c r="F101" s="6"/>
      <c r="G101" s="81">
        <f t="shared" si="37"/>
        <v>0</v>
      </c>
      <c r="H101" s="81">
        <f t="shared" si="37"/>
        <v>0</v>
      </c>
      <c r="I101" s="81">
        <f t="shared" si="37"/>
        <v>0</v>
      </c>
      <c r="J101" s="81">
        <f t="shared" si="37"/>
        <v>0</v>
      </c>
      <c r="K101" s="81">
        <f t="shared" si="37"/>
        <v>0</v>
      </c>
      <c r="L101" s="81">
        <f t="shared" si="37"/>
        <v>0</v>
      </c>
      <c r="M101" s="81">
        <f t="shared" si="37"/>
        <v>0</v>
      </c>
      <c r="N101" s="81">
        <f t="shared" si="37"/>
        <v>0</v>
      </c>
      <c r="O101" s="81"/>
      <c r="P101" s="81">
        <f t="shared" si="37"/>
        <v>0</v>
      </c>
      <c r="Q101" s="81">
        <f t="shared" si="37"/>
        <v>0</v>
      </c>
      <c r="R101" s="81">
        <f t="shared" si="37"/>
        <v>0</v>
      </c>
      <c r="S101" s="81">
        <f t="shared" si="38"/>
        <v>0</v>
      </c>
      <c r="T101" s="81">
        <f t="shared" si="38"/>
        <v>0</v>
      </c>
      <c r="U101" s="81">
        <f t="shared" si="39"/>
        <v>0</v>
      </c>
      <c r="V101" s="81">
        <f t="shared" si="40"/>
        <v>0</v>
      </c>
      <c r="W101" s="87">
        <v>0</v>
      </c>
    </row>
    <row r="102" spans="1:23">
      <c r="A102" s="6">
        <f t="shared" si="41"/>
        <v>1999</v>
      </c>
      <c r="B102" s="6"/>
      <c r="C102" s="6"/>
      <c r="D102" s="6"/>
      <c r="E102" s="6"/>
      <c r="F102" s="6"/>
      <c r="G102" s="81">
        <f t="shared" si="37"/>
        <v>0</v>
      </c>
      <c r="H102" s="81">
        <f t="shared" si="37"/>
        <v>0</v>
      </c>
      <c r="I102" s="81">
        <f t="shared" si="37"/>
        <v>0</v>
      </c>
      <c r="J102" s="81">
        <f t="shared" si="37"/>
        <v>0</v>
      </c>
      <c r="K102" s="81">
        <f t="shared" si="37"/>
        <v>0</v>
      </c>
      <c r="L102" s="81">
        <f t="shared" si="37"/>
        <v>0</v>
      </c>
      <c r="M102" s="81">
        <f t="shared" si="37"/>
        <v>0</v>
      </c>
      <c r="N102" s="81">
        <f t="shared" si="37"/>
        <v>0</v>
      </c>
      <c r="O102" s="81"/>
      <c r="P102" s="81">
        <f t="shared" si="37"/>
        <v>0</v>
      </c>
      <c r="Q102" s="81">
        <f t="shared" si="37"/>
        <v>0</v>
      </c>
      <c r="R102" s="81">
        <f t="shared" si="37"/>
        <v>0</v>
      </c>
      <c r="S102" s="81">
        <f t="shared" si="38"/>
        <v>0</v>
      </c>
      <c r="T102" s="81">
        <f t="shared" si="38"/>
        <v>0</v>
      </c>
      <c r="U102" s="81">
        <f t="shared" si="39"/>
        <v>0</v>
      </c>
      <c r="V102" s="81">
        <f t="shared" si="40"/>
        <v>0</v>
      </c>
      <c r="W102" s="87">
        <v>0</v>
      </c>
    </row>
    <row r="103" spans="1:23">
      <c r="A103" s="6">
        <f t="shared" si="41"/>
        <v>2000</v>
      </c>
      <c r="B103" s="6"/>
      <c r="C103" s="6"/>
      <c r="D103" s="6"/>
      <c r="E103" s="6"/>
      <c r="F103" s="6"/>
      <c r="G103" s="81">
        <f t="shared" si="37"/>
        <v>0</v>
      </c>
      <c r="H103" s="81">
        <f t="shared" si="37"/>
        <v>0</v>
      </c>
      <c r="I103" s="81">
        <f t="shared" si="37"/>
        <v>0</v>
      </c>
      <c r="J103" s="81">
        <f t="shared" si="37"/>
        <v>0</v>
      </c>
      <c r="K103" s="81">
        <f t="shared" si="37"/>
        <v>0</v>
      </c>
      <c r="L103" s="81">
        <f t="shared" si="37"/>
        <v>0</v>
      </c>
      <c r="M103" s="81">
        <f t="shared" si="37"/>
        <v>0</v>
      </c>
      <c r="N103" s="81">
        <f t="shared" si="37"/>
        <v>0</v>
      </c>
      <c r="O103" s="81"/>
      <c r="P103" s="81">
        <f t="shared" si="37"/>
        <v>0</v>
      </c>
      <c r="Q103" s="81">
        <f t="shared" si="37"/>
        <v>0</v>
      </c>
      <c r="R103" s="81">
        <f t="shared" si="37"/>
        <v>0</v>
      </c>
      <c r="S103" s="81">
        <f t="shared" si="38"/>
        <v>0</v>
      </c>
      <c r="T103" s="81">
        <f t="shared" si="38"/>
        <v>0</v>
      </c>
      <c r="U103" s="81">
        <f t="shared" si="39"/>
        <v>0</v>
      </c>
      <c r="V103" s="81">
        <f t="shared" si="40"/>
        <v>0</v>
      </c>
      <c r="W103" s="87">
        <v>0</v>
      </c>
    </row>
    <row r="104" spans="1:23">
      <c r="A104" s="6">
        <f t="shared" si="41"/>
        <v>2001</v>
      </c>
      <c r="B104" s="6"/>
      <c r="C104" s="6"/>
      <c r="D104" s="6"/>
      <c r="E104" s="6"/>
      <c r="F104" s="6"/>
      <c r="G104" s="81">
        <f t="shared" si="37"/>
        <v>0</v>
      </c>
      <c r="H104" s="81">
        <f t="shared" si="37"/>
        <v>0</v>
      </c>
      <c r="I104" s="81">
        <f t="shared" si="37"/>
        <v>0</v>
      </c>
      <c r="J104" s="81">
        <f t="shared" si="37"/>
        <v>0</v>
      </c>
      <c r="K104" s="81">
        <f t="shared" si="37"/>
        <v>0</v>
      </c>
      <c r="L104" s="81">
        <f t="shared" si="37"/>
        <v>0</v>
      </c>
      <c r="M104" s="81">
        <f t="shared" si="37"/>
        <v>0</v>
      </c>
      <c r="N104" s="81">
        <f t="shared" si="37"/>
        <v>0</v>
      </c>
      <c r="O104" s="81"/>
      <c r="P104" s="81">
        <f t="shared" si="37"/>
        <v>0</v>
      </c>
      <c r="Q104" s="81">
        <f t="shared" si="37"/>
        <v>0</v>
      </c>
      <c r="R104" s="81">
        <f t="shared" si="37"/>
        <v>0</v>
      </c>
      <c r="S104" s="81">
        <f t="shared" si="38"/>
        <v>0</v>
      </c>
      <c r="T104" s="81">
        <f t="shared" si="38"/>
        <v>0</v>
      </c>
      <c r="U104" s="81">
        <f t="shared" si="39"/>
        <v>0</v>
      </c>
      <c r="V104" s="81">
        <f t="shared" si="40"/>
        <v>0</v>
      </c>
      <c r="W104" s="87">
        <v>0</v>
      </c>
    </row>
    <row r="105" spans="1:23">
      <c r="A105" s="6">
        <f t="shared" si="41"/>
        <v>2002</v>
      </c>
      <c r="B105" s="6"/>
      <c r="C105" s="6"/>
      <c r="D105" s="6"/>
      <c r="E105" s="6"/>
      <c r="F105" s="6"/>
      <c r="G105" s="81">
        <f t="shared" si="37"/>
        <v>0</v>
      </c>
      <c r="H105" s="81">
        <f t="shared" si="37"/>
        <v>0</v>
      </c>
      <c r="I105" s="81">
        <f t="shared" si="37"/>
        <v>0</v>
      </c>
      <c r="J105" s="81">
        <f t="shared" si="37"/>
        <v>0</v>
      </c>
      <c r="K105" s="81">
        <f t="shared" si="37"/>
        <v>0</v>
      </c>
      <c r="L105" s="81">
        <f t="shared" si="37"/>
        <v>0</v>
      </c>
      <c r="M105" s="81">
        <f t="shared" si="37"/>
        <v>0</v>
      </c>
      <c r="N105" s="81">
        <f t="shared" si="37"/>
        <v>0</v>
      </c>
      <c r="O105" s="81"/>
      <c r="P105" s="81">
        <f t="shared" si="37"/>
        <v>0</v>
      </c>
      <c r="Q105" s="81">
        <f t="shared" si="37"/>
        <v>0</v>
      </c>
      <c r="R105" s="81">
        <f t="shared" si="37"/>
        <v>0</v>
      </c>
      <c r="S105" s="81">
        <f t="shared" si="38"/>
        <v>0</v>
      </c>
      <c r="T105" s="81">
        <f t="shared" si="38"/>
        <v>0</v>
      </c>
      <c r="U105" s="81">
        <f t="shared" si="39"/>
        <v>0</v>
      </c>
      <c r="V105" s="81">
        <f t="shared" si="40"/>
        <v>0</v>
      </c>
      <c r="W105" s="87">
        <v>0</v>
      </c>
    </row>
    <row r="106" spans="1:23">
      <c r="A106" s="6">
        <f t="shared" si="41"/>
        <v>2003</v>
      </c>
      <c r="B106" s="6"/>
      <c r="C106" s="6"/>
      <c r="D106" s="6"/>
      <c r="E106" s="6"/>
      <c r="F106" s="6"/>
      <c r="G106" s="81">
        <f t="shared" si="37"/>
        <v>0</v>
      </c>
      <c r="H106" s="81">
        <f t="shared" si="37"/>
        <v>0</v>
      </c>
      <c r="I106" s="81">
        <f t="shared" si="37"/>
        <v>0</v>
      </c>
      <c r="J106" s="81">
        <f t="shared" si="37"/>
        <v>0</v>
      </c>
      <c r="K106" s="81">
        <f t="shared" si="37"/>
        <v>0</v>
      </c>
      <c r="L106" s="81">
        <f t="shared" si="37"/>
        <v>0</v>
      </c>
      <c r="M106" s="81">
        <f t="shared" si="37"/>
        <v>0</v>
      </c>
      <c r="N106" s="81">
        <f t="shared" si="37"/>
        <v>0</v>
      </c>
      <c r="O106" s="81"/>
      <c r="P106" s="81">
        <f t="shared" si="37"/>
        <v>0</v>
      </c>
      <c r="Q106" s="81">
        <f t="shared" si="37"/>
        <v>0</v>
      </c>
      <c r="R106" s="81">
        <f t="shared" si="37"/>
        <v>0</v>
      </c>
      <c r="S106" s="81">
        <f t="shared" si="38"/>
        <v>0</v>
      </c>
      <c r="T106" s="81">
        <f t="shared" si="38"/>
        <v>0</v>
      </c>
      <c r="U106" s="81">
        <f t="shared" si="39"/>
        <v>0</v>
      </c>
      <c r="V106" s="81">
        <f t="shared" si="40"/>
        <v>0</v>
      </c>
      <c r="W106" s="87">
        <v>0</v>
      </c>
    </row>
    <row r="107" spans="1:23">
      <c r="A107" s="6">
        <f t="shared" si="41"/>
        <v>2004</v>
      </c>
      <c r="B107" s="6"/>
      <c r="C107" s="6"/>
      <c r="D107" s="6"/>
      <c r="E107" s="6"/>
      <c r="F107" s="6"/>
      <c r="G107" s="81">
        <f t="shared" si="37"/>
        <v>0</v>
      </c>
      <c r="H107" s="81">
        <f t="shared" si="37"/>
        <v>0</v>
      </c>
      <c r="I107" s="81">
        <f t="shared" si="37"/>
        <v>0</v>
      </c>
      <c r="J107" s="81">
        <f t="shared" si="37"/>
        <v>0</v>
      </c>
      <c r="K107" s="81">
        <f t="shared" si="37"/>
        <v>0</v>
      </c>
      <c r="L107" s="81">
        <f t="shared" si="37"/>
        <v>0</v>
      </c>
      <c r="M107" s="81">
        <f t="shared" si="37"/>
        <v>0</v>
      </c>
      <c r="N107" s="81">
        <f t="shared" si="37"/>
        <v>0</v>
      </c>
      <c r="O107" s="81"/>
      <c r="P107" s="81">
        <f t="shared" si="37"/>
        <v>0</v>
      </c>
      <c r="Q107" s="81">
        <f t="shared" si="37"/>
        <v>0</v>
      </c>
      <c r="R107" s="81">
        <f t="shared" si="37"/>
        <v>0</v>
      </c>
      <c r="S107" s="81">
        <f t="shared" si="38"/>
        <v>0</v>
      </c>
      <c r="T107" s="81">
        <f t="shared" si="38"/>
        <v>0</v>
      </c>
      <c r="U107" s="81">
        <f t="shared" si="39"/>
        <v>0</v>
      </c>
      <c r="V107" s="81">
        <f t="shared" si="40"/>
        <v>0</v>
      </c>
      <c r="W107" s="87">
        <v>0</v>
      </c>
    </row>
    <row r="108" spans="1:23">
      <c r="A108" s="6">
        <f t="shared" si="41"/>
        <v>2005</v>
      </c>
      <c r="B108" s="6"/>
      <c r="C108" s="6"/>
      <c r="D108" s="6"/>
      <c r="E108" s="6"/>
      <c r="F108" s="6"/>
      <c r="G108" s="81">
        <f t="shared" si="37"/>
        <v>0</v>
      </c>
      <c r="H108" s="81">
        <f t="shared" si="37"/>
        <v>0</v>
      </c>
      <c r="I108" s="81">
        <f t="shared" si="37"/>
        <v>0</v>
      </c>
      <c r="J108" s="81">
        <f t="shared" si="37"/>
        <v>0</v>
      </c>
      <c r="K108" s="81">
        <f t="shared" si="37"/>
        <v>0</v>
      </c>
      <c r="L108" s="81">
        <f t="shared" si="37"/>
        <v>0</v>
      </c>
      <c r="M108" s="81">
        <f t="shared" si="37"/>
        <v>0</v>
      </c>
      <c r="N108" s="81">
        <f t="shared" si="37"/>
        <v>0</v>
      </c>
      <c r="O108" s="81"/>
      <c r="P108" s="81">
        <f t="shared" si="37"/>
        <v>0</v>
      </c>
      <c r="Q108" s="81">
        <f t="shared" si="37"/>
        <v>0</v>
      </c>
      <c r="R108" s="81">
        <f t="shared" si="37"/>
        <v>0</v>
      </c>
      <c r="S108" s="81">
        <f t="shared" si="38"/>
        <v>0</v>
      </c>
      <c r="T108" s="81">
        <f t="shared" si="38"/>
        <v>0</v>
      </c>
      <c r="U108" s="81">
        <f t="shared" si="39"/>
        <v>0</v>
      </c>
      <c r="V108" s="81">
        <f t="shared" si="40"/>
        <v>0</v>
      </c>
      <c r="W108" s="87">
        <v>0</v>
      </c>
    </row>
    <row r="109" spans="1:23">
      <c r="A109" s="6">
        <f t="shared" si="41"/>
        <v>2006</v>
      </c>
      <c r="B109" s="6"/>
      <c r="C109" s="6"/>
      <c r="D109" s="6"/>
      <c r="E109" s="6"/>
      <c r="F109" s="6"/>
      <c r="G109" s="81">
        <f t="shared" si="37"/>
        <v>0</v>
      </c>
      <c r="H109" s="81" t="e">
        <f t="shared" si="37"/>
        <v>#REF!</v>
      </c>
      <c r="I109" s="81">
        <f t="shared" si="37"/>
        <v>0</v>
      </c>
      <c r="J109" s="81" t="e">
        <f t="shared" si="37"/>
        <v>#REF!</v>
      </c>
      <c r="K109" s="81">
        <f t="shared" si="37"/>
        <v>0</v>
      </c>
      <c r="L109" s="81">
        <f t="shared" si="37"/>
        <v>577451.15</v>
      </c>
      <c r="M109" s="81">
        <f t="shared" si="37"/>
        <v>0</v>
      </c>
      <c r="N109" s="81">
        <f t="shared" si="37"/>
        <v>0</v>
      </c>
      <c r="O109" s="81">
        <f>'Exhibit U,2'!O36</f>
        <v>0</v>
      </c>
      <c r="P109" s="81" t="e">
        <f t="shared" si="37"/>
        <v>#REF!</v>
      </c>
      <c r="Q109" s="81">
        <f t="shared" si="37"/>
        <v>577451.15</v>
      </c>
      <c r="R109" s="81" t="e">
        <f t="shared" si="37"/>
        <v>#REF!</v>
      </c>
      <c r="S109" s="81">
        <f t="shared" si="38"/>
        <v>0</v>
      </c>
      <c r="T109" s="81">
        <f t="shared" si="38"/>
        <v>0</v>
      </c>
      <c r="U109" s="81">
        <f t="shared" si="39"/>
        <v>0</v>
      </c>
      <c r="V109" s="81" t="e">
        <f t="shared" si="40"/>
        <v>#REF!</v>
      </c>
      <c r="W109" s="87">
        <v>0</v>
      </c>
    </row>
    <row r="110" spans="1:23">
      <c r="A110" s="6">
        <f t="shared" si="41"/>
        <v>2007</v>
      </c>
      <c r="B110" s="6"/>
      <c r="C110" s="6"/>
      <c r="D110" s="6"/>
      <c r="E110" s="6"/>
      <c r="F110" s="6"/>
      <c r="G110" s="81">
        <f t="shared" si="37"/>
        <v>0</v>
      </c>
      <c r="H110" s="81">
        <f t="shared" si="37"/>
        <v>57751</v>
      </c>
      <c r="I110" s="81">
        <f t="shared" si="37"/>
        <v>0</v>
      </c>
      <c r="J110" s="81">
        <f t="shared" si="37"/>
        <v>28875.5</v>
      </c>
      <c r="K110" s="81">
        <f t="shared" si="37"/>
        <v>0</v>
      </c>
      <c r="L110" s="81">
        <f t="shared" si="37"/>
        <v>28875.5</v>
      </c>
      <c r="M110" s="81">
        <f t="shared" si="37"/>
        <v>0</v>
      </c>
      <c r="N110" s="81">
        <f t="shared" si="37"/>
        <v>0</v>
      </c>
      <c r="O110" s="81">
        <f>'Exhibit U,2'!O37</f>
        <v>0</v>
      </c>
      <c r="P110" s="81">
        <f t="shared" si="37"/>
        <v>28875.5</v>
      </c>
      <c r="Q110" s="81">
        <f t="shared" si="37"/>
        <v>28875.5</v>
      </c>
      <c r="R110" s="81">
        <f t="shared" si="37"/>
        <v>57751</v>
      </c>
      <c r="S110" s="81">
        <f t="shared" si="38"/>
        <v>0</v>
      </c>
      <c r="T110" s="81">
        <f t="shared" si="38"/>
        <v>0</v>
      </c>
      <c r="U110" s="81">
        <f t="shared" si="39"/>
        <v>0</v>
      </c>
      <c r="V110" s="81">
        <f t="shared" si="40"/>
        <v>57751</v>
      </c>
      <c r="W110" s="87">
        <v>0</v>
      </c>
    </row>
    <row r="111" spans="1:23">
      <c r="A111" s="6">
        <f t="shared" si="41"/>
        <v>2008</v>
      </c>
      <c r="B111" s="6"/>
      <c r="C111" s="6"/>
      <c r="D111" s="6"/>
      <c r="E111" s="6"/>
      <c r="F111" s="6"/>
      <c r="G111" s="81">
        <f t="shared" si="37"/>
        <v>0</v>
      </c>
      <c r="H111" s="81">
        <f t="shared" si="37"/>
        <v>2112781.5999999996</v>
      </c>
      <c r="I111" s="81">
        <f t="shared" si="37"/>
        <v>0</v>
      </c>
      <c r="J111" s="81">
        <f t="shared" si="37"/>
        <v>1056390.7999999998</v>
      </c>
      <c r="K111" s="81">
        <f t="shared" si="37"/>
        <v>0</v>
      </c>
      <c r="L111" s="81">
        <f t="shared" si="37"/>
        <v>1056390.7999999998</v>
      </c>
      <c r="M111" s="81">
        <f t="shared" si="37"/>
        <v>0</v>
      </c>
      <c r="N111" s="81">
        <f t="shared" si="37"/>
        <v>0</v>
      </c>
      <c r="O111" s="81">
        <f>'Exhibit U,2'!O38</f>
        <v>0</v>
      </c>
      <c r="P111" s="81">
        <f t="shared" si="37"/>
        <v>1056390.7999999998</v>
      </c>
      <c r="Q111" s="81">
        <f t="shared" si="37"/>
        <v>1056390.7999999998</v>
      </c>
      <c r="R111" s="81">
        <f t="shared" si="37"/>
        <v>2112781.5999999996</v>
      </c>
      <c r="S111" s="81">
        <f t="shared" si="37"/>
        <v>0</v>
      </c>
      <c r="T111" s="81">
        <f t="shared" si="37"/>
        <v>0</v>
      </c>
      <c r="U111" s="81">
        <f t="shared" si="39"/>
        <v>0</v>
      </c>
      <c r="V111" s="81">
        <f t="shared" si="40"/>
        <v>2112781.5999999996</v>
      </c>
      <c r="W111" s="87">
        <v>0</v>
      </c>
    </row>
    <row r="112" spans="1:23">
      <c r="A112" s="6">
        <f t="shared" si="41"/>
        <v>2009</v>
      </c>
      <c r="B112" s="6"/>
      <c r="C112" s="6"/>
      <c r="D112" s="6"/>
      <c r="E112" s="6"/>
      <c r="F112" s="6"/>
      <c r="G112" s="81">
        <f t="shared" ref="G112:T124" si="42">G32-G72</f>
        <v>0</v>
      </c>
      <c r="H112" s="81">
        <f t="shared" si="42"/>
        <v>1281738.3400000001</v>
      </c>
      <c r="I112" s="81">
        <f t="shared" si="42"/>
        <v>0</v>
      </c>
      <c r="J112" s="81">
        <f t="shared" si="42"/>
        <v>640869.17000000004</v>
      </c>
      <c r="K112" s="81">
        <f t="shared" si="42"/>
        <v>0</v>
      </c>
      <c r="L112" s="81">
        <f t="shared" si="42"/>
        <v>640869.17000000004</v>
      </c>
      <c r="M112" s="81">
        <f t="shared" si="42"/>
        <v>0</v>
      </c>
      <c r="N112" s="81">
        <f t="shared" si="42"/>
        <v>0</v>
      </c>
      <c r="O112" s="81">
        <f>'Exhibit U,2'!O39</f>
        <v>0</v>
      </c>
      <c r="P112" s="81">
        <f t="shared" si="42"/>
        <v>640869.17000000004</v>
      </c>
      <c r="Q112" s="81">
        <f t="shared" si="42"/>
        <v>640869.17000000004</v>
      </c>
      <c r="R112" s="81">
        <f t="shared" si="42"/>
        <v>1281738.3400000001</v>
      </c>
      <c r="S112" s="81">
        <f t="shared" si="42"/>
        <v>0</v>
      </c>
      <c r="T112" s="81">
        <f t="shared" si="42"/>
        <v>0</v>
      </c>
      <c r="U112" s="81">
        <f t="shared" si="39"/>
        <v>0</v>
      </c>
      <c r="V112" s="81">
        <f t="shared" si="40"/>
        <v>1281738.3400000001</v>
      </c>
      <c r="W112" s="87">
        <v>0</v>
      </c>
    </row>
    <row r="113" spans="1:23">
      <c r="A113" s="6">
        <f t="shared" si="41"/>
        <v>2010</v>
      </c>
      <c r="B113" s="6"/>
      <c r="C113" s="6"/>
      <c r="D113" s="6"/>
      <c r="E113" s="6"/>
      <c r="F113" s="6"/>
      <c r="G113" s="81">
        <f t="shared" si="42"/>
        <v>0</v>
      </c>
      <c r="H113" s="81">
        <f t="shared" si="42"/>
        <v>9488798.0600000005</v>
      </c>
      <c r="I113" s="81">
        <f t="shared" si="42"/>
        <v>0</v>
      </c>
      <c r="J113" s="81">
        <f t="shared" si="42"/>
        <v>4744399.03</v>
      </c>
      <c r="K113" s="81">
        <f t="shared" si="42"/>
        <v>0</v>
      </c>
      <c r="L113" s="81">
        <f t="shared" si="42"/>
        <v>4744399.03</v>
      </c>
      <c r="M113" s="81">
        <f t="shared" si="42"/>
        <v>0</v>
      </c>
      <c r="N113" s="81">
        <f t="shared" si="42"/>
        <v>0</v>
      </c>
      <c r="O113" s="81">
        <f>'Exhibit U,2'!O40</f>
        <v>0</v>
      </c>
      <c r="P113" s="81">
        <f t="shared" si="42"/>
        <v>4744399.03</v>
      </c>
      <c r="Q113" s="81">
        <f t="shared" si="42"/>
        <v>4744399.03</v>
      </c>
      <c r="R113" s="81">
        <f t="shared" si="42"/>
        <v>9488798.0600000005</v>
      </c>
      <c r="S113" s="81">
        <f t="shared" si="42"/>
        <v>0</v>
      </c>
      <c r="T113" s="81">
        <f t="shared" si="42"/>
        <v>45018.38780703918</v>
      </c>
      <c r="U113" s="81">
        <f t="shared" si="39"/>
        <v>45018.38780703918</v>
      </c>
      <c r="V113" s="81">
        <f t="shared" si="40"/>
        <v>9533816.4478070401</v>
      </c>
      <c r="W113" s="87">
        <v>0</v>
      </c>
    </row>
    <row r="114" spans="1:23">
      <c r="A114" s="6">
        <f t="shared" si="41"/>
        <v>2011</v>
      </c>
      <c r="B114" s="6"/>
      <c r="C114" s="6"/>
      <c r="D114" s="6"/>
      <c r="E114" s="6"/>
      <c r="F114" s="6"/>
      <c r="G114" s="81">
        <f t="shared" si="42"/>
        <v>-2633.7300000000978</v>
      </c>
      <c r="H114" s="81">
        <f t="shared" si="42"/>
        <v>1421783.3099999996</v>
      </c>
      <c r="I114" s="81">
        <f t="shared" si="42"/>
        <v>-2633.7300000000978</v>
      </c>
      <c r="J114" s="81">
        <f t="shared" si="42"/>
        <v>709574.7899999998</v>
      </c>
      <c r="K114" s="81">
        <f t="shared" si="42"/>
        <v>0</v>
      </c>
      <c r="L114" s="81">
        <f t="shared" si="42"/>
        <v>712208.5199999999</v>
      </c>
      <c r="M114" s="81">
        <f t="shared" si="42"/>
        <v>0</v>
      </c>
      <c r="N114" s="81">
        <f t="shared" si="42"/>
        <v>0</v>
      </c>
      <c r="O114" s="81">
        <f>'Exhibit U,2'!O41</f>
        <v>0</v>
      </c>
      <c r="P114" s="81">
        <f t="shared" si="42"/>
        <v>709574.7899999998</v>
      </c>
      <c r="Q114" s="81">
        <f t="shared" si="42"/>
        <v>712208.5199999999</v>
      </c>
      <c r="R114" s="81">
        <f t="shared" si="42"/>
        <v>1421783.3099999996</v>
      </c>
      <c r="S114" s="81">
        <f t="shared" si="42"/>
        <v>0</v>
      </c>
      <c r="T114" s="81">
        <f t="shared" si="42"/>
        <v>32333.379222395371</v>
      </c>
      <c r="U114" s="81">
        <f t="shared" si="39"/>
        <v>32333.379222395371</v>
      </c>
      <c r="V114" s="81">
        <f t="shared" si="40"/>
        <v>1454116.689222395</v>
      </c>
      <c r="W114" s="87">
        <v>1960668.9364067693</v>
      </c>
    </row>
    <row r="115" spans="1:23">
      <c r="A115" s="6">
        <f t="shared" si="41"/>
        <v>2012</v>
      </c>
      <c r="B115" s="6"/>
      <c r="C115" s="6"/>
      <c r="D115" s="6"/>
      <c r="E115" s="6"/>
      <c r="F115" s="6"/>
      <c r="G115" s="81">
        <f t="shared" si="42"/>
        <v>212948.29000000004</v>
      </c>
      <c r="H115" s="81">
        <f t="shared" si="42"/>
        <v>6715837.54</v>
      </c>
      <c r="I115" s="81">
        <f t="shared" si="42"/>
        <v>212948.29000000004</v>
      </c>
      <c r="J115" s="81">
        <f t="shared" si="42"/>
        <v>3330685.3200000003</v>
      </c>
      <c r="K115" s="81">
        <f t="shared" si="42"/>
        <v>0</v>
      </c>
      <c r="L115" s="81">
        <f t="shared" si="42"/>
        <v>3385152.22</v>
      </c>
      <c r="M115" s="81">
        <f t="shared" si="42"/>
        <v>0</v>
      </c>
      <c r="N115" s="81">
        <f t="shared" si="42"/>
        <v>0</v>
      </c>
      <c r="O115" s="81">
        <f>'Exhibit U,2'!O42</f>
        <v>0</v>
      </c>
      <c r="P115" s="81">
        <f t="shared" si="42"/>
        <v>3330685.3200000003</v>
      </c>
      <c r="Q115" s="81">
        <f t="shared" si="42"/>
        <v>3385152.22</v>
      </c>
      <c r="R115" s="81">
        <f t="shared" si="42"/>
        <v>6715837.540000001</v>
      </c>
      <c r="S115" s="81">
        <f t="shared" si="42"/>
        <v>0</v>
      </c>
      <c r="T115" s="81">
        <f t="shared" si="42"/>
        <v>184654.16530795814</v>
      </c>
      <c r="U115" s="81">
        <f t="shared" si="39"/>
        <v>184654.16530795814</v>
      </c>
      <c r="V115" s="81">
        <f t="shared" si="40"/>
        <v>6900491.7053079586</v>
      </c>
      <c r="W115" s="87">
        <v>1549393.3834099346</v>
      </c>
    </row>
    <row r="116" spans="1:23">
      <c r="A116" s="6">
        <f t="shared" si="41"/>
        <v>2013</v>
      </c>
      <c r="B116" s="6"/>
      <c r="C116" s="6"/>
      <c r="D116" s="6"/>
      <c r="E116" s="6"/>
      <c r="F116" s="6"/>
      <c r="G116" s="81">
        <f t="shared" si="42"/>
        <v>-324948.86999999988</v>
      </c>
      <c r="H116" s="81">
        <f t="shared" si="42"/>
        <v>2037949.03</v>
      </c>
      <c r="I116" s="81">
        <f t="shared" si="42"/>
        <v>-324948.86999999988</v>
      </c>
      <c r="J116" s="81">
        <f t="shared" si="42"/>
        <v>481500.08000000007</v>
      </c>
      <c r="K116" s="81">
        <f t="shared" si="42"/>
        <v>0</v>
      </c>
      <c r="L116" s="81">
        <f t="shared" si="42"/>
        <v>1556448.95</v>
      </c>
      <c r="M116" s="81">
        <f t="shared" si="42"/>
        <v>0</v>
      </c>
      <c r="N116" s="81">
        <f t="shared" si="42"/>
        <v>0</v>
      </c>
      <c r="O116" s="81">
        <f>'Exhibit U,2'!O43</f>
        <v>0</v>
      </c>
      <c r="P116" s="81">
        <f t="shared" si="42"/>
        <v>481500.08000000007</v>
      </c>
      <c r="Q116" s="81">
        <f t="shared" si="42"/>
        <v>1556448.95</v>
      </c>
      <c r="R116" s="81">
        <f t="shared" si="42"/>
        <v>2037949.03</v>
      </c>
      <c r="S116" s="81">
        <f t="shared" si="42"/>
        <v>0</v>
      </c>
      <c r="T116" s="81">
        <f t="shared" si="42"/>
        <v>45940.927461689702</v>
      </c>
      <c r="U116" s="81">
        <f t="shared" si="39"/>
        <v>45940.927461689702</v>
      </c>
      <c r="V116" s="81">
        <f t="shared" si="40"/>
        <v>2083889.9574616898</v>
      </c>
      <c r="W116" s="87">
        <v>864161.92720701767</v>
      </c>
    </row>
    <row r="117" spans="1:23">
      <c r="A117" s="6">
        <f t="shared" si="41"/>
        <v>2014</v>
      </c>
      <c r="B117" s="6"/>
      <c r="C117" s="6"/>
      <c r="D117" s="6"/>
      <c r="E117" s="6"/>
      <c r="F117" s="6"/>
      <c r="G117" s="81">
        <f t="shared" si="42"/>
        <v>-287657.61000000034</v>
      </c>
      <c r="H117" s="81">
        <f t="shared" si="42"/>
        <v>8488992.5700000003</v>
      </c>
      <c r="I117" s="81">
        <f t="shared" si="42"/>
        <v>-287657.61000000034</v>
      </c>
      <c r="J117" s="81">
        <f t="shared" si="42"/>
        <v>4019715.6499999994</v>
      </c>
      <c r="K117" s="81">
        <f t="shared" si="42"/>
        <v>0</v>
      </c>
      <c r="L117" s="81">
        <f t="shared" si="42"/>
        <v>4469276.92</v>
      </c>
      <c r="M117" s="81">
        <f t="shared" si="42"/>
        <v>306280</v>
      </c>
      <c r="N117" s="81">
        <f t="shared" si="42"/>
        <v>88920</v>
      </c>
      <c r="O117" s="81">
        <f>'Exhibit U,2'!O44</f>
        <v>395200</v>
      </c>
      <c r="P117" s="81">
        <f t="shared" si="42"/>
        <v>4325995.6499999994</v>
      </c>
      <c r="Q117" s="81">
        <f t="shared" si="42"/>
        <v>4558196.92</v>
      </c>
      <c r="R117" s="81">
        <f t="shared" si="42"/>
        <v>8884192.5700000003</v>
      </c>
      <c r="S117" s="81">
        <f t="shared" si="42"/>
        <v>23818.290344318728</v>
      </c>
      <c r="T117" s="81">
        <f t="shared" si="42"/>
        <v>147842.1612519043</v>
      </c>
      <c r="U117" s="81">
        <f t="shared" si="39"/>
        <v>171660.45159622302</v>
      </c>
      <c r="V117" s="81">
        <f t="shared" si="40"/>
        <v>9055853.0215962231</v>
      </c>
      <c r="W117" s="87">
        <v>1925979.9550193222</v>
      </c>
    </row>
    <row r="118" spans="1:23">
      <c r="A118" s="6">
        <f t="shared" si="41"/>
        <v>2015</v>
      </c>
      <c r="B118" s="6"/>
      <c r="C118" s="6"/>
      <c r="D118" s="6"/>
      <c r="E118" s="6"/>
      <c r="F118" s="6"/>
      <c r="G118" s="81">
        <f t="shared" si="42"/>
        <v>-522.09999999997672</v>
      </c>
      <c r="H118" s="81">
        <f t="shared" si="42"/>
        <v>586659.81999999995</v>
      </c>
      <c r="I118" s="81">
        <f t="shared" si="42"/>
        <v>-522.09999999997672</v>
      </c>
      <c r="J118" s="81">
        <f t="shared" si="42"/>
        <v>282018.88</v>
      </c>
      <c r="K118" s="81">
        <f t="shared" si="42"/>
        <v>0</v>
      </c>
      <c r="L118" s="81">
        <f t="shared" si="42"/>
        <v>304640.94</v>
      </c>
      <c r="M118" s="81">
        <f t="shared" si="42"/>
        <v>0</v>
      </c>
      <c r="N118" s="81">
        <f t="shared" si="42"/>
        <v>0</v>
      </c>
      <c r="O118" s="81">
        <f>'Exhibit U,2'!O45</f>
        <v>0</v>
      </c>
      <c r="P118" s="81">
        <f t="shared" si="42"/>
        <v>282018.88</v>
      </c>
      <c r="Q118" s="81">
        <f t="shared" si="42"/>
        <v>304640.94</v>
      </c>
      <c r="R118" s="81">
        <f t="shared" si="42"/>
        <v>586659.82000000007</v>
      </c>
      <c r="S118" s="81">
        <f t="shared" si="42"/>
        <v>267.0854184590209</v>
      </c>
      <c r="T118" s="81">
        <f t="shared" si="42"/>
        <v>62593.439391684456</v>
      </c>
      <c r="U118" s="81">
        <f t="shared" si="39"/>
        <v>62860.524810143477</v>
      </c>
      <c r="V118" s="81">
        <f t="shared" si="40"/>
        <v>649520.34481014358</v>
      </c>
      <c r="W118" s="87">
        <v>2870483.9332784307</v>
      </c>
    </row>
    <row r="119" spans="1:23">
      <c r="A119" s="6">
        <f t="shared" si="41"/>
        <v>2016</v>
      </c>
      <c r="B119" s="6"/>
      <c r="C119" s="6"/>
      <c r="D119" s="6"/>
      <c r="E119" s="6"/>
      <c r="F119" s="6"/>
      <c r="G119" s="81">
        <f t="shared" si="42"/>
        <v>486664.4800000001</v>
      </c>
      <c r="H119" s="81">
        <f t="shared" si="42"/>
        <v>2034769.3200000003</v>
      </c>
      <c r="I119" s="81">
        <f t="shared" si="42"/>
        <v>486664.4800000001</v>
      </c>
      <c r="J119" s="81">
        <f t="shared" si="42"/>
        <v>649769.47000000009</v>
      </c>
      <c r="K119" s="81">
        <f t="shared" si="42"/>
        <v>0</v>
      </c>
      <c r="L119" s="81">
        <f t="shared" si="42"/>
        <v>1384999.85</v>
      </c>
      <c r="M119" s="81">
        <f t="shared" si="42"/>
        <v>0</v>
      </c>
      <c r="N119" s="81">
        <f t="shared" si="42"/>
        <v>0</v>
      </c>
      <c r="O119" s="81">
        <f>'Exhibit U,2'!O46</f>
        <v>0</v>
      </c>
      <c r="P119" s="81">
        <f t="shared" si="42"/>
        <v>649769.47000000009</v>
      </c>
      <c r="Q119" s="81">
        <f t="shared" si="42"/>
        <v>1384999.85</v>
      </c>
      <c r="R119" s="81">
        <f t="shared" si="42"/>
        <v>2034769.3200000003</v>
      </c>
      <c r="S119" s="81">
        <f t="shared" si="42"/>
        <v>14506.809791148456</v>
      </c>
      <c r="T119" s="81">
        <f t="shared" si="42"/>
        <v>32378.839857169194</v>
      </c>
      <c r="U119" s="81">
        <f t="shared" si="39"/>
        <v>46885.649648317652</v>
      </c>
      <c r="V119" s="81">
        <f t="shared" si="40"/>
        <v>2081654.9696483179</v>
      </c>
      <c r="W119" s="87">
        <v>2696793.579337785</v>
      </c>
    </row>
    <row r="120" spans="1:23">
      <c r="A120" s="6">
        <f t="shared" si="41"/>
        <v>2017</v>
      </c>
      <c r="B120" s="6"/>
      <c r="C120" s="6"/>
      <c r="D120" s="6"/>
      <c r="E120" s="6"/>
      <c r="F120" s="6"/>
      <c r="G120" s="81">
        <f t="shared" si="42"/>
        <v>-26419.580000000016</v>
      </c>
      <c r="H120" s="81">
        <f t="shared" si="42"/>
        <v>437760.51</v>
      </c>
      <c r="I120" s="81">
        <f t="shared" si="42"/>
        <v>-26419.580000000016</v>
      </c>
      <c r="J120" s="81">
        <f t="shared" si="42"/>
        <v>48496.559999999983</v>
      </c>
      <c r="K120" s="81">
        <f t="shared" si="42"/>
        <v>0</v>
      </c>
      <c r="L120" s="81">
        <f t="shared" si="42"/>
        <v>389263.95</v>
      </c>
      <c r="M120" s="81">
        <f t="shared" si="42"/>
        <v>14266.950521246879</v>
      </c>
      <c r="N120" s="81">
        <f t="shared" si="42"/>
        <v>13634.546995653076</v>
      </c>
      <c r="O120" s="81">
        <f>'Exhibit U,2'!O47</f>
        <v>27901.497516899952</v>
      </c>
      <c r="P120" s="81">
        <f t="shared" si="42"/>
        <v>62763.510521246862</v>
      </c>
      <c r="Q120" s="81">
        <f t="shared" si="42"/>
        <v>402898.49699565314</v>
      </c>
      <c r="R120" s="81">
        <f t="shared" si="42"/>
        <v>465662.00751689996</v>
      </c>
      <c r="S120" s="81">
        <f t="shared" si="42"/>
        <v>11079.444785175596</v>
      </c>
      <c r="T120" s="81">
        <f t="shared" si="42"/>
        <v>22960.761666017028</v>
      </c>
      <c r="U120" s="81">
        <f t="shared" si="39"/>
        <v>34040.206451192622</v>
      </c>
      <c r="V120" s="81">
        <f t="shared" si="40"/>
        <v>499702.21396809258</v>
      </c>
      <c r="W120" s="87">
        <v>1962429.9227620913</v>
      </c>
    </row>
    <row r="121" spans="1:23">
      <c r="A121" s="6">
        <f t="shared" si="41"/>
        <v>2018</v>
      </c>
      <c r="B121" s="6"/>
      <c r="C121" s="6"/>
      <c r="D121" s="6"/>
      <c r="E121" s="6"/>
      <c r="F121" s="6"/>
      <c r="G121" s="81">
        <f t="shared" si="42"/>
        <v>76214.959999999963</v>
      </c>
      <c r="H121" s="81">
        <f t="shared" si="42"/>
        <v>411410.08999999997</v>
      </c>
      <c r="I121" s="81">
        <f t="shared" si="42"/>
        <v>76214.959999999963</v>
      </c>
      <c r="J121" s="81">
        <f t="shared" si="42"/>
        <v>162948.60999999996</v>
      </c>
      <c r="K121" s="81">
        <f t="shared" si="42"/>
        <v>0</v>
      </c>
      <c r="L121" s="81">
        <f t="shared" si="42"/>
        <v>248461.47999999998</v>
      </c>
      <c r="M121" s="81">
        <f t="shared" si="42"/>
        <v>81487.354628331814</v>
      </c>
      <c r="N121" s="81">
        <f t="shared" si="42"/>
        <v>74963.489356087259</v>
      </c>
      <c r="O121" s="81">
        <f>'Exhibit U,2'!O48</f>
        <v>156450.84398441907</v>
      </c>
      <c r="P121" s="81">
        <f t="shared" si="42"/>
        <v>244435.96462833174</v>
      </c>
      <c r="Q121" s="81">
        <f t="shared" si="42"/>
        <v>323424.96935608721</v>
      </c>
      <c r="R121" s="81">
        <f t="shared" si="42"/>
        <v>567860.93398441887</v>
      </c>
      <c r="S121" s="81">
        <f t="shared" si="42"/>
        <v>13599.147155603512</v>
      </c>
      <c r="T121" s="81">
        <f t="shared" si="42"/>
        <v>46216.254160439465</v>
      </c>
      <c r="U121" s="81">
        <f t="shared" si="39"/>
        <v>59815.401316042975</v>
      </c>
      <c r="V121" s="81">
        <f t="shared" si="40"/>
        <v>627676.33530046185</v>
      </c>
      <c r="W121" s="87">
        <v>1293392.9291020096</v>
      </c>
    </row>
    <row r="122" spans="1:23">
      <c r="A122" s="6">
        <f t="shared" si="41"/>
        <v>2019</v>
      </c>
      <c r="B122" s="6"/>
      <c r="C122" s="6"/>
      <c r="D122" s="6"/>
      <c r="E122" s="6"/>
      <c r="F122" s="6"/>
      <c r="G122" s="81">
        <f t="shared" si="42"/>
        <v>-15725</v>
      </c>
      <c r="H122" s="81">
        <f t="shared" si="42"/>
        <v>28008.380000000005</v>
      </c>
      <c r="I122" s="81">
        <f t="shared" si="42"/>
        <v>-15725</v>
      </c>
      <c r="J122" s="81">
        <f t="shared" si="42"/>
        <v>-7400.8099999999995</v>
      </c>
      <c r="K122" s="81">
        <f t="shared" si="42"/>
        <v>0</v>
      </c>
      <c r="L122" s="81">
        <f t="shared" si="42"/>
        <v>35409.19</v>
      </c>
      <c r="M122" s="81">
        <f t="shared" si="42"/>
        <v>386965.57764669642</v>
      </c>
      <c r="N122" s="81">
        <f t="shared" si="42"/>
        <v>232937.62077222325</v>
      </c>
      <c r="O122" s="81">
        <f>'Exhibit U,2'!O49</f>
        <v>619903.1984189197</v>
      </c>
      <c r="P122" s="81">
        <f t="shared" si="42"/>
        <v>379564.76764669636</v>
      </c>
      <c r="Q122" s="81">
        <f t="shared" si="42"/>
        <v>268346.81077222328</v>
      </c>
      <c r="R122" s="81">
        <f t="shared" si="42"/>
        <v>647911.57841891958</v>
      </c>
      <c r="S122" s="81">
        <f t="shared" si="42"/>
        <v>35408.312782055065</v>
      </c>
      <c r="T122" s="81">
        <f t="shared" si="42"/>
        <v>7515.2685857249453</v>
      </c>
      <c r="U122" s="81">
        <f t="shared" si="39"/>
        <v>42923.581367780011</v>
      </c>
      <c r="V122" s="81">
        <f t="shared" si="40"/>
        <v>690835.15978669957</v>
      </c>
      <c r="W122" s="87">
        <v>3105262.316178652</v>
      </c>
    </row>
    <row r="123" spans="1:23">
      <c r="A123" s="6">
        <f t="shared" si="41"/>
        <v>2020</v>
      </c>
      <c r="B123" s="6"/>
      <c r="C123" s="6"/>
      <c r="D123" s="6"/>
      <c r="E123" s="6"/>
      <c r="F123" s="6"/>
      <c r="G123" s="81">
        <f t="shared" si="42"/>
        <v>-174500</v>
      </c>
      <c r="H123" s="81">
        <f t="shared" si="42"/>
        <v>-174500</v>
      </c>
      <c r="I123" s="81">
        <f t="shared" si="42"/>
        <v>-174500</v>
      </c>
      <c r="J123" s="81">
        <f t="shared" si="42"/>
        <v>-174500</v>
      </c>
      <c r="K123" s="81">
        <f t="shared" si="42"/>
        <v>0</v>
      </c>
      <c r="L123" s="81">
        <f t="shared" si="42"/>
        <v>0</v>
      </c>
      <c r="M123" s="81">
        <f t="shared" si="42"/>
        <v>844398.71520628338</v>
      </c>
      <c r="N123" s="81">
        <f t="shared" si="42"/>
        <v>296193.98048454127</v>
      </c>
      <c r="O123" s="81">
        <f>'Exhibit U,2'!O50</f>
        <v>1140592.6956908247</v>
      </c>
      <c r="P123" s="81">
        <f t="shared" si="42"/>
        <v>669898.71520628338</v>
      </c>
      <c r="Q123" s="81">
        <f t="shared" si="42"/>
        <v>296193.98048454127</v>
      </c>
      <c r="R123" s="81">
        <f t="shared" si="42"/>
        <v>966092.69569082465</v>
      </c>
      <c r="S123" s="81">
        <f t="shared" si="42"/>
        <v>45084.179599361581</v>
      </c>
      <c r="T123" s="81">
        <f t="shared" si="42"/>
        <v>1374.1066407492372</v>
      </c>
      <c r="U123" s="81">
        <f t="shared" si="39"/>
        <v>46458.286240110821</v>
      </c>
      <c r="V123" s="81">
        <f t="shared" si="40"/>
        <v>1012550.9819309355</v>
      </c>
      <c r="W123" s="87">
        <v>669286.56000000006</v>
      </c>
    </row>
    <row r="124" spans="1:23">
      <c r="A124" s="6"/>
      <c r="B124" s="6"/>
      <c r="D124" s="6"/>
      <c r="E124" s="6"/>
      <c r="F124" s="6"/>
      <c r="G124" s="81">
        <f t="shared" si="42"/>
        <v>0</v>
      </c>
      <c r="H124" s="81">
        <f t="shared" si="42"/>
        <v>0</v>
      </c>
      <c r="I124" s="81">
        <f t="shared" si="42"/>
        <v>0</v>
      </c>
      <c r="J124" s="81">
        <f t="shared" si="42"/>
        <v>0</v>
      </c>
      <c r="K124" s="81">
        <f t="shared" si="42"/>
        <v>0</v>
      </c>
      <c r="L124" s="81">
        <f t="shared" si="42"/>
        <v>0</v>
      </c>
      <c r="M124" s="81">
        <f t="shared" si="42"/>
        <v>0</v>
      </c>
      <c r="N124" s="81">
        <f t="shared" si="42"/>
        <v>0</v>
      </c>
      <c r="O124" s="81">
        <f>'Exhibit U,2'!O51</f>
        <v>0</v>
      </c>
      <c r="P124" s="81">
        <f t="shared" si="42"/>
        <v>0</v>
      </c>
      <c r="Q124" s="81">
        <f t="shared" si="42"/>
        <v>0</v>
      </c>
      <c r="R124" s="81">
        <f t="shared" si="42"/>
        <v>0</v>
      </c>
      <c r="S124" s="81">
        <f t="shared" si="42"/>
        <v>0</v>
      </c>
      <c r="T124" s="81">
        <f t="shared" si="42"/>
        <v>0</v>
      </c>
      <c r="U124" s="81">
        <f t="shared" si="39"/>
        <v>0</v>
      </c>
      <c r="V124" s="81">
        <f t="shared" si="40"/>
        <v>0</v>
      </c>
      <c r="W124" s="87">
        <v>0</v>
      </c>
    </row>
    <row r="125" spans="1:23">
      <c r="A125" s="6" t="s">
        <v>0</v>
      </c>
      <c r="B125" s="82">
        <f>SUM(B95:B123)</f>
        <v>0</v>
      </c>
      <c r="C125" s="82">
        <f>SUM(C95:C123)</f>
        <v>0</v>
      </c>
      <c r="D125" s="82">
        <f t="shared" ref="D125:Q125" si="43">SUM(D95:D123)</f>
        <v>0</v>
      </c>
      <c r="E125" s="82">
        <f t="shared" si="43"/>
        <v>0</v>
      </c>
      <c r="F125" s="82">
        <f t="shared" si="43"/>
        <v>0</v>
      </c>
      <c r="G125" s="82">
        <f>SUM(G95:G123)</f>
        <v>-56579.160000000207</v>
      </c>
      <c r="H125" s="82" t="e">
        <f t="shared" si="43"/>
        <v>#REF!</v>
      </c>
      <c r="I125" s="82">
        <f t="shared" si="43"/>
        <v>-56579.160000000207</v>
      </c>
      <c r="J125" s="82" t="e">
        <f t="shared" si="43"/>
        <v>#REF!</v>
      </c>
      <c r="K125" s="82">
        <f t="shared" si="43"/>
        <v>0</v>
      </c>
      <c r="L125" s="82">
        <f t="shared" si="43"/>
        <v>19533847.670000002</v>
      </c>
      <c r="M125" s="82">
        <f t="shared" si="43"/>
        <v>1633398.5980025586</v>
      </c>
      <c r="N125" s="82">
        <f t="shared" si="43"/>
        <v>706649.63760850485</v>
      </c>
      <c r="O125" s="82">
        <f t="shared" si="43"/>
        <v>2340048.2356110634</v>
      </c>
      <c r="P125" s="82" t="e">
        <f t="shared" si="43"/>
        <v>#REF!</v>
      </c>
      <c r="Q125" s="82">
        <f t="shared" si="43"/>
        <v>20240497.307608504</v>
      </c>
      <c r="R125" s="82" t="e">
        <f>SUM(R95:R123)</f>
        <v>#REF!</v>
      </c>
      <c r="S125" s="82">
        <f>SUM(S95:S123)</f>
        <v>143763.26987612195</v>
      </c>
      <c r="T125" s="82">
        <f>SUM(T95:T123)</f>
        <v>628827.69135277113</v>
      </c>
      <c r="U125" s="82">
        <f>SUM(U95:U123)</f>
        <v>772590.96122889302</v>
      </c>
      <c r="V125" s="82" t="e">
        <f>SUM(V95:V123)</f>
        <v>#REF!</v>
      </c>
      <c r="W125" s="90">
        <v>18897853.44270201</v>
      </c>
    </row>
    <row r="128" spans="1:23">
      <c r="S128" s="22"/>
    </row>
    <row r="129" spans="15:19">
      <c r="O129" s="22"/>
      <c r="S129" s="22"/>
    </row>
    <row r="130" spans="15:19">
      <c r="S130" s="22"/>
    </row>
    <row r="131" spans="15:19">
      <c r="S131" s="22"/>
    </row>
    <row r="132" spans="15:19">
      <c r="S132" s="22"/>
    </row>
    <row r="133" spans="15:19">
      <c r="S133" s="22"/>
    </row>
    <row r="134" spans="15:19">
      <c r="S134" s="22"/>
    </row>
    <row r="135" spans="15:19">
      <c r="S135" s="22"/>
    </row>
    <row r="136" spans="15:19">
      <c r="S136" s="22"/>
    </row>
    <row r="137" spans="15:19">
      <c r="S137" s="22"/>
    </row>
    <row r="138" spans="15:19">
      <c r="S138" s="22"/>
    </row>
    <row r="139" spans="15:19">
      <c r="S139" s="22"/>
    </row>
    <row r="140" spans="15:19">
      <c r="S140" s="22"/>
    </row>
    <row r="141" spans="15:19">
      <c r="S141" s="22"/>
    </row>
    <row r="142" spans="15:19">
      <c r="S142" s="22"/>
    </row>
    <row r="143" spans="15:19">
      <c r="S143" s="22"/>
    </row>
    <row r="144" spans="15:19">
      <c r="S144" s="22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sheetPr codeName="Sheet103">
    <tabColor rgb="FFFF0000"/>
  </sheetPr>
  <dimension ref="A5:W125"/>
  <sheetViews>
    <sheetView topLeftCell="C1" workbookViewId="0">
      <selection activeCell="A6" sqref="A6"/>
    </sheetView>
  </sheetViews>
  <sheetFormatPr baseColWidth="10" defaultColWidth="8.7109375" defaultRowHeight="15"/>
  <cols>
    <col min="1" max="23" width="12.7109375" style="1" customWidth="1"/>
    <col min="24" max="16384" width="8.7109375" style="1"/>
  </cols>
  <sheetData>
    <row r="5" spans="1:23" ht="16">
      <c r="A5" s="4"/>
      <c r="B5" s="4"/>
      <c r="H5" s="4"/>
      <c r="I5" s="4"/>
      <c r="J5" s="51" t="s">
        <v>872</v>
      </c>
      <c r="K5" s="4"/>
      <c r="L5" s="4"/>
    </row>
    <row r="6" spans="1:23" ht="16">
      <c r="A6" s="4"/>
      <c r="B6" s="4"/>
      <c r="H6" s="5" t="s">
        <v>505</v>
      </c>
      <c r="I6" s="5"/>
      <c r="J6" s="5"/>
      <c r="K6" s="5"/>
      <c r="L6" s="5"/>
    </row>
    <row r="7" spans="1:23">
      <c r="J7" s="1" t="s">
        <v>658</v>
      </c>
    </row>
    <row r="8" spans="1:23">
      <c r="I8" s="6"/>
      <c r="J8" s="6" t="s">
        <v>659</v>
      </c>
      <c r="K8" s="6"/>
      <c r="L8" s="6"/>
    </row>
    <row r="9" spans="1:23">
      <c r="A9" s="6" t="s">
        <v>9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</row>
    <row r="10" spans="1:23">
      <c r="A10" s="6"/>
      <c r="B10" s="27" t="s">
        <v>665</v>
      </c>
      <c r="C10" s="27" t="s">
        <v>523</v>
      </c>
      <c r="D10" s="27" t="s">
        <v>523</v>
      </c>
      <c r="E10" s="27" t="s">
        <v>523</v>
      </c>
      <c r="F10" s="27" t="s">
        <v>523</v>
      </c>
      <c r="H10" s="6"/>
      <c r="I10" s="6"/>
      <c r="J10" s="6"/>
      <c r="K10" s="6"/>
      <c r="L10" s="6"/>
      <c r="N10" s="79">
        <v>0.22500000000000001</v>
      </c>
      <c r="O10" s="6"/>
      <c r="P10" s="6"/>
      <c r="Q10" s="6"/>
      <c r="R10" s="6" t="s">
        <v>67</v>
      </c>
      <c r="S10" s="6"/>
      <c r="T10" s="6"/>
      <c r="U10" s="6"/>
      <c r="V10" s="6" t="s">
        <v>67</v>
      </c>
    </row>
    <row r="11" spans="1:23">
      <c r="A11" s="6" t="s">
        <v>3</v>
      </c>
      <c r="B11" s="27" t="s">
        <v>524</v>
      </c>
      <c r="C11" s="27" t="s">
        <v>524</v>
      </c>
      <c r="D11" s="27" t="s">
        <v>524</v>
      </c>
      <c r="E11" s="27" t="s">
        <v>528</v>
      </c>
      <c r="F11" s="27" t="s">
        <v>528</v>
      </c>
      <c r="G11" s="6" t="s">
        <v>14</v>
      </c>
      <c r="H11" s="6" t="s">
        <v>12</v>
      </c>
      <c r="I11" s="6" t="s">
        <v>14</v>
      </c>
      <c r="J11" s="6" t="s">
        <v>12</v>
      </c>
      <c r="K11" s="6" t="s">
        <v>14</v>
      </c>
      <c r="L11" s="6" t="s">
        <v>12</v>
      </c>
      <c r="M11" s="6" t="s">
        <v>381</v>
      </c>
      <c r="N11" s="6" t="s">
        <v>381</v>
      </c>
      <c r="O11" s="6" t="s">
        <v>381</v>
      </c>
      <c r="P11" s="6" t="s">
        <v>660</v>
      </c>
      <c r="Q11" s="6" t="s">
        <v>67</v>
      </c>
      <c r="R11" s="6" t="s">
        <v>662</v>
      </c>
      <c r="S11" s="6" t="s">
        <v>661</v>
      </c>
      <c r="T11" s="6" t="s">
        <v>661</v>
      </c>
      <c r="U11" s="6" t="s">
        <v>67</v>
      </c>
      <c r="V11" s="6" t="s">
        <v>663</v>
      </c>
      <c r="W11" s="6" t="s">
        <v>177</v>
      </c>
    </row>
    <row r="12" spans="1:23">
      <c r="A12" s="6" t="s">
        <v>4</v>
      </c>
      <c r="B12" s="28" t="s">
        <v>672</v>
      </c>
      <c r="C12" s="28" t="s">
        <v>671</v>
      </c>
      <c r="D12" s="28" t="s">
        <v>688</v>
      </c>
      <c r="E12" s="28" t="s">
        <v>671</v>
      </c>
      <c r="F12" s="28" t="s">
        <v>688</v>
      </c>
      <c r="G12" s="6" t="s">
        <v>0</v>
      </c>
      <c r="H12" s="6" t="s">
        <v>0</v>
      </c>
      <c r="I12" s="6" t="s">
        <v>566</v>
      </c>
      <c r="J12" s="6" t="s">
        <v>566</v>
      </c>
      <c r="K12" s="6" t="s">
        <v>567</v>
      </c>
      <c r="L12" s="6" t="s">
        <v>567</v>
      </c>
      <c r="M12" s="6" t="s">
        <v>566</v>
      </c>
      <c r="N12" s="6" t="s">
        <v>567</v>
      </c>
      <c r="O12" s="6" t="s">
        <v>0</v>
      </c>
      <c r="P12" s="6" t="s">
        <v>566</v>
      </c>
      <c r="Q12" s="6" t="s">
        <v>567</v>
      </c>
      <c r="R12" s="6" t="s">
        <v>0</v>
      </c>
      <c r="S12" s="6" t="s">
        <v>117</v>
      </c>
      <c r="T12" s="6" t="s">
        <v>14</v>
      </c>
      <c r="U12" s="6" t="s">
        <v>661</v>
      </c>
      <c r="V12" s="6" t="s">
        <v>0</v>
      </c>
      <c r="W12" s="6" t="s">
        <v>16</v>
      </c>
    </row>
    <row r="13" spans="1:23">
      <c r="A13" s="10">
        <v>-1</v>
      </c>
      <c r="B13" s="10">
        <f>A13-1</f>
        <v>-2</v>
      </c>
      <c r="C13" s="10">
        <f>B13-1</f>
        <v>-3</v>
      </c>
      <c r="D13" s="10">
        <f t="shared" ref="D13:W13" si="0">C13-1</f>
        <v>-4</v>
      </c>
      <c r="E13" s="10">
        <f t="shared" si="0"/>
        <v>-5</v>
      </c>
      <c r="F13" s="10">
        <f t="shared" si="0"/>
        <v>-6</v>
      </c>
      <c r="G13" s="10">
        <f t="shared" si="0"/>
        <v>-7</v>
      </c>
      <c r="H13" s="10">
        <f t="shared" si="0"/>
        <v>-8</v>
      </c>
      <c r="I13" s="10">
        <f t="shared" si="0"/>
        <v>-9</v>
      </c>
      <c r="J13" s="10">
        <f t="shared" si="0"/>
        <v>-10</v>
      </c>
      <c r="K13" s="10">
        <f t="shared" si="0"/>
        <v>-11</v>
      </c>
      <c r="L13" s="10">
        <f t="shared" si="0"/>
        <v>-12</v>
      </c>
      <c r="M13" s="10">
        <f>L13-1</f>
        <v>-13</v>
      </c>
      <c r="N13" s="10">
        <f t="shared" si="0"/>
        <v>-14</v>
      </c>
      <c r="O13" s="10">
        <f t="shared" si="0"/>
        <v>-15</v>
      </c>
      <c r="P13" s="10">
        <f t="shared" si="0"/>
        <v>-16</v>
      </c>
      <c r="Q13" s="10">
        <f t="shared" si="0"/>
        <v>-17</v>
      </c>
      <c r="R13" s="10">
        <f t="shared" si="0"/>
        <v>-18</v>
      </c>
      <c r="S13" s="10">
        <f t="shared" si="0"/>
        <v>-19</v>
      </c>
      <c r="T13" s="10">
        <f t="shared" si="0"/>
        <v>-20</v>
      </c>
      <c r="U13" s="10">
        <f t="shared" si="0"/>
        <v>-21</v>
      </c>
      <c r="V13" s="10">
        <f t="shared" si="0"/>
        <v>-22</v>
      </c>
      <c r="W13" s="10">
        <f t="shared" si="0"/>
        <v>-23</v>
      </c>
    </row>
    <row r="14" spans="1:23">
      <c r="A14" s="80"/>
      <c r="B14" s="80"/>
      <c r="C14" s="6"/>
      <c r="D14" s="6"/>
      <c r="E14" s="6"/>
      <c r="F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</row>
    <row r="15" spans="1:23">
      <c r="A15" s="6">
        <v>1992</v>
      </c>
      <c r="B15" s="81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>
        <f>'Exhibit C,1'!AA16</f>
        <v>0</v>
      </c>
      <c r="T15" s="87">
        <v>0</v>
      </c>
      <c r="U15" s="81">
        <f>S15+T15</f>
        <v>0</v>
      </c>
      <c r="V15" s="81">
        <f>R15+U15</f>
        <v>0</v>
      </c>
      <c r="W15" s="87"/>
    </row>
    <row r="16" spans="1:23">
      <c r="A16" s="6">
        <f>A15+1</f>
        <v>1993</v>
      </c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>
        <f>'Exhibit C,1'!AA17</f>
        <v>0</v>
      </c>
      <c r="T16" s="87">
        <v>0</v>
      </c>
      <c r="U16" s="81">
        <f t="shared" ref="U16:U44" si="1">S16+T16</f>
        <v>0</v>
      </c>
      <c r="V16" s="81">
        <f t="shared" ref="V16:V44" si="2">R16+U16</f>
        <v>0</v>
      </c>
      <c r="W16" s="87"/>
    </row>
    <row r="17" spans="1:23">
      <c r="A17" s="6">
        <f t="shared" ref="A17:A43" si="3">A16+1</f>
        <v>1994</v>
      </c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>
        <f>'Exhibit C,1'!AA18</f>
        <v>0</v>
      </c>
      <c r="T17" s="87">
        <v>0</v>
      </c>
      <c r="U17" s="81">
        <f t="shared" si="1"/>
        <v>0</v>
      </c>
      <c r="V17" s="81">
        <f t="shared" si="2"/>
        <v>0</v>
      </c>
      <c r="W17" s="87"/>
    </row>
    <row r="18" spans="1:23">
      <c r="A18" s="6">
        <f t="shared" si="3"/>
        <v>1995</v>
      </c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>
        <f>'Exhibit C,1'!AA19</f>
        <v>0</v>
      </c>
      <c r="T18" s="87">
        <v>0</v>
      </c>
      <c r="U18" s="81">
        <f t="shared" si="1"/>
        <v>0</v>
      </c>
      <c r="V18" s="81">
        <f t="shared" si="2"/>
        <v>0</v>
      </c>
      <c r="W18" s="87"/>
    </row>
    <row r="19" spans="1:23">
      <c r="A19" s="6">
        <f t="shared" si="3"/>
        <v>1996</v>
      </c>
      <c r="B19" s="81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>
        <f>'Exhibit C,1'!AA20</f>
        <v>0</v>
      </c>
      <c r="T19" s="87">
        <v>0</v>
      </c>
      <c r="U19" s="81">
        <f t="shared" si="1"/>
        <v>0</v>
      </c>
      <c r="V19" s="81">
        <f t="shared" si="2"/>
        <v>0</v>
      </c>
      <c r="W19" s="87"/>
    </row>
    <row r="20" spans="1:23">
      <c r="A20" s="6">
        <f t="shared" si="3"/>
        <v>1997</v>
      </c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>
        <f>'Exhibit C,1'!AA21</f>
        <v>0</v>
      </c>
      <c r="T20" s="87">
        <v>0</v>
      </c>
      <c r="U20" s="81">
        <f t="shared" si="1"/>
        <v>0</v>
      </c>
      <c r="V20" s="81">
        <f t="shared" si="2"/>
        <v>0</v>
      </c>
      <c r="W20" s="87"/>
    </row>
    <row r="21" spans="1:23">
      <c r="A21" s="6">
        <f t="shared" si="3"/>
        <v>1998</v>
      </c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>
        <f>'Exhibit C,1'!AA22</f>
        <v>0</v>
      </c>
      <c r="T21" s="87">
        <v>0</v>
      </c>
      <c r="U21" s="81">
        <f t="shared" si="1"/>
        <v>0</v>
      </c>
      <c r="V21" s="81">
        <f t="shared" si="2"/>
        <v>0</v>
      </c>
      <c r="W21" s="87"/>
    </row>
    <row r="22" spans="1:23">
      <c r="A22" s="6">
        <f t="shared" si="3"/>
        <v>1999</v>
      </c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>
        <f>'Exhibit C,1'!AA23</f>
        <v>0</v>
      </c>
      <c r="T22" s="87">
        <v>0</v>
      </c>
      <c r="U22" s="81">
        <f t="shared" si="1"/>
        <v>0</v>
      </c>
      <c r="V22" s="81">
        <f t="shared" si="2"/>
        <v>0</v>
      </c>
      <c r="W22" s="87"/>
    </row>
    <row r="23" spans="1:23">
      <c r="A23" s="6">
        <f t="shared" si="3"/>
        <v>2000</v>
      </c>
      <c r="B23" s="81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>
        <f>'Exhibit C,1'!AA24</f>
        <v>0</v>
      </c>
      <c r="T23" s="87">
        <v>0</v>
      </c>
      <c r="U23" s="81">
        <f t="shared" si="1"/>
        <v>0</v>
      </c>
      <c r="V23" s="81">
        <f t="shared" si="2"/>
        <v>0</v>
      </c>
      <c r="W23" s="87"/>
    </row>
    <row r="24" spans="1:23">
      <c r="A24" s="6">
        <f t="shared" si="3"/>
        <v>2001</v>
      </c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>
        <f>'Exhibit C,1'!AA25</f>
        <v>0</v>
      </c>
      <c r="T24" s="87">
        <v>0</v>
      </c>
      <c r="U24" s="81">
        <f t="shared" si="1"/>
        <v>0</v>
      </c>
      <c r="V24" s="81">
        <f t="shared" si="2"/>
        <v>0</v>
      </c>
      <c r="W24" s="87"/>
    </row>
    <row r="25" spans="1:23">
      <c r="A25" s="6">
        <f t="shared" si="3"/>
        <v>2002</v>
      </c>
      <c r="B25" s="81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>
        <f>'Exhibit C,1'!AA26</f>
        <v>0</v>
      </c>
      <c r="T25" s="87">
        <v>0</v>
      </c>
      <c r="U25" s="81">
        <f t="shared" si="1"/>
        <v>0</v>
      </c>
      <c r="V25" s="81">
        <f t="shared" si="2"/>
        <v>0</v>
      </c>
      <c r="W25" s="87"/>
    </row>
    <row r="26" spans="1:23">
      <c r="A26" s="6">
        <f t="shared" si="3"/>
        <v>2003</v>
      </c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>
        <f>'Exhibit C,1'!AA27</f>
        <v>0</v>
      </c>
      <c r="T26" s="87">
        <v>0</v>
      </c>
      <c r="U26" s="81">
        <f t="shared" si="1"/>
        <v>0</v>
      </c>
      <c r="V26" s="81">
        <f t="shared" si="2"/>
        <v>0</v>
      </c>
      <c r="W26" s="87"/>
    </row>
    <row r="27" spans="1:23">
      <c r="A27" s="6">
        <f t="shared" si="3"/>
        <v>2004</v>
      </c>
      <c r="B27" s="81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>
        <f>'Exhibit C,1'!AA28</f>
        <v>0</v>
      </c>
      <c r="T27" s="87">
        <v>0</v>
      </c>
      <c r="U27" s="81">
        <f t="shared" si="1"/>
        <v>0</v>
      </c>
      <c r="V27" s="81">
        <f t="shared" si="2"/>
        <v>0</v>
      </c>
      <c r="W27" s="87"/>
    </row>
    <row r="28" spans="1:23">
      <c r="A28" s="6">
        <f t="shared" si="3"/>
        <v>2005</v>
      </c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>
        <f>'Exhibit C,1'!AA29</f>
        <v>0</v>
      </c>
      <c r="T28" s="87">
        <v>0</v>
      </c>
      <c r="U28" s="81">
        <f t="shared" si="1"/>
        <v>0</v>
      </c>
      <c r="V28" s="81">
        <f t="shared" si="2"/>
        <v>0</v>
      </c>
      <c r="W28" s="87"/>
    </row>
    <row r="29" spans="1:23">
      <c r="A29" s="6">
        <f t="shared" si="3"/>
        <v>2006</v>
      </c>
      <c r="B29" s="81">
        <f>'Exhibit U,8'!AA17</f>
        <v>0</v>
      </c>
      <c r="C29" s="81">
        <f>'Exhibit U,8'!W17</f>
        <v>0</v>
      </c>
      <c r="D29" s="81">
        <f>'Exhibit U,8'!Y17</f>
        <v>1911758.4000000001</v>
      </c>
      <c r="E29" s="81">
        <f>'Exhibit U,8'!X17</f>
        <v>0</v>
      </c>
      <c r="F29" s="81">
        <f>'Exhibit U,8'!Z17</f>
        <v>1911758.4000000001</v>
      </c>
      <c r="G29" s="81">
        <f t="shared" ref="G29:G44" si="4">C29+E29-B29</f>
        <v>0</v>
      </c>
      <c r="H29" s="81">
        <f>SUM(C29:F29)-B29</f>
        <v>3823516.8000000003</v>
      </c>
      <c r="I29" s="81">
        <f t="shared" ref="I29:I44" si="5">C29-B29</f>
        <v>0</v>
      </c>
      <c r="J29" s="81">
        <f>I29+D29</f>
        <v>1911758.4000000001</v>
      </c>
      <c r="K29" s="81">
        <f t="shared" ref="K29:L44" si="6">E29</f>
        <v>0</v>
      </c>
      <c r="L29" s="81">
        <f>K29+F29</f>
        <v>1911758.4000000001</v>
      </c>
      <c r="M29" s="81">
        <f t="shared" ref="M29:M44" si="7">O29*(1-N$10)</f>
        <v>0</v>
      </c>
      <c r="N29" s="81">
        <f t="shared" ref="N29:N44" si="8">O29-M29</f>
        <v>0</v>
      </c>
      <c r="O29" s="81">
        <f>'Exhibit U,2'!Q17</f>
        <v>0</v>
      </c>
      <c r="P29" s="81">
        <f t="shared" ref="P29:P44" si="9">J29+M29</f>
        <v>1911758.4000000001</v>
      </c>
      <c r="Q29" s="81">
        <f t="shared" ref="Q29:Q44" si="10">L29+N29</f>
        <v>1911758.4000000001</v>
      </c>
      <c r="R29" s="81">
        <f t="shared" ref="R29:R44" si="11">P29+Q29</f>
        <v>3823516.8000000003</v>
      </c>
      <c r="S29" s="81">
        <f>'Exhibit C,1'!AA30</f>
        <v>0</v>
      </c>
      <c r="T29" s="87">
        <v>0</v>
      </c>
      <c r="U29" s="81">
        <f t="shared" si="1"/>
        <v>0</v>
      </c>
      <c r="V29" s="81">
        <f t="shared" si="2"/>
        <v>3823516.8000000003</v>
      </c>
      <c r="W29" s="87"/>
    </row>
    <row r="30" spans="1:23">
      <c r="A30" s="6">
        <f t="shared" si="3"/>
        <v>2007</v>
      </c>
      <c r="B30" s="81">
        <f>'Exhibit U,8'!AA18</f>
        <v>0</v>
      </c>
      <c r="C30" s="81">
        <f>'Exhibit U,8'!W18</f>
        <v>0</v>
      </c>
      <c r="D30" s="81">
        <f>'Exhibit U,8'!Y18</f>
        <v>2191506.25</v>
      </c>
      <c r="E30" s="81">
        <f>'Exhibit U,8'!X18</f>
        <v>0</v>
      </c>
      <c r="F30" s="81">
        <f>'Exhibit U,8'!Z18</f>
        <v>2191506.25</v>
      </c>
      <c r="G30" s="81">
        <f t="shared" si="4"/>
        <v>0</v>
      </c>
      <c r="H30" s="81">
        <f t="shared" ref="H30:H43" si="12">SUM(C30:F30)-B30</f>
        <v>4383012.5</v>
      </c>
      <c r="I30" s="81">
        <f t="shared" si="5"/>
        <v>0</v>
      </c>
      <c r="J30" s="81">
        <f t="shared" ref="J30:J43" si="13">I30+D30</f>
        <v>2191506.25</v>
      </c>
      <c r="K30" s="81">
        <f t="shared" si="6"/>
        <v>0</v>
      </c>
      <c r="L30" s="81">
        <f t="shared" ref="L30:L43" si="14">K30+F30</f>
        <v>2191506.25</v>
      </c>
      <c r="M30" s="81">
        <f t="shared" si="7"/>
        <v>0</v>
      </c>
      <c r="N30" s="81">
        <f t="shared" si="8"/>
        <v>0</v>
      </c>
      <c r="O30" s="81">
        <f>'Exhibit U,2'!Q18</f>
        <v>0</v>
      </c>
      <c r="P30" s="81">
        <f t="shared" si="9"/>
        <v>2191506.25</v>
      </c>
      <c r="Q30" s="81">
        <f t="shared" si="10"/>
        <v>2191506.25</v>
      </c>
      <c r="R30" s="81">
        <f t="shared" si="11"/>
        <v>4383012.5</v>
      </c>
      <c r="S30" s="81">
        <f>'Exhibit C,1'!AA31</f>
        <v>0</v>
      </c>
      <c r="T30" s="87">
        <v>0</v>
      </c>
      <c r="U30" s="81">
        <f t="shared" si="1"/>
        <v>0</v>
      </c>
      <c r="V30" s="81">
        <f t="shared" si="2"/>
        <v>4383012.5</v>
      </c>
      <c r="W30" s="87"/>
    </row>
    <row r="31" spans="1:23">
      <c r="A31" s="6">
        <f t="shared" si="3"/>
        <v>2008</v>
      </c>
      <c r="B31" s="81">
        <f>'Exhibit U,8'!AA19</f>
        <v>243.17999999970198</v>
      </c>
      <c r="C31" s="81">
        <f>'Exhibit U,8'!W19</f>
        <v>0</v>
      </c>
      <c r="D31" s="81">
        <f>'Exhibit U,8'!Y19</f>
        <v>8477120.2699999996</v>
      </c>
      <c r="E31" s="81">
        <f>'Exhibit U,8'!X19</f>
        <v>0</v>
      </c>
      <c r="F31" s="81">
        <f>'Exhibit U,8'!Z19</f>
        <v>8479092.0899999999</v>
      </c>
      <c r="G31" s="81">
        <f t="shared" si="4"/>
        <v>-243.17999999970198</v>
      </c>
      <c r="H31" s="81">
        <f t="shared" si="12"/>
        <v>16955969.18</v>
      </c>
      <c r="I31" s="81">
        <f t="shared" si="5"/>
        <v>-243.17999999970198</v>
      </c>
      <c r="J31" s="81">
        <f t="shared" si="13"/>
        <v>8476877.0899999999</v>
      </c>
      <c r="K31" s="81">
        <f t="shared" si="6"/>
        <v>0</v>
      </c>
      <c r="L31" s="81">
        <f t="shared" si="14"/>
        <v>8479092.0899999999</v>
      </c>
      <c r="M31" s="81">
        <f t="shared" si="7"/>
        <v>0</v>
      </c>
      <c r="N31" s="81">
        <f t="shared" si="8"/>
        <v>0</v>
      </c>
      <c r="O31" s="81">
        <f>'Exhibit U,2'!Q19</f>
        <v>0</v>
      </c>
      <c r="P31" s="81">
        <f t="shared" si="9"/>
        <v>8476877.0899999999</v>
      </c>
      <c r="Q31" s="81">
        <f t="shared" si="10"/>
        <v>8479092.0899999999</v>
      </c>
      <c r="R31" s="81">
        <f t="shared" si="11"/>
        <v>16955969.18</v>
      </c>
      <c r="S31" s="81">
        <f>'Exhibit C,1'!AA32</f>
        <v>0</v>
      </c>
      <c r="T31" s="87">
        <v>0</v>
      </c>
      <c r="U31" s="81">
        <f t="shared" si="1"/>
        <v>0</v>
      </c>
      <c r="V31" s="81">
        <f t="shared" si="2"/>
        <v>16955969.18</v>
      </c>
      <c r="W31" s="87"/>
    </row>
    <row r="32" spans="1:23">
      <c r="A32" s="6">
        <f t="shared" si="3"/>
        <v>2009</v>
      </c>
      <c r="B32" s="81">
        <f>'Exhibit U,8'!AA20</f>
        <v>-520964.58999999985</v>
      </c>
      <c r="C32" s="81">
        <f>'Exhibit U,8'!W20</f>
        <v>0</v>
      </c>
      <c r="D32" s="81">
        <f>'Exhibit U,8'!Y20</f>
        <v>6293240.7800000003</v>
      </c>
      <c r="E32" s="81">
        <f>'Exhibit U,8'!X20</f>
        <v>0</v>
      </c>
      <c r="F32" s="81">
        <f>'Exhibit U,8'!Z20</f>
        <v>6836232.2300000004</v>
      </c>
      <c r="G32" s="81">
        <f t="shared" si="4"/>
        <v>520964.58999999985</v>
      </c>
      <c r="H32" s="81">
        <f t="shared" si="12"/>
        <v>13650437.600000001</v>
      </c>
      <c r="I32" s="81">
        <f t="shared" si="5"/>
        <v>520964.58999999985</v>
      </c>
      <c r="J32" s="81">
        <f t="shared" si="13"/>
        <v>6814205.3700000001</v>
      </c>
      <c r="K32" s="81">
        <f t="shared" si="6"/>
        <v>0</v>
      </c>
      <c r="L32" s="81">
        <f t="shared" si="14"/>
        <v>6836232.2300000004</v>
      </c>
      <c r="M32" s="81">
        <f t="shared" si="7"/>
        <v>0</v>
      </c>
      <c r="N32" s="81">
        <f t="shared" si="8"/>
        <v>0</v>
      </c>
      <c r="O32" s="81">
        <f>'Exhibit U,2'!Q20</f>
        <v>0</v>
      </c>
      <c r="P32" s="81">
        <f t="shared" si="9"/>
        <v>6814205.3700000001</v>
      </c>
      <c r="Q32" s="81">
        <f t="shared" si="10"/>
        <v>6836232.2300000004</v>
      </c>
      <c r="R32" s="81">
        <f t="shared" si="11"/>
        <v>13650437.600000001</v>
      </c>
      <c r="S32" s="81">
        <f>'Exhibit C,1'!AA33</f>
        <v>0</v>
      </c>
      <c r="T32" s="87">
        <v>0</v>
      </c>
      <c r="U32" s="81">
        <f t="shared" si="1"/>
        <v>0</v>
      </c>
      <c r="V32" s="81">
        <f t="shared" si="2"/>
        <v>13650437.600000001</v>
      </c>
      <c r="W32" s="87"/>
    </row>
    <row r="33" spans="1:23">
      <c r="A33" s="6">
        <f t="shared" si="3"/>
        <v>2010</v>
      </c>
      <c r="B33" s="81">
        <f>'Exhibit U,8'!AA21</f>
        <v>-1570213.3000000007</v>
      </c>
      <c r="C33" s="81">
        <f>'Exhibit U,8'!W21</f>
        <v>0</v>
      </c>
      <c r="D33" s="81">
        <f>'Exhibit U,8'!Y21</f>
        <v>16336660.51</v>
      </c>
      <c r="E33" s="81">
        <f>'Exhibit U,8'!X21</f>
        <v>0</v>
      </c>
      <c r="F33" s="81">
        <f>'Exhibit U,8'!Z21</f>
        <v>19139666.039999999</v>
      </c>
      <c r="G33" s="81">
        <f t="shared" si="4"/>
        <v>1570213.3000000007</v>
      </c>
      <c r="H33" s="81">
        <f t="shared" si="12"/>
        <v>37046539.849999994</v>
      </c>
      <c r="I33" s="81">
        <f t="shared" si="5"/>
        <v>1570213.3000000007</v>
      </c>
      <c r="J33" s="81">
        <f t="shared" si="13"/>
        <v>17906873.810000002</v>
      </c>
      <c r="K33" s="81">
        <f t="shared" si="6"/>
        <v>0</v>
      </c>
      <c r="L33" s="81">
        <f t="shared" si="14"/>
        <v>19139666.039999999</v>
      </c>
      <c r="M33" s="81">
        <f t="shared" si="7"/>
        <v>0</v>
      </c>
      <c r="N33" s="81">
        <f t="shared" si="8"/>
        <v>0</v>
      </c>
      <c r="O33" s="81">
        <f>'Exhibit U,2'!Q21</f>
        <v>0</v>
      </c>
      <c r="P33" s="81">
        <f t="shared" si="9"/>
        <v>17906873.810000002</v>
      </c>
      <c r="Q33" s="81">
        <f t="shared" si="10"/>
        <v>19139666.039999999</v>
      </c>
      <c r="R33" s="81">
        <f t="shared" si="11"/>
        <v>37046539.850000001</v>
      </c>
      <c r="S33" s="81">
        <f>'Exhibit C,1'!AA34</f>
        <v>10229.932406359221</v>
      </c>
      <c r="T33" s="87">
        <v>20908</v>
      </c>
      <c r="U33" s="81">
        <f t="shared" si="1"/>
        <v>31137.932406359221</v>
      </c>
      <c r="V33" s="81">
        <f t="shared" si="2"/>
        <v>37077677.78240636</v>
      </c>
      <c r="W33" s="87"/>
    </row>
    <row r="34" spans="1:23">
      <c r="A34" s="6">
        <f t="shared" si="3"/>
        <v>2011</v>
      </c>
      <c r="B34" s="81">
        <f>'Exhibit U,8'!AA22</f>
        <v>-1580865.1699999981</v>
      </c>
      <c r="C34" s="81">
        <f>'Exhibit U,8'!W22</f>
        <v>0</v>
      </c>
      <c r="D34" s="81">
        <f>'Exhibit U,8'!Y22</f>
        <v>10757423.629999999</v>
      </c>
      <c r="E34" s="81">
        <f>'Exhibit U,8'!X22</f>
        <v>0</v>
      </c>
      <c r="F34" s="81">
        <f>'Exhibit U,8'!Z22</f>
        <v>18939107.139999997</v>
      </c>
      <c r="G34" s="81">
        <f t="shared" si="4"/>
        <v>1580865.1699999981</v>
      </c>
      <c r="H34" s="81">
        <f t="shared" si="12"/>
        <v>31277395.939999994</v>
      </c>
      <c r="I34" s="81">
        <f t="shared" si="5"/>
        <v>1580865.1699999981</v>
      </c>
      <c r="J34" s="81">
        <f t="shared" si="13"/>
        <v>12338288.799999997</v>
      </c>
      <c r="K34" s="81">
        <f t="shared" si="6"/>
        <v>0</v>
      </c>
      <c r="L34" s="81">
        <f t="shared" si="14"/>
        <v>18939107.139999997</v>
      </c>
      <c r="M34" s="81">
        <f t="shared" si="7"/>
        <v>0</v>
      </c>
      <c r="N34" s="81">
        <f t="shared" si="8"/>
        <v>0</v>
      </c>
      <c r="O34" s="81">
        <f>'Exhibit U,2'!Q22</f>
        <v>0</v>
      </c>
      <c r="P34" s="81">
        <f t="shared" si="9"/>
        <v>12338288.799999997</v>
      </c>
      <c r="Q34" s="81">
        <f t="shared" si="10"/>
        <v>18939107.139999997</v>
      </c>
      <c r="R34" s="81">
        <f t="shared" si="11"/>
        <v>31277395.939999994</v>
      </c>
      <c r="S34" s="81">
        <f>'Exhibit C,1'!AA35</f>
        <v>66452.584013162355</v>
      </c>
      <c r="T34" s="87">
        <v>31268.203904588619</v>
      </c>
      <c r="U34" s="81">
        <f t="shared" si="1"/>
        <v>97720.787917750975</v>
      </c>
      <c r="V34" s="81">
        <f t="shared" si="2"/>
        <v>31375116.727917746</v>
      </c>
      <c r="W34" s="87">
        <v>6144123</v>
      </c>
    </row>
    <row r="35" spans="1:23">
      <c r="A35" s="6">
        <f t="shared" si="3"/>
        <v>2012</v>
      </c>
      <c r="B35" s="81">
        <f>'Exhibit U,8'!AA23</f>
        <v>-2446251.2099999972</v>
      </c>
      <c r="C35" s="81">
        <f>'Exhibit U,8'!W23</f>
        <v>0</v>
      </c>
      <c r="D35" s="81">
        <f>'Exhibit U,8'!Y23</f>
        <v>16324359.68</v>
      </c>
      <c r="E35" s="81">
        <f>'Exhibit U,8'!X23</f>
        <v>0</v>
      </c>
      <c r="F35" s="81">
        <f>'Exhibit U,8'!Z23</f>
        <v>23487270.369999997</v>
      </c>
      <c r="G35" s="81">
        <f t="shared" si="4"/>
        <v>2446251.2099999972</v>
      </c>
      <c r="H35" s="81">
        <f t="shared" si="12"/>
        <v>42257881.25999999</v>
      </c>
      <c r="I35" s="81">
        <f t="shared" si="5"/>
        <v>2446251.2099999972</v>
      </c>
      <c r="J35" s="81">
        <f t="shared" si="13"/>
        <v>18770610.889999997</v>
      </c>
      <c r="K35" s="81">
        <f t="shared" si="6"/>
        <v>0</v>
      </c>
      <c r="L35" s="81">
        <f t="shared" si="14"/>
        <v>23487270.369999997</v>
      </c>
      <c r="M35" s="81">
        <f t="shared" si="7"/>
        <v>25418.340519814661</v>
      </c>
      <c r="N35" s="81">
        <f t="shared" si="8"/>
        <v>7379.5182154300601</v>
      </c>
      <c r="O35" s="81">
        <f>'Exhibit U,2'!Q23</f>
        <v>32797.858735244721</v>
      </c>
      <c r="P35" s="81">
        <f t="shared" si="9"/>
        <v>18796029.230519813</v>
      </c>
      <c r="Q35" s="81">
        <f t="shared" si="10"/>
        <v>23494649.888215426</v>
      </c>
      <c r="R35" s="81">
        <f t="shared" si="11"/>
        <v>42290679.118735239</v>
      </c>
      <c r="S35" s="81">
        <f>'Exhibit C,1'!AA36</f>
        <v>102395.45073901722</v>
      </c>
      <c r="T35" s="87">
        <v>59230.778272605326</v>
      </c>
      <c r="U35" s="81">
        <f t="shared" si="1"/>
        <v>161626.22901162255</v>
      </c>
      <c r="V35" s="81">
        <f t="shared" si="2"/>
        <v>42452305.347746864</v>
      </c>
      <c r="W35" s="87">
        <v>10542056.1</v>
      </c>
    </row>
    <row r="36" spans="1:23">
      <c r="A36" s="6">
        <f t="shared" si="3"/>
        <v>2013</v>
      </c>
      <c r="B36" s="81">
        <f>'Exhibit U,8'!AA24</f>
        <v>218109.83999999939</v>
      </c>
      <c r="C36" s="81">
        <f>'Exhibit U,8'!W24</f>
        <v>0</v>
      </c>
      <c r="D36" s="81">
        <f>'Exhibit U,8'!Y24</f>
        <v>1161076.8900000001</v>
      </c>
      <c r="E36" s="81">
        <f>'Exhibit U,8'!X24</f>
        <v>0</v>
      </c>
      <c r="F36" s="81">
        <f>'Exhibit U,8'!Z24</f>
        <v>3767684.3400000003</v>
      </c>
      <c r="G36" s="81">
        <f t="shared" si="4"/>
        <v>-218109.83999999939</v>
      </c>
      <c r="H36" s="81">
        <f t="shared" si="12"/>
        <v>4710651.3900000006</v>
      </c>
      <c r="I36" s="81">
        <f t="shared" si="5"/>
        <v>-218109.83999999939</v>
      </c>
      <c r="J36" s="81">
        <f t="shared" si="13"/>
        <v>942967.05000000075</v>
      </c>
      <c r="K36" s="81">
        <f t="shared" si="6"/>
        <v>0</v>
      </c>
      <c r="L36" s="81">
        <f t="shared" si="14"/>
        <v>3767684.3400000003</v>
      </c>
      <c r="M36" s="81">
        <f t="shared" si="7"/>
        <v>60661.865339677657</v>
      </c>
      <c r="N36" s="81">
        <f t="shared" si="8"/>
        <v>17611.509292164475</v>
      </c>
      <c r="O36" s="81">
        <f>'Exhibit U,2'!Q24</f>
        <v>78273.374631842133</v>
      </c>
      <c r="P36" s="81">
        <f t="shared" si="9"/>
        <v>1003628.9153396784</v>
      </c>
      <c r="Q36" s="81">
        <f t="shared" si="10"/>
        <v>3785295.8492921647</v>
      </c>
      <c r="R36" s="81">
        <f t="shared" si="11"/>
        <v>4788924.7646318432</v>
      </c>
      <c r="S36" s="81">
        <f>'Exhibit C,1'!AA37</f>
        <v>34635.9149720563</v>
      </c>
      <c r="T36" s="87">
        <v>155699.98216735915</v>
      </c>
      <c r="U36" s="81">
        <f t="shared" si="1"/>
        <v>190335.89713941544</v>
      </c>
      <c r="V36" s="81">
        <f t="shared" si="2"/>
        <v>4979260.6617712583</v>
      </c>
      <c r="W36" s="87">
        <v>11241094.970000001</v>
      </c>
    </row>
    <row r="37" spans="1:23">
      <c r="A37" s="6">
        <f t="shared" si="3"/>
        <v>2014</v>
      </c>
      <c r="B37" s="81">
        <f>'Exhibit U,8'!AA25</f>
        <v>1710698.8499999996</v>
      </c>
      <c r="C37" s="81">
        <f>'Exhibit U,8'!W25</f>
        <v>0</v>
      </c>
      <c r="D37" s="81">
        <f>'Exhibit U,8'!Y25</f>
        <v>3417254.3499999996</v>
      </c>
      <c r="E37" s="81">
        <f>'Exhibit U,8'!X25</f>
        <v>0</v>
      </c>
      <c r="F37" s="81">
        <f>'Exhibit U,8'!Z25</f>
        <v>8279394.6600000001</v>
      </c>
      <c r="G37" s="81">
        <f t="shared" si="4"/>
        <v>-1710698.8499999996</v>
      </c>
      <c r="H37" s="81">
        <f t="shared" si="12"/>
        <v>9985950.1600000001</v>
      </c>
      <c r="I37" s="81">
        <f t="shared" si="5"/>
        <v>-1710698.8499999996</v>
      </c>
      <c r="J37" s="81">
        <f t="shared" si="13"/>
        <v>1706555.5</v>
      </c>
      <c r="K37" s="81">
        <f t="shared" si="6"/>
        <v>0</v>
      </c>
      <c r="L37" s="81">
        <f t="shared" si="14"/>
        <v>8279394.6600000001</v>
      </c>
      <c r="M37" s="81">
        <f t="shared" si="7"/>
        <v>1272239.640276301</v>
      </c>
      <c r="N37" s="81">
        <f t="shared" si="8"/>
        <v>369359.89556408743</v>
      </c>
      <c r="O37" s="81">
        <f>'Exhibit U,2'!Q25</f>
        <v>1641599.5358403884</v>
      </c>
      <c r="P37" s="81">
        <f t="shared" si="9"/>
        <v>2978795.1402763007</v>
      </c>
      <c r="Q37" s="81">
        <f t="shared" si="10"/>
        <v>8648754.5555640869</v>
      </c>
      <c r="R37" s="81">
        <f t="shared" si="11"/>
        <v>11627549.695840389</v>
      </c>
      <c r="S37" s="81">
        <f>'Exhibit C,1'!AA38</f>
        <v>150697.60019198371</v>
      </c>
      <c r="T37" s="87">
        <v>285466.50229974778</v>
      </c>
      <c r="U37" s="81">
        <f t="shared" si="1"/>
        <v>436164.10249173152</v>
      </c>
      <c r="V37" s="81">
        <f t="shared" si="2"/>
        <v>12063713.798332119</v>
      </c>
      <c r="W37" s="87">
        <v>11721433.5955</v>
      </c>
    </row>
    <row r="38" spans="1:23">
      <c r="A38" s="6">
        <f t="shared" si="3"/>
        <v>2015</v>
      </c>
      <c r="B38" s="81">
        <f>'Exhibit U,8'!AA26</f>
        <v>-80799.110000000335</v>
      </c>
      <c r="C38" s="81">
        <f>'Exhibit U,8'!W26</f>
        <v>0</v>
      </c>
      <c r="D38" s="81">
        <f>'Exhibit U,8'!Y26</f>
        <v>4964695.7699999996</v>
      </c>
      <c r="E38" s="81">
        <f>'Exhibit U,8'!X26</f>
        <v>0</v>
      </c>
      <c r="F38" s="81">
        <f>'Exhibit U,8'!Z26</f>
        <v>8247223.2199999997</v>
      </c>
      <c r="G38" s="81">
        <f t="shared" si="4"/>
        <v>80799.110000000335</v>
      </c>
      <c r="H38" s="81">
        <f t="shared" si="12"/>
        <v>13292718.099999998</v>
      </c>
      <c r="I38" s="81">
        <f t="shared" si="5"/>
        <v>80799.110000000335</v>
      </c>
      <c r="J38" s="81">
        <f t="shared" si="13"/>
        <v>5045494.88</v>
      </c>
      <c r="K38" s="81">
        <f t="shared" si="6"/>
        <v>0</v>
      </c>
      <c r="L38" s="81">
        <f t="shared" si="14"/>
        <v>8247223.2199999997</v>
      </c>
      <c r="M38" s="81">
        <f t="shared" si="7"/>
        <v>2398733.5727587738</v>
      </c>
      <c r="N38" s="81">
        <f t="shared" si="8"/>
        <v>696406.52112351498</v>
      </c>
      <c r="O38" s="81">
        <f>'Exhibit U,2'!Q26</f>
        <v>3095140.0938822888</v>
      </c>
      <c r="P38" s="81">
        <f t="shared" si="9"/>
        <v>7444228.4527587742</v>
      </c>
      <c r="Q38" s="81">
        <f t="shared" si="10"/>
        <v>8943629.7411235142</v>
      </c>
      <c r="R38" s="81">
        <f t="shared" si="11"/>
        <v>16387858.193882288</v>
      </c>
      <c r="S38" s="81">
        <f>'Exhibit C,1'!AA39</f>
        <v>140097.96185929148</v>
      </c>
      <c r="T38" s="87">
        <v>147390.06169770259</v>
      </c>
      <c r="U38" s="81">
        <f t="shared" si="1"/>
        <v>287488.02355699404</v>
      </c>
      <c r="V38" s="81">
        <f t="shared" si="2"/>
        <v>16675346.217439283</v>
      </c>
      <c r="W38" s="87">
        <v>10276845</v>
      </c>
    </row>
    <row r="39" spans="1:23">
      <c r="A39" s="6">
        <f t="shared" si="3"/>
        <v>2016</v>
      </c>
      <c r="B39" s="81">
        <f>'Exhibit U,8'!AA27</f>
        <v>417173</v>
      </c>
      <c r="C39" s="81">
        <f>'Exhibit U,8'!W27</f>
        <v>0</v>
      </c>
      <c r="D39" s="81">
        <f>'Exhibit U,8'!Y27</f>
        <v>1282886.77</v>
      </c>
      <c r="E39" s="81">
        <f>'Exhibit U,8'!X27</f>
        <v>0</v>
      </c>
      <c r="F39" s="81">
        <f>'Exhibit U,8'!Z27</f>
        <v>2827148.46</v>
      </c>
      <c r="G39" s="81">
        <f t="shared" si="4"/>
        <v>-417173</v>
      </c>
      <c r="H39" s="81">
        <f t="shared" si="12"/>
        <v>3692862.23</v>
      </c>
      <c r="I39" s="81">
        <f t="shared" si="5"/>
        <v>-417173</v>
      </c>
      <c r="J39" s="81">
        <f t="shared" si="13"/>
        <v>865713.77</v>
      </c>
      <c r="K39" s="81">
        <f t="shared" si="6"/>
        <v>0</v>
      </c>
      <c r="L39" s="81">
        <f t="shared" si="14"/>
        <v>2827148.46</v>
      </c>
      <c r="M39" s="81">
        <f t="shared" si="7"/>
        <v>2915361.4551269053</v>
      </c>
      <c r="N39" s="81">
        <f t="shared" si="8"/>
        <v>846395.26116587548</v>
      </c>
      <c r="O39" s="81">
        <f>'Exhibit U,2'!Q27</f>
        <v>3761756.7162927808</v>
      </c>
      <c r="P39" s="81">
        <f t="shared" si="9"/>
        <v>3781075.2251269054</v>
      </c>
      <c r="Q39" s="81">
        <f t="shared" si="10"/>
        <v>3673543.7211658754</v>
      </c>
      <c r="R39" s="81">
        <f t="shared" si="11"/>
        <v>7454618.9462927803</v>
      </c>
      <c r="S39" s="81">
        <f>'Exhibit C,1'!AA40</f>
        <v>165339.46144163967</v>
      </c>
      <c r="T39" s="87">
        <v>67837.1877234688</v>
      </c>
      <c r="U39" s="81">
        <f t="shared" si="1"/>
        <v>233176.64916510845</v>
      </c>
      <c r="V39" s="81">
        <f t="shared" si="2"/>
        <v>7687795.5954578891</v>
      </c>
      <c r="W39" s="87">
        <v>11129644</v>
      </c>
    </row>
    <row r="40" spans="1:23">
      <c r="A40" s="6">
        <f t="shared" si="3"/>
        <v>2017</v>
      </c>
      <c r="B40" s="81">
        <f>'Exhibit U,8'!AA28</f>
        <v>193429.11999999988</v>
      </c>
      <c r="C40" s="81">
        <f>'Exhibit U,8'!W28</f>
        <v>0</v>
      </c>
      <c r="D40" s="81">
        <f>'Exhibit U,8'!Y28</f>
        <v>590489.24</v>
      </c>
      <c r="E40" s="81">
        <f>'Exhibit U,8'!X28</f>
        <v>0</v>
      </c>
      <c r="F40" s="81">
        <f>'Exhibit U,8'!Z28</f>
        <v>1414688.76</v>
      </c>
      <c r="G40" s="81">
        <f t="shared" si="4"/>
        <v>-193429.11999999988</v>
      </c>
      <c r="H40" s="81">
        <f t="shared" si="12"/>
        <v>1811748.8800000001</v>
      </c>
      <c r="I40" s="81">
        <f t="shared" si="5"/>
        <v>-193429.11999999988</v>
      </c>
      <c r="J40" s="81">
        <f t="shared" si="13"/>
        <v>397060.12000000011</v>
      </c>
      <c r="K40" s="81">
        <f t="shared" si="6"/>
        <v>0</v>
      </c>
      <c r="L40" s="81">
        <f t="shared" si="14"/>
        <v>1414688.76</v>
      </c>
      <c r="M40" s="81">
        <f t="shared" si="7"/>
        <v>3955984.3271389632</v>
      </c>
      <c r="N40" s="81">
        <f t="shared" si="8"/>
        <v>1148511.5788467955</v>
      </c>
      <c r="O40" s="81">
        <f>'Exhibit U,2'!Q28</f>
        <v>5104495.9059857586</v>
      </c>
      <c r="P40" s="81">
        <f t="shared" si="9"/>
        <v>4353044.4471389633</v>
      </c>
      <c r="Q40" s="81">
        <f t="shared" si="10"/>
        <v>2563200.3388467953</v>
      </c>
      <c r="R40" s="81">
        <f t="shared" si="11"/>
        <v>6916244.7859857585</v>
      </c>
      <c r="S40" s="81">
        <f>'Exhibit C,1'!AA41</f>
        <v>177833.81523936152</v>
      </c>
      <c r="T40" s="87">
        <v>75181.294865767617</v>
      </c>
      <c r="U40" s="81">
        <f t="shared" si="1"/>
        <v>253015.11010512913</v>
      </c>
      <c r="V40" s="81">
        <f t="shared" si="2"/>
        <v>7169259.8960908875</v>
      </c>
      <c r="W40" s="87">
        <v>11042626</v>
      </c>
    </row>
    <row r="41" spans="1:23">
      <c r="A41" s="6">
        <f t="shared" si="3"/>
        <v>2018</v>
      </c>
      <c r="B41" s="81">
        <f>'Exhibit U,8'!AA29</f>
        <v>537657.82000000007</v>
      </c>
      <c r="C41" s="81">
        <f>'Exhibit U,8'!W29</f>
        <v>0</v>
      </c>
      <c r="D41" s="81">
        <f>'Exhibit U,8'!Y29</f>
        <v>136484.78</v>
      </c>
      <c r="E41" s="81">
        <f>'Exhibit U,8'!X29</f>
        <v>0</v>
      </c>
      <c r="F41" s="81">
        <f>'Exhibit U,8'!Z29</f>
        <v>361586.22</v>
      </c>
      <c r="G41" s="81">
        <f t="shared" si="4"/>
        <v>-537657.82000000007</v>
      </c>
      <c r="H41" s="81">
        <f t="shared" si="12"/>
        <v>-39586.820000000065</v>
      </c>
      <c r="I41" s="81">
        <f t="shared" si="5"/>
        <v>-537657.82000000007</v>
      </c>
      <c r="J41" s="81">
        <f t="shared" si="13"/>
        <v>-401173.04000000004</v>
      </c>
      <c r="K41" s="81">
        <f t="shared" si="6"/>
        <v>0</v>
      </c>
      <c r="L41" s="81">
        <f t="shared" si="14"/>
        <v>361586.22</v>
      </c>
      <c r="M41" s="81">
        <f t="shared" si="7"/>
        <v>4239746.0623623366</v>
      </c>
      <c r="N41" s="81">
        <f t="shared" si="8"/>
        <v>1230894.018105194</v>
      </c>
      <c r="O41" s="81">
        <f>'Exhibit U,2'!Q29</f>
        <v>5470640.0804675305</v>
      </c>
      <c r="P41" s="81">
        <f t="shared" si="9"/>
        <v>3838573.0223623365</v>
      </c>
      <c r="Q41" s="81">
        <f t="shared" si="10"/>
        <v>1592480.2381051939</v>
      </c>
      <c r="R41" s="81">
        <f t="shared" si="11"/>
        <v>5431053.2604675302</v>
      </c>
      <c r="S41" s="81">
        <f>'Exhibit C,1'!AA42</f>
        <v>180444.81690172313</v>
      </c>
      <c r="T41" s="87">
        <v>35102.349931094555</v>
      </c>
      <c r="U41" s="81">
        <f t="shared" si="1"/>
        <v>215547.16683281769</v>
      </c>
      <c r="V41" s="81">
        <f t="shared" si="2"/>
        <v>5646600.4273003479</v>
      </c>
      <c r="W41" s="87">
        <v>7563379</v>
      </c>
    </row>
    <row r="42" spans="1:23">
      <c r="A42" s="6">
        <f t="shared" si="3"/>
        <v>2019</v>
      </c>
      <c r="B42" s="81">
        <f>'Exhibit U,8'!AA30</f>
        <v>300323.98</v>
      </c>
      <c r="C42" s="81">
        <f>'Exhibit U,8'!W30</f>
        <v>0</v>
      </c>
      <c r="D42" s="81">
        <f>'Exhibit U,8'!Y30</f>
        <v>6524.88</v>
      </c>
      <c r="E42" s="81">
        <f>'Exhibit U,8'!X30</f>
        <v>0</v>
      </c>
      <c r="F42" s="81">
        <f>'Exhibit U,8'!Z30</f>
        <v>56075</v>
      </c>
      <c r="G42" s="81">
        <f t="shared" si="4"/>
        <v>-300323.98</v>
      </c>
      <c r="H42" s="81">
        <f t="shared" si="12"/>
        <v>-237724.09999999998</v>
      </c>
      <c r="I42" s="81">
        <f t="shared" si="5"/>
        <v>-300323.98</v>
      </c>
      <c r="J42" s="81">
        <f t="shared" si="13"/>
        <v>-293799.09999999998</v>
      </c>
      <c r="K42" s="81">
        <f t="shared" si="6"/>
        <v>0</v>
      </c>
      <c r="L42" s="81">
        <f t="shared" si="14"/>
        <v>56075</v>
      </c>
      <c r="M42" s="81">
        <f t="shared" si="7"/>
        <v>3610552.1430480517</v>
      </c>
      <c r="N42" s="81">
        <f t="shared" si="8"/>
        <v>1048224.8157236278</v>
      </c>
      <c r="O42" s="81">
        <f>'Exhibit U,2'!Q30</f>
        <v>4658776.9587716796</v>
      </c>
      <c r="P42" s="81">
        <f t="shared" si="9"/>
        <v>3316753.0430480517</v>
      </c>
      <c r="Q42" s="81">
        <f t="shared" si="10"/>
        <v>1104299.8157236278</v>
      </c>
      <c r="R42" s="81">
        <f t="shared" si="11"/>
        <v>4421052.8587716799</v>
      </c>
      <c r="S42" s="81">
        <f>'Exhibit C,1'!AA43</f>
        <v>148302.20790508803</v>
      </c>
      <c r="T42" s="87">
        <v>25069.68852585123</v>
      </c>
      <c r="U42" s="81">
        <f t="shared" si="1"/>
        <v>173371.89643093926</v>
      </c>
      <c r="V42" s="81">
        <f t="shared" si="2"/>
        <v>4594424.7552026194</v>
      </c>
      <c r="W42" s="87">
        <v>4179660.8900000025</v>
      </c>
    </row>
    <row r="43" spans="1:23">
      <c r="A43" s="6">
        <f t="shared" si="3"/>
        <v>2020</v>
      </c>
      <c r="B43" s="81">
        <f>'Exhibit U,8'!AA31</f>
        <v>32500</v>
      </c>
      <c r="C43" s="81">
        <f>'Exhibit U,8'!W31</f>
        <v>0</v>
      </c>
      <c r="D43" s="81">
        <f>'Exhibit U,8'!Y31</f>
        <v>0</v>
      </c>
      <c r="E43" s="81">
        <f>'Exhibit U,8'!X31</f>
        <v>0</v>
      </c>
      <c r="F43" s="81">
        <f>'Exhibit U,8'!Z31</f>
        <v>0</v>
      </c>
      <c r="G43" s="81">
        <f t="shared" si="4"/>
        <v>-32500</v>
      </c>
      <c r="H43" s="81">
        <f t="shared" si="12"/>
        <v>-32500</v>
      </c>
      <c r="I43" s="81">
        <f t="shared" si="5"/>
        <v>-32500</v>
      </c>
      <c r="J43" s="81">
        <f t="shared" si="13"/>
        <v>-32500</v>
      </c>
      <c r="K43" s="81">
        <f t="shared" si="6"/>
        <v>0</v>
      </c>
      <c r="L43" s="81">
        <f t="shared" si="14"/>
        <v>0</v>
      </c>
      <c r="M43" s="81">
        <f t="shared" si="7"/>
        <v>2781809.9062322192</v>
      </c>
      <c r="N43" s="81">
        <f t="shared" si="8"/>
        <v>807622.23084161198</v>
      </c>
      <c r="O43" s="81">
        <f>'Exhibit U,2'!Q31</f>
        <v>3589432.1370738312</v>
      </c>
      <c r="P43" s="81">
        <f t="shared" si="9"/>
        <v>2749309.9062322192</v>
      </c>
      <c r="Q43" s="81">
        <f t="shared" si="10"/>
        <v>807622.23084161198</v>
      </c>
      <c r="R43" s="81">
        <f t="shared" si="11"/>
        <v>3556932.1370738312</v>
      </c>
      <c r="S43" s="81">
        <f>'Exhibit C,1'!AA44</f>
        <v>107351.4862308305</v>
      </c>
      <c r="T43" s="87">
        <v>1104.9977364191054</v>
      </c>
      <c r="U43" s="81">
        <f t="shared" si="1"/>
        <v>108456.4839672496</v>
      </c>
      <c r="V43" s="81">
        <f t="shared" si="2"/>
        <v>3665388.6210410809</v>
      </c>
      <c r="W43" s="87">
        <v>4965992.7599999961</v>
      </c>
    </row>
    <row r="44" spans="1:23">
      <c r="A44" s="6"/>
      <c r="B44" s="81"/>
      <c r="C44" s="17"/>
      <c r="D44" s="81"/>
      <c r="E44" s="81"/>
      <c r="F44" s="81"/>
      <c r="G44" s="81">
        <f t="shared" si="4"/>
        <v>0</v>
      </c>
      <c r="H44" s="81">
        <f>D44+F44-B44</f>
        <v>0</v>
      </c>
      <c r="I44" s="81">
        <f t="shared" si="5"/>
        <v>0</v>
      </c>
      <c r="J44" s="81">
        <f>D44-B44</f>
        <v>0</v>
      </c>
      <c r="K44" s="81">
        <f t="shared" si="6"/>
        <v>0</v>
      </c>
      <c r="L44" s="81">
        <f t="shared" si="6"/>
        <v>0</v>
      </c>
      <c r="M44" s="81">
        <f t="shared" si="7"/>
        <v>0</v>
      </c>
      <c r="N44" s="81">
        <f t="shared" si="8"/>
        <v>0</v>
      </c>
      <c r="O44" s="81">
        <f>'Exhibit U,2'!Q32</f>
        <v>0</v>
      </c>
      <c r="P44" s="81">
        <f t="shared" si="9"/>
        <v>0</v>
      </c>
      <c r="Q44" s="81">
        <f t="shared" si="10"/>
        <v>0</v>
      </c>
      <c r="R44" s="81">
        <f t="shared" si="11"/>
        <v>0</v>
      </c>
      <c r="S44" s="81">
        <f>'Exhibit C,1'!AA45</f>
        <v>0</v>
      </c>
      <c r="T44" s="87">
        <v>0</v>
      </c>
      <c r="U44" s="81">
        <f t="shared" si="1"/>
        <v>0</v>
      </c>
      <c r="V44" s="81">
        <f t="shared" si="2"/>
        <v>0</v>
      </c>
      <c r="W44" s="87"/>
    </row>
    <row r="45" spans="1:23">
      <c r="A45" s="6" t="s">
        <v>0</v>
      </c>
      <c r="B45" s="82">
        <f>SUM(B15:B43)</f>
        <v>-2788957.5899999966</v>
      </c>
      <c r="C45" s="82">
        <f>SUM(C15:C43)</f>
        <v>0</v>
      </c>
      <c r="D45" s="82">
        <f t="shared" ref="D45:Q45" si="15">SUM(D15:D43)</f>
        <v>73851482.199999988</v>
      </c>
      <c r="E45" s="82">
        <f t="shared" si="15"/>
        <v>0</v>
      </c>
      <c r="F45" s="82">
        <f t="shared" si="15"/>
        <v>105938433.17999998</v>
      </c>
      <c r="G45" s="82">
        <f>SUM(G15:G43)</f>
        <v>2788957.5899999966</v>
      </c>
      <c r="H45" s="82">
        <f t="shared" si="15"/>
        <v>182578872.96999997</v>
      </c>
      <c r="I45" s="82">
        <f t="shared" si="15"/>
        <v>2788957.5899999966</v>
      </c>
      <c r="J45" s="82">
        <f t="shared" si="15"/>
        <v>76640439.789999992</v>
      </c>
      <c r="K45" s="82">
        <f t="shared" si="15"/>
        <v>0</v>
      </c>
      <c r="L45" s="82">
        <f t="shared" si="15"/>
        <v>105938433.17999998</v>
      </c>
      <c r="M45" s="82">
        <f t="shared" si="15"/>
        <v>21260507.312803041</v>
      </c>
      <c r="N45" s="82">
        <f t="shared" si="15"/>
        <v>6172405.3488783017</v>
      </c>
      <c r="O45" s="82">
        <f t="shared" si="15"/>
        <v>27432912.661681343</v>
      </c>
      <c r="P45" s="82">
        <f t="shared" si="15"/>
        <v>97900947.102803051</v>
      </c>
      <c r="Q45" s="82">
        <f t="shared" si="15"/>
        <v>112110838.52887829</v>
      </c>
      <c r="R45" s="82">
        <f>SUM(R15:R43)</f>
        <v>210011785.63168138</v>
      </c>
      <c r="S45" s="82">
        <f>SUM(S15:S43)</f>
        <v>1283781.2319005129</v>
      </c>
      <c r="T45" s="82">
        <f>SUM(T15:T43)</f>
        <v>904259.04712460469</v>
      </c>
      <c r="U45" s="82">
        <f>SUM(U15:U43)</f>
        <v>2188040.2790251179</v>
      </c>
      <c r="V45" s="82">
        <f>SUM(V15:V43)</f>
        <v>212199825.91070646</v>
      </c>
      <c r="W45" s="90">
        <v>88806855.315499991</v>
      </c>
    </row>
    <row r="46" spans="1:23">
      <c r="A46" s="6"/>
      <c r="B46" s="6"/>
      <c r="C46" s="6"/>
      <c r="D46" s="6"/>
      <c r="E46" s="6"/>
      <c r="F46" s="6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7"/>
    </row>
    <row r="47" spans="1:23">
      <c r="A47" s="6"/>
      <c r="B47" s="6"/>
      <c r="C47" s="6"/>
      <c r="D47" s="6"/>
      <c r="E47" s="6"/>
      <c r="F47" s="6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7"/>
    </row>
    <row r="48" spans="1:23">
      <c r="A48" s="6"/>
      <c r="B48" s="6"/>
      <c r="C48" s="6"/>
      <c r="D48" s="6"/>
      <c r="E48" s="6"/>
      <c r="F48" s="6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7"/>
    </row>
    <row r="49" spans="1:23">
      <c r="A49" s="6" t="s">
        <v>13</v>
      </c>
      <c r="B49" s="6"/>
      <c r="C49" s="6"/>
      <c r="D49" s="6"/>
      <c r="E49" s="6"/>
      <c r="F49" s="6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7"/>
    </row>
    <row r="50" spans="1:23">
      <c r="A50" s="6"/>
      <c r="B50" s="27" t="s">
        <v>665</v>
      </c>
      <c r="C50" s="27" t="s">
        <v>666</v>
      </c>
      <c r="D50" s="27" t="s">
        <v>667</v>
      </c>
      <c r="E50" s="27" t="s">
        <v>665</v>
      </c>
      <c r="F50" s="27" t="s">
        <v>673</v>
      </c>
      <c r="G50" s="17"/>
      <c r="H50" s="81"/>
      <c r="I50" s="81"/>
      <c r="J50" s="81"/>
      <c r="K50" s="81"/>
      <c r="L50" s="81"/>
      <c r="M50" s="17"/>
      <c r="N50" s="83">
        <v>0.05</v>
      </c>
      <c r="O50" s="81"/>
      <c r="P50" s="81"/>
      <c r="Q50" s="81"/>
      <c r="R50" s="81" t="s">
        <v>67</v>
      </c>
      <c r="S50" s="6"/>
      <c r="T50" s="6"/>
      <c r="U50" s="6"/>
      <c r="V50" s="6" t="s">
        <v>67</v>
      </c>
      <c r="W50" s="87"/>
    </row>
    <row r="51" spans="1:23">
      <c r="A51" s="6" t="s">
        <v>3</v>
      </c>
      <c r="B51" s="27" t="s">
        <v>524</v>
      </c>
      <c r="C51" s="27" t="s">
        <v>524</v>
      </c>
      <c r="D51" s="27" t="s">
        <v>524</v>
      </c>
      <c r="E51" s="27" t="s">
        <v>528</v>
      </c>
      <c r="F51" s="27" t="s">
        <v>528</v>
      </c>
      <c r="G51" s="81" t="s">
        <v>14</v>
      </c>
      <c r="H51" s="81" t="s">
        <v>12</v>
      </c>
      <c r="I51" s="81" t="s">
        <v>14</v>
      </c>
      <c r="J51" s="81" t="s">
        <v>12</v>
      </c>
      <c r="K51" s="81" t="s">
        <v>14</v>
      </c>
      <c r="L51" s="81" t="s">
        <v>12</v>
      </c>
      <c r="M51" s="81" t="s">
        <v>381</v>
      </c>
      <c r="N51" s="81" t="s">
        <v>381</v>
      </c>
      <c r="O51" s="81" t="s">
        <v>381</v>
      </c>
      <c r="P51" s="81" t="s">
        <v>660</v>
      </c>
      <c r="Q51" s="81" t="s">
        <v>67</v>
      </c>
      <c r="R51" s="81" t="s">
        <v>662</v>
      </c>
      <c r="S51" s="6" t="s">
        <v>661</v>
      </c>
      <c r="T51" s="6" t="s">
        <v>661</v>
      </c>
      <c r="U51" s="6" t="s">
        <v>67</v>
      </c>
      <c r="V51" s="6" t="s">
        <v>663</v>
      </c>
      <c r="W51" s="6" t="s">
        <v>177</v>
      </c>
    </row>
    <row r="52" spans="1:23">
      <c r="A52" s="6" t="s">
        <v>4</v>
      </c>
      <c r="B52" s="28" t="s">
        <v>668</v>
      </c>
      <c r="C52" s="28" t="s">
        <v>669</v>
      </c>
      <c r="D52" s="28" t="s">
        <v>670</v>
      </c>
      <c r="E52" s="28" t="s">
        <v>668</v>
      </c>
      <c r="F52" s="28" t="s">
        <v>670</v>
      </c>
      <c r="G52" s="81" t="s">
        <v>0</v>
      </c>
      <c r="H52" s="81" t="s">
        <v>0</v>
      </c>
      <c r="I52" s="81" t="s">
        <v>566</v>
      </c>
      <c r="J52" s="81" t="s">
        <v>566</v>
      </c>
      <c r="K52" s="81" t="s">
        <v>567</v>
      </c>
      <c r="L52" s="81" t="s">
        <v>567</v>
      </c>
      <c r="M52" s="81" t="s">
        <v>566</v>
      </c>
      <c r="N52" s="81" t="s">
        <v>567</v>
      </c>
      <c r="O52" s="81" t="s">
        <v>0</v>
      </c>
      <c r="P52" s="81" t="s">
        <v>566</v>
      </c>
      <c r="Q52" s="81" t="s">
        <v>567</v>
      </c>
      <c r="R52" s="81" t="s">
        <v>0</v>
      </c>
      <c r="S52" s="6" t="s">
        <v>117</v>
      </c>
      <c r="T52" s="6" t="s">
        <v>14</v>
      </c>
      <c r="U52" s="6" t="s">
        <v>661</v>
      </c>
      <c r="V52" s="6" t="s">
        <v>0</v>
      </c>
      <c r="W52" s="6" t="s">
        <v>16</v>
      </c>
    </row>
    <row r="53" spans="1:23">
      <c r="A53" s="10">
        <v>-1</v>
      </c>
      <c r="B53" s="10">
        <f>A53-1</f>
        <v>-2</v>
      </c>
      <c r="C53" s="10">
        <f>B53-1</f>
        <v>-3</v>
      </c>
      <c r="D53" s="10">
        <f t="shared" ref="D53:L53" si="16">C53-1</f>
        <v>-4</v>
      </c>
      <c r="E53" s="10">
        <f t="shared" si="16"/>
        <v>-5</v>
      </c>
      <c r="F53" s="10">
        <f t="shared" si="16"/>
        <v>-6</v>
      </c>
      <c r="G53" s="10">
        <f t="shared" si="16"/>
        <v>-7</v>
      </c>
      <c r="H53" s="10">
        <f t="shared" si="16"/>
        <v>-8</v>
      </c>
      <c r="I53" s="10">
        <f t="shared" si="16"/>
        <v>-9</v>
      </c>
      <c r="J53" s="10">
        <f t="shared" si="16"/>
        <v>-10</v>
      </c>
      <c r="K53" s="10">
        <f t="shared" si="16"/>
        <v>-11</v>
      </c>
      <c r="L53" s="10">
        <f t="shared" si="16"/>
        <v>-12</v>
      </c>
      <c r="M53" s="10">
        <f>L53-1</f>
        <v>-13</v>
      </c>
      <c r="N53" s="10">
        <f t="shared" ref="N53:V53" si="17">M53-1</f>
        <v>-14</v>
      </c>
      <c r="O53" s="10">
        <f t="shared" si="17"/>
        <v>-15</v>
      </c>
      <c r="P53" s="10">
        <f t="shared" si="17"/>
        <v>-16</v>
      </c>
      <c r="Q53" s="10">
        <f t="shared" si="17"/>
        <v>-17</v>
      </c>
      <c r="R53" s="10">
        <f t="shared" si="17"/>
        <v>-18</v>
      </c>
      <c r="S53" s="10">
        <f t="shared" si="17"/>
        <v>-19</v>
      </c>
      <c r="T53" s="10">
        <f t="shared" si="17"/>
        <v>-20</v>
      </c>
      <c r="U53" s="10">
        <f t="shared" si="17"/>
        <v>-21</v>
      </c>
      <c r="V53" s="10">
        <f t="shared" si="17"/>
        <v>-22</v>
      </c>
      <c r="W53" s="10">
        <v>-23</v>
      </c>
    </row>
    <row r="54" spans="1:23">
      <c r="A54" s="80"/>
      <c r="B54" s="6"/>
      <c r="C54" s="6"/>
      <c r="D54" s="6"/>
      <c r="E54" s="6"/>
      <c r="F54" s="6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6"/>
      <c r="T54" s="6"/>
      <c r="U54" s="6"/>
      <c r="V54" s="6"/>
      <c r="W54" s="87"/>
    </row>
    <row r="55" spans="1:23">
      <c r="A55" s="6">
        <v>1992</v>
      </c>
      <c r="B55" s="6"/>
      <c r="C55" s="6"/>
      <c r="D55" s="6"/>
      <c r="E55" s="6"/>
      <c r="F55" s="6"/>
      <c r="G55" s="81">
        <f>B55+C55+E55</f>
        <v>0</v>
      </c>
      <c r="H55" s="81">
        <f>G55+D55+F55</f>
        <v>0</v>
      </c>
      <c r="I55" s="81">
        <f>B55+C55</f>
        <v>0</v>
      </c>
      <c r="J55" s="81">
        <f>I55+D55</f>
        <v>0</v>
      </c>
      <c r="K55" s="81">
        <f>E55</f>
        <v>0</v>
      </c>
      <c r="L55" s="81">
        <f>E55+F55</f>
        <v>0</v>
      </c>
      <c r="M55" s="81">
        <f>O55-N55</f>
        <v>0</v>
      </c>
      <c r="N55" s="81">
        <f>N$50*O55</f>
        <v>0</v>
      </c>
      <c r="O55" s="81"/>
      <c r="P55" s="81"/>
      <c r="Q55" s="81"/>
      <c r="R55" s="81"/>
      <c r="S55" s="81"/>
      <c r="T55" s="87"/>
      <c r="U55" s="81">
        <f>S55+T55</f>
        <v>0</v>
      </c>
      <c r="V55" s="81">
        <f>R55+U55</f>
        <v>0</v>
      </c>
      <c r="W55" s="87"/>
    </row>
    <row r="56" spans="1:23">
      <c r="A56" s="6">
        <f>A55+1</f>
        <v>1993</v>
      </c>
      <c r="B56" s="6"/>
      <c r="C56" s="6"/>
      <c r="D56" s="6"/>
      <c r="E56" s="6"/>
      <c r="F56" s="6"/>
      <c r="G56" s="81">
        <f t="shared" ref="G56:G83" si="18">B56+C56+E56</f>
        <v>0</v>
      </c>
      <c r="H56" s="81">
        <f t="shared" ref="H56:H83" si="19">G56+D56+F56</f>
        <v>0</v>
      </c>
      <c r="I56" s="81">
        <f t="shared" ref="I56:I83" si="20">B56+C56</f>
        <v>0</v>
      </c>
      <c r="J56" s="81">
        <f t="shared" ref="J56:J83" si="21">I56+D56</f>
        <v>0</v>
      </c>
      <c r="K56" s="81">
        <f t="shared" ref="K56:K83" si="22">E56</f>
        <v>0</v>
      </c>
      <c r="L56" s="81">
        <f t="shared" ref="L56:L83" si="23">E56+F56</f>
        <v>0</v>
      </c>
      <c r="M56" s="81">
        <f t="shared" ref="M56:M84" si="24">O56-N56</f>
        <v>0</v>
      </c>
      <c r="N56" s="81">
        <f t="shared" ref="N56:N84" si="25">N$50*O56</f>
        <v>0</v>
      </c>
      <c r="O56" s="81"/>
      <c r="P56" s="81"/>
      <c r="Q56" s="81"/>
      <c r="R56" s="81"/>
      <c r="S56" s="81"/>
      <c r="T56" s="87"/>
      <c r="U56" s="81">
        <f t="shared" ref="U56:U84" si="26">S56+T56</f>
        <v>0</v>
      </c>
      <c r="V56" s="81">
        <f t="shared" ref="V56:V84" si="27">R56+U56</f>
        <v>0</v>
      </c>
      <c r="W56" s="87"/>
    </row>
    <row r="57" spans="1:23">
      <c r="A57" s="6">
        <f t="shared" ref="A57:A83" si="28">A56+1</f>
        <v>1994</v>
      </c>
      <c r="B57" s="6"/>
      <c r="C57" s="6"/>
      <c r="D57" s="6"/>
      <c r="E57" s="6"/>
      <c r="F57" s="6"/>
      <c r="G57" s="81">
        <f t="shared" si="18"/>
        <v>0</v>
      </c>
      <c r="H57" s="81">
        <f t="shared" si="19"/>
        <v>0</v>
      </c>
      <c r="I57" s="81">
        <f t="shared" si="20"/>
        <v>0</v>
      </c>
      <c r="J57" s="81">
        <f t="shared" si="21"/>
        <v>0</v>
      </c>
      <c r="K57" s="81">
        <f t="shared" si="22"/>
        <v>0</v>
      </c>
      <c r="L57" s="81">
        <f t="shared" si="23"/>
        <v>0</v>
      </c>
      <c r="M57" s="81">
        <f t="shared" si="24"/>
        <v>0</v>
      </c>
      <c r="N57" s="81">
        <f t="shared" si="25"/>
        <v>0</v>
      </c>
      <c r="O57" s="81"/>
      <c r="P57" s="81"/>
      <c r="Q57" s="81"/>
      <c r="R57" s="81"/>
      <c r="S57" s="81"/>
      <c r="T57" s="87"/>
      <c r="U57" s="81">
        <f t="shared" si="26"/>
        <v>0</v>
      </c>
      <c r="V57" s="81">
        <f t="shared" si="27"/>
        <v>0</v>
      </c>
      <c r="W57" s="87"/>
    </row>
    <row r="58" spans="1:23">
      <c r="A58" s="6">
        <f t="shared" si="28"/>
        <v>1995</v>
      </c>
      <c r="B58" s="6"/>
      <c r="C58" s="6"/>
      <c r="D58" s="6"/>
      <c r="E58" s="6"/>
      <c r="F58" s="6"/>
      <c r="G58" s="81">
        <f t="shared" si="18"/>
        <v>0</v>
      </c>
      <c r="H58" s="81">
        <f t="shared" si="19"/>
        <v>0</v>
      </c>
      <c r="I58" s="81">
        <f t="shared" si="20"/>
        <v>0</v>
      </c>
      <c r="J58" s="81">
        <f t="shared" si="21"/>
        <v>0</v>
      </c>
      <c r="K58" s="81">
        <f t="shared" si="22"/>
        <v>0</v>
      </c>
      <c r="L58" s="81">
        <f t="shared" si="23"/>
        <v>0</v>
      </c>
      <c r="M58" s="81">
        <f t="shared" si="24"/>
        <v>0</v>
      </c>
      <c r="N58" s="81">
        <f t="shared" si="25"/>
        <v>0</v>
      </c>
      <c r="O58" s="81"/>
      <c r="P58" s="81"/>
      <c r="Q58" s="81"/>
      <c r="R58" s="81"/>
      <c r="S58" s="81"/>
      <c r="T58" s="87"/>
      <c r="U58" s="81">
        <f t="shared" si="26"/>
        <v>0</v>
      </c>
      <c r="V58" s="81">
        <f t="shared" si="27"/>
        <v>0</v>
      </c>
      <c r="W58" s="87"/>
    </row>
    <row r="59" spans="1:23">
      <c r="A59" s="6">
        <f t="shared" si="28"/>
        <v>1996</v>
      </c>
      <c r="B59" s="6"/>
      <c r="C59" s="6"/>
      <c r="D59" s="6"/>
      <c r="E59" s="6"/>
      <c r="F59" s="6"/>
      <c r="G59" s="81">
        <f t="shared" si="18"/>
        <v>0</v>
      </c>
      <c r="H59" s="81">
        <f t="shared" si="19"/>
        <v>0</v>
      </c>
      <c r="I59" s="81">
        <f t="shared" si="20"/>
        <v>0</v>
      </c>
      <c r="J59" s="81">
        <f t="shared" si="21"/>
        <v>0</v>
      </c>
      <c r="K59" s="81">
        <f t="shared" si="22"/>
        <v>0</v>
      </c>
      <c r="L59" s="81">
        <f t="shared" si="23"/>
        <v>0</v>
      </c>
      <c r="M59" s="81">
        <f t="shared" si="24"/>
        <v>0</v>
      </c>
      <c r="N59" s="81">
        <f t="shared" si="25"/>
        <v>0</v>
      </c>
      <c r="O59" s="81"/>
      <c r="P59" s="81"/>
      <c r="Q59" s="81"/>
      <c r="R59" s="81"/>
      <c r="S59" s="81"/>
      <c r="T59" s="87"/>
      <c r="U59" s="81">
        <f t="shared" si="26"/>
        <v>0</v>
      </c>
      <c r="V59" s="81">
        <f t="shared" si="27"/>
        <v>0</v>
      </c>
      <c r="W59" s="87"/>
    </row>
    <row r="60" spans="1:23">
      <c r="A60" s="6">
        <f t="shared" si="28"/>
        <v>1997</v>
      </c>
      <c r="B60" s="6"/>
      <c r="C60" s="6"/>
      <c r="D60" s="6"/>
      <c r="E60" s="6"/>
      <c r="F60" s="6"/>
      <c r="G60" s="81">
        <f t="shared" si="18"/>
        <v>0</v>
      </c>
      <c r="H60" s="81">
        <f t="shared" si="19"/>
        <v>0</v>
      </c>
      <c r="I60" s="81">
        <f t="shared" si="20"/>
        <v>0</v>
      </c>
      <c r="J60" s="81">
        <f t="shared" si="21"/>
        <v>0</v>
      </c>
      <c r="K60" s="81">
        <f t="shared" si="22"/>
        <v>0</v>
      </c>
      <c r="L60" s="81">
        <f t="shared" si="23"/>
        <v>0</v>
      </c>
      <c r="M60" s="81">
        <f t="shared" si="24"/>
        <v>0</v>
      </c>
      <c r="N60" s="81">
        <f t="shared" si="25"/>
        <v>0</v>
      </c>
      <c r="O60" s="81"/>
      <c r="P60" s="81"/>
      <c r="Q60" s="81"/>
      <c r="R60" s="81"/>
      <c r="S60" s="81"/>
      <c r="T60" s="87"/>
      <c r="U60" s="81">
        <f t="shared" si="26"/>
        <v>0</v>
      </c>
      <c r="V60" s="81">
        <f t="shared" si="27"/>
        <v>0</v>
      </c>
      <c r="W60" s="87"/>
    </row>
    <row r="61" spans="1:23">
      <c r="A61" s="6">
        <f t="shared" si="28"/>
        <v>1998</v>
      </c>
      <c r="B61" s="6"/>
      <c r="C61" s="6"/>
      <c r="D61" s="6"/>
      <c r="E61" s="6"/>
      <c r="F61" s="6"/>
      <c r="G61" s="81">
        <f t="shared" si="18"/>
        <v>0</v>
      </c>
      <c r="H61" s="81">
        <f t="shared" si="19"/>
        <v>0</v>
      </c>
      <c r="I61" s="81">
        <f t="shared" si="20"/>
        <v>0</v>
      </c>
      <c r="J61" s="81">
        <f t="shared" si="21"/>
        <v>0</v>
      </c>
      <c r="K61" s="81">
        <f t="shared" si="22"/>
        <v>0</v>
      </c>
      <c r="L61" s="81">
        <f t="shared" si="23"/>
        <v>0</v>
      </c>
      <c r="M61" s="81">
        <f t="shared" si="24"/>
        <v>0</v>
      </c>
      <c r="N61" s="81">
        <f t="shared" si="25"/>
        <v>0</v>
      </c>
      <c r="O61" s="81"/>
      <c r="P61" s="81"/>
      <c r="Q61" s="81"/>
      <c r="R61" s="81"/>
      <c r="S61" s="81"/>
      <c r="T61" s="87"/>
      <c r="U61" s="81">
        <f t="shared" si="26"/>
        <v>0</v>
      </c>
      <c r="V61" s="81">
        <f t="shared" si="27"/>
        <v>0</v>
      </c>
      <c r="W61" s="87"/>
    </row>
    <row r="62" spans="1:23">
      <c r="A62" s="6">
        <f t="shared" si="28"/>
        <v>1999</v>
      </c>
      <c r="B62" s="6"/>
      <c r="C62" s="6"/>
      <c r="D62" s="6"/>
      <c r="E62" s="6"/>
      <c r="F62" s="6"/>
      <c r="G62" s="81">
        <f t="shared" si="18"/>
        <v>0</v>
      </c>
      <c r="H62" s="81">
        <f t="shared" si="19"/>
        <v>0</v>
      </c>
      <c r="I62" s="81">
        <f t="shared" si="20"/>
        <v>0</v>
      </c>
      <c r="J62" s="81">
        <f t="shared" si="21"/>
        <v>0</v>
      </c>
      <c r="K62" s="81">
        <f t="shared" si="22"/>
        <v>0</v>
      </c>
      <c r="L62" s="81">
        <f t="shared" si="23"/>
        <v>0</v>
      </c>
      <c r="M62" s="81">
        <f t="shared" si="24"/>
        <v>0</v>
      </c>
      <c r="N62" s="81">
        <f t="shared" si="25"/>
        <v>0</v>
      </c>
      <c r="O62" s="81"/>
      <c r="P62" s="81"/>
      <c r="Q62" s="81"/>
      <c r="R62" s="81"/>
      <c r="S62" s="81"/>
      <c r="T62" s="87"/>
      <c r="U62" s="81">
        <f t="shared" si="26"/>
        <v>0</v>
      </c>
      <c r="V62" s="81">
        <f t="shared" si="27"/>
        <v>0</v>
      </c>
      <c r="W62" s="87"/>
    </row>
    <row r="63" spans="1:23">
      <c r="A63" s="6">
        <f t="shared" si="28"/>
        <v>2000</v>
      </c>
      <c r="B63" s="6"/>
      <c r="C63" s="6"/>
      <c r="D63" s="6"/>
      <c r="E63" s="6"/>
      <c r="F63" s="6"/>
      <c r="G63" s="81">
        <f t="shared" si="18"/>
        <v>0</v>
      </c>
      <c r="H63" s="81">
        <f t="shared" si="19"/>
        <v>0</v>
      </c>
      <c r="I63" s="81">
        <f t="shared" si="20"/>
        <v>0</v>
      </c>
      <c r="J63" s="81">
        <f t="shared" si="21"/>
        <v>0</v>
      </c>
      <c r="K63" s="81">
        <f t="shared" si="22"/>
        <v>0</v>
      </c>
      <c r="L63" s="81">
        <f t="shared" si="23"/>
        <v>0</v>
      </c>
      <c r="M63" s="81">
        <f t="shared" si="24"/>
        <v>0</v>
      </c>
      <c r="N63" s="81">
        <f t="shared" si="25"/>
        <v>0</v>
      </c>
      <c r="O63" s="81"/>
      <c r="P63" s="81"/>
      <c r="Q63" s="81"/>
      <c r="R63" s="81"/>
      <c r="S63" s="81"/>
      <c r="T63" s="87"/>
      <c r="U63" s="81">
        <f t="shared" si="26"/>
        <v>0</v>
      </c>
      <c r="V63" s="81">
        <f t="shared" si="27"/>
        <v>0</v>
      </c>
      <c r="W63" s="87"/>
    </row>
    <row r="64" spans="1:23">
      <c r="A64" s="6">
        <f t="shared" si="28"/>
        <v>2001</v>
      </c>
      <c r="B64" s="6"/>
      <c r="C64" s="6"/>
      <c r="D64" s="6"/>
      <c r="E64" s="6"/>
      <c r="F64" s="6"/>
      <c r="G64" s="81">
        <f t="shared" si="18"/>
        <v>0</v>
      </c>
      <c r="H64" s="81">
        <f t="shared" si="19"/>
        <v>0</v>
      </c>
      <c r="I64" s="81">
        <f t="shared" si="20"/>
        <v>0</v>
      </c>
      <c r="J64" s="81">
        <f t="shared" si="21"/>
        <v>0</v>
      </c>
      <c r="K64" s="81">
        <f t="shared" si="22"/>
        <v>0</v>
      </c>
      <c r="L64" s="81">
        <f t="shared" si="23"/>
        <v>0</v>
      </c>
      <c r="M64" s="81">
        <f t="shared" si="24"/>
        <v>0</v>
      </c>
      <c r="N64" s="81">
        <f t="shared" si="25"/>
        <v>0</v>
      </c>
      <c r="O64" s="81"/>
      <c r="P64" s="81"/>
      <c r="Q64" s="81"/>
      <c r="R64" s="81"/>
      <c r="S64" s="81"/>
      <c r="T64" s="87"/>
      <c r="U64" s="81">
        <f t="shared" si="26"/>
        <v>0</v>
      </c>
      <c r="V64" s="81">
        <f t="shared" si="27"/>
        <v>0</v>
      </c>
      <c r="W64" s="87"/>
    </row>
    <row r="65" spans="1:23">
      <c r="A65" s="6">
        <f t="shared" si="28"/>
        <v>2002</v>
      </c>
      <c r="B65" s="6"/>
      <c r="C65" s="6"/>
      <c r="D65" s="6"/>
      <c r="E65" s="6"/>
      <c r="F65" s="6"/>
      <c r="G65" s="81">
        <f t="shared" si="18"/>
        <v>0</v>
      </c>
      <c r="H65" s="81">
        <f t="shared" si="19"/>
        <v>0</v>
      </c>
      <c r="I65" s="81">
        <f t="shared" si="20"/>
        <v>0</v>
      </c>
      <c r="J65" s="81">
        <f t="shared" si="21"/>
        <v>0</v>
      </c>
      <c r="K65" s="81">
        <f t="shared" si="22"/>
        <v>0</v>
      </c>
      <c r="L65" s="81">
        <f t="shared" si="23"/>
        <v>0</v>
      </c>
      <c r="M65" s="81">
        <f t="shared" si="24"/>
        <v>0</v>
      </c>
      <c r="N65" s="81">
        <f t="shared" si="25"/>
        <v>0</v>
      </c>
      <c r="O65" s="81"/>
      <c r="P65" s="81"/>
      <c r="Q65" s="81"/>
      <c r="R65" s="81"/>
      <c r="S65" s="81"/>
      <c r="T65" s="87"/>
      <c r="U65" s="81">
        <f t="shared" si="26"/>
        <v>0</v>
      </c>
      <c r="V65" s="81">
        <f t="shared" si="27"/>
        <v>0</v>
      </c>
      <c r="W65" s="87"/>
    </row>
    <row r="66" spans="1:23">
      <c r="A66" s="6">
        <f t="shared" si="28"/>
        <v>2003</v>
      </c>
      <c r="B66" s="6"/>
      <c r="C66" s="6"/>
      <c r="D66" s="6"/>
      <c r="E66" s="6"/>
      <c r="F66" s="6"/>
      <c r="G66" s="81">
        <f t="shared" si="18"/>
        <v>0</v>
      </c>
      <c r="H66" s="81">
        <f t="shared" si="19"/>
        <v>0</v>
      </c>
      <c r="I66" s="81">
        <f t="shared" si="20"/>
        <v>0</v>
      </c>
      <c r="J66" s="81">
        <f t="shared" si="21"/>
        <v>0</v>
      </c>
      <c r="K66" s="81">
        <f t="shared" si="22"/>
        <v>0</v>
      </c>
      <c r="L66" s="81">
        <f t="shared" si="23"/>
        <v>0</v>
      </c>
      <c r="M66" s="81">
        <f t="shared" si="24"/>
        <v>0</v>
      </c>
      <c r="N66" s="81">
        <f t="shared" si="25"/>
        <v>0</v>
      </c>
      <c r="O66" s="81"/>
      <c r="P66" s="81"/>
      <c r="Q66" s="81"/>
      <c r="R66" s="81"/>
      <c r="S66" s="81"/>
      <c r="T66" s="87"/>
      <c r="U66" s="81">
        <f t="shared" si="26"/>
        <v>0</v>
      </c>
      <c r="V66" s="81">
        <f t="shared" si="27"/>
        <v>0</v>
      </c>
      <c r="W66" s="87"/>
    </row>
    <row r="67" spans="1:23">
      <c r="A67" s="6">
        <f t="shared" si="28"/>
        <v>2004</v>
      </c>
      <c r="B67" s="6"/>
      <c r="C67" s="6"/>
      <c r="D67" s="6"/>
      <c r="E67" s="6"/>
      <c r="F67" s="6"/>
      <c r="G67" s="81">
        <f t="shared" si="18"/>
        <v>0</v>
      </c>
      <c r="H67" s="81">
        <f t="shared" si="19"/>
        <v>0</v>
      </c>
      <c r="I67" s="81">
        <f t="shared" si="20"/>
        <v>0</v>
      </c>
      <c r="J67" s="81">
        <f t="shared" si="21"/>
        <v>0</v>
      </c>
      <c r="K67" s="81">
        <f t="shared" si="22"/>
        <v>0</v>
      </c>
      <c r="L67" s="81">
        <f t="shared" si="23"/>
        <v>0</v>
      </c>
      <c r="M67" s="81">
        <f t="shared" si="24"/>
        <v>0</v>
      </c>
      <c r="N67" s="81">
        <f t="shared" si="25"/>
        <v>0</v>
      </c>
      <c r="O67" s="81"/>
      <c r="P67" s="81"/>
      <c r="Q67" s="81"/>
      <c r="R67" s="81"/>
      <c r="S67" s="81"/>
      <c r="T67" s="87"/>
      <c r="U67" s="81">
        <f t="shared" si="26"/>
        <v>0</v>
      </c>
      <c r="V67" s="81">
        <f t="shared" si="27"/>
        <v>0</v>
      </c>
      <c r="W67" s="87"/>
    </row>
    <row r="68" spans="1:23">
      <c r="A68" s="6">
        <f t="shared" si="28"/>
        <v>2005</v>
      </c>
      <c r="B68" s="6"/>
      <c r="C68" s="6"/>
      <c r="D68" s="6"/>
      <c r="E68" s="6"/>
      <c r="F68" s="6"/>
      <c r="G68" s="81">
        <f t="shared" si="18"/>
        <v>0</v>
      </c>
      <c r="H68" s="81">
        <f t="shared" si="19"/>
        <v>0</v>
      </c>
      <c r="I68" s="81">
        <f t="shared" si="20"/>
        <v>0</v>
      </c>
      <c r="J68" s="81">
        <f t="shared" si="21"/>
        <v>0</v>
      </c>
      <c r="K68" s="81">
        <f t="shared" si="22"/>
        <v>0</v>
      </c>
      <c r="L68" s="81">
        <f t="shared" si="23"/>
        <v>0</v>
      </c>
      <c r="M68" s="81">
        <f t="shared" si="24"/>
        <v>0</v>
      </c>
      <c r="N68" s="81">
        <f t="shared" si="25"/>
        <v>0</v>
      </c>
      <c r="O68" s="81"/>
      <c r="P68" s="81"/>
      <c r="Q68" s="81"/>
      <c r="R68" s="81"/>
      <c r="S68" s="81"/>
      <c r="T68" s="87"/>
      <c r="U68" s="81">
        <f t="shared" si="26"/>
        <v>0</v>
      </c>
      <c r="V68" s="81">
        <f t="shared" si="27"/>
        <v>0</v>
      </c>
      <c r="W68" s="87"/>
    </row>
    <row r="69" spans="1:23">
      <c r="A69" s="6">
        <f t="shared" si="28"/>
        <v>2006</v>
      </c>
      <c r="B69" s="95">
        <f>'Exhibit U,8'!W59</f>
        <v>0</v>
      </c>
      <c r="C69" s="95">
        <f>'Exhibit U,8'!X59</f>
        <v>0</v>
      </c>
      <c r="D69" s="95">
        <f>'Exhibit U,8'!Y59</f>
        <v>0</v>
      </c>
      <c r="E69" s="95">
        <f>'Exhibit U,8'!Z59</f>
        <v>0</v>
      </c>
      <c r="F69" s="95">
        <f>'Exhibit U,8'!AA59</f>
        <v>0</v>
      </c>
      <c r="G69" s="81">
        <f t="shared" si="18"/>
        <v>0</v>
      </c>
      <c r="H69" s="81">
        <f t="shared" si="19"/>
        <v>0</v>
      </c>
      <c r="I69" s="81">
        <f t="shared" si="20"/>
        <v>0</v>
      </c>
      <c r="J69" s="81">
        <f t="shared" si="21"/>
        <v>0</v>
      </c>
      <c r="K69" s="81">
        <f t="shared" si="22"/>
        <v>0</v>
      </c>
      <c r="L69" s="81">
        <f t="shared" si="23"/>
        <v>0</v>
      </c>
      <c r="M69" s="81">
        <f t="shared" si="24"/>
        <v>0</v>
      </c>
      <c r="N69" s="81">
        <f t="shared" si="25"/>
        <v>0</v>
      </c>
      <c r="O69" s="81">
        <f>O29-O109</f>
        <v>0</v>
      </c>
      <c r="P69" s="81">
        <f>J69+M69</f>
        <v>0</v>
      </c>
      <c r="Q69" s="81">
        <f>L69+N69</f>
        <v>0</v>
      </c>
      <c r="R69" s="81">
        <f t="shared" ref="R69:R83" si="29">P69+Q69</f>
        <v>0</v>
      </c>
      <c r="S69" s="81"/>
      <c r="T69" s="87"/>
      <c r="U69" s="81">
        <f t="shared" si="26"/>
        <v>0</v>
      </c>
      <c r="V69" s="81">
        <f t="shared" si="27"/>
        <v>0</v>
      </c>
      <c r="W69" s="87"/>
    </row>
    <row r="70" spans="1:23">
      <c r="A70" s="6">
        <f t="shared" si="28"/>
        <v>2007</v>
      </c>
      <c r="B70" s="95">
        <f>'Exhibit U,8'!W60</f>
        <v>0</v>
      </c>
      <c r="C70" s="95">
        <f>'Exhibit U,8'!X60</f>
        <v>0</v>
      </c>
      <c r="D70" s="95">
        <f>'Exhibit U,8'!Y60</f>
        <v>0</v>
      </c>
      <c r="E70" s="95">
        <f>'Exhibit U,8'!Z60</f>
        <v>0</v>
      </c>
      <c r="F70" s="95">
        <f>'Exhibit U,8'!AA60</f>
        <v>0</v>
      </c>
      <c r="G70" s="81">
        <f t="shared" si="18"/>
        <v>0</v>
      </c>
      <c r="H70" s="81">
        <f t="shared" si="19"/>
        <v>0</v>
      </c>
      <c r="I70" s="81">
        <f t="shared" si="20"/>
        <v>0</v>
      </c>
      <c r="J70" s="81">
        <f t="shared" si="21"/>
        <v>0</v>
      </c>
      <c r="K70" s="81">
        <f t="shared" si="22"/>
        <v>0</v>
      </c>
      <c r="L70" s="81">
        <f t="shared" si="23"/>
        <v>0</v>
      </c>
      <c r="M70" s="81">
        <f t="shared" si="24"/>
        <v>0</v>
      </c>
      <c r="N70" s="81">
        <f t="shared" si="25"/>
        <v>0</v>
      </c>
      <c r="O70" s="81">
        <f t="shared" ref="O70:O84" si="30">O30-O110</f>
        <v>0</v>
      </c>
      <c r="P70" s="81">
        <f t="shared" ref="P70:P84" si="31">J70+M70</f>
        <v>0</v>
      </c>
      <c r="Q70" s="81">
        <f t="shared" ref="Q70:Q84" si="32">L70+N70</f>
        <v>0</v>
      </c>
      <c r="R70" s="81">
        <f t="shared" si="29"/>
        <v>0</v>
      </c>
      <c r="S70" s="81"/>
      <c r="T70" s="87"/>
      <c r="U70" s="81">
        <f t="shared" si="26"/>
        <v>0</v>
      </c>
      <c r="V70" s="81">
        <f t="shared" si="27"/>
        <v>0</v>
      </c>
      <c r="W70" s="87"/>
    </row>
    <row r="71" spans="1:23">
      <c r="A71" s="6">
        <f t="shared" si="28"/>
        <v>2008</v>
      </c>
      <c r="B71" s="95">
        <f>'Exhibit U,8'!W61</f>
        <v>0</v>
      </c>
      <c r="C71" s="95">
        <f>'Exhibit U,8'!X61</f>
        <v>0</v>
      </c>
      <c r="D71" s="95">
        <f>'Exhibit U,8'!Y61</f>
        <v>0</v>
      </c>
      <c r="E71" s="95">
        <f>'Exhibit U,8'!Z61</f>
        <v>0</v>
      </c>
      <c r="F71" s="95">
        <f>'Exhibit U,8'!AA61</f>
        <v>0</v>
      </c>
      <c r="G71" s="81">
        <f t="shared" si="18"/>
        <v>0</v>
      </c>
      <c r="H71" s="81">
        <f t="shared" si="19"/>
        <v>0</v>
      </c>
      <c r="I71" s="81">
        <f t="shared" si="20"/>
        <v>0</v>
      </c>
      <c r="J71" s="81">
        <f t="shared" si="21"/>
        <v>0</v>
      </c>
      <c r="K71" s="81">
        <f t="shared" si="22"/>
        <v>0</v>
      </c>
      <c r="L71" s="81">
        <f t="shared" si="23"/>
        <v>0</v>
      </c>
      <c r="M71" s="81">
        <f t="shared" si="24"/>
        <v>0</v>
      </c>
      <c r="N71" s="81">
        <f t="shared" si="25"/>
        <v>0</v>
      </c>
      <c r="O71" s="81">
        <f t="shared" si="30"/>
        <v>0</v>
      </c>
      <c r="P71" s="81">
        <f t="shared" si="31"/>
        <v>0</v>
      </c>
      <c r="Q71" s="81">
        <f t="shared" si="32"/>
        <v>0</v>
      </c>
      <c r="R71" s="81">
        <f t="shared" si="29"/>
        <v>0</v>
      </c>
      <c r="S71" s="81"/>
      <c r="T71" s="87"/>
      <c r="U71" s="81">
        <f t="shared" si="26"/>
        <v>0</v>
      </c>
      <c r="V71" s="81">
        <f t="shared" si="27"/>
        <v>0</v>
      </c>
      <c r="W71" s="87"/>
    </row>
    <row r="72" spans="1:23">
      <c r="A72" s="6">
        <f t="shared" si="28"/>
        <v>2009</v>
      </c>
      <c r="B72" s="95">
        <f>'Exhibit U,8'!W62</f>
        <v>0</v>
      </c>
      <c r="C72" s="95">
        <f>'Exhibit U,8'!X62</f>
        <v>0</v>
      </c>
      <c r="D72" s="95">
        <f>'Exhibit U,8'!Y62</f>
        <v>0</v>
      </c>
      <c r="E72" s="95">
        <f>'Exhibit U,8'!Z62</f>
        <v>0</v>
      </c>
      <c r="F72" s="95">
        <f>'Exhibit U,8'!AA62</f>
        <v>0</v>
      </c>
      <c r="G72" s="81">
        <f t="shared" si="18"/>
        <v>0</v>
      </c>
      <c r="H72" s="81">
        <f t="shared" si="19"/>
        <v>0</v>
      </c>
      <c r="I72" s="81">
        <f t="shared" si="20"/>
        <v>0</v>
      </c>
      <c r="J72" s="81">
        <f t="shared" si="21"/>
        <v>0</v>
      </c>
      <c r="K72" s="81">
        <f t="shared" si="22"/>
        <v>0</v>
      </c>
      <c r="L72" s="81">
        <f t="shared" si="23"/>
        <v>0</v>
      </c>
      <c r="M72" s="81">
        <f t="shared" si="24"/>
        <v>0</v>
      </c>
      <c r="N72" s="81">
        <f t="shared" si="25"/>
        <v>0</v>
      </c>
      <c r="O72" s="81">
        <f t="shared" si="30"/>
        <v>0</v>
      </c>
      <c r="P72" s="81">
        <f t="shared" si="31"/>
        <v>0</v>
      </c>
      <c r="Q72" s="81">
        <f t="shared" si="32"/>
        <v>0</v>
      </c>
      <c r="R72" s="81">
        <f t="shared" si="29"/>
        <v>0</v>
      </c>
      <c r="S72" s="81"/>
      <c r="T72" s="87"/>
      <c r="U72" s="81">
        <f t="shared" si="26"/>
        <v>0</v>
      </c>
      <c r="V72" s="81">
        <f t="shared" si="27"/>
        <v>0</v>
      </c>
      <c r="W72" s="87"/>
    </row>
    <row r="73" spans="1:23">
      <c r="A73" s="6">
        <f t="shared" si="28"/>
        <v>2010</v>
      </c>
      <c r="B73" s="95">
        <f>'Exhibit U,8'!W63</f>
        <v>0</v>
      </c>
      <c r="C73" s="95">
        <f>'Exhibit U,8'!X63</f>
        <v>0</v>
      </c>
      <c r="D73" s="95">
        <f>'Exhibit U,8'!Y63</f>
        <v>0</v>
      </c>
      <c r="E73" s="95">
        <f>'Exhibit U,8'!Z63</f>
        <v>0</v>
      </c>
      <c r="F73" s="95">
        <f>'Exhibit U,8'!AA63</f>
        <v>0</v>
      </c>
      <c r="G73" s="81">
        <f t="shared" si="18"/>
        <v>0</v>
      </c>
      <c r="H73" s="81">
        <f t="shared" si="19"/>
        <v>0</v>
      </c>
      <c r="I73" s="81">
        <f t="shared" si="20"/>
        <v>0</v>
      </c>
      <c r="J73" s="81">
        <f t="shared" si="21"/>
        <v>0</v>
      </c>
      <c r="K73" s="81">
        <f t="shared" si="22"/>
        <v>0</v>
      </c>
      <c r="L73" s="81">
        <f t="shared" si="23"/>
        <v>0</v>
      </c>
      <c r="M73" s="81">
        <f t="shared" si="24"/>
        <v>0</v>
      </c>
      <c r="N73" s="81">
        <f t="shared" si="25"/>
        <v>0</v>
      </c>
      <c r="O73" s="81">
        <f t="shared" si="30"/>
        <v>0</v>
      </c>
      <c r="P73" s="81">
        <f t="shared" si="31"/>
        <v>0</v>
      </c>
      <c r="Q73" s="81">
        <f t="shared" si="32"/>
        <v>0</v>
      </c>
      <c r="R73" s="81">
        <f t="shared" si="29"/>
        <v>0</v>
      </c>
      <c r="S73" s="81"/>
      <c r="T73" s="87"/>
      <c r="U73" s="81">
        <f t="shared" si="26"/>
        <v>0</v>
      </c>
      <c r="V73" s="81">
        <f t="shared" si="27"/>
        <v>0</v>
      </c>
      <c r="W73" s="87"/>
    </row>
    <row r="74" spans="1:23">
      <c r="A74" s="6">
        <f t="shared" si="28"/>
        <v>2011</v>
      </c>
      <c r="B74" s="95">
        <f>'Exhibit U,8'!W64</f>
        <v>0</v>
      </c>
      <c r="C74" s="95">
        <f>'Exhibit U,8'!X64</f>
        <v>0</v>
      </c>
      <c r="D74" s="95">
        <f>'Exhibit U,8'!Y64</f>
        <v>0</v>
      </c>
      <c r="E74" s="95">
        <f>'Exhibit U,8'!Z64</f>
        <v>0</v>
      </c>
      <c r="F74" s="95">
        <f>'Exhibit U,8'!AA64</f>
        <v>0</v>
      </c>
      <c r="G74" s="81">
        <f t="shared" si="18"/>
        <v>0</v>
      </c>
      <c r="H74" s="81">
        <f t="shared" si="19"/>
        <v>0</v>
      </c>
      <c r="I74" s="81">
        <f t="shared" si="20"/>
        <v>0</v>
      </c>
      <c r="J74" s="81">
        <f t="shared" si="21"/>
        <v>0</v>
      </c>
      <c r="K74" s="81">
        <f t="shared" si="22"/>
        <v>0</v>
      </c>
      <c r="L74" s="81">
        <f t="shared" si="23"/>
        <v>0</v>
      </c>
      <c r="M74" s="81">
        <f t="shared" si="24"/>
        <v>0</v>
      </c>
      <c r="N74" s="81">
        <f t="shared" si="25"/>
        <v>0</v>
      </c>
      <c r="O74" s="81">
        <f t="shared" si="30"/>
        <v>0</v>
      </c>
      <c r="P74" s="81">
        <f t="shared" si="31"/>
        <v>0</v>
      </c>
      <c r="Q74" s="81">
        <f t="shared" si="32"/>
        <v>0</v>
      </c>
      <c r="R74" s="81">
        <f t="shared" si="29"/>
        <v>0</v>
      </c>
      <c r="S74" s="81"/>
      <c r="T74" s="87"/>
      <c r="U74" s="81">
        <f t="shared" si="26"/>
        <v>0</v>
      </c>
      <c r="V74" s="81">
        <f t="shared" si="27"/>
        <v>0</v>
      </c>
      <c r="W74" s="87">
        <v>1501119.318526186</v>
      </c>
    </row>
    <row r="75" spans="1:23">
      <c r="A75" s="6">
        <f t="shared" si="28"/>
        <v>2012</v>
      </c>
      <c r="B75" s="95">
        <f>'Exhibit U,8'!W65</f>
        <v>0</v>
      </c>
      <c r="C75" s="95">
        <f>'Exhibit U,8'!X65</f>
        <v>0</v>
      </c>
      <c r="D75" s="95">
        <f>'Exhibit U,8'!Y65</f>
        <v>0</v>
      </c>
      <c r="E75" s="95">
        <f>'Exhibit U,8'!Z65</f>
        <v>0</v>
      </c>
      <c r="F75" s="95">
        <f>'Exhibit U,8'!AA65</f>
        <v>0</v>
      </c>
      <c r="G75" s="81">
        <f t="shared" si="18"/>
        <v>0</v>
      </c>
      <c r="H75" s="81">
        <f t="shared" si="19"/>
        <v>0</v>
      </c>
      <c r="I75" s="81">
        <f t="shared" si="20"/>
        <v>0</v>
      </c>
      <c r="J75" s="81">
        <f t="shared" si="21"/>
        <v>0</v>
      </c>
      <c r="K75" s="81">
        <f t="shared" si="22"/>
        <v>0</v>
      </c>
      <c r="L75" s="81">
        <f t="shared" si="23"/>
        <v>0</v>
      </c>
      <c r="M75" s="81">
        <f t="shared" si="24"/>
        <v>8625.8851114611134</v>
      </c>
      <c r="N75" s="81">
        <f t="shared" si="25"/>
        <v>453.99395323479553</v>
      </c>
      <c r="O75" s="81">
        <f t="shared" si="30"/>
        <v>9079.8790646959096</v>
      </c>
      <c r="P75" s="81">
        <f t="shared" si="31"/>
        <v>8625.8851114611134</v>
      </c>
      <c r="Q75" s="81">
        <f t="shared" si="32"/>
        <v>453.99395323479553</v>
      </c>
      <c r="R75" s="81">
        <f t="shared" si="29"/>
        <v>9079.8790646959096</v>
      </c>
      <c r="S75" s="81"/>
      <c r="T75" s="87"/>
      <c r="U75" s="81">
        <f t="shared" si="26"/>
        <v>0</v>
      </c>
      <c r="V75" s="81">
        <f t="shared" si="27"/>
        <v>9079.8790646959096</v>
      </c>
      <c r="W75" s="87">
        <v>1291029.7794375012</v>
      </c>
    </row>
    <row r="76" spans="1:23">
      <c r="A76" s="6">
        <f t="shared" si="28"/>
        <v>2013</v>
      </c>
      <c r="B76" s="95">
        <f>'Exhibit U,8'!W66</f>
        <v>0</v>
      </c>
      <c r="C76" s="95">
        <f>'Exhibit U,8'!X66</f>
        <v>0</v>
      </c>
      <c r="D76" s="95">
        <f>'Exhibit U,8'!Y66</f>
        <v>0</v>
      </c>
      <c r="E76" s="95">
        <f>'Exhibit U,8'!Z66</f>
        <v>0</v>
      </c>
      <c r="F76" s="95">
        <f>'Exhibit U,8'!AA66</f>
        <v>0</v>
      </c>
      <c r="G76" s="81">
        <f t="shared" si="18"/>
        <v>0</v>
      </c>
      <c r="H76" s="81">
        <f t="shared" si="19"/>
        <v>0</v>
      </c>
      <c r="I76" s="81">
        <f t="shared" si="20"/>
        <v>0</v>
      </c>
      <c r="J76" s="81">
        <f t="shared" si="21"/>
        <v>0</v>
      </c>
      <c r="K76" s="81">
        <f t="shared" si="22"/>
        <v>0</v>
      </c>
      <c r="L76" s="81">
        <f t="shared" si="23"/>
        <v>0</v>
      </c>
      <c r="M76" s="81">
        <f t="shared" si="24"/>
        <v>13290.996640823269</v>
      </c>
      <c r="N76" s="81">
        <f t="shared" si="25"/>
        <v>699.52613899069843</v>
      </c>
      <c r="O76" s="81">
        <f t="shared" si="30"/>
        <v>13990.522779813968</v>
      </c>
      <c r="P76" s="81">
        <f t="shared" si="31"/>
        <v>13290.996640823269</v>
      </c>
      <c r="Q76" s="81">
        <f t="shared" si="32"/>
        <v>699.52613899069843</v>
      </c>
      <c r="R76" s="81">
        <f t="shared" si="29"/>
        <v>13990.522779813968</v>
      </c>
      <c r="S76" s="81"/>
      <c r="T76" s="87"/>
      <c r="U76" s="81">
        <f t="shared" si="26"/>
        <v>0</v>
      </c>
      <c r="V76" s="81">
        <f t="shared" si="27"/>
        <v>13990.522779813968</v>
      </c>
      <c r="W76" s="87">
        <v>2102347.2359942701</v>
      </c>
    </row>
    <row r="77" spans="1:23">
      <c r="A77" s="6">
        <f t="shared" si="28"/>
        <v>2014</v>
      </c>
      <c r="B77" s="95">
        <f>'Exhibit U,8'!W67</f>
        <v>0</v>
      </c>
      <c r="C77" s="95">
        <f>'Exhibit U,8'!X67</f>
        <v>0</v>
      </c>
      <c r="D77" s="95">
        <f>'Exhibit U,8'!Y67</f>
        <v>0</v>
      </c>
      <c r="E77" s="95">
        <f>'Exhibit U,8'!Z67</f>
        <v>0</v>
      </c>
      <c r="F77" s="95">
        <f>'Exhibit U,8'!AA67</f>
        <v>0</v>
      </c>
      <c r="G77" s="81">
        <f t="shared" si="18"/>
        <v>0</v>
      </c>
      <c r="H77" s="81">
        <f t="shared" si="19"/>
        <v>0</v>
      </c>
      <c r="I77" s="81">
        <f t="shared" si="20"/>
        <v>0</v>
      </c>
      <c r="J77" s="81">
        <f t="shared" si="21"/>
        <v>0</v>
      </c>
      <c r="K77" s="81">
        <f t="shared" si="22"/>
        <v>0</v>
      </c>
      <c r="L77" s="81">
        <f t="shared" si="23"/>
        <v>0</v>
      </c>
      <c r="M77" s="81">
        <f t="shared" si="24"/>
        <v>677227.00498518872</v>
      </c>
      <c r="N77" s="81">
        <f t="shared" si="25"/>
        <v>35643.526578167824</v>
      </c>
      <c r="O77" s="81">
        <f t="shared" si="30"/>
        <v>712870.53156335652</v>
      </c>
      <c r="P77" s="81">
        <f t="shared" si="31"/>
        <v>677227.00498518872</v>
      </c>
      <c r="Q77" s="81">
        <f t="shared" si="32"/>
        <v>35643.526578167824</v>
      </c>
      <c r="R77" s="81">
        <f t="shared" si="29"/>
        <v>712870.53156335652</v>
      </c>
      <c r="S77" s="81"/>
      <c r="T77" s="87"/>
      <c r="U77" s="81">
        <f t="shared" si="26"/>
        <v>0</v>
      </c>
      <c r="V77" s="81">
        <f t="shared" si="27"/>
        <v>712870.53156335652</v>
      </c>
      <c r="W77" s="87">
        <v>2919194.2042130614</v>
      </c>
    </row>
    <row r="78" spans="1:23">
      <c r="A78" s="6">
        <f t="shared" si="28"/>
        <v>2015</v>
      </c>
      <c r="B78" s="95">
        <f>'Exhibit U,8'!W68</f>
        <v>0</v>
      </c>
      <c r="C78" s="95">
        <f>'Exhibit U,8'!X68</f>
        <v>0</v>
      </c>
      <c r="D78" s="95">
        <f>'Exhibit U,8'!Y68</f>
        <v>0</v>
      </c>
      <c r="E78" s="95">
        <f>'Exhibit U,8'!Z68</f>
        <v>0</v>
      </c>
      <c r="F78" s="95">
        <f>'Exhibit U,8'!AA68</f>
        <v>0</v>
      </c>
      <c r="G78" s="81">
        <f t="shared" si="18"/>
        <v>0</v>
      </c>
      <c r="H78" s="81">
        <f t="shared" si="19"/>
        <v>0</v>
      </c>
      <c r="I78" s="81">
        <f t="shared" si="20"/>
        <v>0</v>
      </c>
      <c r="J78" s="81">
        <f t="shared" si="21"/>
        <v>0</v>
      </c>
      <c r="K78" s="81">
        <f t="shared" si="22"/>
        <v>0</v>
      </c>
      <c r="L78" s="81">
        <f t="shared" si="23"/>
        <v>0</v>
      </c>
      <c r="M78" s="81">
        <f t="shared" si="24"/>
        <v>213176.80246245684</v>
      </c>
      <c r="N78" s="81">
        <f t="shared" si="25"/>
        <v>11219.83170855036</v>
      </c>
      <c r="O78" s="81">
        <f t="shared" si="30"/>
        <v>224396.6341710072</v>
      </c>
      <c r="P78" s="81">
        <f t="shared" si="31"/>
        <v>213176.80246245684</v>
      </c>
      <c r="Q78" s="81">
        <f t="shared" si="32"/>
        <v>11219.83170855036</v>
      </c>
      <c r="R78" s="81">
        <f t="shared" si="29"/>
        <v>224396.6341710072</v>
      </c>
      <c r="S78" s="81"/>
      <c r="T78" s="87"/>
      <c r="U78" s="81">
        <f t="shared" si="26"/>
        <v>0</v>
      </c>
      <c r="V78" s="81">
        <f t="shared" si="27"/>
        <v>224396.6341710072</v>
      </c>
      <c r="W78" s="87">
        <v>1957053.6014882394</v>
      </c>
    </row>
    <row r="79" spans="1:23">
      <c r="A79" s="6">
        <f t="shared" si="28"/>
        <v>2016</v>
      </c>
      <c r="B79" s="95">
        <f>'Exhibit U,8'!W69</f>
        <v>0</v>
      </c>
      <c r="C79" s="95">
        <f>'Exhibit U,8'!X69</f>
        <v>0</v>
      </c>
      <c r="D79" s="95">
        <f>'Exhibit U,8'!Y69</f>
        <v>0</v>
      </c>
      <c r="E79" s="95">
        <f>'Exhibit U,8'!Z69</f>
        <v>0</v>
      </c>
      <c r="F79" s="95">
        <f>'Exhibit U,8'!AA69</f>
        <v>0</v>
      </c>
      <c r="G79" s="81">
        <f t="shared" si="18"/>
        <v>0</v>
      </c>
      <c r="H79" s="81">
        <f t="shared" si="19"/>
        <v>0</v>
      </c>
      <c r="I79" s="81">
        <f t="shared" si="20"/>
        <v>0</v>
      </c>
      <c r="J79" s="81">
        <f t="shared" si="21"/>
        <v>0</v>
      </c>
      <c r="K79" s="81">
        <f t="shared" si="22"/>
        <v>0</v>
      </c>
      <c r="L79" s="81">
        <f t="shared" si="23"/>
        <v>0</v>
      </c>
      <c r="M79" s="81">
        <f t="shared" si="24"/>
        <v>695726.17464820377</v>
      </c>
      <c r="N79" s="81">
        <f t="shared" si="25"/>
        <v>36617.16708674757</v>
      </c>
      <c r="O79" s="81">
        <f t="shared" si="30"/>
        <v>732343.34173495136</v>
      </c>
      <c r="P79" s="81">
        <f t="shared" si="31"/>
        <v>695726.17464820377</v>
      </c>
      <c r="Q79" s="81">
        <f t="shared" si="32"/>
        <v>36617.16708674757</v>
      </c>
      <c r="R79" s="81">
        <f t="shared" si="29"/>
        <v>732343.34173495136</v>
      </c>
      <c r="S79" s="81"/>
      <c r="T79" s="87"/>
      <c r="U79" s="81">
        <f t="shared" si="26"/>
        <v>0</v>
      </c>
      <c r="V79" s="81">
        <f t="shared" si="27"/>
        <v>732343.34173495136</v>
      </c>
      <c r="W79" s="87">
        <v>1297380.872044815</v>
      </c>
    </row>
    <row r="80" spans="1:23">
      <c r="A80" s="6">
        <f t="shared" si="28"/>
        <v>2017</v>
      </c>
      <c r="B80" s="95">
        <f>'Exhibit U,8'!W70</f>
        <v>0</v>
      </c>
      <c r="C80" s="95">
        <f>'Exhibit U,8'!X70</f>
        <v>0</v>
      </c>
      <c r="D80" s="95">
        <f>'Exhibit U,8'!Y70</f>
        <v>0</v>
      </c>
      <c r="E80" s="95">
        <f>'Exhibit U,8'!Z70</f>
        <v>0</v>
      </c>
      <c r="F80" s="95">
        <f>'Exhibit U,8'!AA70</f>
        <v>0</v>
      </c>
      <c r="G80" s="81">
        <f t="shared" si="18"/>
        <v>0</v>
      </c>
      <c r="H80" s="81">
        <f t="shared" si="19"/>
        <v>0</v>
      </c>
      <c r="I80" s="81">
        <f t="shared" si="20"/>
        <v>0</v>
      </c>
      <c r="J80" s="81">
        <f t="shared" si="21"/>
        <v>0</v>
      </c>
      <c r="K80" s="81">
        <f t="shared" si="22"/>
        <v>0</v>
      </c>
      <c r="L80" s="81">
        <f t="shared" si="23"/>
        <v>0</v>
      </c>
      <c r="M80" s="81">
        <f t="shared" si="24"/>
        <v>1674926.4351835144</v>
      </c>
      <c r="N80" s="81">
        <f t="shared" si="25"/>
        <v>88154.022904395504</v>
      </c>
      <c r="O80" s="81">
        <f t="shared" si="30"/>
        <v>1763080.45808791</v>
      </c>
      <c r="P80" s="81">
        <f t="shared" si="31"/>
        <v>1674926.4351835144</v>
      </c>
      <c r="Q80" s="81">
        <f t="shared" si="32"/>
        <v>88154.022904395504</v>
      </c>
      <c r="R80" s="81">
        <f t="shared" si="29"/>
        <v>1763080.45808791</v>
      </c>
      <c r="S80" s="81"/>
      <c r="T80" s="87"/>
      <c r="U80" s="81">
        <f t="shared" si="26"/>
        <v>0</v>
      </c>
      <c r="V80" s="81">
        <f t="shared" si="27"/>
        <v>1763080.45808791</v>
      </c>
      <c r="W80" s="87">
        <v>1885797.9702426356</v>
      </c>
    </row>
    <row r="81" spans="1:23">
      <c r="A81" s="6">
        <f t="shared" si="28"/>
        <v>2018</v>
      </c>
      <c r="B81" s="95">
        <f>'Exhibit U,8'!W71</f>
        <v>0</v>
      </c>
      <c r="C81" s="95">
        <f>'Exhibit U,8'!X71</f>
        <v>0</v>
      </c>
      <c r="D81" s="95">
        <f>'Exhibit U,8'!Y71</f>
        <v>0</v>
      </c>
      <c r="E81" s="95">
        <f>'Exhibit U,8'!Z71</f>
        <v>0</v>
      </c>
      <c r="F81" s="95">
        <f>'Exhibit U,8'!AA71</f>
        <v>0</v>
      </c>
      <c r="G81" s="81">
        <f t="shared" si="18"/>
        <v>0</v>
      </c>
      <c r="H81" s="81">
        <f t="shared" si="19"/>
        <v>0</v>
      </c>
      <c r="I81" s="81">
        <f t="shared" si="20"/>
        <v>0</v>
      </c>
      <c r="J81" s="81">
        <f t="shared" si="21"/>
        <v>0</v>
      </c>
      <c r="K81" s="81">
        <f t="shared" si="22"/>
        <v>0</v>
      </c>
      <c r="L81" s="81">
        <f t="shared" si="23"/>
        <v>0</v>
      </c>
      <c r="M81" s="81">
        <f t="shared" si="24"/>
        <v>1352556.9794212515</v>
      </c>
      <c r="N81" s="81">
        <f t="shared" si="25"/>
        <v>71187.209443223765</v>
      </c>
      <c r="O81" s="81">
        <f t="shared" si="30"/>
        <v>1423744.1888644751</v>
      </c>
      <c r="P81" s="81">
        <f t="shared" si="31"/>
        <v>1352556.9794212515</v>
      </c>
      <c r="Q81" s="81">
        <f t="shared" si="32"/>
        <v>71187.209443223765</v>
      </c>
      <c r="R81" s="81">
        <f t="shared" si="29"/>
        <v>1423744.1888644751</v>
      </c>
      <c r="S81" s="81"/>
      <c r="T81" s="87"/>
      <c r="U81" s="81">
        <f t="shared" si="26"/>
        <v>0</v>
      </c>
      <c r="V81" s="81">
        <f t="shared" si="27"/>
        <v>1423744.1888644751</v>
      </c>
      <c r="W81" s="87">
        <v>1041041.5612732674</v>
      </c>
    </row>
    <row r="82" spans="1:23">
      <c r="A82" s="6">
        <f t="shared" si="28"/>
        <v>2019</v>
      </c>
      <c r="B82" s="95">
        <f>'Exhibit U,8'!W72</f>
        <v>0</v>
      </c>
      <c r="C82" s="95">
        <f>'Exhibit U,8'!X72</f>
        <v>0</v>
      </c>
      <c r="D82" s="95">
        <f>'Exhibit U,8'!Y72</f>
        <v>0</v>
      </c>
      <c r="E82" s="95">
        <f>'Exhibit U,8'!Z72</f>
        <v>0</v>
      </c>
      <c r="F82" s="95">
        <f>'Exhibit U,8'!AA72</f>
        <v>0</v>
      </c>
      <c r="G82" s="81">
        <f t="shared" si="18"/>
        <v>0</v>
      </c>
      <c r="H82" s="81">
        <f t="shared" si="19"/>
        <v>0</v>
      </c>
      <c r="I82" s="81">
        <f t="shared" si="20"/>
        <v>0</v>
      </c>
      <c r="J82" s="81">
        <f t="shared" si="21"/>
        <v>0</v>
      </c>
      <c r="K82" s="81">
        <f t="shared" si="22"/>
        <v>0</v>
      </c>
      <c r="L82" s="81">
        <f t="shared" si="23"/>
        <v>0</v>
      </c>
      <c r="M82" s="81">
        <f t="shared" si="24"/>
        <v>919183.76538355602</v>
      </c>
      <c r="N82" s="81">
        <f t="shared" si="25"/>
        <v>48378.092914924004</v>
      </c>
      <c r="O82" s="81">
        <f t="shared" si="30"/>
        <v>967561.85829848005</v>
      </c>
      <c r="P82" s="81">
        <f t="shared" si="31"/>
        <v>919183.76538355602</v>
      </c>
      <c r="Q82" s="81">
        <f t="shared" si="32"/>
        <v>48378.092914924004</v>
      </c>
      <c r="R82" s="81">
        <f t="shared" si="29"/>
        <v>967561.85829848005</v>
      </c>
      <c r="S82" s="81"/>
      <c r="T82" s="87"/>
      <c r="U82" s="81">
        <f t="shared" si="26"/>
        <v>0</v>
      </c>
      <c r="V82" s="81">
        <f t="shared" si="27"/>
        <v>967561.85829848005</v>
      </c>
      <c r="W82" s="87">
        <v>914189.53232226067</v>
      </c>
    </row>
    <row r="83" spans="1:23">
      <c r="A83" s="6">
        <f t="shared" si="28"/>
        <v>2020</v>
      </c>
      <c r="B83" s="95">
        <f>'Exhibit U,8'!W73</f>
        <v>0</v>
      </c>
      <c r="C83" s="95">
        <f>'Exhibit U,8'!X73</f>
        <v>0</v>
      </c>
      <c r="D83" s="95">
        <f>'Exhibit U,8'!Y73</f>
        <v>0</v>
      </c>
      <c r="E83" s="95">
        <f>'Exhibit U,8'!Z73</f>
        <v>0</v>
      </c>
      <c r="F83" s="95">
        <f>'Exhibit U,8'!AA73</f>
        <v>0</v>
      </c>
      <c r="G83" s="81">
        <f t="shared" si="18"/>
        <v>0</v>
      </c>
      <c r="H83" s="81">
        <f t="shared" si="19"/>
        <v>0</v>
      </c>
      <c r="I83" s="81">
        <f t="shared" si="20"/>
        <v>0</v>
      </c>
      <c r="J83" s="81">
        <f t="shared" si="21"/>
        <v>0</v>
      </c>
      <c r="K83" s="81">
        <f t="shared" si="22"/>
        <v>0</v>
      </c>
      <c r="L83" s="81">
        <f t="shared" si="23"/>
        <v>0</v>
      </c>
      <c r="M83" s="81">
        <f t="shared" si="24"/>
        <v>554370.33416003978</v>
      </c>
      <c r="N83" s="81">
        <f t="shared" si="25"/>
        <v>29177.386008423149</v>
      </c>
      <c r="O83" s="81">
        <f t="shared" si="30"/>
        <v>583547.72016846295</v>
      </c>
      <c r="P83" s="81">
        <f t="shared" si="31"/>
        <v>554370.33416003978</v>
      </c>
      <c r="Q83" s="81">
        <f t="shared" si="32"/>
        <v>29177.386008423149</v>
      </c>
      <c r="R83" s="81">
        <f t="shared" si="29"/>
        <v>583547.72016846295</v>
      </c>
      <c r="S83" s="81"/>
      <c r="T83" s="87"/>
      <c r="U83" s="81">
        <f t="shared" si="26"/>
        <v>0</v>
      </c>
      <c r="V83" s="81">
        <f t="shared" si="27"/>
        <v>583547.72016846295</v>
      </c>
      <c r="W83" s="87">
        <v>1042306.7</v>
      </c>
    </row>
    <row r="84" spans="1:23">
      <c r="A84" s="6"/>
      <c r="B84" s="6"/>
      <c r="C84" s="6"/>
      <c r="D84" s="6"/>
      <c r="E84" s="6"/>
      <c r="F84" s="6"/>
      <c r="G84" s="81"/>
      <c r="H84" s="81"/>
      <c r="I84" s="81"/>
      <c r="J84" s="81"/>
      <c r="K84" s="81"/>
      <c r="L84" s="81"/>
      <c r="M84" s="81">
        <f t="shared" si="24"/>
        <v>0</v>
      </c>
      <c r="N84" s="81">
        <f t="shared" si="25"/>
        <v>0</v>
      </c>
      <c r="O84" s="81">
        <f t="shared" si="30"/>
        <v>0</v>
      </c>
      <c r="P84" s="81">
        <f t="shared" si="31"/>
        <v>0</v>
      </c>
      <c r="Q84" s="81">
        <f t="shared" si="32"/>
        <v>0</v>
      </c>
      <c r="R84" s="81"/>
      <c r="S84" s="81"/>
      <c r="T84" s="81"/>
      <c r="U84" s="81">
        <f t="shared" si="26"/>
        <v>0</v>
      </c>
      <c r="V84" s="81">
        <f t="shared" si="27"/>
        <v>0</v>
      </c>
      <c r="W84" s="87"/>
    </row>
    <row r="85" spans="1:23">
      <c r="A85" s="6" t="s">
        <v>0</v>
      </c>
      <c r="B85" s="82">
        <f>SUM(B55:B83)</f>
        <v>0</v>
      </c>
      <c r="C85" s="82">
        <f>SUM(C55:C83)</f>
        <v>0</v>
      </c>
      <c r="D85" s="82">
        <f t="shared" ref="D85:Q85" si="33">SUM(D55:D83)</f>
        <v>0</v>
      </c>
      <c r="E85" s="82">
        <f t="shared" si="33"/>
        <v>0</v>
      </c>
      <c r="F85" s="82">
        <f t="shared" si="33"/>
        <v>0</v>
      </c>
      <c r="G85" s="82">
        <f>SUM(G55:G83)</f>
        <v>0</v>
      </c>
      <c r="H85" s="82">
        <f t="shared" si="33"/>
        <v>0</v>
      </c>
      <c r="I85" s="82">
        <f t="shared" si="33"/>
        <v>0</v>
      </c>
      <c r="J85" s="82">
        <f t="shared" si="33"/>
        <v>0</v>
      </c>
      <c r="K85" s="82">
        <f t="shared" si="33"/>
        <v>0</v>
      </c>
      <c r="L85" s="82">
        <f t="shared" si="33"/>
        <v>0</v>
      </c>
      <c r="M85" s="82">
        <f t="shared" si="33"/>
        <v>6109084.3779964959</v>
      </c>
      <c r="N85" s="82">
        <f t="shared" si="33"/>
        <v>321530.7567366577</v>
      </c>
      <c r="O85" s="82">
        <f t="shared" si="33"/>
        <v>6430615.1347331526</v>
      </c>
      <c r="P85" s="82">
        <f t="shared" si="33"/>
        <v>6109084.3779964959</v>
      </c>
      <c r="Q85" s="82">
        <f t="shared" si="33"/>
        <v>321530.7567366577</v>
      </c>
      <c r="R85" s="82">
        <f>SUM(R55:R83)</f>
        <v>6430615.1347331526</v>
      </c>
      <c r="S85" s="82">
        <f>SUM(S55:S83)</f>
        <v>0</v>
      </c>
      <c r="T85" s="82">
        <f>SUM(T55:T83)</f>
        <v>0</v>
      </c>
      <c r="U85" s="82">
        <f>SUM(U55:U83)</f>
        <v>0</v>
      </c>
      <c r="V85" s="82">
        <f>SUM(V55:V83)</f>
        <v>6430615.1347331526</v>
      </c>
      <c r="W85" s="90">
        <v>15951460.775542237</v>
      </c>
    </row>
    <row r="86" spans="1:23">
      <c r="A86" s="6"/>
      <c r="B86" s="6"/>
      <c r="C86" s="6"/>
      <c r="D86" s="6"/>
      <c r="E86" s="6"/>
      <c r="F86" s="6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7"/>
    </row>
    <row r="87" spans="1:23">
      <c r="A87" s="6"/>
      <c r="B87" s="6"/>
      <c r="C87" s="6"/>
      <c r="D87" s="6"/>
      <c r="E87" s="6"/>
      <c r="F87" s="6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7"/>
    </row>
    <row r="88" spans="1:23">
      <c r="A88" s="6"/>
      <c r="B88" s="6"/>
      <c r="C88" s="6"/>
      <c r="D88" s="6"/>
      <c r="E88" s="6"/>
      <c r="F88" s="6"/>
      <c r="G88" s="81"/>
      <c r="H88" s="81"/>
      <c r="I88" s="81"/>
      <c r="J88" s="81"/>
      <c r="K88" s="81"/>
      <c r="L88" s="81"/>
      <c r="M88" s="81"/>
      <c r="N88" s="103"/>
      <c r="O88" s="81"/>
      <c r="P88" s="81"/>
      <c r="Q88" s="81"/>
      <c r="R88" s="81"/>
      <c r="S88" s="81"/>
      <c r="T88" s="81"/>
      <c r="U88" s="81"/>
      <c r="V88" s="81"/>
      <c r="W88" s="87"/>
    </row>
    <row r="89" spans="1:23">
      <c r="A89" s="6" t="s">
        <v>17</v>
      </c>
      <c r="B89" s="6"/>
      <c r="C89" s="6"/>
      <c r="D89" s="6"/>
      <c r="E89" s="6"/>
      <c r="F89" s="6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7"/>
    </row>
    <row r="90" spans="1:23">
      <c r="A90" s="6"/>
      <c r="B90" s="27"/>
      <c r="C90" s="27"/>
      <c r="D90" s="27"/>
      <c r="E90" s="27"/>
      <c r="F90" s="27"/>
      <c r="G90" s="17"/>
      <c r="H90" s="81"/>
      <c r="I90" s="81"/>
      <c r="J90" s="81"/>
      <c r="K90" s="81"/>
      <c r="L90" s="81"/>
      <c r="M90" s="17"/>
      <c r="N90" s="83"/>
      <c r="O90" s="81"/>
      <c r="P90" s="81"/>
      <c r="Q90" s="81"/>
      <c r="R90" s="81" t="s">
        <v>67</v>
      </c>
      <c r="S90" s="6"/>
      <c r="T90" s="6"/>
      <c r="U90" s="6"/>
      <c r="V90" s="6" t="s">
        <v>67</v>
      </c>
      <c r="W90" s="87"/>
    </row>
    <row r="91" spans="1:23">
      <c r="A91" s="6" t="s">
        <v>3</v>
      </c>
      <c r="B91" s="27"/>
      <c r="C91" s="27"/>
      <c r="D91" s="27"/>
      <c r="E91" s="27"/>
      <c r="F91" s="27"/>
      <c r="G91" s="81" t="s">
        <v>14</v>
      </c>
      <c r="H91" s="81" t="s">
        <v>12</v>
      </c>
      <c r="I91" s="81" t="s">
        <v>14</v>
      </c>
      <c r="J91" s="81" t="s">
        <v>12</v>
      </c>
      <c r="K91" s="81" t="s">
        <v>14</v>
      </c>
      <c r="L91" s="81" t="s">
        <v>12</v>
      </c>
      <c r="M91" s="81" t="s">
        <v>381</v>
      </c>
      <c r="N91" s="81" t="s">
        <v>381</v>
      </c>
      <c r="O91" s="81" t="s">
        <v>381</v>
      </c>
      <c r="P91" s="81" t="s">
        <v>660</v>
      </c>
      <c r="Q91" s="81" t="s">
        <v>67</v>
      </c>
      <c r="R91" s="81" t="s">
        <v>662</v>
      </c>
      <c r="S91" s="6" t="s">
        <v>661</v>
      </c>
      <c r="T91" s="6" t="s">
        <v>661</v>
      </c>
      <c r="U91" s="6" t="s">
        <v>67</v>
      </c>
      <c r="V91" s="6" t="s">
        <v>663</v>
      </c>
      <c r="W91" s="6" t="s">
        <v>177</v>
      </c>
    </row>
    <row r="92" spans="1:23">
      <c r="A92" s="6" t="s">
        <v>4</v>
      </c>
      <c r="B92" s="28"/>
      <c r="C92" s="28"/>
      <c r="D92" s="28"/>
      <c r="E92" s="28"/>
      <c r="F92" s="28"/>
      <c r="G92" s="81" t="s">
        <v>0</v>
      </c>
      <c r="H92" s="81" t="s">
        <v>0</v>
      </c>
      <c r="I92" s="81" t="s">
        <v>566</v>
      </c>
      <c r="J92" s="81" t="s">
        <v>566</v>
      </c>
      <c r="K92" s="81" t="s">
        <v>567</v>
      </c>
      <c r="L92" s="81" t="s">
        <v>567</v>
      </c>
      <c r="M92" s="81" t="s">
        <v>566</v>
      </c>
      <c r="N92" s="81" t="s">
        <v>567</v>
      </c>
      <c r="O92" s="81" t="s">
        <v>0</v>
      </c>
      <c r="P92" s="81" t="s">
        <v>566</v>
      </c>
      <c r="Q92" s="81" t="s">
        <v>567</v>
      </c>
      <c r="R92" s="81" t="s">
        <v>0</v>
      </c>
      <c r="S92" s="6" t="s">
        <v>117</v>
      </c>
      <c r="T92" s="6" t="s">
        <v>14</v>
      </c>
      <c r="U92" s="6" t="s">
        <v>661</v>
      </c>
      <c r="V92" s="6" t="s">
        <v>0</v>
      </c>
      <c r="W92" s="6" t="s">
        <v>16</v>
      </c>
    </row>
    <row r="93" spans="1:23">
      <c r="A93" s="10">
        <v>-1</v>
      </c>
      <c r="B93" s="10">
        <f>A93-1</f>
        <v>-2</v>
      </c>
      <c r="C93" s="10">
        <f>B93-1</f>
        <v>-3</v>
      </c>
      <c r="D93" s="10">
        <f t="shared" ref="D93:L93" si="34">C93-1</f>
        <v>-4</v>
      </c>
      <c r="E93" s="10">
        <f t="shared" si="34"/>
        <v>-5</v>
      </c>
      <c r="F93" s="10">
        <f t="shared" si="34"/>
        <v>-6</v>
      </c>
      <c r="G93" s="10">
        <f t="shared" si="34"/>
        <v>-7</v>
      </c>
      <c r="H93" s="10">
        <f t="shared" si="34"/>
        <v>-8</v>
      </c>
      <c r="I93" s="10">
        <f t="shared" si="34"/>
        <v>-9</v>
      </c>
      <c r="J93" s="10">
        <f t="shared" si="34"/>
        <v>-10</v>
      </c>
      <c r="K93" s="10">
        <f t="shared" si="34"/>
        <v>-11</v>
      </c>
      <c r="L93" s="10">
        <f t="shared" si="34"/>
        <v>-12</v>
      </c>
      <c r="M93" s="10">
        <f>L93-1</f>
        <v>-13</v>
      </c>
      <c r="N93" s="10">
        <f t="shared" ref="N93:V93" si="35">M93-1</f>
        <v>-14</v>
      </c>
      <c r="O93" s="10">
        <f t="shared" si="35"/>
        <v>-15</v>
      </c>
      <c r="P93" s="10">
        <f t="shared" si="35"/>
        <v>-16</v>
      </c>
      <c r="Q93" s="10">
        <f t="shared" si="35"/>
        <v>-17</v>
      </c>
      <c r="R93" s="10">
        <f t="shared" si="35"/>
        <v>-18</v>
      </c>
      <c r="S93" s="10">
        <f t="shared" si="35"/>
        <v>-19</v>
      </c>
      <c r="T93" s="10">
        <f t="shared" si="35"/>
        <v>-20</v>
      </c>
      <c r="U93" s="10">
        <f t="shared" si="35"/>
        <v>-21</v>
      </c>
      <c r="V93" s="10">
        <f t="shared" si="35"/>
        <v>-22</v>
      </c>
      <c r="W93" s="10">
        <v>-23</v>
      </c>
    </row>
    <row r="94" spans="1:23">
      <c r="A94" s="80"/>
      <c r="B94" s="80"/>
      <c r="C94" s="6"/>
      <c r="D94" s="6"/>
      <c r="E94" s="6"/>
      <c r="F94" s="6"/>
      <c r="G94" s="17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6"/>
      <c r="T94" s="6"/>
      <c r="U94" s="6"/>
      <c r="V94" s="6"/>
      <c r="W94" s="87"/>
    </row>
    <row r="95" spans="1:23">
      <c r="A95" s="6">
        <v>1992</v>
      </c>
      <c r="B95" s="6"/>
      <c r="C95" s="6"/>
      <c r="D95" s="6"/>
      <c r="E95" s="6"/>
      <c r="F95" s="6"/>
      <c r="G95" s="81">
        <f t="shared" ref="G95:T95" si="36">G15-G55</f>
        <v>0</v>
      </c>
      <c r="H95" s="81">
        <f t="shared" si="36"/>
        <v>0</v>
      </c>
      <c r="I95" s="81">
        <f t="shared" si="36"/>
        <v>0</v>
      </c>
      <c r="J95" s="81">
        <f t="shared" si="36"/>
        <v>0</v>
      </c>
      <c r="K95" s="81">
        <f t="shared" si="36"/>
        <v>0</v>
      </c>
      <c r="L95" s="81">
        <f t="shared" si="36"/>
        <v>0</v>
      </c>
      <c r="M95" s="81">
        <f t="shared" si="36"/>
        <v>0</v>
      </c>
      <c r="N95" s="81">
        <f t="shared" si="36"/>
        <v>0</v>
      </c>
      <c r="O95" s="81">
        <f t="shared" si="36"/>
        <v>0</v>
      </c>
      <c r="P95" s="81">
        <f t="shared" si="36"/>
        <v>0</v>
      </c>
      <c r="Q95" s="81">
        <f t="shared" si="36"/>
        <v>0</v>
      </c>
      <c r="R95" s="81">
        <f t="shared" si="36"/>
        <v>0</v>
      </c>
      <c r="S95" s="81">
        <f t="shared" si="36"/>
        <v>0</v>
      </c>
      <c r="T95" s="81">
        <f t="shared" si="36"/>
        <v>0</v>
      </c>
      <c r="U95" s="81">
        <f>S95+T95</f>
        <v>0</v>
      </c>
      <c r="V95" s="81">
        <f>R95+U95</f>
        <v>0</v>
      </c>
      <c r="W95" s="87">
        <v>0</v>
      </c>
    </row>
    <row r="96" spans="1:23">
      <c r="A96" s="6">
        <f>A95+1</f>
        <v>1993</v>
      </c>
      <c r="B96" s="6"/>
      <c r="C96" s="6"/>
      <c r="D96" s="6"/>
      <c r="E96" s="6"/>
      <c r="F96" s="6"/>
      <c r="G96" s="81">
        <f t="shared" ref="G96:T111" si="37">G16-G56</f>
        <v>0</v>
      </c>
      <c r="H96" s="81">
        <f t="shared" si="37"/>
        <v>0</v>
      </c>
      <c r="I96" s="81">
        <f t="shared" si="37"/>
        <v>0</v>
      </c>
      <c r="J96" s="81">
        <f t="shared" si="37"/>
        <v>0</v>
      </c>
      <c r="K96" s="81">
        <f t="shared" si="37"/>
        <v>0</v>
      </c>
      <c r="L96" s="81">
        <f t="shared" si="37"/>
        <v>0</v>
      </c>
      <c r="M96" s="81">
        <f t="shared" si="37"/>
        <v>0</v>
      </c>
      <c r="N96" s="81">
        <f t="shared" si="37"/>
        <v>0</v>
      </c>
      <c r="O96" s="81">
        <f t="shared" si="37"/>
        <v>0</v>
      </c>
      <c r="P96" s="81">
        <f t="shared" si="37"/>
        <v>0</v>
      </c>
      <c r="Q96" s="81">
        <f t="shared" si="37"/>
        <v>0</v>
      </c>
      <c r="R96" s="81">
        <f t="shared" si="37"/>
        <v>0</v>
      </c>
      <c r="S96" s="81">
        <f t="shared" ref="S96:T110" si="38">S16-S56</f>
        <v>0</v>
      </c>
      <c r="T96" s="81">
        <f t="shared" si="38"/>
        <v>0</v>
      </c>
      <c r="U96" s="81">
        <f t="shared" ref="U96:U124" si="39">S96+T96</f>
        <v>0</v>
      </c>
      <c r="V96" s="81">
        <f t="shared" ref="V96:V124" si="40">R96+U96</f>
        <v>0</v>
      </c>
      <c r="W96" s="87">
        <v>0</v>
      </c>
    </row>
    <row r="97" spans="1:23">
      <c r="A97" s="6">
        <f t="shared" ref="A97:A123" si="41">A96+1</f>
        <v>1994</v>
      </c>
      <c r="B97" s="6"/>
      <c r="C97" s="6"/>
      <c r="D97" s="6"/>
      <c r="E97" s="6"/>
      <c r="F97" s="6"/>
      <c r="G97" s="81">
        <f t="shared" si="37"/>
        <v>0</v>
      </c>
      <c r="H97" s="81">
        <f t="shared" si="37"/>
        <v>0</v>
      </c>
      <c r="I97" s="81">
        <f t="shared" si="37"/>
        <v>0</v>
      </c>
      <c r="J97" s="81">
        <f t="shared" si="37"/>
        <v>0</v>
      </c>
      <c r="K97" s="81">
        <f t="shared" si="37"/>
        <v>0</v>
      </c>
      <c r="L97" s="81">
        <f t="shared" si="37"/>
        <v>0</v>
      </c>
      <c r="M97" s="81">
        <f t="shared" si="37"/>
        <v>0</v>
      </c>
      <c r="N97" s="81">
        <f t="shared" si="37"/>
        <v>0</v>
      </c>
      <c r="O97" s="81">
        <f t="shared" si="37"/>
        <v>0</v>
      </c>
      <c r="P97" s="81">
        <f t="shared" si="37"/>
        <v>0</v>
      </c>
      <c r="Q97" s="81">
        <f t="shared" si="37"/>
        <v>0</v>
      </c>
      <c r="R97" s="81">
        <f t="shared" si="37"/>
        <v>0</v>
      </c>
      <c r="S97" s="81">
        <f t="shared" si="38"/>
        <v>0</v>
      </c>
      <c r="T97" s="81">
        <f t="shared" si="38"/>
        <v>0</v>
      </c>
      <c r="U97" s="81">
        <f t="shared" si="39"/>
        <v>0</v>
      </c>
      <c r="V97" s="81">
        <f t="shared" si="40"/>
        <v>0</v>
      </c>
      <c r="W97" s="87">
        <v>0</v>
      </c>
    </row>
    <row r="98" spans="1:23">
      <c r="A98" s="6">
        <f t="shared" si="41"/>
        <v>1995</v>
      </c>
      <c r="B98" s="6"/>
      <c r="C98" s="6"/>
      <c r="D98" s="6"/>
      <c r="E98" s="6"/>
      <c r="F98" s="6"/>
      <c r="G98" s="81">
        <f t="shared" si="37"/>
        <v>0</v>
      </c>
      <c r="H98" s="81">
        <f t="shared" si="37"/>
        <v>0</v>
      </c>
      <c r="I98" s="81">
        <f t="shared" si="37"/>
        <v>0</v>
      </c>
      <c r="J98" s="81">
        <f t="shared" si="37"/>
        <v>0</v>
      </c>
      <c r="K98" s="81">
        <f t="shared" si="37"/>
        <v>0</v>
      </c>
      <c r="L98" s="81">
        <f t="shared" si="37"/>
        <v>0</v>
      </c>
      <c r="M98" s="81">
        <f t="shared" si="37"/>
        <v>0</v>
      </c>
      <c r="N98" s="81">
        <f t="shared" si="37"/>
        <v>0</v>
      </c>
      <c r="O98" s="81">
        <f t="shared" si="37"/>
        <v>0</v>
      </c>
      <c r="P98" s="81">
        <f t="shared" si="37"/>
        <v>0</v>
      </c>
      <c r="Q98" s="81">
        <f t="shared" si="37"/>
        <v>0</v>
      </c>
      <c r="R98" s="81">
        <f t="shared" si="37"/>
        <v>0</v>
      </c>
      <c r="S98" s="81">
        <f t="shared" si="38"/>
        <v>0</v>
      </c>
      <c r="T98" s="81">
        <f t="shared" si="38"/>
        <v>0</v>
      </c>
      <c r="U98" s="81">
        <f t="shared" si="39"/>
        <v>0</v>
      </c>
      <c r="V98" s="81">
        <f t="shared" si="40"/>
        <v>0</v>
      </c>
      <c r="W98" s="87">
        <v>0</v>
      </c>
    </row>
    <row r="99" spans="1:23">
      <c r="A99" s="6">
        <f t="shared" si="41"/>
        <v>1996</v>
      </c>
      <c r="B99" s="6"/>
      <c r="C99" s="6"/>
      <c r="D99" s="6"/>
      <c r="E99" s="6"/>
      <c r="F99" s="6"/>
      <c r="G99" s="81">
        <f t="shared" si="37"/>
        <v>0</v>
      </c>
      <c r="H99" s="81">
        <f t="shared" si="37"/>
        <v>0</v>
      </c>
      <c r="I99" s="81">
        <f t="shared" si="37"/>
        <v>0</v>
      </c>
      <c r="J99" s="81">
        <f t="shared" si="37"/>
        <v>0</v>
      </c>
      <c r="K99" s="81">
        <f t="shared" si="37"/>
        <v>0</v>
      </c>
      <c r="L99" s="81">
        <f t="shared" si="37"/>
        <v>0</v>
      </c>
      <c r="M99" s="81">
        <f t="shared" si="37"/>
        <v>0</v>
      </c>
      <c r="N99" s="81">
        <f t="shared" si="37"/>
        <v>0</v>
      </c>
      <c r="O99" s="81">
        <f t="shared" si="37"/>
        <v>0</v>
      </c>
      <c r="P99" s="81">
        <f t="shared" si="37"/>
        <v>0</v>
      </c>
      <c r="Q99" s="81">
        <f t="shared" si="37"/>
        <v>0</v>
      </c>
      <c r="R99" s="81">
        <f t="shared" si="37"/>
        <v>0</v>
      </c>
      <c r="S99" s="81">
        <f t="shared" si="38"/>
        <v>0</v>
      </c>
      <c r="T99" s="81">
        <f t="shared" si="38"/>
        <v>0</v>
      </c>
      <c r="U99" s="81">
        <f t="shared" si="39"/>
        <v>0</v>
      </c>
      <c r="V99" s="81">
        <f t="shared" si="40"/>
        <v>0</v>
      </c>
      <c r="W99" s="87">
        <v>0</v>
      </c>
    </row>
    <row r="100" spans="1:23">
      <c r="A100" s="6">
        <f t="shared" si="41"/>
        <v>1997</v>
      </c>
      <c r="B100" s="6"/>
      <c r="C100" s="6"/>
      <c r="D100" s="6"/>
      <c r="E100" s="6"/>
      <c r="F100" s="6"/>
      <c r="G100" s="81">
        <f t="shared" si="37"/>
        <v>0</v>
      </c>
      <c r="H100" s="81">
        <f t="shared" si="37"/>
        <v>0</v>
      </c>
      <c r="I100" s="81">
        <f t="shared" si="37"/>
        <v>0</v>
      </c>
      <c r="J100" s="81">
        <f t="shared" si="37"/>
        <v>0</v>
      </c>
      <c r="K100" s="81">
        <f t="shared" si="37"/>
        <v>0</v>
      </c>
      <c r="L100" s="81">
        <f t="shared" si="37"/>
        <v>0</v>
      </c>
      <c r="M100" s="81">
        <f t="shared" si="37"/>
        <v>0</v>
      </c>
      <c r="N100" s="81">
        <f t="shared" si="37"/>
        <v>0</v>
      </c>
      <c r="O100" s="81">
        <f t="shared" si="37"/>
        <v>0</v>
      </c>
      <c r="P100" s="81">
        <f t="shared" si="37"/>
        <v>0</v>
      </c>
      <c r="Q100" s="81">
        <f t="shared" si="37"/>
        <v>0</v>
      </c>
      <c r="R100" s="81">
        <f t="shared" si="37"/>
        <v>0</v>
      </c>
      <c r="S100" s="81">
        <f t="shared" si="38"/>
        <v>0</v>
      </c>
      <c r="T100" s="81">
        <f t="shared" si="38"/>
        <v>0</v>
      </c>
      <c r="U100" s="81">
        <f t="shared" si="39"/>
        <v>0</v>
      </c>
      <c r="V100" s="81">
        <f t="shared" si="40"/>
        <v>0</v>
      </c>
      <c r="W100" s="87">
        <v>0</v>
      </c>
    </row>
    <row r="101" spans="1:23">
      <c r="A101" s="6">
        <f t="shared" si="41"/>
        <v>1998</v>
      </c>
      <c r="B101" s="6"/>
      <c r="C101" s="6"/>
      <c r="D101" s="6"/>
      <c r="E101" s="6"/>
      <c r="F101" s="6"/>
      <c r="G101" s="81">
        <f t="shared" si="37"/>
        <v>0</v>
      </c>
      <c r="H101" s="81">
        <f t="shared" si="37"/>
        <v>0</v>
      </c>
      <c r="I101" s="81">
        <f t="shared" si="37"/>
        <v>0</v>
      </c>
      <c r="J101" s="81">
        <f t="shared" si="37"/>
        <v>0</v>
      </c>
      <c r="K101" s="81">
        <f t="shared" si="37"/>
        <v>0</v>
      </c>
      <c r="L101" s="81">
        <f t="shared" si="37"/>
        <v>0</v>
      </c>
      <c r="M101" s="81">
        <f t="shared" si="37"/>
        <v>0</v>
      </c>
      <c r="N101" s="81">
        <f t="shared" si="37"/>
        <v>0</v>
      </c>
      <c r="O101" s="81">
        <f t="shared" si="37"/>
        <v>0</v>
      </c>
      <c r="P101" s="81">
        <f t="shared" si="37"/>
        <v>0</v>
      </c>
      <c r="Q101" s="81">
        <f t="shared" si="37"/>
        <v>0</v>
      </c>
      <c r="R101" s="81">
        <f t="shared" si="37"/>
        <v>0</v>
      </c>
      <c r="S101" s="81">
        <f t="shared" si="38"/>
        <v>0</v>
      </c>
      <c r="T101" s="81">
        <f t="shared" si="38"/>
        <v>0</v>
      </c>
      <c r="U101" s="81">
        <f t="shared" si="39"/>
        <v>0</v>
      </c>
      <c r="V101" s="81">
        <f t="shared" si="40"/>
        <v>0</v>
      </c>
      <c r="W101" s="87">
        <v>0</v>
      </c>
    </row>
    <row r="102" spans="1:23">
      <c r="A102" s="6">
        <f t="shared" si="41"/>
        <v>1999</v>
      </c>
      <c r="B102" s="6"/>
      <c r="C102" s="6"/>
      <c r="D102" s="6"/>
      <c r="E102" s="6"/>
      <c r="F102" s="6"/>
      <c r="G102" s="81">
        <f t="shared" si="37"/>
        <v>0</v>
      </c>
      <c r="H102" s="81">
        <f t="shared" si="37"/>
        <v>0</v>
      </c>
      <c r="I102" s="81">
        <f t="shared" si="37"/>
        <v>0</v>
      </c>
      <c r="J102" s="81">
        <f t="shared" si="37"/>
        <v>0</v>
      </c>
      <c r="K102" s="81">
        <f t="shared" si="37"/>
        <v>0</v>
      </c>
      <c r="L102" s="81">
        <f t="shared" si="37"/>
        <v>0</v>
      </c>
      <c r="M102" s="81">
        <f t="shared" si="37"/>
        <v>0</v>
      </c>
      <c r="N102" s="81">
        <f t="shared" si="37"/>
        <v>0</v>
      </c>
      <c r="O102" s="81">
        <f t="shared" si="37"/>
        <v>0</v>
      </c>
      <c r="P102" s="81">
        <f t="shared" si="37"/>
        <v>0</v>
      </c>
      <c r="Q102" s="81">
        <f t="shared" si="37"/>
        <v>0</v>
      </c>
      <c r="R102" s="81">
        <f t="shared" si="37"/>
        <v>0</v>
      </c>
      <c r="S102" s="81">
        <f t="shared" si="38"/>
        <v>0</v>
      </c>
      <c r="T102" s="81">
        <f t="shared" si="38"/>
        <v>0</v>
      </c>
      <c r="U102" s="81">
        <f t="shared" si="39"/>
        <v>0</v>
      </c>
      <c r="V102" s="81">
        <f t="shared" si="40"/>
        <v>0</v>
      </c>
      <c r="W102" s="87">
        <v>0</v>
      </c>
    </row>
    <row r="103" spans="1:23">
      <c r="A103" s="6">
        <f t="shared" si="41"/>
        <v>2000</v>
      </c>
      <c r="B103" s="6"/>
      <c r="C103" s="6"/>
      <c r="D103" s="6"/>
      <c r="E103" s="6"/>
      <c r="F103" s="6"/>
      <c r="G103" s="81">
        <f t="shared" si="37"/>
        <v>0</v>
      </c>
      <c r="H103" s="81">
        <f t="shared" si="37"/>
        <v>0</v>
      </c>
      <c r="I103" s="81">
        <f t="shared" si="37"/>
        <v>0</v>
      </c>
      <c r="J103" s="81">
        <f t="shared" si="37"/>
        <v>0</v>
      </c>
      <c r="K103" s="81">
        <f t="shared" si="37"/>
        <v>0</v>
      </c>
      <c r="L103" s="81">
        <f t="shared" si="37"/>
        <v>0</v>
      </c>
      <c r="M103" s="81">
        <f t="shared" si="37"/>
        <v>0</v>
      </c>
      <c r="N103" s="81">
        <f t="shared" si="37"/>
        <v>0</v>
      </c>
      <c r="O103" s="81">
        <f t="shared" si="37"/>
        <v>0</v>
      </c>
      <c r="P103" s="81">
        <f t="shared" si="37"/>
        <v>0</v>
      </c>
      <c r="Q103" s="81">
        <f t="shared" si="37"/>
        <v>0</v>
      </c>
      <c r="R103" s="81">
        <f t="shared" si="37"/>
        <v>0</v>
      </c>
      <c r="S103" s="81">
        <f t="shared" si="38"/>
        <v>0</v>
      </c>
      <c r="T103" s="81">
        <f t="shared" si="38"/>
        <v>0</v>
      </c>
      <c r="U103" s="81">
        <f t="shared" si="39"/>
        <v>0</v>
      </c>
      <c r="V103" s="81">
        <f t="shared" si="40"/>
        <v>0</v>
      </c>
      <c r="W103" s="87">
        <v>0</v>
      </c>
    </row>
    <row r="104" spans="1:23">
      <c r="A104" s="6">
        <f t="shared" si="41"/>
        <v>2001</v>
      </c>
      <c r="B104" s="6"/>
      <c r="C104" s="6"/>
      <c r="D104" s="6"/>
      <c r="E104" s="6"/>
      <c r="F104" s="6"/>
      <c r="G104" s="81">
        <f t="shared" si="37"/>
        <v>0</v>
      </c>
      <c r="H104" s="81">
        <f t="shared" si="37"/>
        <v>0</v>
      </c>
      <c r="I104" s="81">
        <f t="shared" si="37"/>
        <v>0</v>
      </c>
      <c r="J104" s="81">
        <f t="shared" si="37"/>
        <v>0</v>
      </c>
      <c r="K104" s="81">
        <f t="shared" si="37"/>
        <v>0</v>
      </c>
      <c r="L104" s="81">
        <f t="shared" si="37"/>
        <v>0</v>
      </c>
      <c r="M104" s="81">
        <f t="shared" si="37"/>
        <v>0</v>
      </c>
      <c r="N104" s="81">
        <f t="shared" si="37"/>
        <v>0</v>
      </c>
      <c r="O104" s="81">
        <f t="shared" si="37"/>
        <v>0</v>
      </c>
      <c r="P104" s="81">
        <f t="shared" si="37"/>
        <v>0</v>
      </c>
      <c r="Q104" s="81">
        <f t="shared" si="37"/>
        <v>0</v>
      </c>
      <c r="R104" s="81">
        <f t="shared" si="37"/>
        <v>0</v>
      </c>
      <c r="S104" s="81">
        <f t="shared" si="38"/>
        <v>0</v>
      </c>
      <c r="T104" s="81">
        <f t="shared" si="38"/>
        <v>0</v>
      </c>
      <c r="U104" s="81">
        <f t="shared" si="39"/>
        <v>0</v>
      </c>
      <c r="V104" s="81">
        <f t="shared" si="40"/>
        <v>0</v>
      </c>
      <c r="W104" s="87">
        <v>0</v>
      </c>
    </row>
    <row r="105" spans="1:23">
      <c r="A105" s="6">
        <f t="shared" si="41"/>
        <v>2002</v>
      </c>
      <c r="B105" s="6"/>
      <c r="C105" s="6"/>
      <c r="D105" s="6"/>
      <c r="E105" s="6"/>
      <c r="F105" s="6"/>
      <c r="G105" s="81">
        <f t="shared" si="37"/>
        <v>0</v>
      </c>
      <c r="H105" s="81">
        <f t="shared" si="37"/>
        <v>0</v>
      </c>
      <c r="I105" s="81">
        <f t="shared" si="37"/>
        <v>0</v>
      </c>
      <c r="J105" s="81">
        <f t="shared" si="37"/>
        <v>0</v>
      </c>
      <c r="K105" s="81">
        <f t="shared" si="37"/>
        <v>0</v>
      </c>
      <c r="L105" s="81">
        <f t="shared" si="37"/>
        <v>0</v>
      </c>
      <c r="M105" s="81">
        <f t="shared" si="37"/>
        <v>0</v>
      </c>
      <c r="N105" s="81">
        <f t="shared" si="37"/>
        <v>0</v>
      </c>
      <c r="O105" s="81">
        <f t="shared" si="37"/>
        <v>0</v>
      </c>
      <c r="P105" s="81">
        <f t="shared" si="37"/>
        <v>0</v>
      </c>
      <c r="Q105" s="81">
        <f t="shared" si="37"/>
        <v>0</v>
      </c>
      <c r="R105" s="81">
        <f t="shared" si="37"/>
        <v>0</v>
      </c>
      <c r="S105" s="81">
        <f t="shared" si="38"/>
        <v>0</v>
      </c>
      <c r="T105" s="81">
        <f t="shared" si="38"/>
        <v>0</v>
      </c>
      <c r="U105" s="81">
        <f t="shared" si="39"/>
        <v>0</v>
      </c>
      <c r="V105" s="81">
        <f t="shared" si="40"/>
        <v>0</v>
      </c>
      <c r="W105" s="87">
        <v>0</v>
      </c>
    </row>
    <row r="106" spans="1:23">
      <c r="A106" s="6">
        <f t="shared" si="41"/>
        <v>2003</v>
      </c>
      <c r="B106" s="6"/>
      <c r="C106" s="6"/>
      <c r="D106" s="6"/>
      <c r="E106" s="6"/>
      <c r="F106" s="6"/>
      <c r="G106" s="81">
        <f t="shared" si="37"/>
        <v>0</v>
      </c>
      <c r="H106" s="81">
        <f t="shared" si="37"/>
        <v>0</v>
      </c>
      <c r="I106" s="81">
        <f t="shared" si="37"/>
        <v>0</v>
      </c>
      <c r="J106" s="81">
        <f t="shared" si="37"/>
        <v>0</v>
      </c>
      <c r="K106" s="81">
        <f t="shared" si="37"/>
        <v>0</v>
      </c>
      <c r="L106" s="81">
        <f t="shared" si="37"/>
        <v>0</v>
      </c>
      <c r="M106" s="81">
        <f t="shared" si="37"/>
        <v>0</v>
      </c>
      <c r="N106" s="81">
        <f t="shared" si="37"/>
        <v>0</v>
      </c>
      <c r="O106" s="81">
        <f t="shared" si="37"/>
        <v>0</v>
      </c>
      <c r="P106" s="81">
        <f t="shared" si="37"/>
        <v>0</v>
      </c>
      <c r="Q106" s="81">
        <f t="shared" si="37"/>
        <v>0</v>
      </c>
      <c r="R106" s="81">
        <f t="shared" si="37"/>
        <v>0</v>
      </c>
      <c r="S106" s="81">
        <f t="shared" si="38"/>
        <v>0</v>
      </c>
      <c r="T106" s="81">
        <f t="shared" si="38"/>
        <v>0</v>
      </c>
      <c r="U106" s="81">
        <f t="shared" si="39"/>
        <v>0</v>
      </c>
      <c r="V106" s="81">
        <f t="shared" si="40"/>
        <v>0</v>
      </c>
      <c r="W106" s="87">
        <v>0</v>
      </c>
    </row>
    <row r="107" spans="1:23">
      <c r="A107" s="6">
        <f t="shared" si="41"/>
        <v>2004</v>
      </c>
      <c r="B107" s="6"/>
      <c r="C107" s="6"/>
      <c r="D107" s="6"/>
      <c r="E107" s="6"/>
      <c r="F107" s="6"/>
      <c r="G107" s="81">
        <f t="shared" si="37"/>
        <v>0</v>
      </c>
      <c r="H107" s="81">
        <f t="shared" si="37"/>
        <v>0</v>
      </c>
      <c r="I107" s="81">
        <f t="shared" si="37"/>
        <v>0</v>
      </c>
      <c r="J107" s="81">
        <f t="shared" si="37"/>
        <v>0</v>
      </c>
      <c r="K107" s="81">
        <f t="shared" si="37"/>
        <v>0</v>
      </c>
      <c r="L107" s="81">
        <f t="shared" si="37"/>
        <v>0</v>
      </c>
      <c r="M107" s="81">
        <f t="shared" si="37"/>
        <v>0</v>
      </c>
      <c r="N107" s="81">
        <f t="shared" si="37"/>
        <v>0</v>
      </c>
      <c r="O107" s="81">
        <f t="shared" si="37"/>
        <v>0</v>
      </c>
      <c r="P107" s="81">
        <f t="shared" si="37"/>
        <v>0</v>
      </c>
      <c r="Q107" s="81">
        <f t="shared" si="37"/>
        <v>0</v>
      </c>
      <c r="R107" s="81">
        <f t="shared" si="37"/>
        <v>0</v>
      </c>
      <c r="S107" s="81">
        <f t="shared" si="38"/>
        <v>0</v>
      </c>
      <c r="T107" s="81">
        <f t="shared" si="38"/>
        <v>0</v>
      </c>
      <c r="U107" s="81">
        <f t="shared" si="39"/>
        <v>0</v>
      </c>
      <c r="V107" s="81">
        <f t="shared" si="40"/>
        <v>0</v>
      </c>
      <c r="W107" s="87">
        <v>0</v>
      </c>
    </row>
    <row r="108" spans="1:23">
      <c r="A108" s="6">
        <f t="shared" si="41"/>
        <v>2005</v>
      </c>
      <c r="B108" s="6"/>
      <c r="C108" s="6"/>
      <c r="D108" s="6"/>
      <c r="E108" s="6"/>
      <c r="F108" s="6"/>
      <c r="G108" s="81">
        <f t="shared" si="37"/>
        <v>0</v>
      </c>
      <c r="H108" s="81">
        <f t="shared" si="37"/>
        <v>0</v>
      </c>
      <c r="I108" s="81">
        <f t="shared" si="37"/>
        <v>0</v>
      </c>
      <c r="J108" s="81">
        <f t="shared" si="37"/>
        <v>0</v>
      </c>
      <c r="K108" s="81">
        <f t="shared" si="37"/>
        <v>0</v>
      </c>
      <c r="L108" s="81">
        <f t="shared" si="37"/>
        <v>0</v>
      </c>
      <c r="M108" s="81">
        <f t="shared" si="37"/>
        <v>0</v>
      </c>
      <c r="N108" s="81">
        <f t="shared" si="37"/>
        <v>0</v>
      </c>
      <c r="O108" s="81">
        <f t="shared" si="37"/>
        <v>0</v>
      </c>
      <c r="P108" s="81">
        <f t="shared" si="37"/>
        <v>0</v>
      </c>
      <c r="Q108" s="81">
        <f t="shared" si="37"/>
        <v>0</v>
      </c>
      <c r="R108" s="81">
        <f t="shared" si="37"/>
        <v>0</v>
      </c>
      <c r="S108" s="81">
        <f t="shared" si="38"/>
        <v>0</v>
      </c>
      <c r="T108" s="81">
        <f t="shared" si="38"/>
        <v>0</v>
      </c>
      <c r="U108" s="81">
        <f t="shared" si="39"/>
        <v>0</v>
      </c>
      <c r="V108" s="81">
        <f t="shared" si="40"/>
        <v>0</v>
      </c>
      <c r="W108" s="87">
        <v>0</v>
      </c>
    </row>
    <row r="109" spans="1:23">
      <c r="A109" s="6">
        <f t="shared" si="41"/>
        <v>2006</v>
      </c>
      <c r="B109" s="6"/>
      <c r="C109" s="6"/>
      <c r="D109" s="6"/>
      <c r="E109" s="6"/>
      <c r="F109" s="6"/>
      <c r="G109" s="81">
        <f t="shared" si="37"/>
        <v>0</v>
      </c>
      <c r="H109" s="81">
        <f t="shared" si="37"/>
        <v>3823516.8000000003</v>
      </c>
      <c r="I109" s="81">
        <f t="shared" si="37"/>
        <v>0</v>
      </c>
      <c r="J109" s="81">
        <f t="shared" si="37"/>
        <v>1911758.4000000001</v>
      </c>
      <c r="K109" s="81">
        <f t="shared" si="37"/>
        <v>0</v>
      </c>
      <c r="L109" s="81">
        <f t="shared" si="37"/>
        <v>1911758.4000000001</v>
      </c>
      <c r="M109" s="81">
        <f t="shared" si="37"/>
        <v>0</v>
      </c>
      <c r="N109" s="81">
        <f t="shared" si="37"/>
        <v>0</v>
      </c>
      <c r="O109" s="81">
        <f>'Exhibit U,2'!Q36</f>
        <v>0</v>
      </c>
      <c r="P109" s="81">
        <f t="shared" si="37"/>
        <v>1911758.4000000001</v>
      </c>
      <c r="Q109" s="81">
        <f t="shared" si="37"/>
        <v>1911758.4000000001</v>
      </c>
      <c r="R109" s="81">
        <f t="shared" si="37"/>
        <v>3823516.8000000003</v>
      </c>
      <c r="S109" s="81">
        <f t="shared" si="38"/>
        <v>0</v>
      </c>
      <c r="T109" s="81">
        <f t="shared" si="38"/>
        <v>0</v>
      </c>
      <c r="U109" s="81">
        <f t="shared" si="39"/>
        <v>0</v>
      </c>
      <c r="V109" s="81">
        <f t="shared" si="40"/>
        <v>3823516.8000000003</v>
      </c>
      <c r="W109" s="87">
        <v>0</v>
      </c>
    </row>
    <row r="110" spans="1:23">
      <c r="A110" s="6">
        <f t="shared" si="41"/>
        <v>2007</v>
      </c>
      <c r="B110" s="6"/>
      <c r="C110" s="6"/>
      <c r="D110" s="6"/>
      <c r="E110" s="6"/>
      <c r="F110" s="6"/>
      <c r="G110" s="81">
        <f t="shared" si="37"/>
        <v>0</v>
      </c>
      <c r="H110" s="81">
        <f t="shared" si="37"/>
        <v>4383012.5</v>
      </c>
      <c r="I110" s="81">
        <f t="shared" si="37"/>
        <v>0</v>
      </c>
      <c r="J110" s="81">
        <f t="shared" si="37"/>
        <v>2191506.25</v>
      </c>
      <c r="K110" s="81">
        <f t="shared" si="37"/>
        <v>0</v>
      </c>
      <c r="L110" s="81">
        <f t="shared" si="37"/>
        <v>2191506.25</v>
      </c>
      <c r="M110" s="81">
        <f t="shared" si="37"/>
        <v>0</v>
      </c>
      <c r="N110" s="81">
        <f t="shared" si="37"/>
        <v>0</v>
      </c>
      <c r="O110" s="81">
        <f>'Exhibit U,2'!Q37</f>
        <v>0</v>
      </c>
      <c r="P110" s="81">
        <f t="shared" si="37"/>
        <v>2191506.25</v>
      </c>
      <c r="Q110" s="81">
        <f t="shared" si="37"/>
        <v>2191506.25</v>
      </c>
      <c r="R110" s="81">
        <f t="shared" si="37"/>
        <v>4383012.5</v>
      </c>
      <c r="S110" s="81">
        <f t="shared" si="38"/>
        <v>0</v>
      </c>
      <c r="T110" s="81">
        <f t="shared" si="38"/>
        <v>0</v>
      </c>
      <c r="U110" s="81">
        <f t="shared" si="39"/>
        <v>0</v>
      </c>
      <c r="V110" s="81">
        <f t="shared" si="40"/>
        <v>4383012.5</v>
      </c>
      <c r="W110" s="87">
        <v>0</v>
      </c>
    </row>
    <row r="111" spans="1:23">
      <c r="A111" s="6">
        <f t="shared" si="41"/>
        <v>2008</v>
      </c>
      <c r="B111" s="6"/>
      <c r="C111" s="6"/>
      <c r="D111" s="6"/>
      <c r="E111" s="6"/>
      <c r="F111" s="6"/>
      <c r="G111" s="81">
        <f t="shared" si="37"/>
        <v>-243.17999999970198</v>
      </c>
      <c r="H111" s="81">
        <f t="shared" si="37"/>
        <v>16955969.18</v>
      </c>
      <c r="I111" s="81">
        <f t="shared" si="37"/>
        <v>-243.17999999970198</v>
      </c>
      <c r="J111" s="81">
        <f t="shared" si="37"/>
        <v>8476877.0899999999</v>
      </c>
      <c r="K111" s="81">
        <f t="shared" si="37"/>
        <v>0</v>
      </c>
      <c r="L111" s="81">
        <f t="shared" si="37"/>
        <v>8479092.0899999999</v>
      </c>
      <c r="M111" s="81">
        <f t="shared" si="37"/>
        <v>0</v>
      </c>
      <c r="N111" s="81">
        <f t="shared" si="37"/>
        <v>0</v>
      </c>
      <c r="O111" s="81">
        <f>'Exhibit U,2'!Q38</f>
        <v>0</v>
      </c>
      <c r="P111" s="81">
        <f t="shared" si="37"/>
        <v>8476877.0899999999</v>
      </c>
      <c r="Q111" s="81">
        <f t="shared" si="37"/>
        <v>8479092.0899999999</v>
      </c>
      <c r="R111" s="81">
        <f t="shared" si="37"/>
        <v>16955969.18</v>
      </c>
      <c r="S111" s="81">
        <f t="shared" si="37"/>
        <v>0</v>
      </c>
      <c r="T111" s="81">
        <f t="shared" si="37"/>
        <v>0</v>
      </c>
      <c r="U111" s="81">
        <f t="shared" si="39"/>
        <v>0</v>
      </c>
      <c r="V111" s="81">
        <f t="shared" si="40"/>
        <v>16955969.18</v>
      </c>
      <c r="W111" s="87">
        <v>0</v>
      </c>
    </row>
    <row r="112" spans="1:23">
      <c r="A112" s="6">
        <f t="shared" si="41"/>
        <v>2009</v>
      </c>
      <c r="B112" s="6"/>
      <c r="C112" s="6"/>
      <c r="D112" s="6"/>
      <c r="E112" s="6"/>
      <c r="F112" s="6"/>
      <c r="G112" s="81">
        <f t="shared" ref="G112:T124" si="42">G32-G72</f>
        <v>520964.58999999985</v>
      </c>
      <c r="H112" s="81">
        <f t="shared" si="42"/>
        <v>13650437.600000001</v>
      </c>
      <c r="I112" s="81">
        <f t="shared" si="42"/>
        <v>520964.58999999985</v>
      </c>
      <c r="J112" s="81">
        <f t="shared" si="42"/>
        <v>6814205.3700000001</v>
      </c>
      <c r="K112" s="81">
        <f t="shared" si="42"/>
        <v>0</v>
      </c>
      <c r="L112" s="81">
        <f t="shared" si="42"/>
        <v>6836232.2300000004</v>
      </c>
      <c r="M112" s="81">
        <f t="shared" si="42"/>
        <v>0</v>
      </c>
      <c r="N112" s="81">
        <f t="shared" si="42"/>
        <v>0</v>
      </c>
      <c r="O112" s="81">
        <f>'Exhibit U,2'!Q39</f>
        <v>0</v>
      </c>
      <c r="P112" s="81">
        <f t="shared" si="42"/>
        <v>6814205.3700000001</v>
      </c>
      <c r="Q112" s="81">
        <f t="shared" si="42"/>
        <v>6836232.2300000004</v>
      </c>
      <c r="R112" s="81">
        <f t="shared" si="42"/>
        <v>13650437.600000001</v>
      </c>
      <c r="S112" s="81">
        <f t="shared" si="42"/>
        <v>0</v>
      </c>
      <c r="T112" s="81">
        <f t="shared" si="42"/>
        <v>0</v>
      </c>
      <c r="U112" s="81">
        <f t="shared" si="39"/>
        <v>0</v>
      </c>
      <c r="V112" s="81">
        <f t="shared" si="40"/>
        <v>13650437.600000001</v>
      </c>
      <c r="W112" s="87">
        <v>0</v>
      </c>
    </row>
    <row r="113" spans="1:23">
      <c r="A113" s="6">
        <f t="shared" si="41"/>
        <v>2010</v>
      </c>
      <c r="B113" s="6"/>
      <c r="C113" s="6"/>
      <c r="D113" s="6"/>
      <c r="E113" s="6"/>
      <c r="F113" s="6"/>
      <c r="G113" s="81">
        <f t="shared" si="42"/>
        <v>1570213.3000000007</v>
      </c>
      <c r="H113" s="81">
        <f t="shared" si="42"/>
        <v>37046539.849999994</v>
      </c>
      <c r="I113" s="81">
        <f t="shared" si="42"/>
        <v>1570213.3000000007</v>
      </c>
      <c r="J113" s="81">
        <f t="shared" si="42"/>
        <v>17906873.810000002</v>
      </c>
      <c r="K113" s="81">
        <f t="shared" si="42"/>
        <v>0</v>
      </c>
      <c r="L113" s="81">
        <f t="shared" si="42"/>
        <v>19139666.039999999</v>
      </c>
      <c r="M113" s="81">
        <f t="shared" si="42"/>
        <v>0</v>
      </c>
      <c r="N113" s="81">
        <f t="shared" si="42"/>
        <v>0</v>
      </c>
      <c r="O113" s="81">
        <f>'Exhibit U,2'!Q40</f>
        <v>0</v>
      </c>
      <c r="P113" s="81">
        <f t="shared" si="42"/>
        <v>17906873.810000002</v>
      </c>
      <c r="Q113" s="81">
        <f t="shared" si="42"/>
        <v>19139666.039999999</v>
      </c>
      <c r="R113" s="81">
        <f t="shared" si="42"/>
        <v>37046539.850000001</v>
      </c>
      <c r="S113" s="81">
        <f t="shared" si="42"/>
        <v>10229.932406359221</v>
      </c>
      <c r="T113" s="81">
        <f t="shared" si="42"/>
        <v>20908</v>
      </c>
      <c r="U113" s="81">
        <f t="shared" si="39"/>
        <v>31137.932406359221</v>
      </c>
      <c r="V113" s="81">
        <f t="shared" si="40"/>
        <v>37077677.78240636</v>
      </c>
      <c r="W113" s="87">
        <v>0</v>
      </c>
    </row>
    <row r="114" spans="1:23">
      <c r="A114" s="6">
        <f t="shared" si="41"/>
        <v>2011</v>
      </c>
      <c r="B114" s="6"/>
      <c r="C114" s="6"/>
      <c r="D114" s="6"/>
      <c r="E114" s="6"/>
      <c r="F114" s="6"/>
      <c r="G114" s="81">
        <f t="shared" si="42"/>
        <v>1580865.1699999981</v>
      </c>
      <c r="H114" s="81">
        <f t="shared" si="42"/>
        <v>31277395.939999994</v>
      </c>
      <c r="I114" s="81">
        <f t="shared" si="42"/>
        <v>1580865.1699999981</v>
      </c>
      <c r="J114" s="81">
        <f t="shared" si="42"/>
        <v>12338288.799999997</v>
      </c>
      <c r="K114" s="81">
        <f t="shared" si="42"/>
        <v>0</v>
      </c>
      <c r="L114" s="81">
        <f t="shared" si="42"/>
        <v>18939107.139999997</v>
      </c>
      <c r="M114" s="81">
        <f t="shared" si="42"/>
        <v>0</v>
      </c>
      <c r="N114" s="81">
        <f t="shared" si="42"/>
        <v>0</v>
      </c>
      <c r="O114" s="81">
        <f>'Exhibit U,2'!Q41</f>
        <v>0</v>
      </c>
      <c r="P114" s="81">
        <f t="shared" si="42"/>
        <v>12338288.799999997</v>
      </c>
      <c r="Q114" s="81">
        <f t="shared" si="42"/>
        <v>18939107.139999997</v>
      </c>
      <c r="R114" s="81">
        <f t="shared" si="42"/>
        <v>31277395.939999994</v>
      </c>
      <c r="S114" s="81">
        <f t="shared" si="42"/>
        <v>66452.584013162355</v>
      </c>
      <c r="T114" s="81">
        <f t="shared" si="42"/>
        <v>31268.203904588619</v>
      </c>
      <c r="U114" s="81">
        <f t="shared" si="39"/>
        <v>97720.787917750975</v>
      </c>
      <c r="V114" s="81">
        <f t="shared" si="40"/>
        <v>31375116.727917746</v>
      </c>
      <c r="W114" s="87">
        <v>4643003.681473814</v>
      </c>
    </row>
    <row r="115" spans="1:23">
      <c r="A115" s="6">
        <f t="shared" si="41"/>
        <v>2012</v>
      </c>
      <c r="B115" s="6"/>
      <c r="C115" s="6"/>
      <c r="D115" s="6"/>
      <c r="E115" s="6"/>
      <c r="F115" s="6"/>
      <c r="G115" s="81">
        <f t="shared" si="42"/>
        <v>2446251.2099999972</v>
      </c>
      <c r="H115" s="81">
        <f t="shared" si="42"/>
        <v>42257881.25999999</v>
      </c>
      <c r="I115" s="81">
        <f t="shared" si="42"/>
        <v>2446251.2099999972</v>
      </c>
      <c r="J115" s="81">
        <f t="shared" si="42"/>
        <v>18770610.889999997</v>
      </c>
      <c r="K115" s="81">
        <f t="shared" si="42"/>
        <v>0</v>
      </c>
      <c r="L115" s="81">
        <f t="shared" si="42"/>
        <v>23487270.369999997</v>
      </c>
      <c r="M115" s="81">
        <f t="shared" si="42"/>
        <v>16792.455408353548</v>
      </c>
      <c r="N115" s="81">
        <f t="shared" si="42"/>
        <v>6925.5242621952648</v>
      </c>
      <c r="O115" s="81">
        <f>'Exhibit U,2'!Q42</f>
        <v>23717.979670548812</v>
      </c>
      <c r="P115" s="81">
        <f t="shared" si="42"/>
        <v>18787403.34540835</v>
      </c>
      <c r="Q115" s="81">
        <f t="shared" si="42"/>
        <v>23494195.894262191</v>
      </c>
      <c r="R115" s="81">
        <f t="shared" si="42"/>
        <v>42281599.239670545</v>
      </c>
      <c r="S115" s="81">
        <f t="shared" si="42"/>
        <v>102395.45073901722</v>
      </c>
      <c r="T115" s="81">
        <f t="shared" si="42"/>
        <v>59230.778272605326</v>
      </c>
      <c r="U115" s="81">
        <f t="shared" si="39"/>
        <v>161626.22901162255</v>
      </c>
      <c r="V115" s="81">
        <f t="shared" si="40"/>
        <v>42443225.46868217</v>
      </c>
      <c r="W115" s="87">
        <v>9251026.3205624986</v>
      </c>
    </row>
    <row r="116" spans="1:23">
      <c r="A116" s="6">
        <f t="shared" si="41"/>
        <v>2013</v>
      </c>
      <c r="B116" s="6"/>
      <c r="C116" s="6"/>
      <c r="D116" s="6"/>
      <c r="E116" s="6"/>
      <c r="F116" s="6"/>
      <c r="G116" s="81">
        <f t="shared" si="42"/>
        <v>-218109.83999999939</v>
      </c>
      <c r="H116" s="81">
        <f t="shared" si="42"/>
        <v>4710651.3900000006</v>
      </c>
      <c r="I116" s="81">
        <f t="shared" si="42"/>
        <v>-218109.83999999939</v>
      </c>
      <c r="J116" s="81">
        <f t="shared" si="42"/>
        <v>942967.05000000075</v>
      </c>
      <c r="K116" s="81">
        <f t="shared" si="42"/>
        <v>0</v>
      </c>
      <c r="L116" s="81">
        <f t="shared" si="42"/>
        <v>3767684.3400000003</v>
      </c>
      <c r="M116" s="81">
        <f t="shared" si="42"/>
        <v>47370.868698854392</v>
      </c>
      <c r="N116" s="81">
        <f t="shared" si="42"/>
        <v>16911.983153173776</v>
      </c>
      <c r="O116" s="81">
        <f>'Exhibit U,2'!Q43</f>
        <v>64282.851852028165</v>
      </c>
      <c r="P116" s="81">
        <f t="shared" si="42"/>
        <v>990337.91869885509</v>
      </c>
      <c r="Q116" s="81">
        <f t="shared" si="42"/>
        <v>3784596.323153174</v>
      </c>
      <c r="R116" s="81">
        <f t="shared" si="42"/>
        <v>4774934.2418520292</v>
      </c>
      <c r="S116" s="81">
        <f t="shared" si="42"/>
        <v>34635.9149720563</v>
      </c>
      <c r="T116" s="81">
        <f t="shared" si="42"/>
        <v>155699.98216735915</v>
      </c>
      <c r="U116" s="81">
        <f t="shared" si="39"/>
        <v>190335.89713941544</v>
      </c>
      <c r="V116" s="81">
        <f t="shared" si="40"/>
        <v>4965270.1389914444</v>
      </c>
      <c r="W116" s="87">
        <v>9138747.7340057306</v>
      </c>
    </row>
    <row r="117" spans="1:23">
      <c r="A117" s="6">
        <f t="shared" si="41"/>
        <v>2014</v>
      </c>
      <c r="B117" s="6"/>
      <c r="C117" s="6"/>
      <c r="D117" s="6"/>
      <c r="E117" s="6"/>
      <c r="F117" s="6"/>
      <c r="G117" s="81">
        <f t="shared" si="42"/>
        <v>-1710698.8499999996</v>
      </c>
      <c r="H117" s="81">
        <f t="shared" si="42"/>
        <v>9985950.1600000001</v>
      </c>
      <c r="I117" s="81">
        <f t="shared" si="42"/>
        <v>-1710698.8499999996</v>
      </c>
      <c r="J117" s="81">
        <f t="shared" si="42"/>
        <v>1706555.5</v>
      </c>
      <c r="K117" s="81">
        <f t="shared" si="42"/>
        <v>0</v>
      </c>
      <c r="L117" s="81">
        <f t="shared" si="42"/>
        <v>8279394.6600000001</v>
      </c>
      <c r="M117" s="81">
        <f t="shared" si="42"/>
        <v>595012.63529111224</v>
      </c>
      <c r="N117" s="81">
        <f t="shared" si="42"/>
        <v>333716.36898591963</v>
      </c>
      <c r="O117" s="81">
        <f>'Exhibit U,2'!Q44</f>
        <v>928729.00427703187</v>
      </c>
      <c r="P117" s="81">
        <f t="shared" si="42"/>
        <v>2301568.1352911121</v>
      </c>
      <c r="Q117" s="81">
        <f t="shared" si="42"/>
        <v>8613111.0289859194</v>
      </c>
      <c r="R117" s="81">
        <f t="shared" si="42"/>
        <v>10914679.164277032</v>
      </c>
      <c r="S117" s="81">
        <f t="shared" si="42"/>
        <v>150697.60019198371</v>
      </c>
      <c r="T117" s="81">
        <f t="shared" si="42"/>
        <v>285466.50229974778</v>
      </c>
      <c r="U117" s="81">
        <f t="shared" si="39"/>
        <v>436164.10249173152</v>
      </c>
      <c r="V117" s="81">
        <f t="shared" si="40"/>
        <v>11350843.266768763</v>
      </c>
      <c r="W117" s="87">
        <v>8802239.3912869394</v>
      </c>
    </row>
    <row r="118" spans="1:23">
      <c r="A118" s="6">
        <f t="shared" si="41"/>
        <v>2015</v>
      </c>
      <c r="B118" s="6"/>
      <c r="C118" s="6"/>
      <c r="D118" s="6"/>
      <c r="E118" s="6"/>
      <c r="F118" s="6"/>
      <c r="G118" s="81">
        <f t="shared" si="42"/>
        <v>80799.110000000335</v>
      </c>
      <c r="H118" s="81">
        <f t="shared" si="42"/>
        <v>13292718.099999998</v>
      </c>
      <c r="I118" s="81">
        <f t="shared" si="42"/>
        <v>80799.110000000335</v>
      </c>
      <c r="J118" s="81">
        <f t="shared" si="42"/>
        <v>5045494.88</v>
      </c>
      <c r="K118" s="81">
        <f t="shared" si="42"/>
        <v>0</v>
      </c>
      <c r="L118" s="81">
        <f t="shared" si="42"/>
        <v>8247223.2199999997</v>
      </c>
      <c r="M118" s="81">
        <f t="shared" si="42"/>
        <v>2185556.7702963171</v>
      </c>
      <c r="N118" s="81">
        <f t="shared" si="42"/>
        <v>685186.68941496464</v>
      </c>
      <c r="O118" s="81">
        <f>'Exhibit U,2'!Q45</f>
        <v>2870743.4597112816</v>
      </c>
      <c r="P118" s="81">
        <f t="shared" si="42"/>
        <v>7231051.6502963174</v>
      </c>
      <c r="Q118" s="81">
        <f t="shared" si="42"/>
        <v>8932409.9094149638</v>
      </c>
      <c r="R118" s="81">
        <f t="shared" si="42"/>
        <v>16163461.559711281</v>
      </c>
      <c r="S118" s="81">
        <f t="shared" si="42"/>
        <v>140097.96185929148</v>
      </c>
      <c r="T118" s="81">
        <f t="shared" si="42"/>
        <v>147390.06169770259</v>
      </c>
      <c r="U118" s="81">
        <f t="shared" si="39"/>
        <v>287488.02355699404</v>
      </c>
      <c r="V118" s="81">
        <f t="shared" si="40"/>
        <v>16450949.583268275</v>
      </c>
      <c r="W118" s="87">
        <v>8319791.3985117609</v>
      </c>
    </row>
    <row r="119" spans="1:23">
      <c r="A119" s="6">
        <f t="shared" si="41"/>
        <v>2016</v>
      </c>
      <c r="B119" s="6"/>
      <c r="C119" s="6"/>
      <c r="D119" s="6"/>
      <c r="E119" s="6"/>
      <c r="F119" s="6"/>
      <c r="G119" s="81">
        <f t="shared" si="42"/>
        <v>-417173</v>
      </c>
      <c r="H119" s="81">
        <f t="shared" si="42"/>
        <v>3692862.23</v>
      </c>
      <c r="I119" s="81">
        <f t="shared" si="42"/>
        <v>-417173</v>
      </c>
      <c r="J119" s="81">
        <f t="shared" si="42"/>
        <v>865713.77</v>
      </c>
      <c r="K119" s="81">
        <f t="shared" si="42"/>
        <v>0</v>
      </c>
      <c r="L119" s="81">
        <f t="shared" si="42"/>
        <v>2827148.46</v>
      </c>
      <c r="M119" s="81">
        <f t="shared" si="42"/>
        <v>2219635.2804787015</v>
      </c>
      <c r="N119" s="81">
        <f t="shared" si="42"/>
        <v>809778.09407912788</v>
      </c>
      <c r="O119" s="81">
        <f>'Exhibit U,2'!Q46</f>
        <v>3029413.3745578295</v>
      </c>
      <c r="P119" s="81">
        <f t="shared" si="42"/>
        <v>3085349.0504787015</v>
      </c>
      <c r="Q119" s="81">
        <f t="shared" si="42"/>
        <v>3636926.554079128</v>
      </c>
      <c r="R119" s="81">
        <f t="shared" si="42"/>
        <v>6722275.604557829</v>
      </c>
      <c r="S119" s="81">
        <f t="shared" si="42"/>
        <v>165339.46144163967</v>
      </c>
      <c r="T119" s="81">
        <f t="shared" si="42"/>
        <v>67837.1877234688</v>
      </c>
      <c r="U119" s="81">
        <f t="shared" si="39"/>
        <v>233176.64916510845</v>
      </c>
      <c r="V119" s="81">
        <f t="shared" si="40"/>
        <v>6955452.2537229378</v>
      </c>
      <c r="W119" s="87">
        <v>9832263.1279551852</v>
      </c>
    </row>
    <row r="120" spans="1:23">
      <c r="A120" s="6">
        <f t="shared" si="41"/>
        <v>2017</v>
      </c>
      <c r="B120" s="6"/>
      <c r="C120" s="6"/>
      <c r="D120" s="6"/>
      <c r="E120" s="6"/>
      <c r="F120" s="6"/>
      <c r="G120" s="81">
        <f t="shared" si="42"/>
        <v>-193429.11999999988</v>
      </c>
      <c r="H120" s="81">
        <f t="shared" si="42"/>
        <v>1811748.8800000001</v>
      </c>
      <c r="I120" s="81">
        <f t="shared" si="42"/>
        <v>-193429.11999999988</v>
      </c>
      <c r="J120" s="81">
        <f t="shared" si="42"/>
        <v>397060.12000000011</v>
      </c>
      <c r="K120" s="81">
        <f t="shared" si="42"/>
        <v>0</v>
      </c>
      <c r="L120" s="81">
        <f t="shared" si="42"/>
        <v>1414688.76</v>
      </c>
      <c r="M120" s="81">
        <f t="shared" si="42"/>
        <v>2281057.8919554488</v>
      </c>
      <c r="N120" s="81">
        <f t="shared" si="42"/>
        <v>1060357.5559423999</v>
      </c>
      <c r="O120" s="81">
        <f>'Exhibit U,2'!Q47</f>
        <v>3341415.4478978487</v>
      </c>
      <c r="P120" s="81">
        <f t="shared" si="42"/>
        <v>2678118.0119554489</v>
      </c>
      <c r="Q120" s="81">
        <f t="shared" si="42"/>
        <v>2475046.3159423997</v>
      </c>
      <c r="R120" s="81">
        <f t="shared" si="42"/>
        <v>5153164.3278978486</v>
      </c>
      <c r="S120" s="81">
        <f t="shared" si="42"/>
        <v>177833.81523936152</v>
      </c>
      <c r="T120" s="81">
        <f t="shared" si="42"/>
        <v>75181.294865767617</v>
      </c>
      <c r="U120" s="81">
        <f t="shared" si="39"/>
        <v>253015.11010512913</v>
      </c>
      <c r="V120" s="81">
        <f t="shared" si="40"/>
        <v>5406179.4380029775</v>
      </c>
      <c r="W120" s="87">
        <v>9156828.0297573637</v>
      </c>
    </row>
    <row r="121" spans="1:23">
      <c r="A121" s="6">
        <f t="shared" si="41"/>
        <v>2018</v>
      </c>
      <c r="B121" s="6"/>
      <c r="C121" s="6"/>
      <c r="D121" s="6"/>
      <c r="E121" s="6"/>
      <c r="F121" s="6"/>
      <c r="G121" s="81">
        <f t="shared" si="42"/>
        <v>-537657.82000000007</v>
      </c>
      <c r="H121" s="81">
        <f t="shared" si="42"/>
        <v>-39586.820000000065</v>
      </c>
      <c r="I121" s="81">
        <f t="shared" si="42"/>
        <v>-537657.82000000007</v>
      </c>
      <c r="J121" s="81">
        <f t="shared" si="42"/>
        <v>-401173.04000000004</v>
      </c>
      <c r="K121" s="81">
        <f t="shared" si="42"/>
        <v>0</v>
      </c>
      <c r="L121" s="81">
        <f t="shared" si="42"/>
        <v>361586.22</v>
      </c>
      <c r="M121" s="81">
        <f t="shared" si="42"/>
        <v>2887189.0829410851</v>
      </c>
      <c r="N121" s="81">
        <f t="shared" si="42"/>
        <v>1159706.8086619703</v>
      </c>
      <c r="O121" s="81">
        <f>'Exhibit U,2'!Q48</f>
        <v>4046895.8916030554</v>
      </c>
      <c r="P121" s="81">
        <f t="shared" si="42"/>
        <v>2486016.0429410851</v>
      </c>
      <c r="Q121" s="81">
        <f t="shared" si="42"/>
        <v>1521293.0286619703</v>
      </c>
      <c r="R121" s="81">
        <f t="shared" si="42"/>
        <v>4007309.0716030551</v>
      </c>
      <c r="S121" s="81">
        <f t="shared" si="42"/>
        <v>180444.81690172313</v>
      </c>
      <c r="T121" s="81">
        <f t="shared" si="42"/>
        <v>35102.349931094555</v>
      </c>
      <c r="U121" s="81">
        <f t="shared" si="39"/>
        <v>215547.16683281769</v>
      </c>
      <c r="V121" s="81">
        <f t="shared" si="40"/>
        <v>4222856.2384358728</v>
      </c>
      <c r="W121" s="87">
        <v>6522337.4387267325</v>
      </c>
    </row>
    <row r="122" spans="1:23">
      <c r="A122" s="6">
        <f t="shared" si="41"/>
        <v>2019</v>
      </c>
      <c r="B122" s="6"/>
      <c r="C122" s="6"/>
      <c r="D122" s="6"/>
      <c r="E122" s="6"/>
      <c r="F122" s="6"/>
      <c r="G122" s="81">
        <f t="shared" si="42"/>
        <v>-300323.98</v>
      </c>
      <c r="H122" s="81">
        <f t="shared" si="42"/>
        <v>-237724.09999999998</v>
      </c>
      <c r="I122" s="81">
        <f t="shared" si="42"/>
        <v>-300323.98</v>
      </c>
      <c r="J122" s="81">
        <f t="shared" si="42"/>
        <v>-293799.09999999998</v>
      </c>
      <c r="K122" s="81">
        <f t="shared" si="42"/>
        <v>0</v>
      </c>
      <c r="L122" s="81">
        <f t="shared" si="42"/>
        <v>56075</v>
      </c>
      <c r="M122" s="81">
        <f t="shared" si="42"/>
        <v>2691368.3776644957</v>
      </c>
      <c r="N122" s="81">
        <f t="shared" si="42"/>
        <v>999846.72280870378</v>
      </c>
      <c r="O122" s="81">
        <f>'Exhibit U,2'!Q49</f>
        <v>3691215.1004731995</v>
      </c>
      <c r="P122" s="81">
        <f t="shared" si="42"/>
        <v>2397569.2776644956</v>
      </c>
      <c r="Q122" s="81">
        <f t="shared" si="42"/>
        <v>1055921.7228087038</v>
      </c>
      <c r="R122" s="81">
        <f t="shared" si="42"/>
        <v>3453491.0004731999</v>
      </c>
      <c r="S122" s="81">
        <f t="shared" si="42"/>
        <v>148302.20790508803</v>
      </c>
      <c r="T122" s="81">
        <f t="shared" si="42"/>
        <v>25069.68852585123</v>
      </c>
      <c r="U122" s="81">
        <f t="shared" si="39"/>
        <v>173371.89643093926</v>
      </c>
      <c r="V122" s="81">
        <f t="shared" si="40"/>
        <v>3626862.8969041393</v>
      </c>
      <c r="W122" s="87">
        <v>3265471.3576777419</v>
      </c>
    </row>
    <row r="123" spans="1:23">
      <c r="A123" s="6">
        <f t="shared" si="41"/>
        <v>2020</v>
      </c>
      <c r="B123" s="6"/>
      <c r="C123" s="6"/>
      <c r="D123" s="6"/>
      <c r="E123" s="6"/>
      <c r="F123" s="6"/>
      <c r="G123" s="81">
        <f t="shared" si="42"/>
        <v>-32500</v>
      </c>
      <c r="H123" s="81">
        <f t="shared" si="42"/>
        <v>-32500</v>
      </c>
      <c r="I123" s="81">
        <f t="shared" si="42"/>
        <v>-32500</v>
      </c>
      <c r="J123" s="81">
        <f t="shared" si="42"/>
        <v>-32500</v>
      </c>
      <c r="K123" s="81">
        <f t="shared" si="42"/>
        <v>0</v>
      </c>
      <c r="L123" s="81">
        <f t="shared" si="42"/>
        <v>0</v>
      </c>
      <c r="M123" s="81">
        <f t="shared" si="42"/>
        <v>2227439.5720721795</v>
      </c>
      <c r="N123" s="81">
        <f t="shared" si="42"/>
        <v>778444.84483318881</v>
      </c>
      <c r="O123" s="81">
        <f>'Exhibit U,2'!Q50</f>
        <v>3005884.4169053682</v>
      </c>
      <c r="P123" s="81">
        <f t="shared" si="42"/>
        <v>2194939.5720721795</v>
      </c>
      <c r="Q123" s="81">
        <f t="shared" si="42"/>
        <v>778444.84483318881</v>
      </c>
      <c r="R123" s="81">
        <f t="shared" si="42"/>
        <v>2973384.4169053682</v>
      </c>
      <c r="S123" s="81">
        <f t="shared" si="42"/>
        <v>107351.4862308305</v>
      </c>
      <c r="T123" s="81">
        <f t="shared" si="42"/>
        <v>1104.9977364191054</v>
      </c>
      <c r="U123" s="81">
        <f t="shared" si="39"/>
        <v>108456.4839672496</v>
      </c>
      <c r="V123" s="81">
        <f t="shared" si="40"/>
        <v>3081840.900872618</v>
      </c>
      <c r="W123" s="87">
        <v>3923686.0599999959</v>
      </c>
    </row>
    <row r="124" spans="1:23">
      <c r="A124" s="6"/>
      <c r="B124" s="6"/>
      <c r="D124" s="6"/>
      <c r="E124" s="6"/>
      <c r="F124" s="6"/>
      <c r="G124" s="81">
        <f t="shared" si="42"/>
        <v>0</v>
      </c>
      <c r="H124" s="81">
        <f t="shared" si="42"/>
        <v>0</v>
      </c>
      <c r="I124" s="81">
        <f t="shared" si="42"/>
        <v>0</v>
      </c>
      <c r="J124" s="81">
        <f t="shared" si="42"/>
        <v>0</v>
      </c>
      <c r="K124" s="81">
        <f t="shared" si="42"/>
        <v>0</v>
      </c>
      <c r="L124" s="81">
        <f t="shared" si="42"/>
        <v>0</v>
      </c>
      <c r="M124" s="81">
        <f t="shared" si="42"/>
        <v>0</v>
      </c>
      <c r="N124" s="81">
        <f t="shared" si="42"/>
        <v>0</v>
      </c>
      <c r="O124" s="81">
        <f>'Exhibit U,2'!Q51</f>
        <v>0</v>
      </c>
      <c r="P124" s="81">
        <f t="shared" si="42"/>
        <v>0</v>
      </c>
      <c r="Q124" s="81">
        <f t="shared" si="42"/>
        <v>0</v>
      </c>
      <c r="R124" s="81">
        <f t="shared" si="42"/>
        <v>0</v>
      </c>
      <c r="S124" s="81">
        <f t="shared" si="42"/>
        <v>0</v>
      </c>
      <c r="T124" s="81">
        <f t="shared" si="42"/>
        <v>0</v>
      </c>
      <c r="U124" s="81">
        <f t="shared" si="39"/>
        <v>0</v>
      </c>
      <c r="V124" s="81">
        <f t="shared" si="40"/>
        <v>0</v>
      </c>
      <c r="W124" s="87">
        <v>0</v>
      </c>
    </row>
    <row r="125" spans="1:23">
      <c r="A125" s="6" t="s">
        <v>0</v>
      </c>
      <c r="B125" s="82">
        <f>SUM(B95:B123)</f>
        <v>0</v>
      </c>
      <c r="C125" s="82">
        <f>SUM(C95:C123)</f>
        <v>0</v>
      </c>
      <c r="D125" s="82">
        <f t="shared" ref="D125:Q125" si="43">SUM(D95:D123)</f>
        <v>0</v>
      </c>
      <c r="E125" s="82">
        <f t="shared" si="43"/>
        <v>0</v>
      </c>
      <c r="F125" s="82">
        <f t="shared" si="43"/>
        <v>0</v>
      </c>
      <c r="G125" s="82">
        <f>SUM(G95:G123)</f>
        <v>2788957.5899999966</v>
      </c>
      <c r="H125" s="82">
        <f t="shared" si="43"/>
        <v>182578872.96999997</v>
      </c>
      <c r="I125" s="82">
        <f t="shared" si="43"/>
        <v>2788957.5899999966</v>
      </c>
      <c r="J125" s="82">
        <f t="shared" si="43"/>
        <v>76640439.789999992</v>
      </c>
      <c r="K125" s="82">
        <f t="shared" si="43"/>
        <v>0</v>
      </c>
      <c r="L125" s="82">
        <f t="shared" si="43"/>
        <v>105938433.17999998</v>
      </c>
      <c r="M125" s="82">
        <f t="shared" si="43"/>
        <v>15151422.934806548</v>
      </c>
      <c r="N125" s="82">
        <f t="shared" si="43"/>
        <v>5850874.5921416441</v>
      </c>
      <c r="O125" s="82">
        <f t="shared" si="43"/>
        <v>21002297.526948195</v>
      </c>
      <c r="P125" s="82">
        <f t="shared" si="43"/>
        <v>91791862.724806547</v>
      </c>
      <c r="Q125" s="82">
        <f t="shared" si="43"/>
        <v>111789307.77214164</v>
      </c>
      <c r="R125" s="82">
        <f>SUM(R95:R123)</f>
        <v>203581170.49694818</v>
      </c>
      <c r="S125" s="82">
        <f>SUM(S95:S123)</f>
        <v>1283781.2319005129</v>
      </c>
      <c r="T125" s="82">
        <f>SUM(T95:T123)</f>
        <v>904259.04712460469</v>
      </c>
      <c r="U125" s="82">
        <f>SUM(U95:U123)</f>
        <v>2188040.2790251179</v>
      </c>
      <c r="V125" s="82">
        <f>SUM(V95:V123)</f>
        <v>205769210.77597329</v>
      </c>
      <c r="W125" s="90">
        <v>72855394.539957762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Sheet104">
    <tabColor rgb="FFFF0000"/>
  </sheetPr>
  <dimension ref="A5:X125"/>
  <sheetViews>
    <sheetView topLeftCell="A21" workbookViewId="0">
      <selection activeCell="A6" sqref="A6"/>
    </sheetView>
  </sheetViews>
  <sheetFormatPr baseColWidth="10" defaultColWidth="8.7109375" defaultRowHeight="15"/>
  <cols>
    <col min="1" max="25" width="12.7109375" style="1" customWidth="1"/>
    <col min="26" max="16384" width="8.7109375" style="1"/>
  </cols>
  <sheetData>
    <row r="5" spans="1:23" ht="16">
      <c r="A5" s="4"/>
      <c r="B5" s="4"/>
      <c r="H5" s="4"/>
      <c r="I5" s="4"/>
      <c r="J5" s="51" t="s">
        <v>872</v>
      </c>
      <c r="K5" s="4"/>
      <c r="L5" s="4"/>
    </row>
    <row r="6" spans="1:23" ht="16">
      <c r="A6" s="4"/>
      <c r="B6" s="4"/>
      <c r="H6" s="5" t="s">
        <v>680</v>
      </c>
      <c r="I6" s="5"/>
      <c r="J6" s="5"/>
      <c r="K6" s="5"/>
      <c r="L6" s="5"/>
    </row>
    <row r="7" spans="1:23">
      <c r="J7" s="1" t="s">
        <v>658</v>
      </c>
    </row>
    <row r="8" spans="1:23">
      <c r="I8" s="6"/>
      <c r="J8" s="6" t="s">
        <v>659</v>
      </c>
      <c r="K8" s="6"/>
      <c r="L8" s="6"/>
    </row>
    <row r="9" spans="1:23">
      <c r="A9" s="6" t="s">
        <v>9</v>
      </c>
      <c r="B9" s="85">
        <v>1</v>
      </c>
      <c r="C9" s="85">
        <v>1</v>
      </c>
      <c r="D9" s="85">
        <v>1</v>
      </c>
      <c r="E9" s="85">
        <v>1</v>
      </c>
      <c r="F9" s="85">
        <v>1</v>
      </c>
      <c r="G9" s="85">
        <v>0.95</v>
      </c>
      <c r="H9" s="85">
        <v>0.95</v>
      </c>
      <c r="I9" s="85">
        <v>0.95</v>
      </c>
      <c r="J9" s="85">
        <v>0.95</v>
      </c>
      <c r="K9" s="85">
        <v>0.95</v>
      </c>
      <c r="L9" s="85">
        <v>0.95</v>
      </c>
      <c r="M9" s="83" t="s">
        <v>683</v>
      </c>
      <c r="N9" s="83" t="s">
        <v>683</v>
      </c>
      <c r="O9" s="85">
        <v>0.95</v>
      </c>
      <c r="P9" s="6" t="s">
        <v>683</v>
      </c>
      <c r="Q9" s="6" t="s">
        <v>683</v>
      </c>
      <c r="R9" s="6" t="s">
        <v>683</v>
      </c>
      <c r="S9" s="6" t="s">
        <v>682</v>
      </c>
      <c r="T9" s="6" t="s">
        <v>682</v>
      </c>
      <c r="U9" s="6" t="s">
        <v>682</v>
      </c>
      <c r="V9" s="3"/>
      <c r="W9" s="86">
        <v>0.95</v>
      </c>
    </row>
    <row r="10" spans="1:23">
      <c r="A10" s="6"/>
      <c r="B10" s="27" t="s">
        <v>665</v>
      </c>
      <c r="C10" s="27" t="s">
        <v>523</v>
      </c>
      <c r="D10" s="27" t="s">
        <v>523</v>
      </c>
      <c r="E10" s="27" t="s">
        <v>523</v>
      </c>
      <c r="F10" s="27" t="s">
        <v>523</v>
      </c>
      <c r="H10" s="6"/>
      <c r="I10" s="6"/>
      <c r="J10" s="6"/>
      <c r="K10" s="6"/>
      <c r="L10" s="6"/>
      <c r="N10" s="79">
        <v>0.22500000000000001</v>
      </c>
      <c r="O10" s="6"/>
      <c r="P10" s="6"/>
      <c r="Q10" s="6"/>
      <c r="R10" s="6" t="s">
        <v>67</v>
      </c>
      <c r="S10" s="6"/>
      <c r="T10" s="6"/>
      <c r="U10" s="6"/>
      <c r="V10" s="6" t="s">
        <v>67</v>
      </c>
    </row>
    <row r="11" spans="1:23">
      <c r="A11" s="6" t="s">
        <v>3</v>
      </c>
      <c r="B11" s="27" t="s">
        <v>524</v>
      </c>
      <c r="C11" s="27" t="s">
        <v>524</v>
      </c>
      <c r="D11" s="27" t="s">
        <v>524</v>
      </c>
      <c r="E11" s="27" t="s">
        <v>528</v>
      </c>
      <c r="F11" s="27" t="s">
        <v>528</v>
      </c>
      <c r="G11" s="6" t="s">
        <v>14</v>
      </c>
      <c r="H11" s="6" t="s">
        <v>12</v>
      </c>
      <c r="I11" s="6" t="s">
        <v>14</v>
      </c>
      <c r="J11" s="6" t="s">
        <v>12</v>
      </c>
      <c r="K11" s="6" t="s">
        <v>14</v>
      </c>
      <c r="L11" s="6" t="s">
        <v>12</v>
      </c>
      <c r="M11" s="6" t="s">
        <v>381</v>
      </c>
      <c r="N11" s="6" t="s">
        <v>381</v>
      </c>
      <c r="O11" s="6" t="s">
        <v>381</v>
      </c>
      <c r="P11" s="6" t="s">
        <v>660</v>
      </c>
      <c r="Q11" s="6" t="s">
        <v>67</v>
      </c>
      <c r="R11" s="6" t="s">
        <v>662</v>
      </c>
      <c r="S11" s="6" t="s">
        <v>661</v>
      </c>
      <c r="T11" s="6" t="s">
        <v>661</v>
      </c>
      <c r="U11" s="6" t="s">
        <v>67</v>
      </c>
      <c r="V11" s="6" t="s">
        <v>663</v>
      </c>
      <c r="W11" s="6" t="s">
        <v>177</v>
      </c>
    </row>
    <row r="12" spans="1:23">
      <c r="A12" s="6" t="s">
        <v>4</v>
      </c>
      <c r="B12" s="28" t="s">
        <v>672</v>
      </c>
      <c r="C12" s="28" t="s">
        <v>671</v>
      </c>
      <c r="D12" s="28" t="s">
        <v>688</v>
      </c>
      <c r="E12" s="28" t="s">
        <v>671</v>
      </c>
      <c r="F12" s="28" t="s">
        <v>688</v>
      </c>
      <c r="G12" s="6" t="s">
        <v>0</v>
      </c>
      <c r="H12" s="6" t="s">
        <v>0</v>
      </c>
      <c r="I12" s="6" t="s">
        <v>566</v>
      </c>
      <c r="J12" s="6" t="s">
        <v>566</v>
      </c>
      <c r="K12" s="6" t="s">
        <v>567</v>
      </c>
      <c r="L12" s="6" t="s">
        <v>567</v>
      </c>
      <c r="M12" s="6" t="s">
        <v>566</v>
      </c>
      <c r="N12" s="6" t="s">
        <v>567</v>
      </c>
      <c r="O12" s="6" t="s">
        <v>0</v>
      </c>
      <c r="P12" s="6" t="s">
        <v>566</v>
      </c>
      <c r="Q12" s="6" t="s">
        <v>567</v>
      </c>
      <c r="R12" s="6" t="s">
        <v>0</v>
      </c>
      <c r="S12" s="6" t="s">
        <v>117</v>
      </c>
      <c r="T12" s="6" t="s">
        <v>14</v>
      </c>
      <c r="U12" s="6" t="s">
        <v>661</v>
      </c>
      <c r="V12" s="6" t="s">
        <v>0</v>
      </c>
      <c r="W12" s="6" t="s">
        <v>16</v>
      </c>
    </row>
    <row r="13" spans="1:23">
      <c r="A13" s="10">
        <v>-1</v>
      </c>
      <c r="B13" s="10">
        <f>A13-1</f>
        <v>-2</v>
      </c>
      <c r="C13" s="10">
        <f>B13-1</f>
        <v>-3</v>
      </c>
      <c r="D13" s="10">
        <f t="shared" ref="D13:W13" si="0">C13-1</f>
        <v>-4</v>
      </c>
      <c r="E13" s="10">
        <f t="shared" si="0"/>
        <v>-5</v>
      </c>
      <c r="F13" s="10">
        <f t="shared" si="0"/>
        <v>-6</v>
      </c>
      <c r="G13" s="10">
        <f t="shared" si="0"/>
        <v>-7</v>
      </c>
      <c r="H13" s="10">
        <f t="shared" si="0"/>
        <v>-8</v>
      </c>
      <c r="I13" s="10">
        <f t="shared" si="0"/>
        <v>-9</v>
      </c>
      <c r="J13" s="10">
        <f t="shared" si="0"/>
        <v>-10</v>
      </c>
      <c r="K13" s="10">
        <f t="shared" si="0"/>
        <v>-11</v>
      </c>
      <c r="L13" s="10">
        <f t="shared" si="0"/>
        <v>-12</v>
      </c>
      <c r="M13" s="10">
        <f>L13-1</f>
        <v>-13</v>
      </c>
      <c r="N13" s="10">
        <f t="shared" si="0"/>
        <v>-14</v>
      </c>
      <c r="O13" s="10">
        <f t="shared" si="0"/>
        <v>-15</v>
      </c>
      <c r="P13" s="10">
        <f t="shared" si="0"/>
        <v>-16</v>
      </c>
      <c r="Q13" s="10">
        <f t="shared" si="0"/>
        <v>-17</v>
      </c>
      <c r="R13" s="10">
        <f t="shared" si="0"/>
        <v>-18</v>
      </c>
      <c r="S13" s="10">
        <f t="shared" si="0"/>
        <v>-19</v>
      </c>
      <c r="T13" s="10">
        <f t="shared" si="0"/>
        <v>-20</v>
      </c>
      <c r="U13" s="10">
        <f t="shared" si="0"/>
        <v>-21</v>
      </c>
      <c r="V13" s="10">
        <f t="shared" si="0"/>
        <v>-22</v>
      </c>
      <c r="W13" s="10">
        <f t="shared" si="0"/>
        <v>-23</v>
      </c>
    </row>
    <row r="14" spans="1:23">
      <c r="A14" s="80"/>
      <c r="B14" s="80"/>
      <c r="C14" s="6"/>
      <c r="D14" s="6"/>
      <c r="E14" s="6"/>
      <c r="F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</row>
    <row r="15" spans="1:23">
      <c r="A15" s="6">
        <v>1992</v>
      </c>
      <c r="B15" s="81"/>
      <c r="C15" s="81"/>
      <c r="D15" s="81"/>
      <c r="E15" s="81"/>
      <c r="F15" s="81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81">
        <f t="shared" ref="S15:S34" si="1">S$45*(H15-G15+O15)/(H$45-G$45+O$45)</f>
        <v>0</v>
      </c>
      <c r="T15" s="87">
        <v>0</v>
      </c>
      <c r="U15" s="81">
        <f>S15+T15</f>
        <v>0</v>
      </c>
      <c r="V15" s="81">
        <f>R15+U15</f>
        <v>0</v>
      </c>
      <c r="W15" s="6"/>
    </row>
    <row r="16" spans="1:23">
      <c r="A16" s="6">
        <f>A15+1</f>
        <v>1993</v>
      </c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>
        <f t="shared" si="1"/>
        <v>0</v>
      </c>
      <c r="T16" s="87">
        <v>0</v>
      </c>
      <c r="U16" s="81">
        <f t="shared" ref="U16:U44" si="2">S16+T16</f>
        <v>0</v>
      </c>
      <c r="V16" s="81">
        <f t="shared" ref="V16:V44" si="3">R16+U16</f>
        <v>0</v>
      </c>
      <c r="W16" s="87"/>
    </row>
    <row r="17" spans="1:23">
      <c r="A17" s="6">
        <f t="shared" ref="A17:A43" si="4">A16+1</f>
        <v>1994</v>
      </c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>
        <f t="shared" si="1"/>
        <v>0</v>
      </c>
      <c r="T17" s="87">
        <v>0</v>
      </c>
      <c r="U17" s="81">
        <f t="shared" si="2"/>
        <v>0</v>
      </c>
      <c r="V17" s="81">
        <f t="shared" si="3"/>
        <v>0</v>
      </c>
      <c r="W17" s="87"/>
    </row>
    <row r="18" spans="1:23">
      <c r="A18" s="6">
        <f t="shared" si="4"/>
        <v>1995</v>
      </c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>
        <f t="shared" si="1"/>
        <v>0</v>
      </c>
      <c r="T18" s="87">
        <v>0</v>
      </c>
      <c r="U18" s="81">
        <f t="shared" si="2"/>
        <v>0</v>
      </c>
      <c r="V18" s="81">
        <f t="shared" si="3"/>
        <v>0</v>
      </c>
      <c r="W18" s="87"/>
    </row>
    <row r="19" spans="1:23">
      <c r="A19" s="6">
        <f t="shared" si="4"/>
        <v>1996</v>
      </c>
      <c r="B19" s="81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>
        <f t="shared" si="1"/>
        <v>0</v>
      </c>
      <c r="T19" s="87">
        <v>0</v>
      </c>
      <c r="U19" s="81">
        <f t="shared" si="2"/>
        <v>0</v>
      </c>
      <c r="V19" s="81">
        <f t="shared" si="3"/>
        <v>0</v>
      </c>
      <c r="W19" s="87"/>
    </row>
    <row r="20" spans="1:23">
      <c r="A20" s="6">
        <f t="shared" si="4"/>
        <v>1997</v>
      </c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>
        <f t="shared" si="1"/>
        <v>0</v>
      </c>
      <c r="T20" s="87">
        <v>0</v>
      </c>
      <c r="U20" s="81">
        <f t="shared" si="2"/>
        <v>0</v>
      </c>
      <c r="V20" s="81">
        <f t="shared" si="3"/>
        <v>0</v>
      </c>
      <c r="W20" s="87"/>
    </row>
    <row r="21" spans="1:23">
      <c r="A21" s="6">
        <f t="shared" si="4"/>
        <v>1998</v>
      </c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>
        <f t="shared" si="1"/>
        <v>0</v>
      </c>
      <c r="T21" s="87">
        <v>0</v>
      </c>
      <c r="U21" s="81">
        <f t="shared" si="2"/>
        <v>0</v>
      </c>
      <c r="V21" s="81">
        <f t="shared" si="3"/>
        <v>0</v>
      </c>
      <c r="W21" s="87"/>
    </row>
    <row r="22" spans="1:23">
      <c r="A22" s="6">
        <f t="shared" si="4"/>
        <v>1999</v>
      </c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>
        <f t="shared" si="1"/>
        <v>0</v>
      </c>
      <c r="T22" s="87">
        <v>0</v>
      </c>
      <c r="U22" s="81">
        <f t="shared" si="2"/>
        <v>0</v>
      </c>
      <c r="V22" s="81">
        <f t="shared" si="3"/>
        <v>0</v>
      </c>
      <c r="W22" s="87"/>
    </row>
    <row r="23" spans="1:23">
      <c r="A23" s="6">
        <f t="shared" si="4"/>
        <v>2000</v>
      </c>
      <c r="B23" s="81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>
        <f t="shared" si="1"/>
        <v>0</v>
      </c>
      <c r="T23" s="87">
        <v>0</v>
      </c>
      <c r="U23" s="81">
        <f t="shared" si="2"/>
        <v>0</v>
      </c>
      <c r="V23" s="81">
        <f t="shared" si="3"/>
        <v>0</v>
      </c>
      <c r="W23" s="87"/>
    </row>
    <row r="24" spans="1:23">
      <c r="A24" s="6">
        <f t="shared" si="4"/>
        <v>2001</v>
      </c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>
        <f t="shared" si="1"/>
        <v>0</v>
      </c>
      <c r="T24" s="87">
        <v>0</v>
      </c>
      <c r="U24" s="81">
        <f t="shared" si="2"/>
        <v>0</v>
      </c>
      <c r="V24" s="81">
        <f t="shared" si="3"/>
        <v>0</v>
      </c>
      <c r="W24" s="87"/>
    </row>
    <row r="25" spans="1:23">
      <c r="A25" s="6">
        <f t="shared" si="4"/>
        <v>2002</v>
      </c>
      <c r="B25" s="81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>
        <f t="shared" si="1"/>
        <v>0</v>
      </c>
      <c r="T25" s="87">
        <v>0</v>
      </c>
      <c r="U25" s="81">
        <f t="shared" si="2"/>
        <v>0</v>
      </c>
      <c r="V25" s="81">
        <f t="shared" si="3"/>
        <v>0</v>
      </c>
      <c r="W25" s="87"/>
    </row>
    <row r="26" spans="1:23">
      <c r="A26" s="6">
        <f t="shared" si="4"/>
        <v>2003</v>
      </c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>
        <f t="shared" si="1"/>
        <v>0</v>
      </c>
      <c r="T26" s="87">
        <v>0</v>
      </c>
      <c r="U26" s="81">
        <f t="shared" si="2"/>
        <v>0</v>
      </c>
      <c r="V26" s="81">
        <f t="shared" si="3"/>
        <v>0</v>
      </c>
      <c r="W26" s="87"/>
    </row>
    <row r="27" spans="1:23">
      <c r="A27" s="6">
        <f t="shared" si="4"/>
        <v>2004</v>
      </c>
      <c r="B27" s="81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>
        <f t="shared" si="1"/>
        <v>0</v>
      </c>
      <c r="T27" s="87">
        <v>0</v>
      </c>
      <c r="U27" s="81">
        <f t="shared" si="2"/>
        <v>0</v>
      </c>
      <c r="V27" s="81">
        <f t="shared" si="3"/>
        <v>0</v>
      </c>
      <c r="W27" s="87"/>
    </row>
    <row r="28" spans="1:23">
      <c r="A28" s="6">
        <f t="shared" si="4"/>
        <v>2005</v>
      </c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>
        <f t="shared" si="1"/>
        <v>0</v>
      </c>
      <c r="T28" s="87">
        <v>0</v>
      </c>
      <c r="U28" s="81">
        <f t="shared" si="2"/>
        <v>0</v>
      </c>
      <c r="V28" s="81">
        <f t="shared" si="3"/>
        <v>0</v>
      </c>
      <c r="W28" s="87"/>
    </row>
    <row r="29" spans="1:23">
      <c r="A29" s="6">
        <f t="shared" si="4"/>
        <v>2006</v>
      </c>
      <c r="B29" s="81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>
        <f t="shared" si="1"/>
        <v>0</v>
      </c>
      <c r="T29" s="87">
        <v>0</v>
      </c>
      <c r="U29" s="81">
        <f t="shared" si="2"/>
        <v>0</v>
      </c>
      <c r="V29" s="81">
        <f t="shared" si="3"/>
        <v>0</v>
      </c>
      <c r="W29" s="87"/>
    </row>
    <row r="30" spans="1:23">
      <c r="A30" s="6">
        <f t="shared" si="4"/>
        <v>2007</v>
      </c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>
        <f t="shared" si="1"/>
        <v>0</v>
      </c>
      <c r="T30" s="87">
        <v>0</v>
      </c>
      <c r="U30" s="81">
        <f t="shared" si="2"/>
        <v>0</v>
      </c>
      <c r="V30" s="81">
        <f t="shared" si="3"/>
        <v>0</v>
      </c>
      <c r="W30" s="87"/>
    </row>
    <row r="31" spans="1:23">
      <c r="A31" s="6">
        <f t="shared" si="4"/>
        <v>2008</v>
      </c>
      <c r="B31" s="81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>
        <f t="shared" si="1"/>
        <v>0</v>
      </c>
      <c r="T31" s="87">
        <v>0</v>
      </c>
      <c r="U31" s="81">
        <f t="shared" si="2"/>
        <v>0</v>
      </c>
      <c r="V31" s="81">
        <f t="shared" si="3"/>
        <v>0</v>
      </c>
      <c r="W31" s="87"/>
    </row>
    <row r="32" spans="1:23">
      <c r="A32" s="6">
        <f t="shared" si="4"/>
        <v>2009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>
        <f t="shared" si="1"/>
        <v>0</v>
      </c>
      <c r="T32" s="87">
        <v>0</v>
      </c>
      <c r="U32" s="81">
        <f t="shared" si="2"/>
        <v>0</v>
      </c>
      <c r="V32" s="81">
        <f t="shared" si="3"/>
        <v>0</v>
      </c>
      <c r="W32" s="87"/>
    </row>
    <row r="33" spans="1:23">
      <c r="A33" s="6">
        <f t="shared" si="4"/>
        <v>2010</v>
      </c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>
        <f t="shared" si="1"/>
        <v>0</v>
      </c>
      <c r="T33" s="87">
        <v>0</v>
      </c>
      <c r="U33" s="81">
        <f t="shared" si="2"/>
        <v>0</v>
      </c>
      <c r="V33" s="81">
        <f t="shared" si="3"/>
        <v>0</v>
      </c>
      <c r="W33" s="87"/>
    </row>
    <row r="34" spans="1:23">
      <c r="A34" s="6">
        <f t="shared" si="4"/>
        <v>2011</v>
      </c>
      <c r="B34" s="81"/>
      <c r="C34" s="81"/>
      <c r="D34" s="81"/>
      <c r="E34" s="32">
        <v>2500</v>
      </c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>
        <f t="shared" si="1"/>
        <v>0</v>
      </c>
      <c r="T34" s="87">
        <v>119.82441853645265</v>
      </c>
      <c r="U34" s="81">
        <f t="shared" si="2"/>
        <v>119.82441853645265</v>
      </c>
      <c r="V34" s="81">
        <f t="shared" si="3"/>
        <v>119.82441853645265</v>
      </c>
      <c r="W34" s="87">
        <v>533451.31999999995</v>
      </c>
    </row>
    <row r="35" spans="1:23">
      <c r="A35" s="6">
        <f t="shared" si="4"/>
        <v>2012</v>
      </c>
      <c r="B35" s="81">
        <f>'AD14'!B35</f>
        <v>0</v>
      </c>
      <c r="C35" s="31"/>
      <c r="D35" s="81">
        <f>'AD14'!D35</f>
        <v>8861.26</v>
      </c>
      <c r="E35" s="32">
        <v>0</v>
      </c>
      <c r="F35" s="81">
        <f>'AD14'!F35</f>
        <v>8861.26</v>
      </c>
      <c r="G35" s="81">
        <f>(B35+C35+E35)*G$9</f>
        <v>0</v>
      </c>
      <c r="H35" s="81">
        <f>G35+(D35+F35)*0.95</f>
        <v>16836.394</v>
      </c>
      <c r="I35" s="81">
        <f>(B35+C35)*0.95</f>
        <v>0</v>
      </c>
      <c r="J35" s="81">
        <f>I35+D35*0.95</f>
        <v>8418.1970000000001</v>
      </c>
      <c r="K35" s="81">
        <f>E35*0.95</f>
        <v>0</v>
      </c>
      <c r="L35" s="81">
        <f>K35+F35*0.95</f>
        <v>8418.1970000000001</v>
      </c>
      <c r="M35" s="81">
        <f t="shared" ref="M35:M43" si="5">O35-N35</f>
        <v>-6524.1026750000001</v>
      </c>
      <c r="N35" s="81">
        <f>N$10*O35</f>
        <v>-1894.094325</v>
      </c>
      <c r="O35" s="81">
        <f>R35-H35</f>
        <v>-8418.1970000000001</v>
      </c>
      <c r="P35" s="81">
        <f>'AD14'!P75</f>
        <v>23075.562000000002</v>
      </c>
      <c r="Q35" s="81">
        <f>'AD14'!Q75</f>
        <v>12369.477999999999</v>
      </c>
      <c r="R35" s="81">
        <f>'Exhibit V,1'!C17</f>
        <v>8418.1970000000001</v>
      </c>
      <c r="S35" s="81">
        <f>'AD14'!S75</f>
        <v>163.86140806477792</v>
      </c>
      <c r="T35" s="87">
        <v>0</v>
      </c>
      <c r="U35" s="81">
        <f>'AD14'!U75</f>
        <v>163.86140806477792</v>
      </c>
      <c r="V35" s="81">
        <f>'AD14'!V75</f>
        <v>35608.901408064776</v>
      </c>
      <c r="W35" s="87">
        <v>530339.4</v>
      </c>
    </row>
    <row r="36" spans="1:23">
      <c r="A36" s="6">
        <f t="shared" si="4"/>
        <v>2013</v>
      </c>
      <c r="B36" s="81">
        <f>'AD14'!B36</f>
        <v>0</v>
      </c>
      <c r="C36" s="31"/>
      <c r="D36" s="81">
        <f>'AD14'!D36</f>
        <v>4078500.86</v>
      </c>
      <c r="E36" s="32">
        <v>8861.26</v>
      </c>
      <c r="F36" s="81">
        <f>'AD14'!F36</f>
        <v>4078500.86</v>
      </c>
      <c r="G36" s="81">
        <f t="shared" ref="G36:G43" si="6">(B36+C36+E36)*G$9</f>
        <v>8418.1970000000001</v>
      </c>
      <c r="H36" s="81">
        <f t="shared" ref="H36:H43" si="7">G36+(D36+F36)*0.95</f>
        <v>7757569.8309999993</v>
      </c>
      <c r="I36" s="81">
        <f t="shared" ref="I36:I43" si="8">(B36+C36)*0.95</f>
        <v>0</v>
      </c>
      <c r="J36" s="81">
        <f t="shared" ref="J36:J43" si="9">I36+D36*0.95</f>
        <v>3874575.8169999998</v>
      </c>
      <c r="K36" s="81">
        <f t="shared" ref="K36:K43" si="10">E36*0.95</f>
        <v>8418.1970000000001</v>
      </c>
      <c r="L36" s="81">
        <f t="shared" ref="L36:L43" si="11">K36+F36*0.95</f>
        <v>3882994.014</v>
      </c>
      <c r="M36" s="81">
        <f t="shared" si="5"/>
        <v>-3065091.5024280492</v>
      </c>
      <c r="N36" s="81">
        <f t="shared" ref="N36:N43" si="12">N$10*O36</f>
        <v>-889865.27489846596</v>
      </c>
      <c r="O36" s="81">
        <f t="shared" ref="O36:O43" si="13">R36-H36</f>
        <v>-3954956.7773265154</v>
      </c>
      <c r="P36" s="81">
        <f>'AD14'!P76</f>
        <v>12518306.968430998</v>
      </c>
      <c r="Q36" s="81">
        <f>'AD14'!Q76</f>
        <v>3642765.3743831934</v>
      </c>
      <c r="R36" s="81">
        <f>'Exhibit V,1'!C18</f>
        <v>3802613.0536734839</v>
      </c>
      <c r="S36" s="81">
        <f>'AD14'!S76</f>
        <v>75440.165493881243</v>
      </c>
      <c r="T36" s="87">
        <v>544.46601601011525</v>
      </c>
      <c r="U36" s="81">
        <f>'AD14'!U76</f>
        <v>75440.165493881243</v>
      </c>
      <c r="V36" s="81">
        <f>'AD14'!V76</f>
        <v>16236512.508308074</v>
      </c>
      <c r="W36" s="87">
        <v>721760.35</v>
      </c>
    </row>
    <row r="37" spans="1:23">
      <c r="A37" s="6">
        <f t="shared" si="4"/>
        <v>2014</v>
      </c>
      <c r="B37" s="81">
        <f>'AD14'!B37</f>
        <v>0</v>
      </c>
      <c r="C37" s="31">
        <v>3750000</v>
      </c>
      <c r="D37" s="81">
        <f>'AD14'!D37</f>
        <v>2710527.3699999996</v>
      </c>
      <c r="E37" s="32">
        <v>250480.04</v>
      </c>
      <c r="F37" s="81">
        <f>'AD14'!F37</f>
        <v>2710527.3699999996</v>
      </c>
      <c r="G37" s="81">
        <f t="shared" si="6"/>
        <v>3800456.0379999997</v>
      </c>
      <c r="H37" s="81">
        <f t="shared" si="7"/>
        <v>8950458.0409999974</v>
      </c>
      <c r="I37" s="81">
        <f t="shared" si="8"/>
        <v>3562500</v>
      </c>
      <c r="J37" s="81">
        <f t="shared" si="9"/>
        <v>6137501.0014999993</v>
      </c>
      <c r="K37" s="81">
        <f t="shared" si="10"/>
        <v>237956.038</v>
      </c>
      <c r="L37" s="81">
        <f t="shared" si="11"/>
        <v>2812957.0394999995</v>
      </c>
      <c r="M37" s="81">
        <f t="shared" si="5"/>
        <v>-5024431.0971064642</v>
      </c>
      <c r="N37" s="81">
        <f t="shared" si="12"/>
        <v>-1458705.8023857479</v>
      </c>
      <c r="O37" s="81">
        <f t="shared" si="13"/>
        <v>-6483136.8994922126</v>
      </c>
      <c r="P37" s="81">
        <f>'AD14'!P77</f>
        <v>8995456.1934681721</v>
      </c>
      <c r="Q37" s="81">
        <f>'AD14'!Q77</f>
        <v>1815685.9026197912</v>
      </c>
      <c r="R37" s="81">
        <f>'Exhibit V,1'!C19</f>
        <v>2467321.1415077848</v>
      </c>
      <c r="S37" s="81">
        <f>'AD14'!S77</f>
        <v>50242.473433668529</v>
      </c>
      <c r="T37" s="87">
        <v>46220.860850312594</v>
      </c>
      <c r="U37" s="81">
        <f>'AD14'!U77</f>
        <v>50242.473433668529</v>
      </c>
      <c r="V37" s="81">
        <f>'AD14'!V77</f>
        <v>10861384.569521632</v>
      </c>
      <c r="W37" s="87">
        <v>1226294.4454999999</v>
      </c>
    </row>
    <row r="38" spans="1:23">
      <c r="A38" s="6">
        <f t="shared" si="4"/>
        <v>2015</v>
      </c>
      <c r="B38" s="81">
        <f>'AD14'!B38</f>
        <v>0</v>
      </c>
      <c r="C38" s="31">
        <v>2225000</v>
      </c>
      <c r="D38" s="81">
        <f>'AD14'!D38</f>
        <v>3014251.8099999996</v>
      </c>
      <c r="E38" s="32">
        <v>359232.76</v>
      </c>
      <c r="F38" s="81"/>
      <c r="G38" s="81">
        <f t="shared" si="6"/>
        <v>2455021.1219999995</v>
      </c>
      <c r="H38" s="81">
        <f t="shared" si="7"/>
        <v>5318560.3414999992</v>
      </c>
      <c r="I38" s="81">
        <f t="shared" si="8"/>
        <v>2113750</v>
      </c>
      <c r="J38" s="81">
        <f t="shared" si="9"/>
        <v>4977289.2194999997</v>
      </c>
      <c r="K38" s="81">
        <f t="shared" si="10"/>
        <v>341271.12199999997</v>
      </c>
      <c r="L38" s="81">
        <f t="shared" si="11"/>
        <v>341271.12199999997</v>
      </c>
      <c r="M38" s="81">
        <f t="shared" si="5"/>
        <v>-1958758.6234519146</v>
      </c>
      <c r="N38" s="81">
        <f t="shared" si="12"/>
        <v>-568671.85842152359</v>
      </c>
      <c r="O38" s="81">
        <f t="shared" si="13"/>
        <v>-2527430.4818734382</v>
      </c>
      <c r="P38" s="81">
        <f>'AD14'!P78</f>
        <v>9581425.5810049716</v>
      </c>
      <c r="Q38" s="81">
        <f>'AD14'!Q78</f>
        <v>2496694.3854530556</v>
      </c>
      <c r="R38" s="81">
        <f>'Exhibit V,1'!C20</f>
        <v>2791129.8596265609</v>
      </c>
      <c r="S38" s="81">
        <f>'AD14'!S78</f>
        <v>56239.948906055157</v>
      </c>
      <c r="T38" s="87">
        <v>89013.258767962645</v>
      </c>
      <c r="U38" s="81">
        <f>'AD14'!U78</f>
        <v>56239.948906055157</v>
      </c>
      <c r="V38" s="81">
        <f>'AD14'!V78</f>
        <v>12134359.915364085</v>
      </c>
      <c r="W38" s="87">
        <v>1160166.0720846944</v>
      </c>
    </row>
    <row r="39" spans="1:23">
      <c r="A39" s="6">
        <f t="shared" si="4"/>
        <v>2016</v>
      </c>
      <c r="B39" s="81">
        <f>'AD14'!B39</f>
        <v>-233439.74</v>
      </c>
      <c r="C39" s="31">
        <v>2575000</v>
      </c>
      <c r="D39" s="81">
        <f>'AD14'!D39</f>
        <v>1645974.7000000002</v>
      </c>
      <c r="E39" s="32">
        <v>308872.69</v>
      </c>
      <c r="F39" s="81">
        <f>'AD14'!F39</f>
        <v>2270922.0199999996</v>
      </c>
      <c r="G39" s="81">
        <f t="shared" si="6"/>
        <v>2517911.3024999998</v>
      </c>
      <c r="H39" s="81">
        <f t="shared" si="7"/>
        <v>6238963.1864999998</v>
      </c>
      <c r="I39" s="81">
        <f t="shared" si="8"/>
        <v>2224482.2469999995</v>
      </c>
      <c r="J39" s="81">
        <f t="shared" si="9"/>
        <v>3788158.2119999994</v>
      </c>
      <c r="K39" s="81">
        <f t="shared" si="10"/>
        <v>293429.05550000002</v>
      </c>
      <c r="L39" s="81">
        <f t="shared" si="11"/>
        <v>2450804.9744999995</v>
      </c>
      <c r="M39" s="81">
        <f t="shared" si="5"/>
        <v>-3336533.7689276556</v>
      </c>
      <c r="N39" s="81">
        <f t="shared" si="12"/>
        <v>-968671.09420480335</v>
      </c>
      <c r="O39" s="81">
        <f t="shared" si="13"/>
        <v>-4305204.8631324591</v>
      </c>
      <c r="P39" s="81">
        <f>'AD14'!P79</f>
        <v>6455824.414810827</v>
      </c>
      <c r="Q39" s="81">
        <f>'AD14'!Q79</f>
        <v>1564640.1891386271</v>
      </c>
      <c r="R39" s="81">
        <f>'Exhibit V,1'!C21</f>
        <v>1933758.3233675407</v>
      </c>
      <c r="S39" s="81">
        <f>'AD14'!S79</f>
        <v>37065.370094404556</v>
      </c>
      <c r="T39" s="87">
        <v>174211.9369017877</v>
      </c>
      <c r="U39" s="81">
        <f>'AD14'!U79</f>
        <v>41884.86400007191</v>
      </c>
      <c r="V39" s="81">
        <f>'AD14'!V79</f>
        <v>8062349.4679495255</v>
      </c>
      <c r="W39" s="87">
        <v>1605072.6346803552</v>
      </c>
    </row>
    <row r="40" spans="1:23">
      <c r="A40" s="6">
        <f t="shared" si="4"/>
        <v>2017</v>
      </c>
      <c r="B40" s="81">
        <f>'AD14'!B40</f>
        <v>0</v>
      </c>
      <c r="C40" s="31">
        <v>1004000</v>
      </c>
      <c r="D40" s="32">
        <v>588000</v>
      </c>
      <c r="E40" s="32">
        <v>313175.92999999993</v>
      </c>
      <c r="F40" s="32">
        <v>125344.66000000003</v>
      </c>
      <c r="G40" s="81">
        <f t="shared" si="6"/>
        <v>1251317.1334999998</v>
      </c>
      <c r="H40" s="81">
        <f t="shared" si="7"/>
        <v>1928994.5604999997</v>
      </c>
      <c r="I40" s="81">
        <f t="shared" si="8"/>
        <v>953800</v>
      </c>
      <c r="J40" s="81">
        <f t="shared" si="9"/>
        <v>1512400</v>
      </c>
      <c r="K40" s="81">
        <f t="shared" si="10"/>
        <v>297517.13349999994</v>
      </c>
      <c r="L40" s="81">
        <f t="shared" si="11"/>
        <v>416594.56049999996</v>
      </c>
      <c r="M40" s="81">
        <f t="shared" si="5"/>
        <v>-1029931.5663769902</v>
      </c>
      <c r="N40" s="81">
        <f t="shared" si="12"/>
        <v>-299012.39023848105</v>
      </c>
      <c r="O40" s="81">
        <f t="shared" si="13"/>
        <v>-1328943.9566154713</v>
      </c>
      <c r="P40" s="81">
        <f>'AD14'!P80</f>
        <v>724267.52404012531</v>
      </c>
      <c r="Q40" s="81">
        <f>'AD14'!Q80</f>
        <v>172374.32472132682</v>
      </c>
      <c r="R40" s="81">
        <f>'Exhibit V,1'!C22</f>
        <v>600050.60388452851</v>
      </c>
      <c r="S40" s="81">
        <f>'AD14'!S80</f>
        <v>6761.4082128622676</v>
      </c>
      <c r="T40" s="87">
        <v>130743.64938036984</v>
      </c>
      <c r="U40" s="81">
        <f>'AD14'!U80</f>
        <v>14415.705588196994</v>
      </c>
      <c r="V40" s="81">
        <f>'AD14'!V80</f>
        <v>911057.554349649</v>
      </c>
      <c r="W40" s="87">
        <v>1602437.2502517416</v>
      </c>
    </row>
    <row r="41" spans="1:23">
      <c r="A41" s="6">
        <f t="shared" si="4"/>
        <v>2018</v>
      </c>
      <c r="B41" s="81">
        <f>'AD14'!B41</f>
        <v>150884.81999999983</v>
      </c>
      <c r="C41" s="31">
        <v>0</v>
      </c>
      <c r="D41" s="32">
        <v>0</v>
      </c>
      <c r="E41" s="32">
        <v>83249.7</v>
      </c>
      <c r="F41" s="32">
        <v>0</v>
      </c>
      <c r="G41" s="81">
        <f t="shared" si="6"/>
        <v>222427.79399999985</v>
      </c>
      <c r="H41" s="81">
        <f t="shared" si="7"/>
        <v>222427.79399999985</v>
      </c>
      <c r="I41" s="81">
        <f t="shared" si="8"/>
        <v>143340.57899999982</v>
      </c>
      <c r="J41" s="81">
        <f t="shared" si="9"/>
        <v>143340.57899999982</v>
      </c>
      <c r="K41" s="81">
        <f t="shared" si="10"/>
        <v>79087.214999999997</v>
      </c>
      <c r="L41" s="81">
        <f t="shared" si="11"/>
        <v>79087.214999999997</v>
      </c>
      <c r="M41" s="81">
        <f t="shared" si="5"/>
        <v>2668311.4586479128</v>
      </c>
      <c r="N41" s="81">
        <f t="shared" si="12"/>
        <v>774671.0686397166</v>
      </c>
      <c r="O41" s="81">
        <f t="shared" si="13"/>
        <v>3442982.5272876294</v>
      </c>
      <c r="P41" s="81">
        <f>'AD14'!P81</f>
        <v>7621327.4476848021</v>
      </c>
      <c r="Q41" s="81">
        <f>'AD14'!Q81</f>
        <v>2291730.6625536503</v>
      </c>
      <c r="R41" s="81">
        <f>'Exhibit V,1'!C23</f>
        <v>3665410.3212876292</v>
      </c>
      <c r="S41" s="81">
        <f>'AD14'!S81</f>
        <v>45969.632755947721</v>
      </c>
      <c r="T41" s="87">
        <v>3197.1208736387816</v>
      </c>
      <c r="U41" s="81">
        <f>'AD14'!U81</f>
        <v>55469.632755947721</v>
      </c>
      <c r="V41" s="81">
        <f>'AD14'!V81</f>
        <v>9968527.7429944016</v>
      </c>
      <c r="W41" s="87">
        <v>1364776.436263632</v>
      </c>
    </row>
    <row r="42" spans="1:23">
      <c r="A42" s="6">
        <f t="shared" si="4"/>
        <v>2019</v>
      </c>
      <c r="B42" s="81">
        <f>'AD14'!B42</f>
        <v>958061.12999999989</v>
      </c>
      <c r="C42" s="31">
        <v>650000</v>
      </c>
      <c r="D42" s="32">
        <v>427000</v>
      </c>
      <c r="E42" s="32">
        <v>280532.23</v>
      </c>
      <c r="F42" s="32">
        <v>122504.58000000002</v>
      </c>
      <c r="G42" s="81">
        <f t="shared" si="6"/>
        <v>1794163.6919999998</v>
      </c>
      <c r="H42" s="81">
        <f t="shared" si="7"/>
        <v>2316193.0429999996</v>
      </c>
      <c r="I42" s="81">
        <f t="shared" si="8"/>
        <v>1527658.0734999997</v>
      </c>
      <c r="J42" s="81">
        <f t="shared" si="9"/>
        <v>1933308.0734999997</v>
      </c>
      <c r="K42" s="81">
        <f t="shared" si="10"/>
        <v>266505.61849999998</v>
      </c>
      <c r="L42" s="81">
        <f t="shared" si="11"/>
        <v>382884.96950000001</v>
      </c>
      <c r="M42" s="81">
        <f t="shared" si="5"/>
        <v>-505255.68044116953</v>
      </c>
      <c r="N42" s="81">
        <f t="shared" si="12"/>
        <v>-146687.13303130728</v>
      </c>
      <c r="O42" s="81">
        <f t="shared" si="13"/>
        <v>-651942.81347247679</v>
      </c>
      <c r="P42" s="81">
        <f>'AD14'!P82</f>
        <v>2089322.9456399446</v>
      </c>
      <c r="Q42" s="81">
        <f>'AD14'!Q82</f>
        <v>692419.05099224206</v>
      </c>
      <c r="R42" s="81">
        <f>'Exhibit V,1'!C24</f>
        <v>1664250.2295275228</v>
      </c>
      <c r="S42" s="81">
        <f>'AD14'!S82</f>
        <v>12583.235272025366</v>
      </c>
      <c r="T42" s="87">
        <v>76003.839541355483</v>
      </c>
      <c r="U42" s="81">
        <f>'AD14'!U82</f>
        <v>27709.508586164033</v>
      </c>
      <c r="V42" s="81">
        <f>'AD14'!V82</f>
        <v>2809451.5052183508</v>
      </c>
      <c r="W42" s="87">
        <v>1350109.0558901755</v>
      </c>
    </row>
    <row r="43" spans="1:23">
      <c r="A43" s="6">
        <f t="shared" si="4"/>
        <v>2020</v>
      </c>
      <c r="B43" s="81">
        <f>'AD14'!B43</f>
        <v>3129302.05</v>
      </c>
      <c r="C43" s="81">
        <f>'AD14'!C43</f>
        <v>1236199.73</v>
      </c>
      <c r="D43" s="32">
        <v>99000</v>
      </c>
      <c r="E43" s="32">
        <v>28263.5</v>
      </c>
      <c r="F43" s="32">
        <v>16736.5</v>
      </c>
      <c r="G43" s="81">
        <f t="shared" si="6"/>
        <v>4174077.0159999994</v>
      </c>
      <c r="H43" s="81">
        <f t="shared" si="7"/>
        <v>4284026.6909999996</v>
      </c>
      <c r="I43" s="81">
        <f t="shared" si="8"/>
        <v>4147226.6909999992</v>
      </c>
      <c r="J43" s="81">
        <f t="shared" si="9"/>
        <v>4241276.6909999996</v>
      </c>
      <c r="K43" s="81">
        <f t="shared" si="10"/>
        <v>26850.324999999997</v>
      </c>
      <c r="L43" s="81">
        <f t="shared" si="11"/>
        <v>42750</v>
      </c>
      <c r="M43" s="81">
        <f t="shared" si="5"/>
        <v>929603.31526488648</v>
      </c>
      <c r="N43" s="81">
        <f t="shared" si="12"/>
        <v>269884.83346399927</v>
      </c>
      <c r="O43" s="81">
        <f t="shared" si="13"/>
        <v>1199488.1487288857</v>
      </c>
      <c r="P43" s="81">
        <f>'AD14'!P83</f>
        <v>3204945.7996806768</v>
      </c>
      <c r="Q43" s="81">
        <f>'AD14'!Q83</f>
        <v>947915.296681487</v>
      </c>
      <c r="R43" s="81">
        <f>'Exhibit V,1'!C25</f>
        <v>5483514.8397288853</v>
      </c>
      <c r="S43" s="81">
        <f>'AD14'!S83</f>
        <v>24812.550922200146</v>
      </c>
      <c r="T43" s="87">
        <v>1079.4447587423242</v>
      </c>
      <c r="U43" s="81">
        <f>'AD14'!U83</f>
        <v>24865.083029170662</v>
      </c>
      <c r="V43" s="81">
        <f>'AD14'!V83</f>
        <v>4177726.1793913338</v>
      </c>
      <c r="W43" s="87">
        <v>1440069.2122399921</v>
      </c>
    </row>
    <row r="44" spans="1:23">
      <c r="A44" s="6"/>
      <c r="B44" s="81"/>
      <c r="C44" s="17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7"/>
      <c r="U44" s="81">
        <f t="shared" si="2"/>
        <v>0</v>
      </c>
      <c r="V44" s="81">
        <f t="shared" si="3"/>
        <v>0</v>
      </c>
      <c r="W44" s="87"/>
    </row>
    <row r="45" spans="1:23">
      <c r="A45" s="6" t="s">
        <v>0</v>
      </c>
      <c r="B45" s="82">
        <f>SUM(B15:B43)</f>
        <v>4004808.26</v>
      </c>
      <c r="C45" s="82">
        <f>SUM(C15:C43)</f>
        <v>11440199.73</v>
      </c>
      <c r="D45" s="82">
        <f t="shared" ref="D45:R45" si="14">SUM(D15:D43)</f>
        <v>12572116</v>
      </c>
      <c r="E45" s="82">
        <f t="shared" si="14"/>
        <v>1635168.1099999999</v>
      </c>
      <c r="F45" s="82">
        <f t="shared" si="14"/>
        <v>9333397.2499999981</v>
      </c>
      <c r="G45" s="82">
        <f t="shared" si="14"/>
        <v>16223792.294999998</v>
      </c>
      <c r="H45" s="82">
        <f t="shared" si="14"/>
        <v>37034029.882499993</v>
      </c>
      <c r="I45" s="82">
        <f t="shared" si="14"/>
        <v>14672757.590499999</v>
      </c>
      <c r="J45" s="82">
        <f t="shared" si="14"/>
        <v>26616267.790499996</v>
      </c>
      <c r="K45" s="82">
        <f t="shared" si="14"/>
        <v>1551034.7044999998</v>
      </c>
      <c r="L45" s="82">
        <f t="shared" si="14"/>
        <v>10417762.091999998</v>
      </c>
      <c r="M45" s="82">
        <f t="shared" si="14"/>
        <v>-11328611.567494445</v>
      </c>
      <c r="N45" s="82">
        <f t="shared" si="14"/>
        <v>-3288951.7454016129</v>
      </c>
      <c r="O45" s="82">
        <f t="shared" si="14"/>
        <v>-14617563.312896058</v>
      </c>
      <c r="P45" s="82">
        <f t="shared" si="14"/>
        <v>51213952.436760522</v>
      </c>
      <c r="Q45" s="82">
        <f t="shared" si="14"/>
        <v>13636594.664543375</v>
      </c>
      <c r="R45" s="82">
        <f t="shared" si="14"/>
        <v>22416466.569603935</v>
      </c>
      <c r="S45" s="82">
        <f>'Exhibit B,2'!W72</f>
        <v>309278.64649910986</v>
      </c>
      <c r="T45" s="82">
        <f>SUM(T15:T43)</f>
        <v>521134.40150871594</v>
      </c>
      <c r="U45" s="82">
        <f>SUM(U15:U43)</f>
        <v>346551.06761975744</v>
      </c>
      <c r="V45" s="82">
        <f>SUM(V15:V43)</f>
        <v>65197098.168923646</v>
      </c>
      <c r="W45" s="90">
        <v>11534476.17691059</v>
      </c>
    </row>
    <row r="46" spans="1:23">
      <c r="A46" s="6"/>
      <c r="B46" s="6"/>
      <c r="C46" s="6"/>
      <c r="D46" s="6"/>
      <c r="E46" s="6"/>
      <c r="F46" s="6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7"/>
    </row>
    <row r="47" spans="1:23">
      <c r="A47" s="6"/>
      <c r="B47" s="6"/>
      <c r="C47" s="6"/>
      <c r="D47" s="6"/>
      <c r="E47" s="6"/>
      <c r="F47" s="6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7"/>
    </row>
    <row r="48" spans="1:23">
      <c r="A48" s="6"/>
      <c r="B48" s="6"/>
      <c r="C48" s="6"/>
      <c r="D48" s="6"/>
      <c r="E48" s="6"/>
      <c r="F48" s="6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7"/>
    </row>
    <row r="49" spans="1:23">
      <c r="A49" s="6" t="s">
        <v>13</v>
      </c>
      <c r="B49" s="6" t="s">
        <v>682</v>
      </c>
      <c r="C49" s="6" t="s">
        <v>682</v>
      </c>
      <c r="D49" s="6" t="s">
        <v>682</v>
      </c>
      <c r="E49" s="6" t="s">
        <v>682</v>
      </c>
      <c r="F49" s="6" t="s">
        <v>682</v>
      </c>
      <c r="G49" s="6" t="s">
        <v>682</v>
      </c>
      <c r="H49" s="6" t="s">
        <v>682</v>
      </c>
      <c r="I49" s="6" t="s">
        <v>682</v>
      </c>
      <c r="J49" s="6" t="s">
        <v>682</v>
      </c>
      <c r="K49" s="6" t="s">
        <v>682</v>
      </c>
      <c r="L49" s="6" t="s">
        <v>682</v>
      </c>
      <c r="M49" s="6" t="s">
        <v>682</v>
      </c>
      <c r="N49" s="6" t="s">
        <v>682</v>
      </c>
      <c r="O49" s="6" t="s">
        <v>682</v>
      </c>
      <c r="P49" s="6" t="s">
        <v>682</v>
      </c>
      <c r="Q49" s="6" t="s">
        <v>682</v>
      </c>
      <c r="R49" s="6" t="s">
        <v>682</v>
      </c>
      <c r="S49" s="81"/>
      <c r="T49" s="81"/>
      <c r="U49" s="81"/>
      <c r="V49" s="81"/>
      <c r="W49" s="6" t="s">
        <v>682</v>
      </c>
    </row>
    <row r="50" spans="1:23">
      <c r="A50" s="6"/>
      <c r="B50" s="27" t="s">
        <v>665</v>
      </c>
      <c r="C50" s="27" t="s">
        <v>666</v>
      </c>
      <c r="D50" s="27" t="s">
        <v>667</v>
      </c>
      <c r="E50" s="27" t="s">
        <v>665</v>
      </c>
      <c r="F50" s="27" t="s">
        <v>673</v>
      </c>
      <c r="G50" s="17"/>
      <c r="H50" s="81"/>
      <c r="I50" s="81"/>
      <c r="J50" s="81"/>
      <c r="K50" s="81"/>
      <c r="L50" s="81"/>
      <c r="M50" s="17"/>
      <c r="N50" s="83">
        <v>0.05</v>
      </c>
      <c r="O50" s="81"/>
      <c r="P50" s="81"/>
      <c r="Q50" s="81"/>
      <c r="R50" s="81" t="s">
        <v>67</v>
      </c>
      <c r="S50" s="6"/>
      <c r="T50" s="6"/>
      <c r="U50" s="6"/>
      <c r="V50" s="6" t="s">
        <v>67</v>
      </c>
      <c r="W50" s="87"/>
    </row>
    <row r="51" spans="1:23">
      <c r="A51" s="6" t="s">
        <v>3</v>
      </c>
      <c r="B51" s="27" t="s">
        <v>524</v>
      </c>
      <c r="C51" s="27" t="s">
        <v>524</v>
      </c>
      <c r="D51" s="27" t="s">
        <v>524</v>
      </c>
      <c r="E51" s="27" t="s">
        <v>528</v>
      </c>
      <c r="F51" s="27" t="s">
        <v>528</v>
      </c>
      <c r="G51" s="81" t="s">
        <v>14</v>
      </c>
      <c r="H51" s="81" t="s">
        <v>12</v>
      </c>
      <c r="I51" s="81" t="s">
        <v>14</v>
      </c>
      <c r="J51" s="81" t="s">
        <v>12</v>
      </c>
      <c r="K51" s="81" t="s">
        <v>14</v>
      </c>
      <c r="L51" s="81" t="s">
        <v>12</v>
      </c>
      <c r="M51" s="81" t="s">
        <v>381</v>
      </c>
      <c r="N51" s="81" t="s">
        <v>381</v>
      </c>
      <c r="O51" s="81" t="s">
        <v>381</v>
      </c>
      <c r="P51" s="81" t="s">
        <v>660</v>
      </c>
      <c r="Q51" s="81" t="s">
        <v>67</v>
      </c>
      <c r="R51" s="81" t="s">
        <v>662</v>
      </c>
      <c r="S51" s="6" t="s">
        <v>661</v>
      </c>
      <c r="T51" s="6" t="s">
        <v>661</v>
      </c>
      <c r="U51" s="6" t="s">
        <v>67</v>
      </c>
      <c r="V51" s="6" t="s">
        <v>663</v>
      </c>
      <c r="W51" s="6" t="s">
        <v>177</v>
      </c>
    </row>
    <row r="52" spans="1:23">
      <c r="A52" s="6" t="s">
        <v>4</v>
      </c>
      <c r="B52" s="28" t="s">
        <v>668</v>
      </c>
      <c r="C52" s="28" t="s">
        <v>669</v>
      </c>
      <c r="D52" s="28" t="s">
        <v>670</v>
      </c>
      <c r="E52" s="28" t="s">
        <v>668</v>
      </c>
      <c r="F52" s="28" t="s">
        <v>670</v>
      </c>
      <c r="G52" s="81" t="s">
        <v>0</v>
      </c>
      <c r="H52" s="81" t="s">
        <v>0</v>
      </c>
      <c r="I52" s="81" t="s">
        <v>566</v>
      </c>
      <c r="J52" s="81" t="s">
        <v>566</v>
      </c>
      <c r="K52" s="81" t="s">
        <v>567</v>
      </c>
      <c r="L52" s="81" t="s">
        <v>567</v>
      </c>
      <c r="M52" s="81" t="s">
        <v>566</v>
      </c>
      <c r="N52" s="81" t="s">
        <v>567</v>
      </c>
      <c r="O52" s="81" t="s">
        <v>0</v>
      </c>
      <c r="P52" s="81" t="s">
        <v>566</v>
      </c>
      <c r="Q52" s="81" t="s">
        <v>567</v>
      </c>
      <c r="R52" s="81" t="s">
        <v>0</v>
      </c>
      <c r="S52" s="6" t="s">
        <v>117</v>
      </c>
      <c r="T52" s="6" t="s">
        <v>14</v>
      </c>
      <c r="U52" s="6" t="s">
        <v>661</v>
      </c>
      <c r="V52" s="6" t="s">
        <v>0</v>
      </c>
      <c r="W52" s="6" t="s">
        <v>16</v>
      </c>
    </row>
    <row r="53" spans="1:23">
      <c r="A53" s="10">
        <v>-1</v>
      </c>
      <c r="B53" s="10">
        <f>A53-1</f>
        <v>-2</v>
      </c>
      <c r="C53" s="10">
        <f>B53-1</f>
        <v>-3</v>
      </c>
      <c r="D53" s="10">
        <f t="shared" ref="D53:L53" si="15">C53-1</f>
        <v>-4</v>
      </c>
      <c r="E53" s="10">
        <f t="shared" si="15"/>
        <v>-5</v>
      </c>
      <c r="F53" s="10">
        <f t="shared" si="15"/>
        <v>-6</v>
      </c>
      <c r="G53" s="10">
        <f t="shared" si="15"/>
        <v>-7</v>
      </c>
      <c r="H53" s="10">
        <f t="shared" si="15"/>
        <v>-8</v>
      </c>
      <c r="I53" s="10">
        <f t="shared" si="15"/>
        <v>-9</v>
      </c>
      <c r="J53" s="10">
        <f t="shared" si="15"/>
        <v>-10</v>
      </c>
      <c r="K53" s="10">
        <f t="shared" si="15"/>
        <v>-11</v>
      </c>
      <c r="L53" s="10">
        <f t="shared" si="15"/>
        <v>-12</v>
      </c>
      <c r="M53" s="10">
        <f>L53-1</f>
        <v>-13</v>
      </c>
      <c r="N53" s="10">
        <f t="shared" ref="N53:V53" si="16">M53-1</f>
        <v>-14</v>
      </c>
      <c r="O53" s="10">
        <f t="shared" si="16"/>
        <v>-15</v>
      </c>
      <c r="P53" s="10">
        <f t="shared" si="16"/>
        <v>-16</v>
      </c>
      <c r="Q53" s="10">
        <f t="shared" si="16"/>
        <v>-17</v>
      </c>
      <c r="R53" s="10">
        <f t="shared" si="16"/>
        <v>-18</v>
      </c>
      <c r="S53" s="10">
        <f t="shared" si="16"/>
        <v>-19</v>
      </c>
      <c r="T53" s="10">
        <f t="shared" si="16"/>
        <v>-20</v>
      </c>
      <c r="U53" s="10">
        <f t="shared" si="16"/>
        <v>-21</v>
      </c>
      <c r="V53" s="10">
        <f t="shared" si="16"/>
        <v>-22</v>
      </c>
      <c r="W53" s="10">
        <v>-23</v>
      </c>
    </row>
    <row r="54" spans="1:23">
      <c r="A54" s="80"/>
      <c r="B54" s="6"/>
      <c r="C54" s="6"/>
      <c r="D54" s="6"/>
      <c r="E54" s="6"/>
      <c r="F54" s="6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6"/>
      <c r="T54" s="6"/>
      <c r="U54" s="6"/>
      <c r="V54" s="6"/>
      <c r="W54" s="87"/>
    </row>
    <row r="55" spans="1:23">
      <c r="A55" s="6">
        <v>1992</v>
      </c>
      <c r="B55" s="2"/>
      <c r="C55" s="6"/>
      <c r="D55" s="6"/>
      <c r="E55" s="6"/>
      <c r="F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81"/>
      <c r="T55" s="87"/>
      <c r="U55" s="81">
        <f>S55+T55</f>
        <v>0</v>
      </c>
      <c r="V55" s="81">
        <f>R55+U55</f>
        <v>0</v>
      </c>
      <c r="W55" s="6"/>
    </row>
    <row r="56" spans="1:23">
      <c r="A56" s="6">
        <f>A55+1</f>
        <v>1993</v>
      </c>
      <c r="B56" s="6"/>
      <c r="C56" s="6"/>
      <c r="D56" s="6"/>
      <c r="E56" s="6"/>
      <c r="F56" s="6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7"/>
      <c r="U56" s="81">
        <f t="shared" ref="U56:U84" si="17">S56+T56</f>
        <v>0</v>
      </c>
      <c r="V56" s="81">
        <f t="shared" ref="V56:V84" si="18">R56+U56</f>
        <v>0</v>
      </c>
      <c r="W56" s="87"/>
    </row>
    <row r="57" spans="1:23">
      <c r="A57" s="6">
        <f t="shared" ref="A57:A83" si="19">A56+1</f>
        <v>1994</v>
      </c>
      <c r="B57" s="6"/>
      <c r="C57" s="6"/>
      <c r="D57" s="6"/>
      <c r="E57" s="6"/>
      <c r="F57" s="6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7"/>
      <c r="U57" s="81">
        <f t="shared" si="17"/>
        <v>0</v>
      </c>
      <c r="V57" s="81">
        <f t="shared" si="18"/>
        <v>0</v>
      </c>
      <c r="W57" s="87"/>
    </row>
    <row r="58" spans="1:23">
      <c r="A58" s="6">
        <f t="shared" si="19"/>
        <v>1995</v>
      </c>
      <c r="B58" s="6"/>
      <c r="C58" s="6"/>
      <c r="D58" s="6"/>
      <c r="E58" s="6"/>
      <c r="F58" s="6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7"/>
      <c r="U58" s="81">
        <f t="shared" si="17"/>
        <v>0</v>
      </c>
      <c r="V58" s="81">
        <f t="shared" si="18"/>
        <v>0</v>
      </c>
      <c r="W58" s="87"/>
    </row>
    <row r="59" spans="1:23">
      <c r="A59" s="6">
        <f t="shared" si="19"/>
        <v>1996</v>
      </c>
      <c r="B59" s="6"/>
      <c r="C59" s="6"/>
      <c r="D59" s="6"/>
      <c r="E59" s="6"/>
      <c r="F59" s="6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7"/>
      <c r="U59" s="81">
        <f t="shared" si="17"/>
        <v>0</v>
      </c>
      <c r="V59" s="81">
        <f t="shared" si="18"/>
        <v>0</v>
      </c>
      <c r="W59" s="87"/>
    </row>
    <row r="60" spans="1:23">
      <c r="A60" s="6">
        <f t="shared" si="19"/>
        <v>1997</v>
      </c>
      <c r="B60" s="6"/>
      <c r="C60" s="6"/>
      <c r="D60" s="6"/>
      <c r="E60" s="6"/>
      <c r="F60" s="6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7"/>
      <c r="U60" s="81">
        <f t="shared" si="17"/>
        <v>0</v>
      </c>
      <c r="V60" s="81">
        <f t="shared" si="18"/>
        <v>0</v>
      </c>
      <c r="W60" s="87"/>
    </row>
    <row r="61" spans="1:23">
      <c r="A61" s="6">
        <f t="shared" si="19"/>
        <v>1998</v>
      </c>
      <c r="B61" s="6"/>
      <c r="C61" s="6"/>
      <c r="D61" s="6"/>
      <c r="E61" s="6"/>
      <c r="F61" s="6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7"/>
      <c r="U61" s="81">
        <f t="shared" si="17"/>
        <v>0</v>
      </c>
      <c r="V61" s="81">
        <f t="shared" si="18"/>
        <v>0</v>
      </c>
      <c r="W61" s="87"/>
    </row>
    <row r="62" spans="1:23">
      <c r="A62" s="6">
        <f t="shared" si="19"/>
        <v>1999</v>
      </c>
      <c r="B62" s="6"/>
      <c r="C62" s="6"/>
      <c r="D62" s="6"/>
      <c r="E62" s="6"/>
      <c r="F62" s="6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7"/>
      <c r="U62" s="81">
        <f t="shared" si="17"/>
        <v>0</v>
      </c>
      <c r="V62" s="81">
        <f t="shared" si="18"/>
        <v>0</v>
      </c>
      <c r="W62" s="87"/>
    </row>
    <row r="63" spans="1:23">
      <c r="A63" s="6">
        <f t="shared" si="19"/>
        <v>2000</v>
      </c>
      <c r="B63" s="6"/>
      <c r="C63" s="6"/>
      <c r="D63" s="6"/>
      <c r="E63" s="6"/>
      <c r="F63" s="6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7"/>
      <c r="U63" s="81">
        <f t="shared" si="17"/>
        <v>0</v>
      </c>
      <c r="V63" s="81">
        <f t="shared" si="18"/>
        <v>0</v>
      </c>
      <c r="W63" s="87"/>
    </row>
    <row r="64" spans="1:23">
      <c r="A64" s="6">
        <f t="shared" si="19"/>
        <v>2001</v>
      </c>
      <c r="B64" s="6"/>
      <c r="C64" s="6"/>
      <c r="D64" s="6"/>
      <c r="E64" s="6"/>
      <c r="F64" s="6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7"/>
      <c r="U64" s="81">
        <f t="shared" si="17"/>
        <v>0</v>
      </c>
      <c r="V64" s="81">
        <f t="shared" si="18"/>
        <v>0</v>
      </c>
      <c r="W64" s="87"/>
    </row>
    <row r="65" spans="1:24">
      <c r="A65" s="6">
        <f t="shared" si="19"/>
        <v>2002</v>
      </c>
      <c r="B65" s="6"/>
      <c r="C65" s="6"/>
      <c r="D65" s="6"/>
      <c r="E65" s="6"/>
      <c r="F65" s="6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7"/>
      <c r="U65" s="81">
        <f t="shared" si="17"/>
        <v>0</v>
      </c>
      <c r="V65" s="81">
        <f t="shared" si="18"/>
        <v>0</v>
      </c>
      <c r="W65" s="87"/>
    </row>
    <row r="66" spans="1:24">
      <c r="A66" s="6">
        <f t="shared" si="19"/>
        <v>2003</v>
      </c>
      <c r="B66" s="6"/>
      <c r="C66" s="6"/>
      <c r="D66" s="6"/>
      <c r="E66" s="6"/>
      <c r="F66" s="6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7"/>
      <c r="U66" s="81">
        <f t="shared" si="17"/>
        <v>0</v>
      </c>
      <c r="V66" s="81">
        <f t="shared" si="18"/>
        <v>0</v>
      </c>
      <c r="W66" s="87"/>
    </row>
    <row r="67" spans="1:24">
      <c r="A67" s="6">
        <f t="shared" si="19"/>
        <v>2004</v>
      </c>
      <c r="B67" s="6"/>
      <c r="C67" s="6"/>
      <c r="D67" s="6"/>
      <c r="E67" s="6"/>
      <c r="F67" s="6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7"/>
      <c r="U67" s="81">
        <f t="shared" si="17"/>
        <v>0</v>
      </c>
      <c r="V67" s="81">
        <f t="shared" si="18"/>
        <v>0</v>
      </c>
      <c r="W67" s="87"/>
    </row>
    <row r="68" spans="1:24">
      <c r="A68" s="6">
        <f t="shared" si="19"/>
        <v>2005</v>
      </c>
      <c r="B68" s="6"/>
      <c r="C68" s="6"/>
      <c r="D68" s="6"/>
      <c r="E68" s="6"/>
      <c r="F68" s="6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7"/>
      <c r="U68" s="81">
        <f t="shared" si="17"/>
        <v>0</v>
      </c>
      <c r="V68" s="81">
        <f t="shared" si="18"/>
        <v>0</v>
      </c>
      <c r="W68" s="87"/>
    </row>
    <row r="69" spans="1:24">
      <c r="A69" s="6">
        <f t="shared" si="19"/>
        <v>2006</v>
      </c>
      <c r="B69" s="6"/>
      <c r="C69" s="6"/>
      <c r="D69" s="6"/>
      <c r="E69" s="6"/>
      <c r="F69" s="6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7"/>
      <c r="U69" s="81">
        <f t="shared" si="17"/>
        <v>0</v>
      </c>
      <c r="V69" s="81">
        <f t="shared" si="18"/>
        <v>0</v>
      </c>
      <c r="W69" s="87"/>
    </row>
    <row r="70" spans="1:24">
      <c r="A70" s="6">
        <f t="shared" si="19"/>
        <v>2007</v>
      </c>
      <c r="B70" s="6"/>
      <c r="C70" s="6"/>
      <c r="D70" s="6"/>
      <c r="E70" s="6"/>
      <c r="F70" s="6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7"/>
      <c r="U70" s="81">
        <f t="shared" si="17"/>
        <v>0</v>
      </c>
      <c r="V70" s="81">
        <f t="shared" si="18"/>
        <v>0</v>
      </c>
      <c r="W70" s="87"/>
    </row>
    <row r="71" spans="1:24">
      <c r="A71" s="6">
        <f t="shared" si="19"/>
        <v>2008</v>
      </c>
      <c r="B71" s="6"/>
      <c r="C71" s="6"/>
      <c r="D71" s="6"/>
      <c r="E71" s="6"/>
      <c r="F71" s="6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7"/>
      <c r="U71" s="81">
        <f t="shared" si="17"/>
        <v>0</v>
      </c>
      <c r="V71" s="81">
        <f t="shared" si="18"/>
        <v>0</v>
      </c>
      <c r="W71" s="87"/>
    </row>
    <row r="72" spans="1:24">
      <c r="A72" s="6">
        <f t="shared" si="19"/>
        <v>2009</v>
      </c>
      <c r="B72" s="6"/>
      <c r="C72" s="6"/>
      <c r="D72" s="6"/>
      <c r="E72" s="6"/>
      <c r="F72" s="6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7"/>
      <c r="U72" s="81">
        <f t="shared" si="17"/>
        <v>0</v>
      </c>
      <c r="V72" s="81">
        <f t="shared" si="18"/>
        <v>0</v>
      </c>
      <c r="W72" s="87"/>
    </row>
    <row r="73" spans="1:24">
      <c r="A73" s="6">
        <f t="shared" si="19"/>
        <v>2010</v>
      </c>
      <c r="B73" s="95"/>
      <c r="C73" s="95"/>
      <c r="D73" s="95"/>
      <c r="E73" s="95"/>
      <c r="F73" s="95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7"/>
      <c r="U73" s="81">
        <f t="shared" si="17"/>
        <v>0</v>
      </c>
      <c r="V73" s="81">
        <f t="shared" si="18"/>
        <v>0</v>
      </c>
      <c r="W73" s="87"/>
    </row>
    <row r="74" spans="1:24">
      <c r="A74" s="6">
        <f t="shared" si="19"/>
        <v>2011</v>
      </c>
      <c r="B74" s="95"/>
      <c r="C74" s="95"/>
      <c r="D74" s="95"/>
      <c r="E74" s="95"/>
      <c r="F74" s="95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7"/>
      <c r="U74" s="81">
        <f t="shared" si="17"/>
        <v>0</v>
      </c>
      <c r="V74" s="81">
        <f t="shared" si="18"/>
        <v>0</v>
      </c>
      <c r="W74" s="87">
        <v>82539.347901223373</v>
      </c>
    </row>
    <row r="75" spans="1:24">
      <c r="A75" s="6">
        <f t="shared" si="19"/>
        <v>2012</v>
      </c>
      <c r="B75" s="95"/>
      <c r="C75" s="95"/>
      <c r="D75" s="95"/>
      <c r="E75" s="102"/>
      <c r="F75" s="102"/>
      <c r="G75" s="81">
        <f t="shared" ref="G75:G83" si="20">B75+C75+E75</f>
        <v>0</v>
      </c>
      <c r="H75" s="81">
        <f t="shared" ref="H75:H83" si="21">G75+D75+F75</f>
        <v>0</v>
      </c>
      <c r="I75" s="81">
        <f t="shared" ref="I75:I83" si="22">B75+C75</f>
        <v>0</v>
      </c>
      <c r="J75" s="81">
        <f>I75+D75</f>
        <v>0</v>
      </c>
      <c r="K75" s="81">
        <f>E75</f>
        <v>0</v>
      </c>
      <c r="L75" s="81">
        <f>E75+F75</f>
        <v>0</v>
      </c>
      <c r="M75" s="81">
        <f>O75-N75</f>
        <v>-6524.1026750000001</v>
      </c>
      <c r="N75" s="81">
        <f>N$10*O75</f>
        <v>-1894.094325</v>
      </c>
      <c r="O75" s="81">
        <f>O35-O115</f>
        <v>-8418.1970000000001</v>
      </c>
      <c r="P75" s="81">
        <f>J75+M75</f>
        <v>-6524.1026750000001</v>
      </c>
      <c r="Q75" s="81">
        <f>L75+N75</f>
        <v>-1894.094325</v>
      </c>
      <c r="R75" s="81">
        <f>P75+Q75</f>
        <v>-8418.1970000000001</v>
      </c>
      <c r="S75" s="81"/>
      <c r="T75" s="87"/>
      <c r="U75" s="81">
        <f t="shared" si="17"/>
        <v>0</v>
      </c>
      <c r="V75" s="81">
        <f t="shared" si="18"/>
        <v>-8418.1970000000001</v>
      </c>
      <c r="W75" s="87">
        <v>83102.948304358695</v>
      </c>
    </row>
    <row r="76" spans="1:24">
      <c r="A76" s="6">
        <f t="shared" si="19"/>
        <v>2013</v>
      </c>
      <c r="B76" s="95"/>
      <c r="C76" s="95"/>
      <c r="D76" s="95"/>
      <c r="E76" s="102"/>
      <c r="F76" s="102"/>
      <c r="G76" s="81">
        <f t="shared" si="20"/>
        <v>0</v>
      </c>
      <c r="H76" s="81">
        <f t="shared" si="21"/>
        <v>0</v>
      </c>
      <c r="I76" s="81">
        <f t="shared" si="22"/>
        <v>0</v>
      </c>
      <c r="J76" s="81">
        <f t="shared" ref="J76:J84" si="23">I76+D76</f>
        <v>0</v>
      </c>
      <c r="K76" s="81">
        <f t="shared" ref="K76:K84" si="24">E76</f>
        <v>0</v>
      </c>
      <c r="L76" s="81">
        <f t="shared" ref="L76:L84" si="25">K76+F76</f>
        <v>0</v>
      </c>
      <c r="M76" s="81">
        <f t="shared" ref="M76:M83" si="26">O76-N76</f>
        <v>-3759258.1033499991</v>
      </c>
      <c r="N76" s="81">
        <f t="shared" ref="N76:N83" si="27">N$50*O76</f>
        <v>-197855.68964999996</v>
      </c>
      <c r="O76" s="81">
        <f t="shared" ref="O76:O83" si="28">O36-O116</f>
        <v>-3957113.7929999991</v>
      </c>
      <c r="P76" s="81">
        <f t="shared" ref="P76:P84" si="29">J76+M76</f>
        <v>-3759258.1033499991</v>
      </c>
      <c r="Q76" s="81">
        <f t="shared" ref="Q76:Q84" si="30">L76+N76</f>
        <v>-197855.68964999996</v>
      </c>
      <c r="R76" s="81">
        <f t="shared" ref="R76:R84" si="31">P76+Q76</f>
        <v>-3957113.7929999991</v>
      </c>
      <c r="S76" s="81"/>
      <c r="T76" s="87"/>
      <c r="U76" s="81">
        <f t="shared" si="17"/>
        <v>0</v>
      </c>
      <c r="V76" s="81">
        <f t="shared" si="18"/>
        <v>-3957113.7929999991</v>
      </c>
      <c r="W76" s="87">
        <v>109768.32060535079</v>
      </c>
      <c r="X76" s="17"/>
    </row>
    <row r="77" spans="1:24">
      <c r="A77" s="6">
        <f t="shared" si="19"/>
        <v>2014</v>
      </c>
      <c r="B77" s="95">
        <v>2750000</v>
      </c>
      <c r="C77" s="95">
        <v>0</v>
      </c>
      <c r="D77" s="95">
        <v>0</v>
      </c>
      <c r="E77" s="95">
        <v>147435.35999999999</v>
      </c>
      <c r="F77" s="95">
        <v>0</v>
      </c>
      <c r="G77" s="81">
        <f t="shared" si="20"/>
        <v>2897435.36</v>
      </c>
      <c r="H77" s="81">
        <f t="shared" si="21"/>
        <v>2897435.36</v>
      </c>
      <c r="I77" s="81">
        <f t="shared" si="22"/>
        <v>2750000</v>
      </c>
      <c r="J77" s="81">
        <f t="shared" si="23"/>
        <v>2750000</v>
      </c>
      <c r="K77" s="81">
        <f t="shared" si="24"/>
        <v>147435.35999999999</v>
      </c>
      <c r="L77" s="81">
        <f t="shared" si="25"/>
        <v>147435.35999999999</v>
      </c>
      <c r="M77" s="81">
        <f t="shared" si="26"/>
        <v>-6170665.0730499979</v>
      </c>
      <c r="N77" s="81">
        <f t="shared" si="27"/>
        <v>-324771.84594999993</v>
      </c>
      <c r="O77" s="81">
        <f t="shared" si="28"/>
        <v>-6495436.9189999979</v>
      </c>
      <c r="P77" s="81">
        <f t="shared" si="29"/>
        <v>-3420665.0730499979</v>
      </c>
      <c r="Q77" s="81">
        <f t="shared" si="30"/>
        <v>-177336.48594999994</v>
      </c>
      <c r="R77" s="81">
        <f t="shared" si="31"/>
        <v>-3598001.558999998</v>
      </c>
      <c r="S77" s="81"/>
      <c r="T77" s="87"/>
      <c r="U77" s="81">
        <f t="shared" si="17"/>
        <v>0</v>
      </c>
      <c r="V77" s="81">
        <f t="shared" si="18"/>
        <v>-3598001.558999998</v>
      </c>
      <c r="W77" s="87">
        <v>107238.96491507423</v>
      </c>
      <c r="X77" s="17"/>
    </row>
    <row r="78" spans="1:24">
      <c r="A78" s="6">
        <f t="shared" si="19"/>
        <v>2015</v>
      </c>
      <c r="B78" s="95">
        <v>0</v>
      </c>
      <c r="C78" s="95">
        <v>0</v>
      </c>
      <c r="D78" s="95">
        <v>0</v>
      </c>
      <c r="E78" s="95">
        <v>0</v>
      </c>
      <c r="F78" s="95">
        <v>0</v>
      </c>
      <c r="G78" s="81">
        <f t="shared" si="20"/>
        <v>0</v>
      </c>
      <c r="H78" s="81">
        <f t="shared" si="21"/>
        <v>0</v>
      </c>
      <c r="I78" s="81">
        <f t="shared" si="22"/>
        <v>0</v>
      </c>
      <c r="J78" s="81">
        <f t="shared" si="23"/>
        <v>0</v>
      </c>
      <c r="K78" s="81">
        <f t="shared" si="24"/>
        <v>0</v>
      </c>
      <c r="L78" s="81">
        <f t="shared" si="25"/>
        <v>0</v>
      </c>
      <c r="M78" s="81">
        <f t="shared" si="26"/>
        <v>-2449937.2216999996</v>
      </c>
      <c r="N78" s="81">
        <f t="shared" si="27"/>
        <v>-128944.06429999997</v>
      </c>
      <c r="O78" s="81">
        <f t="shared" si="28"/>
        <v>-2578881.2859999994</v>
      </c>
      <c r="P78" s="81">
        <f t="shared" si="29"/>
        <v>-2449937.2216999996</v>
      </c>
      <c r="Q78" s="81">
        <f t="shared" si="30"/>
        <v>-128944.06429999997</v>
      </c>
      <c r="R78" s="81">
        <f t="shared" si="31"/>
        <v>-2578881.2859999994</v>
      </c>
      <c r="S78" s="81"/>
      <c r="T78" s="87"/>
      <c r="U78" s="81">
        <f t="shared" si="17"/>
        <v>0</v>
      </c>
      <c r="V78" s="81">
        <f t="shared" si="18"/>
        <v>-2578881.2859999994</v>
      </c>
      <c r="W78" s="87">
        <v>104065.42754343718</v>
      </c>
      <c r="X78" s="17"/>
    </row>
    <row r="79" spans="1:24">
      <c r="A79" s="6">
        <f t="shared" si="19"/>
        <v>2016</v>
      </c>
      <c r="B79" s="95">
        <v>750000</v>
      </c>
      <c r="C79" s="95">
        <v>0</v>
      </c>
      <c r="D79" s="95">
        <v>0</v>
      </c>
      <c r="E79" s="95">
        <v>109882.37</v>
      </c>
      <c r="F79" s="95">
        <v>0</v>
      </c>
      <c r="G79" s="81">
        <f t="shared" si="20"/>
        <v>859882.37</v>
      </c>
      <c r="H79" s="81">
        <f t="shared" si="21"/>
        <v>859882.37</v>
      </c>
      <c r="I79" s="81">
        <f t="shared" si="22"/>
        <v>750000</v>
      </c>
      <c r="J79" s="81">
        <f t="shared" si="23"/>
        <v>750000</v>
      </c>
      <c r="K79" s="81">
        <f t="shared" si="24"/>
        <v>109882.37</v>
      </c>
      <c r="L79" s="81">
        <f t="shared" si="25"/>
        <v>109882.37</v>
      </c>
      <c r="M79" s="81">
        <f t="shared" si="26"/>
        <v>-4172910.1880000001</v>
      </c>
      <c r="N79" s="81">
        <f t="shared" si="27"/>
        <v>-219626.85200000001</v>
      </c>
      <c r="O79" s="81">
        <f t="shared" si="28"/>
        <v>-4392537.04</v>
      </c>
      <c r="P79" s="81">
        <f t="shared" si="29"/>
        <v>-3422910.1880000001</v>
      </c>
      <c r="Q79" s="81">
        <f t="shared" si="30"/>
        <v>-109744.48200000002</v>
      </c>
      <c r="R79" s="81">
        <f t="shared" si="31"/>
        <v>-3532654.67</v>
      </c>
      <c r="S79" s="81"/>
      <c r="T79" s="87"/>
      <c r="U79" s="81">
        <f t="shared" si="17"/>
        <v>0</v>
      </c>
      <c r="V79" s="81">
        <f t="shared" si="18"/>
        <v>-3532654.67</v>
      </c>
      <c r="W79" s="87">
        <v>205572.75153515095</v>
      </c>
      <c r="X79" s="17"/>
    </row>
    <row r="80" spans="1:24">
      <c r="A80" s="6">
        <f t="shared" si="19"/>
        <v>2017</v>
      </c>
      <c r="B80" s="95">
        <v>0</v>
      </c>
      <c r="C80" s="95">
        <v>0</v>
      </c>
      <c r="D80" s="95">
        <v>0</v>
      </c>
      <c r="E80" s="102"/>
      <c r="F80" s="102"/>
      <c r="G80" s="81">
        <f t="shared" si="20"/>
        <v>0</v>
      </c>
      <c r="H80" s="81">
        <f t="shared" si="21"/>
        <v>0</v>
      </c>
      <c r="I80" s="81">
        <f t="shared" si="22"/>
        <v>0</v>
      </c>
      <c r="J80" s="81">
        <f t="shared" si="23"/>
        <v>0</v>
      </c>
      <c r="K80" s="81">
        <f t="shared" si="24"/>
        <v>0</v>
      </c>
      <c r="L80" s="81">
        <f t="shared" si="25"/>
        <v>0</v>
      </c>
      <c r="M80" s="81">
        <f t="shared" si="26"/>
        <v>-1757411.9782249997</v>
      </c>
      <c r="N80" s="81">
        <f t="shared" si="27"/>
        <v>-92495.367274999997</v>
      </c>
      <c r="O80" s="81">
        <f t="shared" si="28"/>
        <v>-1849907.3454999998</v>
      </c>
      <c r="P80" s="81">
        <f t="shared" si="29"/>
        <v>-1757411.9782249997</v>
      </c>
      <c r="Q80" s="81">
        <f t="shared" si="30"/>
        <v>-92495.367274999997</v>
      </c>
      <c r="R80" s="81">
        <f t="shared" si="31"/>
        <v>-1849907.3454999998</v>
      </c>
      <c r="S80" s="81"/>
      <c r="T80" s="87"/>
      <c r="U80" s="81">
        <f t="shared" si="17"/>
        <v>0</v>
      </c>
      <c r="V80" s="81">
        <f t="shared" si="18"/>
        <v>-1849907.3454999998</v>
      </c>
      <c r="W80" s="87">
        <v>253234.36757104608</v>
      </c>
      <c r="X80" s="17"/>
    </row>
    <row r="81" spans="1:24">
      <c r="A81" s="6">
        <f t="shared" si="19"/>
        <v>2018</v>
      </c>
      <c r="B81" s="95">
        <v>0</v>
      </c>
      <c r="C81" s="95">
        <v>0</v>
      </c>
      <c r="D81" s="95">
        <v>0</v>
      </c>
      <c r="E81" s="102"/>
      <c r="F81" s="102"/>
      <c r="G81" s="81">
        <f t="shared" si="20"/>
        <v>0</v>
      </c>
      <c r="H81" s="81">
        <f t="shared" si="21"/>
        <v>0</v>
      </c>
      <c r="I81" s="81">
        <f t="shared" si="22"/>
        <v>0</v>
      </c>
      <c r="J81" s="81">
        <f t="shared" si="23"/>
        <v>0</v>
      </c>
      <c r="K81" s="81">
        <f t="shared" si="24"/>
        <v>0</v>
      </c>
      <c r="L81" s="81">
        <f t="shared" si="25"/>
        <v>0</v>
      </c>
      <c r="M81" s="81">
        <f t="shared" si="26"/>
        <v>2779227.9112750003</v>
      </c>
      <c r="N81" s="81">
        <f t="shared" si="27"/>
        <v>146275.15322500002</v>
      </c>
      <c r="O81" s="81">
        <f t="shared" si="28"/>
        <v>2925503.0645000003</v>
      </c>
      <c r="P81" s="81">
        <f t="shared" si="29"/>
        <v>2779227.9112750003</v>
      </c>
      <c r="Q81" s="81">
        <f t="shared" si="30"/>
        <v>146275.15322500002</v>
      </c>
      <c r="R81" s="81">
        <f t="shared" si="31"/>
        <v>2925503.0645000003</v>
      </c>
      <c r="S81" s="81"/>
      <c r="T81" s="87"/>
      <c r="U81" s="81">
        <f t="shared" si="17"/>
        <v>0</v>
      </c>
      <c r="V81" s="81">
        <f t="shared" si="18"/>
        <v>2925503.0645000003</v>
      </c>
      <c r="W81" s="87">
        <v>189906.86089552101</v>
      </c>
      <c r="X81" s="17"/>
    </row>
    <row r="82" spans="1:24">
      <c r="A82" s="6">
        <f t="shared" si="19"/>
        <v>2019</v>
      </c>
      <c r="B82" s="95">
        <v>0</v>
      </c>
      <c r="C82" s="95">
        <v>0</v>
      </c>
      <c r="D82" s="95"/>
      <c r="E82" s="102"/>
      <c r="F82" s="102"/>
      <c r="G82" s="81">
        <f t="shared" si="20"/>
        <v>0</v>
      </c>
      <c r="H82" s="81">
        <f t="shared" si="21"/>
        <v>0</v>
      </c>
      <c r="I82" s="81">
        <f t="shared" si="22"/>
        <v>0</v>
      </c>
      <c r="J82" s="81">
        <f t="shared" si="23"/>
        <v>0</v>
      </c>
      <c r="K82" s="81">
        <f t="shared" si="24"/>
        <v>0</v>
      </c>
      <c r="L82" s="81">
        <f t="shared" si="25"/>
        <v>0</v>
      </c>
      <c r="M82" s="81">
        <f t="shared" si="26"/>
        <v>-1074734.2822749997</v>
      </c>
      <c r="N82" s="81">
        <f t="shared" si="27"/>
        <v>-56564.962224999981</v>
      </c>
      <c r="O82" s="81">
        <f t="shared" si="28"/>
        <v>-1131299.2444999996</v>
      </c>
      <c r="P82" s="81">
        <f t="shared" si="29"/>
        <v>-1074734.2822749997</v>
      </c>
      <c r="Q82" s="81">
        <f t="shared" si="30"/>
        <v>-56564.962224999981</v>
      </c>
      <c r="R82" s="81">
        <f t="shared" si="31"/>
        <v>-1131299.2444999996</v>
      </c>
      <c r="S82" s="81"/>
      <c r="T82" s="87"/>
      <c r="U82" s="81">
        <f t="shared" si="17"/>
        <v>0</v>
      </c>
      <c r="V82" s="81">
        <f t="shared" si="18"/>
        <v>-1131299.2444999996</v>
      </c>
      <c r="W82" s="87">
        <v>198419.90275592369</v>
      </c>
      <c r="X82" s="17"/>
    </row>
    <row r="83" spans="1:24">
      <c r="A83" s="6">
        <f t="shared" si="19"/>
        <v>2020</v>
      </c>
      <c r="B83" s="95">
        <v>0</v>
      </c>
      <c r="C83" s="95">
        <v>0</v>
      </c>
      <c r="D83" s="95"/>
      <c r="E83" s="102"/>
      <c r="F83" s="102"/>
      <c r="G83" s="81">
        <f t="shared" si="20"/>
        <v>0</v>
      </c>
      <c r="H83" s="81">
        <f t="shared" si="21"/>
        <v>0</v>
      </c>
      <c r="I83" s="81">
        <f t="shared" si="22"/>
        <v>0</v>
      </c>
      <c r="J83" s="81">
        <f t="shared" si="23"/>
        <v>0</v>
      </c>
      <c r="K83" s="81">
        <f t="shared" si="24"/>
        <v>0</v>
      </c>
      <c r="L83" s="81">
        <f t="shared" si="25"/>
        <v>0</v>
      </c>
      <c r="M83" s="81">
        <f t="shared" si="26"/>
        <v>-925361.88632499974</v>
      </c>
      <c r="N83" s="81">
        <f t="shared" si="27"/>
        <v>-48703.257174999992</v>
      </c>
      <c r="O83" s="81">
        <f t="shared" si="28"/>
        <v>-974065.14349999977</v>
      </c>
      <c r="P83" s="81">
        <f t="shared" si="29"/>
        <v>-925361.88632499974</v>
      </c>
      <c r="Q83" s="81">
        <f t="shared" si="30"/>
        <v>-48703.257174999992</v>
      </c>
      <c r="R83" s="81">
        <f t="shared" si="31"/>
        <v>-974065.14349999977</v>
      </c>
      <c r="S83" s="81"/>
      <c r="T83" s="87"/>
      <c r="U83" s="81">
        <f t="shared" si="17"/>
        <v>0</v>
      </c>
      <c r="V83" s="81">
        <f t="shared" si="18"/>
        <v>-974065.14349999977</v>
      </c>
      <c r="W83" s="87">
        <v>323039.03999999998</v>
      </c>
      <c r="X83" s="17"/>
    </row>
    <row r="84" spans="1:24">
      <c r="A84" s="6"/>
      <c r="B84" s="6"/>
      <c r="C84" s="6"/>
      <c r="D84" s="6"/>
      <c r="E84" s="6"/>
      <c r="F84" s="6"/>
      <c r="G84" s="81">
        <f>C84+E84-B84</f>
        <v>0</v>
      </c>
      <c r="H84" s="81">
        <f>SUM(C84:F84)-B84</f>
        <v>0</v>
      </c>
      <c r="I84" s="81">
        <f>C84-B84</f>
        <v>0</v>
      </c>
      <c r="J84" s="81">
        <f t="shared" si="23"/>
        <v>0</v>
      </c>
      <c r="K84" s="81">
        <f t="shared" si="24"/>
        <v>0</v>
      </c>
      <c r="L84" s="81">
        <f t="shared" si="25"/>
        <v>0</v>
      </c>
      <c r="M84" s="81"/>
      <c r="N84" s="81">
        <f>O84-M84</f>
        <v>0</v>
      </c>
      <c r="O84" s="81">
        <f>('Exhibit B,2'!U27-'Exhibit B,2'!O27)-('Exhibit A,2'!U27-'Exhibit A,2'!O27)</f>
        <v>0</v>
      </c>
      <c r="P84" s="81">
        <f t="shared" si="29"/>
        <v>0</v>
      </c>
      <c r="Q84" s="81">
        <f t="shared" si="30"/>
        <v>0</v>
      </c>
      <c r="R84" s="81">
        <f t="shared" si="31"/>
        <v>0</v>
      </c>
      <c r="S84" s="81"/>
      <c r="T84" s="87"/>
      <c r="U84" s="81">
        <f t="shared" si="17"/>
        <v>0</v>
      </c>
      <c r="V84" s="81">
        <f t="shared" si="18"/>
        <v>0</v>
      </c>
      <c r="W84" s="87"/>
      <c r="X84" s="17"/>
    </row>
    <row r="85" spans="1:24">
      <c r="A85" s="6" t="s">
        <v>0</v>
      </c>
      <c r="B85" s="82">
        <f>SUM(B55:B83)</f>
        <v>3500000</v>
      </c>
      <c r="C85" s="82">
        <f>SUM(C55:C83)</f>
        <v>0</v>
      </c>
      <c r="D85" s="82">
        <f t="shared" ref="D85:I85" si="32">SUM(D55:D83)</f>
        <v>0</v>
      </c>
      <c r="E85" s="82">
        <f t="shared" si="32"/>
        <v>257317.72999999998</v>
      </c>
      <c r="F85" s="82">
        <f t="shared" si="32"/>
        <v>0</v>
      </c>
      <c r="G85" s="82">
        <f t="shared" si="32"/>
        <v>3757317.73</v>
      </c>
      <c r="H85" s="82">
        <f t="shared" si="32"/>
        <v>3757317.73</v>
      </c>
      <c r="I85" s="82">
        <f t="shared" si="32"/>
        <v>3500000</v>
      </c>
      <c r="J85" s="82">
        <f t="shared" ref="J85:R85" si="33">SUM(J55:J83)</f>
        <v>3500000</v>
      </c>
      <c r="K85" s="82">
        <f t="shared" si="33"/>
        <v>257317.72999999998</v>
      </c>
      <c r="L85" s="82">
        <f t="shared" si="33"/>
        <v>257317.72999999998</v>
      </c>
      <c r="M85" s="82">
        <f t="shared" si="33"/>
        <v>-17537574.924324993</v>
      </c>
      <c r="N85" s="82">
        <f t="shared" si="33"/>
        <v>-924580.97967499995</v>
      </c>
      <c r="O85" s="82">
        <f t="shared" si="33"/>
        <v>-18462155.903999995</v>
      </c>
      <c r="P85" s="82">
        <f t="shared" si="33"/>
        <v>-14037574.924324995</v>
      </c>
      <c r="Q85" s="82">
        <f t="shared" si="33"/>
        <v>-667263.24967499997</v>
      </c>
      <c r="R85" s="82">
        <f t="shared" si="33"/>
        <v>-14704838.173999997</v>
      </c>
      <c r="S85" s="82">
        <f>SUM(S55:S83)</f>
        <v>0</v>
      </c>
      <c r="T85" s="82">
        <f>SUM(T55:T83)</f>
        <v>0</v>
      </c>
      <c r="U85" s="82">
        <f>SUM(U55:U83)</f>
        <v>0</v>
      </c>
      <c r="V85" s="82">
        <f>SUM(V55:V83)</f>
        <v>-14704838.173999997</v>
      </c>
      <c r="W85" s="90">
        <v>1656887.9320270861</v>
      </c>
    </row>
    <row r="86" spans="1:24">
      <c r="A86" s="6"/>
      <c r="B86" s="6"/>
      <c r="C86" s="6"/>
      <c r="D86" s="6"/>
      <c r="E86" s="6"/>
      <c r="F86" s="6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7"/>
    </row>
    <row r="87" spans="1:24">
      <c r="A87" s="6"/>
      <c r="B87" s="6"/>
      <c r="C87" s="6"/>
      <c r="D87" s="6"/>
      <c r="E87" s="6"/>
      <c r="F87" s="6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7"/>
    </row>
    <row r="88" spans="1:24">
      <c r="A88" s="6"/>
      <c r="B88" s="6"/>
      <c r="C88" s="6"/>
      <c r="D88" s="6"/>
      <c r="E88" s="6"/>
      <c r="F88" s="6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7"/>
    </row>
    <row r="89" spans="1:24">
      <c r="A89" s="6" t="s">
        <v>17</v>
      </c>
      <c r="B89" s="6"/>
      <c r="C89" s="6"/>
      <c r="D89" s="6"/>
      <c r="E89" s="6"/>
      <c r="F89" s="6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7"/>
    </row>
    <row r="90" spans="1:24">
      <c r="A90" s="6"/>
      <c r="B90" s="27"/>
      <c r="C90" s="27"/>
      <c r="D90" s="27"/>
      <c r="E90" s="27"/>
      <c r="F90" s="27"/>
      <c r="G90" s="17"/>
      <c r="H90" s="81"/>
      <c r="I90" s="81"/>
      <c r="J90" s="81"/>
      <c r="K90" s="81"/>
      <c r="L90" s="81"/>
      <c r="M90" s="17"/>
      <c r="N90" s="81"/>
      <c r="O90" s="81"/>
      <c r="P90" s="81"/>
      <c r="Q90" s="81"/>
      <c r="R90" s="81" t="s">
        <v>67</v>
      </c>
      <c r="S90" s="6"/>
      <c r="T90" s="6"/>
      <c r="U90" s="6"/>
      <c r="V90" s="6" t="s">
        <v>67</v>
      </c>
      <c r="W90" s="87"/>
    </row>
    <row r="91" spans="1:24">
      <c r="A91" s="6" t="s">
        <v>3</v>
      </c>
      <c r="B91" s="27"/>
      <c r="C91" s="27"/>
      <c r="D91" s="27"/>
      <c r="E91" s="27"/>
      <c r="F91" s="27"/>
      <c r="G91" s="81" t="s">
        <v>14</v>
      </c>
      <c r="H91" s="81" t="s">
        <v>12</v>
      </c>
      <c r="I91" s="81" t="s">
        <v>14</v>
      </c>
      <c r="J91" s="81" t="s">
        <v>12</v>
      </c>
      <c r="K91" s="81" t="s">
        <v>14</v>
      </c>
      <c r="L91" s="81" t="s">
        <v>12</v>
      </c>
      <c r="M91" s="81" t="s">
        <v>381</v>
      </c>
      <c r="N91" s="81" t="s">
        <v>381</v>
      </c>
      <c r="O91" s="81" t="s">
        <v>381</v>
      </c>
      <c r="P91" s="81" t="s">
        <v>660</v>
      </c>
      <c r="Q91" s="81" t="s">
        <v>67</v>
      </c>
      <c r="R91" s="81" t="s">
        <v>662</v>
      </c>
      <c r="S91" s="6" t="s">
        <v>661</v>
      </c>
      <c r="T91" s="6" t="s">
        <v>661</v>
      </c>
      <c r="U91" s="6" t="s">
        <v>67</v>
      </c>
      <c r="V91" s="6" t="s">
        <v>663</v>
      </c>
      <c r="W91" s="6" t="s">
        <v>177</v>
      </c>
    </row>
    <row r="92" spans="1:24">
      <c r="A92" s="6" t="s">
        <v>4</v>
      </c>
      <c r="B92" s="28"/>
      <c r="C92" s="28"/>
      <c r="D92" s="28"/>
      <c r="E92" s="28"/>
      <c r="F92" s="28"/>
      <c r="G92" s="81" t="s">
        <v>0</v>
      </c>
      <c r="H92" s="81" t="s">
        <v>0</v>
      </c>
      <c r="I92" s="81" t="s">
        <v>566</v>
      </c>
      <c r="J92" s="81" t="s">
        <v>566</v>
      </c>
      <c r="K92" s="81" t="s">
        <v>567</v>
      </c>
      <c r="L92" s="81" t="s">
        <v>567</v>
      </c>
      <c r="M92" s="81" t="s">
        <v>566</v>
      </c>
      <c r="N92" s="81" t="s">
        <v>567</v>
      </c>
      <c r="O92" s="81" t="s">
        <v>0</v>
      </c>
      <c r="P92" s="81" t="s">
        <v>566</v>
      </c>
      <c r="Q92" s="81" t="s">
        <v>567</v>
      </c>
      <c r="R92" s="81" t="s">
        <v>0</v>
      </c>
      <c r="S92" s="6" t="s">
        <v>117</v>
      </c>
      <c r="T92" s="6" t="s">
        <v>14</v>
      </c>
      <c r="U92" s="6" t="s">
        <v>661</v>
      </c>
      <c r="V92" s="6" t="s">
        <v>0</v>
      </c>
      <c r="W92" s="6" t="s">
        <v>16</v>
      </c>
    </row>
    <row r="93" spans="1:24">
      <c r="A93" s="10">
        <v>-1</v>
      </c>
      <c r="B93" s="10">
        <f>A93-1</f>
        <v>-2</v>
      </c>
      <c r="C93" s="10">
        <f>B93-1</f>
        <v>-3</v>
      </c>
      <c r="D93" s="10">
        <f t="shared" ref="D93:L93" si="34">C93-1</f>
        <v>-4</v>
      </c>
      <c r="E93" s="10">
        <f t="shared" si="34"/>
        <v>-5</v>
      </c>
      <c r="F93" s="10">
        <f t="shared" si="34"/>
        <v>-6</v>
      </c>
      <c r="G93" s="10">
        <f t="shared" si="34"/>
        <v>-7</v>
      </c>
      <c r="H93" s="10">
        <f t="shared" si="34"/>
        <v>-8</v>
      </c>
      <c r="I93" s="10">
        <f t="shared" si="34"/>
        <v>-9</v>
      </c>
      <c r="J93" s="10">
        <f t="shared" si="34"/>
        <v>-10</v>
      </c>
      <c r="K93" s="10">
        <f t="shared" si="34"/>
        <v>-11</v>
      </c>
      <c r="L93" s="10">
        <f t="shared" si="34"/>
        <v>-12</v>
      </c>
      <c r="M93" s="10">
        <f>L93-1</f>
        <v>-13</v>
      </c>
      <c r="N93" s="10">
        <f t="shared" ref="N93:V93" si="35">M93-1</f>
        <v>-14</v>
      </c>
      <c r="O93" s="10">
        <f t="shared" si="35"/>
        <v>-15</v>
      </c>
      <c r="P93" s="10">
        <f t="shared" si="35"/>
        <v>-16</v>
      </c>
      <c r="Q93" s="10">
        <f t="shared" si="35"/>
        <v>-17</v>
      </c>
      <c r="R93" s="10">
        <f t="shared" si="35"/>
        <v>-18</v>
      </c>
      <c r="S93" s="10">
        <f t="shared" si="35"/>
        <v>-19</v>
      </c>
      <c r="T93" s="10">
        <f t="shared" si="35"/>
        <v>-20</v>
      </c>
      <c r="U93" s="10">
        <f t="shared" si="35"/>
        <v>-21</v>
      </c>
      <c r="V93" s="10">
        <f t="shared" si="35"/>
        <v>-22</v>
      </c>
      <c r="W93" s="10">
        <v>-23</v>
      </c>
    </row>
    <row r="94" spans="1:24">
      <c r="A94" s="80"/>
      <c r="B94" s="80"/>
      <c r="C94" s="6"/>
      <c r="D94" s="6"/>
      <c r="E94" s="6"/>
      <c r="F94" s="6"/>
      <c r="G94" s="17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6"/>
      <c r="T94" s="6"/>
      <c r="U94" s="6"/>
      <c r="V94" s="6"/>
      <c r="W94" s="87"/>
    </row>
    <row r="95" spans="1:24">
      <c r="A95" s="6">
        <v>1992</v>
      </c>
      <c r="B95" s="6"/>
      <c r="C95" s="6"/>
      <c r="D95" s="6"/>
      <c r="E95" s="6"/>
      <c r="F95" s="6"/>
      <c r="G95" s="81">
        <f t="shared" ref="G95:T95" si="36">G15-G55</f>
        <v>0</v>
      </c>
      <c r="H95" s="81">
        <f t="shared" si="36"/>
        <v>0</v>
      </c>
      <c r="I95" s="81">
        <f t="shared" si="36"/>
        <v>0</v>
      </c>
      <c r="J95" s="81">
        <f t="shared" si="36"/>
        <v>0</v>
      </c>
      <c r="K95" s="81">
        <f t="shared" si="36"/>
        <v>0</v>
      </c>
      <c r="L95" s="81">
        <f t="shared" si="36"/>
        <v>0</v>
      </c>
      <c r="M95" s="81">
        <f t="shared" si="36"/>
        <v>0</v>
      </c>
      <c r="N95" s="81">
        <f t="shared" si="36"/>
        <v>0</v>
      </c>
      <c r="O95" s="81">
        <f t="shared" si="36"/>
        <v>0</v>
      </c>
      <c r="P95" s="81">
        <f t="shared" si="36"/>
        <v>0</v>
      </c>
      <c r="Q95" s="81">
        <f t="shared" si="36"/>
        <v>0</v>
      </c>
      <c r="R95" s="81">
        <f t="shared" si="36"/>
        <v>0</v>
      </c>
      <c r="S95" s="81">
        <f t="shared" si="36"/>
        <v>0</v>
      </c>
      <c r="T95" s="81">
        <f t="shared" si="36"/>
        <v>0</v>
      </c>
      <c r="U95" s="81">
        <f>S95+T95</f>
        <v>0</v>
      </c>
      <c r="V95" s="81">
        <f>R95+U95</f>
        <v>0</v>
      </c>
      <c r="W95" s="87">
        <v>0</v>
      </c>
    </row>
    <row r="96" spans="1:24">
      <c r="A96" s="6">
        <f>A95+1</f>
        <v>1993</v>
      </c>
      <c r="B96" s="6"/>
      <c r="C96" s="6"/>
      <c r="D96" s="6"/>
      <c r="E96" s="6"/>
      <c r="F96" s="6"/>
      <c r="G96" s="81">
        <f t="shared" ref="G96:R124" si="37">G16-G56</f>
        <v>0</v>
      </c>
      <c r="H96" s="81">
        <f t="shared" si="37"/>
        <v>0</v>
      </c>
      <c r="I96" s="81">
        <f t="shared" si="37"/>
        <v>0</v>
      </c>
      <c r="J96" s="81">
        <f t="shared" si="37"/>
        <v>0</v>
      </c>
      <c r="K96" s="81">
        <f t="shared" si="37"/>
        <v>0</v>
      </c>
      <c r="L96" s="81">
        <f t="shared" si="37"/>
        <v>0</v>
      </c>
      <c r="M96" s="81">
        <f t="shared" si="37"/>
        <v>0</v>
      </c>
      <c r="N96" s="81">
        <f t="shared" si="37"/>
        <v>0</v>
      </c>
      <c r="O96" s="81">
        <f t="shared" si="37"/>
        <v>0</v>
      </c>
      <c r="P96" s="81">
        <f t="shared" si="37"/>
        <v>0</v>
      </c>
      <c r="Q96" s="81">
        <f t="shared" si="37"/>
        <v>0</v>
      </c>
      <c r="R96" s="81">
        <f t="shared" si="37"/>
        <v>0</v>
      </c>
      <c r="S96" s="81">
        <f t="shared" ref="S96:T110" si="38">S16-S56</f>
        <v>0</v>
      </c>
      <c r="T96" s="81">
        <f t="shared" si="38"/>
        <v>0</v>
      </c>
      <c r="U96" s="81">
        <f t="shared" ref="U96:U124" si="39">S96+T96</f>
        <v>0</v>
      </c>
      <c r="V96" s="81">
        <f t="shared" ref="V96:V124" si="40">R96+U96</f>
        <v>0</v>
      </c>
      <c r="W96" s="87">
        <v>0</v>
      </c>
    </row>
    <row r="97" spans="1:23">
      <c r="A97" s="6">
        <f t="shared" ref="A97:A123" si="41">A96+1</f>
        <v>1994</v>
      </c>
      <c r="B97" s="6"/>
      <c r="C97" s="6"/>
      <c r="D97" s="6"/>
      <c r="E97" s="6"/>
      <c r="F97" s="6"/>
      <c r="G97" s="81">
        <f t="shared" si="37"/>
        <v>0</v>
      </c>
      <c r="H97" s="81">
        <f t="shared" si="37"/>
        <v>0</v>
      </c>
      <c r="I97" s="81">
        <f t="shared" si="37"/>
        <v>0</v>
      </c>
      <c r="J97" s="81">
        <f t="shared" si="37"/>
        <v>0</v>
      </c>
      <c r="K97" s="81">
        <f t="shared" si="37"/>
        <v>0</v>
      </c>
      <c r="L97" s="81">
        <f t="shared" si="37"/>
        <v>0</v>
      </c>
      <c r="M97" s="81">
        <f t="shared" si="37"/>
        <v>0</v>
      </c>
      <c r="N97" s="81">
        <f t="shared" si="37"/>
        <v>0</v>
      </c>
      <c r="O97" s="81">
        <f t="shared" si="37"/>
        <v>0</v>
      </c>
      <c r="P97" s="81">
        <f t="shared" si="37"/>
        <v>0</v>
      </c>
      <c r="Q97" s="81">
        <f t="shared" si="37"/>
        <v>0</v>
      </c>
      <c r="R97" s="81">
        <f t="shared" si="37"/>
        <v>0</v>
      </c>
      <c r="S97" s="81">
        <f t="shared" si="38"/>
        <v>0</v>
      </c>
      <c r="T97" s="81">
        <f t="shared" si="38"/>
        <v>0</v>
      </c>
      <c r="U97" s="81">
        <f t="shared" si="39"/>
        <v>0</v>
      </c>
      <c r="V97" s="81">
        <f t="shared" si="40"/>
        <v>0</v>
      </c>
      <c r="W97" s="87">
        <v>0</v>
      </c>
    </row>
    <row r="98" spans="1:23">
      <c r="A98" s="6">
        <f t="shared" si="41"/>
        <v>1995</v>
      </c>
      <c r="B98" s="6"/>
      <c r="C98" s="6"/>
      <c r="D98" s="6"/>
      <c r="E98" s="6"/>
      <c r="F98" s="6"/>
      <c r="G98" s="81">
        <f t="shared" si="37"/>
        <v>0</v>
      </c>
      <c r="H98" s="81">
        <f t="shared" si="37"/>
        <v>0</v>
      </c>
      <c r="I98" s="81">
        <f t="shared" si="37"/>
        <v>0</v>
      </c>
      <c r="J98" s="81">
        <f t="shared" si="37"/>
        <v>0</v>
      </c>
      <c r="K98" s="81">
        <f t="shared" si="37"/>
        <v>0</v>
      </c>
      <c r="L98" s="81">
        <f t="shared" si="37"/>
        <v>0</v>
      </c>
      <c r="M98" s="81">
        <f t="shared" si="37"/>
        <v>0</v>
      </c>
      <c r="N98" s="81">
        <f t="shared" si="37"/>
        <v>0</v>
      </c>
      <c r="O98" s="81">
        <f t="shared" si="37"/>
        <v>0</v>
      </c>
      <c r="P98" s="81">
        <f t="shared" si="37"/>
        <v>0</v>
      </c>
      <c r="Q98" s="81">
        <f t="shared" si="37"/>
        <v>0</v>
      </c>
      <c r="R98" s="81">
        <f t="shared" si="37"/>
        <v>0</v>
      </c>
      <c r="S98" s="81">
        <f t="shared" si="38"/>
        <v>0</v>
      </c>
      <c r="T98" s="81">
        <f t="shared" si="38"/>
        <v>0</v>
      </c>
      <c r="U98" s="81">
        <f t="shared" si="39"/>
        <v>0</v>
      </c>
      <c r="V98" s="81">
        <f t="shared" si="40"/>
        <v>0</v>
      </c>
      <c r="W98" s="87">
        <v>0</v>
      </c>
    </row>
    <row r="99" spans="1:23">
      <c r="A99" s="6">
        <f t="shared" si="41"/>
        <v>1996</v>
      </c>
      <c r="B99" s="6"/>
      <c r="C99" s="6"/>
      <c r="D99" s="6"/>
      <c r="E99" s="6"/>
      <c r="F99" s="6"/>
      <c r="G99" s="81">
        <f t="shared" si="37"/>
        <v>0</v>
      </c>
      <c r="H99" s="81">
        <f t="shared" si="37"/>
        <v>0</v>
      </c>
      <c r="I99" s="81">
        <f t="shared" si="37"/>
        <v>0</v>
      </c>
      <c r="J99" s="81">
        <f t="shared" si="37"/>
        <v>0</v>
      </c>
      <c r="K99" s="81">
        <f t="shared" si="37"/>
        <v>0</v>
      </c>
      <c r="L99" s="81">
        <f t="shared" si="37"/>
        <v>0</v>
      </c>
      <c r="M99" s="81">
        <f t="shared" si="37"/>
        <v>0</v>
      </c>
      <c r="N99" s="81">
        <f t="shared" si="37"/>
        <v>0</v>
      </c>
      <c r="O99" s="81">
        <f t="shared" si="37"/>
        <v>0</v>
      </c>
      <c r="P99" s="81">
        <f t="shared" si="37"/>
        <v>0</v>
      </c>
      <c r="Q99" s="81">
        <f t="shared" si="37"/>
        <v>0</v>
      </c>
      <c r="R99" s="81">
        <f t="shared" si="37"/>
        <v>0</v>
      </c>
      <c r="S99" s="81">
        <f t="shared" si="38"/>
        <v>0</v>
      </c>
      <c r="T99" s="81">
        <f t="shared" si="38"/>
        <v>0</v>
      </c>
      <c r="U99" s="81">
        <f t="shared" si="39"/>
        <v>0</v>
      </c>
      <c r="V99" s="81">
        <f t="shared" si="40"/>
        <v>0</v>
      </c>
      <c r="W99" s="87">
        <v>0</v>
      </c>
    </row>
    <row r="100" spans="1:23">
      <c r="A100" s="6">
        <f t="shared" si="41"/>
        <v>1997</v>
      </c>
      <c r="B100" s="6"/>
      <c r="C100" s="6"/>
      <c r="D100" s="6"/>
      <c r="E100" s="6"/>
      <c r="F100" s="6"/>
      <c r="G100" s="81">
        <f t="shared" si="37"/>
        <v>0</v>
      </c>
      <c r="H100" s="81">
        <f t="shared" si="37"/>
        <v>0</v>
      </c>
      <c r="I100" s="81">
        <f t="shared" si="37"/>
        <v>0</v>
      </c>
      <c r="J100" s="81">
        <f t="shared" si="37"/>
        <v>0</v>
      </c>
      <c r="K100" s="81">
        <f t="shared" si="37"/>
        <v>0</v>
      </c>
      <c r="L100" s="81">
        <f t="shared" si="37"/>
        <v>0</v>
      </c>
      <c r="M100" s="81">
        <f t="shared" si="37"/>
        <v>0</v>
      </c>
      <c r="N100" s="81">
        <f t="shared" si="37"/>
        <v>0</v>
      </c>
      <c r="O100" s="81">
        <f t="shared" si="37"/>
        <v>0</v>
      </c>
      <c r="P100" s="81">
        <f t="shared" si="37"/>
        <v>0</v>
      </c>
      <c r="Q100" s="81">
        <f t="shared" si="37"/>
        <v>0</v>
      </c>
      <c r="R100" s="81">
        <f t="shared" si="37"/>
        <v>0</v>
      </c>
      <c r="S100" s="81">
        <f t="shared" si="38"/>
        <v>0</v>
      </c>
      <c r="T100" s="81">
        <f t="shared" si="38"/>
        <v>0</v>
      </c>
      <c r="U100" s="81">
        <f t="shared" si="39"/>
        <v>0</v>
      </c>
      <c r="V100" s="81">
        <f t="shared" si="40"/>
        <v>0</v>
      </c>
      <c r="W100" s="87">
        <v>0</v>
      </c>
    </row>
    <row r="101" spans="1:23">
      <c r="A101" s="6">
        <f t="shared" si="41"/>
        <v>1998</v>
      </c>
      <c r="B101" s="6"/>
      <c r="C101" s="6"/>
      <c r="D101" s="6"/>
      <c r="E101" s="6"/>
      <c r="F101" s="6"/>
      <c r="G101" s="81">
        <f t="shared" si="37"/>
        <v>0</v>
      </c>
      <c r="H101" s="81">
        <f t="shared" si="37"/>
        <v>0</v>
      </c>
      <c r="I101" s="81">
        <f t="shared" si="37"/>
        <v>0</v>
      </c>
      <c r="J101" s="81">
        <f t="shared" si="37"/>
        <v>0</v>
      </c>
      <c r="K101" s="81">
        <f t="shared" si="37"/>
        <v>0</v>
      </c>
      <c r="L101" s="81">
        <f t="shared" si="37"/>
        <v>0</v>
      </c>
      <c r="M101" s="81">
        <f t="shared" si="37"/>
        <v>0</v>
      </c>
      <c r="N101" s="81">
        <f t="shared" si="37"/>
        <v>0</v>
      </c>
      <c r="O101" s="81">
        <f t="shared" si="37"/>
        <v>0</v>
      </c>
      <c r="P101" s="81">
        <f t="shared" si="37"/>
        <v>0</v>
      </c>
      <c r="Q101" s="81">
        <f t="shared" si="37"/>
        <v>0</v>
      </c>
      <c r="R101" s="81">
        <f t="shared" si="37"/>
        <v>0</v>
      </c>
      <c r="S101" s="81">
        <f t="shared" si="38"/>
        <v>0</v>
      </c>
      <c r="T101" s="81">
        <f t="shared" si="38"/>
        <v>0</v>
      </c>
      <c r="U101" s="81">
        <f t="shared" si="39"/>
        <v>0</v>
      </c>
      <c r="V101" s="81">
        <f t="shared" si="40"/>
        <v>0</v>
      </c>
      <c r="W101" s="87">
        <v>0</v>
      </c>
    </row>
    <row r="102" spans="1:23">
      <c r="A102" s="6">
        <f t="shared" si="41"/>
        <v>1999</v>
      </c>
      <c r="B102" s="6"/>
      <c r="C102" s="6"/>
      <c r="D102" s="6"/>
      <c r="E102" s="6"/>
      <c r="F102" s="6"/>
      <c r="G102" s="81">
        <f t="shared" si="37"/>
        <v>0</v>
      </c>
      <c r="H102" s="81">
        <f t="shared" si="37"/>
        <v>0</v>
      </c>
      <c r="I102" s="81">
        <f t="shared" si="37"/>
        <v>0</v>
      </c>
      <c r="J102" s="81">
        <f t="shared" si="37"/>
        <v>0</v>
      </c>
      <c r="K102" s="81">
        <f t="shared" si="37"/>
        <v>0</v>
      </c>
      <c r="L102" s="81">
        <f t="shared" si="37"/>
        <v>0</v>
      </c>
      <c r="M102" s="81">
        <f t="shared" si="37"/>
        <v>0</v>
      </c>
      <c r="N102" s="81">
        <f t="shared" si="37"/>
        <v>0</v>
      </c>
      <c r="O102" s="81">
        <f t="shared" si="37"/>
        <v>0</v>
      </c>
      <c r="P102" s="81">
        <f t="shared" si="37"/>
        <v>0</v>
      </c>
      <c r="Q102" s="81">
        <f t="shared" si="37"/>
        <v>0</v>
      </c>
      <c r="R102" s="81">
        <f t="shared" si="37"/>
        <v>0</v>
      </c>
      <c r="S102" s="81">
        <f t="shared" si="38"/>
        <v>0</v>
      </c>
      <c r="T102" s="81">
        <f t="shared" si="38"/>
        <v>0</v>
      </c>
      <c r="U102" s="81">
        <f t="shared" si="39"/>
        <v>0</v>
      </c>
      <c r="V102" s="81">
        <f t="shared" si="40"/>
        <v>0</v>
      </c>
      <c r="W102" s="87">
        <v>0</v>
      </c>
    </row>
    <row r="103" spans="1:23">
      <c r="A103" s="6">
        <f t="shared" si="41"/>
        <v>2000</v>
      </c>
      <c r="B103" s="6"/>
      <c r="C103" s="6"/>
      <c r="D103" s="6"/>
      <c r="E103" s="6"/>
      <c r="F103" s="6"/>
      <c r="G103" s="81">
        <f t="shared" si="37"/>
        <v>0</v>
      </c>
      <c r="H103" s="81">
        <f t="shared" si="37"/>
        <v>0</v>
      </c>
      <c r="I103" s="81">
        <f t="shared" si="37"/>
        <v>0</v>
      </c>
      <c r="J103" s="81">
        <f t="shared" si="37"/>
        <v>0</v>
      </c>
      <c r="K103" s="81">
        <f t="shared" si="37"/>
        <v>0</v>
      </c>
      <c r="L103" s="81">
        <f t="shared" si="37"/>
        <v>0</v>
      </c>
      <c r="M103" s="81">
        <f t="shared" si="37"/>
        <v>0</v>
      </c>
      <c r="N103" s="81">
        <f t="shared" si="37"/>
        <v>0</v>
      </c>
      <c r="O103" s="81">
        <f t="shared" si="37"/>
        <v>0</v>
      </c>
      <c r="P103" s="81">
        <f t="shared" si="37"/>
        <v>0</v>
      </c>
      <c r="Q103" s="81">
        <f t="shared" si="37"/>
        <v>0</v>
      </c>
      <c r="R103" s="81">
        <f t="shared" si="37"/>
        <v>0</v>
      </c>
      <c r="S103" s="81">
        <f t="shared" si="38"/>
        <v>0</v>
      </c>
      <c r="T103" s="81">
        <f t="shared" si="38"/>
        <v>0</v>
      </c>
      <c r="U103" s="81">
        <f t="shared" si="39"/>
        <v>0</v>
      </c>
      <c r="V103" s="81">
        <f t="shared" si="40"/>
        <v>0</v>
      </c>
      <c r="W103" s="87">
        <v>0</v>
      </c>
    </row>
    <row r="104" spans="1:23">
      <c r="A104" s="6">
        <f t="shared" si="41"/>
        <v>2001</v>
      </c>
      <c r="B104" s="6"/>
      <c r="C104" s="6"/>
      <c r="D104" s="6"/>
      <c r="E104" s="6"/>
      <c r="F104" s="6"/>
      <c r="G104" s="81">
        <f t="shared" si="37"/>
        <v>0</v>
      </c>
      <c r="H104" s="81">
        <f t="shared" si="37"/>
        <v>0</v>
      </c>
      <c r="I104" s="81">
        <f t="shared" si="37"/>
        <v>0</v>
      </c>
      <c r="J104" s="81">
        <f t="shared" si="37"/>
        <v>0</v>
      </c>
      <c r="K104" s="81">
        <f t="shared" si="37"/>
        <v>0</v>
      </c>
      <c r="L104" s="81">
        <f t="shared" si="37"/>
        <v>0</v>
      </c>
      <c r="M104" s="81">
        <f t="shared" si="37"/>
        <v>0</v>
      </c>
      <c r="N104" s="81">
        <f t="shared" si="37"/>
        <v>0</v>
      </c>
      <c r="O104" s="81">
        <f t="shared" si="37"/>
        <v>0</v>
      </c>
      <c r="P104" s="81">
        <f t="shared" si="37"/>
        <v>0</v>
      </c>
      <c r="Q104" s="81">
        <f t="shared" si="37"/>
        <v>0</v>
      </c>
      <c r="R104" s="81">
        <f t="shared" si="37"/>
        <v>0</v>
      </c>
      <c r="S104" s="81">
        <f t="shared" si="38"/>
        <v>0</v>
      </c>
      <c r="T104" s="81">
        <f t="shared" si="38"/>
        <v>0</v>
      </c>
      <c r="U104" s="81">
        <f t="shared" si="39"/>
        <v>0</v>
      </c>
      <c r="V104" s="81">
        <f t="shared" si="40"/>
        <v>0</v>
      </c>
      <c r="W104" s="87">
        <v>0</v>
      </c>
    </row>
    <row r="105" spans="1:23">
      <c r="A105" s="6">
        <f t="shared" si="41"/>
        <v>2002</v>
      </c>
      <c r="B105" s="6"/>
      <c r="C105" s="6"/>
      <c r="D105" s="6"/>
      <c r="E105" s="6"/>
      <c r="F105" s="6"/>
      <c r="G105" s="81">
        <f t="shared" si="37"/>
        <v>0</v>
      </c>
      <c r="H105" s="81">
        <f t="shared" si="37"/>
        <v>0</v>
      </c>
      <c r="I105" s="81">
        <f t="shared" si="37"/>
        <v>0</v>
      </c>
      <c r="J105" s="81">
        <f t="shared" si="37"/>
        <v>0</v>
      </c>
      <c r="K105" s="81">
        <f t="shared" si="37"/>
        <v>0</v>
      </c>
      <c r="L105" s="81">
        <f t="shared" si="37"/>
        <v>0</v>
      </c>
      <c r="M105" s="81">
        <f t="shared" si="37"/>
        <v>0</v>
      </c>
      <c r="N105" s="81">
        <f t="shared" si="37"/>
        <v>0</v>
      </c>
      <c r="O105" s="81">
        <f t="shared" si="37"/>
        <v>0</v>
      </c>
      <c r="P105" s="81">
        <f t="shared" si="37"/>
        <v>0</v>
      </c>
      <c r="Q105" s="81">
        <f t="shared" si="37"/>
        <v>0</v>
      </c>
      <c r="R105" s="81">
        <f t="shared" si="37"/>
        <v>0</v>
      </c>
      <c r="S105" s="81">
        <f t="shared" si="38"/>
        <v>0</v>
      </c>
      <c r="T105" s="81">
        <f t="shared" si="38"/>
        <v>0</v>
      </c>
      <c r="U105" s="81">
        <f t="shared" si="39"/>
        <v>0</v>
      </c>
      <c r="V105" s="81">
        <f t="shared" si="40"/>
        <v>0</v>
      </c>
      <c r="W105" s="87">
        <v>0</v>
      </c>
    </row>
    <row r="106" spans="1:23">
      <c r="A106" s="6">
        <f t="shared" si="41"/>
        <v>2003</v>
      </c>
      <c r="B106" s="6"/>
      <c r="C106" s="6"/>
      <c r="D106" s="6"/>
      <c r="E106" s="6"/>
      <c r="F106" s="6"/>
      <c r="G106" s="81">
        <f t="shared" si="37"/>
        <v>0</v>
      </c>
      <c r="H106" s="81">
        <f t="shared" si="37"/>
        <v>0</v>
      </c>
      <c r="I106" s="81">
        <f t="shared" si="37"/>
        <v>0</v>
      </c>
      <c r="J106" s="81">
        <f t="shared" si="37"/>
        <v>0</v>
      </c>
      <c r="K106" s="81">
        <f t="shared" si="37"/>
        <v>0</v>
      </c>
      <c r="L106" s="81">
        <f t="shared" si="37"/>
        <v>0</v>
      </c>
      <c r="M106" s="81">
        <f t="shared" si="37"/>
        <v>0</v>
      </c>
      <c r="N106" s="81">
        <f t="shared" si="37"/>
        <v>0</v>
      </c>
      <c r="O106" s="81">
        <f t="shared" si="37"/>
        <v>0</v>
      </c>
      <c r="P106" s="81">
        <f t="shared" si="37"/>
        <v>0</v>
      </c>
      <c r="Q106" s="81">
        <f t="shared" si="37"/>
        <v>0</v>
      </c>
      <c r="R106" s="81">
        <f t="shared" si="37"/>
        <v>0</v>
      </c>
      <c r="S106" s="81">
        <f t="shared" si="38"/>
        <v>0</v>
      </c>
      <c r="T106" s="81">
        <f t="shared" si="38"/>
        <v>0</v>
      </c>
      <c r="U106" s="81">
        <f t="shared" si="39"/>
        <v>0</v>
      </c>
      <c r="V106" s="81">
        <f t="shared" si="40"/>
        <v>0</v>
      </c>
      <c r="W106" s="87">
        <v>0</v>
      </c>
    </row>
    <row r="107" spans="1:23">
      <c r="A107" s="6">
        <f t="shared" si="41"/>
        <v>2004</v>
      </c>
      <c r="B107" s="6"/>
      <c r="C107" s="6"/>
      <c r="D107" s="6"/>
      <c r="E107" s="6"/>
      <c r="F107" s="6"/>
      <c r="G107" s="81">
        <f t="shared" si="37"/>
        <v>0</v>
      </c>
      <c r="H107" s="81">
        <f t="shared" si="37"/>
        <v>0</v>
      </c>
      <c r="I107" s="81">
        <f t="shared" si="37"/>
        <v>0</v>
      </c>
      <c r="J107" s="81">
        <f t="shared" si="37"/>
        <v>0</v>
      </c>
      <c r="K107" s="81">
        <f t="shared" si="37"/>
        <v>0</v>
      </c>
      <c r="L107" s="81">
        <f t="shared" si="37"/>
        <v>0</v>
      </c>
      <c r="M107" s="81">
        <f t="shared" si="37"/>
        <v>0</v>
      </c>
      <c r="N107" s="81">
        <f t="shared" si="37"/>
        <v>0</v>
      </c>
      <c r="O107" s="81">
        <f t="shared" si="37"/>
        <v>0</v>
      </c>
      <c r="P107" s="81">
        <f t="shared" si="37"/>
        <v>0</v>
      </c>
      <c r="Q107" s="81">
        <f t="shared" si="37"/>
        <v>0</v>
      </c>
      <c r="R107" s="81">
        <f t="shared" si="37"/>
        <v>0</v>
      </c>
      <c r="S107" s="81">
        <f t="shared" si="38"/>
        <v>0</v>
      </c>
      <c r="T107" s="81">
        <f t="shared" si="38"/>
        <v>0</v>
      </c>
      <c r="U107" s="81">
        <f t="shared" si="39"/>
        <v>0</v>
      </c>
      <c r="V107" s="81">
        <f t="shared" si="40"/>
        <v>0</v>
      </c>
      <c r="W107" s="87">
        <v>0</v>
      </c>
    </row>
    <row r="108" spans="1:23">
      <c r="A108" s="6">
        <f t="shared" si="41"/>
        <v>2005</v>
      </c>
      <c r="B108" s="6"/>
      <c r="C108" s="6"/>
      <c r="D108" s="6"/>
      <c r="E108" s="6"/>
      <c r="F108" s="6"/>
      <c r="G108" s="81">
        <f t="shared" si="37"/>
        <v>0</v>
      </c>
      <c r="H108" s="81">
        <f t="shared" si="37"/>
        <v>0</v>
      </c>
      <c r="I108" s="81">
        <f t="shared" si="37"/>
        <v>0</v>
      </c>
      <c r="J108" s="81">
        <f t="shared" si="37"/>
        <v>0</v>
      </c>
      <c r="K108" s="81">
        <f t="shared" si="37"/>
        <v>0</v>
      </c>
      <c r="L108" s="81">
        <f t="shared" si="37"/>
        <v>0</v>
      </c>
      <c r="M108" s="81">
        <f t="shared" si="37"/>
        <v>0</v>
      </c>
      <c r="N108" s="81">
        <f t="shared" si="37"/>
        <v>0</v>
      </c>
      <c r="O108" s="81">
        <f t="shared" si="37"/>
        <v>0</v>
      </c>
      <c r="P108" s="81">
        <f t="shared" si="37"/>
        <v>0</v>
      </c>
      <c r="Q108" s="81">
        <f t="shared" si="37"/>
        <v>0</v>
      </c>
      <c r="R108" s="81">
        <f t="shared" si="37"/>
        <v>0</v>
      </c>
      <c r="S108" s="81">
        <f t="shared" si="38"/>
        <v>0</v>
      </c>
      <c r="T108" s="81">
        <f t="shared" si="38"/>
        <v>0</v>
      </c>
      <c r="U108" s="81">
        <f t="shared" si="39"/>
        <v>0</v>
      </c>
      <c r="V108" s="81">
        <f t="shared" si="40"/>
        <v>0</v>
      </c>
      <c r="W108" s="87">
        <v>0</v>
      </c>
    </row>
    <row r="109" spans="1:23">
      <c r="A109" s="6">
        <f t="shared" si="41"/>
        <v>2006</v>
      </c>
      <c r="B109" s="6"/>
      <c r="C109" s="6"/>
      <c r="D109" s="6"/>
      <c r="E109" s="6"/>
      <c r="F109" s="6"/>
      <c r="G109" s="81">
        <f t="shared" si="37"/>
        <v>0</v>
      </c>
      <c r="H109" s="81">
        <f t="shared" si="37"/>
        <v>0</v>
      </c>
      <c r="I109" s="81">
        <f t="shared" si="37"/>
        <v>0</v>
      </c>
      <c r="J109" s="81">
        <f t="shared" si="37"/>
        <v>0</v>
      </c>
      <c r="K109" s="81">
        <f t="shared" si="37"/>
        <v>0</v>
      </c>
      <c r="L109" s="81">
        <f t="shared" si="37"/>
        <v>0</v>
      </c>
      <c r="M109" s="81">
        <f t="shared" si="37"/>
        <v>0</v>
      </c>
      <c r="N109" s="81">
        <f t="shared" si="37"/>
        <v>0</v>
      </c>
      <c r="O109" s="81">
        <f t="shared" si="37"/>
        <v>0</v>
      </c>
      <c r="P109" s="81">
        <f t="shared" si="37"/>
        <v>0</v>
      </c>
      <c r="Q109" s="81">
        <f t="shared" si="37"/>
        <v>0</v>
      </c>
      <c r="R109" s="81">
        <f t="shared" si="37"/>
        <v>0</v>
      </c>
      <c r="S109" s="81">
        <f t="shared" si="38"/>
        <v>0</v>
      </c>
      <c r="T109" s="81">
        <f t="shared" si="38"/>
        <v>0</v>
      </c>
      <c r="U109" s="81">
        <f t="shared" si="39"/>
        <v>0</v>
      </c>
      <c r="V109" s="81">
        <f t="shared" si="40"/>
        <v>0</v>
      </c>
      <c r="W109" s="87">
        <v>0</v>
      </c>
    </row>
    <row r="110" spans="1:23">
      <c r="A110" s="6">
        <f t="shared" si="41"/>
        <v>2007</v>
      </c>
      <c r="B110" s="6"/>
      <c r="C110" s="6"/>
      <c r="D110" s="6"/>
      <c r="E110" s="6"/>
      <c r="F110" s="6"/>
      <c r="G110" s="81">
        <f t="shared" si="37"/>
        <v>0</v>
      </c>
      <c r="H110" s="81">
        <f t="shared" si="37"/>
        <v>0</v>
      </c>
      <c r="I110" s="81">
        <f t="shared" si="37"/>
        <v>0</v>
      </c>
      <c r="J110" s="81">
        <f t="shared" si="37"/>
        <v>0</v>
      </c>
      <c r="K110" s="81">
        <f t="shared" si="37"/>
        <v>0</v>
      </c>
      <c r="L110" s="81">
        <f t="shared" si="37"/>
        <v>0</v>
      </c>
      <c r="M110" s="81">
        <f t="shared" si="37"/>
        <v>0</v>
      </c>
      <c r="N110" s="81">
        <f t="shared" si="37"/>
        <v>0</v>
      </c>
      <c r="O110" s="81">
        <f t="shared" si="37"/>
        <v>0</v>
      </c>
      <c r="P110" s="81">
        <f t="shared" si="37"/>
        <v>0</v>
      </c>
      <c r="Q110" s="81">
        <f t="shared" si="37"/>
        <v>0</v>
      </c>
      <c r="R110" s="81">
        <f t="shared" si="37"/>
        <v>0</v>
      </c>
      <c r="S110" s="81">
        <f t="shared" si="38"/>
        <v>0</v>
      </c>
      <c r="T110" s="81">
        <f t="shared" si="38"/>
        <v>0</v>
      </c>
      <c r="U110" s="81">
        <f t="shared" si="39"/>
        <v>0</v>
      </c>
      <c r="V110" s="81">
        <f t="shared" si="40"/>
        <v>0</v>
      </c>
      <c r="W110" s="87">
        <v>0</v>
      </c>
    </row>
    <row r="111" spans="1:23">
      <c r="A111" s="6">
        <f t="shared" si="41"/>
        <v>2008</v>
      </c>
      <c r="B111" s="6"/>
      <c r="C111" s="6"/>
      <c r="D111" s="6"/>
      <c r="E111" s="6"/>
      <c r="F111" s="6"/>
      <c r="G111" s="81">
        <f t="shared" si="37"/>
        <v>0</v>
      </c>
      <c r="H111" s="81">
        <f t="shared" si="37"/>
        <v>0</v>
      </c>
      <c r="I111" s="81">
        <f t="shared" si="37"/>
        <v>0</v>
      </c>
      <c r="J111" s="81">
        <f t="shared" si="37"/>
        <v>0</v>
      </c>
      <c r="K111" s="81">
        <f t="shared" si="37"/>
        <v>0</v>
      </c>
      <c r="L111" s="81">
        <f t="shared" si="37"/>
        <v>0</v>
      </c>
      <c r="M111" s="81">
        <f t="shared" si="37"/>
        <v>0</v>
      </c>
      <c r="N111" s="81">
        <f t="shared" si="37"/>
        <v>0</v>
      </c>
      <c r="O111" s="81">
        <f t="shared" si="37"/>
        <v>0</v>
      </c>
      <c r="P111" s="81">
        <f t="shared" si="37"/>
        <v>0</v>
      </c>
      <c r="Q111" s="81">
        <f t="shared" si="37"/>
        <v>0</v>
      </c>
      <c r="R111" s="81">
        <f t="shared" si="37"/>
        <v>0</v>
      </c>
      <c r="S111" s="81">
        <f t="shared" ref="S111:T124" si="42">S31-S71</f>
        <v>0</v>
      </c>
      <c r="T111" s="81">
        <f t="shared" si="42"/>
        <v>0</v>
      </c>
      <c r="U111" s="81">
        <f t="shared" si="39"/>
        <v>0</v>
      </c>
      <c r="V111" s="81">
        <f t="shared" si="40"/>
        <v>0</v>
      </c>
      <c r="W111" s="87">
        <v>0</v>
      </c>
    </row>
    <row r="112" spans="1:23">
      <c r="A112" s="6">
        <f t="shared" si="41"/>
        <v>2009</v>
      </c>
      <c r="B112" s="6"/>
      <c r="C112" s="6"/>
      <c r="D112" s="6"/>
      <c r="E112" s="6"/>
      <c r="F112" s="6"/>
      <c r="G112" s="81">
        <f t="shared" si="37"/>
        <v>0</v>
      </c>
      <c r="H112" s="81">
        <f t="shared" si="37"/>
        <v>0</v>
      </c>
      <c r="I112" s="81">
        <f t="shared" si="37"/>
        <v>0</v>
      </c>
      <c r="J112" s="81">
        <f t="shared" ref="H112:R124" si="43">J32-J72</f>
        <v>0</v>
      </c>
      <c r="K112" s="81">
        <f t="shared" si="43"/>
        <v>0</v>
      </c>
      <c r="L112" s="81">
        <f t="shared" si="43"/>
        <v>0</v>
      </c>
      <c r="M112" s="81">
        <f t="shared" si="43"/>
        <v>0</v>
      </c>
      <c r="N112" s="81">
        <f t="shared" si="43"/>
        <v>0</v>
      </c>
      <c r="O112" s="81">
        <f t="shared" si="43"/>
        <v>0</v>
      </c>
      <c r="P112" s="81">
        <f t="shared" si="43"/>
        <v>0</v>
      </c>
      <c r="Q112" s="81">
        <f t="shared" si="43"/>
        <v>0</v>
      </c>
      <c r="R112" s="81">
        <f t="shared" si="43"/>
        <v>0</v>
      </c>
      <c r="S112" s="81">
        <f t="shared" si="42"/>
        <v>0</v>
      </c>
      <c r="T112" s="81">
        <f t="shared" si="42"/>
        <v>0</v>
      </c>
      <c r="U112" s="81">
        <f t="shared" si="39"/>
        <v>0</v>
      </c>
      <c r="V112" s="81">
        <f t="shared" si="40"/>
        <v>0</v>
      </c>
      <c r="W112" s="87">
        <v>0</v>
      </c>
    </row>
    <row r="113" spans="1:23">
      <c r="A113" s="6">
        <f t="shared" si="41"/>
        <v>2010</v>
      </c>
      <c r="B113" s="6"/>
      <c r="C113" s="6"/>
      <c r="D113" s="6"/>
      <c r="E113" s="6"/>
      <c r="F113" s="6"/>
      <c r="G113" s="81">
        <f t="shared" si="37"/>
        <v>0</v>
      </c>
      <c r="H113" s="81">
        <f t="shared" si="43"/>
        <v>0</v>
      </c>
      <c r="I113" s="81">
        <f t="shared" si="43"/>
        <v>0</v>
      </c>
      <c r="J113" s="81">
        <f t="shared" si="43"/>
        <v>0</v>
      </c>
      <c r="K113" s="81">
        <f t="shared" si="43"/>
        <v>0</v>
      </c>
      <c r="L113" s="81">
        <f t="shared" si="43"/>
        <v>0</v>
      </c>
      <c r="M113" s="81">
        <f t="shared" si="43"/>
        <v>0</v>
      </c>
      <c r="N113" s="81">
        <f t="shared" si="43"/>
        <v>0</v>
      </c>
      <c r="O113" s="81">
        <f t="shared" si="43"/>
        <v>0</v>
      </c>
      <c r="P113" s="81">
        <f t="shared" si="43"/>
        <v>0</v>
      </c>
      <c r="Q113" s="81">
        <f t="shared" si="43"/>
        <v>0</v>
      </c>
      <c r="R113" s="81">
        <f t="shared" si="43"/>
        <v>0</v>
      </c>
      <c r="S113" s="81">
        <f t="shared" si="42"/>
        <v>0</v>
      </c>
      <c r="T113" s="81">
        <f t="shared" si="42"/>
        <v>0</v>
      </c>
      <c r="U113" s="81">
        <f t="shared" si="39"/>
        <v>0</v>
      </c>
      <c r="V113" s="81">
        <f t="shared" si="40"/>
        <v>0</v>
      </c>
      <c r="W113" s="87">
        <v>0</v>
      </c>
    </row>
    <row r="114" spans="1:23">
      <c r="A114" s="6">
        <f t="shared" si="41"/>
        <v>2011</v>
      </c>
      <c r="B114" s="6"/>
      <c r="C114" s="6"/>
      <c r="D114" s="6"/>
      <c r="E114" s="6"/>
      <c r="F114" s="6"/>
      <c r="G114" s="81">
        <f t="shared" si="37"/>
        <v>0</v>
      </c>
      <c r="H114" s="81">
        <f t="shared" si="43"/>
        <v>0</v>
      </c>
      <c r="I114" s="81">
        <f t="shared" si="43"/>
        <v>0</v>
      </c>
      <c r="J114" s="81">
        <f t="shared" si="43"/>
        <v>0</v>
      </c>
      <c r="K114" s="81">
        <f t="shared" si="43"/>
        <v>0</v>
      </c>
      <c r="L114" s="81">
        <f t="shared" si="43"/>
        <v>0</v>
      </c>
      <c r="M114" s="81">
        <f t="shared" si="43"/>
        <v>0</v>
      </c>
      <c r="N114" s="81">
        <f t="shared" si="43"/>
        <v>0</v>
      </c>
      <c r="O114" s="81">
        <f t="shared" si="43"/>
        <v>0</v>
      </c>
      <c r="P114" s="81">
        <f t="shared" si="43"/>
        <v>0</v>
      </c>
      <c r="Q114" s="81">
        <f t="shared" si="43"/>
        <v>0</v>
      </c>
      <c r="R114" s="81">
        <f t="shared" si="43"/>
        <v>0</v>
      </c>
      <c r="S114" s="81">
        <f t="shared" si="42"/>
        <v>0</v>
      </c>
      <c r="T114" s="81">
        <f t="shared" si="42"/>
        <v>119.82441853645265</v>
      </c>
      <c r="U114" s="81">
        <f t="shared" si="39"/>
        <v>119.82441853645265</v>
      </c>
      <c r="V114" s="81">
        <f t="shared" si="40"/>
        <v>119.82441853645265</v>
      </c>
      <c r="W114" s="87">
        <v>450911.9720987766</v>
      </c>
    </row>
    <row r="115" spans="1:23">
      <c r="A115" s="6">
        <f t="shared" si="41"/>
        <v>2012</v>
      </c>
      <c r="B115" s="6"/>
      <c r="C115" s="6"/>
      <c r="D115" s="6"/>
      <c r="E115" s="6"/>
      <c r="F115" s="6"/>
      <c r="G115" s="81">
        <f t="shared" si="37"/>
        <v>0</v>
      </c>
      <c r="H115" s="81">
        <f t="shared" si="43"/>
        <v>16836.394</v>
      </c>
      <c r="I115" s="81">
        <f t="shared" si="43"/>
        <v>0</v>
      </c>
      <c r="J115" s="81">
        <f t="shared" si="43"/>
        <v>8418.1970000000001</v>
      </c>
      <c r="K115" s="81">
        <f t="shared" si="43"/>
        <v>0</v>
      </c>
      <c r="L115" s="81">
        <f t="shared" si="43"/>
        <v>8418.1970000000001</v>
      </c>
      <c r="M115" s="81">
        <f>M35-M75</f>
        <v>0</v>
      </c>
      <c r="N115" s="81">
        <f t="shared" si="43"/>
        <v>0</v>
      </c>
      <c r="O115" s="81">
        <f>'Exhibit V,1'!K45</f>
        <v>0</v>
      </c>
      <c r="P115" s="81">
        <f t="shared" si="43"/>
        <v>29599.664675</v>
      </c>
      <c r="Q115" s="81">
        <f t="shared" si="43"/>
        <v>14263.572324999999</v>
      </c>
      <c r="R115" s="81">
        <f t="shared" si="43"/>
        <v>16836.394</v>
      </c>
      <c r="S115" s="81">
        <f t="shared" si="42"/>
        <v>163.86140806477792</v>
      </c>
      <c r="T115" s="81">
        <f t="shared" si="42"/>
        <v>0</v>
      </c>
      <c r="U115" s="81">
        <f t="shared" si="39"/>
        <v>163.86140806477792</v>
      </c>
      <c r="V115" s="81">
        <f t="shared" si="40"/>
        <v>17000.255408064779</v>
      </c>
      <c r="W115" s="87">
        <v>447236.45169564133</v>
      </c>
    </row>
    <row r="116" spans="1:23">
      <c r="A116" s="6">
        <f t="shared" si="41"/>
        <v>2013</v>
      </c>
      <c r="B116" s="6"/>
      <c r="C116" s="6"/>
      <c r="D116" s="6"/>
      <c r="E116" s="6"/>
      <c r="F116" s="6"/>
      <c r="G116" s="81">
        <f t="shared" si="37"/>
        <v>8418.1970000000001</v>
      </c>
      <c r="H116" s="81">
        <f t="shared" si="43"/>
        <v>7757569.8309999993</v>
      </c>
      <c r="I116" s="81">
        <f t="shared" si="43"/>
        <v>0</v>
      </c>
      <c r="J116" s="81">
        <f t="shared" si="43"/>
        <v>3874575.8169999998</v>
      </c>
      <c r="K116" s="81">
        <f t="shared" si="43"/>
        <v>8418.1970000000001</v>
      </c>
      <c r="L116" s="81">
        <f t="shared" si="43"/>
        <v>3882994.014</v>
      </c>
      <c r="M116" s="81">
        <f t="shared" si="43"/>
        <v>694166.60092194984</v>
      </c>
      <c r="N116" s="81">
        <f t="shared" ref="N116:N123" si="44">N36-N76</f>
        <v>-692009.585248466</v>
      </c>
      <c r="O116" s="81">
        <f>'Exhibit V,1'!K46</f>
        <v>2157.0156734837219</v>
      </c>
      <c r="P116" s="81">
        <f t="shared" si="43"/>
        <v>16277565.071780996</v>
      </c>
      <c r="Q116" s="81">
        <f t="shared" si="43"/>
        <v>3840621.0640331935</v>
      </c>
      <c r="R116" s="81">
        <f t="shared" si="43"/>
        <v>7759726.846673483</v>
      </c>
      <c r="S116" s="81">
        <f t="shared" si="42"/>
        <v>75440.165493881243</v>
      </c>
      <c r="T116" s="81">
        <f t="shared" si="42"/>
        <v>544.46601601011525</v>
      </c>
      <c r="U116" s="81">
        <f t="shared" si="39"/>
        <v>75984.631509891362</v>
      </c>
      <c r="V116" s="81">
        <f t="shared" si="40"/>
        <v>7835711.4781833747</v>
      </c>
      <c r="W116" s="87">
        <v>611992.0293946492</v>
      </c>
    </row>
    <row r="117" spans="1:23">
      <c r="A117" s="6">
        <f t="shared" si="41"/>
        <v>2014</v>
      </c>
      <c r="B117" s="6"/>
      <c r="C117" s="6"/>
      <c r="D117" s="6"/>
      <c r="E117" s="6"/>
      <c r="F117" s="6"/>
      <c r="G117" s="81">
        <f t="shared" si="37"/>
        <v>903020.67799999984</v>
      </c>
      <c r="H117" s="81">
        <f t="shared" si="43"/>
        <v>6053022.680999998</v>
      </c>
      <c r="I117" s="81">
        <f t="shared" si="43"/>
        <v>812500</v>
      </c>
      <c r="J117" s="81">
        <f t="shared" si="43"/>
        <v>3387501.0014999993</v>
      </c>
      <c r="K117" s="81">
        <f t="shared" si="43"/>
        <v>90520.678000000014</v>
      </c>
      <c r="L117" s="81">
        <f t="shared" si="43"/>
        <v>2665521.6794999996</v>
      </c>
      <c r="M117" s="81">
        <f t="shared" si="43"/>
        <v>1146233.9759435337</v>
      </c>
      <c r="N117" s="81">
        <f t="shared" si="44"/>
        <v>-1133933.9564357479</v>
      </c>
      <c r="O117" s="81">
        <f>'Exhibit V,1'!K47</f>
        <v>12300.019507784862</v>
      </c>
      <c r="P117" s="81">
        <f t="shared" si="43"/>
        <v>12416121.26651817</v>
      </c>
      <c r="Q117" s="81">
        <f t="shared" si="43"/>
        <v>1993022.3885697911</v>
      </c>
      <c r="R117" s="81">
        <f t="shared" si="43"/>
        <v>6065322.7005077824</v>
      </c>
      <c r="S117" s="81">
        <f t="shared" si="42"/>
        <v>50242.473433668529</v>
      </c>
      <c r="T117" s="81">
        <f t="shared" si="42"/>
        <v>46220.860850312594</v>
      </c>
      <c r="U117" s="81">
        <f t="shared" si="39"/>
        <v>96463.334283981123</v>
      </c>
      <c r="V117" s="81">
        <f t="shared" si="40"/>
        <v>6161786.0347917639</v>
      </c>
      <c r="W117" s="87">
        <v>1119055.4805849257</v>
      </c>
    </row>
    <row r="118" spans="1:23">
      <c r="A118" s="6">
        <f t="shared" si="41"/>
        <v>2015</v>
      </c>
      <c r="B118" s="6"/>
      <c r="C118" s="6"/>
      <c r="D118" s="6"/>
      <c r="E118" s="6"/>
      <c r="F118" s="6"/>
      <c r="G118" s="81">
        <f t="shared" si="37"/>
        <v>2455021.1219999995</v>
      </c>
      <c r="H118" s="81">
        <f t="shared" si="43"/>
        <v>5318560.3414999992</v>
      </c>
      <c r="I118" s="81">
        <f t="shared" si="43"/>
        <v>2113750</v>
      </c>
      <c r="J118" s="81">
        <f t="shared" si="43"/>
        <v>4977289.2194999997</v>
      </c>
      <c r="K118" s="81">
        <f t="shared" si="43"/>
        <v>341271.12199999997</v>
      </c>
      <c r="L118" s="81">
        <f t="shared" si="43"/>
        <v>341271.12199999997</v>
      </c>
      <c r="M118" s="81">
        <f t="shared" si="43"/>
        <v>491178.59824808501</v>
      </c>
      <c r="N118" s="81">
        <f t="shared" si="44"/>
        <v>-439727.79412152362</v>
      </c>
      <c r="O118" s="81">
        <f>'Exhibit V,1'!K48</f>
        <v>51450.804126561154</v>
      </c>
      <c r="P118" s="81">
        <f t="shared" si="43"/>
        <v>12031362.802704971</v>
      </c>
      <c r="Q118" s="81">
        <f t="shared" si="43"/>
        <v>2625638.4497530553</v>
      </c>
      <c r="R118" s="81">
        <f t="shared" si="43"/>
        <v>5370011.1456265599</v>
      </c>
      <c r="S118" s="81">
        <f t="shared" si="42"/>
        <v>56239.948906055157</v>
      </c>
      <c r="T118" s="81">
        <f t="shared" si="42"/>
        <v>89013.258767962645</v>
      </c>
      <c r="U118" s="81">
        <f t="shared" si="39"/>
        <v>145253.20767401782</v>
      </c>
      <c r="V118" s="81">
        <f t="shared" si="40"/>
        <v>5515264.353300578</v>
      </c>
      <c r="W118" s="87">
        <v>1056100.6445412573</v>
      </c>
    </row>
    <row r="119" spans="1:23">
      <c r="A119" s="6">
        <f t="shared" si="41"/>
        <v>2016</v>
      </c>
      <c r="B119" s="6"/>
      <c r="C119" s="6"/>
      <c r="D119" s="6"/>
      <c r="E119" s="6"/>
      <c r="F119" s="6"/>
      <c r="G119" s="81">
        <f t="shared" si="37"/>
        <v>1658028.9324999996</v>
      </c>
      <c r="H119" s="81">
        <f t="shared" si="43"/>
        <v>5379080.8164999997</v>
      </c>
      <c r="I119" s="81">
        <f t="shared" si="43"/>
        <v>1474482.2469999995</v>
      </c>
      <c r="J119" s="81">
        <f t="shared" si="43"/>
        <v>3038158.2119999994</v>
      </c>
      <c r="K119" s="81">
        <f t="shared" si="43"/>
        <v>183546.68550000002</v>
      </c>
      <c r="L119" s="81">
        <f t="shared" si="43"/>
        <v>2340922.6044999994</v>
      </c>
      <c r="M119" s="81">
        <f t="shared" si="43"/>
        <v>836376.41907234443</v>
      </c>
      <c r="N119" s="81">
        <f t="shared" si="44"/>
        <v>-749044.24220480327</v>
      </c>
      <c r="O119" s="81">
        <f>'Exhibit V,1'!K49</f>
        <v>87332.176867540926</v>
      </c>
      <c r="P119" s="81">
        <f t="shared" si="43"/>
        <v>9878734.6028108262</v>
      </c>
      <c r="Q119" s="81">
        <f t="shared" si="43"/>
        <v>1674384.6711386272</v>
      </c>
      <c r="R119" s="81">
        <f t="shared" si="43"/>
        <v>5466412.9933675407</v>
      </c>
      <c r="S119" s="81">
        <f t="shared" si="42"/>
        <v>37065.370094404556</v>
      </c>
      <c r="T119" s="81">
        <f t="shared" si="42"/>
        <v>174211.9369017877</v>
      </c>
      <c r="U119" s="81">
        <f t="shared" si="39"/>
        <v>211277.30699619226</v>
      </c>
      <c r="V119" s="81">
        <f t="shared" si="40"/>
        <v>5677690.3003637325</v>
      </c>
      <c r="W119" s="87">
        <v>1399499.8831452043</v>
      </c>
    </row>
    <row r="120" spans="1:23">
      <c r="A120" s="6">
        <f t="shared" si="41"/>
        <v>2017</v>
      </c>
      <c r="B120" s="6"/>
      <c r="C120" s="6"/>
      <c r="D120" s="6"/>
      <c r="E120" s="6"/>
      <c r="F120" s="6"/>
      <c r="G120" s="81">
        <f t="shared" si="37"/>
        <v>1251317.1334999998</v>
      </c>
      <c r="H120" s="81">
        <f t="shared" si="43"/>
        <v>1928994.5604999997</v>
      </c>
      <c r="I120" s="81">
        <f t="shared" si="43"/>
        <v>953800</v>
      </c>
      <c r="J120" s="81">
        <f t="shared" si="43"/>
        <v>1512400</v>
      </c>
      <c r="K120" s="81">
        <f t="shared" si="43"/>
        <v>297517.13349999994</v>
      </c>
      <c r="L120" s="81">
        <f t="shared" si="43"/>
        <v>416594.56049999996</v>
      </c>
      <c r="M120" s="81">
        <f t="shared" si="43"/>
        <v>727480.41184800956</v>
      </c>
      <c r="N120" s="81">
        <f t="shared" si="44"/>
        <v>-206517.02296348105</v>
      </c>
      <c r="O120" s="81">
        <f>'Exhibit V,1'!K50</f>
        <v>520963.38888452848</v>
      </c>
      <c r="P120" s="81">
        <f t="shared" si="43"/>
        <v>2481679.502265125</v>
      </c>
      <c r="Q120" s="81">
        <f t="shared" si="43"/>
        <v>264869.69199632679</v>
      </c>
      <c r="R120" s="81">
        <f t="shared" si="43"/>
        <v>2449957.9493845282</v>
      </c>
      <c r="S120" s="81">
        <f t="shared" si="42"/>
        <v>6761.4082128622676</v>
      </c>
      <c r="T120" s="81">
        <f t="shared" si="42"/>
        <v>130743.64938036984</v>
      </c>
      <c r="U120" s="81">
        <f t="shared" si="39"/>
        <v>137505.05759323211</v>
      </c>
      <c r="V120" s="81">
        <f t="shared" si="40"/>
        <v>2587463.0069777602</v>
      </c>
      <c r="W120" s="87">
        <v>1349202.8826806955</v>
      </c>
    </row>
    <row r="121" spans="1:23">
      <c r="A121" s="6">
        <f t="shared" si="41"/>
        <v>2018</v>
      </c>
      <c r="B121" s="6"/>
      <c r="C121" s="6"/>
      <c r="D121" s="6"/>
      <c r="E121" s="6"/>
      <c r="F121" s="6"/>
      <c r="G121" s="81">
        <f t="shared" si="37"/>
        <v>222427.79399999985</v>
      </c>
      <c r="H121" s="81">
        <f t="shared" si="43"/>
        <v>222427.79399999985</v>
      </c>
      <c r="I121" s="81">
        <f t="shared" si="43"/>
        <v>143340.57899999982</v>
      </c>
      <c r="J121" s="81">
        <f t="shared" si="43"/>
        <v>143340.57899999982</v>
      </c>
      <c r="K121" s="81">
        <f t="shared" si="43"/>
        <v>79087.214999999997</v>
      </c>
      <c r="L121" s="81">
        <f t="shared" si="43"/>
        <v>79087.214999999997</v>
      </c>
      <c r="M121" s="81">
        <f t="shared" si="43"/>
        <v>-110916.45262708748</v>
      </c>
      <c r="N121" s="81">
        <f t="shared" si="44"/>
        <v>628395.91541471658</v>
      </c>
      <c r="O121" s="81">
        <f>'Exhibit V,1'!K51</f>
        <v>517479.46278762911</v>
      </c>
      <c r="P121" s="81">
        <f t="shared" si="43"/>
        <v>4842099.5364098018</v>
      </c>
      <c r="Q121" s="81">
        <f t="shared" si="43"/>
        <v>2145455.5093286503</v>
      </c>
      <c r="R121" s="81">
        <f t="shared" si="43"/>
        <v>739907.25678762887</v>
      </c>
      <c r="S121" s="81">
        <f t="shared" si="42"/>
        <v>45969.632755947721</v>
      </c>
      <c r="T121" s="81">
        <f t="shared" si="42"/>
        <v>3197.1208736387816</v>
      </c>
      <c r="U121" s="81">
        <f t="shared" si="39"/>
        <v>49166.753629586499</v>
      </c>
      <c r="V121" s="81">
        <f t="shared" si="40"/>
        <v>789074.01041721541</v>
      </c>
      <c r="W121" s="87">
        <v>1174869.575368111</v>
      </c>
    </row>
    <row r="122" spans="1:23">
      <c r="A122" s="6">
        <f t="shared" si="41"/>
        <v>2019</v>
      </c>
      <c r="B122" s="6"/>
      <c r="C122" s="6"/>
      <c r="D122" s="6"/>
      <c r="E122" s="6"/>
      <c r="F122" s="6"/>
      <c r="G122" s="81">
        <f t="shared" si="37"/>
        <v>1794163.6919999998</v>
      </c>
      <c r="H122" s="81">
        <f t="shared" si="43"/>
        <v>2316193.0429999996</v>
      </c>
      <c r="I122" s="81">
        <f t="shared" si="43"/>
        <v>1527658.0734999997</v>
      </c>
      <c r="J122" s="81">
        <f t="shared" si="43"/>
        <v>1933308.0734999997</v>
      </c>
      <c r="K122" s="81">
        <f t="shared" si="43"/>
        <v>266505.61849999998</v>
      </c>
      <c r="L122" s="81">
        <f t="shared" si="43"/>
        <v>382884.96950000001</v>
      </c>
      <c r="M122" s="81">
        <f t="shared" si="43"/>
        <v>569478.60183383012</v>
      </c>
      <c r="N122" s="81">
        <f t="shared" si="44"/>
        <v>-90122.170806307302</v>
      </c>
      <c r="O122" s="81">
        <f>'Exhibit V,1'!K52</f>
        <v>479356.43102752278</v>
      </c>
      <c r="P122" s="81">
        <f t="shared" si="43"/>
        <v>3164057.2279149443</v>
      </c>
      <c r="Q122" s="81">
        <f t="shared" si="43"/>
        <v>748984.01321724209</v>
      </c>
      <c r="R122" s="81">
        <f t="shared" si="43"/>
        <v>2795549.4740275224</v>
      </c>
      <c r="S122" s="81">
        <f t="shared" si="42"/>
        <v>12583.235272025366</v>
      </c>
      <c r="T122" s="81">
        <f t="shared" si="42"/>
        <v>76003.839541355483</v>
      </c>
      <c r="U122" s="81">
        <f t="shared" si="39"/>
        <v>88587.074813380852</v>
      </c>
      <c r="V122" s="81">
        <f t="shared" si="40"/>
        <v>2884136.5488409032</v>
      </c>
      <c r="W122" s="87">
        <v>1151689.1531342519</v>
      </c>
    </row>
    <row r="123" spans="1:23">
      <c r="A123" s="6">
        <f t="shared" si="41"/>
        <v>2020</v>
      </c>
      <c r="B123" s="6"/>
      <c r="C123" s="6"/>
      <c r="D123" s="6"/>
      <c r="E123" s="6"/>
      <c r="F123" s="6"/>
      <c r="G123" s="81">
        <f t="shared" si="37"/>
        <v>4174077.0159999994</v>
      </c>
      <c r="H123" s="81">
        <f t="shared" si="43"/>
        <v>4284026.6909999996</v>
      </c>
      <c r="I123" s="81">
        <f t="shared" si="43"/>
        <v>4147226.6909999992</v>
      </c>
      <c r="J123" s="81">
        <f t="shared" si="43"/>
        <v>4241276.6909999996</v>
      </c>
      <c r="K123" s="81">
        <f t="shared" si="43"/>
        <v>26850.324999999997</v>
      </c>
      <c r="L123" s="81">
        <f t="shared" si="43"/>
        <v>42750</v>
      </c>
      <c r="M123" s="81">
        <f t="shared" si="43"/>
        <v>1854965.2015898861</v>
      </c>
      <c r="N123" s="81">
        <f t="shared" si="44"/>
        <v>318588.09063899925</v>
      </c>
      <c r="O123" s="81">
        <f>'Exhibit V,1'!K53</f>
        <v>2173553.2922288855</v>
      </c>
      <c r="P123" s="81">
        <f t="shared" si="43"/>
        <v>4130307.6860056766</v>
      </c>
      <c r="Q123" s="81">
        <f t="shared" si="43"/>
        <v>996618.55385648704</v>
      </c>
      <c r="R123" s="81">
        <f t="shared" si="43"/>
        <v>6457579.9832288846</v>
      </c>
      <c r="S123" s="81">
        <f t="shared" si="42"/>
        <v>24812.550922200146</v>
      </c>
      <c r="T123" s="81">
        <f t="shared" si="42"/>
        <v>1079.4447587423242</v>
      </c>
      <c r="U123" s="81">
        <f t="shared" si="39"/>
        <v>25891.995680942469</v>
      </c>
      <c r="V123" s="81">
        <f t="shared" si="40"/>
        <v>6483471.9789098268</v>
      </c>
      <c r="W123" s="87">
        <v>1117030.1722399921</v>
      </c>
    </row>
    <row r="124" spans="1:23">
      <c r="A124" s="6"/>
      <c r="B124" s="6"/>
      <c r="D124" s="6"/>
      <c r="E124" s="6"/>
      <c r="F124" s="6"/>
      <c r="G124" s="81">
        <f t="shared" si="37"/>
        <v>0</v>
      </c>
      <c r="H124" s="81">
        <f t="shared" si="43"/>
        <v>0</v>
      </c>
      <c r="I124" s="81">
        <f t="shared" si="43"/>
        <v>0</v>
      </c>
      <c r="J124" s="81">
        <f t="shared" si="43"/>
        <v>0</v>
      </c>
      <c r="K124" s="81">
        <f t="shared" si="43"/>
        <v>0</v>
      </c>
      <c r="L124" s="81">
        <f t="shared" si="43"/>
        <v>0</v>
      </c>
      <c r="M124" s="81">
        <f t="shared" si="43"/>
        <v>0</v>
      </c>
      <c r="N124" s="81">
        <f t="shared" si="43"/>
        <v>0</v>
      </c>
      <c r="O124" s="81">
        <f>'Exhibit A,2'!U27-'Exhibit A,2'!O27</f>
        <v>0</v>
      </c>
      <c r="P124" s="81">
        <f t="shared" si="43"/>
        <v>0</v>
      </c>
      <c r="Q124" s="81">
        <f t="shared" si="43"/>
        <v>0</v>
      </c>
      <c r="R124" s="81">
        <f t="shared" si="43"/>
        <v>0</v>
      </c>
      <c r="S124" s="81">
        <f t="shared" si="42"/>
        <v>0</v>
      </c>
      <c r="T124" s="81">
        <f t="shared" si="42"/>
        <v>0</v>
      </c>
      <c r="U124" s="81">
        <f t="shared" si="39"/>
        <v>0</v>
      </c>
      <c r="V124" s="81">
        <f t="shared" si="40"/>
        <v>0</v>
      </c>
      <c r="W124" s="87">
        <v>0</v>
      </c>
    </row>
    <row r="125" spans="1:23">
      <c r="A125" s="6" t="s">
        <v>0</v>
      </c>
      <c r="B125" s="82">
        <f>SUM(B95:B123)</f>
        <v>0</v>
      </c>
      <c r="C125" s="82">
        <f>SUM(C95:C123)</f>
        <v>0</v>
      </c>
      <c r="D125" s="82">
        <f t="shared" ref="D125:Q125" si="45">SUM(D95:D123)</f>
        <v>0</v>
      </c>
      <c r="E125" s="82">
        <f t="shared" si="45"/>
        <v>0</v>
      </c>
      <c r="F125" s="82">
        <f t="shared" si="45"/>
        <v>0</v>
      </c>
      <c r="G125" s="82">
        <f>SUM(G95:G123)</f>
        <v>12466474.564999998</v>
      </c>
      <c r="H125" s="82">
        <f t="shared" si="45"/>
        <v>33276712.152499996</v>
      </c>
      <c r="I125" s="82">
        <f t="shared" si="45"/>
        <v>11172757.590499999</v>
      </c>
      <c r="J125" s="82">
        <f t="shared" si="45"/>
        <v>23116267.790499996</v>
      </c>
      <c r="K125" s="82">
        <f t="shared" si="45"/>
        <v>1293716.9744999998</v>
      </c>
      <c r="L125" s="82">
        <f t="shared" si="45"/>
        <v>10160444.361999998</v>
      </c>
      <c r="M125" s="82">
        <f t="shared" si="45"/>
        <v>6208963.3568305513</v>
      </c>
      <c r="N125" s="82">
        <f t="shared" si="45"/>
        <v>-2364370.7657266129</v>
      </c>
      <c r="O125" s="82">
        <f t="shared" si="45"/>
        <v>3844592.5911039365</v>
      </c>
      <c r="P125" s="82">
        <f t="shared" si="45"/>
        <v>65251527.361085519</v>
      </c>
      <c r="Q125" s="82">
        <f t="shared" si="45"/>
        <v>14303857.914218374</v>
      </c>
      <c r="R125" s="82">
        <f>SUM(R95:R123)</f>
        <v>37121304.74360393</v>
      </c>
      <c r="S125" s="82">
        <f>SUM(S95:S123)</f>
        <v>309278.64649910975</v>
      </c>
      <c r="T125" s="82">
        <f>SUM(T95:T123)</f>
        <v>521134.40150871594</v>
      </c>
      <c r="U125" s="82">
        <f>SUM(U95:U123)</f>
        <v>830413.04800782574</v>
      </c>
      <c r="V125" s="82">
        <f>SUM(V95:V123)</f>
        <v>37951717.791611753</v>
      </c>
      <c r="W125" s="90">
        <v>9877588.2448835056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Sheet105">
    <tabColor rgb="FFFF0000"/>
  </sheetPr>
  <dimension ref="A5:W125"/>
  <sheetViews>
    <sheetView topLeftCell="D1" workbookViewId="0">
      <selection activeCell="A6" sqref="A6"/>
    </sheetView>
  </sheetViews>
  <sheetFormatPr baseColWidth="10" defaultColWidth="8.7109375" defaultRowHeight="15"/>
  <cols>
    <col min="1" max="27" width="12.7109375" style="1" customWidth="1"/>
    <col min="28" max="16384" width="8.7109375" style="1"/>
  </cols>
  <sheetData>
    <row r="5" spans="1:23" ht="16">
      <c r="A5" s="4"/>
      <c r="B5" s="4"/>
      <c r="H5" s="4"/>
      <c r="I5" s="4"/>
      <c r="J5" s="51" t="s">
        <v>872</v>
      </c>
      <c r="K5" s="4"/>
      <c r="L5" s="4"/>
    </row>
    <row r="6" spans="1:23" ht="16">
      <c r="A6" s="4"/>
      <c r="B6" s="4"/>
      <c r="H6" s="5" t="s">
        <v>681</v>
      </c>
      <c r="I6" s="5"/>
      <c r="J6" s="5"/>
      <c r="K6" s="5"/>
      <c r="L6" s="5"/>
    </row>
    <row r="7" spans="1:23">
      <c r="J7" s="1" t="s">
        <v>658</v>
      </c>
    </row>
    <row r="8" spans="1:23">
      <c r="I8" s="6"/>
      <c r="J8" s="6" t="s">
        <v>659</v>
      </c>
      <c r="K8" s="6"/>
      <c r="L8" s="6"/>
    </row>
    <row r="9" spans="1:23">
      <c r="A9" s="6" t="s">
        <v>9</v>
      </c>
      <c r="B9" s="85">
        <v>1</v>
      </c>
      <c r="C9" s="85">
        <v>1</v>
      </c>
      <c r="D9" s="85">
        <v>1</v>
      </c>
      <c r="E9" s="85">
        <v>1</v>
      </c>
      <c r="F9" s="85">
        <v>1</v>
      </c>
      <c r="G9" s="85">
        <v>0.95</v>
      </c>
      <c r="H9" s="85">
        <v>0.95</v>
      </c>
      <c r="I9" s="85">
        <v>0.95</v>
      </c>
      <c r="J9" s="85">
        <v>0.95</v>
      </c>
      <c r="K9" s="85">
        <v>0.95</v>
      </c>
      <c r="L9" s="85">
        <v>0.95</v>
      </c>
      <c r="M9" s="83" t="s">
        <v>683</v>
      </c>
      <c r="N9" s="83" t="s">
        <v>683</v>
      </c>
      <c r="O9" s="85">
        <v>0.95</v>
      </c>
      <c r="P9" s="6" t="s">
        <v>683</v>
      </c>
      <c r="Q9" s="6" t="s">
        <v>683</v>
      </c>
      <c r="R9" s="6" t="s">
        <v>683</v>
      </c>
      <c r="S9" s="6" t="s">
        <v>682</v>
      </c>
      <c r="T9" s="6" t="s">
        <v>682</v>
      </c>
      <c r="U9" s="6" t="s">
        <v>682</v>
      </c>
      <c r="V9" s="3"/>
      <c r="W9" s="86">
        <v>0.95</v>
      </c>
    </row>
    <row r="10" spans="1:23">
      <c r="A10" s="6"/>
      <c r="B10" s="27" t="s">
        <v>665</v>
      </c>
      <c r="C10" s="27" t="s">
        <v>523</v>
      </c>
      <c r="D10" s="27" t="s">
        <v>523</v>
      </c>
      <c r="E10" s="27" t="s">
        <v>523</v>
      </c>
      <c r="F10" s="27" t="s">
        <v>523</v>
      </c>
      <c r="H10" s="6"/>
      <c r="I10" s="6"/>
      <c r="J10" s="6"/>
      <c r="K10" s="6"/>
      <c r="L10" s="6"/>
      <c r="N10" s="79">
        <v>0.22500000000000001</v>
      </c>
      <c r="O10" s="6"/>
      <c r="P10" s="6"/>
      <c r="Q10" s="6"/>
      <c r="R10" s="6" t="s">
        <v>67</v>
      </c>
      <c r="S10" s="6"/>
      <c r="T10" s="6"/>
      <c r="U10" s="6"/>
      <c r="V10" s="6" t="s">
        <v>67</v>
      </c>
    </row>
    <row r="11" spans="1:23">
      <c r="A11" s="6" t="s">
        <v>3</v>
      </c>
      <c r="B11" s="27" t="s">
        <v>524</v>
      </c>
      <c r="C11" s="27" t="s">
        <v>524</v>
      </c>
      <c r="D11" s="27" t="s">
        <v>524</v>
      </c>
      <c r="E11" s="27" t="s">
        <v>528</v>
      </c>
      <c r="F11" s="27" t="s">
        <v>528</v>
      </c>
      <c r="G11" s="6" t="s">
        <v>14</v>
      </c>
      <c r="H11" s="6" t="s">
        <v>12</v>
      </c>
      <c r="I11" s="6" t="s">
        <v>14</v>
      </c>
      <c r="J11" s="6" t="s">
        <v>12</v>
      </c>
      <c r="K11" s="6" t="s">
        <v>14</v>
      </c>
      <c r="L11" s="6" t="s">
        <v>12</v>
      </c>
      <c r="M11" s="6" t="s">
        <v>381</v>
      </c>
      <c r="N11" s="6" t="s">
        <v>381</v>
      </c>
      <c r="O11" s="6" t="s">
        <v>381</v>
      </c>
      <c r="P11" s="6" t="s">
        <v>660</v>
      </c>
      <c r="Q11" s="6" t="s">
        <v>67</v>
      </c>
      <c r="R11" s="6" t="s">
        <v>662</v>
      </c>
      <c r="S11" s="6" t="s">
        <v>661</v>
      </c>
      <c r="T11" s="6" t="s">
        <v>661</v>
      </c>
      <c r="U11" s="6" t="s">
        <v>67</v>
      </c>
      <c r="V11" s="6" t="s">
        <v>663</v>
      </c>
      <c r="W11" s="6" t="s">
        <v>177</v>
      </c>
    </row>
    <row r="12" spans="1:23">
      <c r="A12" s="6" t="s">
        <v>4</v>
      </c>
      <c r="B12" s="28" t="s">
        <v>672</v>
      </c>
      <c r="C12" s="28" t="s">
        <v>671</v>
      </c>
      <c r="D12" s="28" t="s">
        <v>688</v>
      </c>
      <c r="E12" s="28" t="s">
        <v>671</v>
      </c>
      <c r="F12" s="28" t="s">
        <v>688</v>
      </c>
      <c r="G12" s="6" t="s">
        <v>0</v>
      </c>
      <c r="H12" s="6" t="s">
        <v>0</v>
      </c>
      <c r="I12" s="6" t="s">
        <v>566</v>
      </c>
      <c r="J12" s="6" t="s">
        <v>566</v>
      </c>
      <c r="K12" s="6" t="s">
        <v>567</v>
      </c>
      <c r="L12" s="6" t="s">
        <v>567</v>
      </c>
      <c r="M12" s="6" t="s">
        <v>566</v>
      </c>
      <c r="N12" s="6" t="s">
        <v>567</v>
      </c>
      <c r="O12" s="6" t="s">
        <v>0</v>
      </c>
      <c r="P12" s="6" t="s">
        <v>566</v>
      </c>
      <c r="Q12" s="6" t="s">
        <v>567</v>
      </c>
      <c r="R12" s="6" t="s">
        <v>0</v>
      </c>
      <c r="S12" s="6" t="s">
        <v>117</v>
      </c>
      <c r="T12" s="6" t="s">
        <v>14</v>
      </c>
      <c r="U12" s="6" t="s">
        <v>661</v>
      </c>
      <c r="V12" s="6" t="s">
        <v>0</v>
      </c>
      <c r="W12" s="6" t="s">
        <v>16</v>
      </c>
    </row>
    <row r="13" spans="1:23">
      <c r="A13" s="10">
        <v>-1</v>
      </c>
      <c r="B13" s="10">
        <f>A13-1</f>
        <v>-2</v>
      </c>
      <c r="C13" s="10">
        <f>B13-1</f>
        <v>-3</v>
      </c>
      <c r="D13" s="10">
        <f t="shared" ref="D13:W13" si="0">C13-1</f>
        <v>-4</v>
      </c>
      <c r="E13" s="10">
        <f t="shared" si="0"/>
        <v>-5</v>
      </c>
      <c r="F13" s="10">
        <f t="shared" si="0"/>
        <v>-6</v>
      </c>
      <c r="G13" s="10">
        <f t="shared" si="0"/>
        <v>-7</v>
      </c>
      <c r="H13" s="10">
        <f t="shared" si="0"/>
        <v>-8</v>
      </c>
      <c r="I13" s="10">
        <f t="shared" si="0"/>
        <v>-9</v>
      </c>
      <c r="J13" s="10">
        <f t="shared" si="0"/>
        <v>-10</v>
      </c>
      <c r="K13" s="10">
        <f t="shared" si="0"/>
        <v>-11</v>
      </c>
      <c r="L13" s="10">
        <f t="shared" si="0"/>
        <v>-12</v>
      </c>
      <c r="M13" s="10">
        <f>L13-1</f>
        <v>-13</v>
      </c>
      <c r="N13" s="10">
        <f t="shared" si="0"/>
        <v>-14</v>
      </c>
      <c r="O13" s="10">
        <f t="shared" si="0"/>
        <v>-15</v>
      </c>
      <c r="P13" s="10">
        <f t="shared" si="0"/>
        <v>-16</v>
      </c>
      <c r="Q13" s="10">
        <f t="shared" si="0"/>
        <v>-17</v>
      </c>
      <c r="R13" s="10">
        <f t="shared" si="0"/>
        <v>-18</v>
      </c>
      <c r="S13" s="10">
        <f t="shared" si="0"/>
        <v>-19</v>
      </c>
      <c r="T13" s="10">
        <f t="shared" si="0"/>
        <v>-20</v>
      </c>
      <c r="U13" s="10">
        <f t="shared" si="0"/>
        <v>-21</v>
      </c>
      <c r="V13" s="10">
        <f t="shared" si="0"/>
        <v>-22</v>
      </c>
      <c r="W13" s="10">
        <f t="shared" si="0"/>
        <v>-23</v>
      </c>
    </row>
    <row r="14" spans="1:23">
      <c r="A14" s="80"/>
      <c r="B14" s="80"/>
      <c r="C14" s="6"/>
      <c r="D14" s="6"/>
      <c r="E14" s="6"/>
      <c r="F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</row>
    <row r="15" spans="1:23">
      <c r="A15" s="6">
        <v>1992</v>
      </c>
      <c r="B15" s="81"/>
      <c r="C15" s="81"/>
      <c r="D15" s="81"/>
      <c r="E15" s="81"/>
      <c r="F15" s="81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81">
        <f t="shared" ref="S15:S34" si="1">S$45*(H15-G15+O15)/(H$45-G$45+O$45)</f>
        <v>0</v>
      </c>
      <c r="T15" s="87">
        <v>0</v>
      </c>
      <c r="U15" s="81">
        <f>S15+T15</f>
        <v>0</v>
      </c>
      <c r="V15" s="81">
        <f>R15+U15</f>
        <v>0</v>
      </c>
      <c r="W15" s="6"/>
    </row>
    <row r="16" spans="1:23">
      <c r="A16" s="6">
        <f>A15+1</f>
        <v>1993</v>
      </c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>
        <f t="shared" si="1"/>
        <v>0</v>
      </c>
      <c r="T16" s="87">
        <v>0</v>
      </c>
      <c r="U16" s="81">
        <f t="shared" ref="U16:U34" si="2">S16+T16</f>
        <v>0</v>
      </c>
      <c r="V16" s="81">
        <f t="shared" ref="V16:V34" si="3">R16+U16</f>
        <v>0</v>
      </c>
      <c r="W16" s="87"/>
    </row>
    <row r="17" spans="1:23">
      <c r="A17" s="6">
        <f t="shared" ref="A17:A43" si="4">A16+1</f>
        <v>1994</v>
      </c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>
        <f t="shared" si="1"/>
        <v>0</v>
      </c>
      <c r="T17" s="87">
        <v>0</v>
      </c>
      <c r="U17" s="81">
        <f t="shared" si="2"/>
        <v>0</v>
      </c>
      <c r="V17" s="81">
        <f t="shared" si="3"/>
        <v>0</v>
      </c>
      <c r="W17" s="87"/>
    </row>
    <row r="18" spans="1:23">
      <c r="A18" s="6">
        <f t="shared" si="4"/>
        <v>1995</v>
      </c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>
        <f t="shared" si="1"/>
        <v>0</v>
      </c>
      <c r="T18" s="87">
        <v>0</v>
      </c>
      <c r="U18" s="81">
        <f t="shared" si="2"/>
        <v>0</v>
      </c>
      <c r="V18" s="81">
        <f t="shared" si="3"/>
        <v>0</v>
      </c>
      <c r="W18" s="87"/>
    </row>
    <row r="19" spans="1:23">
      <c r="A19" s="6">
        <f t="shared" si="4"/>
        <v>1996</v>
      </c>
      <c r="B19" s="81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>
        <f t="shared" si="1"/>
        <v>0</v>
      </c>
      <c r="T19" s="87">
        <v>0</v>
      </c>
      <c r="U19" s="81">
        <f t="shared" si="2"/>
        <v>0</v>
      </c>
      <c r="V19" s="81">
        <f t="shared" si="3"/>
        <v>0</v>
      </c>
      <c r="W19" s="87"/>
    </row>
    <row r="20" spans="1:23">
      <c r="A20" s="6">
        <f t="shared" si="4"/>
        <v>1997</v>
      </c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>
        <f t="shared" si="1"/>
        <v>0</v>
      </c>
      <c r="T20" s="87">
        <v>0</v>
      </c>
      <c r="U20" s="81">
        <f t="shared" si="2"/>
        <v>0</v>
      </c>
      <c r="V20" s="81">
        <f t="shared" si="3"/>
        <v>0</v>
      </c>
      <c r="W20" s="87"/>
    </row>
    <row r="21" spans="1:23">
      <c r="A21" s="6">
        <f t="shared" si="4"/>
        <v>1998</v>
      </c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>
        <f t="shared" si="1"/>
        <v>0</v>
      </c>
      <c r="T21" s="87">
        <v>0</v>
      </c>
      <c r="U21" s="81">
        <f t="shared" si="2"/>
        <v>0</v>
      </c>
      <c r="V21" s="81">
        <f t="shared" si="3"/>
        <v>0</v>
      </c>
      <c r="W21" s="87"/>
    </row>
    <row r="22" spans="1:23">
      <c r="A22" s="6">
        <f t="shared" si="4"/>
        <v>1999</v>
      </c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>
        <f t="shared" si="1"/>
        <v>0</v>
      </c>
      <c r="T22" s="87">
        <v>0</v>
      </c>
      <c r="U22" s="81">
        <f t="shared" si="2"/>
        <v>0</v>
      </c>
      <c r="V22" s="81">
        <f t="shared" si="3"/>
        <v>0</v>
      </c>
      <c r="W22" s="87"/>
    </row>
    <row r="23" spans="1:23">
      <c r="A23" s="6">
        <f t="shared" si="4"/>
        <v>2000</v>
      </c>
      <c r="B23" s="81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>
        <f t="shared" si="1"/>
        <v>0</v>
      </c>
      <c r="T23" s="87">
        <v>0</v>
      </c>
      <c r="U23" s="81">
        <f t="shared" si="2"/>
        <v>0</v>
      </c>
      <c r="V23" s="81">
        <f t="shared" si="3"/>
        <v>0</v>
      </c>
      <c r="W23" s="87"/>
    </row>
    <row r="24" spans="1:23">
      <c r="A24" s="6">
        <f t="shared" si="4"/>
        <v>2001</v>
      </c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>
        <f t="shared" si="1"/>
        <v>0</v>
      </c>
      <c r="T24" s="87">
        <v>0</v>
      </c>
      <c r="U24" s="81">
        <f t="shared" si="2"/>
        <v>0</v>
      </c>
      <c r="V24" s="81">
        <f t="shared" si="3"/>
        <v>0</v>
      </c>
      <c r="W24" s="87"/>
    </row>
    <row r="25" spans="1:23">
      <c r="A25" s="6">
        <f t="shared" si="4"/>
        <v>2002</v>
      </c>
      <c r="B25" s="81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>
        <f t="shared" si="1"/>
        <v>0</v>
      </c>
      <c r="T25" s="87">
        <v>0</v>
      </c>
      <c r="U25" s="81">
        <f t="shared" si="2"/>
        <v>0</v>
      </c>
      <c r="V25" s="81">
        <f t="shared" si="3"/>
        <v>0</v>
      </c>
      <c r="W25" s="87"/>
    </row>
    <row r="26" spans="1:23">
      <c r="A26" s="6">
        <f t="shared" si="4"/>
        <v>2003</v>
      </c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>
        <f t="shared" si="1"/>
        <v>0</v>
      </c>
      <c r="T26" s="87">
        <v>0</v>
      </c>
      <c r="U26" s="81">
        <f t="shared" si="2"/>
        <v>0</v>
      </c>
      <c r="V26" s="81">
        <f t="shared" si="3"/>
        <v>0</v>
      </c>
      <c r="W26" s="87"/>
    </row>
    <row r="27" spans="1:23">
      <c r="A27" s="6">
        <f t="shared" si="4"/>
        <v>2004</v>
      </c>
      <c r="B27" s="81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>
        <f t="shared" si="1"/>
        <v>0</v>
      </c>
      <c r="T27" s="87">
        <v>0</v>
      </c>
      <c r="U27" s="81">
        <f t="shared" si="2"/>
        <v>0</v>
      </c>
      <c r="V27" s="81">
        <f t="shared" si="3"/>
        <v>0</v>
      </c>
      <c r="W27" s="87"/>
    </row>
    <row r="28" spans="1:23">
      <c r="A28" s="6">
        <f t="shared" si="4"/>
        <v>2005</v>
      </c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>
        <f t="shared" si="1"/>
        <v>0</v>
      </c>
      <c r="T28" s="87">
        <v>0</v>
      </c>
      <c r="U28" s="81">
        <f t="shared" si="2"/>
        <v>0</v>
      </c>
      <c r="V28" s="81">
        <f t="shared" si="3"/>
        <v>0</v>
      </c>
      <c r="W28" s="87"/>
    </row>
    <row r="29" spans="1:23">
      <c r="A29" s="6">
        <f t="shared" si="4"/>
        <v>2006</v>
      </c>
      <c r="B29" s="81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>
        <f t="shared" si="1"/>
        <v>0</v>
      </c>
      <c r="T29" s="87">
        <v>0</v>
      </c>
      <c r="U29" s="81">
        <f t="shared" si="2"/>
        <v>0</v>
      </c>
      <c r="V29" s="81">
        <f t="shared" si="3"/>
        <v>0</v>
      </c>
      <c r="W29" s="87"/>
    </row>
    <row r="30" spans="1:23">
      <c r="A30" s="6">
        <f t="shared" si="4"/>
        <v>2007</v>
      </c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>
        <f t="shared" si="1"/>
        <v>0</v>
      </c>
      <c r="T30" s="87">
        <v>0</v>
      </c>
      <c r="U30" s="81">
        <f t="shared" si="2"/>
        <v>0</v>
      </c>
      <c r="V30" s="81">
        <f t="shared" si="3"/>
        <v>0</v>
      </c>
      <c r="W30" s="87"/>
    </row>
    <row r="31" spans="1:23">
      <c r="A31" s="6">
        <f t="shared" si="4"/>
        <v>2008</v>
      </c>
      <c r="B31" s="81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>
        <f t="shared" si="1"/>
        <v>0</v>
      </c>
      <c r="T31" s="87">
        <v>0</v>
      </c>
      <c r="U31" s="81">
        <f t="shared" si="2"/>
        <v>0</v>
      </c>
      <c r="V31" s="81">
        <f t="shared" si="3"/>
        <v>0</v>
      </c>
      <c r="W31" s="87"/>
    </row>
    <row r="32" spans="1:23">
      <c r="A32" s="6">
        <f t="shared" si="4"/>
        <v>2009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>
        <f t="shared" si="1"/>
        <v>0</v>
      </c>
      <c r="T32" s="87">
        <v>0</v>
      </c>
      <c r="U32" s="81">
        <f t="shared" si="2"/>
        <v>0</v>
      </c>
      <c r="V32" s="81">
        <f t="shared" si="3"/>
        <v>0</v>
      </c>
      <c r="W32" s="87"/>
    </row>
    <row r="33" spans="1:23">
      <c r="A33" s="6">
        <f t="shared" si="4"/>
        <v>2010</v>
      </c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>
        <f t="shared" si="1"/>
        <v>0</v>
      </c>
      <c r="T33" s="87">
        <v>0</v>
      </c>
      <c r="U33" s="81">
        <f t="shared" si="2"/>
        <v>0</v>
      </c>
      <c r="V33" s="81">
        <f t="shared" si="3"/>
        <v>0</v>
      </c>
      <c r="W33" s="87"/>
    </row>
    <row r="34" spans="1:23">
      <c r="A34" s="6">
        <f t="shared" si="4"/>
        <v>2011</v>
      </c>
      <c r="B34" s="81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>
        <f t="shared" si="1"/>
        <v>0</v>
      </c>
      <c r="T34" s="87">
        <v>0</v>
      </c>
      <c r="U34" s="81">
        <f t="shared" si="2"/>
        <v>0</v>
      </c>
      <c r="V34" s="81">
        <f t="shared" si="3"/>
        <v>0</v>
      </c>
      <c r="W34" s="87">
        <v>0</v>
      </c>
    </row>
    <row r="35" spans="1:23">
      <c r="A35" s="6">
        <f t="shared" si="4"/>
        <v>2012</v>
      </c>
      <c r="B35" s="81"/>
      <c r="C35" s="81"/>
      <c r="D35" s="81"/>
      <c r="E35" s="81"/>
      <c r="F35" s="81"/>
      <c r="G35" s="81">
        <f>'AD15'!G75</f>
        <v>0</v>
      </c>
      <c r="H35" s="81">
        <f>'AD15'!H75</f>
        <v>0</v>
      </c>
      <c r="I35" s="81">
        <f>'AD15'!I75</f>
        <v>0</v>
      </c>
      <c r="J35" s="81">
        <f>'AD15'!J75</f>
        <v>0</v>
      </c>
      <c r="K35" s="81">
        <f>'AD15'!K75</f>
        <v>0</v>
      </c>
      <c r="L35" s="81">
        <f>'AD15'!L75</f>
        <v>0</v>
      </c>
      <c r="M35" s="81">
        <f>'AD15'!M75</f>
        <v>5163</v>
      </c>
      <c r="N35" s="81">
        <f>'AD15'!N75</f>
        <v>0</v>
      </c>
      <c r="O35" s="81">
        <f>'AD15'!O75</f>
        <v>5163</v>
      </c>
      <c r="P35" s="81">
        <f>'AD15'!P75</f>
        <v>4001.3250000000003</v>
      </c>
      <c r="Q35" s="81">
        <f>'AD15'!Q75</f>
        <v>1161.6749999999997</v>
      </c>
      <c r="R35" s="81">
        <f>'AD15'!R75</f>
        <v>5163</v>
      </c>
      <c r="S35" s="81">
        <f>'AD15'!S75</f>
        <v>46.377267634844571</v>
      </c>
      <c r="T35" s="87">
        <v>0</v>
      </c>
      <c r="U35" s="81">
        <f>'AD15'!U75</f>
        <v>46.377267634844571</v>
      </c>
      <c r="V35" s="81">
        <f>'AD15'!V75</f>
        <v>5209.3772676348444</v>
      </c>
      <c r="W35" s="87">
        <v>0</v>
      </c>
    </row>
    <row r="36" spans="1:23">
      <c r="A36" s="6">
        <f t="shared" si="4"/>
        <v>2013</v>
      </c>
      <c r="B36" s="81"/>
      <c r="C36" s="81"/>
      <c r="D36" s="81"/>
      <c r="E36" s="81"/>
      <c r="F36" s="81"/>
      <c r="G36" s="81">
        <f>'AD15'!G76</f>
        <v>-879700</v>
      </c>
      <c r="H36" s="81">
        <f>'AD15'!H76</f>
        <v>-879700</v>
      </c>
      <c r="I36" s="81">
        <f>'AD15'!I76</f>
        <v>-879700</v>
      </c>
      <c r="J36" s="81">
        <f>'AD15'!J76</f>
        <v>-879700</v>
      </c>
      <c r="K36" s="81">
        <f>'AD15'!K76</f>
        <v>0</v>
      </c>
      <c r="L36" s="81">
        <f>'AD15'!L76</f>
        <v>0</v>
      </c>
      <c r="M36" s="81">
        <f>'AD15'!M76</f>
        <v>1058902.6326590476</v>
      </c>
      <c r="N36" s="81">
        <f>'AD15'!N76</f>
        <v>307423.34496552992</v>
      </c>
      <c r="O36" s="81">
        <f>'AD15'!O76</f>
        <v>1366325.9776245775</v>
      </c>
      <c r="P36" s="81">
        <f>'AD15'!P76</f>
        <v>179202.63265904761</v>
      </c>
      <c r="Q36" s="81">
        <f>'AD15'!Q76</f>
        <v>307423.34496552998</v>
      </c>
      <c r="R36" s="81">
        <f>'AD15'!R76</f>
        <v>486625.97762457753</v>
      </c>
      <c r="S36" s="81">
        <f>'AD15'!S76</f>
        <v>3400.067589521736</v>
      </c>
      <c r="T36" s="87">
        <v>0</v>
      </c>
      <c r="U36" s="81">
        <f>'AD15'!U76</f>
        <v>3400.067589521736</v>
      </c>
      <c r="V36" s="81">
        <f>'AD15'!V76</f>
        <v>490026.04521409929</v>
      </c>
      <c r="W36" s="87">
        <v>36656.652499999997</v>
      </c>
    </row>
    <row r="37" spans="1:23">
      <c r="A37" s="6">
        <f t="shared" si="4"/>
        <v>2014</v>
      </c>
      <c r="B37" s="81"/>
      <c r="C37" s="81"/>
      <c r="D37" s="81"/>
      <c r="E37" s="81"/>
      <c r="F37" s="81"/>
      <c r="G37" s="81">
        <f>'AD15'!G77</f>
        <v>31742.017500000075</v>
      </c>
      <c r="H37" s="81">
        <f>'AD15'!H77</f>
        <v>155681.25</v>
      </c>
      <c r="I37" s="81">
        <f>'AD15'!I77</f>
        <v>-9618.75</v>
      </c>
      <c r="J37" s="81">
        <f>'AD15'!J77</f>
        <v>84431.25</v>
      </c>
      <c r="K37" s="81">
        <f>'AD15'!K77</f>
        <v>41360.767500000016</v>
      </c>
      <c r="L37" s="81">
        <f>'AD15'!L77</f>
        <v>71250</v>
      </c>
      <c r="M37" s="81">
        <f>'AD15'!M77</f>
        <v>985732.76512271143</v>
      </c>
      <c r="N37" s="81">
        <f>'AD15'!N77</f>
        <v>286180.48019691621</v>
      </c>
      <c r="O37" s="81">
        <f>'AD15'!O77</f>
        <v>1271913.2453196277</v>
      </c>
      <c r="P37" s="81">
        <f>'AD15'!P77</f>
        <v>1070164.0151227117</v>
      </c>
      <c r="Q37" s="81">
        <f>'AD15'!Q77</f>
        <v>357430.48019691627</v>
      </c>
      <c r="R37" s="81">
        <f>'AD15'!R77</f>
        <v>1427594.4953196277</v>
      </c>
      <c r="S37" s="81">
        <f>'AD15'!S77</f>
        <v>10053.153979152967</v>
      </c>
      <c r="T37" s="87">
        <v>1676.0281357729871</v>
      </c>
      <c r="U37" s="81">
        <f>'AD15'!U77</f>
        <v>10259.841399010424</v>
      </c>
      <c r="V37" s="81">
        <f>'AD15'!V77</f>
        <v>1437854.336718638</v>
      </c>
      <c r="W37" s="87">
        <v>44413.554499999998</v>
      </c>
    </row>
    <row r="38" spans="1:23">
      <c r="A38" s="6">
        <f t="shared" si="4"/>
        <v>2015</v>
      </c>
      <c r="B38" s="81"/>
      <c r="C38" s="81"/>
      <c r="D38" s="81"/>
      <c r="E38" s="81"/>
      <c r="F38" s="81"/>
      <c r="G38" s="81">
        <f>'AD15'!G78</f>
        <v>-196300.54900000244</v>
      </c>
      <c r="H38" s="81">
        <f>'AD15'!H78</f>
        <v>-196300.56899999827</v>
      </c>
      <c r="I38" s="81">
        <f>'AD15'!I78</f>
        <v>-265330.45900000259</v>
      </c>
      <c r="J38" s="81">
        <f>'AD15'!J78</f>
        <v>-265330.45900000259</v>
      </c>
      <c r="K38" s="81">
        <f>'AD15'!K78</f>
        <v>69029.910000000149</v>
      </c>
      <c r="L38" s="81">
        <f>'AD15'!L78</f>
        <v>69029.890000000596</v>
      </c>
      <c r="M38" s="81">
        <f>'AD15'!M78</f>
        <v>36016412.046465427</v>
      </c>
      <c r="N38" s="81">
        <f>'AD15'!N78</f>
        <v>10456377.690909315</v>
      </c>
      <c r="O38" s="81">
        <f>'AD15'!O78</f>
        <v>46472789.737374738</v>
      </c>
      <c r="P38" s="81">
        <f>'AD15'!P78</f>
        <v>35751081.58746542</v>
      </c>
      <c r="Q38" s="81">
        <f>'AD15'!Q78</f>
        <v>10525407.580909315</v>
      </c>
      <c r="R38" s="81">
        <f>'AD15'!R78</f>
        <v>46276489.168374732</v>
      </c>
      <c r="S38" s="81">
        <f>'AD15'!S78</f>
        <v>303397.85043256549</v>
      </c>
      <c r="T38" s="87">
        <v>21893.279085552698</v>
      </c>
      <c r="U38" s="81">
        <f>'AD15'!U78</f>
        <v>305930.70118025993</v>
      </c>
      <c r="V38" s="81">
        <f>'AD15'!V78</f>
        <v>46582419.869554989</v>
      </c>
      <c r="W38" s="87">
        <v>157686.92791530548</v>
      </c>
    </row>
    <row r="39" spans="1:23">
      <c r="A39" s="6">
        <f t="shared" si="4"/>
        <v>2016</v>
      </c>
      <c r="B39" s="81"/>
      <c r="C39" s="81"/>
      <c r="D39" s="81"/>
      <c r="E39" s="81"/>
      <c r="F39" s="81"/>
      <c r="G39" s="81">
        <f>'AD15'!G79</f>
        <v>6917249.8635</v>
      </c>
      <c r="H39" s="81">
        <f>'AD15'!H79</f>
        <v>8854726.0354999974</v>
      </c>
      <c r="I39" s="81">
        <f>'AD15'!I79</f>
        <v>5267014.2055000002</v>
      </c>
      <c r="J39" s="81">
        <f>'AD15'!J79</f>
        <v>7068214.2054999992</v>
      </c>
      <c r="K39" s="81">
        <f>'AD15'!K79</f>
        <v>1650235.6579999998</v>
      </c>
      <c r="L39" s="81">
        <f>'AD15'!L79</f>
        <v>1786511.83</v>
      </c>
      <c r="M39" s="81">
        <f>'AD15'!M79</f>
        <v>14024988.802728549</v>
      </c>
      <c r="N39" s="81">
        <f>'AD15'!N79</f>
        <v>4071770.9427276412</v>
      </c>
      <c r="O39" s="81">
        <f>'AD15'!O79</f>
        <v>18096759.745456189</v>
      </c>
      <c r="P39" s="81">
        <f>'AD15'!P79</f>
        <v>21093203.008228548</v>
      </c>
      <c r="Q39" s="81">
        <f>'AD15'!Q79</f>
        <v>5858282.7727276422</v>
      </c>
      <c r="R39" s="81">
        <f>'AD15'!R79</f>
        <v>26951485.78095619</v>
      </c>
      <c r="S39" s="81">
        <f>'AD15'!S79</f>
        <v>182292.19817987632</v>
      </c>
      <c r="T39" s="87">
        <v>152016.09941700334</v>
      </c>
      <c r="U39" s="81">
        <f>'AD15'!U79</f>
        <v>196472.83307449307</v>
      </c>
      <c r="V39" s="81">
        <f>'AD15'!V79</f>
        <v>27147958.614030682</v>
      </c>
      <c r="W39" s="87">
        <v>1828393.3653196448</v>
      </c>
    </row>
    <row r="40" spans="1:23">
      <c r="A40" s="6">
        <f t="shared" si="4"/>
        <v>2017</v>
      </c>
      <c r="B40" s="81"/>
      <c r="C40" s="81"/>
      <c r="D40" s="81"/>
      <c r="E40" s="81"/>
      <c r="F40" s="81"/>
      <c r="G40" s="81">
        <f>'AD15'!G80</f>
        <v>-2922606.7955000009</v>
      </c>
      <c r="H40" s="81">
        <f>'AD15'!H80</f>
        <v>-2062158.3115000054</v>
      </c>
      <c r="I40" s="81">
        <f>'AD15'!I80</f>
        <v>-3301814.4614999993</v>
      </c>
      <c r="J40" s="81">
        <f>'AD15'!J80</f>
        <v>-2670064.4615000002</v>
      </c>
      <c r="K40" s="81">
        <f>'AD15'!K80</f>
        <v>379207.66599999927</v>
      </c>
      <c r="L40" s="81">
        <f>'AD15'!L80</f>
        <v>607906.14999999851</v>
      </c>
      <c r="M40" s="81">
        <f>'AD15'!M80</f>
        <v>26765415.819328696</v>
      </c>
      <c r="N40" s="81">
        <f>'AD15'!N80</f>
        <v>7770604.5927083278</v>
      </c>
      <c r="O40" s="81">
        <f>'AD15'!O80</f>
        <v>34536020.412037022</v>
      </c>
      <c r="P40" s="81">
        <f>'AD15'!P80</f>
        <v>24095351.357828695</v>
      </c>
      <c r="Q40" s="81">
        <f>'AD15'!Q80</f>
        <v>8378510.7427083254</v>
      </c>
      <c r="R40" s="81">
        <f>'AD15'!R80</f>
        <v>32473862.100537017</v>
      </c>
      <c r="S40" s="81">
        <f>'AD15'!S80</f>
        <v>258288.97450262675</v>
      </c>
      <c r="T40" s="87">
        <v>146127.31833002696</v>
      </c>
      <c r="U40" s="81">
        <f>'AD15'!U80</f>
        <v>271679.92220366787</v>
      </c>
      <c r="V40" s="81">
        <f>'AD15'!V80</f>
        <v>32745542.022740684</v>
      </c>
      <c r="W40" s="87">
        <v>3869940.7497482584</v>
      </c>
    </row>
    <row r="41" spans="1:23">
      <c r="A41" s="6">
        <f t="shared" si="4"/>
        <v>2018</v>
      </c>
      <c r="B41" s="81"/>
      <c r="C41" s="81"/>
      <c r="D41" s="81"/>
      <c r="E41" s="81"/>
      <c r="F41" s="81"/>
      <c r="G41" s="81">
        <f>'AD15'!G81</f>
        <v>2303708.4165000003</v>
      </c>
      <c r="H41" s="81">
        <f>'AD15'!H81</f>
        <v>3193374.6040000021</v>
      </c>
      <c r="I41" s="81">
        <f>'AD15'!I81</f>
        <v>1619319.9539999999</v>
      </c>
      <c r="J41" s="81">
        <f>'AD15'!J81</f>
        <v>2462919.9539999999</v>
      </c>
      <c r="K41" s="81">
        <f>'AD15'!K81</f>
        <v>684388.46250000037</v>
      </c>
      <c r="L41" s="81">
        <f>'AD15'!L81</f>
        <v>730454.65000000037</v>
      </c>
      <c r="M41" s="81">
        <f>'AD15'!M81</f>
        <v>19024063.831125993</v>
      </c>
      <c r="N41" s="81">
        <f>'AD15'!N81</f>
        <v>5523115.305810771</v>
      </c>
      <c r="O41" s="81">
        <f>'AD15'!O81</f>
        <v>24547179.136936765</v>
      </c>
      <c r="P41" s="81">
        <f>'AD15'!P81</f>
        <v>21486983.785125993</v>
      </c>
      <c r="Q41" s="81">
        <f>'AD15'!Q81</f>
        <v>6253569.9558107704</v>
      </c>
      <c r="R41" s="81">
        <f>'AD15'!R81</f>
        <v>27740553.740936764</v>
      </c>
      <c r="S41" s="81">
        <f>'AD15'!S81</f>
        <v>220150.18753040119</v>
      </c>
      <c r="T41" s="87">
        <v>239486.56049004098</v>
      </c>
      <c r="U41" s="81">
        <f>'AD15'!U81</f>
        <v>238278.95127064604</v>
      </c>
      <c r="V41" s="81">
        <f>'AD15'!V81</f>
        <v>27978832.692207411</v>
      </c>
      <c r="W41" s="87">
        <v>3830866.563736368</v>
      </c>
    </row>
    <row r="42" spans="1:23">
      <c r="A42" s="6">
        <f t="shared" si="4"/>
        <v>2019</v>
      </c>
      <c r="B42" s="81"/>
      <c r="C42" s="81"/>
      <c r="D42" s="81"/>
      <c r="E42" s="81"/>
      <c r="F42" s="81"/>
      <c r="G42" s="81">
        <f>'AD15'!G82</f>
        <v>2100518.0104999999</v>
      </c>
      <c r="H42" s="81">
        <f>'AD15'!H82</f>
        <v>2401432.4895000001</v>
      </c>
      <c r="I42" s="81">
        <f>'AD15'!I82</f>
        <v>1949893.0595</v>
      </c>
      <c r="J42" s="81">
        <f>'AD15'!J82</f>
        <v>2214943.0595</v>
      </c>
      <c r="K42" s="81">
        <f>'AD15'!K82</f>
        <v>150624.951</v>
      </c>
      <c r="L42" s="81">
        <f>'AD15'!L82</f>
        <v>186489.43000000005</v>
      </c>
      <c r="M42" s="81">
        <f>'AD15'!M82</f>
        <v>779615.70254947315</v>
      </c>
      <c r="N42" s="81">
        <f>'AD15'!N82</f>
        <v>226340.04267565347</v>
      </c>
      <c r="O42" s="81">
        <f>'AD15'!O82</f>
        <v>1005955.7452251266</v>
      </c>
      <c r="P42" s="81">
        <f>'AD15'!P82</f>
        <v>2994558.7620494729</v>
      </c>
      <c r="Q42" s="81">
        <f>'AD15'!Q82</f>
        <v>412829.47267565341</v>
      </c>
      <c r="R42" s="81">
        <f>'AD15'!R82</f>
        <v>3407388.2347251261</v>
      </c>
      <c r="S42" s="81">
        <f>'AD15'!S82</f>
        <v>40508.853742469211</v>
      </c>
      <c r="T42" s="87">
        <v>134008.26694074771</v>
      </c>
      <c r="U42" s="81">
        <f>'AD15'!U82</f>
        <v>55735.277935179976</v>
      </c>
      <c r="V42" s="81">
        <f>'AD15'!V82</f>
        <v>3463123.5126603059</v>
      </c>
      <c r="W42" s="87">
        <v>3927772.6041098251</v>
      </c>
    </row>
    <row r="43" spans="1:23">
      <c r="A43" s="6">
        <f t="shared" si="4"/>
        <v>2020</v>
      </c>
      <c r="B43" s="81"/>
      <c r="C43" s="81"/>
      <c r="D43" s="81"/>
      <c r="E43" s="81"/>
      <c r="F43" s="81"/>
      <c r="G43" s="81">
        <f>'AD15'!G83</f>
        <v>-127110</v>
      </c>
      <c r="H43" s="81">
        <f>'AD15'!H83</f>
        <v>-122012.01</v>
      </c>
      <c r="I43" s="81">
        <f>'AD15'!I83</f>
        <v>-136325</v>
      </c>
      <c r="J43" s="81">
        <f>'AD15'!J83</f>
        <v>-136325</v>
      </c>
      <c r="K43" s="81">
        <f>'AD15'!K83</f>
        <v>9215</v>
      </c>
      <c r="L43" s="81">
        <f>'AD15'!L83</f>
        <v>14312.990000000005</v>
      </c>
      <c r="M43" s="81">
        <f>'AD15'!M83</f>
        <v>3140375.0259312987</v>
      </c>
      <c r="N43" s="81">
        <f>'AD15'!N83</f>
        <v>911721.78172198986</v>
      </c>
      <c r="O43" s="81">
        <f>'AD15'!O83</f>
        <v>4052096.8076532888</v>
      </c>
      <c r="P43" s="81">
        <f>'AD15'!P83</f>
        <v>3004050.0259312987</v>
      </c>
      <c r="Q43" s="81">
        <f>'AD15'!Q83</f>
        <v>926034.77172198985</v>
      </c>
      <c r="R43" s="81">
        <f>'AD15'!R83</f>
        <v>3930084.7976532886</v>
      </c>
      <c r="S43" s="81">
        <f>'AD15'!S83</f>
        <v>54857.723859734186</v>
      </c>
      <c r="T43" s="87">
        <v>575.41497767183102</v>
      </c>
      <c r="U43" s="81">
        <f>'AD15'!U83</f>
        <v>54866.818461457544</v>
      </c>
      <c r="V43" s="81">
        <f>'AD15'!V83</f>
        <v>3984951.6161147463</v>
      </c>
      <c r="W43" s="87">
        <v>1403349.2877600077</v>
      </c>
    </row>
    <row r="44" spans="1:23">
      <c r="A44" s="6"/>
      <c r="B44" s="81"/>
      <c r="C44" s="17"/>
      <c r="D44" s="81"/>
      <c r="E44" s="81"/>
      <c r="F44" s="81"/>
      <c r="G44" s="81">
        <f>'AD15'!G84</f>
        <v>0</v>
      </c>
      <c r="H44" s="81">
        <f>'AD15'!H84</f>
        <v>0</v>
      </c>
      <c r="I44" s="81">
        <f>'AD15'!I84</f>
        <v>0</v>
      </c>
      <c r="J44" s="81">
        <f>'AD15'!J84</f>
        <v>0</v>
      </c>
      <c r="K44" s="81">
        <f>'AD15'!K84</f>
        <v>0</v>
      </c>
      <c r="L44" s="81">
        <f>'AD15'!L84</f>
        <v>0</v>
      </c>
      <c r="M44" s="81">
        <f>'AD15'!M84</f>
        <v>0</v>
      </c>
      <c r="N44" s="81">
        <f>'AD15'!N84</f>
        <v>0</v>
      </c>
      <c r="O44" s="81">
        <f>'AD15'!O84</f>
        <v>0</v>
      </c>
      <c r="P44" s="81">
        <f>'AD15'!P84</f>
        <v>0</v>
      </c>
      <c r="Q44" s="81">
        <f>'AD15'!Q84</f>
        <v>0</v>
      </c>
      <c r="R44" s="81">
        <f>'AD15'!R84</f>
        <v>0</v>
      </c>
      <c r="S44" s="81">
        <f>'AD15'!S84</f>
        <v>0</v>
      </c>
      <c r="T44" s="87">
        <v>0</v>
      </c>
      <c r="U44" s="81">
        <f>'AD15'!U84</f>
        <v>0</v>
      </c>
      <c r="V44" s="81">
        <f>'AD15'!V84</f>
        <v>0</v>
      </c>
      <c r="W44" s="87"/>
    </row>
    <row r="45" spans="1:23">
      <c r="A45" s="6" t="s">
        <v>0</v>
      </c>
      <c r="B45" s="82">
        <f>SUM(B15:B43)</f>
        <v>0</v>
      </c>
      <c r="C45" s="82">
        <f>SUM(C15:C43)</f>
        <v>0</v>
      </c>
      <c r="D45" s="82">
        <f t="shared" ref="D45:R45" si="5">SUM(D15:D43)</f>
        <v>0</v>
      </c>
      <c r="E45" s="82">
        <f t="shared" si="5"/>
        <v>0</v>
      </c>
      <c r="F45" s="82">
        <f t="shared" si="5"/>
        <v>0</v>
      </c>
      <c r="G45" s="82">
        <f t="shared" si="5"/>
        <v>7227500.9634999968</v>
      </c>
      <c r="H45" s="82">
        <f t="shared" si="5"/>
        <v>11345043.488499997</v>
      </c>
      <c r="I45" s="82">
        <f t="shared" si="5"/>
        <v>4243438.5484999977</v>
      </c>
      <c r="J45" s="82">
        <f t="shared" si="5"/>
        <v>7879088.5484999958</v>
      </c>
      <c r="K45" s="82">
        <f t="shared" si="5"/>
        <v>2984062.4149999996</v>
      </c>
      <c r="L45" s="82">
        <f t="shared" si="5"/>
        <v>3465954.94</v>
      </c>
      <c r="M45" s="82">
        <f t="shared" si="5"/>
        <v>101800669.62591119</v>
      </c>
      <c r="N45" s="82">
        <f t="shared" si="5"/>
        <v>29553534.181716148</v>
      </c>
      <c r="O45" s="82">
        <f t="shared" si="5"/>
        <v>131354203.80762735</v>
      </c>
      <c r="P45" s="82">
        <f t="shared" si="5"/>
        <v>109678596.4994112</v>
      </c>
      <c r="Q45" s="82">
        <f t="shared" si="5"/>
        <v>33020650.796716142</v>
      </c>
      <c r="R45" s="82">
        <f t="shared" si="5"/>
        <v>142699247.29612732</v>
      </c>
      <c r="S45" s="82">
        <f>'Exhibit B,3'!AK72</f>
        <v>1072995.3870839826</v>
      </c>
      <c r="T45" s="82">
        <f>SUM(T15:T43)</f>
        <v>695782.96737681644</v>
      </c>
      <c r="U45" s="82">
        <f>SUM(U15:U43)</f>
        <v>1136670.7903818714</v>
      </c>
      <c r="V45" s="82">
        <f>SUM(V15:V43)</f>
        <v>143835918.0865092</v>
      </c>
      <c r="W45" s="90">
        <v>15099079.70558941</v>
      </c>
    </row>
    <row r="46" spans="1:23">
      <c r="A46" s="6"/>
      <c r="B46" s="6"/>
      <c r="C46" s="6"/>
      <c r="D46" s="6"/>
      <c r="E46" s="6"/>
      <c r="F46" s="6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7"/>
    </row>
    <row r="47" spans="1:23">
      <c r="A47" s="6"/>
      <c r="B47" s="6"/>
      <c r="C47" s="6"/>
      <c r="D47" s="6"/>
      <c r="E47" s="6"/>
      <c r="F47" s="6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7"/>
    </row>
    <row r="48" spans="1:23">
      <c r="A48" s="6"/>
      <c r="B48" s="6"/>
      <c r="C48" s="6"/>
      <c r="D48" s="6"/>
      <c r="E48" s="6"/>
      <c r="F48" s="6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7"/>
    </row>
    <row r="49" spans="1:23">
      <c r="A49" s="6" t="s">
        <v>13</v>
      </c>
      <c r="B49" s="6" t="s">
        <v>682</v>
      </c>
      <c r="C49" s="6" t="s">
        <v>682</v>
      </c>
      <c r="D49" s="6" t="s">
        <v>682</v>
      </c>
      <c r="E49" s="6" t="s">
        <v>682</v>
      </c>
      <c r="F49" s="6" t="s">
        <v>682</v>
      </c>
      <c r="G49" s="6" t="s">
        <v>682</v>
      </c>
      <c r="H49" s="6" t="s">
        <v>682</v>
      </c>
      <c r="I49" s="6" t="s">
        <v>682</v>
      </c>
      <c r="J49" s="6" t="s">
        <v>682</v>
      </c>
      <c r="K49" s="6" t="s">
        <v>682</v>
      </c>
      <c r="L49" s="6" t="s">
        <v>682</v>
      </c>
      <c r="M49" s="6" t="s">
        <v>682</v>
      </c>
      <c r="N49" s="6" t="s">
        <v>682</v>
      </c>
      <c r="O49" s="6" t="s">
        <v>682</v>
      </c>
      <c r="P49" s="6" t="s">
        <v>682</v>
      </c>
      <c r="Q49" s="6" t="s">
        <v>682</v>
      </c>
      <c r="R49" s="6" t="s">
        <v>682</v>
      </c>
      <c r="S49" s="81"/>
      <c r="T49" s="81"/>
      <c r="U49" s="81"/>
      <c r="V49" s="81"/>
      <c r="W49" s="6" t="s">
        <v>682</v>
      </c>
    </row>
    <row r="50" spans="1:23">
      <c r="A50" s="6"/>
      <c r="B50" s="27" t="s">
        <v>665</v>
      </c>
      <c r="C50" s="27" t="s">
        <v>666</v>
      </c>
      <c r="D50" s="27" t="s">
        <v>667</v>
      </c>
      <c r="E50" s="27" t="s">
        <v>665</v>
      </c>
      <c r="F50" s="27" t="s">
        <v>673</v>
      </c>
      <c r="G50" s="17"/>
      <c r="H50" s="81"/>
      <c r="I50" s="81"/>
      <c r="J50" s="81"/>
      <c r="K50" s="81"/>
      <c r="L50" s="81"/>
      <c r="M50" s="17"/>
      <c r="N50" s="83">
        <v>0.05</v>
      </c>
      <c r="O50" s="81"/>
      <c r="P50" s="81"/>
      <c r="Q50" s="81"/>
      <c r="R50" s="81" t="s">
        <v>67</v>
      </c>
      <c r="S50" s="6"/>
      <c r="T50" s="6"/>
      <c r="U50" s="6"/>
      <c r="V50" s="6" t="s">
        <v>67</v>
      </c>
      <c r="W50" s="87"/>
    </row>
    <row r="51" spans="1:23">
      <c r="A51" s="6" t="s">
        <v>3</v>
      </c>
      <c r="B51" s="27" t="s">
        <v>524</v>
      </c>
      <c r="C51" s="27" t="s">
        <v>524</v>
      </c>
      <c r="D51" s="27" t="s">
        <v>524</v>
      </c>
      <c r="E51" s="27" t="s">
        <v>528</v>
      </c>
      <c r="F51" s="27" t="s">
        <v>528</v>
      </c>
      <c r="G51" s="81" t="s">
        <v>14</v>
      </c>
      <c r="H51" s="81" t="s">
        <v>12</v>
      </c>
      <c r="I51" s="81" t="s">
        <v>14</v>
      </c>
      <c r="J51" s="81" t="s">
        <v>12</v>
      </c>
      <c r="K51" s="81" t="s">
        <v>14</v>
      </c>
      <c r="L51" s="81" t="s">
        <v>12</v>
      </c>
      <c r="M51" s="81" t="s">
        <v>381</v>
      </c>
      <c r="N51" s="81" t="s">
        <v>381</v>
      </c>
      <c r="O51" s="81" t="s">
        <v>381</v>
      </c>
      <c r="P51" s="81" t="s">
        <v>660</v>
      </c>
      <c r="Q51" s="81" t="s">
        <v>67</v>
      </c>
      <c r="R51" s="81" t="s">
        <v>662</v>
      </c>
      <c r="S51" s="6" t="s">
        <v>661</v>
      </c>
      <c r="T51" s="6" t="s">
        <v>661</v>
      </c>
      <c r="U51" s="6" t="s">
        <v>67</v>
      </c>
      <c r="V51" s="6" t="s">
        <v>663</v>
      </c>
      <c r="W51" s="6" t="s">
        <v>177</v>
      </c>
    </row>
    <row r="52" spans="1:23">
      <c r="A52" s="6" t="s">
        <v>4</v>
      </c>
      <c r="B52" s="28" t="s">
        <v>668</v>
      </c>
      <c r="C52" s="28" t="s">
        <v>669</v>
      </c>
      <c r="D52" s="28" t="s">
        <v>670</v>
      </c>
      <c r="E52" s="28" t="s">
        <v>668</v>
      </c>
      <c r="F52" s="28" t="s">
        <v>670</v>
      </c>
      <c r="G52" s="81" t="s">
        <v>0</v>
      </c>
      <c r="H52" s="81" t="s">
        <v>0</v>
      </c>
      <c r="I52" s="81" t="s">
        <v>566</v>
      </c>
      <c r="J52" s="81" t="s">
        <v>566</v>
      </c>
      <c r="K52" s="81" t="s">
        <v>567</v>
      </c>
      <c r="L52" s="81" t="s">
        <v>567</v>
      </c>
      <c r="M52" s="81" t="s">
        <v>566</v>
      </c>
      <c r="N52" s="81" t="s">
        <v>567</v>
      </c>
      <c r="O52" s="81" t="s">
        <v>0</v>
      </c>
      <c r="P52" s="81" t="s">
        <v>566</v>
      </c>
      <c r="Q52" s="81" t="s">
        <v>567</v>
      </c>
      <c r="R52" s="81" t="s">
        <v>0</v>
      </c>
      <c r="S52" s="6" t="s">
        <v>117</v>
      </c>
      <c r="T52" s="6" t="s">
        <v>14</v>
      </c>
      <c r="U52" s="6" t="s">
        <v>661</v>
      </c>
      <c r="V52" s="6" t="s">
        <v>0</v>
      </c>
      <c r="W52" s="6" t="s">
        <v>16</v>
      </c>
    </row>
    <row r="53" spans="1:23">
      <c r="A53" s="10">
        <v>-1</v>
      </c>
      <c r="B53" s="10">
        <f>A53-1</f>
        <v>-2</v>
      </c>
      <c r="C53" s="10">
        <f>B53-1</f>
        <v>-3</v>
      </c>
      <c r="D53" s="10">
        <f t="shared" ref="D53:L53" si="6">C53-1</f>
        <v>-4</v>
      </c>
      <c r="E53" s="10">
        <f t="shared" si="6"/>
        <v>-5</v>
      </c>
      <c r="F53" s="10">
        <f t="shared" si="6"/>
        <v>-6</v>
      </c>
      <c r="G53" s="10">
        <f t="shared" si="6"/>
        <v>-7</v>
      </c>
      <c r="H53" s="10">
        <f t="shared" si="6"/>
        <v>-8</v>
      </c>
      <c r="I53" s="10">
        <f t="shared" si="6"/>
        <v>-9</v>
      </c>
      <c r="J53" s="10">
        <f t="shared" si="6"/>
        <v>-10</v>
      </c>
      <c r="K53" s="10">
        <f t="shared" si="6"/>
        <v>-11</v>
      </c>
      <c r="L53" s="10">
        <f t="shared" si="6"/>
        <v>-12</v>
      </c>
      <c r="M53" s="10">
        <f>L53-1</f>
        <v>-13</v>
      </c>
      <c r="N53" s="10">
        <f t="shared" ref="N53:V53" si="7">M53-1</f>
        <v>-14</v>
      </c>
      <c r="O53" s="10">
        <f t="shared" si="7"/>
        <v>-15</v>
      </c>
      <c r="P53" s="10">
        <f t="shared" si="7"/>
        <v>-16</v>
      </c>
      <c r="Q53" s="10">
        <f t="shared" si="7"/>
        <v>-17</v>
      </c>
      <c r="R53" s="10">
        <f t="shared" si="7"/>
        <v>-18</v>
      </c>
      <c r="S53" s="10">
        <f t="shared" si="7"/>
        <v>-19</v>
      </c>
      <c r="T53" s="10">
        <f t="shared" si="7"/>
        <v>-20</v>
      </c>
      <c r="U53" s="10">
        <f t="shared" si="7"/>
        <v>-21</v>
      </c>
      <c r="V53" s="10">
        <f t="shared" si="7"/>
        <v>-22</v>
      </c>
      <c r="W53" s="10">
        <v>-23</v>
      </c>
    </row>
    <row r="54" spans="1:23">
      <c r="A54" s="80"/>
      <c r="B54" s="6"/>
      <c r="C54" s="6"/>
      <c r="D54" s="6"/>
      <c r="E54" s="6"/>
      <c r="F54" s="6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6"/>
      <c r="T54" s="6"/>
      <c r="U54" s="6"/>
      <c r="V54" s="6"/>
      <c r="W54" s="87"/>
    </row>
    <row r="55" spans="1:23">
      <c r="A55" s="6">
        <v>1992</v>
      </c>
      <c r="B55" s="2"/>
      <c r="C55" s="6"/>
      <c r="D55" s="6"/>
      <c r="E55" s="6"/>
      <c r="F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81"/>
      <c r="T55" s="81"/>
      <c r="U55" s="81">
        <f>S55+T55</f>
        <v>0</v>
      </c>
      <c r="V55" s="81">
        <f>R55+U55</f>
        <v>0</v>
      </c>
      <c r="W55" s="6"/>
    </row>
    <row r="56" spans="1:23">
      <c r="A56" s="6">
        <f>A55+1</f>
        <v>1993</v>
      </c>
      <c r="B56" s="6"/>
      <c r="C56" s="6"/>
      <c r="D56" s="6"/>
      <c r="E56" s="6"/>
      <c r="F56" s="6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>
        <f t="shared" ref="U56:U84" si="8">S56+T56</f>
        <v>0</v>
      </c>
      <c r="V56" s="81">
        <f t="shared" ref="V56:V84" si="9">R56+U56</f>
        <v>0</v>
      </c>
      <c r="W56" s="87"/>
    </row>
    <row r="57" spans="1:23">
      <c r="A57" s="6">
        <f t="shared" ref="A57:A83" si="10">A56+1</f>
        <v>1994</v>
      </c>
      <c r="B57" s="6"/>
      <c r="C57" s="6"/>
      <c r="D57" s="6"/>
      <c r="E57" s="6"/>
      <c r="F57" s="6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>
        <f t="shared" si="8"/>
        <v>0</v>
      </c>
      <c r="V57" s="81">
        <f t="shared" si="9"/>
        <v>0</v>
      </c>
      <c r="W57" s="87"/>
    </row>
    <row r="58" spans="1:23">
      <c r="A58" s="6">
        <f t="shared" si="10"/>
        <v>1995</v>
      </c>
      <c r="B58" s="6"/>
      <c r="C58" s="6"/>
      <c r="D58" s="6"/>
      <c r="E58" s="6"/>
      <c r="F58" s="6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>
        <f t="shared" si="8"/>
        <v>0</v>
      </c>
      <c r="V58" s="81">
        <f t="shared" si="9"/>
        <v>0</v>
      </c>
      <c r="W58" s="87"/>
    </row>
    <row r="59" spans="1:23">
      <c r="A59" s="6">
        <f t="shared" si="10"/>
        <v>1996</v>
      </c>
      <c r="B59" s="6"/>
      <c r="C59" s="6"/>
      <c r="D59" s="6"/>
      <c r="E59" s="6"/>
      <c r="F59" s="6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>
        <f t="shared" si="8"/>
        <v>0</v>
      </c>
      <c r="V59" s="81">
        <f t="shared" si="9"/>
        <v>0</v>
      </c>
      <c r="W59" s="87"/>
    </row>
    <row r="60" spans="1:23">
      <c r="A60" s="6">
        <f t="shared" si="10"/>
        <v>1997</v>
      </c>
      <c r="B60" s="6"/>
      <c r="C60" s="6"/>
      <c r="D60" s="6"/>
      <c r="E60" s="6"/>
      <c r="F60" s="6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>
        <f t="shared" si="8"/>
        <v>0</v>
      </c>
      <c r="V60" s="81">
        <f t="shared" si="9"/>
        <v>0</v>
      </c>
      <c r="W60" s="87"/>
    </row>
    <row r="61" spans="1:23">
      <c r="A61" s="6">
        <f t="shared" si="10"/>
        <v>1998</v>
      </c>
      <c r="B61" s="6"/>
      <c r="C61" s="6"/>
      <c r="D61" s="6"/>
      <c r="E61" s="6"/>
      <c r="F61" s="6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>
        <f t="shared" si="8"/>
        <v>0</v>
      </c>
      <c r="V61" s="81">
        <f t="shared" si="9"/>
        <v>0</v>
      </c>
      <c r="W61" s="87"/>
    </row>
    <row r="62" spans="1:23">
      <c r="A62" s="6">
        <f t="shared" si="10"/>
        <v>1999</v>
      </c>
      <c r="B62" s="6"/>
      <c r="C62" s="6"/>
      <c r="D62" s="6"/>
      <c r="E62" s="6"/>
      <c r="F62" s="6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>
        <f t="shared" si="8"/>
        <v>0</v>
      </c>
      <c r="V62" s="81">
        <f t="shared" si="9"/>
        <v>0</v>
      </c>
      <c r="W62" s="87"/>
    </row>
    <row r="63" spans="1:23">
      <c r="A63" s="6">
        <f t="shared" si="10"/>
        <v>2000</v>
      </c>
      <c r="B63" s="6"/>
      <c r="C63" s="6"/>
      <c r="D63" s="6"/>
      <c r="E63" s="6"/>
      <c r="F63" s="6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>
        <f t="shared" si="8"/>
        <v>0</v>
      </c>
      <c r="V63" s="81">
        <f t="shared" si="9"/>
        <v>0</v>
      </c>
      <c r="W63" s="87"/>
    </row>
    <row r="64" spans="1:23">
      <c r="A64" s="6">
        <f t="shared" si="10"/>
        <v>2001</v>
      </c>
      <c r="B64" s="6"/>
      <c r="C64" s="6"/>
      <c r="D64" s="6"/>
      <c r="E64" s="6"/>
      <c r="F64" s="6"/>
      <c r="G64" s="81"/>
      <c r="H64" s="81"/>
      <c r="I64" s="81"/>
      <c r="J64" s="81"/>
      <c r="K64" s="81"/>
      <c r="L64" s="81"/>
      <c r="M64" s="81"/>
      <c r="N64" s="101"/>
      <c r="O64" s="101"/>
      <c r="P64" s="81"/>
      <c r="Q64" s="81"/>
      <c r="R64" s="81"/>
      <c r="S64" s="81"/>
      <c r="T64" s="81"/>
      <c r="U64" s="81">
        <f t="shared" si="8"/>
        <v>0</v>
      </c>
      <c r="V64" s="81">
        <f t="shared" si="9"/>
        <v>0</v>
      </c>
      <c r="W64" s="87"/>
    </row>
    <row r="65" spans="1:23">
      <c r="A65" s="6">
        <f t="shared" si="10"/>
        <v>2002</v>
      </c>
      <c r="B65" s="6"/>
      <c r="C65" s="6"/>
      <c r="D65" s="6"/>
      <c r="E65" s="6"/>
      <c r="F65" s="6"/>
      <c r="G65" s="81"/>
      <c r="H65" s="81"/>
      <c r="I65" s="81"/>
      <c r="J65" s="81"/>
      <c r="K65" s="81"/>
      <c r="L65" s="81"/>
      <c r="M65" s="81"/>
      <c r="N65" s="101"/>
      <c r="O65" s="81"/>
      <c r="P65" s="81"/>
      <c r="Q65" s="81"/>
      <c r="R65" s="81"/>
      <c r="S65" s="81"/>
      <c r="T65" s="81"/>
      <c r="U65" s="81">
        <f t="shared" si="8"/>
        <v>0</v>
      </c>
      <c r="V65" s="81">
        <f t="shared" si="9"/>
        <v>0</v>
      </c>
      <c r="W65" s="87"/>
    </row>
    <row r="66" spans="1:23">
      <c r="A66" s="6">
        <f t="shared" si="10"/>
        <v>2003</v>
      </c>
      <c r="B66" s="6"/>
      <c r="C66" s="6"/>
      <c r="D66" s="6"/>
      <c r="E66" s="6"/>
      <c r="F66" s="6"/>
      <c r="G66" s="81"/>
      <c r="H66" s="81"/>
      <c r="I66" s="81"/>
      <c r="J66" s="81"/>
      <c r="K66" s="81"/>
      <c r="L66" s="81"/>
      <c r="M66" s="81"/>
      <c r="N66" s="101"/>
      <c r="O66" s="101"/>
      <c r="P66" s="81"/>
      <c r="Q66" s="81"/>
      <c r="R66" s="81"/>
      <c r="S66" s="81"/>
      <c r="T66" s="81"/>
      <c r="U66" s="81">
        <f t="shared" si="8"/>
        <v>0</v>
      </c>
      <c r="V66" s="81">
        <f t="shared" si="9"/>
        <v>0</v>
      </c>
      <c r="W66" s="87"/>
    </row>
    <row r="67" spans="1:23">
      <c r="A67" s="6">
        <f t="shared" si="10"/>
        <v>2004</v>
      </c>
      <c r="B67" s="6"/>
      <c r="C67" s="6"/>
      <c r="D67" s="6"/>
      <c r="E67" s="6"/>
      <c r="F67" s="6"/>
      <c r="G67" s="81"/>
      <c r="H67" s="81"/>
      <c r="I67" s="81"/>
      <c r="J67" s="81"/>
      <c r="K67" s="81"/>
      <c r="L67" s="81"/>
      <c r="M67" s="81"/>
      <c r="N67" s="101"/>
      <c r="O67" s="81"/>
      <c r="P67" s="81"/>
      <c r="Q67" s="81"/>
      <c r="R67" s="81"/>
      <c r="S67" s="81"/>
      <c r="T67" s="81"/>
      <c r="U67" s="81">
        <f t="shared" si="8"/>
        <v>0</v>
      </c>
      <c r="V67" s="81">
        <f t="shared" si="9"/>
        <v>0</v>
      </c>
      <c r="W67" s="87"/>
    </row>
    <row r="68" spans="1:23">
      <c r="A68" s="6">
        <f t="shared" si="10"/>
        <v>2005</v>
      </c>
      <c r="B68" s="6"/>
      <c r="C68" s="6"/>
      <c r="D68" s="6"/>
      <c r="E68" s="6"/>
      <c r="F68" s="6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>
        <f t="shared" si="8"/>
        <v>0</v>
      </c>
      <c r="V68" s="81">
        <f t="shared" si="9"/>
        <v>0</v>
      </c>
      <c r="W68" s="87"/>
    </row>
    <row r="69" spans="1:23">
      <c r="A69" s="6">
        <f t="shared" si="10"/>
        <v>2006</v>
      </c>
      <c r="B69" s="6"/>
      <c r="C69" s="6"/>
      <c r="D69" s="6"/>
      <c r="E69" s="6"/>
      <c r="F69" s="6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>
        <f t="shared" si="8"/>
        <v>0</v>
      </c>
      <c r="V69" s="81">
        <f t="shared" si="9"/>
        <v>0</v>
      </c>
      <c r="W69" s="87"/>
    </row>
    <row r="70" spans="1:23">
      <c r="A70" s="6">
        <f t="shared" si="10"/>
        <v>2007</v>
      </c>
      <c r="B70" s="6"/>
      <c r="C70" s="6"/>
      <c r="D70" s="6"/>
      <c r="E70" s="6"/>
      <c r="F70" s="6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>
        <f t="shared" si="8"/>
        <v>0</v>
      </c>
      <c r="V70" s="81">
        <f t="shared" si="9"/>
        <v>0</v>
      </c>
      <c r="W70" s="87"/>
    </row>
    <row r="71" spans="1:23">
      <c r="A71" s="6">
        <f t="shared" si="10"/>
        <v>2008</v>
      </c>
      <c r="B71" s="6"/>
      <c r="C71" s="6"/>
      <c r="D71" s="6"/>
      <c r="E71" s="6"/>
      <c r="F71" s="6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>
        <f t="shared" si="8"/>
        <v>0</v>
      </c>
      <c r="V71" s="81">
        <f t="shared" si="9"/>
        <v>0</v>
      </c>
      <c r="W71" s="87"/>
    </row>
    <row r="72" spans="1:23">
      <c r="A72" s="6">
        <f t="shared" si="10"/>
        <v>2009</v>
      </c>
      <c r="B72" s="6"/>
      <c r="C72" s="6"/>
      <c r="D72" s="6"/>
      <c r="E72" s="6"/>
      <c r="F72" s="6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>
        <f t="shared" si="8"/>
        <v>0</v>
      </c>
      <c r="V72" s="81">
        <f t="shared" si="9"/>
        <v>0</v>
      </c>
      <c r="W72" s="87"/>
    </row>
    <row r="73" spans="1:23">
      <c r="A73" s="6">
        <f t="shared" si="10"/>
        <v>2010</v>
      </c>
      <c r="B73" s="95"/>
      <c r="C73" s="95"/>
      <c r="D73" s="95"/>
      <c r="E73" s="95"/>
      <c r="F73" s="95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>
        <f t="shared" si="8"/>
        <v>0</v>
      </c>
      <c r="V73" s="81">
        <f t="shared" si="9"/>
        <v>0</v>
      </c>
      <c r="W73" s="87"/>
    </row>
    <row r="74" spans="1:23">
      <c r="A74" s="6">
        <f t="shared" si="10"/>
        <v>2011</v>
      </c>
      <c r="B74" s="95"/>
      <c r="C74" s="95"/>
      <c r="D74" s="95"/>
      <c r="E74" s="95"/>
      <c r="F74" s="95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>
        <f t="shared" si="8"/>
        <v>0</v>
      </c>
      <c r="V74" s="81">
        <f t="shared" si="9"/>
        <v>0</v>
      </c>
      <c r="W74" s="87">
        <v>0</v>
      </c>
    </row>
    <row r="75" spans="1:23">
      <c r="A75" s="6">
        <f t="shared" si="10"/>
        <v>2012</v>
      </c>
      <c r="B75" s="95"/>
      <c r="C75" s="95"/>
      <c r="D75" s="95"/>
      <c r="E75" s="95"/>
      <c r="F75" s="95"/>
      <c r="G75" s="81">
        <f t="shared" ref="G75:G83" si="11">B75+C75+E75</f>
        <v>0</v>
      </c>
      <c r="H75" s="81">
        <f t="shared" ref="H75:H83" si="12">G75+D75+F75</f>
        <v>0</v>
      </c>
      <c r="I75" s="81">
        <f t="shared" ref="I75:I83" si="13">B75+C75</f>
        <v>0</v>
      </c>
      <c r="J75" s="81">
        <f t="shared" ref="J75:J83" si="14">I75+D75</f>
        <v>0</v>
      </c>
      <c r="K75" s="81">
        <f t="shared" ref="K75:K83" si="15">E75</f>
        <v>0</v>
      </c>
      <c r="L75" s="81">
        <f>E75+F75</f>
        <v>0</v>
      </c>
      <c r="M75" s="81">
        <f t="shared" ref="M75:M83" si="16">O75-N75</f>
        <v>4904.8500000000004</v>
      </c>
      <c r="N75" s="81">
        <f t="shared" ref="N75:N83" si="17">N$50*O75</f>
        <v>258.15000000000003</v>
      </c>
      <c r="O75" s="101">
        <f>O35-O115</f>
        <v>5163</v>
      </c>
      <c r="P75" s="81">
        <f>J75+M75</f>
        <v>4904.8500000000004</v>
      </c>
      <c r="Q75" s="81">
        <f>L75+N75</f>
        <v>258.15000000000003</v>
      </c>
      <c r="R75" s="81">
        <f>P75+Q75</f>
        <v>5163</v>
      </c>
      <c r="S75" s="81"/>
      <c r="T75" s="81"/>
      <c r="U75" s="81">
        <f t="shared" si="8"/>
        <v>0</v>
      </c>
      <c r="V75" s="81">
        <f t="shared" si="9"/>
        <v>5163</v>
      </c>
      <c r="W75" s="87">
        <v>0</v>
      </c>
    </row>
    <row r="76" spans="1:23">
      <c r="A76" s="6">
        <f t="shared" si="10"/>
        <v>2013</v>
      </c>
      <c r="B76" s="95"/>
      <c r="C76" s="95"/>
      <c r="D76" s="95"/>
      <c r="E76" s="95"/>
      <c r="F76" s="95"/>
      <c r="G76" s="81">
        <f t="shared" si="11"/>
        <v>0</v>
      </c>
      <c r="H76" s="81">
        <f t="shared" si="12"/>
        <v>0</v>
      </c>
      <c r="I76" s="81">
        <f t="shared" si="13"/>
        <v>0</v>
      </c>
      <c r="J76" s="81">
        <f t="shared" si="14"/>
        <v>0</v>
      </c>
      <c r="K76" s="81">
        <f t="shared" si="15"/>
        <v>0</v>
      </c>
      <c r="L76" s="81">
        <f t="shared" ref="L76:L83" si="18">K76+F76</f>
        <v>0</v>
      </c>
      <c r="M76" s="81">
        <f t="shared" si="16"/>
        <v>1280675.7244446699</v>
      </c>
      <c r="N76" s="81">
        <f t="shared" si="17"/>
        <v>67403.985497087895</v>
      </c>
      <c r="O76" s="101">
        <f t="shared" ref="O76:O83" si="19">O36-O116</f>
        <v>1348079.7099417578</v>
      </c>
      <c r="P76" s="81">
        <f>J76+M76</f>
        <v>1280675.7244446699</v>
      </c>
      <c r="Q76" s="81">
        <f>L76+N76</f>
        <v>67403.985497087895</v>
      </c>
      <c r="R76" s="81">
        <f>P76+Q76</f>
        <v>1348079.7099417578</v>
      </c>
      <c r="S76" s="81"/>
      <c r="T76" s="81"/>
      <c r="U76" s="81">
        <f t="shared" si="8"/>
        <v>0</v>
      </c>
      <c r="V76" s="81">
        <f t="shared" si="9"/>
        <v>1348079.7099417578</v>
      </c>
      <c r="W76" s="87">
        <v>6855.6499406727662</v>
      </c>
    </row>
    <row r="77" spans="1:23">
      <c r="A77" s="6">
        <f t="shared" si="10"/>
        <v>2014</v>
      </c>
      <c r="B77" s="95"/>
      <c r="C77" s="95"/>
      <c r="D77" s="95"/>
      <c r="E77" s="95"/>
      <c r="F77" s="95"/>
      <c r="G77" s="81">
        <f t="shared" si="11"/>
        <v>0</v>
      </c>
      <c r="H77" s="81">
        <f t="shared" si="12"/>
        <v>0</v>
      </c>
      <c r="I77" s="81">
        <f t="shared" si="13"/>
        <v>0</v>
      </c>
      <c r="J77" s="81">
        <f t="shared" si="14"/>
        <v>0</v>
      </c>
      <c r="K77" s="81">
        <f t="shared" si="15"/>
        <v>0</v>
      </c>
      <c r="L77" s="81">
        <f t="shared" si="18"/>
        <v>0</v>
      </c>
      <c r="M77" s="81">
        <f t="shared" si="16"/>
        <v>1195364.9776628208</v>
      </c>
      <c r="N77" s="81">
        <f t="shared" si="17"/>
        <v>62913.946192780044</v>
      </c>
      <c r="O77" s="101">
        <f t="shared" si="19"/>
        <v>1258278.9238556009</v>
      </c>
      <c r="P77" s="81">
        <f t="shared" ref="P77:P83" si="20">J77+M77</f>
        <v>1195364.9776628208</v>
      </c>
      <c r="Q77" s="81">
        <f t="shared" ref="Q77:Q83" si="21">L77+N77</f>
        <v>62913.946192780044</v>
      </c>
      <c r="R77" s="81">
        <f t="shared" ref="R77:R83" si="22">P77+Q77</f>
        <v>1258278.9238556009</v>
      </c>
      <c r="S77" s="81"/>
      <c r="T77" s="81"/>
      <c r="U77" s="81">
        <f t="shared" si="8"/>
        <v>0</v>
      </c>
      <c r="V77" s="81">
        <f t="shared" si="9"/>
        <v>1258278.9238556009</v>
      </c>
      <c r="W77" s="87">
        <v>11061.086498384959</v>
      </c>
    </row>
    <row r="78" spans="1:23">
      <c r="A78" s="6">
        <f t="shared" si="10"/>
        <v>2015</v>
      </c>
      <c r="B78" s="95"/>
      <c r="C78" s="95"/>
      <c r="D78" s="95"/>
      <c r="E78" s="95"/>
      <c r="F78" s="95"/>
      <c r="G78" s="81">
        <f t="shared" si="11"/>
        <v>0</v>
      </c>
      <c r="H78" s="81">
        <f t="shared" si="12"/>
        <v>0</v>
      </c>
      <c r="I78" s="81">
        <f t="shared" si="13"/>
        <v>0</v>
      </c>
      <c r="J78" s="81">
        <f t="shared" si="14"/>
        <v>0</v>
      </c>
      <c r="K78" s="81">
        <f t="shared" si="15"/>
        <v>0</v>
      </c>
      <c r="L78" s="81">
        <f t="shared" si="18"/>
        <v>0</v>
      </c>
      <c r="M78" s="81">
        <f t="shared" si="16"/>
        <v>44042613.629668385</v>
      </c>
      <c r="N78" s="81">
        <f t="shared" si="17"/>
        <v>2318032.2962983358</v>
      </c>
      <c r="O78" s="101">
        <f t="shared" si="19"/>
        <v>46360645.925966717</v>
      </c>
      <c r="P78" s="81">
        <f t="shared" si="20"/>
        <v>44042613.629668385</v>
      </c>
      <c r="Q78" s="81">
        <f t="shared" si="21"/>
        <v>2318032.2962983358</v>
      </c>
      <c r="R78" s="81">
        <f t="shared" si="22"/>
        <v>46360645.925966717</v>
      </c>
      <c r="S78" s="81"/>
      <c r="T78" s="81"/>
      <c r="U78" s="81">
        <f t="shared" si="8"/>
        <v>0</v>
      </c>
      <c r="V78" s="81">
        <f t="shared" si="9"/>
        <v>46360645.925966717</v>
      </c>
      <c r="W78" s="87">
        <v>30028.843500535913</v>
      </c>
    </row>
    <row r="79" spans="1:23">
      <c r="A79" s="6">
        <f t="shared" si="10"/>
        <v>2016</v>
      </c>
      <c r="B79" s="95">
        <f>800000</f>
        <v>800000</v>
      </c>
      <c r="C79" s="95">
        <v>0</v>
      </c>
      <c r="D79" s="95">
        <v>500000</v>
      </c>
      <c r="E79" s="95">
        <v>60560.86</v>
      </c>
      <c r="F79" s="95">
        <v>50000</v>
      </c>
      <c r="G79" s="81">
        <f t="shared" si="11"/>
        <v>860560.86</v>
      </c>
      <c r="H79" s="81">
        <f t="shared" si="12"/>
        <v>1410560.8599999999</v>
      </c>
      <c r="I79" s="81">
        <f t="shared" si="13"/>
        <v>800000</v>
      </c>
      <c r="J79" s="81">
        <f t="shared" si="14"/>
        <v>1300000</v>
      </c>
      <c r="K79" s="81">
        <f t="shared" si="15"/>
        <v>60560.86</v>
      </c>
      <c r="L79" s="81">
        <f t="shared" si="18"/>
        <v>110560.86</v>
      </c>
      <c r="M79" s="81">
        <f t="shared" si="16"/>
        <v>17260844.40526998</v>
      </c>
      <c r="N79" s="81">
        <f t="shared" si="17"/>
        <v>908465.49501420953</v>
      </c>
      <c r="O79" s="101">
        <f t="shared" si="19"/>
        <v>18169309.90028419</v>
      </c>
      <c r="P79" s="81">
        <f t="shared" si="20"/>
        <v>18560844.40526998</v>
      </c>
      <c r="Q79" s="81">
        <f t="shared" si="21"/>
        <v>1019026.3550142095</v>
      </c>
      <c r="R79" s="81">
        <f t="shared" si="22"/>
        <v>19579870.760284189</v>
      </c>
      <c r="S79" s="81"/>
      <c r="T79" s="81"/>
      <c r="U79" s="81">
        <f t="shared" si="8"/>
        <v>0</v>
      </c>
      <c r="V79" s="81">
        <f t="shared" si="9"/>
        <v>19579870.760284189</v>
      </c>
      <c r="W79" s="87">
        <v>213135.53054701071</v>
      </c>
    </row>
    <row r="80" spans="1:23">
      <c r="A80" s="6">
        <f t="shared" si="10"/>
        <v>2017</v>
      </c>
      <c r="B80" s="95">
        <v>245000</v>
      </c>
      <c r="C80" s="95">
        <v>0</v>
      </c>
      <c r="D80" s="95">
        <v>0</v>
      </c>
      <c r="E80" s="95">
        <v>9402.92</v>
      </c>
      <c r="F80" s="95">
        <v>0</v>
      </c>
      <c r="G80" s="81">
        <f t="shared" si="11"/>
        <v>254402.92</v>
      </c>
      <c r="H80" s="81">
        <f t="shared" si="12"/>
        <v>254402.92</v>
      </c>
      <c r="I80" s="81">
        <f t="shared" si="13"/>
        <v>245000</v>
      </c>
      <c r="J80" s="81">
        <f t="shared" si="14"/>
        <v>245000</v>
      </c>
      <c r="K80" s="81">
        <f t="shared" si="15"/>
        <v>9402.92</v>
      </c>
      <c r="L80" s="81">
        <f t="shared" si="18"/>
        <v>9402.92</v>
      </c>
      <c r="M80" s="81">
        <f t="shared" si="16"/>
        <v>26804411.283906929</v>
      </c>
      <c r="N80" s="81">
        <f t="shared" si="17"/>
        <v>1410758.4886266806</v>
      </c>
      <c r="O80" s="101">
        <f t="shared" si="19"/>
        <v>28215169.77253361</v>
      </c>
      <c r="P80" s="81">
        <f t="shared" si="20"/>
        <v>27049411.283906929</v>
      </c>
      <c r="Q80" s="81">
        <f t="shared" si="21"/>
        <v>1420161.4086266805</v>
      </c>
      <c r="R80" s="81">
        <f t="shared" si="22"/>
        <v>28469572.692533609</v>
      </c>
      <c r="S80" s="81"/>
      <c r="T80" s="81"/>
      <c r="U80" s="81">
        <f t="shared" si="8"/>
        <v>0</v>
      </c>
      <c r="V80" s="81">
        <f t="shared" si="9"/>
        <v>28469572.692533609</v>
      </c>
      <c r="W80" s="87">
        <v>660886.85887166054</v>
      </c>
    </row>
    <row r="81" spans="1:23">
      <c r="A81" s="6">
        <f t="shared" si="10"/>
        <v>2018</v>
      </c>
      <c r="B81" s="95">
        <v>0</v>
      </c>
      <c r="C81" s="95">
        <v>0</v>
      </c>
      <c r="D81" s="95">
        <v>0</v>
      </c>
      <c r="E81" s="95">
        <v>0</v>
      </c>
      <c r="F81" s="95">
        <v>0</v>
      </c>
      <c r="G81" s="81">
        <f t="shared" si="11"/>
        <v>0</v>
      </c>
      <c r="H81" s="81">
        <f t="shared" si="12"/>
        <v>0</v>
      </c>
      <c r="I81" s="81">
        <f t="shared" si="13"/>
        <v>0</v>
      </c>
      <c r="J81" s="81">
        <f t="shared" si="14"/>
        <v>0</v>
      </c>
      <c r="K81" s="81">
        <f t="shared" si="15"/>
        <v>0</v>
      </c>
      <c r="L81" s="81">
        <f t="shared" si="18"/>
        <v>0</v>
      </c>
      <c r="M81" s="81">
        <f t="shared" si="16"/>
        <v>16642890.589701904</v>
      </c>
      <c r="N81" s="81">
        <f t="shared" si="17"/>
        <v>875941.60998431081</v>
      </c>
      <c r="O81" s="101">
        <f t="shared" si="19"/>
        <v>17518832.199686214</v>
      </c>
      <c r="P81" s="81">
        <f t="shared" si="20"/>
        <v>16642890.589701904</v>
      </c>
      <c r="Q81" s="81">
        <f t="shared" si="21"/>
        <v>875941.60998431081</v>
      </c>
      <c r="R81" s="81">
        <f t="shared" si="22"/>
        <v>17518832.199686214</v>
      </c>
      <c r="S81" s="81"/>
      <c r="T81" s="81"/>
      <c r="U81" s="81">
        <f t="shared" si="8"/>
        <v>0</v>
      </c>
      <c r="V81" s="81">
        <f t="shared" si="9"/>
        <v>17518832.199686214</v>
      </c>
      <c r="W81" s="87">
        <v>527289.62921753165</v>
      </c>
    </row>
    <row r="82" spans="1:23">
      <c r="A82" s="6">
        <f t="shared" si="10"/>
        <v>2019</v>
      </c>
      <c r="B82" s="95">
        <v>26250</v>
      </c>
      <c r="C82" s="95">
        <v>0</v>
      </c>
      <c r="D82" s="95">
        <v>0</v>
      </c>
      <c r="E82" s="95">
        <v>1438.82</v>
      </c>
      <c r="F82" s="95">
        <v>0</v>
      </c>
      <c r="G82" s="81">
        <f t="shared" si="11"/>
        <v>27688.82</v>
      </c>
      <c r="H82" s="81">
        <f t="shared" si="12"/>
        <v>27688.82</v>
      </c>
      <c r="I82" s="81">
        <f t="shared" si="13"/>
        <v>26250</v>
      </c>
      <c r="J82" s="81">
        <f t="shared" si="14"/>
        <v>26250</v>
      </c>
      <c r="K82" s="81">
        <f t="shared" si="15"/>
        <v>1438.82</v>
      </c>
      <c r="L82" s="81">
        <f t="shared" si="18"/>
        <v>1438.82</v>
      </c>
      <c r="M82" s="81">
        <f t="shared" si="16"/>
        <v>-821139.66193216317</v>
      </c>
      <c r="N82" s="81">
        <f t="shared" si="17"/>
        <v>-43217.876943798066</v>
      </c>
      <c r="O82" s="101">
        <f t="shared" si="19"/>
        <v>-864357.53887596121</v>
      </c>
      <c r="P82" s="81">
        <f t="shared" si="20"/>
        <v>-794889.66193216317</v>
      </c>
      <c r="Q82" s="81">
        <f t="shared" si="21"/>
        <v>-41779.056943798067</v>
      </c>
      <c r="R82" s="81">
        <f t="shared" si="22"/>
        <v>-836668.71887596126</v>
      </c>
      <c r="S82" s="81"/>
      <c r="T82" s="81"/>
      <c r="U82" s="81">
        <f t="shared" si="8"/>
        <v>0</v>
      </c>
      <c r="V82" s="81">
        <f t="shared" si="9"/>
        <v>-836668.71887596126</v>
      </c>
      <c r="W82" s="87">
        <v>859095.67654407176</v>
      </c>
    </row>
    <row r="83" spans="1:23">
      <c r="A83" s="6">
        <f t="shared" si="10"/>
        <v>2020</v>
      </c>
      <c r="B83" s="95">
        <v>0</v>
      </c>
      <c r="C83" s="95">
        <v>0</v>
      </c>
      <c r="D83" s="95">
        <v>0</v>
      </c>
      <c r="E83" s="95">
        <v>0</v>
      </c>
      <c r="F83" s="95">
        <v>0</v>
      </c>
      <c r="G83" s="81">
        <f t="shared" si="11"/>
        <v>0</v>
      </c>
      <c r="H83" s="81">
        <f t="shared" si="12"/>
        <v>0</v>
      </c>
      <c r="I83" s="81">
        <f t="shared" si="13"/>
        <v>0</v>
      </c>
      <c r="J83" s="81">
        <f t="shared" si="14"/>
        <v>0</v>
      </c>
      <c r="K83" s="81">
        <f t="shared" si="15"/>
        <v>0</v>
      </c>
      <c r="L83" s="81">
        <f t="shared" si="18"/>
        <v>0</v>
      </c>
      <c r="M83" s="81">
        <f t="shared" si="16"/>
        <v>888913.7463733789</v>
      </c>
      <c r="N83" s="81">
        <f t="shared" si="17"/>
        <v>46784.934019651526</v>
      </c>
      <c r="O83" s="101">
        <f t="shared" si="19"/>
        <v>935698.6803930304</v>
      </c>
      <c r="P83" s="81">
        <f t="shared" si="20"/>
        <v>888913.7463733789</v>
      </c>
      <c r="Q83" s="81">
        <f t="shared" si="21"/>
        <v>46784.934019651526</v>
      </c>
      <c r="R83" s="81">
        <f t="shared" si="22"/>
        <v>935698.6803930304</v>
      </c>
      <c r="S83" s="81"/>
      <c r="T83" s="81"/>
      <c r="U83" s="81">
        <f t="shared" si="8"/>
        <v>0</v>
      </c>
      <c r="V83" s="81">
        <f t="shared" si="9"/>
        <v>935698.6803930304</v>
      </c>
      <c r="W83" s="87">
        <v>384359.45</v>
      </c>
    </row>
    <row r="84" spans="1:23">
      <c r="A84" s="6"/>
      <c r="B84" s="81"/>
      <c r="C84" s="81"/>
      <c r="D84" s="81"/>
      <c r="E84" s="81"/>
      <c r="F84" s="81"/>
      <c r="G84" s="81">
        <f>C84+E84-B84</f>
        <v>0</v>
      </c>
      <c r="H84" s="81">
        <f>SUM(C84:F84)-B84</f>
        <v>0</v>
      </c>
      <c r="I84" s="81">
        <f>C84-B84</f>
        <v>0</v>
      </c>
      <c r="J84" s="81">
        <f>I84+D84</f>
        <v>0</v>
      </c>
      <c r="K84" s="81">
        <f>E84</f>
        <v>0</v>
      </c>
      <c r="L84" s="81">
        <f>K84+F84</f>
        <v>0</v>
      </c>
      <c r="M84" s="81">
        <f>O84*(1-N$10)</f>
        <v>0</v>
      </c>
      <c r="N84" s="81">
        <f>O84-M84</f>
        <v>0</v>
      </c>
      <c r="O84" s="101">
        <f>O34-O124</f>
        <v>0</v>
      </c>
      <c r="P84" s="81">
        <f>J84+M84</f>
        <v>0</v>
      </c>
      <c r="Q84" s="81">
        <f>L84+N84</f>
        <v>0</v>
      </c>
      <c r="R84" s="81">
        <f>P84+Q84</f>
        <v>0</v>
      </c>
      <c r="S84" s="81"/>
      <c r="T84" s="81"/>
      <c r="U84" s="81">
        <f t="shared" si="8"/>
        <v>0</v>
      </c>
      <c r="V84" s="81">
        <f t="shared" si="9"/>
        <v>0</v>
      </c>
      <c r="W84" s="87"/>
    </row>
    <row r="85" spans="1:23">
      <c r="A85" s="6" t="s">
        <v>0</v>
      </c>
      <c r="B85" s="82">
        <f>SUM(B55:B83)</f>
        <v>1071250</v>
      </c>
      <c r="C85" s="82">
        <f>SUM(C55:C83)</f>
        <v>0</v>
      </c>
      <c r="D85" s="82">
        <f t="shared" ref="D85:S85" si="23">SUM(D55:D83)</f>
        <v>500000</v>
      </c>
      <c r="E85" s="82">
        <f t="shared" si="23"/>
        <v>71402.600000000006</v>
      </c>
      <c r="F85" s="82">
        <f t="shared" si="23"/>
        <v>50000</v>
      </c>
      <c r="G85" s="82">
        <f t="shared" si="23"/>
        <v>1142652.6000000001</v>
      </c>
      <c r="H85" s="82">
        <f t="shared" si="23"/>
        <v>1692652.5999999999</v>
      </c>
      <c r="I85" s="82">
        <f t="shared" si="23"/>
        <v>1071250</v>
      </c>
      <c r="J85" s="82">
        <f t="shared" si="23"/>
        <v>1571250</v>
      </c>
      <c r="K85" s="82">
        <f t="shared" si="23"/>
        <v>71402.600000000006</v>
      </c>
      <c r="L85" s="82">
        <f t="shared" si="23"/>
        <v>121402.6</v>
      </c>
      <c r="M85" s="82">
        <f t="shared" si="23"/>
        <v>107299479.54509591</v>
      </c>
      <c r="N85" s="82">
        <f t="shared" si="23"/>
        <v>5647341.0286892587</v>
      </c>
      <c r="O85" s="82">
        <f t="shared" si="23"/>
        <v>112946820.57378514</v>
      </c>
      <c r="P85" s="82">
        <f t="shared" si="23"/>
        <v>108870729.54509591</v>
      </c>
      <c r="Q85" s="82">
        <f t="shared" si="23"/>
        <v>5768743.6286892574</v>
      </c>
      <c r="R85" s="82">
        <f t="shared" si="23"/>
        <v>114639473.17378515</v>
      </c>
      <c r="S85" s="82">
        <f t="shared" si="23"/>
        <v>0</v>
      </c>
      <c r="T85" s="82">
        <f>SUM(T55:T83)</f>
        <v>0</v>
      </c>
      <c r="U85" s="82">
        <f>SUM(U55:U83)</f>
        <v>0</v>
      </c>
      <c r="V85" s="82">
        <f>SUM(V55:V83)</f>
        <v>114639473.17378515</v>
      </c>
      <c r="W85" s="90">
        <v>2692712.7251198683</v>
      </c>
    </row>
    <row r="86" spans="1:23">
      <c r="A86" s="6"/>
      <c r="B86" s="6"/>
      <c r="C86" s="6"/>
      <c r="D86" s="6"/>
      <c r="E86" s="6"/>
      <c r="F86" s="6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7"/>
    </row>
    <row r="87" spans="1:23">
      <c r="A87" s="6"/>
      <c r="B87" s="6"/>
      <c r="C87" s="6"/>
      <c r="D87" s="6"/>
      <c r="E87" s="6"/>
      <c r="F87" s="6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7"/>
    </row>
    <row r="88" spans="1:23">
      <c r="A88" s="6"/>
      <c r="B88" s="6"/>
      <c r="C88" s="6"/>
      <c r="D88" s="6"/>
      <c r="E88" s="6"/>
      <c r="F88" s="6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7"/>
    </row>
    <row r="89" spans="1:23">
      <c r="A89" s="6" t="s">
        <v>17</v>
      </c>
      <c r="B89" s="6"/>
      <c r="C89" s="6"/>
      <c r="D89" s="6"/>
      <c r="E89" s="6"/>
      <c r="F89" s="6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7"/>
    </row>
    <row r="90" spans="1:23">
      <c r="A90" s="6"/>
      <c r="B90" s="27"/>
      <c r="C90" s="27"/>
      <c r="D90" s="27"/>
      <c r="E90" s="27"/>
      <c r="F90" s="27"/>
      <c r="G90" s="17"/>
      <c r="H90" s="81"/>
      <c r="I90" s="81"/>
      <c r="J90" s="81"/>
      <c r="K90" s="81"/>
      <c r="L90" s="81"/>
      <c r="M90" s="17"/>
      <c r="N90" s="81">
        <v>0.22500000000000001</v>
      </c>
      <c r="O90" s="81"/>
      <c r="P90" s="81"/>
      <c r="Q90" s="81"/>
      <c r="R90" s="81" t="s">
        <v>67</v>
      </c>
      <c r="S90" s="6"/>
      <c r="T90" s="6"/>
      <c r="U90" s="6"/>
      <c r="V90" s="6" t="s">
        <v>67</v>
      </c>
      <c r="W90" s="87"/>
    </row>
    <row r="91" spans="1:23">
      <c r="A91" s="6" t="s">
        <v>3</v>
      </c>
      <c r="B91" s="27"/>
      <c r="C91" s="27"/>
      <c r="D91" s="27"/>
      <c r="E91" s="27"/>
      <c r="F91" s="27"/>
      <c r="G91" s="81" t="s">
        <v>14</v>
      </c>
      <c r="H91" s="81" t="s">
        <v>12</v>
      </c>
      <c r="I91" s="81" t="s">
        <v>14</v>
      </c>
      <c r="J91" s="81" t="s">
        <v>12</v>
      </c>
      <c r="K91" s="81" t="s">
        <v>14</v>
      </c>
      <c r="L91" s="81" t="s">
        <v>12</v>
      </c>
      <c r="M91" s="81" t="s">
        <v>381</v>
      </c>
      <c r="N91" s="81" t="s">
        <v>381</v>
      </c>
      <c r="O91" s="81" t="s">
        <v>381</v>
      </c>
      <c r="P91" s="81" t="s">
        <v>660</v>
      </c>
      <c r="Q91" s="81" t="s">
        <v>67</v>
      </c>
      <c r="R91" s="81" t="s">
        <v>662</v>
      </c>
      <c r="S91" s="6" t="s">
        <v>661</v>
      </c>
      <c r="T91" s="6" t="s">
        <v>661</v>
      </c>
      <c r="U91" s="6" t="s">
        <v>67</v>
      </c>
      <c r="V91" s="6" t="s">
        <v>663</v>
      </c>
      <c r="W91" s="6" t="s">
        <v>177</v>
      </c>
    </row>
    <row r="92" spans="1:23">
      <c r="A92" s="6" t="s">
        <v>4</v>
      </c>
      <c r="B92" s="28"/>
      <c r="C92" s="28"/>
      <c r="D92" s="28"/>
      <c r="E92" s="28"/>
      <c r="F92" s="28"/>
      <c r="G92" s="81" t="s">
        <v>0</v>
      </c>
      <c r="H92" s="81" t="s">
        <v>0</v>
      </c>
      <c r="I92" s="81" t="s">
        <v>566</v>
      </c>
      <c r="J92" s="81" t="s">
        <v>566</v>
      </c>
      <c r="K92" s="81" t="s">
        <v>567</v>
      </c>
      <c r="L92" s="81" t="s">
        <v>567</v>
      </c>
      <c r="M92" s="81" t="s">
        <v>566</v>
      </c>
      <c r="N92" s="81" t="s">
        <v>567</v>
      </c>
      <c r="O92" s="81" t="s">
        <v>0</v>
      </c>
      <c r="P92" s="81" t="s">
        <v>566</v>
      </c>
      <c r="Q92" s="81" t="s">
        <v>567</v>
      </c>
      <c r="R92" s="81" t="s">
        <v>0</v>
      </c>
      <c r="S92" s="6" t="s">
        <v>117</v>
      </c>
      <c r="T92" s="6" t="s">
        <v>14</v>
      </c>
      <c r="U92" s="6" t="s">
        <v>661</v>
      </c>
      <c r="V92" s="6" t="s">
        <v>0</v>
      </c>
      <c r="W92" s="6" t="s">
        <v>16</v>
      </c>
    </row>
    <row r="93" spans="1:23">
      <c r="A93" s="10">
        <v>-1</v>
      </c>
      <c r="B93" s="10">
        <f>A93-1</f>
        <v>-2</v>
      </c>
      <c r="C93" s="10">
        <f>B93-1</f>
        <v>-3</v>
      </c>
      <c r="D93" s="10">
        <f t="shared" ref="D93:L93" si="24">C93-1</f>
        <v>-4</v>
      </c>
      <c r="E93" s="10">
        <f t="shared" si="24"/>
        <v>-5</v>
      </c>
      <c r="F93" s="10">
        <f t="shared" si="24"/>
        <v>-6</v>
      </c>
      <c r="G93" s="10">
        <f t="shared" si="24"/>
        <v>-7</v>
      </c>
      <c r="H93" s="10">
        <f t="shared" si="24"/>
        <v>-8</v>
      </c>
      <c r="I93" s="10">
        <f t="shared" si="24"/>
        <v>-9</v>
      </c>
      <c r="J93" s="10">
        <f t="shared" si="24"/>
        <v>-10</v>
      </c>
      <c r="K93" s="10">
        <f t="shared" si="24"/>
        <v>-11</v>
      </c>
      <c r="L93" s="10">
        <f t="shared" si="24"/>
        <v>-12</v>
      </c>
      <c r="M93" s="10">
        <f>L93-1</f>
        <v>-13</v>
      </c>
      <c r="N93" s="10">
        <f t="shared" ref="N93:V93" si="25">M93-1</f>
        <v>-14</v>
      </c>
      <c r="O93" s="10">
        <f t="shared" si="25"/>
        <v>-15</v>
      </c>
      <c r="P93" s="10">
        <f t="shared" si="25"/>
        <v>-16</v>
      </c>
      <c r="Q93" s="10">
        <f t="shared" si="25"/>
        <v>-17</v>
      </c>
      <c r="R93" s="10">
        <f t="shared" si="25"/>
        <v>-18</v>
      </c>
      <c r="S93" s="10">
        <f t="shared" si="25"/>
        <v>-19</v>
      </c>
      <c r="T93" s="10">
        <f t="shared" si="25"/>
        <v>-20</v>
      </c>
      <c r="U93" s="10">
        <f t="shared" si="25"/>
        <v>-21</v>
      </c>
      <c r="V93" s="10">
        <f t="shared" si="25"/>
        <v>-22</v>
      </c>
      <c r="W93" s="10">
        <v>-23</v>
      </c>
    </row>
    <row r="94" spans="1:23">
      <c r="A94" s="80"/>
      <c r="B94" s="80"/>
      <c r="C94" s="6"/>
      <c r="D94" s="6"/>
      <c r="E94" s="6"/>
      <c r="F94" s="6"/>
      <c r="G94" s="17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6"/>
      <c r="T94" s="6"/>
      <c r="U94" s="6"/>
      <c r="V94" s="6"/>
      <c r="W94" s="87"/>
    </row>
    <row r="95" spans="1:23">
      <c r="A95" s="6">
        <v>1992</v>
      </c>
      <c r="B95" s="6"/>
      <c r="C95" s="6"/>
      <c r="D95" s="6"/>
      <c r="E95" s="6"/>
      <c r="F95" s="6"/>
      <c r="G95" s="81">
        <f t="shared" ref="G95:T95" si="26">G15-G55</f>
        <v>0</v>
      </c>
      <c r="H95" s="81">
        <f t="shared" si="26"/>
        <v>0</v>
      </c>
      <c r="I95" s="81">
        <f t="shared" si="26"/>
        <v>0</v>
      </c>
      <c r="J95" s="81">
        <f t="shared" si="26"/>
        <v>0</v>
      </c>
      <c r="K95" s="81">
        <f t="shared" si="26"/>
        <v>0</v>
      </c>
      <c r="L95" s="81">
        <f t="shared" si="26"/>
        <v>0</v>
      </c>
      <c r="M95" s="81">
        <f t="shared" si="26"/>
        <v>0</v>
      </c>
      <c r="N95" s="81">
        <f t="shared" si="26"/>
        <v>0</v>
      </c>
      <c r="O95" s="81">
        <f t="shared" si="26"/>
        <v>0</v>
      </c>
      <c r="P95" s="81">
        <f t="shared" si="26"/>
        <v>0</v>
      </c>
      <c r="Q95" s="81">
        <f t="shared" si="26"/>
        <v>0</v>
      </c>
      <c r="R95" s="81">
        <f t="shared" si="26"/>
        <v>0</v>
      </c>
      <c r="S95" s="81">
        <f t="shared" si="26"/>
        <v>0</v>
      </c>
      <c r="T95" s="81">
        <f t="shared" si="26"/>
        <v>0</v>
      </c>
      <c r="U95" s="81">
        <f>S95+T95</f>
        <v>0</v>
      </c>
      <c r="V95" s="81">
        <f>R95+U95</f>
        <v>0</v>
      </c>
      <c r="W95" s="87">
        <v>0</v>
      </c>
    </row>
    <row r="96" spans="1:23">
      <c r="A96" s="6">
        <f>A95+1</f>
        <v>1993</v>
      </c>
      <c r="B96" s="6"/>
      <c r="C96" s="6"/>
      <c r="D96" s="6"/>
      <c r="E96" s="6"/>
      <c r="F96" s="6"/>
      <c r="G96" s="81">
        <f t="shared" ref="G96:T111" si="27">G16-G56</f>
        <v>0</v>
      </c>
      <c r="H96" s="81">
        <f t="shared" si="27"/>
        <v>0</v>
      </c>
      <c r="I96" s="81">
        <f t="shared" si="27"/>
        <v>0</v>
      </c>
      <c r="J96" s="81">
        <f t="shared" si="27"/>
        <v>0</v>
      </c>
      <c r="K96" s="81">
        <f t="shared" si="27"/>
        <v>0</v>
      </c>
      <c r="L96" s="81">
        <f t="shared" si="27"/>
        <v>0</v>
      </c>
      <c r="M96" s="81">
        <f t="shared" si="27"/>
        <v>0</v>
      </c>
      <c r="N96" s="81">
        <f t="shared" si="27"/>
        <v>0</v>
      </c>
      <c r="O96" s="81">
        <f t="shared" si="27"/>
        <v>0</v>
      </c>
      <c r="P96" s="81">
        <f t="shared" si="27"/>
        <v>0</v>
      </c>
      <c r="Q96" s="81">
        <f t="shared" si="27"/>
        <v>0</v>
      </c>
      <c r="R96" s="81">
        <f t="shared" si="27"/>
        <v>0</v>
      </c>
      <c r="S96" s="81">
        <f t="shared" ref="S96:T110" si="28">S16-S56</f>
        <v>0</v>
      </c>
      <c r="T96" s="81">
        <f t="shared" si="28"/>
        <v>0</v>
      </c>
      <c r="U96" s="81">
        <f t="shared" ref="U96:U124" si="29">S96+T96</f>
        <v>0</v>
      </c>
      <c r="V96" s="81">
        <f t="shared" ref="V96:V124" si="30">R96+U96</f>
        <v>0</v>
      </c>
      <c r="W96" s="87">
        <v>0</v>
      </c>
    </row>
    <row r="97" spans="1:23">
      <c r="A97" s="6">
        <f t="shared" ref="A97:A123" si="31">A96+1</f>
        <v>1994</v>
      </c>
      <c r="B97" s="6"/>
      <c r="C97" s="6"/>
      <c r="D97" s="6"/>
      <c r="E97" s="6"/>
      <c r="F97" s="6"/>
      <c r="G97" s="81">
        <f t="shared" si="27"/>
        <v>0</v>
      </c>
      <c r="H97" s="81">
        <f t="shared" si="27"/>
        <v>0</v>
      </c>
      <c r="I97" s="81">
        <f t="shared" si="27"/>
        <v>0</v>
      </c>
      <c r="J97" s="81">
        <f t="shared" si="27"/>
        <v>0</v>
      </c>
      <c r="K97" s="81">
        <f t="shared" si="27"/>
        <v>0</v>
      </c>
      <c r="L97" s="81">
        <f t="shared" si="27"/>
        <v>0</v>
      </c>
      <c r="M97" s="81">
        <f t="shared" si="27"/>
        <v>0</v>
      </c>
      <c r="N97" s="81">
        <f t="shared" si="27"/>
        <v>0</v>
      </c>
      <c r="O97" s="81">
        <f t="shared" si="27"/>
        <v>0</v>
      </c>
      <c r="P97" s="81">
        <f t="shared" si="27"/>
        <v>0</v>
      </c>
      <c r="Q97" s="81">
        <f t="shared" si="27"/>
        <v>0</v>
      </c>
      <c r="R97" s="81">
        <f t="shared" si="27"/>
        <v>0</v>
      </c>
      <c r="S97" s="81">
        <f t="shared" si="28"/>
        <v>0</v>
      </c>
      <c r="T97" s="81">
        <f t="shared" si="28"/>
        <v>0</v>
      </c>
      <c r="U97" s="81">
        <f t="shared" si="29"/>
        <v>0</v>
      </c>
      <c r="V97" s="81">
        <f t="shared" si="30"/>
        <v>0</v>
      </c>
      <c r="W97" s="87">
        <v>0</v>
      </c>
    </row>
    <row r="98" spans="1:23">
      <c r="A98" s="6">
        <f t="shared" si="31"/>
        <v>1995</v>
      </c>
      <c r="B98" s="6"/>
      <c r="C98" s="6"/>
      <c r="D98" s="6"/>
      <c r="E98" s="6"/>
      <c r="F98" s="6"/>
      <c r="G98" s="81">
        <f t="shared" si="27"/>
        <v>0</v>
      </c>
      <c r="H98" s="81">
        <f t="shared" si="27"/>
        <v>0</v>
      </c>
      <c r="I98" s="81">
        <f t="shared" si="27"/>
        <v>0</v>
      </c>
      <c r="J98" s="81">
        <f t="shared" si="27"/>
        <v>0</v>
      </c>
      <c r="K98" s="81">
        <f t="shared" si="27"/>
        <v>0</v>
      </c>
      <c r="L98" s="81">
        <f t="shared" si="27"/>
        <v>0</v>
      </c>
      <c r="M98" s="81">
        <f t="shared" si="27"/>
        <v>0</v>
      </c>
      <c r="N98" s="81">
        <f t="shared" si="27"/>
        <v>0</v>
      </c>
      <c r="O98" s="81">
        <f t="shared" si="27"/>
        <v>0</v>
      </c>
      <c r="P98" s="81">
        <f t="shared" si="27"/>
        <v>0</v>
      </c>
      <c r="Q98" s="81">
        <f t="shared" si="27"/>
        <v>0</v>
      </c>
      <c r="R98" s="81">
        <f t="shared" si="27"/>
        <v>0</v>
      </c>
      <c r="S98" s="81">
        <f t="shared" si="28"/>
        <v>0</v>
      </c>
      <c r="T98" s="81">
        <f t="shared" si="28"/>
        <v>0</v>
      </c>
      <c r="U98" s="81">
        <f t="shared" si="29"/>
        <v>0</v>
      </c>
      <c r="V98" s="81">
        <f t="shared" si="30"/>
        <v>0</v>
      </c>
      <c r="W98" s="87">
        <v>0</v>
      </c>
    </row>
    <row r="99" spans="1:23">
      <c r="A99" s="6">
        <f t="shared" si="31"/>
        <v>1996</v>
      </c>
      <c r="B99" s="6"/>
      <c r="C99" s="6"/>
      <c r="D99" s="6"/>
      <c r="E99" s="6"/>
      <c r="F99" s="6"/>
      <c r="G99" s="81">
        <f t="shared" si="27"/>
        <v>0</v>
      </c>
      <c r="H99" s="81">
        <f t="shared" si="27"/>
        <v>0</v>
      </c>
      <c r="I99" s="81">
        <f t="shared" si="27"/>
        <v>0</v>
      </c>
      <c r="J99" s="81">
        <f t="shared" si="27"/>
        <v>0</v>
      </c>
      <c r="K99" s="81">
        <f t="shared" si="27"/>
        <v>0</v>
      </c>
      <c r="L99" s="81">
        <f t="shared" si="27"/>
        <v>0</v>
      </c>
      <c r="M99" s="81">
        <f t="shared" si="27"/>
        <v>0</v>
      </c>
      <c r="N99" s="81">
        <f t="shared" si="27"/>
        <v>0</v>
      </c>
      <c r="O99" s="81">
        <f t="shared" si="27"/>
        <v>0</v>
      </c>
      <c r="P99" s="81">
        <f t="shared" si="27"/>
        <v>0</v>
      </c>
      <c r="Q99" s="81">
        <f t="shared" si="27"/>
        <v>0</v>
      </c>
      <c r="R99" s="81">
        <f t="shared" si="27"/>
        <v>0</v>
      </c>
      <c r="S99" s="81">
        <f t="shared" si="28"/>
        <v>0</v>
      </c>
      <c r="T99" s="81">
        <f t="shared" si="28"/>
        <v>0</v>
      </c>
      <c r="U99" s="81">
        <f t="shared" si="29"/>
        <v>0</v>
      </c>
      <c r="V99" s="81">
        <f t="shared" si="30"/>
        <v>0</v>
      </c>
      <c r="W99" s="87">
        <v>0</v>
      </c>
    </row>
    <row r="100" spans="1:23">
      <c r="A100" s="6">
        <f t="shared" si="31"/>
        <v>1997</v>
      </c>
      <c r="B100" s="6"/>
      <c r="C100" s="6"/>
      <c r="D100" s="6"/>
      <c r="E100" s="6"/>
      <c r="F100" s="6"/>
      <c r="G100" s="81">
        <f t="shared" si="27"/>
        <v>0</v>
      </c>
      <c r="H100" s="81">
        <f t="shared" si="27"/>
        <v>0</v>
      </c>
      <c r="I100" s="81">
        <f t="shared" si="27"/>
        <v>0</v>
      </c>
      <c r="J100" s="81">
        <f t="shared" si="27"/>
        <v>0</v>
      </c>
      <c r="K100" s="81">
        <f t="shared" si="27"/>
        <v>0</v>
      </c>
      <c r="L100" s="81">
        <f t="shared" si="27"/>
        <v>0</v>
      </c>
      <c r="M100" s="81">
        <f t="shared" si="27"/>
        <v>0</v>
      </c>
      <c r="N100" s="81">
        <f t="shared" si="27"/>
        <v>0</v>
      </c>
      <c r="O100" s="81">
        <f t="shared" si="27"/>
        <v>0</v>
      </c>
      <c r="P100" s="81">
        <f t="shared" si="27"/>
        <v>0</v>
      </c>
      <c r="Q100" s="81">
        <f t="shared" si="27"/>
        <v>0</v>
      </c>
      <c r="R100" s="81">
        <f t="shared" si="27"/>
        <v>0</v>
      </c>
      <c r="S100" s="81">
        <f t="shared" si="28"/>
        <v>0</v>
      </c>
      <c r="T100" s="81">
        <f t="shared" si="28"/>
        <v>0</v>
      </c>
      <c r="U100" s="81">
        <f t="shared" si="29"/>
        <v>0</v>
      </c>
      <c r="V100" s="81">
        <f t="shared" si="30"/>
        <v>0</v>
      </c>
      <c r="W100" s="87">
        <v>0</v>
      </c>
    </row>
    <row r="101" spans="1:23">
      <c r="A101" s="6">
        <f t="shared" si="31"/>
        <v>1998</v>
      </c>
      <c r="B101" s="6"/>
      <c r="C101" s="6"/>
      <c r="D101" s="6"/>
      <c r="E101" s="6"/>
      <c r="F101" s="6"/>
      <c r="G101" s="81">
        <f t="shared" si="27"/>
        <v>0</v>
      </c>
      <c r="H101" s="81">
        <f t="shared" si="27"/>
        <v>0</v>
      </c>
      <c r="I101" s="81">
        <f t="shared" si="27"/>
        <v>0</v>
      </c>
      <c r="J101" s="81">
        <f t="shared" si="27"/>
        <v>0</v>
      </c>
      <c r="K101" s="81">
        <f t="shared" si="27"/>
        <v>0</v>
      </c>
      <c r="L101" s="81">
        <f t="shared" si="27"/>
        <v>0</v>
      </c>
      <c r="M101" s="81">
        <f t="shared" si="27"/>
        <v>0</v>
      </c>
      <c r="N101" s="81">
        <f t="shared" si="27"/>
        <v>0</v>
      </c>
      <c r="O101" s="81">
        <f t="shared" si="27"/>
        <v>0</v>
      </c>
      <c r="P101" s="81">
        <f t="shared" si="27"/>
        <v>0</v>
      </c>
      <c r="Q101" s="81">
        <f t="shared" si="27"/>
        <v>0</v>
      </c>
      <c r="R101" s="81">
        <f t="shared" si="27"/>
        <v>0</v>
      </c>
      <c r="S101" s="81">
        <f t="shared" si="28"/>
        <v>0</v>
      </c>
      <c r="T101" s="81">
        <f t="shared" si="28"/>
        <v>0</v>
      </c>
      <c r="U101" s="81">
        <f t="shared" si="29"/>
        <v>0</v>
      </c>
      <c r="V101" s="81">
        <f t="shared" si="30"/>
        <v>0</v>
      </c>
      <c r="W101" s="87">
        <v>0</v>
      </c>
    </row>
    <row r="102" spans="1:23">
      <c r="A102" s="6">
        <f t="shared" si="31"/>
        <v>1999</v>
      </c>
      <c r="B102" s="6"/>
      <c r="C102" s="6"/>
      <c r="D102" s="6"/>
      <c r="E102" s="6"/>
      <c r="F102" s="6"/>
      <c r="G102" s="81">
        <f t="shared" si="27"/>
        <v>0</v>
      </c>
      <c r="H102" s="81">
        <f t="shared" si="27"/>
        <v>0</v>
      </c>
      <c r="I102" s="81">
        <f t="shared" si="27"/>
        <v>0</v>
      </c>
      <c r="J102" s="81">
        <f t="shared" si="27"/>
        <v>0</v>
      </c>
      <c r="K102" s="81">
        <f t="shared" si="27"/>
        <v>0</v>
      </c>
      <c r="L102" s="81">
        <f t="shared" si="27"/>
        <v>0</v>
      </c>
      <c r="M102" s="81">
        <f t="shared" si="27"/>
        <v>0</v>
      </c>
      <c r="N102" s="81">
        <f t="shared" si="27"/>
        <v>0</v>
      </c>
      <c r="O102" s="81">
        <f t="shared" si="27"/>
        <v>0</v>
      </c>
      <c r="P102" s="81">
        <f t="shared" si="27"/>
        <v>0</v>
      </c>
      <c r="Q102" s="81">
        <f t="shared" si="27"/>
        <v>0</v>
      </c>
      <c r="R102" s="81">
        <f t="shared" si="27"/>
        <v>0</v>
      </c>
      <c r="S102" s="81">
        <f t="shared" si="28"/>
        <v>0</v>
      </c>
      <c r="T102" s="81">
        <f t="shared" si="28"/>
        <v>0</v>
      </c>
      <c r="U102" s="81">
        <f t="shared" si="29"/>
        <v>0</v>
      </c>
      <c r="V102" s="81">
        <f t="shared" si="30"/>
        <v>0</v>
      </c>
      <c r="W102" s="87">
        <v>0</v>
      </c>
    </row>
    <row r="103" spans="1:23">
      <c r="A103" s="6">
        <f t="shared" si="31"/>
        <v>2000</v>
      </c>
      <c r="B103" s="6"/>
      <c r="C103" s="6"/>
      <c r="D103" s="6"/>
      <c r="E103" s="6"/>
      <c r="F103" s="6"/>
      <c r="G103" s="81">
        <f t="shared" si="27"/>
        <v>0</v>
      </c>
      <c r="H103" s="81">
        <f t="shared" si="27"/>
        <v>0</v>
      </c>
      <c r="I103" s="81">
        <f t="shared" si="27"/>
        <v>0</v>
      </c>
      <c r="J103" s="81">
        <f t="shared" si="27"/>
        <v>0</v>
      </c>
      <c r="K103" s="81">
        <f t="shared" si="27"/>
        <v>0</v>
      </c>
      <c r="L103" s="81">
        <f t="shared" si="27"/>
        <v>0</v>
      </c>
      <c r="M103" s="81">
        <f t="shared" si="27"/>
        <v>0</v>
      </c>
      <c r="N103" s="81">
        <f t="shared" si="27"/>
        <v>0</v>
      </c>
      <c r="O103" s="81">
        <f t="shared" si="27"/>
        <v>0</v>
      </c>
      <c r="P103" s="81">
        <f t="shared" si="27"/>
        <v>0</v>
      </c>
      <c r="Q103" s="81">
        <f t="shared" si="27"/>
        <v>0</v>
      </c>
      <c r="R103" s="81">
        <f t="shared" si="27"/>
        <v>0</v>
      </c>
      <c r="S103" s="81">
        <f t="shared" si="28"/>
        <v>0</v>
      </c>
      <c r="T103" s="81">
        <f t="shared" si="28"/>
        <v>0</v>
      </c>
      <c r="U103" s="81">
        <f t="shared" si="29"/>
        <v>0</v>
      </c>
      <c r="V103" s="81">
        <f t="shared" si="30"/>
        <v>0</v>
      </c>
      <c r="W103" s="87">
        <v>0</v>
      </c>
    </row>
    <row r="104" spans="1:23">
      <c r="A104" s="6">
        <f t="shared" si="31"/>
        <v>2001</v>
      </c>
      <c r="B104" s="6"/>
      <c r="C104" s="6"/>
      <c r="D104" s="6"/>
      <c r="E104" s="6"/>
      <c r="F104" s="6"/>
      <c r="G104" s="81">
        <f t="shared" si="27"/>
        <v>0</v>
      </c>
      <c r="H104" s="81">
        <f t="shared" si="27"/>
        <v>0</v>
      </c>
      <c r="I104" s="81">
        <f t="shared" si="27"/>
        <v>0</v>
      </c>
      <c r="J104" s="81">
        <f t="shared" si="27"/>
        <v>0</v>
      </c>
      <c r="K104" s="81">
        <f t="shared" si="27"/>
        <v>0</v>
      </c>
      <c r="L104" s="81">
        <f t="shared" si="27"/>
        <v>0</v>
      </c>
      <c r="M104" s="81">
        <f t="shared" si="27"/>
        <v>0</v>
      </c>
      <c r="N104" s="81">
        <f t="shared" si="27"/>
        <v>0</v>
      </c>
      <c r="O104" s="81">
        <f t="shared" si="27"/>
        <v>0</v>
      </c>
      <c r="P104" s="81">
        <f t="shared" si="27"/>
        <v>0</v>
      </c>
      <c r="Q104" s="81">
        <f t="shared" si="27"/>
        <v>0</v>
      </c>
      <c r="R104" s="81">
        <f t="shared" si="27"/>
        <v>0</v>
      </c>
      <c r="S104" s="81">
        <f t="shared" si="28"/>
        <v>0</v>
      </c>
      <c r="T104" s="81">
        <f t="shared" si="28"/>
        <v>0</v>
      </c>
      <c r="U104" s="81">
        <f t="shared" si="29"/>
        <v>0</v>
      </c>
      <c r="V104" s="81">
        <f t="shared" si="30"/>
        <v>0</v>
      </c>
      <c r="W104" s="87">
        <v>0</v>
      </c>
    </row>
    <row r="105" spans="1:23">
      <c r="A105" s="6">
        <f t="shared" si="31"/>
        <v>2002</v>
      </c>
      <c r="B105" s="6"/>
      <c r="C105" s="6"/>
      <c r="D105" s="6"/>
      <c r="E105" s="6"/>
      <c r="F105" s="6"/>
      <c r="G105" s="81">
        <f t="shared" si="27"/>
        <v>0</v>
      </c>
      <c r="H105" s="81">
        <f t="shared" si="27"/>
        <v>0</v>
      </c>
      <c r="I105" s="81">
        <f t="shared" si="27"/>
        <v>0</v>
      </c>
      <c r="J105" s="81">
        <f t="shared" si="27"/>
        <v>0</v>
      </c>
      <c r="K105" s="81">
        <f t="shared" si="27"/>
        <v>0</v>
      </c>
      <c r="L105" s="81">
        <f t="shared" si="27"/>
        <v>0</v>
      </c>
      <c r="M105" s="81">
        <f t="shared" si="27"/>
        <v>0</v>
      </c>
      <c r="N105" s="81">
        <f t="shared" si="27"/>
        <v>0</v>
      </c>
      <c r="O105" s="81">
        <f t="shared" si="27"/>
        <v>0</v>
      </c>
      <c r="P105" s="81">
        <f t="shared" si="27"/>
        <v>0</v>
      </c>
      <c r="Q105" s="81">
        <f t="shared" si="27"/>
        <v>0</v>
      </c>
      <c r="R105" s="81">
        <f t="shared" si="27"/>
        <v>0</v>
      </c>
      <c r="S105" s="81">
        <f t="shared" si="28"/>
        <v>0</v>
      </c>
      <c r="T105" s="81">
        <f t="shared" si="28"/>
        <v>0</v>
      </c>
      <c r="U105" s="81">
        <f t="shared" si="29"/>
        <v>0</v>
      </c>
      <c r="V105" s="81">
        <f t="shared" si="30"/>
        <v>0</v>
      </c>
      <c r="W105" s="87">
        <v>0</v>
      </c>
    </row>
    <row r="106" spans="1:23">
      <c r="A106" s="6">
        <f t="shared" si="31"/>
        <v>2003</v>
      </c>
      <c r="B106" s="6"/>
      <c r="C106" s="6"/>
      <c r="D106" s="6"/>
      <c r="E106" s="6"/>
      <c r="F106" s="6"/>
      <c r="G106" s="81">
        <f t="shared" si="27"/>
        <v>0</v>
      </c>
      <c r="H106" s="81">
        <f t="shared" si="27"/>
        <v>0</v>
      </c>
      <c r="I106" s="81">
        <f t="shared" si="27"/>
        <v>0</v>
      </c>
      <c r="J106" s="81">
        <f t="shared" si="27"/>
        <v>0</v>
      </c>
      <c r="K106" s="81">
        <f t="shared" si="27"/>
        <v>0</v>
      </c>
      <c r="L106" s="81">
        <f t="shared" si="27"/>
        <v>0</v>
      </c>
      <c r="M106" s="81">
        <f t="shared" si="27"/>
        <v>0</v>
      </c>
      <c r="N106" s="81">
        <f t="shared" si="27"/>
        <v>0</v>
      </c>
      <c r="O106" s="81">
        <f t="shared" si="27"/>
        <v>0</v>
      </c>
      <c r="P106" s="81">
        <f t="shared" si="27"/>
        <v>0</v>
      </c>
      <c r="Q106" s="81">
        <f t="shared" si="27"/>
        <v>0</v>
      </c>
      <c r="R106" s="81">
        <f t="shared" si="27"/>
        <v>0</v>
      </c>
      <c r="S106" s="81">
        <f t="shared" si="28"/>
        <v>0</v>
      </c>
      <c r="T106" s="81">
        <f t="shared" si="28"/>
        <v>0</v>
      </c>
      <c r="U106" s="81">
        <f t="shared" si="29"/>
        <v>0</v>
      </c>
      <c r="V106" s="81">
        <f t="shared" si="30"/>
        <v>0</v>
      </c>
      <c r="W106" s="87">
        <v>0</v>
      </c>
    </row>
    <row r="107" spans="1:23">
      <c r="A107" s="6">
        <f t="shared" si="31"/>
        <v>2004</v>
      </c>
      <c r="B107" s="6"/>
      <c r="C107" s="6"/>
      <c r="D107" s="6"/>
      <c r="E107" s="6"/>
      <c r="F107" s="6"/>
      <c r="G107" s="81">
        <f t="shared" si="27"/>
        <v>0</v>
      </c>
      <c r="H107" s="81">
        <f t="shared" si="27"/>
        <v>0</v>
      </c>
      <c r="I107" s="81">
        <f t="shared" si="27"/>
        <v>0</v>
      </c>
      <c r="J107" s="81">
        <f t="shared" si="27"/>
        <v>0</v>
      </c>
      <c r="K107" s="81">
        <f t="shared" si="27"/>
        <v>0</v>
      </c>
      <c r="L107" s="81">
        <f t="shared" si="27"/>
        <v>0</v>
      </c>
      <c r="M107" s="81">
        <f t="shared" si="27"/>
        <v>0</v>
      </c>
      <c r="N107" s="81">
        <f t="shared" si="27"/>
        <v>0</v>
      </c>
      <c r="O107" s="81">
        <f t="shared" si="27"/>
        <v>0</v>
      </c>
      <c r="P107" s="81">
        <f t="shared" si="27"/>
        <v>0</v>
      </c>
      <c r="Q107" s="81">
        <f t="shared" si="27"/>
        <v>0</v>
      </c>
      <c r="R107" s="81">
        <f t="shared" si="27"/>
        <v>0</v>
      </c>
      <c r="S107" s="81">
        <f t="shared" si="28"/>
        <v>0</v>
      </c>
      <c r="T107" s="81">
        <f t="shared" si="28"/>
        <v>0</v>
      </c>
      <c r="U107" s="81">
        <f t="shared" si="29"/>
        <v>0</v>
      </c>
      <c r="V107" s="81">
        <f t="shared" si="30"/>
        <v>0</v>
      </c>
      <c r="W107" s="87">
        <v>0</v>
      </c>
    </row>
    <row r="108" spans="1:23">
      <c r="A108" s="6">
        <f t="shared" si="31"/>
        <v>2005</v>
      </c>
      <c r="B108" s="6"/>
      <c r="C108" s="6"/>
      <c r="D108" s="6"/>
      <c r="E108" s="6"/>
      <c r="F108" s="6"/>
      <c r="G108" s="81">
        <f t="shared" si="27"/>
        <v>0</v>
      </c>
      <c r="H108" s="81">
        <f t="shared" si="27"/>
        <v>0</v>
      </c>
      <c r="I108" s="81">
        <f t="shared" si="27"/>
        <v>0</v>
      </c>
      <c r="J108" s="81">
        <f t="shared" si="27"/>
        <v>0</v>
      </c>
      <c r="K108" s="81">
        <f t="shared" si="27"/>
        <v>0</v>
      </c>
      <c r="L108" s="81">
        <f t="shared" si="27"/>
        <v>0</v>
      </c>
      <c r="M108" s="81">
        <f t="shared" si="27"/>
        <v>0</v>
      </c>
      <c r="N108" s="81">
        <f t="shared" si="27"/>
        <v>0</v>
      </c>
      <c r="O108" s="81">
        <f t="shared" si="27"/>
        <v>0</v>
      </c>
      <c r="P108" s="81">
        <f t="shared" si="27"/>
        <v>0</v>
      </c>
      <c r="Q108" s="81">
        <f t="shared" si="27"/>
        <v>0</v>
      </c>
      <c r="R108" s="81">
        <f t="shared" si="27"/>
        <v>0</v>
      </c>
      <c r="S108" s="81">
        <f t="shared" si="28"/>
        <v>0</v>
      </c>
      <c r="T108" s="81">
        <f t="shared" si="28"/>
        <v>0</v>
      </c>
      <c r="U108" s="81">
        <f t="shared" si="29"/>
        <v>0</v>
      </c>
      <c r="V108" s="81">
        <f t="shared" si="30"/>
        <v>0</v>
      </c>
      <c r="W108" s="87">
        <v>0</v>
      </c>
    </row>
    <row r="109" spans="1:23">
      <c r="A109" s="6">
        <f t="shared" si="31"/>
        <v>2006</v>
      </c>
      <c r="B109" s="6"/>
      <c r="C109" s="6"/>
      <c r="D109" s="6"/>
      <c r="E109" s="6"/>
      <c r="F109" s="6"/>
      <c r="G109" s="81">
        <f t="shared" si="27"/>
        <v>0</v>
      </c>
      <c r="H109" s="81">
        <f t="shared" si="27"/>
        <v>0</v>
      </c>
      <c r="I109" s="81">
        <f t="shared" si="27"/>
        <v>0</v>
      </c>
      <c r="J109" s="81">
        <f t="shared" si="27"/>
        <v>0</v>
      </c>
      <c r="K109" s="81">
        <f t="shared" si="27"/>
        <v>0</v>
      </c>
      <c r="L109" s="81">
        <f t="shared" si="27"/>
        <v>0</v>
      </c>
      <c r="M109" s="81">
        <f t="shared" si="27"/>
        <v>0</v>
      </c>
      <c r="N109" s="81">
        <f t="shared" si="27"/>
        <v>0</v>
      </c>
      <c r="O109" s="81">
        <f t="shared" si="27"/>
        <v>0</v>
      </c>
      <c r="P109" s="81">
        <f t="shared" si="27"/>
        <v>0</v>
      </c>
      <c r="Q109" s="81">
        <f t="shared" si="27"/>
        <v>0</v>
      </c>
      <c r="R109" s="81">
        <f t="shared" si="27"/>
        <v>0</v>
      </c>
      <c r="S109" s="81">
        <f t="shared" si="28"/>
        <v>0</v>
      </c>
      <c r="T109" s="81">
        <f t="shared" si="28"/>
        <v>0</v>
      </c>
      <c r="U109" s="81">
        <f t="shared" si="29"/>
        <v>0</v>
      </c>
      <c r="V109" s="81">
        <f t="shared" si="30"/>
        <v>0</v>
      </c>
      <c r="W109" s="87">
        <v>0</v>
      </c>
    </row>
    <row r="110" spans="1:23">
      <c r="A110" s="6">
        <f t="shared" si="31"/>
        <v>2007</v>
      </c>
      <c r="B110" s="6"/>
      <c r="C110" s="6"/>
      <c r="D110" s="6"/>
      <c r="E110" s="6"/>
      <c r="F110" s="6"/>
      <c r="G110" s="81">
        <f t="shared" si="27"/>
        <v>0</v>
      </c>
      <c r="H110" s="81">
        <f t="shared" si="27"/>
        <v>0</v>
      </c>
      <c r="I110" s="81">
        <f t="shared" si="27"/>
        <v>0</v>
      </c>
      <c r="J110" s="81">
        <f t="shared" si="27"/>
        <v>0</v>
      </c>
      <c r="K110" s="81">
        <f t="shared" si="27"/>
        <v>0</v>
      </c>
      <c r="L110" s="81">
        <f t="shared" si="27"/>
        <v>0</v>
      </c>
      <c r="M110" s="81">
        <f t="shared" si="27"/>
        <v>0</v>
      </c>
      <c r="N110" s="81">
        <f t="shared" si="27"/>
        <v>0</v>
      </c>
      <c r="O110" s="81">
        <f t="shared" si="27"/>
        <v>0</v>
      </c>
      <c r="P110" s="81">
        <f t="shared" si="27"/>
        <v>0</v>
      </c>
      <c r="Q110" s="81">
        <f t="shared" si="27"/>
        <v>0</v>
      </c>
      <c r="R110" s="81">
        <f t="shared" si="27"/>
        <v>0</v>
      </c>
      <c r="S110" s="81">
        <f t="shared" si="28"/>
        <v>0</v>
      </c>
      <c r="T110" s="81">
        <f t="shared" si="28"/>
        <v>0</v>
      </c>
      <c r="U110" s="81">
        <f t="shared" si="29"/>
        <v>0</v>
      </c>
      <c r="V110" s="81">
        <f t="shared" si="30"/>
        <v>0</v>
      </c>
      <c r="W110" s="87">
        <v>0</v>
      </c>
    </row>
    <row r="111" spans="1:23">
      <c r="A111" s="6">
        <f t="shared" si="31"/>
        <v>2008</v>
      </c>
      <c r="B111" s="6"/>
      <c r="C111" s="6"/>
      <c r="D111" s="6"/>
      <c r="E111" s="6"/>
      <c r="F111" s="6"/>
      <c r="G111" s="81">
        <f t="shared" si="27"/>
        <v>0</v>
      </c>
      <c r="H111" s="81">
        <f t="shared" si="27"/>
        <v>0</v>
      </c>
      <c r="I111" s="81">
        <f t="shared" si="27"/>
        <v>0</v>
      </c>
      <c r="J111" s="81">
        <f t="shared" si="27"/>
        <v>0</v>
      </c>
      <c r="K111" s="81">
        <f t="shared" si="27"/>
        <v>0</v>
      </c>
      <c r="L111" s="81">
        <f t="shared" si="27"/>
        <v>0</v>
      </c>
      <c r="M111" s="81">
        <f t="shared" si="27"/>
        <v>0</v>
      </c>
      <c r="N111" s="81">
        <f t="shared" si="27"/>
        <v>0</v>
      </c>
      <c r="O111" s="81">
        <f t="shared" si="27"/>
        <v>0</v>
      </c>
      <c r="P111" s="81">
        <f t="shared" si="27"/>
        <v>0</v>
      </c>
      <c r="Q111" s="81">
        <f t="shared" si="27"/>
        <v>0</v>
      </c>
      <c r="R111" s="81">
        <f t="shared" si="27"/>
        <v>0</v>
      </c>
      <c r="S111" s="81">
        <f t="shared" si="27"/>
        <v>0</v>
      </c>
      <c r="T111" s="81">
        <f t="shared" si="27"/>
        <v>0</v>
      </c>
      <c r="U111" s="81">
        <f t="shared" si="29"/>
        <v>0</v>
      </c>
      <c r="V111" s="81">
        <f t="shared" si="30"/>
        <v>0</v>
      </c>
      <c r="W111" s="87">
        <v>0</v>
      </c>
    </row>
    <row r="112" spans="1:23">
      <c r="A112" s="6">
        <f t="shared" si="31"/>
        <v>2009</v>
      </c>
      <c r="B112" s="6"/>
      <c r="C112" s="6"/>
      <c r="D112" s="6"/>
      <c r="E112" s="6"/>
      <c r="F112" s="6"/>
      <c r="G112" s="81">
        <f t="shared" ref="G112:T124" si="32">G32-G72</f>
        <v>0</v>
      </c>
      <c r="H112" s="81">
        <f t="shared" si="32"/>
        <v>0</v>
      </c>
      <c r="I112" s="81">
        <f t="shared" si="32"/>
        <v>0</v>
      </c>
      <c r="J112" s="81">
        <f t="shared" si="32"/>
        <v>0</v>
      </c>
      <c r="K112" s="81">
        <f t="shared" si="32"/>
        <v>0</v>
      </c>
      <c r="L112" s="81">
        <f t="shared" si="32"/>
        <v>0</v>
      </c>
      <c r="M112" s="81">
        <f t="shared" si="32"/>
        <v>0</v>
      </c>
      <c r="N112" s="81">
        <f t="shared" si="32"/>
        <v>0</v>
      </c>
      <c r="O112" s="81">
        <f t="shared" si="32"/>
        <v>0</v>
      </c>
      <c r="P112" s="81">
        <f t="shared" si="32"/>
        <v>0</v>
      </c>
      <c r="Q112" s="81">
        <f t="shared" si="32"/>
        <v>0</v>
      </c>
      <c r="R112" s="81">
        <f t="shared" si="32"/>
        <v>0</v>
      </c>
      <c r="S112" s="81">
        <f t="shared" si="32"/>
        <v>0</v>
      </c>
      <c r="T112" s="81">
        <f t="shared" si="32"/>
        <v>0</v>
      </c>
      <c r="U112" s="81">
        <f t="shared" si="29"/>
        <v>0</v>
      </c>
      <c r="V112" s="81">
        <f t="shared" si="30"/>
        <v>0</v>
      </c>
      <c r="W112" s="87">
        <v>0</v>
      </c>
    </row>
    <row r="113" spans="1:23">
      <c r="A113" s="6">
        <f t="shared" si="31"/>
        <v>2010</v>
      </c>
      <c r="B113" s="6"/>
      <c r="C113" s="6"/>
      <c r="D113" s="6"/>
      <c r="E113" s="6"/>
      <c r="F113" s="6"/>
      <c r="G113" s="81">
        <f t="shared" si="32"/>
        <v>0</v>
      </c>
      <c r="H113" s="81">
        <f t="shared" si="32"/>
        <v>0</v>
      </c>
      <c r="I113" s="81">
        <f t="shared" si="32"/>
        <v>0</v>
      </c>
      <c r="J113" s="81">
        <f t="shared" si="32"/>
        <v>0</v>
      </c>
      <c r="K113" s="81">
        <f t="shared" si="32"/>
        <v>0</v>
      </c>
      <c r="L113" s="81">
        <f t="shared" si="32"/>
        <v>0</v>
      </c>
      <c r="M113" s="81">
        <f t="shared" si="32"/>
        <v>0</v>
      </c>
      <c r="N113" s="81">
        <f t="shared" si="32"/>
        <v>0</v>
      </c>
      <c r="O113" s="81">
        <f t="shared" si="32"/>
        <v>0</v>
      </c>
      <c r="P113" s="81">
        <f t="shared" si="32"/>
        <v>0</v>
      </c>
      <c r="Q113" s="81">
        <f t="shared" si="32"/>
        <v>0</v>
      </c>
      <c r="R113" s="81">
        <f t="shared" si="32"/>
        <v>0</v>
      </c>
      <c r="S113" s="81">
        <f t="shared" si="32"/>
        <v>0</v>
      </c>
      <c r="T113" s="81">
        <f t="shared" si="32"/>
        <v>0</v>
      </c>
      <c r="U113" s="81">
        <f t="shared" si="29"/>
        <v>0</v>
      </c>
      <c r="V113" s="81">
        <f t="shared" si="30"/>
        <v>0</v>
      </c>
      <c r="W113" s="87">
        <v>0</v>
      </c>
    </row>
    <row r="114" spans="1:23">
      <c r="A114" s="6">
        <f t="shared" si="31"/>
        <v>2011</v>
      </c>
      <c r="B114" s="6"/>
      <c r="C114" s="6"/>
      <c r="D114" s="6"/>
      <c r="E114" s="6"/>
      <c r="F114" s="6"/>
      <c r="G114" s="81">
        <f t="shared" si="32"/>
        <v>0</v>
      </c>
      <c r="H114" s="81">
        <f t="shared" si="32"/>
        <v>0</v>
      </c>
      <c r="I114" s="81">
        <f t="shared" si="32"/>
        <v>0</v>
      </c>
      <c r="J114" s="81">
        <f t="shared" si="32"/>
        <v>0</v>
      </c>
      <c r="K114" s="81">
        <f t="shared" si="32"/>
        <v>0</v>
      </c>
      <c r="L114" s="81">
        <f t="shared" si="32"/>
        <v>0</v>
      </c>
      <c r="M114" s="81">
        <f t="shared" si="32"/>
        <v>0</v>
      </c>
      <c r="N114" s="81">
        <f t="shared" si="32"/>
        <v>0</v>
      </c>
      <c r="O114" s="81">
        <f t="shared" si="32"/>
        <v>0</v>
      </c>
      <c r="P114" s="81">
        <f t="shared" si="32"/>
        <v>0</v>
      </c>
      <c r="Q114" s="81">
        <f t="shared" si="32"/>
        <v>0</v>
      </c>
      <c r="R114" s="81">
        <f t="shared" si="32"/>
        <v>0</v>
      </c>
      <c r="S114" s="81">
        <f t="shared" si="32"/>
        <v>0</v>
      </c>
      <c r="T114" s="81">
        <f t="shared" si="32"/>
        <v>0</v>
      </c>
      <c r="U114" s="81">
        <f t="shared" si="29"/>
        <v>0</v>
      </c>
      <c r="V114" s="81">
        <f t="shared" si="30"/>
        <v>0</v>
      </c>
      <c r="W114" s="87">
        <v>0</v>
      </c>
    </row>
    <row r="115" spans="1:23">
      <c r="A115" s="6">
        <f t="shared" si="31"/>
        <v>2012</v>
      </c>
      <c r="B115" s="6"/>
      <c r="C115" s="6"/>
      <c r="D115" s="6"/>
      <c r="E115" s="6"/>
      <c r="F115" s="6"/>
      <c r="G115" s="81">
        <f t="shared" si="32"/>
        <v>0</v>
      </c>
      <c r="H115" s="81">
        <f t="shared" si="32"/>
        <v>0</v>
      </c>
      <c r="I115" s="81">
        <f t="shared" si="32"/>
        <v>0</v>
      </c>
      <c r="J115" s="81">
        <f t="shared" si="32"/>
        <v>0</v>
      </c>
      <c r="K115" s="81">
        <f t="shared" si="32"/>
        <v>0</v>
      </c>
      <c r="L115" s="81">
        <f t="shared" si="32"/>
        <v>0</v>
      </c>
      <c r="M115" s="81">
        <f t="shared" si="32"/>
        <v>258.14999999999964</v>
      </c>
      <c r="N115" s="81">
        <f t="shared" si="32"/>
        <v>-258.15000000000003</v>
      </c>
      <c r="O115" s="81">
        <f>'Exhibit V,1'!AA45</f>
        <v>0</v>
      </c>
      <c r="P115" s="81">
        <f t="shared" si="32"/>
        <v>-903.52500000000009</v>
      </c>
      <c r="Q115" s="81">
        <f t="shared" si="32"/>
        <v>903.52499999999964</v>
      </c>
      <c r="R115" s="81">
        <f t="shared" si="32"/>
        <v>0</v>
      </c>
      <c r="S115" s="81">
        <f t="shared" si="32"/>
        <v>46.377267634844571</v>
      </c>
      <c r="T115" s="81">
        <f t="shared" si="32"/>
        <v>0</v>
      </c>
      <c r="U115" s="81">
        <f t="shared" si="29"/>
        <v>46.377267634844571</v>
      </c>
      <c r="V115" s="81">
        <f t="shared" si="30"/>
        <v>46.377267634844571</v>
      </c>
      <c r="W115" s="87">
        <v>0</v>
      </c>
    </row>
    <row r="116" spans="1:23">
      <c r="A116" s="6">
        <f t="shared" si="31"/>
        <v>2013</v>
      </c>
      <c r="B116" s="6"/>
      <c r="C116" s="6"/>
      <c r="D116" s="6"/>
      <c r="E116" s="6"/>
      <c r="F116" s="6"/>
      <c r="G116" s="81">
        <f t="shared" si="32"/>
        <v>-879700</v>
      </c>
      <c r="H116" s="81">
        <f t="shared" si="32"/>
        <v>-879700</v>
      </c>
      <c r="I116" s="81">
        <f t="shared" si="32"/>
        <v>-879700</v>
      </c>
      <c r="J116" s="81">
        <f t="shared" si="32"/>
        <v>-879700</v>
      </c>
      <c r="K116" s="81">
        <f t="shared" si="32"/>
        <v>0</v>
      </c>
      <c r="L116" s="81">
        <f t="shared" si="32"/>
        <v>0</v>
      </c>
      <c r="M116" s="81">
        <f t="shared" si="32"/>
        <v>-221773.09178562229</v>
      </c>
      <c r="N116" s="81">
        <f t="shared" si="32"/>
        <v>240019.35946844204</v>
      </c>
      <c r="O116" s="81">
        <f>'Exhibit V,1'!AA46</f>
        <v>18246.267682819627</v>
      </c>
      <c r="P116" s="81">
        <f t="shared" si="32"/>
        <v>-1101473.0917856223</v>
      </c>
      <c r="Q116" s="81">
        <f t="shared" si="32"/>
        <v>240019.3594684421</v>
      </c>
      <c r="R116" s="81">
        <f t="shared" si="32"/>
        <v>-861453.73231718037</v>
      </c>
      <c r="S116" s="81">
        <f t="shared" si="32"/>
        <v>3400.067589521736</v>
      </c>
      <c r="T116" s="81">
        <f t="shared" si="32"/>
        <v>0</v>
      </c>
      <c r="U116" s="81">
        <f t="shared" si="29"/>
        <v>3400.067589521736</v>
      </c>
      <c r="V116" s="81">
        <f t="shared" si="30"/>
        <v>-858053.66472765862</v>
      </c>
      <c r="W116" s="87">
        <v>29801.002559327229</v>
      </c>
    </row>
    <row r="117" spans="1:23">
      <c r="A117" s="6">
        <f t="shared" si="31"/>
        <v>2014</v>
      </c>
      <c r="B117" s="6"/>
      <c r="C117" s="6"/>
      <c r="D117" s="6"/>
      <c r="E117" s="6"/>
      <c r="F117" s="6"/>
      <c r="G117" s="81">
        <f t="shared" si="32"/>
        <v>31742.017500000075</v>
      </c>
      <c r="H117" s="81">
        <f t="shared" si="32"/>
        <v>155681.25</v>
      </c>
      <c r="I117" s="81">
        <f t="shared" si="32"/>
        <v>-9618.75</v>
      </c>
      <c r="J117" s="81">
        <f t="shared" si="32"/>
        <v>84431.25</v>
      </c>
      <c r="K117" s="81">
        <f t="shared" si="32"/>
        <v>41360.767500000016</v>
      </c>
      <c r="L117" s="81">
        <f t="shared" si="32"/>
        <v>71250</v>
      </c>
      <c r="M117" s="81">
        <f t="shared" si="32"/>
        <v>-209632.21254010941</v>
      </c>
      <c r="N117" s="81">
        <f t="shared" si="32"/>
        <v>223266.53400413616</v>
      </c>
      <c r="O117" s="81">
        <f>'Exhibit V,1'!AA47</f>
        <v>13634.321464026754</v>
      </c>
      <c r="P117" s="81">
        <f t="shared" si="32"/>
        <v>-125200.96254010918</v>
      </c>
      <c r="Q117" s="81">
        <f t="shared" si="32"/>
        <v>294516.53400413622</v>
      </c>
      <c r="R117" s="81">
        <f t="shared" si="32"/>
        <v>169315.57146402681</v>
      </c>
      <c r="S117" s="81">
        <f t="shared" si="32"/>
        <v>10053.153979152967</v>
      </c>
      <c r="T117" s="81">
        <f t="shared" si="32"/>
        <v>1676.0281357729871</v>
      </c>
      <c r="U117" s="81">
        <f t="shared" si="29"/>
        <v>11729.182114925954</v>
      </c>
      <c r="V117" s="81">
        <f t="shared" si="30"/>
        <v>181044.75357895278</v>
      </c>
      <c r="W117" s="87">
        <v>33352.468001615038</v>
      </c>
    </row>
    <row r="118" spans="1:23">
      <c r="A118" s="6">
        <f t="shared" si="31"/>
        <v>2015</v>
      </c>
      <c r="B118" s="6"/>
      <c r="C118" s="6"/>
      <c r="D118" s="6"/>
      <c r="E118" s="6"/>
      <c r="F118" s="6"/>
      <c r="G118" s="81">
        <f t="shared" si="32"/>
        <v>-196300.54900000244</v>
      </c>
      <c r="H118" s="81">
        <f t="shared" si="32"/>
        <v>-196300.56899999827</v>
      </c>
      <c r="I118" s="81">
        <f t="shared" si="32"/>
        <v>-265330.45900000259</v>
      </c>
      <c r="J118" s="81">
        <f t="shared" si="32"/>
        <v>-265330.45900000259</v>
      </c>
      <c r="K118" s="81">
        <f t="shared" si="32"/>
        <v>69029.910000000149</v>
      </c>
      <c r="L118" s="81">
        <f t="shared" si="32"/>
        <v>69029.890000000596</v>
      </c>
      <c r="M118" s="81">
        <f t="shared" si="32"/>
        <v>-8026201.5832029581</v>
      </c>
      <c r="N118" s="81">
        <f t="shared" si="32"/>
        <v>8138345.3946109787</v>
      </c>
      <c r="O118" s="81">
        <f>'Exhibit V,1'!AA48</f>
        <v>112143.81140802242</v>
      </c>
      <c r="P118" s="81">
        <f t="shared" si="32"/>
        <v>-8291532.0422029644</v>
      </c>
      <c r="Q118" s="81">
        <f t="shared" si="32"/>
        <v>8207375.2846109793</v>
      </c>
      <c r="R118" s="81">
        <f t="shared" si="32"/>
        <v>-84156.757591985166</v>
      </c>
      <c r="S118" s="81">
        <f t="shared" si="32"/>
        <v>303397.85043256549</v>
      </c>
      <c r="T118" s="81">
        <f t="shared" si="32"/>
        <v>21893.279085552698</v>
      </c>
      <c r="U118" s="81">
        <f t="shared" si="29"/>
        <v>325291.12951811822</v>
      </c>
      <c r="V118" s="81">
        <f t="shared" si="30"/>
        <v>241134.37192613306</v>
      </c>
      <c r="W118" s="87">
        <v>127658.08441476958</v>
      </c>
    </row>
    <row r="119" spans="1:23">
      <c r="A119" s="6">
        <f t="shared" si="31"/>
        <v>2016</v>
      </c>
      <c r="B119" s="6"/>
      <c r="C119" s="6"/>
      <c r="D119" s="6"/>
      <c r="E119" s="6"/>
      <c r="F119" s="6"/>
      <c r="G119" s="81">
        <f t="shared" si="32"/>
        <v>6056689.0034999996</v>
      </c>
      <c r="H119" s="81">
        <f t="shared" si="32"/>
        <v>7444165.175499998</v>
      </c>
      <c r="I119" s="81">
        <f t="shared" si="32"/>
        <v>4467014.2055000002</v>
      </c>
      <c r="J119" s="81">
        <f t="shared" si="32"/>
        <v>5768214.2054999992</v>
      </c>
      <c r="K119" s="81">
        <f t="shared" si="32"/>
        <v>1589674.7979999997</v>
      </c>
      <c r="L119" s="81">
        <f t="shared" si="32"/>
        <v>1675950.97</v>
      </c>
      <c r="M119" s="81">
        <f t="shared" si="32"/>
        <v>-3235855.6025414318</v>
      </c>
      <c r="N119" s="81">
        <f t="shared" si="32"/>
        <v>3163305.4477134319</v>
      </c>
      <c r="O119" s="81">
        <f>'Exhibit V,1'!AA49</f>
        <v>-72550.154827999882</v>
      </c>
      <c r="P119" s="81">
        <f t="shared" si="32"/>
        <v>2532358.6029585674</v>
      </c>
      <c r="Q119" s="81">
        <f t="shared" si="32"/>
        <v>4839256.4177134326</v>
      </c>
      <c r="R119" s="81">
        <f t="shared" si="32"/>
        <v>7371615.0206720009</v>
      </c>
      <c r="S119" s="81">
        <f t="shared" si="32"/>
        <v>182292.19817987632</v>
      </c>
      <c r="T119" s="81">
        <f t="shared" si="32"/>
        <v>152016.09941700334</v>
      </c>
      <c r="U119" s="81">
        <f t="shared" si="29"/>
        <v>334308.29759687965</v>
      </c>
      <c r="V119" s="81">
        <f t="shared" si="30"/>
        <v>7705923.3182688802</v>
      </c>
      <c r="W119" s="87">
        <v>1615257.8347726341</v>
      </c>
    </row>
    <row r="120" spans="1:23">
      <c r="A120" s="6">
        <f t="shared" si="31"/>
        <v>2017</v>
      </c>
      <c r="B120" s="6"/>
      <c r="C120" s="6"/>
      <c r="D120" s="6"/>
      <c r="E120" s="6"/>
      <c r="F120" s="6"/>
      <c r="G120" s="81">
        <f t="shared" si="32"/>
        <v>-3177009.7155000009</v>
      </c>
      <c r="H120" s="81">
        <f t="shared" si="32"/>
        <v>-2316561.2315000053</v>
      </c>
      <c r="I120" s="81">
        <f t="shared" si="32"/>
        <v>-3546814.4614999993</v>
      </c>
      <c r="J120" s="81">
        <f t="shared" si="32"/>
        <v>-2915064.4615000002</v>
      </c>
      <c r="K120" s="81">
        <f t="shared" si="32"/>
        <v>369804.74599999929</v>
      </c>
      <c r="L120" s="81">
        <f t="shared" si="32"/>
        <v>598503.22999999847</v>
      </c>
      <c r="M120" s="81">
        <f t="shared" si="32"/>
        <v>-38995.464578233659</v>
      </c>
      <c r="N120" s="81">
        <f t="shared" si="32"/>
        <v>6359846.1040816475</v>
      </c>
      <c r="O120" s="81">
        <f>'Exhibit V,1'!AA50</f>
        <v>6320850.6395034119</v>
      </c>
      <c r="P120" s="81">
        <f t="shared" si="32"/>
        <v>-2954059.9260782339</v>
      </c>
      <c r="Q120" s="81">
        <f t="shared" si="32"/>
        <v>6958349.3340816451</v>
      </c>
      <c r="R120" s="81">
        <f t="shared" si="32"/>
        <v>4004289.4080034085</v>
      </c>
      <c r="S120" s="81">
        <f t="shared" si="32"/>
        <v>258288.97450262675</v>
      </c>
      <c r="T120" s="81">
        <f t="shared" si="32"/>
        <v>146127.31833002696</v>
      </c>
      <c r="U120" s="81">
        <f t="shared" si="29"/>
        <v>404416.29283265374</v>
      </c>
      <c r="V120" s="81">
        <f t="shared" si="30"/>
        <v>4408705.7008360624</v>
      </c>
      <c r="W120" s="87">
        <v>3209053.8908765977</v>
      </c>
    </row>
    <row r="121" spans="1:23">
      <c r="A121" s="6">
        <f t="shared" si="31"/>
        <v>2018</v>
      </c>
      <c r="B121" s="6"/>
      <c r="C121" s="6"/>
      <c r="D121" s="6"/>
      <c r="E121" s="6"/>
      <c r="F121" s="6"/>
      <c r="G121" s="81">
        <f t="shared" si="32"/>
        <v>2303708.4165000003</v>
      </c>
      <c r="H121" s="81">
        <f t="shared" si="32"/>
        <v>3193374.6040000021</v>
      </c>
      <c r="I121" s="81">
        <f t="shared" si="32"/>
        <v>1619319.9539999999</v>
      </c>
      <c r="J121" s="81">
        <f t="shared" si="32"/>
        <v>2462919.9539999999</v>
      </c>
      <c r="K121" s="81">
        <f t="shared" si="32"/>
        <v>684388.46250000037</v>
      </c>
      <c r="L121" s="81">
        <f t="shared" si="32"/>
        <v>730454.65000000037</v>
      </c>
      <c r="M121" s="81">
        <f t="shared" si="32"/>
        <v>2381173.2414240893</v>
      </c>
      <c r="N121" s="81">
        <f t="shared" si="32"/>
        <v>4647173.6958264597</v>
      </c>
      <c r="O121" s="81">
        <f>'Exhibit V,1'!AA51</f>
        <v>7028346.937250549</v>
      </c>
      <c r="P121" s="81">
        <f t="shared" si="32"/>
        <v>4844093.1954240892</v>
      </c>
      <c r="Q121" s="81">
        <f t="shared" si="32"/>
        <v>5377628.34582646</v>
      </c>
      <c r="R121" s="81">
        <f t="shared" si="32"/>
        <v>10221721.541250549</v>
      </c>
      <c r="S121" s="81">
        <f t="shared" si="32"/>
        <v>220150.18753040119</v>
      </c>
      <c r="T121" s="81">
        <f t="shared" si="32"/>
        <v>239486.56049004098</v>
      </c>
      <c r="U121" s="81">
        <f t="shared" si="29"/>
        <v>459636.7480204422</v>
      </c>
      <c r="V121" s="81">
        <f t="shared" si="30"/>
        <v>10681358.289270991</v>
      </c>
      <c r="W121" s="87">
        <v>3303576.9345188364</v>
      </c>
    </row>
    <row r="122" spans="1:23">
      <c r="A122" s="6">
        <f t="shared" si="31"/>
        <v>2019</v>
      </c>
      <c r="B122" s="6"/>
      <c r="C122" s="6"/>
      <c r="D122" s="6"/>
      <c r="E122" s="6"/>
      <c r="F122" s="6"/>
      <c r="G122" s="81">
        <f t="shared" si="32"/>
        <v>2072829.1904999998</v>
      </c>
      <c r="H122" s="81">
        <f t="shared" si="32"/>
        <v>2373743.6695000003</v>
      </c>
      <c r="I122" s="81">
        <f t="shared" si="32"/>
        <v>1923643.0595</v>
      </c>
      <c r="J122" s="81">
        <f t="shared" si="32"/>
        <v>2188693.0595</v>
      </c>
      <c r="K122" s="81">
        <f t="shared" si="32"/>
        <v>149186.13099999999</v>
      </c>
      <c r="L122" s="81">
        <f t="shared" si="32"/>
        <v>185050.61000000004</v>
      </c>
      <c r="M122" s="81">
        <f t="shared" si="32"/>
        <v>1600755.3644816363</v>
      </c>
      <c r="N122" s="81">
        <f t="shared" si="32"/>
        <v>269557.91961945151</v>
      </c>
      <c r="O122" s="81">
        <f>'Exhibit V,1'!AA52</f>
        <v>1870313.2841010878</v>
      </c>
      <c r="P122" s="81">
        <f t="shared" si="32"/>
        <v>3789448.4239816358</v>
      </c>
      <c r="Q122" s="81">
        <f t="shared" si="32"/>
        <v>454608.5296194515</v>
      </c>
      <c r="R122" s="81">
        <f t="shared" si="32"/>
        <v>4244056.9536010874</v>
      </c>
      <c r="S122" s="81">
        <f t="shared" si="32"/>
        <v>40508.853742469211</v>
      </c>
      <c r="T122" s="81">
        <f t="shared" si="32"/>
        <v>134008.26694074771</v>
      </c>
      <c r="U122" s="81">
        <f t="shared" si="29"/>
        <v>174517.12068321693</v>
      </c>
      <c r="V122" s="81">
        <f t="shared" si="30"/>
        <v>4418574.0742843039</v>
      </c>
      <c r="W122" s="87">
        <v>3068676.9275657535</v>
      </c>
    </row>
    <row r="123" spans="1:23">
      <c r="A123" s="6">
        <f t="shared" si="31"/>
        <v>2020</v>
      </c>
      <c r="B123" s="6"/>
      <c r="C123" s="6"/>
      <c r="D123" s="6"/>
      <c r="E123" s="6"/>
      <c r="F123" s="6"/>
      <c r="G123" s="81">
        <f t="shared" si="32"/>
        <v>-127110</v>
      </c>
      <c r="H123" s="81">
        <f t="shared" si="32"/>
        <v>-122012.01</v>
      </c>
      <c r="I123" s="81">
        <f t="shared" si="32"/>
        <v>-136325</v>
      </c>
      <c r="J123" s="81">
        <f t="shared" si="32"/>
        <v>-136325</v>
      </c>
      <c r="K123" s="81">
        <f t="shared" si="32"/>
        <v>9215</v>
      </c>
      <c r="L123" s="81">
        <f t="shared" si="32"/>
        <v>14312.990000000005</v>
      </c>
      <c r="M123" s="81">
        <f t="shared" si="32"/>
        <v>2251461.2795579201</v>
      </c>
      <c r="N123" s="81">
        <f t="shared" si="32"/>
        <v>864936.84770233836</v>
      </c>
      <c r="O123" s="81">
        <f>'Exhibit V,1'!AA53</f>
        <v>3116398.1272602584</v>
      </c>
      <c r="P123" s="81">
        <f t="shared" si="32"/>
        <v>2115136.2795579201</v>
      </c>
      <c r="Q123" s="81">
        <f t="shared" si="32"/>
        <v>879249.83770233835</v>
      </c>
      <c r="R123" s="81">
        <f t="shared" si="32"/>
        <v>2994386.1172602582</v>
      </c>
      <c r="S123" s="81">
        <f t="shared" si="32"/>
        <v>54857.723859734186</v>
      </c>
      <c r="T123" s="81">
        <f t="shared" si="32"/>
        <v>575.41497767183102</v>
      </c>
      <c r="U123" s="81">
        <f t="shared" si="29"/>
        <v>55433.138837406019</v>
      </c>
      <c r="V123" s="81">
        <f t="shared" si="30"/>
        <v>3049819.2560976641</v>
      </c>
      <c r="W123" s="87">
        <v>1018989.8377600077</v>
      </c>
    </row>
    <row r="124" spans="1:23">
      <c r="A124" s="6"/>
      <c r="B124" s="6"/>
      <c r="D124" s="6"/>
      <c r="E124" s="6"/>
      <c r="F124" s="6"/>
      <c r="G124" s="81">
        <f t="shared" si="32"/>
        <v>0</v>
      </c>
      <c r="H124" s="81">
        <f t="shared" si="32"/>
        <v>0</v>
      </c>
      <c r="I124" s="81">
        <f t="shared" si="32"/>
        <v>0</v>
      </c>
      <c r="J124" s="81">
        <f t="shared" si="32"/>
        <v>0</v>
      </c>
      <c r="K124" s="81">
        <f t="shared" si="32"/>
        <v>0</v>
      </c>
      <c r="L124" s="81">
        <f t="shared" si="32"/>
        <v>0</v>
      </c>
      <c r="M124" s="81">
        <f t="shared" si="32"/>
        <v>0</v>
      </c>
      <c r="N124" s="81">
        <f t="shared" si="32"/>
        <v>0</v>
      </c>
      <c r="O124" s="81">
        <f>'AF1'!AA52</f>
        <v>0</v>
      </c>
      <c r="P124" s="81">
        <f t="shared" si="32"/>
        <v>0</v>
      </c>
      <c r="Q124" s="81">
        <f t="shared" si="32"/>
        <v>0</v>
      </c>
      <c r="R124" s="81">
        <f t="shared" si="32"/>
        <v>0</v>
      </c>
      <c r="S124" s="81">
        <f t="shared" si="32"/>
        <v>0</v>
      </c>
      <c r="T124" s="81">
        <f t="shared" si="32"/>
        <v>0</v>
      </c>
      <c r="U124" s="81">
        <f t="shared" si="29"/>
        <v>0</v>
      </c>
      <c r="V124" s="81">
        <f t="shared" si="30"/>
        <v>0</v>
      </c>
      <c r="W124" s="87">
        <v>0</v>
      </c>
    </row>
    <row r="125" spans="1:23">
      <c r="A125" s="6" t="s">
        <v>0</v>
      </c>
      <c r="B125" s="82">
        <f>SUM(B95:B123)</f>
        <v>0</v>
      </c>
      <c r="C125" s="82">
        <f>SUM(C95:C123)</f>
        <v>0</v>
      </c>
      <c r="D125" s="82">
        <f t="shared" ref="D125:Q125" si="33">SUM(D95:D123)</f>
        <v>0</v>
      </c>
      <c r="E125" s="82">
        <f t="shared" si="33"/>
        <v>0</v>
      </c>
      <c r="F125" s="82">
        <f t="shared" si="33"/>
        <v>0</v>
      </c>
      <c r="G125" s="82">
        <f>SUM(G95:G123)</f>
        <v>6084848.3634999963</v>
      </c>
      <c r="H125" s="82">
        <f t="shared" si="33"/>
        <v>9652390.8884999976</v>
      </c>
      <c r="I125" s="82">
        <f t="shared" si="33"/>
        <v>3172188.5484999982</v>
      </c>
      <c r="J125" s="82">
        <f t="shared" si="33"/>
        <v>6307838.5484999958</v>
      </c>
      <c r="K125" s="82">
        <f t="shared" si="33"/>
        <v>2912659.8149999995</v>
      </c>
      <c r="L125" s="82">
        <f t="shared" si="33"/>
        <v>3344552.3399999994</v>
      </c>
      <c r="M125" s="82">
        <f t="shared" si="33"/>
        <v>-5498809.919184709</v>
      </c>
      <c r="N125" s="82">
        <f t="shared" si="33"/>
        <v>23906193.153026886</v>
      </c>
      <c r="O125" s="82">
        <f t="shared" si="33"/>
        <v>18407383.233842175</v>
      </c>
      <c r="P125" s="82">
        <f t="shared" si="33"/>
        <v>807866.9543152824</v>
      </c>
      <c r="Q125" s="82">
        <f t="shared" si="33"/>
        <v>27251907.168026887</v>
      </c>
      <c r="R125" s="82">
        <f>SUM(R95:R123)</f>
        <v>28059774.122342169</v>
      </c>
      <c r="S125" s="82">
        <f>SUM(S95:S123)</f>
        <v>1072995.3870839828</v>
      </c>
      <c r="T125" s="82">
        <f>SUM(T95:T123)</f>
        <v>695782.96737681644</v>
      </c>
      <c r="U125" s="82">
        <f>SUM(U95:U123)</f>
        <v>1768778.3544607991</v>
      </c>
      <c r="V125" s="82">
        <f>SUM(V95:V123)</f>
        <v>29828552.476802964</v>
      </c>
      <c r="W125" s="90">
        <v>12406366.980469542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sheetPr codeName="Sheet106">
    <tabColor rgb="FFFF0000"/>
  </sheetPr>
  <dimension ref="A5:X142"/>
  <sheetViews>
    <sheetView topLeftCell="E1" workbookViewId="0">
      <selection activeCell="A6" sqref="A6"/>
    </sheetView>
  </sheetViews>
  <sheetFormatPr baseColWidth="10" defaultColWidth="8.7109375" defaultRowHeight="15"/>
  <cols>
    <col min="1" max="17" width="12.7109375" style="1" customWidth="1"/>
    <col min="18" max="18" width="15.7109375" style="1" customWidth="1"/>
    <col min="19" max="21" width="12.7109375" style="1" customWidth="1"/>
    <col min="22" max="22" width="15.7109375" style="1" customWidth="1"/>
    <col min="23" max="24" width="12.7109375" style="1" customWidth="1"/>
    <col min="25" max="16384" width="8.7109375" style="1"/>
  </cols>
  <sheetData>
    <row r="5" spans="1:24" ht="16">
      <c r="A5" s="4"/>
      <c r="B5" s="4"/>
      <c r="H5" s="4"/>
      <c r="I5" s="4"/>
      <c r="J5" s="51" t="s">
        <v>872</v>
      </c>
      <c r="K5" s="4"/>
      <c r="L5" s="4"/>
    </row>
    <row r="6" spans="1:24" ht="16">
      <c r="A6" s="4"/>
      <c r="B6" s="4"/>
      <c r="H6" s="5" t="s">
        <v>845</v>
      </c>
      <c r="I6" s="5"/>
      <c r="J6" s="5"/>
      <c r="K6" s="5"/>
      <c r="L6" s="5"/>
    </row>
    <row r="7" spans="1:24">
      <c r="J7" s="1" t="s">
        <v>658</v>
      </c>
    </row>
    <row r="8" spans="1:24">
      <c r="I8" s="6"/>
      <c r="J8" s="6" t="s">
        <v>659</v>
      </c>
      <c r="K8" s="6"/>
      <c r="L8" s="6"/>
    </row>
    <row r="9" spans="1:24">
      <c r="A9" s="6" t="s">
        <v>9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1:24">
      <c r="A10" s="6"/>
      <c r="B10" s="27" t="s">
        <v>665</v>
      </c>
      <c r="C10" s="27" t="s">
        <v>523</v>
      </c>
      <c r="D10" s="27" t="s">
        <v>523</v>
      </c>
      <c r="E10" s="27" t="s">
        <v>523</v>
      </c>
      <c r="F10" s="27" t="s">
        <v>523</v>
      </c>
      <c r="H10" s="6"/>
      <c r="I10" s="6"/>
      <c r="J10" s="6"/>
      <c r="K10" s="6"/>
      <c r="L10" s="6"/>
      <c r="N10" s="79">
        <v>0.22500000000000001</v>
      </c>
      <c r="O10" s="6"/>
      <c r="P10" s="6"/>
      <c r="Q10" s="6"/>
      <c r="R10" s="6" t="s">
        <v>67</v>
      </c>
      <c r="S10" s="6"/>
      <c r="T10" s="6"/>
      <c r="U10" s="6"/>
      <c r="V10" s="6" t="s">
        <v>67</v>
      </c>
      <c r="W10" s="6"/>
    </row>
    <row r="11" spans="1:24">
      <c r="A11" s="6" t="s">
        <v>3</v>
      </c>
      <c r="B11" s="27" t="s">
        <v>524</v>
      </c>
      <c r="C11" s="27" t="s">
        <v>524</v>
      </c>
      <c r="D11" s="27" t="s">
        <v>524</v>
      </c>
      <c r="E11" s="27" t="s">
        <v>528</v>
      </c>
      <c r="F11" s="27" t="s">
        <v>528</v>
      </c>
      <c r="G11" s="6" t="s">
        <v>14</v>
      </c>
      <c r="H11" s="6" t="s">
        <v>12</v>
      </c>
      <c r="I11" s="6" t="s">
        <v>14</v>
      </c>
      <c r="J11" s="6" t="s">
        <v>12</v>
      </c>
      <c r="K11" s="6" t="s">
        <v>14</v>
      </c>
      <c r="L11" s="6" t="s">
        <v>12</v>
      </c>
      <c r="M11" s="6" t="s">
        <v>381</v>
      </c>
      <c r="N11" s="6" t="s">
        <v>381</v>
      </c>
      <c r="O11" s="6" t="s">
        <v>381</v>
      </c>
      <c r="P11" s="6" t="s">
        <v>660</v>
      </c>
      <c r="Q11" s="6" t="s">
        <v>67</v>
      </c>
      <c r="R11" s="6" t="s">
        <v>662</v>
      </c>
      <c r="S11" s="6" t="s">
        <v>661</v>
      </c>
      <c r="T11" s="6" t="s">
        <v>661</v>
      </c>
      <c r="U11" s="6" t="s">
        <v>67</v>
      </c>
      <c r="V11" s="6" t="s">
        <v>663</v>
      </c>
      <c r="W11" s="6" t="s">
        <v>177</v>
      </c>
    </row>
    <row r="12" spans="1:24">
      <c r="A12" s="6" t="s">
        <v>4</v>
      </c>
      <c r="B12" s="28" t="s">
        <v>672</v>
      </c>
      <c r="C12" s="28" t="s">
        <v>671</v>
      </c>
      <c r="D12" s="28" t="s">
        <v>525</v>
      </c>
      <c r="E12" s="28" t="s">
        <v>671</v>
      </c>
      <c r="F12" s="28" t="s">
        <v>525</v>
      </c>
      <c r="G12" s="6" t="s">
        <v>0</v>
      </c>
      <c r="H12" s="6" t="s">
        <v>0</v>
      </c>
      <c r="I12" s="6" t="s">
        <v>566</v>
      </c>
      <c r="J12" s="6" t="s">
        <v>566</v>
      </c>
      <c r="K12" s="6" t="s">
        <v>567</v>
      </c>
      <c r="L12" s="6" t="s">
        <v>567</v>
      </c>
      <c r="M12" s="6" t="s">
        <v>566</v>
      </c>
      <c r="N12" s="6" t="s">
        <v>567</v>
      </c>
      <c r="O12" s="6" t="s">
        <v>0</v>
      </c>
      <c r="P12" s="6" t="s">
        <v>566</v>
      </c>
      <c r="Q12" s="6" t="s">
        <v>567</v>
      </c>
      <c r="R12" s="6" t="s">
        <v>0</v>
      </c>
      <c r="S12" s="6" t="s">
        <v>117</v>
      </c>
      <c r="T12" s="6" t="s">
        <v>14</v>
      </c>
      <c r="U12" s="6" t="s">
        <v>661</v>
      </c>
      <c r="V12" s="6" t="s">
        <v>0</v>
      </c>
      <c r="W12" s="6" t="s">
        <v>16</v>
      </c>
    </row>
    <row r="13" spans="1:24">
      <c r="A13" s="10">
        <v>-1</v>
      </c>
      <c r="B13" s="10">
        <f>A13-1</f>
        <v>-2</v>
      </c>
      <c r="C13" s="10">
        <f>B13-1</f>
        <v>-3</v>
      </c>
      <c r="D13" s="10">
        <f t="shared" ref="D13:W13" si="0">C13-1</f>
        <v>-4</v>
      </c>
      <c r="E13" s="10">
        <f t="shared" si="0"/>
        <v>-5</v>
      </c>
      <c r="F13" s="10">
        <f t="shared" si="0"/>
        <v>-6</v>
      </c>
      <c r="G13" s="10">
        <f t="shared" si="0"/>
        <v>-7</v>
      </c>
      <c r="H13" s="10">
        <f t="shared" si="0"/>
        <v>-8</v>
      </c>
      <c r="I13" s="10">
        <f t="shared" si="0"/>
        <v>-9</v>
      </c>
      <c r="J13" s="10">
        <f t="shared" si="0"/>
        <v>-10</v>
      </c>
      <c r="K13" s="10">
        <f t="shared" si="0"/>
        <v>-11</v>
      </c>
      <c r="L13" s="10">
        <f t="shared" si="0"/>
        <v>-12</v>
      </c>
      <c r="M13" s="10">
        <f>L13-1</f>
        <v>-13</v>
      </c>
      <c r="N13" s="10">
        <f t="shared" si="0"/>
        <v>-14</v>
      </c>
      <c r="O13" s="10">
        <f t="shared" si="0"/>
        <v>-15</v>
      </c>
      <c r="P13" s="10">
        <f t="shared" si="0"/>
        <v>-16</v>
      </c>
      <c r="Q13" s="10">
        <f t="shared" si="0"/>
        <v>-17</v>
      </c>
      <c r="R13" s="10">
        <f t="shared" si="0"/>
        <v>-18</v>
      </c>
      <c r="S13" s="10">
        <f t="shared" si="0"/>
        <v>-19</v>
      </c>
      <c r="T13" s="10">
        <f t="shared" si="0"/>
        <v>-20</v>
      </c>
      <c r="U13" s="10">
        <f t="shared" si="0"/>
        <v>-21</v>
      </c>
      <c r="V13" s="10">
        <f t="shared" si="0"/>
        <v>-22</v>
      </c>
      <c r="W13" s="10">
        <f t="shared" si="0"/>
        <v>-23</v>
      </c>
    </row>
    <row r="14" spans="1:24">
      <c r="A14" s="80"/>
      <c r="B14" s="80"/>
      <c r="C14" s="6"/>
      <c r="D14" s="6"/>
      <c r="E14" s="6"/>
      <c r="F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</row>
    <row r="15" spans="1:24">
      <c r="A15" s="6">
        <v>1992</v>
      </c>
      <c r="B15" s="81">
        <f>'AD8 Stat'!B15+'AD9'!B15+'AD10'!B15+'AD11'!B15+'AD12'!B15+'AD13'!B15</f>
        <v>0</v>
      </c>
      <c r="C15" s="81">
        <f>'AD8 Stat'!C15+'AD9'!C15+'AD10'!C15+'AD11'!C15+'AD12'!C15+'AD13'!C15</f>
        <v>34683046.140000001</v>
      </c>
      <c r="D15" s="81">
        <f>'AD8 Stat'!D15+'AD9'!D15+'AD10'!D15+'AD11'!D15+'AD12'!D15+'AD13'!D15</f>
        <v>34683046.140000001</v>
      </c>
      <c r="E15" s="81">
        <f>'AD8 Stat'!E15+'AD9'!E15+'AD10'!E15+'AD11'!E15+'AD12'!E15+'AD13'!E15</f>
        <v>34683046.140000001</v>
      </c>
      <c r="F15" s="81">
        <f>'AD8 Stat'!F15+'AD9'!F15+'AD10'!F15+'AD11'!F15+'AD12'!F15+'AD13'!F15</f>
        <v>34683046.140000001</v>
      </c>
      <c r="G15" s="81">
        <f>'AD8 Stat'!G15+'AD9'!G15+'AD10'!G15+'AD11'!G15+'AD12'!G15+'AD13'!G15</f>
        <v>69366092.280000001</v>
      </c>
      <c r="H15" s="81">
        <f>'AD8 Stat'!H15+'AD9'!H15+'AD10'!H15+'AD11'!H15+'AD12'!H15+'AD13'!H15</f>
        <v>69366092.280000001</v>
      </c>
      <c r="I15" s="81">
        <f>'AD8 Stat'!I15+'AD9'!I15+'AD10'!I15+'AD11'!I15+'AD12'!I15+'AD13'!I15</f>
        <v>34683046.140000001</v>
      </c>
      <c r="J15" s="81">
        <f>'AD8 Stat'!J15+'AD9'!J15+'AD10'!J15+'AD11'!J15+'AD12'!J15+'AD13'!J15</f>
        <v>34683046.140000001</v>
      </c>
      <c r="K15" s="81">
        <f>'AD8 Stat'!K15+'AD9'!K15+'AD10'!K15+'AD11'!K15+'AD12'!K15+'AD13'!K15</f>
        <v>34683046.140000001</v>
      </c>
      <c r="L15" s="81">
        <f>'AD8 Stat'!L15+'AD9'!L15+'AD10'!L15+'AD11'!L15+'AD12'!L15+'AD13'!L15</f>
        <v>34683046.140000001</v>
      </c>
      <c r="M15" s="81">
        <f>'AD8 Stat'!M15+'AD9'!M15+'AD10'!M15+'AD11'!M15+'AD12'!M15+'AD13'!M15</f>
        <v>0</v>
      </c>
      <c r="N15" s="81">
        <f>'AD8 Stat'!N15+'AD9'!N15+'AD10'!N15+'AD11'!N15+'AD12'!N15+'AD13'!N15</f>
        <v>0</v>
      </c>
      <c r="O15" s="81">
        <f>'AD8 Stat'!O15+'AD9'!O15+'AD10'!O15+'AD11'!O15+'AD12'!O15+'AD13'!O15</f>
        <v>0</v>
      </c>
      <c r="P15" s="81">
        <f>'AD8 Stat'!P15+'AD9'!P15+'AD10'!P15+'AD11'!P15+'AD12'!P15+'AD13'!P15</f>
        <v>34683046.140000001</v>
      </c>
      <c r="Q15" s="81">
        <f>'AD8 Stat'!Q15+'AD9'!Q15+'AD10'!Q15+'AD11'!Q15+'AD12'!Q15+'AD13'!Q15</f>
        <v>34683046.140000001</v>
      </c>
      <c r="R15" s="81">
        <f>'AD8 Stat'!R15+'AD9'!R15+'AD10'!R15+'AD11'!R15+'AD12'!R15+'AD13'!R15</f>
        <v>69366092.280000001</v>
      </c>
      <c r="S15" s="81">
        <f>'AD8 Stat'!S15+'AD9'!S15+'AD10'!S15+'AD11'!S15+'AD12'!S15+'AD13'!S15</f>
        <v>0</v>
      </c>
      <c r="T15" s="81">
        <f>'AD8 Stat'!T15+'AD9'!T15+'AD10'!T15+'AD11'!T15+'AD12'!T15+'AD13'!T15</f>
        <v>0</v>
      </c>
      <c r="U15" s="81">
        <f>'AD8 Stat'!U15+'AD9'!U15+'AD10'!U15+'AD11'!U15+'AD12'!U15+'AD13'!U15</f>
        <v>0</v>
      </c>
      <c r="V15" s="81">
        <f>'AD8 Stat'!V15+'AD9'!V15+'AD10'!V15+'AD11'!V15+'AD12'!V15+'AD13'!V15</f>
        <v>69366092.280000001</v>
      </c>
      <c r="W15" s="81">
        <f>'AD8 Stat'!W15+'AD9'!W15+'AD10'!W15+'AD11'!W15+'AD12'!W15+'AD13'!W15</f>
        <v>0</v>
      </c>
      <c r="X15" s="17"/>
    </row>
    <row r="16" spans="1:24">
      <c r="A16" s="6">
        <f>A15+1</f>
        <v>1993</v>
      </c>
      <c r="B16" s="81">
        <f>'AD8 Stat'!B16+'AD9'!B16+'AD10'!B16+'AD11'!B16+'AD12'!B16+'AD13'!B16</f>
        <v>0</v>
      </c>
      <c r="C16" s="81">
        <f>'AD8 Stat'!C16+'AD9'!C16+'AD10'!C16+'AD11'!C16+'AD12'!C16+'AD13'!C16</f>
        <v>53979371.119999997</v>
      </c>
      <c r="D16" s="81">
        <f>'AD8 Stat'!D16+'AD9'!D16+'AD10'!D16+'AD11'!D16+'AD12'!D16+'AD13'!D16</f>
        <v>53979371.119999997</v>
      </c>
      <c r="E16" s="81">
        <f>'AD8 Stat'!E16+'AD9'!E16+'AD10'!E16+'AD11'!E16+'AD12'!E16+'AD13'!E16</f>
        <v>53979371.119999997</v>
      </c>
      <c r="F16" s="81">
        <f>'AD8 Stat'!F16+'AD9'!F16+'AD10'!F16+'AD11'!F16+'AD12'!F16+'AD13'!F16</f>
        <v>53979371.119999997</v>
      </c>
      <c r="G16" s="81">
        <f>'AD8 Stat'!G16+'AD9'!G16+'AD10'!G16+'AD11'!G16+'AD12'!G16+'AD13'!G16</f>
        <v>107958742.23999999</v>
      </c>
      <c r="H16" s="81">
        <f>'AD8 Stat'!H16+'AD9'!H16+'AD10'!H16+'AD11'!H16+'AD12'!H16+'AD13'!H16</f>
        <v>107958742.23999999</v>
      </c>
      <c r="I16" s="81">
        <f>'AD8 Stat'!I16+'AD9'!I16+'AD10'!I16+'AD11'!I16+'AD12'!I16+'AD13'!I16</f>
        <v>53979371.119999997</v>
      </c>
      <c r="J16" s="81">
        <f>'AD8 Stat'!J16+'AD9'!J16+'AD10'!J16+'AD11'!J16+'AD12'!J16+'AD13'!J16</f>
        <v>53979371.119999997</v>
      </c>
      <c r="K16" s="81">
        <f>'AD8 Stat'!K16+'AD9'!K16+'AD10'!K16+'AD11'!K16+'AD12'!K16+'AD13'!K16</f>
        <v>53979371.119999997</v>
      </c>
      <c r="L16" s="81">
        <f>'AD8 Stat'!L16+'AD9'!L16+'AD10'!L16+'AD11'!L16+'AD12'!L16+'AD13'!L16</f>
        <v>53979371.119999997</v>
      </c>
      <c r="M16" s="81">
        <f>'AD8 Stat'!M16+'AD9'!M16+'AD10'!M16+'AD11'!M16+'AD12'!M16+'AD13'!M16</f>
        <v>0</v>
      </c>
      <c r="N16" s="81">
        <f>'AD8 Stat'!N16+'AD9'!N16+'AD10'!N16+'AD11'!N16+'AD12'!N16+'AD13'!N16</f>
        <v>0</v>
      </c>
      <c r="O16" s="81">
        <f>'AD8 Stat'!O16+'AD9'!O16+'AD10'!O16+'AD11'!O16+'AD12'!O16+'AD13'!O16</f>
        <v>0</v>
      </c>
      <c r="P16" s="81">
        <f>'AD8 Stat'!P16+'AD9'!P16+'AD10'!P16+'AD11'!P16+'AD12'!P16+'AD13'!P16</f>
        <v>53979371.119999997</v>
      </c>
      <c r="Q16" s="81">
        <f>'AD8 Stat'!Q16+'AD9'!Q16+'AD10'!Q16+'AD11'!Q16+'AD12'!Q16+'AD13'!Q16</f>
        <v>53979371.119999997</v>
      </c>
      <c r="R16" s="81">
        <f>'AD8 Stat'!R16+'AD9'!R16+'AD10'!R16+'AD11'!R16+'AD12'!R16+'AD13'!R16</f>
        <v>107958742.23999999</v>
      </c>
      <c r="S16" s="81">
        <f>'AD8 Stat'!S16+'AD9'!S16+'AD10'!S16+'AD11'!S16+'AD12'!S16+'AD13'!S16</f>
        <v>0</v>
      </c>
      <c r="T16" s="81">
        <f>'AD8 Stat'!T16+'AD9'!T16+'AD10'!T16+'AD11'!T16+'AD12'!T16+'AD13'!T16</f>
        <v>0</v>
      </c>
      <c r="U16" s="81">
        <f>'AD8 Stat'!U16+'AD9'!U16+'AD10'!U16+'AD11'!U16+'AD12'!U16+'AD13'!U16</f>
        <v>0</v>
      </c>
      <c r="V16" s="81">
        <f>'AD8 Stat'!V16+'AD9'!V16+'AD10'!V16+'AD11'!V16+'AD12'!V16+'AD13'!V16</f>
        <v>107958742.23999999</v>
      </c>
      <c r="W16" s="81">
        <f>'AD8 Stat'!W16+'AD9'!W16+'AD10'!W16+'AD11'!W16+'AD12'!W16+'AD13'!W16</f>
        <v>0</v>
      </c>
      <c r="X16" s="17"/>
    </row>
    <row r="17" spans="1:24">
      <c r="A17" s="6">
        <f t="shared" ref="A17:A43" si="1">A16+1</f>
        <v>1994</v>
      </c>
      <c r="B17" s="81">
        <f>'AD8 Stat'!B17+'AD9'!B17+'AD10'!B17+'AD11'!B17+'AD12'!B17+'AD13'!B17</f>
        <v>0</v>
      </c>
      <c r="C17" s="81">
        <f>'AD8 Stat'!C17+'AD9'!C17+'AD10'!C17+'AD11'!C17+'AD12'!C17+'AD13'!C17</f>
        <v>47587557.219999999</v>
      </c>
      <c r="D17" s="81">
        <f>'AD8 Stat'!D17+'AD9'!D17+'AD10'!D17+'AD11'!D17+'AD12'!D17+'AD13'!D17</f>
        <v>47587557.219999999</v>
      </c>
      <c r="E17" s="81">
        <f>'AD8 Stat'!E17+'AD9'!E17+'AD10'!E17+'AD11'!E17+'AD12'!E17+'AD13'!E17</f>
        <v>47587557.219999999</v>
      </c>
      <c r="F17" s="81">
        <f>'AD8 Stat'!F17+'AD9'!F17+'AD10'!F17+'AD11'!F17+'AD12'!F17+'AD13'!F17</f>
        <v>47587557.219999999</v>
      </c>
      <c r="G17" s="81">
        <f>'AD8 Stat'!G17+'AD9'!G17+'AD10'!G17+'AD11'!G17+'AD12'!G17+'AD13'!G17</f>
        <v>95175114.439999998</v>
      </c>
      <c r="H17" s="81">
        <f>'AD8 Stat'!H17+'AD9'!H17+'AD10'!H17+'AD11'!H17+'AD12'!H17+'AD13'!H17</f>
        <v>95175114.439999998</v>
      </c>
      <c r="I17" s="81">
        <f>'AD8 Stat'!I17+'AD9'!I17+'AD10'!I17+'AD11'!I17+'AD12'!I17+'AD13'!I17</f>
        <v>47587557.219999999</v>
      </c>
      <c r="J17" s="81">
        <f>'AD8 Stat'!J17+'AD9'!J17+'AD10'!J17+'AD11'!J17+'AD12'!J17+'AD13'!J17</f>
        <v>47587557.219999999</v>
      </c>
      <c r="K17" s="81">
        <f>'AD8 Stat'!K17+'AD9'!K17+'AD10'!K17+'AD11'!K17+'AD12'!K17+'AD13'!K17</f>
        <v>47587557.219999999</v>
      </c>
      <c r="L17" s="81">
        <f>'AD8 Stat'!L17+'AD9'!L17+'AD10'!L17+'AD11'!L17+'AD12'!L17+'AD13'!L17</f>
        <v>47587557.219999999</v>
      </c>
      <c r="M17" s="81">
        <f>'AD8 Stat'!M17+'AD9'!M17+'AD10'!M17+'AD11'!M17+'AD12'!M17+'AD13'!M17</f>
        <v>0</v>
      </c>
      <c r="N17" s="81">
        <f>'AD8 Stat'!N17+'AD9'!N17+'AD10'!N17+'AD11'!N17+'AD12'!N17+'AD13'!N17</f>
        <v>0</v>
      </c>
      <c r="O17" s="81">
        <f>'AD8 Stat'!O17+'AD9'!O17+'AD10'!O17+'AD11'!O17+'AD12'!O17+'AD13'!O17</f>
        <v>0</v>
      </c>
      <c r="P17" s="81">
        <f>'AD8 Stat'!P17+'AD9'!P17+'AD10'!P17+'AD11'!P17+'AD12'!P17+'AD13'!P17</f>
        <v>47587557.219999999</v>
      </c>
      <c r="Q17" s="81">
        <f>'AD8 Stat'!Q17+'AD9'!Q17+'AD10'!Q17+'AD11'!Q17+'AD12'!Q17+'AD13'!Q17</f>
        <v>47587557.219999999</v>
      </c>
      <c r="R17" s="81">
        <f>'AD8 Stat'!R17+'AD9'!R17+'AD10'!R17+'AD11'!R17+'AD12'!R17+'AD13'!R17</f>
        <v>95175114.439999998</v>
      </c>
      <c r="S17" s="81">
        <f>'AD8 Stat'!S17+'AD9'!S17+'AD10'!S17+'AD11'!S17+'AD12'!S17+'AD13'!S17</f>
        <v>0</v>
      </c>
      <c r="T17" s="81">
        <f>'AD8 Stat'!T17+'AD9'!T17+'AD10'!T17+'AD11'!T17+'AD12'!T17+'AD13'!T17</f>
        <v>0</v>
      </c>
      <c r="U17" s="81">
        <f>'AD8 Stat'!U17+'AD9'!U17+'AD10'!U17+'AD11'!U17+'AD12'!U17+'AD13'!U17</f>
        <v>0</v>
      </c>
      <c r="V17" s="81">
        <f>'AD8 Stat'!V17+'AD9'!V17+'AD10'!V17+'AD11'!V17+'AD12'!V17+'AD13'!V17</f>
        <v>95175114.439999998</v>
      </c>
      <c r="W17" s="81">
        <f>'AD8 Stat'!W17+'AD9'!W17+'AD10'!W17+'AD11'!W17+'AD12'!W17+'AD13'!W17</f>
        <v>0</v>
      </c>
      <c r="X17" s="17"/>
    </row>
    <row r="18" spans="1:24">
      <c r="A18" s="6">
        <f t="shared" si="1"/>
        <v>1995</v>
      </c>
      <c r="B18" s="81">
        <f>'AD8 Stat'!B18+'AD9'!B18+'AD10'!B18+'AD11'!B18+'AD12'!B18+'AD13'!B18</f>
        <v>0</v>
      </c>
      <c r="C18" s="81">
        <f>'AD8 Stat'!C18+'AD9'!C18+'AD10'!C18+'AD11'!C18+'AD12'!C18+'AD13'!C18</f>
        <v>38095972.339999996</v>
      </c>
      <c r="D18" s="81">
        <f>'AD8 Stat'!D18+'AD9'!D18+'AD10'!D18+'AD11'!D18+'AD12'!D18+'AD13'!D18</f>
        <v>38095972.339999996</v>
      </c>
      <c r="E18" s="81">
        <f>'AD8 Stat'!E18+'AD9'!E18+'AD10'!E18+'AD11'!E18+'AD12'!E18+'AD13'!E18</f>
        <v>38095972.339999996</v>
      </c>
      <c r="F18" s="81">
        <f>'AD8 Stat'!F18+'AD9'!F18+'AD10'!F18+'AD11'!F18+'AD12'!F18+'AD13'!F18</f>
        <v>38095972.339999996</v>
      </c>
      <c r="G18" s="81">
        <f>'AD8 Stat'!G18+'AD9'!G18+'AD10'!G18+'AD11'!G18+'AD12'!G18+'AD13'!G18</f>
        <v>76191944.679999992</v>
      </c>
      <c r="H18" s="81">
        <f>'AD8 Stat'!H18+'AD9'!H18+'AD10'!H18+'AD11'!H18+'AD12'!H18+'AD13'!H18</f>
        <v>76191944.679999992</v>
      </c>
      <c r="I18" s="81">
        <f>'AD8 Stat'!I18+'AD9'!I18+'AD10'!I18+'AD11'!I18+'AD12'!I18+'AD13'!I18</f>
        <v>38095972.339999996</v>
      </c>
      <c r="J18" s="81">
        <f>'AD8 Stat'!J18+'AD9'!J18+'AD10'!J18+'AD11'!J18+'AD12'!J18+'AD13'!J18</f>
        <v>38095972.339999996</v>
      </c>
      <c r="K18" s="81">
        <f>'AD8 Stat'!K18+'AD9'!K18+'AD10'!K18+'AD11'!K18+'AD12'!K18+'AD13'!K18</f>
        <v>38095972.339999996</v>
      </c>
      <c r="L18" s="81">
        <f>'AD8 Stat'!L18+'AD9'!L18+'AD10'!L18+'AD11'!L18+'AD12'!L18+'AD13'!L18</f>
        <v>38095972.339999996</v>
      </c>
      <c r="M18" s="81">
        <f>'AD8 Stat'!M18+'AD9'!M18+'AD10'!M18+'AD11'!M18+'AD12'!M18+'AD13'!M18</f>
        <v>0</v>
      </c>
      <c r="N18" s="81">
        <f>'AD8 Stat'!N18+'AD9'!N18+'AD10'!N18+'AD11'!N18+'AD12'!N18+'AD13'!N18</f>
        <v>0</v>
      </c>
      <c r="O18" s="81">
        <f>'AD8 Stat'!O18+'AD9'!O18+'AD10'!O18+'AD11'!O18+'AD12'!O18+'AD13'!O18</f>
        <v>0</v>
      </c>
      <c r="P18" s="81">
        <f>'AD8 Stat'!P18+'AD9'!P18+'AD10'!P18+'AD11'!P18+'AD12'!P18+'AD13'!P18</f>
        <v>38095972.339999996</v>
      </c>
      <c r="Q18" s="81">
        <f>'AD8 Stat'!Q18+'AD9'!Q18+'AD10'!Q18+'AD11'!Q18+'AD12'!Q18+'AD13'!Q18</f>
        <v>38095972.339999996</v>
      </c>
      <c r="R18" s="81">
        <f>'AD8 Stat'!R18+'AD9'!R18+'AD10'!R18+'AD11'!R18+'AD12'!R18+'AD13'!R18</f>
        <v>76191944.679999992</v>
      </c>
      <c r="S18" s="81">
        <f>'AD8 Stat'!S18+'AD9'!S18+'AD10'!S18+'AD11'!S18+'AD12'!S18+'AD13'!S18</f>
        <v>0</v>
      </c>
      <c r="T18" s="81">
        <f>'AD8 Stat'!T18+'AD9'!T18+'AD10'!T18+'AD11'!T18+'AD12'!T18+'AD13'!T18</f>
        <v>0</v>
      </c>
      <c r="U18" s="81">
        <f>'AD8 Stat'!U18+'AD9'!U18+'AD10'!U18+'AD11'!U18+'AD12'!U18+'AD13'!U18</f>
        <v>0</v>
      </c>
      <c r="V18" s="81">
        <f>'AD8 Stat'!V18+'AD9'!V18+'AD10'!V18+'AD11'!V18+'AD12'!V18+'AD13'!V18</f>
        <v>76191944.679999992</v>
      </c>
      <c r="W18" s="81">
        <f>'AD8 Stat'!W18+'AD9'!W18+'AD10'!W18+'AD11'!W18+'AD12'!W18+'AD13'!W18</f>
        <v>0</v>
      </c>
      <c r="X18" s="17"/>
    </row>
    <row r="19" spans="1:24">
      <c r="A19" s="6">
        <f t="shared" si="1"/>
        <v>1996</v>
      </c>
      <c r="B19" s="81">
        <f>'AD8 Stat'!B19+'AD9'!B19+'AD10'!B19+'AD11'!B19+'AD12'!B19+'AD13'!B19</f>
        <v>0</v>
      </c>
      <c r="C19" s="81">
        <f>'AD8 Stat'!C19+'AD9'!C19+'AD10'!C19+'AD11'!C19+'AD12'!C19+'AD13'!C19</f>
        <v>54775172.740000002</v>
      </c>
      <c r="D19" s="81">
        <f>'AD8 Stat'!D19+'AD9'!D19+'AD10'!D19+'AD11'!D19+'AD12'!D19+'AD13'!D19</f>
        <v>54775172.740000002</v>
      </c>
      <c r="E19" s="81">
        <f>'AD8 Stat'!E19+'AD9'!E19+'AD10'!E19+'AD11'!E19+'AD12'!E19+'AD13'!E19</f>
        <v>54775172.740000002</v>
      </c>
      <c r="F19" s="81">
        <f>'AD8 Stat'!F19+'AD9'!F19+'AD10'!F19+'AD11'!F19+'AD12'!F19+'AD13'!F19</f>
        <v>54775172.740000002</v>
      </c>
      <c r="G19" s="81">
        <f>'AD8 Stat'!G19+'AD9'!G19+'AD10'!G19+'AD11'!G19+'AD12'!G19+'AD13'!G19</f>
        <v>109550345.48</v>
      </c>
      <c r="H19" s="81">
        <f>'AD8 Stat'!H19+'AD9'!H19+'AD10'!H19+'AD11'!H19+'AD12'!H19+'AD13'!H19</f>
        <v>109550345.48</v>
      </c>
      <c r="I19" s="81">
        <f>'AD8 Stat'!I19+'AD9'!I19+'AD10'!I19+'AD11'!I19+'AD12'!I19+'AD13'!I19</f>
        <v>54775172.740000002</v>
      </c>
      <c r="J19" s="81">
        <f>'AD8 Stat'!J19+'AD9'!J19+'AD10'!J19+'AD11'!J19+'AD12'!J19+'AD13'!J19</f>
        <v>54775172.740000002</v>
      </c>
      <c r="K19" s="81">
        <f>'AD8 Stat'!K19+'AD9'!K19+'AD10'!K19+'AD11'!K19+'AD12'!K19+'AD13'!K19</f>
        <v>54775172.740000002</v>
      </c>
      <c r="L19" s="81">
        <f>'AD8 Stat'!L19+'AD9'!L19+'AD10'!L19+'AD11'!L19+'AD12'!L19+'AD13'!L19</f>
        <v>54775172.740000002</v>
      </c>
      <c r="M19" s="81">
        <f>'AD8 Stat'!M19+'AD9'!M19+'AD10'!M19+'AD11'!M19+'AD12'!M19+'AD13'!M19</f>
        <v>0</v>
      </c>
      <c r="N19" s="81">
        <f>'AD8 Stat'!N19+'AD9'!N19+'AD10'!N19+'AD11'!N19+'AD12'!N19+'AD13'!N19</f>
        <v>0</v>
      </c>
      <c r="O19" s="81">
        <f>'AD8 Stat'!O19+'AD9'!O19+'AD10'!O19+'AD11'!O19+'AD12'!O19+'AD13'!O19</f>
        <v>0</v>
      </c>
      <c r="P19" s="81">
        <f>'AD8 Stat'!P19+'AD9'!P19+'AD10'!P19+'AD11'!P19+'AD12'!P19+'AD13'!P19</f>
        <v>54775172.740000002</v>
      </c>
      <c r="Q19" s="81">
        <f>'AD8 Stat'!Q19+'AD9'!Q19+'AD10'!Q19+'AD11'!Q19+'AD12'!Q19+'AD13'!Q19</f>
        <v>54775172.740000002</v>
      </c>
      <c r="R19" s="81">
        <f>'AD8 Stat'!R19+'AD9'!R19+'AD10'!R19+'AD11'!R19+'AD12'!R19+'AD13'!R19</f>
        <v>109550345.48</v>
      </c>
      <c r="S19" s="81">
        <f>'AD8 Stat'!S19+'AD9'!S19+'AD10'!S19+'AD11'!S19+'AD12'!S19+'AD13'!S19</f>
        <v>0</v>
      </c>
      <c r="T19" s="81">
        <f>'AD8 Stat'!T19+'AD9'!T19+'AD10'!T19+'AD11'!T19+'AD12'!T19+'AD13'!T19</f>
        <v>0</v>
      </c>
      <c r="U19" s="81">
        <f>'AD8 Stat'!U19+'AD9'!U19+'AD10'!U19+'AD11'!U19+'AD12'!U19+'AD13'!U19</f>
        <v>0</v>
      </c>
      <c r="V19" s="81">
        <f>'AD8 Stat'!V19+'AD9'!V19+'AD10'!V19+'AD11'!V19+'AD12'!V19+'AD13'!V19</f>
        <v>109550345.48</v>
      </c>
      <c r="W19" s="81">
        <f>'AD8 Stat'!W19+'AD9'!W19+'AD10'!W19+'AD11'!W19+'AD12'!W19+'AD13'!W19</f>
        <v>0</v>
      </c>
      <c r="X19" s="17"/>
    </row>
    <row r="20" spans="1:24">
      <c r="A20" s="6">
        <f t="shared" si="1"/>
        <v>1997</v>
      </c>
      <c r="B20" s="81">
        <f>'AD8 Stat'!B20+'AD9'!B20+'AD10'!B20+'AD11'!B20+'AD12'!B20+'AD13'!B20</f>
        <v>0</v>
      </c>
      <c r="C20" s="81">
        <f>'AD8 Stat'!C20+'AD9'!C20+'AD10'!C20+'AD11'!C20+'AD12'!C20+'AD13'!C20</f>
        <v>54239618.760000005</v>
      </c>
      <c r="D20" s="81">
        <f>'AD8 Stat'!D20+'AD9'!D20+'AD10'!D20+'AD11'!D20+'AD12'!D20+'AD13'!D20</f>
        <v>54239618.760000005</v>
      </c>
      <c r="E20" s="81">
        <f>'AD8 Stat'!E20+'AD9'!E20+'AD10'!E20+'AD11'!E20+'AD12'!E20+'AD13'!E20</f>
        <v>54239618.760000005</v>
      </c>
      <c r="F20" s="81">
        <f>'AD8 Stat'!F20+'AD9'!F20+'AD10'!F20+'AD11'!F20+'AD12'!F20+'AD13'!F20</f>
        <v>54239618.760000005</v>
      </c>
      <c r="G20" s="81">
        <f>'AD8 Stat'!G20+'AD9'!G20+'AD10'!G20+'AD11'!G20+'AD12'!G20+'AD13'!G20</f>
        <v>108479237.52000001</v>
      </c>
      <c r="H20" s="81">
        <f>'AD8 Stat'!H20+'AD9'!H20+'AD10'!H20+'AD11'!H20+'AD12'!H20+'AD13'!H20</f>
        <v>108479237.52000001</v>
      </c>
      <c r="I20" s="81">
        <f>'AD8 Stat'!I20+'AD9'!I20+'AD10'!I20+'AD11'!I20+'AD12'!I20+'AD13'!I20</f>
        <v>54239618.760000005</v>
      </c>
      <c r="J20" s="81">
        <f>'AD8 Stat'!J20+'AD9'!J20+'AD10'!J20+'AD11'!J20+'AD12'!J20+'AD13'!J20</f>
        <v>54239618.760000005</v>
      </c>
      <c r="K20" s="81">
        <f>'AD8 Stat'!K20+'AD9'!K20+'AD10'!K20+'AD11'!K20+'AD12'!K20+'AD13'!K20</f>
        <v>54239618.760000005</v>
      </c>
      <c r="L20" s="81">
        <f>'AD8 Stat'!L20+'AD9'!L20+'AD10'!L20+'AD11'!L20+'AD12'!L20+'AD13'!L20</f>
        <v>54239618.760000005</v>
      </c>
      <c r="M20" s="81">
        <f>'AD8 Stat'!M20+'AD9'!M20+'AD10'!M20+'AD11'!M20+'AD12'!M20+'AD13'!M20</f>
        <v>0</v>
      </c>
      <c r="N20" s="81">
        <f>'AD8 Stat'!N20+'AD9'!N20+'AD10'!N20+'AD11'!N20+'AD12'!N20+'AD13'!N20</f>
        <v>0</v>
      </c>
      <c r="O20" s="81">
        <f>'AD8 Stat'!O20+'AD9'!O20+'AD10'!O20+'AD11'!O20+'AD12'!O20+'AD13'!O20</f>
        <v>0</v>
      </c>
      <c r="P20" s="81">
        <f>'AD8 Stat'!P20+'AD9'!P20+'AD10'!P20+'AD11'!P20+'AD12'!P20+'AD13'!P20</f>
        <v>54239618.760000005</v>
      </c>
      <c r="Q20" s="81">
        <f>'AD8 Stat'!Q20+'AD9'!Q20+'AD10'!Q20+'AD11'!Q20+'AD12'!Q20+'AD13'!Q20</f>
        <v>54239618.760000005</v>
      </c>
      <c r="R20" s="81">
        <f>'AD8 Stat'!R20+'AD9'!R20+'AD10'!R20+'AD11'!R20+'AD12'!R20+'AD13'!R20</f>
        <v>108479237.52000001</v>
      </c>
      <c r="S20" s="81">
        <f>'AD8 Stat'!S20+'AD9'!S20+'AD10'!S20+'AD11'!S20+'AD12'!S20+'AD13'!S20</f>
        <v>0</v>
      </c>
      <c r="T20" s="81">
        <f>'AD8 Stat'!T20+'AD9'!T20+'AD10'!T20+'AD11'!T20+'AD12'!T20+'AD13'!T20</f>
        <v>0</v>
      </c>
      <c r="U20" s="81">
        <f>'AD8 Stat'!U20+'AD9'!U20+'AD10'!U20+'AD11'!U20+'AD12'!U20+'AD13'!U20</f>
        <v>0</v>
      </c>
      <c r="V20" s="81">
        <f>'AD8 Stat'!V20+'AD9'!V20+'AD10'!V20+'AD11'!V20+'AD12'!V20+'AD13'!V20</f>
        <v>108479237.52000001</v>
      </c>
      <c r="W20" s="81">
        <f>'AD8 Stat'!W20+'AD9'!W20+'AD10'!W20+'AD11'!W20+'AD12'!W20+'AD13'!W20</f>
        <v>0</v>
      </c>
      <c r="X20" s="17"/>
    </row>
    <row r="21" spans="1:24">
      <c r="A21" s="6">
        <f t="shared" si="1"/>
        <v>1998</v>
      </c>
      <c r="B21" s="81">
        <f>'AD8 Stat'!B21+'AD9'!B21+'AD10'!B21+'AD11'!B21+'AD12'!B21+'AD13'!B21</f>
        <v>44861485.079999998</v>
      </c>
      <c r="C21" s="81">
        <f>'AD8 Stat'!C21+'AD9'!C21+'AD10'!C21+'AD11'!C21+'AD12'!C21+'AD13'!C21</f>
        <v>45510428.719999999</v>
      </c>
      <c r="D21" s="81">
        <f>'AD8 Stat'!D21+'AD9'!D21+'AD10'!D21+'AD11'!D21+'AD12'!D21+'AD13'!D21</f>
        <v>45510428.719999999</v>
      </c>
      <c r="E21" s="81">
        <f>'AD8 Stat'!E21+'AD9'!E21+'AD10'!E21+'AD11'!E21+'AD12'!E21+'AD13'!E21</f>
        <v>45510428.719999999</v>
      </c>
      <c r="F21" s="81">
        <f>'AD8 Stat'!F21+'AD9'!F21+'AD10'!F21+'AD11'!F21+'AD12'!F21+'AD13'!F21</f>
        <v>45510428.719999999</v>
      </c>
      <c r="G21" s="81">
        <f>'AD8 Stat'!G21+'AD9'!G21+'AD10'!G21+'AD11'!G21+'AD12'!G21+'AD13'!G21</f>
        <v>46159372.359999999</v>
      </c>
      <c r="H21" s="81">
        <f>'AD8 Stat'!H21+'AD9'!H21+'AD10'!H21+'AD11'!H21+'AD12'!H21+'AD13'!H21</f>
        <v>46159372.359999999</v>
      </c>
      <c r="I21" s="81">
        <f>'AD8 Stat'!I21+'AD9'!I21+'AD10'!I21+'AD11'!I21+'AD12'!I21+'AD13'!I21</f>
        <v>648943.6400000006</v>
      </c>
      <c r="J21" s="81">
        <f>'AD8 Stat'!J21+'AD9'!J21+'AD10'!J21+'AD11'!J21+'AD12'!J21+'AD13'!J21</f>
        <v>648943.6400000006</v>
      </c>
      <c r="K21" s="81">
        <f>'AD8 Stat'!K21+'AD9'!K21+'AD10'!K21+'AD11'!K21+'AD12'!K21+'AD13'!K21</f>
        <v>45510428.719999999</v>
      </c>
      <c r="L21" s="81">
        <f>'AD8 Stat'!L21+'AD9'!L21+'AD10'!L21+'AD11'!L21+'AD12'!L21+'AD13'!L21</f>
        <v>45510428.719999999</v>
      </c>
      <c r="M21" s="81">
        <f>'AD8 Stat'!M21+'AD9'!M21+'AD10'!M21+'AD11'!M21+'AD12'!M21+'AD13'!M21</f>
        <v>0</v>
      </c>
      <c r="N21" s="81">
        <f>'AD8 Stat'!N21+'AD9'!N21+'AD10'!N21+'AD11'!N21+'AD12'!N21+'AD13'!N21</f>
        <v>0</v>
      </c>
      <c r="O21" s="81">
        <f>'AD8 Stat'!O21+'AD9'!O21+'AD10'!O21+'AD11'!O21+'AD12'!O21+'AD13'!O21</f>
        <v>0</v>
      </c>
      <c r="P21" s="81">
        <f>'AD8 Stat'!P21+'AD9'!P21+'AD10'!P21+'AD11'!P21+'AD12'!P21+'AD13'!P21</f>
        <v>648943.6400000006</v>
      </c>
      <c r="Q21" s="81">
        <f>'AD8 Stat'!Q21+'AD9'!Q21+'AD10'!Q21+'AD11'!Q21+'AD12'!Q21+'AD13'!Q21</f>
        <v>45510428.719999999</v>
      </c>
      <c r="R21" s="81">
        <f>'AD8 Stat'!R21+'AD9'!R21+'AD10'!R21+'AD11'!R21+'AD12'!R21+'AD13'!R21</f>
        <v>46159372.359999999</v>
      </c>
      <c r="S21" s="81">
        <f>'AD8 Stat'!S21+'AD9'!S21+'AD10'!S21+'AD11'!S21+'AD12'!S21+'AD13'!S21</f>
        <v>0</v>
      </c>
      <c r="T21" s="81">
        <f>'AD8 Stat'!T21+'AD9'!T21+'AD10'!T21+'AD11'!T21+'AD12'!T21+'AD13'!T21</f>
        <v>0</v>
      </c>
      <c r="U21" s="81">
        <f>'AD8 Stat'!U21+'AD9'!U21+'AD10'!U21+'AD11'!U21+'AD12'!U21+'AD13'!U21</f>
        <v>0</v>
      </c>
      <c r="V21" s="81">
        <f>'AD8 Stat'!V21+'AD9'!V21+'AD10'!V21+'AD11'!V21+'AD12'!V21+'AD13'!V21</f>
        <v>46159372.359999999</v>
      </c>
      <c r="W21" s="81">
        <f>'AD8 Stat'!W21+'AD9'!W21+'AD10'!W21+'AD11'!W21+'AD12'!W21+'AD13'!W21</f>
        <v>0</v>
      </c>
      <c r="X21" s="17"/>
    </row>
    <row r="22" spans="1:24">
      <c r="A22" s="6">
        <f t="shared" si="1"/>
        <v>1999</v>
      </c>
      <c r="B22" s="81">
        <f>'AD8 Stat'!B22+'AD9'!B22+'AD10'!B22+'AD11'!B22+'AD12'!B22+'AD13'!B22</f>
        <v>37443343.790000014</v>
      </c>
      <c r="C22" s="81">
        <f>'AD8 Stat'!C22+'AD9'!C22+'AD10'!C22+'AD11'!C22+'AD12'!C22+'AD13'!C22</f>
        <v>37643921.560000002</v>
      </c>
      <c r="D22" s="81">
        <f>'AD8 Stat'!D22+'AD9'!D22+'AD10'!D22+'AD11'!D22+'AD12'!D22+'AD13'!D22</f>
        <v>37643921.560000002</v>
      </c>
      <c r="E22" s="81">
        <f>'AD8 Stat'!E22+'AD9'!E22+'AD10'!E22+'AD11'!E22+'AD12'!E22+'AD13'!E22</f>
        <v>37643921.560000002</v>
      </c>
      <c r="F22" s="81">
        <f>'AD8 Stat'!F22+'AD9'!F22+'AD10'!F22+'AD11'!F22+'AD12'!F22+'AD13'!F22</f>
        <v>37643921.560000002</v>
      </c>
      <c r="G22" s="81">
        <f>'AD8 Stat'!G22+'AD9'!G22+'AD10'!G22+'AD11'!G22+'AD12'!G22+'AD13'!G22</f>
        <v>37844499.329999998</v>
      </c>
      <c r="H22" s="81">
        <f>'AD8 Stat'!H22+'AD9'!H22+'AD10'!H22+'AD11'!H22+'AD12'!H22+'AD13'!H22</f>
        <v>37844499.329999998</v>
      </c>
      <c r="I22" s="81">
        <f>'AD8 Stat'!I22+'AD9'!I22+'AD10'!I22+'AD11'!I22+'AD12'!I22+'AD13'!I22</f>
        <v>200577.76999998838</v>
      </c>
      <c r="J22" s="81">
        <f>'AD8 Stat'!J22+'AD9'!J22+'AD10'!J22+'AD11'!J22+'AD12'!J22+'AD13'!J22</f>
        <v>200577.76999998838</v>
      </c>
      <c r="K22" s="81">
        <f>'AD8 Stat'!K22+'AD9'!K22+'AD10'!K22+'AD11'!K22+'AD12'!K22+'AD13'!K22</f>
        <v>37643921.560000002</v>
      </c>
      <c r="L22" s="81">
        <f>'AD8 Stat'!L22+'AD9'!L22+'AD10'!L22+'AD11'!L22+'AD12'!L22+'AD13'!L22</f>
        <v>37643921.560000002</v>
      </c>
      <c r="M22" s="81">
        <f>'AD8 Stat'!M22+'AD9'!M22+'AD10'!M22+'AD11'!M22+'AD12'!M22+'AD13'!M22</f>
        <v>0</v>
      </c>
      <c r="N22" s="81">
        <f>'AD8 Stat'!N22+'AD9'!N22+'AD10'!N22+'AD11'!N22+'AD12'!N22+'AD13'!N22</f>
        <v>0</v>
      </c>
      <c r="O22" s="81">
        <f>'AD8 Stat'!O22+'AD9'!O22+'AD10'!O22+'AD11'!O22+'AD12'!O22+'AD13'!O22</f>
        <v>0</v>
      </c>
      <c r="P22" s="81">
        <f>'AD8 Stat'!P22+'AD9'!P22+'AD10'!P22+'AD11'!P22+'AD12'!P22+'AD13'!P22</f>
        <v>200577.76999998838</v>
      </c>
      <c r="Q22" s="81">
        <f>'AD8 Stat'!Q22+'AD9'!Q22+'AD10'!Q22+'AD11'!Q22+'AD12'!Q22+'AD13'!Q22</f>
        <v>37643921.560000002</v>
      </c>
      <c r="R22" s="81">
        <f>'AD8 Stat'!R22+'AD9'!R22+'AD10'!R22+'AD11'!R22+'AD12'!R22+'AD13'!R22</f>
        <v>37844499.329999998</v>
      </c>
      <c r="S22" s="81">
        <f>'AD8 Stat'!S22+'AD9'!S22+'AD10'!S22+'AD11'!S22+'AD12'!S22+'AD13'!S22</f>
        <v>0</v>
      </c>
      <c r="T22" s="81">
        <f>'AD8 Stat'!T22+'AD9'!T22+'AD10'!T22+'AD11'!T22+'AD12'!T22+'AD13'!T22</f>
        <v>0</v>
      </c>
      <c r="U22" s="81">
        <f>'AD8 Stat'!U22+'AD9'!U22+'AD10'!U22+'AD11'!U22+'AD12'!U22+'AD13'!U22</f>
        <v>0</v>
      </c>
      <c r="V22" s="81">
        <f>'AD8 Stat'!V22+'AD9'!V22+'AD10'!V22+'AD11'!V22+'AD12'!V22+'AD13'!V22</f>
        <v>37844499.329999998</v>
      </c>
      <c r="W22" s="81">
        <f>'AD8 Stat'!W22+'AD9'!W22+'AD10'!W22+'AD11'!W22+'AD12'!W22+'AD13'!W22</f>
        <v>0</v>
      </c>
      <c r="X22" s="17"/>
    </row>
    <row r="23" spans="1:24">
      <c r="A23" s="6">
        <f t="shared" si="1"/>
        <v>2000</v>
      </c>
      <c r="B23" s="81">
        <f>'AD8 Stat'!B23+'AD9'!B23+'AD10'!B23+'AD11'!B23+'AD12'!B23+'AD13'!B23</f>
        <v>39552267.629999995</v>
      </c>
      <c r="C23" s="81">
        <f>'AD8 Stat'!C23+'AD9'!C23+'AD10'!C23+'AD11'!C23+'AD12'!C23+'AD13'!C23</f>
        <v>39658038.149999991</v>
      </c>
      <c r="D23" s="81">
        <f>'AD8 Stat'!D23+'AD9'!D23+'AD10'!D23+'AD11'!D23+'AD12'!D23+'AD13'!D23</f>
        <v>39658038.149999991</v>
      </c>
      <c r="E23" s="81">
        <f>'AD8 Stat'!E23+'AD9'!E23+'AD10'!E23+'AD11'!E23+'AD12'!E23+'AD13'!E23</f>
        <v>39658038.149999991</v>
      </c>
      <c r="F23" s="81">
        <f>'AD8 Stat'!F23+'AD9'!F23+'AD10'!F23+'AD11'!F23+'AD12'!F23+'AD13'!F23</f>
        <v>39658038.149999991</v>
      </c>
      <c r="G23" s="81">
        <f>'AD8 Stat'!G23+'AD9'!G23+'AD10'!G23+'AD11'!G23+'AD12'!G23+'AD13'!G23</f>
        <v>39763808.669999979</v>
      </c>
      <c r="H23" s="81">
        <f>'AD8 Stat'!H23+'AD9'!H23+'AD10'!H23+'AD11'!H23+'AD12'!H23+'AD13'!H23</f>
        <v>39763808.669999979</v>
      </c>
      <c r="I23" s="81">
        <f>'AD8 Stat'!I23+'AD9'!I23+'AD10'!I23+'AD11'!I23+'AD12'!I23+'AD13'!I23</f>
        <v>105770.51999999583</v>
      </c>
      <c r="J23" s="81">
        <f>'AD8 Stat'!J23+'AD9'!J23+'AD10'!J23+'AD11'!J23+'AD12'!J23+'AD13'!J23</f>
        <v>105770.51999999583</v>
      </c>
      <c r="K23" s="81">
        <f>'AD8 Stat'!K23+'AD9'!K23+'AD10'!K23+'AD11'!K23+'AD12'!K23+'AD13'!K23</f>
        <v>39658038.149999991</v>
      </c>
      <c r="L23" s="81">
        <f>'AD8 Stat'!L23+'AD9'!L23+'AD10'!L23+'AD11'!L23+'AD12'!L23+'AD13'!L23</f>
        <v>39658038.149999991</v>
      </c>
      <c r="M23" s="81">
        <f>'AD8 Stat'!M23+'AD9'!M23+'AD10'!M23+'AD11'!M23+'AD12'!M23+'AD13'!M23</f>
        <v>0</v>
      </c>
      <c r="N23" s="81">
        <f>'AD8 Stat'!N23+'AD9'!N23+'AD10'!N23+'AD11'!N23+'AD12'!N23+'AD13'!N23</f>
        <v>0</v>
      </c>
      <c r="O23" s="81">
        <f>'AD8 Stat'!O23+'AD9'!O23+'AD10'!O23+'AD11'!O23+'AD12'!O23+'AD13'!O23</f>
        <v>0</v>
      </c>
      <c r="P23" s="81">
        <f>'AD8 Stat'!P23+'AD9'!P23+'AD10'!P23+'AD11'!P23+'AD12'!P23+'AD13'!P23</f>
        <v>105770.51999999583</v>
      </c>
      <c r="Q23" s="81">
        <f>'AD8 Stat'!Q23+'AD9'!Q23+'AD10'!Q23+'AD11'!Q23+'AD12'!Q23+'AD13'!Q23</f>
        <v>39658038.149999991</v>
      </c>
      <c r="R23" s="81">
        <f>'AD8 Stat'!R23+'AD9'!R23+'AD10'!R23+'AD11'!R23+'AD12'!R23+'AD13'!R23</f>
        <v>39763808.669999987</v>
      </c>
      <c r="S23" s="81">
        <f>'AD8 Stat'!S23+'AD9'!S23+'AD10'!S23+'AD11'!S23+'AD12'!S23+'AD13'!S23</f>
        <v>0</v>
      </c>
      <c r="T23" s="81">
        <f>'AD8 Stat'!T23+'AD9'!T23+'AD10'!T23+'AD11'!T23+'AD12'!T23+'AD13'!T23</f>
        <v>0</v>
      </c>
      <c r="U23" s="81">
        <f>'AD8 Stat'!U23+'AD9'!U23+'AD10'!U23+'AD11'!U23+'AD12'!U23+'AD13'!U23</f>
        <v>0</v>
      </c>
      <c r="V23" s="81">
        <f>'AD8 Stat'!V23+'AD9'!V23+'AD10'!V23+'AD11'!V23+'AD12'!V23+'AD13'!V23</f>
        <v>39763808.669999987</v>
      </c>
      <c r="W23" s="81">
        <f>'AD8 Stat'!W23+'AD9'!W23+'AD10'!W23+'AD11'!W23+'AD12'!W23+'AD13'!W23</f>
        <v>0</v>
      </c>
      <c r="X23" s="17"/>
    </row>
    <row r="24" spans="1:24">
      <c r="A24" s="6">
        <f t="shared" si="1"/>
        <v>2001</v>
      </c>
      <c r="B24" s="81">
        <f>'AD8 Stat'!B24+'AD9'!B24+'AD10'!B24+'AD11'!B24+'AD12'!B24+'AD13'!B24</f>
        <v>39422571.869999997</v>
      </c>
      <c r="C24" s="81">
        <f>'AD8 Stat'!C24+'AD9'!C24+'AD10'!C24+'AD11'!C24+'AD12'!C24+'AD13'!C24</f>
        <v>39621657.030000001</v>
      </c>
      <c r="D24" s="81">
        <f>'AD8 Stat'!D24+'AD9'!D24+'AD10'!D24+'AD11'!D24+'AD12'!D24+'AD13'!D24</f>
        <v>39621657.030000001</v>
      </c>
      <c r="E24" s="81">
        <f>'AD8 Stat'!E24+'AD9'!E24+'AD10'!E24+'AD11'!E24+'AD12'!E24+'AD13'!E24</f>
        <v>39621657.030000001</v>
      </c>
      <c r="F24" s="81">
        <f>'AD8 Stat'!F24+'AD9'!F24+'AD10'!F24+'AD11'!F24+'AD12'!F24+'AD13'!F24</f>
        <v>39621657.030000001</v>
      </c>
      <c r="G24" s="81">
        <f>'AD8 Stat'!G24+'AD9'!G24+'AD10'!G24+'AD11'!G24+'AD12'!G24+'AD13'!G24</f>
        <v>39820742.190000005</v>
      </c>
      <c r="H24" s="81">
        <f>'AD8 Stat'!H24+'AD9'!H24+'AD10'!H24+'AD11'!H24+'AD12'!H24+'AD13'!H24</f>
        <v>39820742.190000005</v>
      </c>
      <c r="I24" s="81">
        <f>'AD8 Stat'!I24+'AD9'!I24+'AD10'!I24+'AD11'!I24+'AD12'!I24+'AD13'!I24</f>
        <v>199085.16000000387</v>
      </c>
      <c r="J24" s="81">
        <f>'AD8 Stat'!J24+'AD9'!J24+'AD10'!J24+'AD11'!J24+'AD12'!J24+'AD13'!J24</f>
        <v>199085.16000000387</v>
      </c>
      <c r="K24" s="81">
        <f>'AD8 Stat'!K24+'AD9'!K24+'AD10'!K24+'AD11'!K24+'AD12'!K24+'AD13'!K24</f>
        <v>39621657.030000001</v>
      </c>
      <c r="L24" s="81">
        <f>'AD8 Stat'!L24+'AD9'!L24+'AD10'!L24+'AD11'!L24+'AD12'!L24+'AD13'!L24</f>
        <v>39621657.030000001</v>
      </c>
      <c r="M24" s="81">
        <f>'AD8 Stat'!M24+'AD9'!M24+'AD10'!M24+'AD11'!M24+'AD12'!M24+'AD13'!M24</f>
        <v>0</v>
      </c>
      <c r="N24" s="81">
        <f>'AD8 Stat'!N24+'AD9'!N24+'AD10'!N24+'AD11'!N24+'AD12'!N24+'AD13'!N24</f>
        <v>0</v>
      </c>
      <c r="O24" s="81">
        <f>'AD8 Stat'!O24+'AD9'!O24+'AD10'!O24+'AD11'!O24+'AD12'!O24+'AD13'!O24</f>
        <v>0</v>
      </c>
      <c r="P24" s="81">
        <f>'AD8 Stat'!P24+'AD9'!P24+'AD10'!P24+'AD11'!P24+'AD12'!P24+'AD13'!P24</f>
        <v>199085.16000000387</v>
      </c>
      <c r="Q24" s="81">
        <f>'AD8 Stat'!Q24+'AD9'!Q24+'AD10'!Q24+'AD11'!Q24+'AD12'!Q24+'AD13'!Q24</f>
        <v>39621657.030000001</v>
      </c>
      <c r="R24" s="81">
        <f>'AD8 Stat'!R24+'AD9'!R24+'AD10'!R24+'AD11'!R24+'AD12'!R24+'AD13'!R24</f>
        <v>39820742.190000005</v>
      </c>
      <c r="S24" s="81">
        <f>'AD8 Stat'!S24+'AD9'!S24+'AD10'!S24+'AD11'!S24+'AD12'!S24+'AD13'!S24</f>
        <v>0</v>
      </c>
      <c r="T24" s="81">
        <f>'AD8 Stat'!T24+'AD9'!T24+'AD10'!T24+'AD11'!T24+'AD12'!T24+'AD13'!T24</f>
        <v>0</v>
      </c>
      <c r="U24" s="81">
        <f>'AD8 Stat'!U24+'AD9'!U24+'AD10'!U24+'AD11'!U24+'AD12'!U24+'AD13'!U24</f>
        <v>0</v>
      </c>
      <c r="V24" s="81">
        <f>'AD8 Stat'!V24+'AD9'!V24+'AD10'!V24+'AD11'!V24+'AD12'!V24+'AD13'!V24</f>
        <v>39820742.190000005</v>
      </c>
      <c r="W24" s="81">
        <f>'AD8 Stat'!W24+'AD9'!W24+'AD10'!W24+'AD11'!W24+'AD12'!W24+'AD13'!W24</f>
        <v>0</v>
      </c>
      <c r="X24" s="17"/>
    </row>
    <row r="25" spans="1:24">
      <c r="A25" s="6">
        <f t="shared" si="1"/>
        <v>2002</v>
      </c>
      <c r="B25" s="81">
        <f>'AD8 Stat'!B25+'AD9'!B25+'AD10'!B25+'AD11'!B25+'AD12'!B25+'AD13'!B25</f>
        <v>22310323.52</v>
      </c>
      <c r="C25" s="81">
        <f>'AD8 Stat'!C25+'AD9'!C25+'AD10'!C25+'AD11'!C25+'AD12'!C25+'AD13'!C25</f>
        <v>22345826.459999993</v>
      </c>
      <c r="D25" s="81">
        <f>'AD8 Stat'!D25+'AD9'!D25+'AD10'!D25+'AD11'!D25+'AD12'!D25+'AD13'!D25</f>
        <v>22345826.459999993</v>
      </c>
      <c r="E25" s="81">
        <f>'AD8 Stat'!E25+'AD9'!E25+'AD10'!E25+'AD11'!E25+'AD12'!E25+'AD13'!E25</f>
        <v>22340826.459999993</v>
      </c>
      <c r="F25" s="81">
        <f>'AD8 Stat'!F25+'AD9'!F25+'AD10'!F25+'AD11'!F25+'AD12'!F25+'AD13'!F25</f>
        <v>22340826.459999993</v>
      </c>
      <c r="G25" s="81">
        <f>'AD8 Stat'!G25+'AD9'!G25+'AD10'!G25+'AD11'!G25+'AD12'!G25+'AD13'!G25</f>
        <v>22376329.399999991</v>
      </c>
      <c r="H25" s="81">
        <f>'AD8 Stat'!H25+'AD9'!H25+'AD10'!H25+'AD11'!H25+'AD12'!H25+'AD13'!H25</f>
        <v>22376329.399999991</v>
      </c>
      <c r="I25" s="81">
        <f>'AD8 Stat'!I25+'AD9'!I25+'AD10'!I25+'AD11'!I25+'AD12'!I25+'AD13'!I25</f>
        <v>35502.939999993891</v>
      </c>
      <c r="J25" s="81">
        <f>'AD8 Stat'!J25+'AD9'!J25+'AD10'!J25+'AD11'!J25+'AD12'!J25+'AD13'!J25</f>
        <v>35502.939999993891</v>
      </c>
      <c r="K25" s="81">
        <f>'AD8 Stat'!K25+'AD9'!K25+'AD10'!K25+'AD11'!K25+'AD12'!K25+'AD13'!K25</f>
        <v>22340826.459999993</v>
      </c>
      <c r="L25" s="81">
        <f>'AD8 Stat'!L25+'AD9'!L25+'AD10'!L25+'AD11'!L25+'AD12'!L25+'AD13'!L25</f>
        <v>22340826.459999993</v>
      </c>
      <c r="M25" s="81">
        <f>'AD8 Stat'!M25+'AD9'!M25+'AD10'!M25+'AD11'!M25+'AD12'!M25+'AD13'!M25</f>
        <v>0</v>
      </c>
      <c r="N25" s="81">
        <f>'AD8 Stat'!N25+'AD9'!N25+'AD10'!N25+'AD11'!N25+'AD12'!N25+'AD13'!N25</f>
        <v>0</v>
      </c>
      <c r="O25" s="81">
        <f>'AD8 Stat'!O25+'AD9'!O25+'AD10'!O25+'AD11'!O25+'AD12'!O25+'AD13'!O25</f>
        <v>0</v>
      </c>
      <c r="P25" s="81">
        <f>'AD8 Stat'!P25+'AD9'!P25+'AD10'!P25+'AD11'!P25+'AD12'!P25+'AD13'!P25</f>
        <v>35502.939999993891</v>
      </c>
      <c r="Q25" s="81">
        <f>'AD8 Stat'!Q25+'AD9'!Q25+'AD10'!Q25+'AD11'!Q25+'AD12'!Q25+'AD13'!Q25</f>
        <v>22340826.459999993</v>
      </c>
      <c r="R25" s="81">
        <f>'AD8 Stat'!R25+'AD9'!R25+'AD10'!R25+'AD11'!R25+'AD12'!R25+'AD13'!R25</f>
        <v>22376329.399999991</v>
      </c>
      <c r="S25" s="81">
        <f>'AD8 Stat'!S25+'AD9'!S25+'AD10'!S25+'AD11'!S25+'AD12'!S25+'AD13'!S25</f>
        <v>0</v>
      </c>
      <c r="T25" s="81">
        <f>'AD8 Stat'!T25+'AD9'!T25+'AD10'!T25+'AD11'!T25+'AD12'!T25+'AD13'!T25</f>
        <v>0</v>
      </c>
      <c r="U25" s="81">
        <f>'AD8 Stat'!U25+'AD9'!U25+'AD10'!U25+'AD11'!U25+'AD12'!U25+'AD13'!U25</f>
        <v>0</v>
      </c>
      <c r="V25" s="81">
        <f>'AD8 Stat'!V25+'AD9'!V25+'AD10'!V25+'AD11'!V25+'AD12'!V25+'AD13'!V25</f>
        <v>22376329.399999991</v>
      </c>
      <c r="W25" s="81">
        <f>'AD8 Stat'!W25+'AD9'!W25+'AD10'!W25+'AD11'!W25+'AD12'!W25+'AD13'!W25</f>
        <v>0</v>
      </c>
      <c r="X25" s="17"/>
    </row>
    <row r="26" spans="1:24">
      <c r="A26" s="6">
        <f t="shared" si="1"/>
        <v>2003</v>
      </c>
      <c r="B26" s="81">
        <f>'AD8 Stat'!B26+'AD9'!B26+'AD10'!B26+'AD11'!B26+'AD12'!B26+'AD13'!B26</f>
        <v>22639690.779999997</v>
      </c>
      <c r="C26" s="81">
        <f>'AD8 Stat'!C26+'AD9'!C26+'AD10'!C26+'AD11'!C26+'AD12'!C26+'AD13'!C26</f>
        <v>23049293.75</v>
      </c>
      <c r="D26" s="81">
        <f>'AD8 Stat'!D26+'AD9'!D26+'AD10'!D26+'AD11'!D26+'AD12'!D26+'AD13'!D26</f>
        <v>23049293.75</v>
      </c>
      <c r="E26" s="81">
        <f>'AD8 Stat'!E26+'AD9'!E26+'AD10'!E26+'AD11'!E26+'AD12'!E26+'AD13'!E26</f>
        <v>23049293.75</v>
      </c>
      <c r="F26" s="81">
        <f>'AD8 Stat'!F26+'AD9'!F26+'AD10'!F26+'AD11'!F26+'AD12'!F26+'AD13'!F26</f>
        <v>23049293.75</v>
      </c>
      <c r="G26" s="81">
        <f>'AD8 Stat'!G26+'AD9'!G26+'AD10'!G26+'AD11'!G26+'AD12'!G26+'AD13'!G26</f>
        <v>23458896.720000006</v>
      </c>
      <c r="H26" s="81">
        <f>'AD8 Stat'!H26+'AD9'!H26+'AD10'!H26+'AD11'!H26+'AD12'!H26+'AD13'!H26</f>
        <v>23458896.720000006</v>
      </c>
      <c r="I26" s="81">
        <f>'AD8 Stat'!I26+'AD9'!I26+'AD10'!I26+'AD11'!I26+'AD12'!I26+'AD13'!I26</f>
        <v>409602.97000000253</v>
      </c>
      <c r="J26" s="81">
        <f>'AD8 Stat'!J26+'AD9'!J26+'AD10'!J26+'AD11'!J26+'AD12'!J26+'AD13'!J26</f>
        <v>409602.97000000253</v>
      </c>
      <c r="K26" s="81">
        <f>'AD8 Stat'!K26+'AD9'!K26+'AD10'!K26+'AD11'!K26+'AD12'!K26+'AD13'!K26</f>
        <v>23049293.75</v>
      </c>
      <c r="L26" s="81">
        <f>'AD8 Stat'!L26+'AD9'!L26+'AD10'!L26+'AD11'!L26+'AD12'!L26+'AD13'!L26</f>
        <v>23049293.75</v>
      </c>
      <c r="M26" s="81">
        <f>'AD8 Stat'!M26+'AD9'!M26+'AD10'!M26+'AD11'!M26+'AD12'!M26+'AD13'!M26</f>
        <v>0</v>
      </c>
      <c r="N26" s="81">
        <f>'AD8 Stat'!N26+'AD9'!N26+'AD10'!N26+'AD11'!N26+'AD12'!N26+'AD13'!N26</f>
        <v>0</v>
      </c>
      <c r="O26" s="81">
        <f>'AD8 Stat'!O26+'AD9'!O26+'AD10'!O26+'AD11'!O26+'AD12'!O26+'AD13'!O26</f>
        <v>0</v>
      </c>
      <c r="P26" s="81">
        <f>'AD8 Stat'!P26+'AD9'!P26+'AD10'!P26+'AD11'!P26+'AD12'!P26+'AD13'!P26</f>
        <v>409602.97000000253</v>
      </c>
      <c r="Q26" s="81">
        <f>'AD8 Stat'!Q26+'AD9'!Q26+'AD10'!Q26+'AD11'!Q26+'AD12'!Q26+'AD13'!Q26</f>
        <v>23049293.75</v>
      </c>
      <c r="R26" s="81">
        <f>'AD8 Stat'!R26+'AD9'!R26+'AD10'!R26+'AD11'!R26+'AD12'!R26+'AD13'!R26</f>
        <v>23458896.720000003</v>
      </c>
      <c r="S26" s="81">
        <f>'AD8 Stat'!S26+'AD9'!S26+'AD10'!S26+'AD11'!S26+'AD12'!S26+'AD13'!S26</f>
        <v>0</v>
      </c>
      <c r="T26" s="81">
        <f>'AD8 Stat'!T26+'AD9'!T26+'AD10'!T26+'AD11'!T26+'AD12'!T26+'AD13'!T26</f>
        <v>0</v>
      </c>
      <c r="U26" s="81">
        <f>'AD8 Stat'!U26+'AD9'!U26+'AD10'!U26+'AD11'!U26+'AD12'!U26+'AD13'!U26</f>
        <v>0</v>
      </c>
      <c r="V26" s="81">
        <f>'AD8 Stat'!V26+'AD9'!V26+'AD10'!V26+'AD11'!V26+'AD12'!V26+'AD13'!V26</f>
        <v>23458896.720000003</v>
      </c>
      <c r="W26" s="81">
        <f>'AD8 Stat'!W26+'AD9'!W26+'AD10'!W26+'AD11'!W26+'AD12'!W26+'AD13'!W26</f>
        <v>0</v>
      </c>
      <c r="X26" s="17"/>
    </row>
    <row r="27" spans="1:24">
      <c r="A27" s="6">
        <f t="shared" si="1"/>
        <v>2004</v>
      </c>
      <c r="B27" s="81">
        <f>'AD8 Stat'!B27+'AD9'!B27+'AD10'!B27+'AD11'!B27+'AD12'!B27+'AD13'!B27</f>
        <v>19806564.920000002</v>
      </c>
      <c r="C27" s="81">
        <f>'AD8 Stat'!C27+'AD9'!C27+'AD10'!C27+'AD11'!C27+'AD12'!C27+'AD13'!C27</f>
        <v>20049049.77</v>
      </c>
      <c r="D27" s="81">
        <f>'AD8 Stat'!D27+'AD9'!D27+'AD10'!D27+'AD11'!D27+'AD12'!D27+'AD13'!D27</f>
        <v>20087669.5</v>
      </c>
      <c r="E27" s="81">
        <f>'AD8 Stat'!E27+'AD9'!E27+'AD10'!E27+'AD11'!E27+'AD12'!E27+'AD13'!E27</f>
        <v>20015883</v>
      </c>
      <c r="F27" s="81">
        <f>'AD8 Stat'!F27+'AD9'!F27+'AD10'!F27+'AD11'!F27+'AD12'!F27+'AD13'!F27</f>
        <v>20273805.799999997</v>
      </c>
      <c r="G27" s="81">
        <f>'AD8 Stat'!G27+'AD9'!G27+'AD10'!G27+'AD11'!G27+'AD12'!G27+'AD13'!G27</f>
        <v>20258367.849999998</v>
      </c>
      <c r="H27" s="81">
        <f>'AD8 Stat'!H27+'AD9'!H27+'AD10'!H27+'AD11'!H27+'AD12'!H27+'AD13'!H27</f>
        <v>20554910.379999995</v>
      </c>
      <c r="I27" s="81">
        <f>'AD8 Stat'!I27+'AD9'!I27+'AD10'!I27+'AD11'!I27+'AD12'!I27+'AD13'!I27</f>
        <v>242484.84999999776</v>
      </c>
      <c r="J27" s="81">
        <f>'AD8 Stat'!J27+'AD9'!J27+'AD10'!J27+'AD11'!J27+'AD12'!J27+'AD13'!J27</f>
        <v>281104.57999999821</v>
      </c>
      <c r="K27" s="81">
        <f>'AD8 Stat'!K27+'AD9'!K27+'AD10'!K27+'AD11'!K27+'AD12'!K27+'AD13'!K27</f>
        <v>20015883</v>
      </c>
      <c r="L27" s="81">
        <f>'AD8 Stat'!L27+'AD9'!L27+'AD10'!L27+'AD11'!L27+'AD12'!L27+'AD13'!L27</f>
        <v>20273805.799999997</v>
      </c>
      <c r="M27" s="81">
        <f>'AD8 Stat'!M27+'AD9'!M27+'AD10'!M27+'AD11'!M27+'AD12'!M27+'AD13'!M27</f>
        <v>0</v>
      </c>
      <c r="N27" s="81">
        <f>'AD8 Stat'!N27+'AD9'!N27+'AD10'!N27+'AD11'!N27+'AD12'!N27+'AD13'!N27</f>
        <v>0</v>
      </c>
      <c r="O27" s="81">
        <f>'AD8 Stat'!O27+'AD9'!O27+'AD10'!O27+'AD11'!O27+'AD12'!O27+'AD13'!O27</f>
        <v>0</v>
      </c>
      <c r="P27" s="81">
        <f>'AD8 Stat'!P27+'AD9'!P27+'AD10'!P27+'AD11'!P27+'AD12'!P27+'AD13'!P27</f>
        <v>281104.57999999821</v>
      </c>
      <c r="Q27" s="81">
        <f>'AD8 Stat'!Q27+'AD9'!Q27+'AD10'!Q27+'AD11'!Q27+'AD12'!Q27+'AD13'!Q27</f>
        <v>20273805.799999997</v>
      </c>
      <c r="R27" s="81">
        <f>'AD8 Stat'!R27+'AD9'!R27+'AD10'!R27+'AD11'!R27+'AD12'!R27+'AD13'!R27</f>
        <v>20554910.379999995</v>
      </c>
      <c r="S27" s="81">
        <f>'AD8 Stat'!S27+'AD9'!S27+'AD10'!S27+'AD11'!S27+'AD12'!S27+'AD13'!S27</f>
        <v>1146.0851942027116</v>
      </c>
      <c r="T27" s="81">
        <f>'AD8 Stat'!T27+'AD9'!T27+'AD10'!T27+'AD11'!T27+'AD12'!T27+'AD13'!T27</f>
        <v>0</v>
      </c>
      <c r="U27" s="81">
        <f>'AD8 Stat'!U27+'AD9'!U27+'AD10'!U27+'AD11'!U27+'AD12'!U27+'AD13'!U27</f>
        <v>1146.0851942027116</v>
      </c>
      <c r="V27" s="81">
        <f>'AD8 Stat'!V27+'AD9'!V27+'AD10'!V27+'AD11'!V27+'AD12'!V27+'AD13'!V27</f>
        <v>20556056.465194199</v>
      </c>
      <c r="W27" s="81">
        <f>'AD8 Stat'!W27+'AD9'!W27+'AD10'!W27+'AD11'!W27+'AD12'!W27+'AD13'!W27</f>
        <v>0</v>
      </c>
      <c r="X27" s="17"/>
    </row>
    <row r="28" spans="1:24">
      <c r="A28" s="6">
        <f t="shared" si="1"/>
        <v>2005</v>
      </c>
      <c r="B28" s="81">
        <f>'AD8 Stat'!B28+'AD9'!B28+'AD10'!B28+'AD11'!B28+'AD12'!B28+'AD13'!B28</f>
        <v>21825714.289999999</v>
      </c>
      <c r="C28" s="81">
        <f>'AD8 Stat'!C28+'AD9'!C28+'AD10'!C28+'AD11'!C28+'AD12'!C28+'AD13'!C28</f>
        <v>22370711.530000001</v>
      </c>
      <c r="D28" s="81">
        <f>'AD8 Stat'!D28+'AD9'!D28+'AD10'!D28+'AD11'!D28+'AD12'!D28+'AD13'!D28</f>
        <v>22370711.530000001</v>
      </c>
      <c r="E28" s="81">
        <f>'AD8 Stat'!E28+'AD9'!E28+'AD10'!E28+'AD11'!E28+'AD12'!E28+'AD13'!E28</f>
        <v>22370711.530000001</v>
      </c>
      <c r="F28" s="81">
        <f>'AD8 Stat'!F28+'AD9'!F28+'AD10'!F28+'AD11'!F28+'AD12'!F28+'AD13'!F28</f>
        <v>22370711.530000001</v>
      </c>
      <c r="G28" s="81">
        <f>'AD8 Stat'!G28+'AD9'!G28+'AD10'!G28+'AD11'!G28+'AD12'!G28+'AD13'!G28</f>
        <v>22915708.770000003</v>
      </c>
      <c r="H28" s="81">
        <f>'AD8 Stat'!H28+'AD9'!H28+'AD10'!H28+'AD11'!H28+'AD12'!H28+'AD13'!H28</f>
        <v>22915708.770000003</v>
      </c>
      <c r="I28" s="81">
        <f>'AD8 Stat'!I28+'AD9'!I28+'AD10'!I28+'AD11'!I28+'AD12'!I28+'AD13'!I28</f>
        <v>544997.24000000209</v>
      </c>
      <c r="J28" s="81">
        <f>'AD8 Stat'!J28+'AD9'!J28+'AD10'!J28+'AD11'!J28+'AD12'!J28+'AD13'!J28</f>
        <v>544997.24000000209</v>
      </c>
      <c r="K28" s="81">
        <f>'AD8 Stat'!K28+'AD9'!K28+'AD10'!K28+'AD11'!K28+'AD12'!K28+'AD13'!K28</f>
        <v>22370711.530000001</v>
      </c>
      <c r="L28" s="81">
        <f>'AD8 Stat'!L28+'AD9'!L28+'AD10'!L28+'AD11'!L28+'AD12'!L28+'AD13'!L28</f>
        <v>22370711.530000001</v>
      </c>
      <c r="M28" s="81">
        <f>'AD8 Stat'!M28+'AD9'!M28+'AD10'!M28+'AD11'!M28+'AD12'!M28+'AD13'!M28</f>
        <v>0</v>
      </c>
      <c r="N28" s="81">
        <f>'AD8 Stat'!N28+'AD9'!N28+'AD10'!N28+'AD11'!N28+'AD12'!N28+'AD13'!N28</f>
        <v>0</v>
      </c>
      <c r="O28" s="81">
        <f>'AD8 Stat'!O28+'AD9'!O28+'AD10'!O28+'AD11'!O28+'AD12'!O28+'AD13'!O28</f>
        <v>0</v>
      </c>
      <c r="P28" s="81">
        <f>'AD8 Stat'!P28+'AD9'!P28+'AD10'!P28+'AD11'!P28+'AD12'!P28+'AD13'!P28</f>
        <v>544997.24000000209</v>
      </c>
      <c r="Q28" s="81">
        <f>'AD8 Stat'!Q28+'AD9'!Q28+'AD10'!Q28+'AD11'!Q28+'AD12'!Q28+'AD13'!Q28</f>
        <v>22370711.530000001</v>
      </c>
      <c r="R28" s="81">
        <f>'AD8 Stat'!R28+'AD9'!R28+'AD10'!R28+'AD11'!R28+'AD12'!R28+'AD13'!R28</f>
        <v>22915708.770000003</v>
      </c>
      <c r="S28" s="81">
        <f>'AD8 Stat'!S28+'AD9'!S28+'AD10'!S28+'AD11'!S28+'AD12'!S28+'AD13'!S28</f>
        <v>0</v>
      </c>
      <c r="T28" s="81">
        <f>'AD8 Stat'!T28+'AD9'!T28+'AD10'!T28+'AD11'!T28+'AD12'!T28+'AD13'!T28</f>
        <v>0</v>
      </c>
      <c r="U28" s="81">
        <f>'AD8 Stat'!U28+'AD9'!U28+'AD10'!U28+'AD11'!U28+'AD12'!U28+'AD13'!U28</f>
        <v>0</v>
      </c>
      <c r="V28" s="81">
        <f>'AD8 Stat'!V28+'AD9'!V28+'AD10'!V28+'AD11'!V28+'AD12'!V28+'AD13'!V28</f>
        <v>22915708.770000003</v>
      </c>
      <c r="W28" s="81">
        <f>'AD8 Stat'!W28+'AD9'!W28+'AD10'!W28+'AD11'!W28+'AD12'!W28+'AD13'!W28</f>
        <v>0</v>
      </c>
      <c r="X28" s="17"/>
    </row>
    <row r="29" spans="1:24">
      <c r="A29" s="6">
        <f t="shared" si="1"/>
        <v>2006</v>
      </c>
      <c r="B29" s="81">
        <f>'AD8 Stat'!B29+'AD9'!B29+'AD10'!B29+'AD11'!B29+'AD12'!B29+'AD13'!B29</f>
        <v>22032491.739999998</v>
      </c>
      <c r="C29" s="81">
        <f>'AD8 Stat'!C29+'AD9'!C29+'AD10'!C29+'AD11'!C29+'AD12'!C29+'AD13'!C29</f>
        <v>22102527.079999998</v>
      </c>
      <c r="D29" s="81" t="e">
        <f>'AD8 Stat'!D29+'AD9'!D29+'AD10'!D29+'AD11'!D29+'AD12'!D29+'AD13'!D29</f>
        <v>#REF!</v>
      </c>
      <c r="E29" s="81">
        <f>'AD8 Stat'!E29+'AD9'!E29+'AD10'!E29+'AD11'!E29+'AD12'!E29+'AD13'!E29</f>
        <v>22102527.079999998</v>
      </c>
      <c r="F29" s="81">
        <f>'AD8 Stat'!F29+'AD9'!F29+'AD10'!F29+'AD11'!F29+'AD12'!F29+'AD13'!F29</f>
        <v>24591736.629999995</v>
      </c>
      <c r="G29" s="81">
        <f>'AD8 Stat'!G29+'AD9'!G29+'AD10'!G29+'AD11'!G29+'AD12'!G29+'AD13'!G29</f>
        <v>22172562.420000002</v>
      </c>
      <c r="H29" s="81" t="e">
        <f>'AD8 Stat'!H29+'AD9'!H29+'AD10'!H29+'AD11'!H29+'AD12'!H29+'AD13'!H29</f>
        <v>#REF!</v>
      </c>
      <c r="I29" s="81">
        <f>'AD8 Stat'!I29+'AD9'!I29+'AD10'!I29+'AD11'!I29+'AD12'!I29+'AD13'!I29</f>
        <v>70035.339999999851</v>
      </c>
      <c r="J29" s="81" t="e">
        <f>'AD8 Stat'!J29+'AD9'!J29+'AD10'!J29+'AD11'!J29+'AD12'!J29+'AD13'!J29</f>
        <v>#REF!</v>
      </c>
      <c r="K29" s="81">
        <f>'AD8 Stat'!K29+'AD9'!K29+'AD10'!K29+'AD11'!K29+'AD12'!K29+'AD13'!K29</f>
        <v>22102527.079999998</v>
      </c>
      <c r="L29" s="81">
        <f>'AD8 Stat'!L29+'AD9'!L29+'AD10'!L29+'AD11'!L29+'AD12'!L29+'AD13'!L29</f>
        <v>24591736.629999995</v>
      </c>
      <c r="M29" s="81">
        <f>'AD8 Stat'!M29+'AD9'!M29+'AD10'!M29+'AD11'!M29+'AD12'!M29+'AD13'!M29</f>
        <v>0</v>
      </c>
      <c r="N29" s="81">
        <f>'AD8 Stat'!N29+'AD9'!N29+'AD10'!N29+'AD11'!N29+'AD12'!N29+'AD13'!N29</f>
        <v>0</v>
      </c>
      <c r="O29" s="81">
        <f>'AD8 Stat'!O29+'AD9'!O29+'AD10'!O29+'AD11'!O29+'AD12'!O29+'AD13'!O29</f>
        <v>0</v>
      </c>
      <c r="P29" s="81" t="e">
        <f>'AD8 Stat'!P29+'AD9'!P29+'AD10'!P29+'AD11'!P29+'AD12'!P29+'AD13'!P29</f>
        <v>#REF!</v>
      </c>
      <c r="Q29" s="81">
        <f>'AD8 Stat'!Q29+'AD9'!Q29+'AD10'!Q29+'AD11'!Q29+'AD12'!Q29+'AD13'!Q29</f>
        <v>24591736.629999995</v>
      </c>
      <c r="R29" s="81" t="e">
        <f>'AD8 Stat'!R29+'AD9'!R29+'AD10'!R29+'AD11'!R29+'AD12'!R29+'AD13'!R29</f>
        <v>#REF!</v>
      </c>
      <c r="S29" s="81">
        <f>'AD8 Stat'!S29+'AD9'!S29+'AD10'!S29+'AD11'!S29+'AD12'!S29+'AD13'!S29</f>
        <v>0</v>
      </c>
      <c r="T29" s="81">
        <f>'AD8 Stat'!T29+'AD9'!T29+'AD10'!T29+'AD11'!T29+'AD12'!T29+'AD13'!T29</f>
        <v>0</v>
      </c>
      <c r="U29" s="81">
        <f>'AD8 Stat'!U29+'AD9'!U29+'AD10'!U29+'AD11'!U29+'AD12'!U29+'AD13'!U29</f>
        <v>0</v>
      </c>
      <c r="V29" s="81" t="e">
        <f>'AD8 Stat'!V29+'AD9'!V29+'AD10'!V29+'AD11'!V29+'AD12'!V29+'AD13'!V29</f>
        <v>#REF!</v>
      </c>
      <c r="W29" s="81">
        <f>'AD8 Stat'!W29+'AD9'!W29+'AD10'!W29+'AD11'!W29+'AD12'!W29+'AD13'!W29</f>
        <v>0</v>
      </c>
      <c r="X29" s="17"/>
    </row>
    <row r="30" spans="1:24">
      <c r="A30" s="6">
        <f t="shared" si="1"/>
        <v>2007</v>
      </c>
      <c r="B30" s="81">
        <f>'AD8 Stat'!B30+'AD9'!B30+'AD10'!B30+'AD11'!B30+'AD12'!B30+'AD13'!B30</f>
        <v>18916151.940000001</v>
      </c>
      <c r="C30" s="81">
        <f>'AD8 Stat'!C30+'AD9'!C30+'AD10'!C30+'AD11'!C30+'AD12'!C30+'AD13'!C30</f>
        <v>18973589.100000001</v>
      </c>
      <c r="D30" s="81">
        <f>'AD8 Stat'!D30+'AD9'!D30+'AD10'!D30+'AD11'!D30+'AD12'!D30+'AD13'!D30</f>
        <v>21193970.850000001</v>
      </c>
      <c r="E30" s="81">
        <f>'AD8 Stat'!E30+'AD9'!E30+'AD10'!E30+'AD11'!E30+'AD12'!E30+'AD13'!E30</f>
        <v>18973589.100000001</v>
      </c>
      <c r="F30" s="81">
        <f>'AD8 Stat'!F30+'AD9'!F30+'AD10'!F30+'AD11'!F30+'AD12'!F30+'AD13'!F30</f>
        <v>21193970.850000001</v>
      </c>
      <c r="G30" s="81">
        <f>'AD8 Stat'!G30+'AD9'!G30+'AD10'!G30+'AD11'!G30+'AD12'!G30+'AD13'!G30</f>
        <v>19031026.260000002</v>
      </c>
      <c r="H30" s="81">
        <f>'AD8 Stat'!H30+'AD9'!H30+'AD10'!H30+'AD11'!H30+'AD12'!H30+'AD13'!H30</f>
        <v>23471789.760000002</v>
      </c>
      <c r="I30" s="81">
        <f>'AD8 Stat'!I30+'AD9'!I30+'AD10'!I30+'AD11'!I30+'AD12'!I30+'AD13'!I30</f>
        <v>57437.160000000149</v>
      </c>
      <c r="J30" s="81">
        <f>'AD8 Stat'!J30+'AD9'!J30+'AD10'!J30+'AD11'!J30+'AD12'!J30+'AD13'!J30</f>
        <v>2277818.91</v>
      </c>
      <c r="K30" s="81">
        <f>'AD8 Stat'!K30+'AD9'!K30+'AD10'!K30+'AD11'!K30+'AD12'!K30+'AD13'!K30</f>
        <v>18973589.100000001</v>
      </c>
      <c r="L30" s="81">
        <f>'AD8 Stat'!L30+'AD9'!L30+'AD10'!L30+'AD11'!L30+'AD12'!L30+'AD13'!L30</f>
        <v>21193970.850000001</v>
      </c>
      <c r="M30" s="81">
        <f>'AD8 Stat'!M30+'AD9'!M30+'AD10'!M30+'AD11'!M30+'AD12'!M30+'AD13'!M30</f>
        <v>0</v>
      </c>
      <c r="N30" s="81">
        <f>'AD8 Stat'!N30+'AD9'!N30+'AD10'!N30+'AD11'!N30+'AD12'!N30+'AD13'!N30</f>
        <v>0</v>
      </c>
      <c r="O30" s="81">
        <f>'AD8 Stat'!O30+'AD9'!O30+'AD10'!O30+'AD11'!O30+'AD12'!O30+'AD13'!O30</f>
        <v>0</v>
      </c>
      <c r="P30" s="81">
        <f>'AD8 Stat'!P30+'AD9'!P30+'AD10'!P30+'AD11'!P30+'AD12'!P30+'AD13'!P30</f>
        <v>2277818.91</v>
      </c>
      <c r="Q30" s="81">
        <f>'AD8 Stat'!Q30+'AD9'!Q30+'AD10'!Q30+'AD11'!Q30+'AD12'!Q30+'AD13'!Q30</f>
        <v>21193970.850000001</v>
      </c>
      <c r="R30" s="81">
        <f>'AD8 Stat'!R30+'AD9'!R30+'AD10'!R30+'AD11'!R30+'AD12'!R30+'AD13'!R30</f>
        <v>23471789.760000002</v>
      </c>
      <c r="S30" s="81">
        <f>'AD8 Stat'!S30+'AD9'!S30+'AD10'!S30+'AD11'!S30+'AD12'!S30+'AD13'!S30</f>
        <v>0</v>
      </c>
      <c r="T30" s="81">
        <f>'AD8 Stat'!T30+'AD9'!T30+'AD10'!T30+'AD11'!T30+'AD12'!T30+'AD13'!T30</f>
        <v>416.96689735816676</v>
      </c>
      <c r="U30" s="81">
        <f>'AD8 Stat'!U30+'AD9'!U30+'AD10'!U30+'AD11'!U30+'AD12'!U30+'AD13'!U30</f>
        <v>416.96689735816676</v>
      </c>
      <c r="V30" s="81">
        <f>'AD8 Stat'!V30+'AD9'!V30+'AD10'!V30+'AD11'!V30+'AD12'!V30+'AD13'!V30</f>
        <v>23472206.726897359</v>
      </c>
      <c r="W30" s="81">
        <f>'AD8 Stat'!W30+'AD9'!W30+'AD10'!W30+'AD11'!W30+'AD12'!W30+'AD13'!W30</f>
        <v>0</v>
      </c>
      <c r="X30" s="17"/>
    </row>
    <row r="31" spans="1:24">
      <c r="A31" s="6">
        <f t="shared" si="1"/>
        <v>2008</v>
      </c>
      <c r="B31" s="81">
        <f>'AD8 Stat'!B31+'AD9'!B31+'AD10'!B31+'AD11'!B31+'AD12'!B31+'AD13'!B31</f>
        <v>24630378.699999999</v>
      </c>
      <c r="C31" s="81">
        <f>'AD8 Stat'!C31+'AD9'!C31+'AD10'!C31+'AD11'!C31+'AD12'!C31+'AD13'!C31</f>
        <v>25135887.52</v>
      </c>
      <c r="D31" s="81">
        <f>'AD8 Stat'!D31+'AD9'!D31+'AD10'!D31+'AD11'!D31+'AD12'!D31+'AD13'!D31</f>
        <v>34669398.590000004</v>
      </c>
      <c r="E31" s="81">
        <f>'AD8 Stat'!E31+'AD9'!E31+'AD10'!E31+'AD11'!E31+'AD12'!E31+'AD13'!E31</f>
        <v>25135887.52</v>
      </c>
      <c r="F31" s="81">
        <f>'AD8 Stat'!F31+'AD9'!F31+'AD10'!F31+'AD11'!F31+'AD12'!F31+'AD13'!F31</f>
        <v>34671370.409999996</v>
      </c>
      <c r="G31" s="81">
        <f>'AD8 Stat'!G31+'AD9'!G31+'AD10'!G31+'AD11'!G31+'AD12'!G31+'AD13'!G31</f>
        <v>25641396.34</v>
      </c>
      <c r="H31" s="81">
        <f>'AD8 Stat'!H31+'AD9'!H31+'AD10'!H31+'AD11'!H31+'AD12'!H31+'AD13'!H31</f>
        <v>44710390.299999997</v>
      </c>
      <c r="I31" s="81">
        <f>'AD8 Stat'!I31+'AD9'!I31+'AD10'!I31+'AD11'!I31+'AD12'!I31+'AD13'!I31</f>
        <v>505508.8200000003</v>
      </c>
      <c r="J31" s="81">
        <f>'AD8 Stat'!J31+'AD9'!J31+'AD10'!J31+'AD11'!J31+'AD12'!J31+'AD13'!J31</f>
        <v>10039019.890000001</v>
      </c>
      <c r="K31" s="81">
        <f>'AD8 Stat'!K31+'AD9'!K31+'AD10'!K31+'AD11'!K31+'AD12'!K31+'AD13'!K31</f>
        <v>25135887.52</v>
      </c>
      <c r="L31" s="81">
        <f>'AD8 Stat'!L31+'AD9'!L31+'AD10'!L31+'AD11'!L31+'AD12'!L31+'AD13'!L31</f>
        <v>34671370.409999996</v>
      </c>
      <c r="M31" s="81">
        <f>'AD8 Stat'!M31+'AD9'!M31+'AD10'!M31+'AD11'!M31+'AD12'!M31+'AD13'!M31</f>
        <v>0</v>
      </c>
      <c r="N31" s="81">
        <f>'AD8 Stat'!N31+'AD9'!N31+'AD10'!N31+'AD11'!N31+'AD12'!N31+'AD13'!N31</f>
        <v>0</v>
      </c>
      <c r="O31" s="81">
        <f>'AD8 Stat'!O31+'AD9'!O31+'AD10'!O31+'AD11'!O31+'AD12'!O31+'AD13'!O31</f>
        <v>0</v>
      </c>
      <c r="P31" s="81">
        <f>'AD8 Stat'!P31+'AD9'!P31+'AD10'!P31+'AD11'!P31+'AD12'!P31+'AD13'!P31</f>
        <v>10039019.890000001</v>
      </c>
      <c r="Q31" s="81">
        <f>'AD8 Stat'!Q31+'AD9'!Q31+'AD10'!Q31+'AD11'!Q31+'AD12'!Q31+'AD13'!Q31</f>
        <v>34671370.409999996</v>
      </c>
      <c r="R31" s="81">
        <f>'AD8 Stat'!R31+'AD9'!R31+'AD10'!R31+'AD11'!R31+'AD12'!R31+'AD13'!R31</f>
        <v>44710390.299999997</v>
      </c>
      <c r="S31" s="81">
        <f>'AD8 Stat'!S31+'AD9'!S31+'AD10'!S31+'AD11'!S31+'AD12'!S31+'AD13'!S31</f>
        <v>0</v>
      </c>
      <c r="T31" s="81">
        <f>'AD8 Stat'!T31+'AD9'!T31+'AD10'!T31+'AD11'!T31+'AD12'!T31+'AD13'!T31</f>
        <v>36230.974506352737</v>
      </c>
      <c r="U31" s="81">
        <f>'AD8 Stat'!U31+'AD9'!U31+'AD10'!U31+'AD11'!U31+'AD12'!U31+'AD13'!U31</f>
        <v>36230.974506352737</v>
      </c>
      <c r="V31" s="81">
        <f>'AD8 Stat'!V31+'AD9'!V31+'AD10'!V31+'AD11'!V31+'AD12'!V31+'AD13'!V31</f>
        <v>44746621.274506353</v>
      </c>
      <c r="W31" s="81">
        <f>'AD8 Stat'!W31+'AD9'!W31+'AD10'!W31+'AD11'!W31+'AD12'!W31+'AD13'!W31</f>
        <v>0</v>
      </c>
      <c r="X31" s="17"/>
    </row>
    <row r="32" spans="1:24">
      <c r="A32" s="6">
        <f t="shared" si="1"/>
        <v>2009</v>
      </c>
      <c r="B32" s="81">
        <f>'AD8 Stat'!B32+'AD9'!B32+'AD10'!B32+'AD11'!B32+'AD12'!B32+'AD13'!B32</f>
        <v>40323578.548964903</v>
      </c>
      <c r="C32" s="81">
        <f>'AD8 Stat'!C32+'AD9'!C32+'AD10'!C32+'AD11'!C32+'AD12'!C32+'AD13'!C32</f>
        <v>17266474.729999997</v>
      </c>
      <c r="D32" s="81">
        <f>'AD8 Stat'!D32+'AD9'!D32+'AD10'!D32+'AD11'!D32+'AD12'!D32+'AD13'!D32</f>
        <v>24200584.68</v>
      </c>
      <c r="E32" s="81">
        <f>'AD8 Stat'!E32+'AD9'!E32+'AD10'!E32+'AD11'!E32+'AD12'!E32+'AD13'!E32</f>
        <v>17266474.729999997</v>
      </c>
      <c r="F32" s="81">
        <f>'AD8 Stat'!F32+'AD9'!F32+'AD10'!F32+'AD11'!F32+'AD12'!F32+'AD13'!F32</f>
        <v>24743576.129999999</v>
      </c>
      <c r="G32" s="81">
        <f>'AD8 Stat'!G32+'AD9'!G32+'AD10'!G32+'AD11'!G32+'AD12'!G32+'AD13'!G32</f>
        <v>-5790629.0889649112</v>
      </c>
      <c r="H32" s="81">
        <f>'AD8 Stat'!H32+'AD9'!H32+'AD10'!H32+'AD11'!H32+'AD12'!H32+'AD13'!H32</f>
        <v>8620582.2610350903</v>
      </c>
      <c r="I32" s="81">
        <f>'AD8 Stat'!I32+'AD9'!I32+'AD10'!I32+'AD11'!I32+'AD12'!I32+'AD13'!I32</f>
        <v>-23057103.81896491</v>
      </c>
      <c r="J32" s="81">
        <f>'AD8 Stat'!J32+'AD9'!J32+'AD10'!J32+'AD11'!J32+'AD12'!J32+'AD13'!J32</f>
        <v>-16122993.868964907</v>
      </c>
      <c r="K32" s="81">
        <f>'AD8 Stat'!K32+'AD9'!K32+'AD10'!K32+'AD11'!K32+'AD12'!K32+'AD13'!K32</f>
        <v>17266474.729999997</v>
      </c>
      <c r="L32" s="81">
        <f>'AD8 Stat'!L32+'AD9'!L32+'AD10'!L32+'AD11'!L32+'AD12'!L32+'AD13'!L32</f>
        <v>24743576.129999999</v>
      </c>
      <c r="M32" s="81">
        <f>'AD8 Stat'!M32+'AD9'!M32+'AD10'!M32+'AD11'!M32+'AD12'!M32+'AD13'!M32</f>
        <v>49.437654141832901</v>
      </c>
      <c r="N32" s="81">
        <f>'AD8 Stat'!N32+'AD9'!N32+'AD10'!N32+'AD11'!N32+'AD12'!N32+'AD13'!N32</f>
        <v>14.352867331499873</v>
      </c>
      <c r="O32" s="81">
        <f>'AD8 Stat'!O32+'AD9'!O32+'AD10'!O32+'AD11'!O32+'AD12'!O32+'AD13'!O32</f>
        <v>63.790521473332774</v>
      </c>
      <c r="P32" s="81">
        <f>'AD8 Stat'!P32+'AD9'!P32+'AD10'!P32+'AD11'!P32+'AD12'!P32+'AD13'!P32</f>
        <v>-16122944.431310765</v>
      </c>
      <c r="Q32" s="81">
        <f>'AD8 Stat'!Q32+'AD9'!Q32+'AD10'!Q32+'AD11'!Q32+'AD12'!Q32+'AD13'!Q32</f>
        <v>24743590.48286733</v>
      </c>
      <c r="R32" s="81">
        <f>'AD8 Stat'!R32+'AD9'!R32+'AD10'!R32+'AD11'!R32+'AD12'!R32+'AD13'!R32</f>
        <v>8620646.051556563</v>
      </c>
      <c r="S32" s="81">
        <f>'AD8 Stat'!S32+'AD9'!S32+'AD10'!S32+'AD11'!S32+'AD12'!S32+'AD13'!S32</f>
        <v>1.8930575690471381</v>
      </c>
      <c r="T32" s="81">
        <f>'AD8 Stat'!T32+'AD9'!T32+'AD10'!T32+'AD11'!T32+'AD12'!T32+'AD13'!T32</f>
        <v>0</v>
      </c>
      <c r="U32" s="81">
        <f>'AD8 Stat'!U32+'AD9'!U32+'AD10'!U32+'AD11'!U32+'AD12'!U32+'AD13'!U32</f>
        <v>1.8930575690471381</v>
      </c>
      <c r="V32" s="81">
        <f>'AD8 Stat'!V32+'AD9'!V32+'AD10'!V32+'AD11'!V32+'AD12'!V32+'AD13'!V32</f>
        <v>8620647.9446141329</v>
      </c>
      <c r="W32" s="81">
        <f>'AD8 Stat'!W32+'AD9'!W32+'AD10'!W32+'AD11'!W32+'AD12'!W32+'AD13'!W32</f>
        <v>0</v>
      </c>
      <c r="X32" s="17"/>
    </row>
    <row r="33" spans="1:24">
      <c r="A33" s="6">
        <f t="shared" si="1"/>
        <v>2010</v>
      </c>
      <c r="B33" s="81">
        <f>'AD8 Stat'!B33+'AD9'!B33+'AD10'!B33+'AD11'!B33+'AD12'!B33+'AD13'!B33</f>
        <v>45432914.247067183</v>
      </c>
      <c r="C33" s="81">
        <f>'AD8 Stat'!C33+'AD9'!C33+'AD10'!C33+'AD11'!C33+'AD12'!C33+'AD13'!C33</f>
        <v>24497907.500000004</v>
      </c>
      <c r="D33" s="81">
        <f>'AD8 Stat'!D33+'AD9'!D33+'AD10'!D33+'AD11'!D33+'AD12'!D33+'AD13'!D33</f>
        <v>45677967.040000007</v>
      </c>
      <c r="E33" s="81">
        <f>'AD8 Stat'!E33+'AD9'!E33+'AD10'!E33+'AD11'!E33+'AD12'!E33+'AD13'!E33</f>
        <v>24453044.070000004</v>
      </c>
      <c r="F33" s="81">
        <f>'AD8 Stat'!F33+'AD9'!F33+'AD10'!F33+'AD11'!F33+'AD12'!F33+'AD13'!F33</f>
        <v>48457679.400000006</v>
      </c>
      <c r="G33" s="81">
        <f>'AD8 Stat'!G33+'AD9'!G33+'AD10'!G33+'AD11'!G33+'AD12'!G33+'AD13'!G33</f>
        <v>3518037.3229328319</v>
      </c>
      <c r="H33" s="81">
        <f>'AD8 Stat'!H33+'AD9'!H33+'AD10'!H33+'AD11'!H33+'AD12'!H33+'AD13'!H33</f>
        <v>48702732.192932822</v>
      </c>
      <c r="I33" s="81">
        <f>'AD8 Stat'!I33+'AD9'!I33+'AD10'!I33+'AD11'!I33+'AD12'!I33+'AD13'!I33</f>
        <v>-20935006.747067172</v>
      </c>
      <c r="J33" s="81">
        <f>'AD8 Stat'!J33+'AD9'!J33+'AD10'!J33+'AD11'!J33+'AD12'!J33+'AD13'!J33</f>
        <v>245052.79293283075</v>
      </c>
      <c r="K33" s="81">
        <f>'AD8 Stat'!K33+'AD9'!K33+'AD10'!K33+'AD11'!K33+'AD12'!K33+'AD13'!K33</f>
        <v>24453044.070000004</v>
      </c>
      <c r="L33" s="81">
        <f>'AD8 Stat'!L33+'AD9'!L33+'AD10'!L33+'AD11'!L33+'AD12'!L33+'AD13'!L33</f>
        <v>48457679.400000006</v>
      </c>
      <c r="M33" s="81">
        <f>'AD8 Stat'!M33+'AD9'!M33+'AD10'!M33+'AD11'!M33+'AD12'!M33+'AD13'!M33</f>
        <v>613.83894569795814</v>
      </c>
      <c r="N33" s="81">
        <f>'AD8 Stat'!N33+'AD9'!N33+'AD10'!N33+'AD11'!N33+'AD12'!N33+'AD13'!N33</f>
        <v>178.2113068155362</v>
      </c>
      <c r="O33" s="81">
        <f>'AD8 Stat'!O33+'AD9'!O33+'AD10'!O33+'AD11'!O33+'AD12'!O33+'AD13'!O33</f>
        <v>792.05025251349434</v>
      </c>
      <c r="P33" s="81">
        <f>'AD8 Stat'!P33+'AD9'!P33+'AD10'!P33+'AD11'!P33+'AD12'!P33+'AD13'!P33</f>
        <v>245666.63187852874</v>
      </c>
      <c r="Q33" s="81">
        <f>'AD8 Stat'!Q33+'AD9'!Q33+'AD10'!Q33+'AD11'!Q33+'AD12'!Q33+'AD13'!Q33</f>
        <v>48457857.611306816</v>
      </c>
      <c r="R33" s="81">
        <f>'AD8 Stat'!R33+'AD9'!R33+'AD10'!R33+'AD11'!R33+'AD12'!R33+'AD13'!R33</f>
        <v>48703524.243185341</v>
      </c>
      <c r="S33" s="81">
        <f>'AD8 Stat'!S33+'AD9'!S33+'AD10'!S33+'AD11'!S33+'AD12'!S33+'AD13'!S33</f>
        <v>13191.377017534356</v>
      </c>
      <c r="T33" s="81">
        <f>'AD8 Stat'!T33+'AD9'!T33+'AD10'!T33+'AD11'!T33+'AD12'!T33+'AD13'!T33</f>
        <v>1024907.9999999999</v>
      </c>
      <c r="U33" s="81">
        <f>'AD8 Stat'!U33+'AD9'!U33+'AD10'!U33+'AD11'!U33+'AD12'!U33+'AD13'!U33</f>
        <v>1038099.3770175342</v>
      </c>
      <c r="V33" s="81">
        <f>'AD8 Stat'!V33+'AD9'!V33+'AD10'!V33+'AD11'!V33+'AD12'!V33+'AD13'!V33</f>
        <v>49741623.620202884</v>
      </c>
      <c r="W33" s="81">
        <f>'AD8 Stat'!W33+'AD9'!W33+'AD10'!W33+'AD11'!W33+'AD12'!W33+'AD13'!W33</f>
        <v>0</v>
      </c>
      <c r="X33" s="17"/>
    </row>
    <row r="34" spans="1:24">
      <c r="A34" s="6">
        <f t="shared" si="1"/>
        <v>2011</v>
      </c>
      <c r="B34" s="81">
        <f>'AD8 Stat'!B34+'AD9'!B34+'AD10'!B34+'AD11'!B34+'AD12'!B34+'AD13'!B34</f>
        <v>44709213.85397467</v>
      </c>
      <c r="C34" s="81">
        <f>'AD8 Stat'!C34+'AD9'!C34+'AD10'!C34+'AD11'!C34+'AD12'!C34+'AD13'!C34</f>
        <v>22853584.830000002</v>
      </c>
      <c r="D34" s="81">
        <f>'AD8 Stat'!D34+'AD9'!D34+'AD10'!D34+'AD11'!D34+'AD12'!D34+'AD13'!D34</f>
        <v>34323216.980000004</v>
      </c>
      <c r="E34" s="81">
        <f>'AD8 Stat'!E34+'AD9'!E34+'AD10'!E34+'AD11'!E34+'AD12'!E34+'AD13'!E34</f>
        <v>22856084.830000002</v>
      </c>
      <c r="F34" s="81">
        <f>'AD8 Stat'!F34+'AD9'!F34+'AD10'!F34+'AD11'!F34+'AD12'!F34+'AD13'!F34</f>
        <v>42504900.489999995</v>
      </c>
      <c r="G34" s="81">
        <f>'AD8 Stat'!G34+'AD9'!G34+'AD10'!G34+'AD11'!G34+'AD12'!G34+'AD13'!G34</f>
        <v>997955.80602533778</v>
      </c>
      <c r="H34" s="81">
        <f>'AD8 Stat'!H34+'AD9'!H34+'AD10'!H34+'AD11'!H34+'AD12'!H34+'AD13'!H34</f>
        <v>32118903.616025332</v>
      </c>
      <c r="I34" s="81">
        <f>'AD8 Stat'!I34+'AD9'!I34+'AD10'!I34+'AD11'!I34+'AD12'!I34+'AD13'!I34</f>
        <v>-21855629.023974665</v>
      </c>
      <c r="J34" s="81">
        <f>'AD8 Stat'!J34+'AD9'!J34+'AD10'!J34+'AD11'!J34+'AD12'!J34+'AD13'!J34</f>
        <v>-10385996.873974666</v>
      </c>
      <c r="K34" s="81">
        <f>'AD8 Stat'!K34+'AD9'!K34+'AD10'!K34+'AD11'!K34+'AD12'!K34+'AD13'!K34</f>
        <v>22853584.830000002</v>
      </c>
      <c r="L34" s="81">
        <f>'AD8 Stat'!L34+'AD9'!L34+'AD10'!L34+'AD11'!L34+'AD12'!L34+'AD13'!L34</f>
        <v>42504900.489999995</v>
      </c>
      <c r="M34" s="81">
        <f>'AD8 Stat'!M34+'AD9'!M34+'AD10'!M34+'AD11'!M34+'AD12'!M34+'AD13'!M34</f>
        <v>5193.2671780276578</v>
      </c>
      <c r="N34" s="81">
        <f>'AD8 Stat'!N34+'AD9'!N34+'AD10'!N34+'AD11'!N34+'AD12'!N34+'AD13'!N34</f>
        <v>1507.7227291048039</v>
      </c>
      <c r="O34" s="81">
        <f>'AD8 Stat'!O34+'AD9'!O34+'AD10'!O34+'AD11'!O34+'AD12'!O34+'AD13'!O34</f>
        <v>6700.9899071324617</v>
      </c>
      <c r="P34" s="81">
        <f>'AD8 Stat'!P34+'AD9'!P34+'AD10'!P34+'AD11'!P34+'AD12'!P34+'AD13'!P34</f>
        <v>-10380803.606796637</v>
      </c>
      <c r="Q34" s="81">
        <f>'AD8 Stat'!Q34+'AD9'!Q34+'AD10'!Q34+'AD11'!Q34+'AD12'!Q34+'AD13'!Q34</f>
        <v>42506408.212729104</v>
      </c>
      <c r="R34" s="81">
        <f>'AD8 Stat'!R34+'AD9'!R34+'AD10'!R34+'AD11'!R34+'AD12'!R34+'AD13'!R34</f>
        <v>32125604.605932467</v>
      </c>
      <c r="S34" s="81">
        <f>'AD8 Stat'!S34+'AD9'!S34+'AD10'!S34+'AD11'!S34+'AD12'!S34+'AD13'!S34</f>
        <v>66651.443645766369</v>
      </c>
      <c r="T34" s="81">
        <f>'AD8 Stat'!T34+'AD9'!T34+'AD10'!T34+'AD11'!T34+'AD12'!T34+'AD13'!T34</f>
        <v>814224.85623338772</v>
      </c>
      <c r="U34" s="81">
        <f>'AD8 Stat'!U34+'AD9'!U34+'AD10'!U34+'AD11'!U34+'AD12'!U34+'AD13'!U34</f>
        <v>880876.29987915407</v>
      </c>
      <c r="V34" s="81">
        <f>'AD8 Stat'!V34+'AD9'!V34+'AD10'!V34+'AD11'!V34+'AD12'!V34+'AD13'!V34</f>
        <v>33006480.905811623</v>
      </c>
      <c r="W34" s="81">
        <f>'AD8 Stat'!W34+'AD9'!W34+'AD10'!W34+'AD11'!W34+'AD12'!W34+'AD13'!W34</f>
        <v>37882951.32</v>
      </c>
      <c r="X34" s="17"/>
    </row>
    <row r="35" spans="1:24">
      <c r="A35" s="6">
        <f t="shared" si="1"/>
        <v>2012</v>
      </c>
      <c r="B35" s="81">
        <f>'AD8 Stat'!B35+'AD9'!B35+'AD10'!B35+'AD11'!B35+'AD12'!B35+'AD13'!B35</f>
        <v>30541762.064854655</v>
      </c>
      <c r="C35" s="81">
        <f>'AD8 Stat'!C35+'AD9'!C35+'AD10'!C35+'AD11'!C35+'AD12'!C35+'AD13'!C35</f>
        <v>13940742.370000001</v>
      </c>
      <c r="D35" s="81">
        <f>'AD8 Stat'!D35+'AD9'!D35+'AD10'!D35+'AD11'!D35+'AD12'!D35+'AD13'!D35</f>
        <v>35408192.009999998</v>
      </c>
      <c r="E35" s="81">
        <f>'AD8 Stat'!E35+'AD9'!E35+'AD10'!E35+'AD11'!E35+'AD12'!E35+'AD13'!E35</f>
        <v>13891639.790000001</v>
      </c>
      <c r="F35" s="81">
        <f>'AD8 Stat'!F35+'AD9'!F35+'AD10'!F35+'AD11'!F35+'AD12'!F35+'AD13'!F35</f>
        <v>42824002.93</v>
      </c>
      <c r="G35" s="81">
        <f>'AD8 Stat'!G35+'AD9'!G35+'AD10'!G35+'AD11'!G35+'AD12'!G35+'AD13'!G35</f>
        <v>-2709379.9048546525</v>
      </c>
      <c r="H35" s="81">
        <f>'AD8 Stat'!H35+'AD9'!H35+'AD10'!H35+'AD11'!H35+'AD12'!H35+'AD13'!H35</f>
        <v>47689546.749145344</v>
      </c>
      <c r="I35" s="81">
        <f>'AD8 Stat'!I35+'AD9'!I35+'AD10'!I35+'AD11'!I35+'AD12'!I35+'AD13'!I35</f>
        <v>-16601019.694854658</v>
      </c>
      <c r="J35" s="81">
        <f>'AD8 Stat'!J35+'AD9'!J35+'AD10'!J35+'AD11'!J35+'AD12'!J35+'AD13'!J35</f>
        <v>4865986.8821453443</v>
      </c>
      <c r="K35" s="81">
        <f>'AD8 Stat'!K35+'AD9'!K35+'AD10'!K35+'AD11'!K35+'AD12'!K35+'AD13'!K35</f>
        <v>13891639.790000001</v>
      </c>
      <c r="L35" s="81">
        <f>'AD8 Stat'!L35+'AD9'!L35+'AD10'!L35+'AD11'!L35+'AD12'!L35+'AD13'!L35</f>
        <v>42823559.866999999</v>
      </c>
      <c r="M35" s="81">
        <f>'AD8 Stat'!M35+'AD9'!M35+'AD10'!M35+'AD11'!M35+'AD12'!M35+'AD13'!M35</f>
        <v>28079.861923435055</v>
      </c>
      <c r="N35" s="81">
        <f>'AD8 Stat'!N35+'AD9'!N35+'AD10'!N35+'AD11'!N35+'AD12'!N35+'AD13'!N35</f>
        <v>6653.2824939004986</v>
      </c>
      <c r="O35" s="81">
        <f>'AD8 Stat'!O35+'AD9'!O35+'AD10'!O35+'AD11'!O35+'AD12'!O35+'AD13'!O35</f>
        <v>34733.144417335556</v>
      </c>
      <c r="P35" s="81">
        <f>'AD8 Stat'!P35+'AD9'!P35+'AD10'!P35+'AD11'!P35+'AD12'!P35+'AD13'!P35</f>
        <v>4914086.5367437806</v>
      </c>
      <c r="Q35" s="81">
        <f>'AD8 Stat'!Q35+'AD9'!Q35+'AD10'!Q35+'AD11'!Q35+'AD12'!Q35+'AD13'!Q35</f>
        <v>42837220.199818894</v>
      </c>
      <c r="R35" s="81">
        <f>'AD8 Stat'!R35+'AD9'!R35+'AD10'!R35+'AD11'!R35+'AD12'!R35+'AD13'!R35</f>
        <v>47724279.893562675</v>
      </c>
      <c r="S35" s="81">
        <f>'AD8 Stat'!S35+'AD9'!S35+'AD10'!S35+'AD11'!S35+'AD12'!S35+'AD13'!S35</f>
        <v>162601.4476080758</v>
      </c>
      <c r="T35" s="81">
        <f>'AD8 Stat'!T35+'AD9'!T35+'AD10'!T35+'AD11'!T35+'AD12'!T35+'AD13'!T35</f>
        <v>1027727.8965232198</v>
      </c>
      <c r="U35" s="81">
        <f>'AD8 Stat'!U35+'AD9'!U35+'AD10'!U35+'AD11'!U35+'AD12'!U35+'AD13'!U35</f>
        <v>1190329.3441312956</v>
      </c>
      <c r="V35" s="81">
        <f>'AD8 Stat'!V35+'AD9'!V35+'AD10'!V35+'AD11'!V35+'AD12'!V35+'AD13'!V35</f>
        <v>48941636.080693975</v>
      </c>
      <c r="W35" s="81">
        <f>'AD8 Stat'!W35+'AD9'!W35+'AD10'!W35+'AD11'!W35+'AD12'!W35+'AD13'!W35</f>
        <v>40378999.399999999</v>
      </c>
      <c r="X35" s="17"/>
    </row>
    <row r="36" spans="1:24">
      <c r="A36" s="6">
        <f t="shared" si="1"/>
        <v>2013</v>
      </c>
      <c r="B36" s="81">
        <f>'AD8 Stat'!B36+'AD9'!B36+'AD10'!B36+'AD11'!B36+'AD12'!B36+'AD13'!B36</f>
        <v>37873930.454706013</v>
      </c>
      <c r="C36" s="81">
        <f>'AD8 Stat'!C36+'AD9'!C36+'AD10'!C36+'AD11'!C36+'AD12'!C36+'AD13'!C36</f>
        <v>19423293.039999995</v>
      </c>
      <c r="D36" s="81">
        <f>'AD8 Stat'!D36+'AD9'!D36+'AD10'!D36+'AD11'!D36+'AD12'!D36+'AD13'!D36</f>
        <v>27757666.079999994</v>
      </c>
      <c r="E36" s="81">
        <f>'AD8 Stat'!E36+'AD9'!E36+'AD10'!E36+'AD11'!E36+'AD12'!E36+'AD13'!E36</f>
        <v>19394073.349999998</v>
      </c>
      <c r="F36" s="81">
        <f>'AD8 Stat'!F36+'AD9'!F36+'AD10'!F36+'AD11'!F36+'AD12'!F36+'AD13'!F36</f>
        <v>31104273.529999994</v>
      </c>
      <c r="G36" s="81">
        <f>'AD8 Stat'!G36+'AD9'!G36+'AD10'!G36+'AD11'!G36+'AD12'!G36+'AD13'!G36</f>
        <v>63292.872293968801</v>
      </c>
      <c r="H36" s="81">
        <f>'AD8 Stat'!H36+'AD9'!H36+'AD10'!H36+'AD11'!H36+'AD12'!H36+'AD13'!H36</f>
        <v>19708877.266293973</v>
      </c>
      <c r="I36" s="81">
        <f>'AD8 Stat'!I36+'AD9'!I36+'AD10'!I36+'AD11'!I36+'AD12'!I36+'AD13'!I36</f>
        <v>-19330337.414706029</v>
      </c>
      <c r="J36" s="81">
        <f>'AD8 Stat'!J36+'AD9'!J36+'AD10'!J36+'AD11'!J36+'AD12'!J36+'AD13'!J36</f>
        <v>-11199889.417706028</v>
      </c>
      <c r="K36" s="81">
        <f>'AD8 Stat'!K36+'AD9'!K36+'AD10'!K36+'AD11'!K36+'AD12'!K36+'AD13'!K36</f>
        <v>19393630.286999997</v>
      </c>
      <c r="L36" s="81">
        <f>'AD8 Stat'!L36+'AD9'!L36+'AD10'!L36+'AD11'!L36+'AD12'!L36+'AD13'!L36</f>
        <v>30908766.683999993</v>
      </c>
      <c r="M36" s="81">
        <f>'AD8 Stat'!M36+'AD9'!M36+'AD10'!M36+'AD11'!M36+'AD12'!M36+'AD13'!M36</f>
        <v>-1908672.1545130422</v>
      </c>
      <c r="N36" s="81">
        <f>'AD8 Stat'!N36+'AD9'!N36+'AD10'!N36+'AD11'!N36+'AD12'!N36+'AD13'!N36</f>
        <v>-554130.62550378661</v>
      </c>
      <c r="O36" s="81">
        <f>'AD8 Stat'!O36+'AD9'!O36+'AD10'!O36+'AD11'!O36+'AD12'!O36+'AD13'!O36</f>
        <v>-2462802.7800168293</v>
      </c>
      <c r="P36" s="81">
        <f>'AD8 Stat'!P36+'AD9'!P36+'AD10'!P36+'AD11'!P36+'AD12'!P36+'AD13'!P36</f>
        <v>-1399738.9183600231</v>
      </c>
      <c r="Q36" s="81">
        <f>'AD8 Stat'!Q36+'AD9'!Q36+'AD10'!Q36+'AD11'!Q36+'AD12'!Q36+'AD13'!Q36</f>
        <v>31004272.693777867</v>
      </c>
      <c r="R36" s="81">
        <f>'AD8 Stat'!R36+'AD9'!R36+'AD10'!R36+'AD11'!R36+'AD12'!R36+'AD13'!R36</f>
        <v>17246074.486277133</v>
      </c>
      <c r="S36" s="81">
        <f>'AD8 Stat'!S36+'AD9'!S36+'AD10'!S36+'AD11'!S36+'AD12'!S36+'AD13'!S36</f>
        <v>182901.73442602859</v>
      </c>
      <c r="T36" s="81">
        <f>'AD8 Stat'!T36+'AD9'!T36+'AD10'!T36+'AD11'!T36+'AD12'!T36+'AD13'!T36</f>
        <v>1150171.6594028801</v>
      </c>
      <c r="U36" s="81">
        <f>'AD8 Stat'!U36+'AD9'!U36+'AD10'!U36+'AD11'!U36+'AD12'!U36+'AD13'!U36</f>
        <v>1332528.9278128985</v>
      </c>
      <c r="V36" s="81">
        <f>'AD8 Stat'!V36+'AD9'!V36+'AD10'!V36+'AD11'!V36+'AD12'!V36+'AD13'!V36</f>
        <v>30937062.703230742</v>
      </c>
      <c r="W36" s="81">
        <f>'AD8 Stat'!W36+'AD9'!W36+'AD10'!W36+'AD11'!W36+'AD12'!W36+'AD13'!W36</f>
        <v>41660217.002500005</v>
      </c>
      <c r="X36" s="17"/>
    </row>
    <row r="37" spans="1:24">
      <c r="A37" s="6">
        <f t="shared" si="1"/>
        <v>2014</v>
      </c>
      <c r="B37" s="81">
        <f>'AD8 Stat'!B37+'AD9'!B37+'AD10'!B37+'AD11'!B37+'AD12'!B37+'AD13'!B37</f>
        <v>33143313.763323888</v>
      </c>
      <c r="C37" s="81">
        <f>'AD8 Stat'!C37+'AD9'!C37+'AD10'!C37+'AD11'!C37+'AD12'!C37+'AD13'!C37</f>
        <v>19018627.009999998</v>
      </c>
      <c r="D37" s="81">
        <f>'AD8 Stat'!D37+'AD9'!D37+'AD10'!D37+'AD11'!D37+'AD12'!D37+'AD13'!D37</f>
        <v>27752954.459999997</v>
      </c>
      <c r="E37" s="81">
        <f>'AD8 Stat'!E37+'AD9'!E37+'AD10'!E37+'AD11'!E37+'AD12'!E37+'AD13'!E37</f>
        <v>14709514.249999998</v>
      </c>
      <c r="F37" s="81">
        <f>'AD8 Stat'!F37+'AD9'!F37+'AD10'!F37+'AD11'!F37+'AD12'!F37+'AD13'!F37</f>
        <v>33686100.580000006</v>
      </c>
      <c r="G37" s="81">
        <f>'AD8 Stat'!G37+'AD9'!G37+'AD10'!G37+'AD11'!G37+'AD12'!G37+'AD13'!G37</f>
        <v>416545.51217610762</v>
      </c>
      <c r="H37" s="81">
        <f>'AD8 Stat'!H37+'AD9'!H37+'AD10'!H37+'AD11'!H37+'AD12'!H37+'AD13'!H37</f>
        <v>31980825.827676106</v>
      </c>
      <c r="I37" s="81">
        <f>'AD8 Stat'!I37+'AD9'!I37+'AD10'!I37+'AD11'!I37+'AD12'!I37+'AD13'!I37</f>
        <v>-14321805.50332389</v>
      </c>
      <c r="J37" s="81">
        <f>'AD8 Stat'!J37+'AD9'!J37+'AD10'!J37+'AD11'!J37+'AD12'!J37+'AD13'!J37</f>
        <v>-1878954.4218238927</v>
      </c>
      <c r="K37" s="81">
        <f>'AD8 Stat'!K37+'AD9'!K37+'AD10'!K37+'AD11'!K37+'AD12'!K37+'AD13'!K37</f>
        <v>14738351.0155</v>
      </c>
      <c r="L37" s="81">
        <f>'AD8 Stat'!L37+'AD9'!L37+'AD10'!L37+'AD11'!L37+'AD12'!L37+'AD13'!L37</f>
        <v>33859780.249500006</v>
      </c>
      <c r="M37" s="81">
        <f>'AD8 Stat'!M37+'AD9'!M37+'AD10'!M37+'AD11'!M37+'AD12'!M37+'AD13'!M37</f>
        <v>-1858655.1411422815</v>
      </c>
      <c r="N37" s="81">
        <f>'AD8 Stat'!N37+'AD9'!N37+'AD10'!N37+'AD11'!N37+'AD12'!N37+'AD13'!N37</f>
        <v>-539609.55710582389</v>
      </c>
      <c r="O37" s="81">
        <f>'AD8 Stat'!O37+'AD9'!O37+'AD10'!O37+'AD11'!O37+'AD12'!O37+'AD13'!O37</f>
        <v>-2398264.6982481056</v>
      </c>
      <c r="P37" s="81">
        <f>'AD8 Stat'!P37+'AD9'!P37+'AD10'!P37+'AD11'!P37+'AD12'!P37+'AD13'!P37</f>
        <v>4144776.7261084607</v>
      </c>
      <c r="Q37" s="81">
        <f>'AD8 Stat'!Q37+'AD9'!Q37+'AD10'!Q37+'AD11'!Q37+'AD12'!Q37+'AD13'!Q37</f>
        <v>33781605.357899711</v>
      </c>
      <c r="R37" s="81">
        <f>'AD8 Stat'!R37+'AD9'!R37+'AD10'!R37+'AD11'!R37+'AD12'!R37+'AD13'!R37</f>
        <v>29582561.129427999</v>
      </c>
      <c r="S37" s="81">
        <f>'AD8 Stat'!S37+'AD9'!S37+'AD10'!S37+'AD11'!S37+'AD12'!S37+'AD13'!S37</f>
        <v>319165.84391105088</v>
      </c>
      <c r="T37" s="81">
        <f>'AD8 Stat'!T37+'AD9'!T37+'AD10'!T37+'AD11'!T37+'AD12'!T37+'AD13'!T37</f>
        <v>1236487.4149729372</v>
      </c>
      <c r="U37" s="81">
        <f>'AD8 Stat'!U37+'AD9'!U37+'AD10'!U37+'AD11'!U37+'AD12'!U37+'AD13'!U37</f>
        <v>1507963.0573177603</v>
      </c>
      <c r="V37" s="81">
        <f>'AD8 Stat'!V37+'AD9'!V37+'AD10'!V37+'AD11'!V37+'AD12'!V37+'AD13'!V37</f>
        <v>39434345.141325943</v>
      </c>
      <c r="W37" s="81">
        <f>'AD8 Stat'!W37+'AD9'!W37+'AD10'!W37+'AD11'!W37+'AD12'!W37+'AD13'!W37</f>
        <v>42583000</v>
      </c>
      <c r="X37" s="17"/>
    </row>
    <row r="38" spans="1:24">
      <c r="A38" s="6">
        <f t="shared" si="1"/>
        <v>2015</v>
      </c>
      <c r="B38" s="81">
        <f>'AD8 Stat'!B38+'AD9'!B38+'AD10'!B38+'AD11'!B38+'AD12'!B38+'AD13'!B38</f>
        <v>18478546.462819241</v>
      </c>
      <c r="C38" s="81">
        <f>'AD8 Stat'!C38+'AD9'!C38+'AD10'!C38+'AD11'!C38+'AD12'!C38+'AD13'!C38</f>
        <v>7488775.8999999994</v>
      </c>
      <c r="D38" s="81">
        <f>'AD8 Stat'!D38+'AD9'!D38+'AD10'!D38+'AD11'!D38+'AD12'!D38+'AD13'!D38</f>
        <v>15376639.77</v>
      </c>
      <c r="E38" s="81">
        <f>'AD8 Stat'!E38+'AD9'!E38+'AD10'!E38+'AD11'!E38+'AD12'!E38+'AD13'!E38</f>
        <v>4161122.38</v>
      </c>
      <c r="F38" s="81">
        <f>'AD8 Stat'!F38+'AD9'!F38+'AD10'!F38+'AD11'!F38+'AD12'!F38+'AD13'!F38</f>
        <v>17459714.239999998</v>
      </c>
      <c r="G38" s="81">
        <f>'AD8 Stat'!G38+'AD9'!G38+'AD10'!G38+'AD11'!G38+'AD12'!G38+'AD13'!G38</f>
        <v>-7154160.3698192406</v>
      </c>
      <c r="H38" s="81">
        <f>'AD8 Stat'!H38+'AD9'!H38+'AD10'!H38+'AD11'!H38+'AD12'!H38+'AD13'!H38</f>
        <v>16465815.509680757</v>
      </c>
      <c r="I38" s="81">
        <f>'AD8 Stat'!I38+'AD9'!I38+'AD10'!I38+'AD11'!I38+'AD12'!I38+'AD13'!I38</f>
        <v>-11366351.021819238</v>
      </c>
      <c r="J38" s="81">
        <f>'AD8 Stat'!J38+'AD9'!J38+'AD10'!J38+'AD11'!J38+'AD12'!J38+'AD13'!J38</f>
        <v>-1404199.7423192402</v>
      </c>
      <c r="K38" s="81">
        <f>'AD8 Stat'!K38+'AD9'!K38+'AD10'!K38+'AD11'!K38+'AD12'!K38+'AD13'!K38</f>
        <v>4212190.6519999998</v>
      </c>
      <c r="L38" s="81">
        <f>'AD8 Stat'!L38+'AD9'!L38+'AD10'!L38+'AD11'!L38+'AD12'!L38+'AD13'!L38</f>
        <v>17870015.252</v>
      </c>
      <c r="M38" s="81">
        <f>'AD8 Stat'!M38+'AD9'!M38+'AD10'!M38+'AD11'!M38+'AD12'!M38+'AD13'!M38</f>
        <v>37340533.828832813</v>
      </c>
      <c r="N38" s="81">
        <f>'AD8 Stat'!N38+'AD9'!N38+'AD10'!N38+'AD11'!N38+'AD12'!N38+'AD13'!N38</f>
        <v>10840800.143854685</v>
      </c>
      <c r="O38" s="81">
        <f>'AD8 Stat'!O38+'AD9'!O38+'AD10'!O38+'AD11'!O38+'AD12'!O38+'AD13'!O38</f>
        <v>48181333.97268749</v>
      </c>
      <c r="P38" s="81">
        <f>'AD8 Stat'!P38+'AD9'!P38+'AD10'!P38+'AD11'!P38+'AD12'!P38+'AD13'!P38</f>
        <v>42499229.071470454</v>
      </c>
      <c r="Q38" s="81">
        <f>'AD8 Stat'!Q38+'AD9'!Q38+'AD10'!Q38+'AD11'!Q38+'AD12'!Q38+'AD13'!Q38</f>
        <v>31434910.51772926</v>
      </c>
      <c r="R38" s="81">
        <f>'AD8 Stat'!R38+'AD9'!R38+'AD10'!R38+'AD11'!R38+'AD12'!R38+'AD13'!R38</f>
        <v>64647149.482368246</v>
      </c>
      <c r="S38" s="81">
        <f>'AD8 Stat'!S38+'AD9'!S38+'AD10'!S38+'AD11'!S38+'AD12'!S38+'AD13'!S38</f>
        <v>591477.59114209842</v>
      </c>
      <c r="T38" s="81">
        <f>'AD8 Stat'!T38+'AD9'!T38+'AD10'!T38+'AD11'!T38+'AD12'!T38+'AD13'!T38</f>
        <v>1151985.0497457702</v>
      </c>
      <c r="U38" s="81">
        <f>'AD8 Stat'!U38+'AD9'!U38+'AD10'!U38+'AD11'!U38+'AD12'!U38+'AD13'!U38</f>
        <v>1635088.9537820474</v>
      </c>
      <c r="V38" s="81">
        <f>'AD8 Stat'!V38+'AD9'!V38+'AD10'!V38+'AD11'!V38+'AD12'!V38+'AD13'!V38</f>
        <v>75569228.542981759</v>
      </c>
      <c r="W38" s="81">
        <f>'AD8 Stat'!W38+'AD9'!W38+'AD10'!W38+'AD11'!W38+'AD12'!W38+'AD13'!W38</f>
        <v>41859133</v>
      </c>
      <c r="X38" s="17"/>
    </row>
    <row r="39" spans="1:24">
      <c r="A39" s="6">
        <f t="shared" si="1"/>
        <v>2016</v>
      </c>
      <c r="B39" s="81">
        <f>'AD8 Stat'!B39+'AD9'!B39+'AD10'!B39+'AD11'!B39+'AD12'!B39+'AD13'!B39</f>
        <v>19740988.909717381</v>
      </c>
      <c r="C39" s="81">
        <f>'AD8 Stat'!C39+'AD9'!C39+'AD10'!C39+'AD11'!C39+'AD12'!C39+'AD13'!C39</f>
        <v>10983619.279999999</v>
      </c>
      <c r="D39" s="81">
        <f>'AD8 Stat'!D39+'AD9'!D39+'AD10'!D39+'AD11'!D39+'AD12'!D39+'AD13'!D39</f>
        <v>18972219.609999999</v>
      </c>
      <c r="E39" s="81">
        <f>'AD8 Stat'!E39+'AD9'!E39+'AD10'!E39+'AD11'!E39+'AD12'!E39+'AD13'!E39</f>
        <v>6858612.7700000005</v>
      </c>
      <c r="F39" s="81">
        <f>'AD8 Stat'!F39+'AD9'!F39+'AD10'!F39+'AD11'!F39+'AD12'!F39+'AD13'!F39</f>
        <v>18526023.109999999</v>
      </c>
      <c r="G39" s="81">
        <f>'AD8 Stat'!G39+'AD9'!G39+'AD10'!G39+'AD11'!G39+'AD12'!G39+'AD13'!G39</f>
        <v>4419091.8762826212</v>
      </c>
      <c r="H39" s="81">
        <f>'AD8 Stat'!H39+'AD9'!H39+'AD10'!H39+'AD11'!H39+'AD12'!H39+'AD13'!H39</f>
        <v>28700606.57228262</v>
      </c>
      <c r="I39" s="81">
        <f>'AD8 Stat'!I39+'AD9'!I39+'AD10'!I39+'AD11'!I39+'AD12'!I39+'AD13'!I39</f>
        <v>-4074312.9172173785</v>
      </c>
      <c r="J39" s="81">
        <f>'AD8 Stat'!J39+'AD9'!J39+'AD10'!J39+'AD11'!J39+'AD12'!J39+'AD13'!J39</f>
        <v>8208188.6777826212</v>
      </c>
      <c r="K39" s="81">
        <f>'AD8 Stat'!K39+'AD9'!K39+'AD10'!K39+'AD11'!K39+'AD12'!K39+'AD13'!K39</f>
        <v>8493404.7934999987</v>
      </c>
      <c r="L39" s="81">
        <f>'AD8 Stat'!L39+'AD9'!L39+'AD10'!L39+'AD11'!L39+'AD12'!L39+'AD13'!L39</f>
        <v>20492417.894500002</v>
      </c>
      <c r="M39" s="81">
        <f>'AD8 Stat'!M39+'AD9'!M39+'AD10'!M39+'AD11'!M39+'AD12'!M39+'AD13'!M39</f>
        <v>15988445.423381003</v>
      </c>
      <c r="N39" s="81">
        <f>'AD8 Stat'!N39+'AD9'!N39+'AD10'!N39+'AD11'!N39+'AD12'!N39+'AD13'!N39</f>
        <v>4641806.7358202888</v>
      </c>
      <c r="O39" s="81">
        <f>'AD8 Stat'!O39+'AD9'!O39+'AD10'!O39+'AD11'!O39+'AD12'!O39+'AD13'!O39</f>
        <v>20630252.15920129</v>
      </c>
      <c r="P39" s="81">
        <f>'AD8 Stat'!P39+'AD9'!P39+'AD10'!P39+'AD11'!P39+'AD12'!P39+'AD13'!P39</f>
        <v>30200834.072902106</v>
      </c>
      <c r="Q39" s="81">
        <f>'AD8 Stat'!Q39+'AD9'!Q39+'AD10'!Q39+'AD11'!Q39+'AD12'!Q39+'AD13'!Q39</f>
        <v>25216730.939163722</v>
      </c>
      <c r="R39" s="81">
        <f>'AD8 Stat'!R39+'AD9'!R39+'AD10'!R39+'AD11'!R39+'AD12'!R39+'AD13'!R39</f>
        <v>49330858.731483914</v>
      </c>
      <c r="S39" s="81">
        <f>'AD8 Stat'!S39+'AD9'!S39+'AD10'!S39+'AD11'!S39+'AD12'!S39+'AD13'!S39</f>
        <v>721615.27258332027</v>
      </c>
      <c r="T39" s="81">
        <f>'AD8 Stat'!T39+'AD9'!T39+'AD10'!T39+'AD11'!T39+'AD12'!T39+'AD13'!T39</f>
        <v>1130741.8282039098</v>
      </c>
      <c r="U39" s="81">
        <f>'AD8 Stat'!U39+'AD9'!U39+'AD10'!U39+'AD11'!U39+'AD12'!U39+'AD13'!U39</f>
        <v>1545129.1932687233</v>
      </c>
      <c r="V39" s="81">
        <f>'AD8 Stat'!V39+'AD9'!V39+'AD10'!V39+'AD11'!V39+'AD12'!V39+'AD13'!V39</f>
        <v>56962694.205334544</v>
      </c>
      <c r="W39" s="81">
        <f>'AD8 Stat'!W39+'AD9'!W39+'AD10'!W39+'AD11'!W39+'AD12'!W39+'AD13'!W39</f>
        <v>43118859</v>
      </c>
      <c r="X39" s="17"/>
    </row>
    <row r="40" spans="1:24">
      <c r="A40" s="6">
        <f t="shared" si="1"/>
        <v>2017</v>
      </c>
      <c r="B40" s="81">
        <f>'AD8 Stat'!B40+'AD9'!B40+'AD10'!B40+'AD11'!B40+'AD12'!B40+'AD13'!B40</f>
        <v>18297798.243651252</v>
      </c>
      <c r="C40" s="81">
        <f>'AD8 Stat'!C40+'AD9'!C40+'AD10'!C40+'AD11'!C40+'AD12'!C40+'AD13'!C40</f>
        <v>8572111.0500000007</v>
      </c>
      <c r="D40" s="81">
        <f>'AD8 Stat'!D40+'AD9'!D40+'AD10'!D40+'AD11'!D40+'AD12'!D40+'AD13'!D40</f>
        <v>14459752.700000001</v>
      </c>
      <c r="E40" s="81">
        <f>'AD8 Stat'!E40+'AD9'!E40+'AD10'!E40+'AD11'!E40+'AD12'!E40+'AD13'!E40</f>
        <v>6228838.7899999991</v>
      </c>
      <c r="F40" s="81">
        <f>'AD8 Stat'!F40+'AD9'!F40+'AD10'!F40+'AD11'!F40+'AD12'!F40+'AD13'!F40</f>
        <v>12245403.859999999</v>
      </c>
      <c r="G40" s="81">
        <f>'AD8 Stat'!G40+'AD9'!G40+'AD10'!G40+'AD11'!G40+'AD12'!G40+'AD13'!G40</f>
        <v>-6485313.9956512554</v>
      </c>
      <c r="H40" s="81">
        <f>'AD8 Stat'!H40+'AD9'!H40+'AD10'!H40+'AD11'!H40+'AD12'!H40+'AD13'!H40</f>
        <v>7560849.9053487405</v>
      </c>
      <c r="I40" s="81">
        <f>'AD8 Stat'!I40+'AD9'!I40+'AD10'!I40+'AD11'!I40+'AD12'!I40+'AD13'!I40</f>
        <v>-13077701.655151252</v>
      </c>
      <c r="J40" s="81">
        <f>'AD8 Stat'!J40+'AD9'!J40+'AD10'!J40+'AD11'!J40+'AD12'!J40+'AD13'!J40</f>
        <v>-5583710.0051512551</v>
      </c>
      <c r="K40" s="81">
        <f>'AD8 Stat'!K40+'AD9'!K40+'AD10'!K40+'AD11'!K40+'AD12'!K40+'AD13'!K40</f>
        <v>6592387.6594999982</v>
      </c>
      <c r="L40" s="81">
        <f>'AD8 Stat'!L40+'AD9'!L40+'AD10'!L40+'AD11'!L40+'AD12'!L40+'AD13'!L40</f>
        <v>13144559.910499997</v>
      </c>
      <c r="M40" s="81">
        <f>'AD8 Stat'!M40+'AD9'!M40+'AD10'!M40+'AD11'!M40+'AD12'!M40+'AD13'!M40</f>
        <v>32503567.40504013</v>
      </c>
      <c r="N40" s="81">
        <f>'AD8 Stat'!N40+'AD9'!N40+'AD10'!N40+'AD11'!N40+'AD12'!N40+'AD13'!N40</f>
        <v>9436519.5692051947</v>
      </c>
      <c r="O40" s="81">
        <f>'AD8 Stat'!O40+'AD9'!O40+'AD10'!O40+'AD11'!O40+'AD12'!O40+'AD13'!O40</f>
        <v>41940086.974245325</v>
      </c>
      <c r="P40" s="81">
        <f>'AD8 Stat'!P40+'AD9'!P40+'AD10'!P40+'AD11'!P40+'AD12'!P40+'AD13'!P40</f>
        <v>27161656.49030599</v>
      </c>
      <c r="Q40" s="81">
        <f>'AD8 Stat'!Q40+'AD9'!Q40+'AD10'!Q40+'AD11'!Q40+'AD12'!Q40+'AD13'!Q40</f>
        <v>22635871.634165</v>
      </c>
      <c r="R40" s="81">
        <f>'AD8 Stat'!R40+'AD9'!R40+'AD10'!R40+'AD11'!R40+'AD12'!R40+'AD13'!R40</f>
        <v>49500936.879594058</v>
      </c>
      <c r="S40" s="81">
        <f>'AD8 Stat'!S40+'AD9'!S40+'AD10'!S40+'AD11'!S40+'AD12'!S40+'AD13'!S40</f>
        <v>738072.61466513714</v>
      </c>
      <c r="T40" s="81">
        <f>'AD8 Stat'!T40+'AD9'!T40+'AD10'!T40+'AD11'!T40+'AD12'!T40+'AD13'!T40</f>
        <v>855762.21591262775</v>
      </c>
      <c r="U40" s="81">
        <f>'AD8 Stat'!U40+'AD9'!U40+'AD10'!U40+'AD11'!U40+'AD12'!U40+'AD13'!U40</f>
        <v>1338009.1079437442</v>
      </c>
      <c r="V40" s="81">
        <f>'AD8 Stat'!V40+'AD9'!V40+'AD10'!V40+'AD11'!V40+'AD12'!V40+'AD13'!V40</f>
        <v>51135537.23241473</v>
      </c>
      <c r="W40" s="81">
        <f>'AD8 Stat'!W40+'AD9'!W40+'AD10'!W40+'AD11'!W40+'AD12'!W40+'AD13'!W40</f>
        <v>39246352</v>
      </c>
      <c r="X40" s="17"/>
    </row>
    <row r="41" spans="1:24">
      <c r="A41" s="6">
        <f t="shared" si="1"/>
        <v>2018</v>
      </c>
      <c r="B41" s="81">
        <f>'AD8 Stat'!B41+'AD9'!B41+'AD10'!B41+'AD11'!B41+'AD12'!B41+'AD13'!B41</f>
        <v>13710423.129751179</v>
      </c>
      <c r="C41" s="81">
        <f>'AD8 Stat'!C41+'AD9'!C41+'AD10'!C41+'AD11'!C41+'AD12'!C41+'AD13'!C41</f>
        <v>6308592.6200000001</v>
      </c>
      <c r="D41" s="81">
        <f>'AD8 Stat'!D41+'AD9'!D41+'AD10'!D41+'AD11'!D41+'AD12'!D41+'AD13'!D41</f>
        <v>9037805.0800000001</v>
      </c>
      <c r="E41" s="81">
        <f>'AD8 Stat'!E41+'AD9'!E41+'AD10'!E41+'AD11'!E41+'AD12'!E41+'AD13'!E41</f>
        <v>998787.61999999988</v>
      </c>
      <c r="F41" s="81">
        <f>'AD8 Stat'!F41+'AD9'!F41+'AD10'!F41+'AD11'!F41+'AD12'!F41+'AD13'!F41</f>
        <v>4086269.99</v>
      </c>
      <c r="G41" s="81">
        <f>'AD8 Stat'!G41+'AD9'!G41+'AD10'!G41+'AD11'!G41+'AD12'!G41+'AD13'!G41</f>
        <v>-3809271.5592511781</v>
      </c>
      <c r="H41" s="81">
        <f>'AD8 Stat'!H41+'AD9'!H41+'AD10'!H41+'AD11'!H41+'AD12'!H41+'AD13'!H41</f>
        <v>2980339.1582488231</v>
      </c>
      <c r="I41" s="81">
        <f>'AD8 Stat'!I41+'AD9'!I41+'AD10'!I41+'AD11'!I41+'AD12'!I41+'AD13'!I41</f>
        <v>-5488285.1567511782</v>
      </c>
      <c r="J41" s="81">
        <f>'AD8 Stat'!J41+'AD9'!J41+'AD10'!J41+'AD11'!J41+'AD12'!J41+'AD13'!J41</f>
        <v>-1915472.6967511773</v>
      </c>
      <c r="K41" s="81">
        <f>'AD8 Stat'!K41+'AD9'!K41+'AD10'!K41+'AD11'!K41+'AD12'!K41+'AD13'!K41</f>
        <v>1679013.5975000001</v>
      </c>
      <c r="L41" s="81">
        <f>'AD8 Stat'!L41+'AD9'!L41+'AD10'!L41+'AD11'!L41+'AD12'!L41+'AD13'!L41</f>
        <v>4895811.8550000004</v>
      </c>
      <c r="M41" s="81">
        <f>'AD8 Stat'!M41+'AD9'!M41+'AD10'!M41+'AD11'!M41+'AD12'!M41+'AD13'!M41</f>
        <v>29873889.72638591</v>
      </c>
      <c r="N41" s="81">
        <f>'AD8 Stat'!N41+'AD9'!N41+'AD10'!N41+'AD11'!N41+'AD12'!N41+'AD13'!N41</f>
        <v>8673064.7592733279</v>
      </c>
      <c r="O41" s="81">
        <f>'AD8 Stat'!O41+'AD9'!O41+'AD10'!O41+'AD11'!O41+'AD12'!O41+'AD13'!O41</f>
        <v>38546954.485659242</v>
      </c>
      <c r="P41" s="81">
        <f>'AD8 Stat'!P41+'AD9'!P41+'AD10'!P41+'AD11'!P41+'AD12'!P41+'AD13'!P41</f>
        <v>32768092.439671621</v>
      </c>
      <c r="Q41" s="81">
        <f>'AD8 Stat'!Q41+'AD9'!Q41+'AD10'!Q41+'AD11'!Q41+'AD12'!Q41+'AD13'!Q41</f>
        <v>15006848.99318726</v>
      </c>
      <c r="R41" s="81">
        <f>'AD8 Stat'!R41+'AD9'!R41+'AD10'!R41+'AD11'!R41+'AD12'!R41+'AD13'!R41</f>
        <v>41527293.643908054</v>
      </c>
      <c r="S41" s="81">
        <f>'AD8 Stat'!S41+'AD9'!S41+'AD10'!S41+'AD11'!S41+'AD12'!S41+'AD13'!S41</f>
        <v>689456.62551123952</v>
      </c>
      <c r="T41" s="81">
        <f>'AD8 Stat'!T41+'AD9'!T41+'AD10'!T41+'AD11'!T41+'AD12'!T41+'AD13'!T41</f>
        <v>767119.17265417078</v>
      </c>
      <c r="U41" s="81">
        <f>'AD8 Stat'!U41+'AD9'!U41+'AD10'!U41+'AD11'!U41+'AD12'!U41+'AD13'!U41</f>
        <v>1241520.8805419754</v>
      </c>
      <c r="V41" s="81">
        <f>'AD8 Stat'!V41+'AD9'!V41+'AD10'!V41+'AD11'!V41+'AD12'!V41+'AD13'!V41</f>
        <v>49016462.313400865</v>
      </c>
      <c r="W41" s="81">
        <f>'AD8 Stat'!W41+'AD9'!W41+'AD10'!W41+'AD11'!W41+'AD12'!W41+'AD13'!W41</f>
        <v>33422175</v>
      </c>
      <c r="X41" s="17"/>
    </row>
    <row r="42" spans="1:24">
      <c r="A42" s="6">
        <f t="shared" si="1"/>
        <v>2019</v>
      </c>
      <c r="B42" s="81">
        <f>'AD8 Stat'!B42+'AD9'!B42+'AD10'!B42+'AD11'!B42+'AD12'!B42+'AD13'!B42</f>
        <v>16037971.166440871</v>
      </c>
      <c r="C42" s="81">
        <f>'AD8 Stat'!C42+'AD9'!C42+'AD10'!C42+'AD11'!C42+'AD12'!C42+'AD13'!C42</f>
        <v>1158906.53</v>
      </c>
      <c r="D42" s="81">
        <f>'AD8 Stat'!D42+'AD9'!D42+'AD10'!D42+'AD11'!D42+'AD12'!D42+'AD13'!D42</f>
        <v>2607254.5199999996</v>
      </c>
      <c r="E42" s="81">
        <f>'AD8 Stat'!E42+'AD9'!E42+'AD10'!E42+'AD11'!E42+'AD12'!E42+'AD13'!E42</f>
        <v>481846.31</v>
      </c>
      <c r="F42" s="81">
        <f>'AD8 Stat'!F42+'AD9'!F42+'AD10'!F42+'AD11'!F42+'AD12'!F42+'AD13'!F42</f>
        <v>1358210.72</v>
      </c>
      <c r="G42" s="81">
        <f>'AD8 Stat'!G42+'AD9'!G42+'AD10'!G42+'AD11'!G42+'AD12'!G42+'AD13'!G42</f>
        <v>-10475007.723940872</v>
      </c>
      <c r="H42" s="81">
        <f>'AD8 Stat'!H42+'AD9'!H42+'AD10'!H42+'AD11'!H42+'AD12'!H42+'AD13'!H42</f>
        <v>-6946323.8439408718</v>
      </c>
      <c r="I42" s="81">
        <f>'AD8 Stat'!I42+'AD9'!I42+'AD10'!I42+'AD11'!I42+'AD12'!I42+'AD13'!I42</f>
        <v>-11093452.373440873</v>
      </c>
      <c r="J42" s="81">
        <f>'AD8 Stat'!J42+'AD9'!J42+'AD10'!J42+'AD11'!J42+'AD12'!J42+'AD13'!J42</f>
        <v>-8751404.3834408727</v>
      </c>
      <c r="K42" s="81">
        <f>'AD8 Stat'!K42+'AD9'!K42+'AD10'!K42+'AD11'!K42+'AD12'!K42+'AD13'!K42</f>
        <v>618444.64950000006</v>
      </c>
      <c r="L42" s="81">
        <f>'AD8 Stat'!L42+'AD9'!L42+'AD10'!L42+'AD11'!L42+'AD12'!L42+'AD13'!L42</f>
        <v>1805080.5395</v>
      </c>
      <c r="M42" s="81">
        <f>'AD8 Stat'!M42+'AD9'!M42+'AD10'!M42+'AD11'!M42+'AD12'!M42+'AD13'!M42</f>
        <v>11271408.165597487</v>
      </c>
      <c r="N42" s="81">
        <f>'AD8 Stat'!N42+'AD9'!N42+'AD10'!N42+'AD11'!N42+'AD12'!N42+'AD13'!N42</f>
        <v>3272344.3061412056</v>
      </c>
      <c r="O42" s="81">
        <f>'AD8 Stat'!O42+'AD9'!O42+'AD10'!O42+'AD11'!O42+'AD12'!O42+'AD13'!O42</f>
        <v>14543752.471738694</v>
      </c>
      <c r="P42" s="81">
        <f>'AD8 Stat'!P42+'AD9'!P42+'AD10'!P42+'AD11'!P42+'AD12'!P42+'AD13'!P42</f>
        <v>3181274.3347377307</v>
      </c>
      <c r="Q42" s="81">
        <f>'AD8 Stat'!Q42+'AD9'!Q42+'AD10'!Q42+'AD11'!Q42+'AD12'!Q42+'AD13'!Q42</f>
        <v>5533646.0601647543</v>
      </c>
      <c r="R42" s="81">
        <f>'AD8 Stat'!R42+'AD9'!R42+'AD10'!R42+'AD11'!R42+'AD12'!R42+'AD13'!R42</f>
        <v>7597428.6277978215</v>
      </c>
      <c r="S42" s="81">
        <f>'AD8 Stat'!S42+'AD9'!S42+'AD10'!S42+'AD11'!S42+'AD12'!S42+'AD13'!S42</f>
        <v>563400.89962894307</v>
      </c>
      <c r="T42" s="81">
        <f>'AD8 Stat'!T42+'AD9'!T42+'AD10'!T42+'AD11'!T42+'AD12'!T42+'AD13'!T42</f>
        <v>481306.55548299453</v>
      </c>
      <c r="U42" s="81">
        <f>'AD8 Stat'!U42+'AD9'!U42+'AD10'!U42+'AD11'!U42+'AD12'!U42+'AD13'!U42</f>
        <v>865048.04613668378</v>
      </c>
      <c r="V42" s="81">
        <f>'AD8 Stat'!V42+'AD9'!V42+'AD10'!V42+'AD11'!V42+'AD12'!V42+'AD13'!V42</f>
        <v>9579968.4410391692</v>
      </c>
      <c r="W42" s="81">
        <f>'AD8 Stat'!W42+'AD9'!W42+'AD10'!W42+'AD11'!W42+'AD12'!W42+'AD13'!W42</f>
        <v>36195064.050000004</v>
      </c>
      <c r="X42" s="17"/>
    </row>
    <row r="43" spans="1:24">
      <c r="A43" s="6">
        <f t="shared" si="1"/>
        <v>2020</v>
      </c>
      <c r="B43" s="81">
        <f>'AD8 Stat'!B43+'AD9'!B43+'AD10'!B43+'AD11'!B43+'AD12'!B43+'AD13'!B43</f>
        <v>20361070.210314289</v>
      </c>
      <c r="C43" s="81">
        <f>'AD8 Stat'!C43+'AD9'!C43+'AD10'!C43+'AD11'!C43+'AD12'!C43+'AD13'!C43</f>
        <v>1635012.63</v>
      </c>
      <c r="D43" s="81">
        <f>'AD8 Stat'!D43+'AD9'!D43+'AD10'!D43+'AD11'!D43+'AD12'!D43+'AD13'!D43</f>
        <v>2535009.17</v>
      </c>
      <c r="E43" s="81">
        <f>'AD8 Stat'!E43+'AD9'!E43+'AD10'!E43+'AD11'!E43+'AD12'!E43+'AD13'!E43</f>
        <v>28263.5</v>
      </c>
      <c r="F43" s="81">
        <f>'AD8 Stat'!F43+'AD9'!F43+'AD10'!F43+'AD11'!F43+'AD12'!F43+'AD13'!F43</f>
        <v>16736.5</v>
      </c>
      <c r="G43" s="81">
        <f>'AD8 Stat'!G43+'AD9'!G43+'AD10'!G43+'AD11'!G43+'AD12'!G43+'AD13'!G43</f>
        <v>-12785988.244314287</v>
      </c>
      <c r="H43" s="81">
        <f>'AD8 Stat'!H43+'AD9'!H43+'AD10'!H43+'AD11'!H43+'AD12'!H43+'AD13'!H43</f>
        <v>-10633744.309314288</v>
      </c>
      <c r="I43" s="81">
        <f>'AD8 Stat'!I43+'AD9'!I43+'AD10'!I43+'AD11'!I43+'AD12'!I43+'AD13'!I43</f>
        <v>-12822053.569314286</v>
      </c>
      <c r="J43" s="81">
        <f>'AD8 Stat'!J43+'AD9'!J43+'AD10'!J43+'AD11'!J43+'AD12'!J43+'AD13'!J43</f>
        <v>-10690807.299314288</v>
      </c>
      <c r="K43" s="81">
        <f>'AD8 Stat'!K43+'AD9'!K43+'AD10'!K43+'AD11'!K43+'AD12'!K43+'AD13'!K43</f>
        <v>36065.324999999997</v>
      </c>
      <c r="L43" s="81">
        <f>'AD8 Stat'!L43+'AD9'!L43+'AD10'!L43+'AD11'!L43+'AD12'!L43+'AD13'!L43</f>
        <v>57062.990000000005</v>
      </c>
      <c r="M43" s="81">
        <f>'AD8 Stat'!M43+'AD9'!M43+'AD10'!M43+'AD11'!M43+'AD12'!M43+'AD13'!M43</f>
        <v>17666667.212852478</v>
      </c>
      <c r="N43" s="81">
        <f>'AD8 Stat'!N43+'AD9'!N43+'AD10'!N43+'AD11'!N43+'AD12'!N43+'AD13'!N43</f>
        <v>5129032.4166345904</v>
      </c>
      <c r="O43" s="81">
        <f>'AD8 Stat'!O43+'AD9'!O43+'AD10'!O43+'AD11'!O43+'AD12'!O43+'AD13'!O43</f>
        <v>22795699.629487067</v>
      </c>
      <c r="P43" s="81">
        <f>'AD8 Stat'!P43+'AD9'!P43+'AD10'!P43+'AD11'!P43+'AD12'!P43+'AD13'!P43</f>
        <v>5009925.7069539819</v>
      </c>
      <c r="Q43" s="81">
        <f>'AD8 Stat'!Q43+'AD9'!Q43+'AD10'!Q43+'AD11'!Q43+'AD12'!Q43+'AD13'!Q43</f>
        <v>5821375.8698520781</v>
      </c>
      <c r="R43" s="81">
        <f>'AD8 Stat'!R43+'AD9'!R43+'AD10'!R43+'AD11'!R43+'AD12'!R43+'AD13'!R43</f>
        <v>12161955.320172783</v>
      </c>
      <c r="S43" s="81">
        <f>'AD8 Stat'!S43+'AD9'!S43+'AD10'!S43+'AD11'!S43+'AD12'!S43+'AD13'!S43</f>
        <v>702451.59435776109</v>
      </c>
      <c r="T43" s="81">
        <f>'AD8 Stat'!T43+'AD9'!T43+'AD10'!T43+'AD11'!T43+'AD12'!T43+'AD13'!T43</f>
        <v>24522.374680408124</v>
      </c>
      <c r="U43" s="81">
        <f>'AD8 Stat'!U43+'AD9'!U43+'AD10'!U43+'AD11'!U43+'AD12'!U43+'AD13'!U43</f>
        <v>725380.73601044877</v>
      </c>
      <c r="V43" s="81">
        <f>'AD8 Stat'!V43+'AD9'!V43+'AD10'!V43+'AD11'!V43+'AD12'!V43+'AD13'!V43</f>
        <v>11556682.312816508</v>
      </c>
      <c r="W43" s="81">
        <f>'AD8 Stat'!W43+'AD9'!W43+'AD10'!W43+'AD11'!W43+'AD12'!W43+'AD13'!W43</f>
        <v>24041581.49000001</v>
      </c>
      <c r="X43" s="17"/>
    </row>
    <row r="44" spans="1:24">
      <c r="A44" s="6"/>
      <c r="B44" s="81"/>
      <c r="C44" s="17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17"/>
    </row>
    <row r="45" spans="1:24">
      <c r="A45" s="6" t="s">
        <v>0</v>
      </c>
      <c r="B45" s="82">
        <f>SUM(B15:B43)</f>
        <v>652092495.31558561</v>
      </c>
      <c r="C45" s="82">
        <f>SUM(C15:C43)</f>
        <v>752969316.4799999</v>
      </c>
      <c r="D45" s="82" t="e">
        <f t="shared" ref="D45:Q45" si="2">SUM(D15:D43)</f>
        <v>#REF!</v>
      </c>
      <c r="E45" s="82">
        <f t="shared" si="2"/>
        <v>731111804.61000001</v>
      </c>
      <c r="F45" s="82">
        <f t="shared" si="2"/>
        <v>891299390.68999994</v>
      </c>
      <c r="G45" s="82">
        <f>SUM(G15:G43)</f>
        <v>846369359.45291448</v>
      </c>
      <c r="H45" s="82" t="e">
        <f t="shared" si="2"/>
        <v>#REF!</v>
      </c>
      <c r="I45" s="82">
        <f t="shared" si="2"/>
        <v>112357625.83341452</v>
      </c>
      <c r="J45" s="82" t="e">
        <f t="shared" si="2"/>
        <v>#REF!</v>
      </c>
      <c r="K45" s="82">
        <f t="shared" si="2"/>
        <v>734011733.61949992</v>
      </c>
      <c r="L45" s="82">
        <f t="shared" si="2"/>
        <v>895849710.472</v>
      </c>
      <c r="M45" s="82">
        <f t="shared" si="2"/>
        <v>140911120.87213579</v>
      </c>
      <c r="N45" s="82">
        <f t="shared" si="2"/>
        <v>40908181.317716837</v>
      </c>
      <c r="O45" s="82">
        <f t="shared" si="2"/>
        <v>181819302.18985263</v>
      </c>
      <c r="P45" s="82" t="e">
        <f t="shared" si="2"/>
        <v>#REF!</v>
      </c>
      <c r="Q45" s="82">
        <f t="shared" si="2"/>
        <v>943266837.7826618</v>
      </c>
      <c r="R45" s="82" t="e">
        <f t="shared" ref="R45:W45" si="3">SUM(R15:R43)</f>
        <v>#REF!</v>
      </c>
      <c r="S45" s="82">
        <f t="shared" si="3"/>
        <v>4752134.4227487277</v>
      </c>
      <c r="T45" s="82">
        <f t="shared" si="3"/>
        <v>9701604.9652160164</v>
      </c>
      <c r="U45" s="82">
        <f t="shared" si="3"/>
        <v>13337769.843497748</v>
      </c>
      <c r="V45" s="82" t="e">
        <f t="shared" si="3"/>
        <v>#REF!</v>
      </c>
      <c r="W45" s="82">
        <f t="shared" si="3"/>
        <v>380388332.26249999</v>
      </c>
      <c r="X45" s="17"/>
    </row>
    <row r="46" spans="1:24">
      <c r="A46" s="6"/>
      <c r="B46" s="81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17"/>
    </row>
    <row r="47" spans="1:24">
      <c r="A47" s="6"/>
      <c r="B47" s="81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79">
        <f>N45/O45</f>
        <v>0.22499361082687036</v>
      </c>
      <c r="O47" s="81"/>
      <c r="P47" s="81"/>
      <c r="Q47" s="81"/>
      <c r="R47" s="81"/>
      <c r="S47" s="81"/>
      <c r="T47" s="81"/>
      <c r="U47" s="81"/>
      <c r="V47" s="81"/>
      <c r="W47" s="81"/>
      <c r="X47" s="17"/>
    </row>
    <row r="48" spans="1:24">
      <c r="A48" s="6"/>
      <c r="B48" s="81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17"/>
    </row>
    <row r="49" spans="1:24">
      <c r="A49" s="6" t="s">
        <v>13</v>
      </c>
      <c r="B49" s="81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  <c r="X49" s="17"/>
    </row>
    <row r="50" spans="1:24">
      <c r="A50" s="6"/>
      <c r="B50" s="29" t="s">
        <v>665</v>
      </c>
      <c r="C50" s="29" t="s">
        <v>666</v>
      </c>
      <c r="D50" s="29" t="s">
        <v>667</v>
      </c>
      <c r="E50" s="29" t="s">
        <v>665</v>
      </c>
      <c r="F50" s="29" t="s">
        <v>673</v>
      </c>
      <c r="G50" s="17"/>
      <c r="H50" s="81"/>
      <c r="I50" s="81"/>
      <c r="J50" s="81"/>
      <c r="K50" s="81"/>
      <c r="L50" s="81"/>
      <c r="M50" s="17"/>
      <c r="N50" s="83">
        <v>0.05</v>
      </c>
      <c r="O50" s="81"/>
      <c r="P50" s="81"/>
      <c r="Q50" s="81"/>
      <c r="R50" s="81" t="s">
        <v>67</v>
      </c>
      <c r="S50" s="6"/>
      <c r="T50" s="6"/>
      <c r="U50" s="6"/>
      <c r="V50" s="6" t="s">
        <v>67</v>
      </c>
      <c r="W50" s="6"/>
      <c r="X50" s="17"/>
    </row>
    <row r="51" spans="1:24">
      <c r="A51" s="6" t="s">
        <v>3</v>
      </c>
      <c r="B51" s="29" t="s">
        <v>524</v>
      </c>
      <c r="C51" s="29" t="s">
        <v>524</v>
      </c>
      <c r="D51" s="29" t="s">
        <v>524</v>
      </c>
      <c r="E51" s="29" t="s">
        <v>528</v>
      </c>
      <c r="F51" s="29" t="s">
        <v>528</v>
      </c>
      <c r="G51" s="81" t="s">
        <v>14</v>
      </c>
      <c r="H51" s="81" t="s">
        <v>12</v>
      </c>
      <c r="I51" s="81" t="s">
        <v>14</v>
      </c>
      <c r="J51" s="81" t="s">
        <v>12</v>
      </c>
      <c r="K51" s="81" t="s">
        <v>14</v>
      </c>
      <c r="L51" s="81" t="s">
        <v>12</v>
      </c>
      <c r="M51" s="81" t="s">
        <v>381</v>
      </c>
      <c r="N51" s="81" t="s">
        <v>381</v>
      </c>
      <c r="O51" s="81" t="s">
        <v>381</v>
      </c>
      <c r="P51" s="81" t="s">
        <v>660</v>
      </c>
      <c r="Q51" s="81" t="s">
        <v>67</v>
      </c>
      <c r="R51" s="81" t="s">
        <v>662</v>
      </c>
      <c r="S51" s="6" t="s">
        <v>661</v>
      </c>
      <c r="T51" s="6" t="s">
        <v>661</v>
      </c>
      <c r="U51" s="6" t="s">
        <v>67</v>
      </c>
      <c r="V51" s="6" t="s">
        <v>663</v>
      </c>
      <c r="W51" s="6" t="s">
        <v>177</v>
      </c>
      <c r="X51" s="17"/>
    </row>
    <row r="52" spans="1:24">
      <c r="A52" s="6" t="s">
        <v>4</v>
      </c>
      <c r="B52" s="30" t="s">
        <v>668</v>
      </c>
      <c r="C52" s="30" t="s">
        <v>669</v>
      </c>
      <c r="D52" s="30" t="s">
        <v>670</v>
      </c>
      <c r="E52" s="30" t="s">
        <v>668</v>
      </c>
      <c r="F52" s="30" t="s">
        <v>670</v>
      </c>
      <c r="G52" s="81" t="s">
        <v>0</v>
      </c>
      <c r="H52" s="81" t="s">
        <v>0</v>
      </c>
      <c r="I52" s="81" t="s">
        <v>566</v>
      </c>
      <c r="J52" s="81" t="s">
        <v>566</v>
      </c>
      <c r="K52" s="81" t="s">
        <v>567</v>
      </c>
      <c r="L52" s="81" t="s">
        <v>567</v>
      </c>
      <c r="M52" s="81" t="s">
        <v>566</v>
      </c>
      <c r="N52" s="81" t="s">
        <v>567</v>
      </c>
      <c r="O52" s="81" t="s">
        <v>0</v>
      </c>
      <c r="P52" s="81" t="s">
        <v>566</v>
      </c>
      <c r="Q52" s="81" t="s">
        <v>567</v>
      </c>
      <c r="R52" s="81" t="s">
        <v>0</v>
      </c>
      <c r="S52" s="6" t="s">
        <v>117</v>
      </c>
      <c r="T52" s="6" t="s">
        <v>14</v>
      </c>
      <c r="U52" s="6" t="s">
        <v>661</v>
      </c>
      <c r="V52" s="6" t="s">
        <v>0</v>
      </c>
      <c r="W52" s="6" t="s">
        <v>16</v>
      </c>
      <c r="X52" s="17"/>
    </row>
    <row r="53" spans="1:24">
      <c r="A53" s="10">
        <v>-1</v>
      </c>
      <c r="B53" s="10">
        <f>A53-1</f>
        <v>-2</v>
      </c>
      <c r="C53" s="10">
        <f>B53-1</f>
        <v>-3</v>
      </c>
      <c r="D53" s="10">
        <f t="shared" ref="D53:L53" si="4">C53-1</f>
        <v>-4</v>
      </c>
      <c r="E53" s="10">
        <f t="shared" si="4"/>
        <v>-5</v>
      </c>
      <c r="F53" s="10">
        <f t="shared" si="4"/>
        <v>-6</v>
      </c>
      <c r="G53" s="10">
        <f t="shared" si="4"/>
        <v>-7</v>
      </c>
      <c r="H53" s="10">
        <f t="shared" si="4"/>
        <v>-8</v>
      </c>
      <c r="I53" s="10">
        <f t="shared" si="4"/>
        <v>-9</v>
      </c>
      <c r="J53" s="10">
        <f t="shared" si="4"/>
        <v>-10</v>
      </c>
      <c r="K53" s="10">
        <f t="shared" si="4"/>
        <v>-11</v>
      </c>
      <c r="L53" s="10">
        <f t="shared" si="4"/>
        <v>-12</v>
      </c>
      <c r="M53" s="10">
        <f>L53-1</f>
        <v>-13</v>
      </c>
      <c r="N53" s="10">
        <f t="shared" ref="N53:W53" si="5">M53-1</f>
        <v>-14</v>
      </c>
      <c r="O53" s="10">
        <f t="shared" si="5"/>
        <v>-15</v>
      </c>
      <c r="P53" s="10">
        <f t="shared" si="5"/>
        <v>-16</v>
      </c>
      <c r="Q53" s="10">
        <f t="shared" si="5"/>
        <v>-17</v>
      </c>
      <c r="R53" s="10">
        <f t="shared" si="5"/>
        <v>-18</v>
      </c>
      <c r="S53" s="10">
        <f t="shared" si="5"/>
        <v>-19</v>
      </c>
      <c r="T53" s="10">
        <f t="shared" si="5"/>
        <v>-20</v>
      </c>
      <c r="U53" s="10">
        <f t="shared" si="5"/>
        <v>-21</v>
      </c>
      <c r="V53" s="10">
        <f t="shared" si="5"/>
        <v>-22</v>
      </c>
      <c r="W53" s="10">
        <f t="shared" si="5"/>
        <v>-23</v>
      </c>
      <c r="X53" s="17"/>
    </row>
    <row r="54" spans="1:24">
      <c r="A54" s="80"/>
      <c r="B54" s="81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6"/>
      <c r="T54" s="6"/>
      <c r="U54" s="6"/>
      <c r="V54" s="6"/>
      <c r="W54" s="6"/>
      <c r="X54" s="17"/>
    </row>
    <row r="55" spans="1:24">
      <c r="A55" s="6">
        <v>1992</v>
      </c>
      <c r="B55" s="81">
        <f>'AD8 Stat'!B55+'AD9'!B55+'AD10'!B55+'AD11'!B55+'AD12'!B55+'AD13'!B55</f>
        <v>12530063.48</v>
      </c>
      <c r="C55" s="81">
        <f>'AD8 Stat'!C55+'AD9'!C55+'AD10'!C55+'AD11'!C55+'AD12'!C55+'AD13'!C55</f>
        <v>12530063.48</v>
      </c>
      <c r="D55" s="81">
        <f>'AD8 Stat'!D55+'AD9'!D55+'AD10'!D55+'AD11'!D55+'AD12'!D55+'AD13'!D55</f>
        <v>12530063.48</v>
      </c>
      <c r="E55" s="81">
        <f>'AD8 Stat'!E55+'AD9'!E55+'AD10'!E55+'AD11'!E55+'AD12'!E55+'AD13'!E55</f>
        <v>12530063.48</v>
      </c>
      <c r="F55" s="81">
        <f>'AD8 Stat'!F55+'AD9'!F55+'AD10'!F55+'AD11'!F55+'AD12'!F55+'AD13'!F55</f>
        <v>0</v>
      </c>
      <c r="G55" s="81">
        <f>'AD8 Stat'!G55+'AD9'!G55+'AD10'!G55+'AD11'!G55+'AD12'!G55+'AD13'!G55</f>
        <v>37590190.439999998</v>
      </c>
      <c r="H55" s="81">
        <f>'AD8 Stat'!H55+'AD9'!H55+'AD10'!H55+'AD11'!H55+'AD12'!H55+'AD13'!H55</f>
        <v>50120253.920000002</v>
      </c>
      <c r="I55" s="81">
        <f>'AD8 Stat'!I55+'AD9'!I55+'AD10'!I55+'AD11'!I55+'AD12'!I55+'AD13'!I55</f>
        <v>25060126.960000001</v>
      </c>
      <c r="J55" s="81">
        <f>'AD8 Stat'!J55+'AD9'!J55+'AD10'!J55+'AD11'!J55+'AD12'!J55+'AD13'!J55</f>
        <v>37590190.439999998</v>
      </c>
      <c r="K55" s="81">
        <f>'AD8 Stat'!K55+'AD9'!K55+'AD10'!K55+'AD11'!K55+'AD12'!K55+'AD13'!K55</f>
        <v>12530063.48</v>
      </c>
      <c r="L55" s="81">
        <f>'AD8 Stat'!L55+'AD9'!L55+'AD10'!L55+'AD11'!L55+'AD12'!L55+'AD13'!L55</f>
        <v>12530063.48</v>
      </c>
      <c r="M55" s="81">
        <f>'AD8 Stat'!M55+'AD9'!M55+'AD10'!M55+'AD11'!M55+'AD12'!M55+'AD13'!M55</f>
        <v>0</v>
      </c>
      <c r="N55" s="81">
        <f>'AD8 Stat'!N55+'AD9'!N55+'AD10'!N55+'AD11'!N55+'AD12'!N55+'AD13'!N55</f>
        <v>0</v>
      </c>
      <c r="O55" s="81">
        <f>'AD8 Stat'!O55+'AD9'!O55+'AD10'!O55+'AD11'!O55+'AD12'!O55+'AD13'!O55</f>
        <v>0</v>
      </c>
      <c r="P55" s="81">
        <f>'AD8 Stat'!P55+'AD9'!P55+'AD10'!P55+'AD11'!P55+'AD12'!P55+'AD13'!P55</f>
        <v>37590190.439999998</v>
      </c>
      <c r="Q55" s="81">
        <f>'AD8 Stat'!Q55+'AD9'!Q55+'AD10'!Q55+'AD11'!Q55+'AD12'!Q55+'AD13'!Q55</f>
        <v>12530063.48</v>
      </c>
      <c r="R55" s="81">
        <f>'AD8 Stat'!R55+'AD9'!R55+'AD10'!R55+'AD11'!R55+'AD12'!R55+'AD13'!R55</f>
        <v>50120253.920000002</v>
      </c>
      <c r="S55" s="81">
        <f>'AD8 Stat'!S55+'AD9'!S55+'AD10'!S55+'AD11'!S55+'AD12'!S55+'AD13'!S55</f>
        <v>0</v>
      </c>
      <c r="T55" s="81">
        <f>'AD8 Stat'!T55+'AD9'!T55+'AD10'!T55+'AD11'!T55+'AD12'!T55+'AD13'!T55</f>
        <v>0</v>
      </c>
      <c r="U55" s="81">
        <f>'AD8 Stat'!U55+'AD9'!U55+'AD10'!U55+'AD11'!U55+'AD12'!U55+'AD13'!U55</f>
        <v>0</v>
      </c>
      <c r="V55" s="81">
        <f>'AD8 Stat'!V55+'AD9'!V55+'AD10'!V55+'AD11'!V55+'AD12'!V55+'AD13'!V55</f>
        <v>50120253.920000002</v>
      </c>
      <c r="W55" s="81">
        <f>'AD8 Stat'!W55+'AD9'!W55+'AD10'!W55+'AD11'!W55+'AD12'!W55+'AD13'!W55</f>
        <v>0</v>
      </c>
      <c r="X55" s="17"/>
    </row>
    <row r="56" spans="1:24">
      <c r="A56" s="6">
        <f>A55+1</f>
        <v>1993</v>
      </c>
      <c r="B56" s="81">
        <f>'AD8 Stat'!B56+'AD9'!B56+'AD10'!B56+'AD11'!B56+'AD12'!B56+'AD13'!B56</f>
        <v>27996861.369999997</v>
      </c>
      <c r="C56" s="81">
        <f>'AD8 Stat'!C56+'AD9'!C56+'AD10'!C56+'AD11'!C56+'AD12'!C56+'AD13'!C56</f>
        <v>27996861.369999997</v>
      </c>
      <c r="D56" s="81">
        <f>'AD8 Stat'!D56+'AD9'!D56+'AD10'!D56+'AD11'!D56+'AD12'!D56+'AD13'!D56</f>
        <v>27996861.369999997</v>
      </c>
      <c r="E56" s="81">
        <f>'AD8 Stat'!E56+'AD9'!E56+'AD10'!E56+'AD11'!E56+'AD12'!E56+'AD13'!E56</f>
        <v>27996861.369999997</v>
      </c>
      <c r="F56" s="81">
        <f>'AD8 Stat'!F56+'AD9'!F56+'AD10'!F56+'AD11'!F56+'AD12'!F56+'AD13'!F56</f>
        <v>0</v>
      </c>
      <c r="G56" s="81">
        <f>'AD8 Stat'!G56+'AD9'!G56+'AD10'!G56+'AD11'!G56+'AD12'!G56+'AD13'!G56</f>
        <v>83990584.109999985</v>
      </c>
      <c r="H56" s="81">
        <f>'AD8 Stat'!H56+'AD9'!H56+'AD10'!H56+'AD11'!H56+'AD12'!H56+'AD13'!H56</f>
        <v>111987445.47999999</v>
      </c>
      <c r="I56" s="81">
        <f>'AD8 Stat'!I56+'AD9'!I56+'AD10'!I56+'AD11'!I56+'AD12'!I56+'AD13'!I56</f>
        <v>55993722.739999995</v>
      </c>
      <c r="J56" s="81">
        <f>'AD8 Stat'!J56+'AD9'!J56+'AD10'!J56+'AD11'!J56+'AD12'!J56+'AD13'!J56</f>
        <v>83990584.109999985</v>
      </c>
      <c r="K56" s="81">
        <f>'AD8 Stat'!K56+'AD9'!K56+'AD10'!K56+'AD11'!K56+'AD12'!K56+'AD13'!K56</f>
        <v>27996861.369999997</v>
      </c>
      <c r="L56" s="81">
        <f>'AD8 Stat'!L56+'AD9'!L56+'AD10'!L56+'AD11'!L56+'AD12'!L56+'AD13'!L56</f>
        <v>27996861.369999997</v>
      </c>
      <c r="M56" s="81">
        <f>'AD8 Stat'!M56+'AD9'!M56+'AD10'!M56+'AD11'!M56+'AD12'!M56+'AD13'!M56</f>
        <v>0</v>
      </c>
      <c r="N56" s="81">
        <f>'AD8 Stat'!N56+'AD9'!N56+'AD10'!N56+'AD11'!N56+'AD12'!N56+'AD13'!N56</f>
        <v>0</v>
      </c>
      <c r="O56" s="81">
        <f>'AD8 Stat'!O56+'AD9'!O56+'AD10'!O56+'AD11'!O56+'AD12'!O56+'AD13'!O56</f>
        <v>0</v>
      </c>
      <c r="P56" s="81">
        <f>'AD8 Stat'!P56+'AD9'!P56+'AD10'!P56+'AD11'!P56+'AD12'!P56+'AD13'!P56</f>
        <v>83990584.109999985</v>
      </c>
      <c r="Q56" s="81">
        <f>'AD8 Stat'!Q56+'AD9'!Q56+'AD10'!Q56+'AD11'!Q56+'AD12'!Q56+'AD13'!Q56</f>
        <v>27996861.369999997</v>
      </c>
      <c r="R56" s="81">
        <f>'AD8 Stat'!R56+'AD9'!R56+'AD10'!R56+'AD11'!R56+'AD12'!R56+'AD13'!R56</f>
        <v>111987445.47999999</v>
      </c>
      <c r="S56" s="81">
        <f>'AD8 Stat'!S56+'AD9'!S56+'AD10'!S56+'AD11'!S56+'AD12'!S56+'AD13'!S56</f>
        <v>0</v>
      </c>
      <c r="T56" s="81">
        <f>'AD8 Stat'!T56+'AD9'!T56+'AD10'!T56+'AD11'!T56+'AD12'!T56+'AD13'!T56</f>
        <v>0</v>
      </c>
      <c r="U56" s="81">
        <f>'AD8 Stat'!U56+'AD9'!U56+'AD10'!U56+'AD11'!U56+'AD12'!U56+'AD13'!U56</f>
        <v>0</v>
      </c>
      <c r="V56" s="81">
        <f>'AD8 Stat'!V56+'AD9'!V56+'AD10'!V56+'AD11'!V56+'AD12'!V56+'AD13'!V56</f>
        <v>111987445.47999999</v>
      </c>
      <c r="W56" s="81">
        <f>'AD8 Stat'!W56+'AD9'!W56+'AD10'!W56+'AD11'!W56+'AD12'!W56+'AD13'!W56</f>
        <v>0</v>
      </c>
      <c r="X56" s="17"/>
    </row>
    <row r="57" spans="1:24">
      <c r="A57" s="6">
        <f t="shared" ref="A57:A83" si="6">A56+1</f>
        <v>1994</v>
      </c>
      <c r="B57" s="81">
        <f>'AD8 Stat'!B57+'AD9'!B57+'AD10'!B57+'AD11'!B57+'AD12'!B57+'AD13'!B57</f>
        <v>19535873.620000001</v>
      </c>
      <c r="C57" s="81">
        <f>'AD8 Stat'!C57+'AD9'!C57+'AD10'!C57+'AD11'!C57+'AD12'!C57+'AD13'!C57</f>
        <v>19535873.620000001</v>
      </c>
      <c r="D57" s="81">
        <f>'AD8 Stat'!D57+'AD9'!D57+'AD10'!D57+'AD11'!D57+'AD12'!D57+'AD13'!D57</f>
        <v>19535873.620000001</v>
      </c>
      <c r="E57" s="81">
        <f>'AD8 Stat'!E57+'AD9'!E57+'AD10'!E57+'AD11'!E57+'AD12'!E57+'AD13'!E57</f>
        <v>19535873.620000001</v>
      </c>
      <c r="F57" s="81">
        <f>'AD8 Stat'!F57+'AD9'!F57+'AD10'!F57+'AD11'!F57+'AD12'!F57+'AD13'!F57</f>
        <v>0</v>
      </c>
      <c r="G57" s="81">
        <f>'AD8 Stat'!G57+'AD9'!G57+'AD10'!G57+'AD11'!G57+'AD12'!G57+'AD13'!G57</f>
        <v>58607620.859999999</v>
      </c>
      <c r="H57" s="81">
        <f>'AD8 Stat'!H57+'AD9'!H57+'AD10'!H57+'AD11'!H57+'AD12'!H57+'AD13'!H57</f>
        <v>78143494.480000004</v>
      </c>
      <c r="I57" s="81">
        <f>'AD8 Stat'!I57+'AD9'!I57+'AD10'!I57+'AD11'!I57+'AD12'!I57+'AD13'!I57</f>
        <v>39071747.240000002</v>
      </c>
      <c r="J57" s="81">
        <f>'AD8 Stat'!J57+'AD9'!J57+'AD10'!J57+'AD11'!J57+'AD12'!J57+'AD13'!J57</f>
        <v>58607620.859999999</v>
      </c>
      <c r="K57" s="81">
        <f>'AD8 Stat'!K57+'AD9'!K57+'AD10'!K57+'AD11'!K57+'AD12'!K57+'AD13'!K57</f>
        <v>19535873.620000001</v>
      </c>
      <c r="L57" s="81">
        <f>'AD8 Stat'!L57+'AD9'!L57+'AD10'!L57+'AD11'!L57+'AD12'!L57+'AD13'!L57</f>
        <v>19535873.620000001</v>
      </c>
      <c r="M57" s="81">
        <f>'AD8 Stat'!M57+'AD9'!M57+'AD10'!M57+'AD11'!M57+'AD12'!M57+'AD13'!M57</f>
        <v>0</v>
      </c>
      <c r="N57" s="81">
        <f>'AD8 Stat'!N57+'AD9'!N57+'AD10'!N57+'AD11'!N57+'AD12'!N57+'AD13'!N57</f>
        <v>0</v>
      </c>
      <c r="O57" s="81">
        <f>'AD8 Stat'!O57+'AD9'!O57+'AD10'!O57+'AD11'!O57+'AD12'!O57+'AD13'!O57</f>
        <v>0</v>
      </c>
      <c r="P57" s="81">
        <f>'AD8 Stat'!P57+'AD9'!P57+'AD10'!P57+'AD11'!P57+'AD12'!P57+'AD13'!P57</f>
        <v>58607620.859999999</v>
      </c>
      <c r="Q57" s="81">
        <f>'AD8 Stat'!Q57+'AD9'!Q57+'AD10'!Q57+'AD11'!Q57+'AD12'!Q57+'AD13'!Q57</f>
        <v>19535873.620000001</v>
      </c>
      <c r="R57" s="81">
        <f>'AD8 Stat'!R57+'AD9'!R57+'AD10'!R57+'AD11'!R57+'AD12'!R57+'AD13'!R57</f>
        <v>78143494.480000004</v>
      </c>
      <c r="S57" s="81">
        <f>'AD8 Stat'!S57+'AD9'!S57+'AD10'!S57+'AD11'!S57+'AD12'!S57+'AD13'!S57</f>
        <v>0</v>
      </c>
      <c r="T57" s="81">
        <f>'AD8 Stat'!T57+'AD9'!T57+'AD10'!T57+'AD11'!T57+'AD12'!T57+'AD13'!T57</f>
        <v>0</v>
      </c>
      <c r="U57" s="81">
        <f>'AD8 Stat'!U57+'AD9'!U57+'AD10'!U57+'AD11'!U57+'AD12'!U57+'AD13'!U57</f>
        <v>0</v>
      </c>
      <c r="V57" s="81">
        <f>'AD8 Stat'!V57+'AD9'!V57+'AD10'!V57+'AD11'!V57+'AD12'!V57+'AD13'!V57</f>
        <v>78143494.480000004</v>
      </c>
      <c r="W57" s="81">
        <f>'AD8 Stat'!W57+'AD9'!W57+'AD10'!W57+'AD11'!W57+'AD12'!W57+'AD13'!W57</f>
        <v>0</v>
      </c>
      <c r="X57" s="17"/>
    </row>
    <row r="58" spans="1:24">
      <c r="A58" s="6">
        <f t="shared" si="6"/>
        <v>1995</v>
      </c>
      <c r="B58" s="81">
        <f>'AD8 Stat'!B58+'AD9'!B58+'AD10'!B58+'AD11'!B58+'AD12'!B58+'AD13'!B58</f>
        <v>11966733.120000001</v>
      </c>
      <c r="C58" s="81">
        <f>'AD8 Stat'!C58+'AD9'!C58+'AD10'!C58+'AD11'!C58+'AD12'!C58+'AD13'!C58</f>
        <v>11966733.120000001</v>
      </c>
      <c r="D58" s="81">
        <f>'AD8 Stat'!D58+'AD9'!D58+'AD10'!D58+'AD11'!D58+'AD12'!D58+'AD13'!D58</f>
        <v>11966733.120000001</v>
      </c>
      <c r="E58" s="81">
        <f>'AD8 Stat'!E58+'AD9'!E58+'AD10'!E58+'AD11'!E58+'AD12'!E58+'AD13'!E58</f>
        <v>11966733.120000001</v>
      </c>
      <c r="F58" s="81">
        <f>'AD8 Stat'!F58+'AD9'!F58+'AD10'!F58+'AD11'!F58+'AD12'!F58+'AD13'!F58</f>
        <v>0</v>
      </c>
      <c r="G58" s="81">
        <f>'AD8 Stat'!G58+'AD9'!G58+'AD10'!G58+'AD11'!G58+'AD12'!G58+'AD13'!G58</f>
        <v>35900199.359999999</v>
      </c>
      <c r="H58" s="81">
        <f>'AD8 Stat'!H58+'AD9'!H58+'AD10'!H58+'AD11'!H58+'AD12'!H58+'AD13'!H58</f>
        <v>47866932.480000004</v>
      </c>
      <c r="I58" s="81">
        <f>'AD8 Stat'!I58+'AD9'!I58+'AD10'!I58+'AD11'!I58+'AD12'!I58+'AD13'!I58</f>
        <v>23933466.240000002</v>
      </c>
      <c r="J58" s="81">
        <f>'AD8 Stat'!J58+'AD9'!J58+'AD10'!J58+'AD11'!J58+'AD12'!J58+'AD13'!J58</f>
        <v>35900199.359999999</v>
      </c>
      <c r="K58" s="81">
        <f>'AD8 Stat'!K58+'AD9'!K58+'AD10'!K58+'AD11'!K58+'AD12'!K58+'AD13'!K58</f>
        <v>11966733.120000001</v>
      </c>
      <c r="L58" s="81">
        <f>'AD8 Stat'!L58+'AD9'!L58+'AD10'!L58+'AD11'!L58+'AD12'!L58+'AD13'!L58</f>
        <v>11966733.120000001</v>
      </c>
      <c r="M58" s="81">
        <f>'AD8 Stat'!M58+'AD9'!M58+'AD10'!M58+'AD11'!M58+'AD12'!M58+'AD13'!M58</f>
        <v>0</v>
      </c>
      <c r="N58" s="81">
        <f>'AD8 Stat'!N58+'AD9'!N58+'AD10'!N58+'AD11'!N58+'AD12'!N58+'AD13'!N58</f>
        <v>0</v>
      </c>
      <c r="O58" s="81">
        <f>'AD8 Stat'!O58+'AD9'!O58+'AD10'!O58+'AD11'!O58+'AD12'!O58+'AD13'!O58</f>
        <v>0</v>
      </c>
      <c r="P58" s="81">
        <f>'AD8 Stat'!P58+'AD9'!P58+'AD10'!P58+'AD11'!P58+'AD12'!P58+'AD13'!P58</f>
        <v>35900199.359999999</v>
      </c>
      <c r="Q58" s="81">
        <f>'AD8 Stat'!Q58+'AD9'!Q58+'AD10'!Q58+'AD11'!Q58+'AD12'!Q58+'AD13'!Q58</f>
        <v>11966733.120000001</v>
      </c>
      <c r="R58" s="81">
        <f>'AD8 Stat'!R58+'AD9'!R58+'AD10'!R58+'AD11'!R58+'AD12'!R58+'AD13'!R58</f>
        <v>47866932.480000004</v>
      </c>
      <c r="S58" s="81">
        <f>'AD8 Stat'!S58+'AD9'!S58+'AD10'!S58+'AD11'!S58+'AD12'!S58+'AD13'!S58</f>
        <v>0</v>
      </c>
      <c r="T58" s="81">
        <f>'AD8 Stat'!T58+'AD9'!T58+'AD10'!T58+'AD11'!T58+'AD12'!T58+'AD13'!T58</f>
        <v>0</v>
      </c>
      <c r="U58" s="81">
        <f>'AD8 Stat'!U58+'AD9'!U58+'AD10'!U58+'AD11'!U58+'AD12'!U58+'AD13'!U58</f>
        <v>0</v>
      </c>
      <c r="V58" s="81">
        <f>'AD8 Stat'!V58+'AD9'!V58+'AD10'!V58+'AD11'!V58+'AD12'!V58+'AD13'!V58</f>
        <v>47866932.480000004</v>
      </c>
      <c r="W58" s="81">
        <f>'AD8 Stat'!W58+'AD9'!W58+'AD10'!W58+'AD11'!W58+'AD12'!W58+'AD13'!W58</f>
        <v>0</v>
      </c>
      <c r="X58" s="17"/>
    </row>
    <row r="59" spans="1:24">
      <c r="A59" s="6">
        <f t="shared" si="6"/>
        <v>1996</v>
      </c>
      <c r="B59" s="81">
        <f>'AD8 Stat'!B59+'AD9'!B59+'AD10'!B59+'AD11'!B59+'AD12'!B59+'AD13'!B59</f>
        <v>28253567.849999998</v>
      </c>
      <c r="C59" s="81">
        <f>'AD8 Stat'!C59+'AD9'!C59+'AD10'!C59+'AD11'!C59+'AD12'!C59+'AD13'!C59</f>
        <v>28253567.849999998</v>
      </c>
      <c r="D59" s="81">
        <f>'AD8 Stat'!D59+'AD9'!D59+'AD10'!D59+'AD11'!D59+'AD12'!D59+'AD13'!D59</f>
        <v>28253567.849999998</v>
      </c>
      <c r="E59" s="81">
        <f>'AD8 Stat'!E59+'AD9'!E59+'AD10'!E59+'AD11'!E59+'AD12'!E59+'AD13'!E59</f>
        <v>28253567.849999998</v>
      </c>
      <c r="F59" s="81">
        <f>'AD8 Stat'!F59+'AD9'!F59+'AD10'!F59+'AD11'!F59+'AD12'!F59+'AD13'!F59</f>
        <v>0</v>
      </c>
      <c r="G59" s="81">
        <f>'AD8 Stat'!G59+'AD9'!G59+'AD10'!G59+'AD11'!G59+'AD12'!G59+'AD13'!G59</f>
        <v>84760703.549999997</v>
      </c>
      <c r="H59" s="81">
        <f>'AD8 Stat'!H59+'AD9'!H59+'AD10'!H59+'AD11'!H59+'AD12'!H59+'AD13'!H59</f>
        <v>113014271.39999999</v>
      </c>
      <c r="I59" s="81">
        <f>'AD8 Stat'!I59+'AD9'!I59+'AD10'!I59+'AD11'!I59+'AD12'!I59+'AD13'!I59</f>
        <v>56507135.699999996</v>
      </c>
      <c r="J59" s="81">
        <f>'AD8 Stat'!J59+'AD9'!J59+'AD10'!J59+'AD11'!J59+'AD12'!J59+'AD13'!J59</f>
        <v>84760703.549999997</v>
      </c>
      <c r="K59" s="81">
        <f>'AD8 Stat'!K59+'AD9'!K59+'AD10'!K59+'AD11'!K59+'AD12'!K59+'AD13'!K59</f>
        <v>28253567.849999998</v>
      </c>
      <c r="L59" s="81">
        <f>'AD8 Stat'!L59+'AD9'!L59+'AD10'!L59+'AD11'!L59+'AD12'!L59+'AD13'!L59</f>
        <v>28253567.849999998</v>
      </c>
      <c r="M59" s="81">
        <f>'AD8 Stat'!M59+'AD9'!M59+'AD10'!M59+'AD11'!M59+'AD12'!M59+'AD13'!M59</f>
        <v>0</v>
      </c>
      <c r="N59" s="81">
        <f>'AD8 Stat'!N59+'AD9'!N59+'AD10'!N59+'AD11'!N59+'AD12'!N59+'AD13'!N59</f>
        <v>0</v>
      </c>
      <c r="O59" s="81">
        <f>'AD8 Stat'!O59+'AD9'!O59+'AD10'!O59+'AD11'!O59+'AD12'!O59+'AD13'!O59</f>
        <v>0</v>
      </c>
      <c r="P59" s="81">
        <f>'AD8 Stat'!P59+'AD9'!P59+'AD10'!P59+'AD11'!P59+'AD12'!P59+'AD13'!P59</f>
        <v>84760703.549999997</v>
      </c>
      <c r="Q59" s="81">
        <f>'AD8 Stat'!Q59+'AD9'!Q59+'AD10'!Q59+'AD11'!Q59+'AD12'!Q59+'AD13'!Q59</f>
        <v>28253567.849999998</v>
      </c>
      <c r="R59" s="81">
        <f>'AD8 Stat'!R59+'AD9'!R59+'AD10'!R59+'AD11'!R59+'AD12'!R59+'AD13'!R59</f>
        <v>113014271.39999999</v>
      </c>
      <c r="S59" s="81">
        <f>'AD8 Stat'!S59+'AD9'!S59+'AD10'!S59+'AD11'!S59+'AD12'!S59+'AD13'!S59</f>
        <v>0</v>
      </c>
      <c r="T59" s="81">
        <f>'AD8 Stat'!T59+'AD9'!T59+'AD10'!T59+'AD11'!T59+'AD12'!T59+'AD13'!T59</f>
        <v>0</v>
      </c>
      <c r="U59" s="81">
        <f>'AD8 Stat'!U59+'AD9'!U59+'AD10'!U59+'AD11'!U59+'AD12'!U59+'AD13'!U59</f>
        <v>0</v>
      </c>
      <c r="V59" s="81">
        <f>'AD8 Stat'!V59+'AD9'!V59+'AD10'!V59+'AD11'!V59+'AD12'!V59+'AD13'!V59</f>
        <v>113014271.39999999</v>
      </c>
      <c r="W59" s="81">
        <f>'AD8 Stat'!W59+'AD9'!W59+'AD10'!W59+'AD11'!W59+'AD12'!W59+'AD13'!W59</f>
        <v>0</v>
      </c>
      <c r="X59" s="17"/>
    </row>
    <row r="60" spans="1:24">
      <c r="A60" s="6">
        <f t="shared" si="6"/>
        <v>1997</v>
      </c>
      <c r="B60" s="81">
        <f>'AD8 Stat'!B60+'AD9'!B60+'AD10'!B60+'AD11'!B60+'AD12'!B60+'AD13'!B60</f>
        <v>23093430.41</v>
      </c>
      <c r="C60" s="81">
        <f>'AD8 Stat'!C60+'AD9'!C60+'AD10'!C60+'AD11'!C60+'AD12'!C60+'AD13'!C60</f>
        <v>23093430.41</v>
      </c>
      <c r="D60" s="81">
        <f>'AD8 Stat'!D60+'AD9'!D60+'AD10'!D60+'AD11'!D60+'AD12'!D60+'AD13'!D60</f>
        <v>23093430.41</v>
      </c>
      <c r="E60" s="81">
        <f>'AD8 Stat'!E60+'AD9'!E60+'AD10'!E60+'AD11'!E60+'AD12'!E60+'AD13'!E60</f>
        <v>23093430.41</v>
      </c>
      <c r="F60" s="81">
        <f>'AD8 Stat'!F60+'AD9'!F60+'AD10'!F60+'AD11'!F60+'AD12'!F60+'AD13'!F60</f>
        <v>0</v>
      </c>
      <c r="G60" s="81">
        <f>'AD8 Stat'!G60+'AD9'!G60+'AD10'!G60+'AD11'!G60+'AD12'!G60+'AD13'!G60</f>
        <v>69280291.230000004</v>
      </c>
      <c r="H60" s="81">
        <f>'AD8 Stat'!H60+'AD9'!H60+'AD10'!H60+'AD11'!H60+'AD12'!H60+'AD13'!H60</f>
        <v>92373721.640000001</v>
      </c>
      <c r="I60" s="81">
        <f>'AD8 Stat'!I60+'AD9'!I60+'AD10'!I60+'AD11'!I60+'AD12'!I60+'AD13'!I60</f>
        <v>46186860.82</v>
      </c>
      <c r="J60" s="81">
        <f>'AD8 Stat'!J60+'AD9'!J60+'AD10'!J60+'AD11'!J60+'AD12'!J60+'AD13'!J60</f>
        <v>69280291.230000004</v>
      </c>
      <c r="K60" s="81">
        <f>'AD8 Stat'!K60+'AD9'!K60+'AD10'!K60+'AD11'!K60+'AD12'!K60+'AD13'!K60</f>
        <v>23093430.41</v>
      </c>
      <c r="L60" s="81">
        <f>'AD8 Stat'!L60+'AD9'!L60+'AD10'!L60+'AD11'!L60+'AD12'!L60+'AD13'!L60</f>
        <v>23093430.41</v>
      </c>
      <c r="M60" s="81">
        <f>'AD8 Stat'!M60+'AD9'!M60+'AD10'!M60+'AD11'!M60+'AD12'!M60+'AD13'!M60</f>
        <v>0</v>
      </c>
      <c r="N60" s="81">
        <f>'AD8 Stat'!N60+'AD9'!N60+'AD10'!N60+'AD11'!N60+'AD12'!N60+'AD13'!N60</f>
        <v>0</v>
      </c>
      <c r="O60" s="81">
        <f>'AD8 Stat'!O60+'AD9'!O60+'AD10'!O60+'AD11'!O60+'AD12'!O60+'AD13'!O60</f>
        <v>0</v>
      </c>
      <c r="P60" s="81">
        <f>'AD8 Stat'!P60+'AD9'!P60+'AD10'!P60+'AD11'!P60+'AD12'!P60+'AD13'!P60</f>
        <v>69280291.230000004</v>
      </c>
      <c r="Q60" s="81">
        <f>'AD8 Stat'!Q60+'AD9'!Q60+'AD10'!Q60+'AD11'!Q60+'AD12'!Q60+'AD13'!Q60</f>
        <v>23093430.41</v>
      </c>
      <c r="R60" s="81">
        <f>'AD8 Stat'!R60+'AD9'!R60+'AD10'!R60+'AD11'!R60+'AD12'!R60+'AD13'!R60</f>
        <v>92373721.640000001</v>
      </c>
      <c r="S60" s="81">
        <f>'AD8 Stat'!S60+'AD9'!S60+'AD10'!S60+'AD11'!S60+'AD12'!S60+'AD13'!S60</f>
        <v>0</v>
      </c>
      <c r="T60" s="81">
        <f>'AD8 Stat'!T60+'AD9'!T60+'AD10'!T60+'AD11'!T60+'AD12'!T60+'AD13'!T60</f>
        <v>0</v>
      </c>
      <c r="U60" s="81">
        <f>'AD8 Stat'!U60+'AD9'!U60+'AD10'!U60+'AD11'!U60+'AD12'!U60+'AD13'!U60</f>
        <v>0</v>
      </c>
      <c r="V60" s="81">
        <f>'AD8 Stat'!V60+'AD9'!V60+'AD10'!V60+'AD11'!V60+'AD12'!V60+'AD13'!V60</f>
        <v>92373721.640000001</v>
      </c>
      <c r="W60" s="81">
        <f>'AD8 Stat'!W60+'AD9'!W60+'AD10'!W60+'AD11'!W60+'AD12'!W60+'AD13'!W60</f>
        <v>0</v>
      </c>
      <c r="X60" s="17"/>
    </row>
    <row r="61" spans="1:24">
      <c r="A61" s="6">
        <f t="shared" si="6"/>
        <v>1998</v>
      </c>
      <c r="B61" s="81">
        <f>'AD8 Stat'!B61+'AD9'!B61+'AD10'!B61+'AD11'!B61+'AD12'!B61+'AD13'!B61</f>
        <v>16953048.240000002</v>
      </c>
      <c r="C61" s="81">
        <f>'AD8 Stat'!C61+'AD9'!C61+'AD10'!C61+'AD11'!C61+'AD12'!C61+'AD13'!C61</f>
        <v>16953048.240000002</v>
      </c>
      <c r="D61" s="81">
        <f>'AD8 Stat'!D61+'AD9'!D61+'AD10'!D61+'AD11'!D61+'AD12'!D61+'AD13'!D61</f>
        <v>16953048.240000002</v>
      </c>
      <c r="E61" s="81">
        <f>'AD8 Stat'!E61+'AD9'!E61+'AD10'!E61+'AD11'!E61+'AD12'!E61+'AD13'!E61</f>
        <v>16953048.240000002</v>
      </c>
      <c r="F61" s="81">
        <f>'AD8 Stat'!F61+'AD9'!F61+'AD10'!F61+'AD11'!F61+'AD12'!F61+'AD13'!F61</f>
        <v>0</v>
      </c>
      <c r="G61" s="81">
        <f>'AD8 Stat'!G61+'AD9'!G61+'AD10'!G61+'AD11'!G61+'AD12'!G61+'AD13'!G61</f>
        <v>50859144.720000006</v>
      </c>
      <c r="H61" s="81">
        <f>'AD8 Stat'!H61+'AD9'!H61+'AD10'!H61+'AD11'!H61+'AD12'!H61+'AD13'!H61</f>
        <v>67812192.960000008</v>
      </c>
      <c r="I61" s="81">
        <f>'AD8 Stat'!I61+'AD9'!I61+'AD10'!I61+'AD11'!I61+'AD12'!I61+'AD13'!I61</f>
        <v>33906096.480000004</v>
      </c>
      <c r="J61" s="81">
        <f>'AD8 Stat'!J61+'AD9'!J61+'AD10'!J61+'AD11'!J61+'AD12'!J61+'AD13'!J61</f>
        <v>50859144.720000006</v>
      </c>
      <c r="K61" s="81">
        <f>'AD8 Stat'!K61+'AD9'!K61+'AD10'!K61+'AD11'!K61+'AD12'!K61+'AD13'!K61</f>
        <v>16953048.240000002</v>
      </c>
      <c r="L61" s="81">
        <f>'AD8 Stat'!L61+'AD9'!L61+'AD10'!L61+'AD11'!L61+'AD12'!L61+'AD13'!L61</f>
        <v>16953048.240000002</v>
      </c>
      <c r="M61" s="81">
        <f>'AD8 Stat'!M61+'AD9'!M61+'AD10'!M61+'AD11'!M61+'AD12'!M61+'AD13'!M61</f>
        <v>0</v>
      </c>
      <c r="N61" s="81">
        <f>'AD8 Stat'!N61+'AD9'!N61+'AD10'!N61+'AD11'!N61+'AD12'!N61+'AD13'!N61</f>
        <v>0</v>
      </c>
      <c r="O61" s="81">
        <f>'AD8 Stat'!O61+'AD9'!O61+'AD10'!O61+'AD11'!O61+'AD12'!O61+'AD13'!O61</f>
        <v>0</v>
      </c>
      <c r="P61" s="81">
        <f>'AD8 Stat'!P61+'AD9'!P61+'AD10'!P61+'AD11'!P61+'AD12'!P61+'AD13'!P61</f>
        <v>50859144.720000006</v>
      </c>
      <c r="Q61" s="81">
        <f>'AD8 Stat'!Q61+'AD9'!Q61+'AD10'!Q61+'AD11'!Q61+'AD12'!Q61+'AD13'!Q61</f>
        <v>16953048.240000002</v>
      </c>
      <c r="R61" s="81">
        <f>'AD8 Stat'!R61+'AD9'!R61+'AD10'!R61+'AD11'!R61+'AD12'!R61+'AD13'!R61</f>
        <v>67812192.960000008</v>
      </c>
      <c r="S61" s="81">
        <f>'AD8 Stat'!S61+'AD9'!S61+'AD10'!S61+'AD11'!S61+'AD12'!S61+'AD13'!S61</f>
        <v>0</v>
      </c>
      <c r="T61" s="81">
        <f>'AD8 Stat'!T61+'AD9'!T61+'AD10'!T61+'AD11'!T61+'AD12'!T61+'AD13'!T61</f>
        <v>0</v>
      </c>
      <c r="U61" s="81">
        <f>'AD8 Stat'!U61+'AD9'!U61+'AD10'!U61+'AD11'!U61+'AD12'!U61+'AD13'!U61</f>
        <v>0</v>
      </c>
      <c r="V61" s="81">
        <f>'AD8 Stat'!V61+'AD9'!V61+'AD10'!V61+'AD11'!V61+'AD12'!V61+'AD13'!V61</f>
        <v>67812192.960000008</v>
      </c>
      <c r="W61" s="81">
        <f>'AD8 Stat'!W61+'AD9'!W61+'AD10'!W61+'AD11'!W61+'AD12'!W61+'AD13'!W61</f>
        <v>0</v>
      </c>
      <c r="X61" s="17"/>
    </row>
    <row r="62" spans="1:24">
      <c r="A62" s="6">
        <f t="shared" si="6"/>
        <v>1999</v>
      </c>
      <c r="B62" s="81">
        <f>'AD8 Stat'!B62+'AD9'!B62+'AD10'!B62+'AD11'!B62+'AD12'!B62+'AD13'!B62</f>
        <v>9326571.5999999996</v>
      </c>
      <c r="C62" s="81">
        <f>'AD8 Stat'!C62+'AD9'!C62+'AD10'!C62+'AD11'!C62+'AD12'!C62+'AD13'!C62</f>
        <v>9326571.5999999996</v>
      </c>
      <c r="D62" s="81">
        <f>'AD8 Stat'!D62+'AD9'!D62+'AD10'!D62+'AD11'!D62+'AD12'!D62+'AD13'!D62</f>
        <v>9326571.5999999996</v>
      </c>
      <c r="E62" s="81">
        <f>'AD8 Stat'!E62+'AD9'!E62+'AD10'!E62+'AD11'!E62+'AD12'!E62+'AD13'!E62</f>
        <v>9326571.5999999996</v>
      </c>
      <c r="F62" s="81">
        <f>'AD8 Stat'!F62+'AD9'!F62+'AD10'!F62+'AD11'!F62+'AD12'!F62+'AD13'!F62</f>
        <v>0</v>
      </c>
      <c r="G62" s="81">
        <f>'AD8 Stat'!G62+'AD9'!G62+'AD10'!G62+'AD11'!G62+'AD12'!G62+'AD13'!G62</f>
        <v>27979714.799999997</v>
      </c>
      <c r="H62" s="81">
        <f>'AD8 Stat'!H62+'AD9'!H62+'AD10'!H62+'AD11'!H62+'AD12'!H62+'AD13'!H62</f>
        <v>37306286.399999999</v>
      </c>
      <c r="I62" s="81">
        <f>'AD8 Stat'!I62+'AD9'!I62+'AD10'!I62+'AD11'!I62+'AD12'!I62+'AD13'!I62</f>
        <v>18653143.199999999</v>
      </c>
      <c r="J62" s="81">
        <f>'AD8 Stat'!J62+'AD9'!J62+'AD10'!J62+'AD11'!J62+'AD12'!J62+'AD13'!J62</f>
        <v>27979714.799999997</v>
      </c>
      <c r="K62" s="81">
        <f>'AD8 Stat'!K62+'AD9'!K62+'AD10'!K62+'AD11'!K62+'AD12'!K62+'AD13'!K62</f>
        <v>9326571.5999999996</v>
      </c>
      <c r="L62" s="81">
        <f>'AD8 Stat'!L62+'AD9'!L62+'AD10'!L62+'AD11'!L62+'AD12'!L62+'AD13'!L62</f>
        <v>9326571.5999999996</v>
      </c>
      <c r="M62" s="81">
        <f>'AD8 Stat'!M62+'AD9'!M62+'AD10'!M62+'AD11'!M62+'AD12'!M62+'AD13'!M62</f>
        <v>0</v>
      </c>
      <c r="N62" s="81">
        <f>'AD8 Stat'!N62+'AD9'!N62+'AD10'!N62+'AD11'!N62+'AD12'!N62+'AD13'!N62</f>
        <v>0</v>
      </c>
      <c r="O62" s="81">
        <f>'AD8 Stat'!O62+'AD9'!O62+'AD10'!O62+'AD11'!O62+'AD12'!O62+'AD13'!O62</f>
        <v>0</v>
      </c>
      <c r="P62" s="81">
        <f>'AD8 Stat'!P62+'AD9'!P62+'AD10'!P62+'AD11'!P62+'AD12'!P62+'AD13'!P62</f>
        <v>27979714.799999997</v>
      </c>
      <c r="Q62" s="81">
        <f>'AD8 Stat'!Q62+'AD9'!Q62+'AD10'!Q62+'AD11'!Q62+'AD12'!Q62+'AD13'!Q62</f>
        <v>9326571.5999999996</v>
      </c>
      <c r="R62" s="81">
        <f>'AD8 Stat'!R62+'AD9'!R62+'AD10'!R62+'AD11'!R62+'AD12'!R62+'AD13'!R62</f>
        <v>37306286.399999999</v>
      </c>
      <c r="S62" s="81">
        <f>'AD8 Stat'!S62+'AD9'!S62+'AD10'!S62+'AD11'!S62+'AD12'!S62+'AD13'!S62</f>
        <v>0</v>
      </c>
      <c r="T62" s="81">
        <f>'AD8 Stat'!T62+'AD9'!T62+'AD10'!T62+'AD11'!T62+'AD12'!T62+'AD13'!T62</f>
        <v>0</v>
      </c>
      <c r="U62" s="81">
        <f>'AD8 Stat'!U62+'AD9'!U62+'AD10'!U62+'AD11'!U62+'AD12'!U62+'AD13'!U62</f>
        <v>0</v>
      </c>
      <c r="V62" s="81">
        <f>'AD8 Stat'!V62+'AD9'!V62+'AD10'!V62+'AD11'!V62+'AD12'!V62+'AD13'!V62</f>
        <v>37306286.399999999</v>
      </c>
      <c r="W62" s="81">
        <f>'AD8 Stat'!W62+'AD9'!W62+'AD10'!W62+'AD11'!W62+'AD12'!W62+'AD13'!W62</f>
        <v>0</v>
      </c>
      <c r="X62" s="17"/>
    </row>
    <row r="63" spans="1:24">
      <c r="A63" s="6">
        <f t="shared" si="6"/>
        <v>2000</v>
      </c>
      <c r="B63" s="81">
        <f>'AD8 Stat'!B63+'AD9'!B63+'AD10'!B63+'AD11'!B63+'AD12'!B63+'AD13'!B63</f>
        <v>5903704.3700000001</v>
      </c>
      <c r="C63" s="81">
        <f>'AD8 Stat'!C63+'AD9'!C63+'AD10'!C63+'AD11'!C63+'AD12'!C63+'AD13'!C63</f>
        <v>5903704.3700000048</v>
      </c>
      <c r="D63" s="81">
        <f>'AD8 Stat'!D63+'AD9'!D63+'AD10'!D63+'AD11'!D63+'AD12'!D63+'AD13'!D63</f>
        <v>5903704.3700000001</v>
      </c>
      <c r="E63" s="81">
        <f>'AD8 Stat'!E63+'AD9'!E63+'AD10'!E63+'AD11'!E63+'AD12'!E63+'AD13'!E63</f>
        <v>5903704.3700000001</v>
      </c>
      <c r="F63" s="81">
        <f>'AD8 Stat'!F63+'AD9'!F63+'AD10'!F63+'AD11'!F63+'AD12'!F63+'AD13'!F63</f>
        <v>0</v>
      </c>
      <c r="G63" s="81">
        <f>'AD8 Stat'!G63+'AD9'!G63+'AD10'!G63+'AD11'!G63+'AD12'!G63+'AD13'!G63</f>
        <v>17711113.110000007</v>
      </c>
      <c r="H63" s="81">
        <f>'AD8 Stat'!H63+'AD9'!H63+'AD10'!H63+'AD11'!H63+'AD12'!H63+'AD13'!H63</f>
        <v>23614817.480000008</v>
      </c>
      <c r="I63" s="81">
        <f>'AD8 Stat'!I63+'AD9'!I63+'AD10'!I63+'AD11'!I63+'AD12'!I63+'AD13'!I63</f>
        <v>11807408.740000006</v>
      </c>
      <c r="J63" s="81">
        <f>'AD8 Stat'!J63+'AD9'!J63+'AD10'!J63+'AD11'!J63+'AD12'!J63+'AD13'!J63</f>
        <v>17711113.110000007</v>
      </c>
      <c r="K63" s="81">
        <f>'AD8 Stat'!K63+'AD9'!K63+'AD10'!K63+'AD11'!K63+'AD12'!K63+'AD13'!K63</f>
        <v>5903704.3700000001</v>
      </c>
      <c r="L63" s="81">
        <f>'AD8 Stat'!L63+'AD9'!L63+'AD10'!L63+'AD11'!L63+'AD12'!L63+'AD13'!L63</f>
        <v>5903704.3700000001</v>
      </c>
      <c r="M63" s="81">
        <f>'AD8 Stat'!M63+'AD9'!M63+'AD10'!M63+'AD11'!M63+'AD12'!M63+'AD13'!M63</f>
        <v>0</v>
      </c>
      <c r="N63" s="81">
        <f>'AD8 Stat'!N63+'AD9'!N63+'AD10'!N63+'AD11'!N63+'AD12'!N63+'AD13'!N63</f>
        <v>0</v>
      </c>
      <c r="O63" s="81">
        <f>'AD8 Stat'!O63+'AD9'!O63+'AD10'!O63+'AD11'!O63+'AD12'!O63+'AD13'!O63</f>
        <v>0</v>
      </c>
      <c r="P63" s="81">
        <f>'AD8 Stat'!P63+'AD9'!P63+'AD10'!P63+'AD11'!P63+'AD12'!P63+'AD13'!P63</f>
        <v>17711113.110000007</v>
      </c>
      <c r="Q63" s="81">
        <f>'AD8 Stat'!Q63+'AD9'!Q63+'AD10'!Q63+'AD11'!Q63+'AD12'!Q63+'AD13'!Q63</f>
        <v>5903704.3700000001</v>
      </c>
      <c r="R63" s="81">
        <f>'AD8 Stat'!R63+'AD9'!R63+'AD10'!R63+'AD11'!R63+'AD12'!R63+'AD13'!R63</f>
        <v>23614817.480000008</v>
      </c>
      <c r="S63" s="81">
        <f>'AD8 Stat'!S63+'AD9'!S63+'AD10'!S63+'AD11'!S63+'AD12'!S63+'AD13'!S63</f>
        <v>0</v>
      </c>
      <c r="T63" s="81">
        <f>'AD8 Stat'!T63+'AD9'!T63+'AD10'!T63+'AD11'!T63+'AD12'!T63+'AD13'!T63</f>
        <v>0</v>
      </c>
      <c r="U63" s="81">
        <f>'AD8 Stat'!U63+'AD9'!U63+'AD10'!U63+'AD11'!U63+'AD12'!U63+'AD13'!U63</f>
        <v>0</v>
      </c>
      <c r="V63" s="81">
        <f>'AD8 Stat'!V63+'AD9'!V63+'AD10'!V63+'AD11'!V63+'AD12'!V63+'AD13'!V63</f>
        <v>23614817.480000008</v>
      </c>
      <c r="W63" s="81">
        <f>'AD8 Stat'!W63+'AD9'!W63+'AD10'!W63+'AD11'!W63+'AD12'!W63+'AD13'!W63</f>
        <v>0</v>
      </c>
      <c r="X63" s="17"/>
    </row>
    <row r="64" spans="1:24">
      <c r="A64" s="6">
        <f t="shared" si="6"/>
        <v>2001</v>
      </c>
      <c r="B64" s="81">
        <f>'AD8 Stat'!B64+'AD9'!B64+'AD10'!B64+'AD11'!B64+'AD12'!B64+'AD13'!B64</f>
        <v>8645889.1500000004</v>
      </c>
      <c r="C64" s="81">
        <f>'AD8 Stat'!C64+'AD9'!C64+'AD10'!C64+'AD11'!C64+'AD12'!C64+'AD13'!C64</f>
        <v>8645889.150000006</v>
      </c>
      <c r="D64" s="81">
        <f>'AD8 Stat'!D64+'AD9'!D64+'AD10'!D64+'AD11'!D64+'AD12'!D64+'AD13'!D64</f>
        <v>8645889.1500000004</v>
      </c>
      <c r="E64" s="81">
        <f>'AD8 Stat'!E64+'AD9'!E64+'AD10'!E64+'AD11'!E64+'AD12'!E64+'AD13'!E64</f>
        <v>8645889.1500000004</v>
      </c>
      <c r="F64" s="81">
        <f>'AD8 Stat'!F64+'AD9'!F64+'AD10'!F64+'AD11'!F64+'AD12'!F64+'AD13'!F64</f>
        <v>0</v>
      </c>
      <c r="G64" s="81">
        <f>'AD8 Stat'!G64+'AD9'!G64+'AD10'!G64+'AD11'!G64+'AD12'!G64+'AD13'!G64</f>
        <v>25937667.450000007</v>
      </c>
      <c r="H64" s="81">
        <f>'AD8 Stat'!H64+'AD9'!H64+'AD10'!H64+'AD11'!H64+'AD12'!H64+'AD13'!H64</f>
        <v>34583556.600000009</v>
      </c>
      <c r="I64" s="81">
        <f>'AD8 Stat'!I64+'AD9'!I64+'AD10'!I64+'AD11'!I64+'AD12'!I64+'AD13'!I64</f>
        <v>17291778.300000008</v>
      </c>
      <c r="J64" s="81">
        <f>'AD8 Stat'!J64+'AD9'!J64+'AD10'!J64+'AD11'!J64+'AD12'!J64+'AD13'!J64</f>
        <v>25937667.450000007</v>
      </c>
      <c r="K64" s="81">
        <f>'AD8 Stat'!K64+'AD9'!K64+'AD10'!K64+'AD11'!K64+'AD12'!K64+'AD13'!K64</f>
        <v>8645889.1500000004</v>
      </c>
      <c r="L64" s="81">
        <f>'AD8 Stat'!L64+'AD9'!L64+'AD10'!L64+'AD11'!L64+'AD12'!L64+'AD13'!L64</f>
        <v>8645889.1500000004</v>
      </c>
      <c r="M64" s="81">
        <f>'AD8 Stat'!M64+'AD9'!M64+'AD10'!M64+'AD11'!M64+'AD12'!M64+'AD13'!M64</f>
        <v>0</v>
      </c>
      <c r="N64" s="81">
        <f>'AD8 Stat'!N64+'AD9'!N64+'AD10'!N64+'AD11'!N64+'AD12'!N64+'AD13'!N64</f>
        <v>0</v>
      </c>
      <c r="O64" s="81">
        <f>'AD8 Stat'!O64+'AD9'!O64+'AD10'!O64+'AD11'!O64+'AD12'!O64+'AD13'!O64</f>
        <v>0</v>
      </c>
      <c r="P64" s="81">
        <f>'AD8 Stat'!P64+'AD9'!P64+'AD10'!P64+'AD11'!P64+'AD12'!P64+'AD13'!P64</f>
        <v>25937667.450000007</v>
      </c>
      <c r="Q64" s="81">
        <f>'AD8 Stat'!Q64+'AD9'!Q64+'AD10'!Q64+'AD11'!Q64+'AD12'!Q64+'AD13'!Q64</f>
        <v>8645889.1500000004</v>
      </c>
      <c r="R64" s="81">
        <f>'AD8 Stat'!R64+'AD9'!R64+'AD10'!R64+'AD11'!R64+'AD12'!R64+'AD13'!R64</f>
        <v>34583556.600000009</v>
      </c>
      <c r="S64" s="81">
        <f>'AD8 Stat'!S64+'AD9'!S64+'AD10'!S64+'AD11'!S64+'AD12'!S64+'AD13'!S64</f>
        <v>0</v>
      </c>
      <c r="T64" s="81">
        <f>'AD8 Stat'!T64+'AD9'!T64+'AD10'!T64+'AD11'!T64+'AD12'!T64+'AD13'!T64</f>
        <v>0</v>
      </c>
      <c r="U64" s="81">
        <f>'AD8 Stat'!U64+'AD9'!U64+'AD10'!U64+'AD11'!U64+'AD12'!U64+'AD13'!U64</f>
        <v>0</v>
      </c>
      <c r="V64" s="81">
        <f>'AD8 Stat'!V64+'AD9'!V64+'AD10'!V64+'AD11'!V64+'AD12'!V64+'AD13'!V64</f>
        <v>34583556.600000009</v>
      </c>
      <c r="W64" s="81">
        <f>'AD8 Stat'!W64+'AD9'!W64+'AD10'!W64+'AD11'!W64+'AD12'!W64+'AD13'!W64</f>
        <v>0</v>
      </c>
      <c r="X64" s="17"/>
    </row>
    <row r="65" spans="1:24">
      <c r="A65" s="6">
        <f t="shared" si="6"/>
        <v>2002</v>
      </c>
      <c r="B65" s="81">
        <f>'AD8 Stat'!B65+'AD9'!B65+'AD10'!B65+'AD11'!B65+'AD12'!B65+'AD13'!B65</f>
        <v>545392.9</v>
      </c>
      <c r="C65" s="81">
        <f>'AD8 Stat'!C65+'AD9'!C65+'AD10'!C65+'AD11'!C65+'AD12'!C65+'AD13'!C65</f>
        <v>545392.89999999851</v>
      </c>
      <c r="D65" s="81">
        <f>'AD8 Stat'!D65+'AD9'!D65+'AD10'!D65+'AD11'!D65+'AD12'!D65+'AD13'!D65</f>
        <v>545392.9</v>
      </c>
      <c r="E65" s="81">
        <f>'AD8 Stat'!E65+'AD9'!E65+'AD10'!E65+'AD11'!E65+'AD12'!E65+'AD13'!E65</f>
        <v>545392.9</v>
      </c>
      <c r="F65" s="81">
        <f>'AD8 Stat'!F65+'AD9'!F65+'AD10'!F65+'AD11'!F65+'AD12'!F65+'AD13'!F65</f>
        <v>-1.5133991837501526E-9</v>
      </c>
      <c r="G65" s="81">
        <f>'AD8 Stat'!G65+'AD9'!G65+'AD10'!G65+'AD11'!G65+'AD12'!G65+'AD13'!G65</f>
        <v>1636178.6999999983</v>
      </c>
      <c r="H65" s="81">
        <f>'AD8 Stat'!H65+'AD9'!H65+'AD10'!H65+'AD11'!H65+'AD12'!H65+'AD13'!H65</f>
        <v>2181571.5999999968</v>
      </c>
      <c r="I65" s="81">
        <f>'AD8 Stat'!I65+'AD9'!I65+'AD10'!I65+'AD11'!I65+'AD12'!I65+'AD13'!I65</f>
        <v>1090785.7999999984</v>
      </c>
      <c r="J65" s="81">
        <f>'AD8 Stat'!J65+'AD9'!J65+'AD10'!J65+'AD11'!J65+'AD12'!J65+'AD13'!J65</f>
        <v>1636178.6999999983</v>
      </c>
      <c r="K65" s="81">
        <f>'AD8 Stat'!K65+'AD9'!K65+'AD10'!K65+'AD11'!K65+'AD12'!K65+'AD13'!K65</f>
        <v>545392.9</v>
      </c>
      <c r="L65" s="81">
        <f>'AD8 Stat'!L65+'AD9'!L65+'AD10'!L65+'AD11'!L65+'AD12'!L65+'AD13'!L65</f>
        <v>545392.89999999851</v>
      </c>
      <c r="M65" s="81">
        <f>'AD8 Stat'!M65+'AD9'!M65+'AD10'!M65+'AD11'!M65+'AD12'!M65+'AD13'!M65</f>
        <v>0</v>
      </c>
      <c r="N65" s="81">
        <f>'AD8 Stat'!N65+'AD9'!N65+'AD10'!N65+'AD11'!N65+'AD12'!N65+'AD13'!N65</f>
        <v>0</v>
      </c>
      <c r="O65" s="81">
        <f>'AD8 Stat'!O65+'AD9'!O65+'AD10'!O65+'AD11'!O65+'AD12'!O65+'AD13'!O65</f>
        <v>0</v>
      </c>
      <c r="P65" s="81">
        <f>'AD8 Stat'!P65+'AD9'!P65+'AD10'!P65+'AD11'!P65+'AD12'!P65+'AD13'!P65</f>
        <v>1636178.6999999983</v>
      </c>
      <c r="Q65" s="81">
        <f>'AD8 Stat'!Q65+'AD9'!Q65+'AD10'!Q65+'AD11'!Q65+'AD12'!Q65+'AD13'!Q65</f>
        <v>545392.89999999851</v>
      </c>
      <c r="R65" s="81">
        <f>'AD8 Stat'!R65+'AD9'!R65+'AD10'!R65+'AD11'!R65+'AD12'!R65+'AD13'!R65</f>
        <v>2181571.5999999968</v>
      </c>
      <c r="S65" s="81">
        <f>'AD8 Stat'!S65+'AD9'!S65+'AD10'!S65+'AD11'!S65+'AD12'!S65+'AD13'!S65</f>
        <v>0</v>
      </c>
      <c r="T65" s="81">
        <f>'AD8 Stat'!T65+'AD9'!T65+'AD10'!T65+'AD11'!T65+'AD12'!T65+'AD13'!T65</f>
        <v>0</v>
      </c>
      <c r="U65" s="81">
        <f>'AD8 Stat'!U65+'AD9'!U65+'AD10'!U65+'AD11'!U65+'AD12'!U65+'AD13'!U65</f>
        <v>0</v>
      </c>
      <c r="V65" s="81">
        <f>'AD8 Stat'!V65+'AD9'!V65+'AD10'!V65+'AD11'!V65+'AD12'!V65+'AD13'!V65</f>
        <v>2181571.5999999968</v>
      </c>
      <c r="W65" s="81">
        <f>'AD8 Stat'!W65+'AD9'!W65+'AD10'!W65+'AD11'!W65+'AD12'!W65+'AD13'!W65</f>
        <v>0</v>
      </c>
      <c r="X65" s="17"/>
    </row>
    <row r="66" spans="1:24">
      <c r="A66" s="6">
        <f t="shared" si="6"/>
        <v>2003</v>
      </c>
      <c r="B66" s="81">
        <f>'AD8 Stat'!B66+'AD9'!B66+'AD10'!B66+'AD11'!B66+'AD12'!B66+'AD13'!B66</f>
        <v>1330029.51</v>
      </c>
      <c r="C66" s="81">
        <f>'AD8 Stat'!C66+'AD9'!C66+'AD10'!C66+'AD11'!C66+'AD12'!C66+'AD13'!C66</f>
        <v>1330029.5099999993</v>
      </c>
      <c r="D66" s="81">
        <f>'AD8 Stat'!D66+'AD9'!D66+'AD10'!D66+'AD11'!D66+'AD12'!D66+'AD13'!D66</f>
        <v>1330029.51</v>
      </c>
      <c r="E66" s="81">
        <f>'AD8 Stat'!E66+'AD9'!E66+'AD10'!E66+'AD11'!E66+'AD12'!E66+'AD13'!E66</f>
        <v>1330029.51</v>
      </c>
      <c r="F66" s="81">
        <f>'AD8 Stat'!F66+'AD9'!F66+'AD10'!F66+'AD11'!F66+'AD12'!F66+'AD13'!F66</f>
        <v>-3.92901711165905E-10</v>
      </c>
      <c r="G66" s="81">
        <f>'AD8 Stat'!G66+'AD9'!G66+'AD10'!G66+'AD11'!G66+'AD12'!G66+'AD13'!G66</f>
        <v>3990088.5299999989</v>
      </c>
      <c r="H66" s="81">
        <f>'AD8 Stat'!H66+'AD9'!H66+'AD10'!H66+'AD11'!H66+'AD12'!H66+'AD13'!H66</f>
        <v>5320118.0399999982</v>
      </c>
      <c r="I66" s="81">
        <f>'AD8 Stat'!I66+'AD9'!I66+'AD10'!I66+'AD11'!I66+'AD12'!I66+'AD13'!I66</f>
        <v>2660059.0199999991</v>
      </c>
      <c r="J66" s="81">
        <f>'AD8 Stat'!J66+'AD9'!J66+'AD10'!J66+'AD11'!J66+'AD12'!J66+'AD13'!J66</f>
        <v>3990088.5299999989</v>
      </c>
      <c r="K66" s="81">
        <f>'AD8 Stat'!K66+'AD9'!K66+'AD10'!K66+'AD11'!K66+'AD12'!K66+'AD13'!K66</f>
        <v>1330029.51</v>
      </c>
      <c r="L66" s="81">
        <f>'AD8 Stat'!L66+'AD9'!L66+'AD10'!L66+'AD11'!L66+'AD12'!L66+'AD13'!L66</f>
        <v>1330029.5099999995</v>
      </c>
      <c r="M66" s="81">
        <f>'AD8 Stat'!M66+'AD9'!M66+'AD10'!M66+'AD11'!M66+'AD12'!M66+'AD13'!M66</f>
        <v>0</v>
      </c>
      <c r="N66" s="81">
        <f>'AD8 Stat'!N66+'AD9'!N66+'AD10'!N66+'AD11'!N66+'AD12'!N66+'AD13'!N66</f>
        <v>0</v>
      </c>
      <c r="O66" s="81">
        <f>'AD8 Stat'!O66+'AD9'!O66+'AD10'!O66+'AD11'!O66+'AD12'!O66+'AD13'!O66</f>
        <v>0</v>
      </c>
      <c r="P66" s="81">
        <f>'AD8 Stat'!P66+'AD9'!P66+'AD10'!P66+'AD11'!P66+'AD12'!P66+'AD13'!P66</f>
        <v>3990088.5299999989</v>
      </c>
      <c r="Q66" s="81">
        <f>'AD8 Stat'!Q66+'AD9'!Q66+'AD10'!Q66+'AD11'!Q66+'AD12'!Q66+'AD13'!Q66</f>
        <v>1330029.5099999995</v>
      </c>
      <c r="R66" s="81">
        <f>'AD8 Stat'!R66+'AD9'!R66+'AD10'!R66+'AD11'!R66+'AD12'!R66+'AD13'!R66</f>
        <v>5320118.0399999982</v>
      </c>
      <c r="S66" s="81">
        <f>'AD8 Stat'!S66+'AD9'!S66+'AD10'!S66+'AD11'!S66+'AD12'!S66+'AD13'!S66</f>
        <v>0</v>
      </c>
      <c r="T66" s="81">
        <f>'AD8 Stat'!T66+'AD9'!T66+'AD10'!T66+'AD11'!T66+'AD12'!T66+'AD13'!T66</f>
        <v>0</v>
      </c>
      <c r="U66" s="81">
        <f>'AD8 Stat'!U66+'AD9'!U66+'AD10'!U66+'AD11'!U66+'AD12'!U66+'AD13'!U66</f>
        <v>0</v>
      </c>
      <c r="V66" s="81">
        <f>'AD8 Stat'!V66+'AD9'!V66+'AD10'!V66+'AD11'!V66+'AD12'!V66+'AD13'!V66</f>
        <v>5320118.0399999982</v>
      </c>
      <c r="W66" s="81">
        <f>'AD8 Stat'!W66+'AD9'!W66+'AD10'!W66+'AD11'!W66+'AD12'!W66+'AD13'!W66</f>
        <v>0</v>
      </c>
      <c r="X66" s="17"/>
    </row>
    <row r="67" spans="1:24">
      <c r="A67" s="6">
        <f t="shared" si="6"/>
        <v>2004</v>
      </c>
      <c r="B67" s="81">
        <f>'AD8 Stat'!B67+'AD9'!B67+'AD10'!B67+'AD11'!B67+'AD12'!B67+'AD13'!B67</f>
        <v>0</v>
      </c>
      <c r="C67" s="81">
        <f>'AD8 Stat'!C67+'AD9'!C67+'AD10'!C67+'AD11'!C67+'AD12'!C67+'AD13'!C67</f>
        <v>0</v>
      </c>
      <c r="D67" s="81">
        <f>'AD8 Stat'!D67+'AD9'!D67+'AD10'!D67+'AD11'!D67+'AD12'!D67+'AD13'!D67</f>
        <v>0</v>
      </c>
      <c r="E67" s="81">
        <f>'AD8 Stat'!E67+'AD9'!E67+'AD10'!E67+'AD11'!E67+'AD12'!E67+'AD13'!E67</f>
        <v>0</v>
      </c>
      <c r="F67" s="81">
        <f>'AD8 Stat'!F67+'AD9'!F67+'AD10'!F67+'AD11'!F67+'AD12'!F67+'AD13'!F67</f>
        <v>0</v>
      </c>
      <c r="G67" s="81">
        <f>'AD8 Stat'!G67+'AD9'!G67+'AD10'!G67+'AD11'!G67+'AD12'!G67+'AD13'!G67</f>
        <v>0</v>
      </c>
      <c r="H67" s="81">
        <f>'AD8 Stat'!H67+'AD9'!H67+'AD10'!H67+'AD11'!H67+'AD12'!H67+'AD13'!H67</f>
        <v>0</v>
      </c>
      <c r="I67" s="81">
        <f>'AD8 Stat'!I67+'AD9'!I67+'AD10'!I67+'AD11'!I67+'AD12'!I67+'AD13'!I67</f>
        <v>0</v>
      </c>
      <c r="J67" s="81">
        <f>'AD8 Stat'!J67+'AD9'!J67+'AD10'!J67+'AD11'!J67+'AD12'!J67+'AD13'!J67</f>
        <v>0</v>
      </c>
      <c r="K67" s="81">
        <f>'AD8 Stat'!K67+'AD9'!K67+'AD10'!K67+'AD11'!K67+'AD12'!K67+'AD13'!K67</f>
        <v>0</v>
      </c>
      <c r="L67" s="81">
        <f>'AD8 Stat'!L67+'AD9'!L67+'AD10'!L67+'AD11'!L67+'AD12'!L67+'AD13'!L67</f>
        <v>0</v>
      </c>
      <c r="M67" s="81">
        <f>'AD8 Stat'!M67+'AD9'!M67+'AD10'!M67+'AD11'!M67+'AD12'!M67+'AD13'!M67</f>
        <v>0</v>
      </c>
      <c r="N67" s="81">
        <f>'AD8 Stat'!N67+'AD9'!N67+'AD10'!N67+'AD11'!N67+'AD12'!N67+'AD13'!N67</f>
        <v>0</v>
      </c>
      <c r="O67" s="81">
        <f>'AD8 Stat'!O67+'AD9'!O67+'AD10'!O67+'AD11'!O67+'AD12'!O67+'AD13'!O67</f>
        <v>0</v>
      </c>
      <c r="P67" s="81">
        <f>'AD8 Stat'!P67+'AD9'!P67+'AD10'!P67+'AD11'!P67+'AD12'!P67+'AD13'!P67</f>
        <v>0</v>
      </c>
      <c r="Q67" s="81">
        <f>'AD8 Stat'!Q67+'AD9'!Q67+'AD10'!Q67+'AD11'!Q67+'AD12'!Q67+'AD13'!Q67</f>
        <v>0</v>
      </c>
      <c r="R67" s="81">
        <f>'AD8 Stat'!R67+'AD9'!R67+'AD10'!R67+'AD11'!R67+'AD12'!R67+'AD13'!R67</f>
        <v>0</v>
      </c>
      <c r="S67" s="81">
        <f>'AD8 Stat'!S67+'AD9'!S67+'AD10'!S67+'AD11'!S67+'AD12'!S67+'AD13'!S67</f>
        <v>0</v>
      </c>
      <c r="T67" s="81">
        <f>'AD8 Stat'!T67+'AD9'!T67+'AD10'!T67+'AD11'!T67+'AD12'!T67+'AD13'!T67</f>
        <v>0</v>
      </c>
      <c r="U67" s="81">
        <f>'AD8 Stat'!U67+'AD9'!U67+'AD10'!U67+'AD11'!U67+'AD12'!U67+'AD13'!U67</f>
        <v>0</v>
      </c>
      <c r="V67" s="81">
        <f>'AD8 Stat'!V67+'AD9'!V67+'AD10'!V67+'AD11'!V67+'AD12'!V67+'AD13'!V67</f>
        <v>0</v>
      </c>
      <c r="W67" s="81">
        <f>'AD8 Stat'!W67+'AD9'!W67+'AD10'!W67+'AD11'!W67+'AD12'!W67+'AD13'!W67</f>
        <v>0</v>
      </c>
      <c r="X67" s="17"/>
    </row>
    <row r="68" spans="1:24">
      <c r="A68" s="6">
        <f t="shared" si="6"/>
        <v>2005</v>
      </c>
      <c r="B68" s="81">
        <f>'AD8 Stat'!B68+'AD9'!B68+'AD10'!B68+'AD11'!B68+'AD12'!B68+'AD13'!B68</f>
        <v>733464.96</v>
      </c>
      <c r="C68" s="81">
        <f>'AD8 Stat'!C68+'AD9'!C68+'AD10'!C68+'AD11'!C68+'AD12'!C68+'AD13'!C68</f>
        <v>733464.96000000276</v>
      </c>
      <c r="D68" s="81">
        <f>'AD8 Stat'!D68+'AD9'!D68+'AD10'!D68+'AD11'!D68+'AD12'!D68+'AD13'!D68</f>
        <v>733464.96</v>
      </c>
      <c r="E68" s="81">
        <f>'AD8 Stat'!E68+'AD9'!E68+'AD10'!E68+'AD11'!E68+'AD12'!E68+'AD13'!E68</f>
        <v>733464.96</v>
      </c>
      <c r="F68" s="81">
        <f>'AD8 Stat'!F68+'AD9'!F68+'AD10'!F68+'AD11'!F68+'AD12'!F68+'AD13'!F68</f>
        <v>2.6775524020195007E-9</v>
      </c>
      <c r="G68" s="81">
        <f>'AD8 Stat'!G68+'AD9'!G68+'AD10'!G68+'AD11'!G68+'AD12'!G68+'AD13'!G68</f>
        <v>2200394.8800000027</v>
      </c>
      <c r="H68" s="81">
        <f>'AD8 Stat'!H68+'AD9'!H68+'AD10'!H68+'AD11'!H68+'AD12'!H68+'AD13'!H68</f>
        <v>2933859.8400000054</v>
      </c>
      <c r="I68" s="81">
        <f>'AD8 Stat'!I68+'AD9'!I68+'AD10'!I68+'AD11'!I68+'AD12'!I68+'AD13'!I68</f>
        <v>1466929.9200000027</v>
      </c>
      <c r="J68" s="81">
        <f>'AD8 Stat'!J68+'AD9'!J68+'AD10'!J68+'AD11'!J68+'AD12'!J68+'AD13'!J68</f>
        <v>2200394.8800000027</v>
      </c>
      <c r="K68" s="81">
        <f>'AD8 Stat'!K68+'AD9'!K68+'AD10'!K68+'AD11'!K68+'AD12'!K68+'AD13'!K68</f>
        <v>733464.96</v>
      </c>
      <c r="L68" s="81">
        <f>'AD8 Stat'!L68+'AD9'!L68+'AD10'!L68+'AD11'!L68+'AD12'!L68+'AD13'!L68</f>
        <v>733464.96000000264</v>
      </c>
      <c r="M68" s="81">
        <f>'AD8 Stat'!M68+'AD9'!M68+'AD10'!M68+'AD11'!M68+'AD12'!M68+'AD13'!M68</f>
        <v>0</v>
      </c>
      <c r="N68" s="81">
        <f>'AD8 Stat'!N68+'AD9'!N68+'AD10'!N68+'AD11'!N68+'AD12'!N68+'AD13'!N68</f>
        <v>0</v>
      </c>
      <c r="O68" s="81">
        <f>'AD8 Stat'!O68+'AD9'!O68+'AD10'!O68+'AD11'!O68+'AD12'!O68+'AD13'!O68</f>
        <v>0</v>
      </c>
      <c r="P68" s="81">
        <f>'AD8 Stat'!P68+'AD9'!P68+'AD10'!P68+'AD11'!P68+'AD12'!P68+'AD13'!P68</f>
        <v>2200394.8800000027</v>
      </c>
      <c r="Q68" s="81">
        <f>'AD8 Stat'!Q68+'AD9'!Q68+'AD10'!Q68+'AD11'!Q68+'AD12'!Q68+'AD13'!Q68</f>
        <v>733464.96000000264</v>
      </c>
      <c r="R68" s="81">
        <f>'AD8 Stat'!R68+'AD9'!R68+'AD10'!R68+'AD11'!R68+'AD12'!R68+'AD13'!R68</f>
        <v>2933859.8400000054</v>
      </c>
      <c r="S68" s="81">
        <f>'AD8 Stat'!S68+'AD9'!S68+'AD10'!S68+'AD11'!S68+'AD12'!S68+'AD13'!S68</f>
        <v>0</v>
      </c>
      <c r="T68" s="81">
        <f>'AD8 Stat'!T68+'AD9'!T68+'AD10'!T68+'AD11'!T68+'AD12'!T68+'AD13'!T68</f>
        <v>0</v>
      </c>
      <c r="U68" s="81">
        <f>'AD8 Stat'!U68+'AD9'!U68+'AD10'!U68+'AD11'!U68+'AD12'!U68+'AD13'!U68</f>
        <v>0</v>
      </c>
      <c r="V68" s="81">
        <f>'AD8 Stat'!V68+'AD9'!V68+'AD10'!V68+'AD11'!V68+'AD12'!V68+'AD13'!V68</f>
        <v>2933859.8400000054</v>
      </c>
      <c r="W68" s="81">
        <f>'AD8 Stat'!W68+'AD9'!W68+'AD10'!W68+'AD11'!W68+'AD12'!W68+'AD13'!W68</f>
        <v>0</v>
      </c>
      <c r="X68" s="17"/>
    </row>
    <row r="69" spans="1:24">
      <c r="A69" s="6">
        <f t="shared" si="6"/>
        <v>2006</v>
      </c>
      <c r="B69" s="81">
        <f>'AD8 Stat'!B69+'AD9'!B69+'AD10'!B69+'AD11'!B69+'AD12'!B69+'AD13'!B69</f>
        <v>823895.11</v>
      </c>
      <c r="C69" s="81">
        <f>'AD8 Stat'!C69+'AD9'!C69+'AD10'!C69+'AD11'!C69+'AD12'!C69+'AD13'!C69</f>
        <v>823895.1099999994</v>
      </c>
      <c r="D69" s="81">
        <f>'AD8 Stat'!D69+'AD9'!D69+'AD10'!D69+'AD11'!D69+'AD12'!D69+'AD13'!D69</f>
        <v>823895.11</v>
      </c>
      <c r="E69" s="81">
        <f>'AD8 Stat'!E69+'AD9'!E69+'AD10'!E69+'AD11'!E69+'AD12'!E69+'AD13'!E69</f>
        <v>823895.11</v>
      </c>
      <c r="F69" s="81">
        <f>'AD8 Stat'!F69+'AD9'!F69+'AD10'!F69+'AD11'!F69+'AD12'!F69+'AD13'!F69</f>
        <v>0</v>
      </c>
      <c r="G69" s="81">
        <f>'AD8 Stat'!G69+'AD9'!G69+'AD10'!G69+'AD11'!G69+'AD12'!G69+'AD13'!G69</f>
        <v>2471685.3299999991</v>
      </c>
      <c r="H69" s="81">
        <f>'AD8 Stat'!H69+'AD9'!H69+'AD10'!H69+'AD11'!H69+'AD12'!H69+'AD13'!H69</f>
        <v>3295580.439999999</v>
      </c>
      <c r="I69" s="81">
        <f>'AD8 Stat'!I69+'AD9'!I69+'AD10'!I69+'AD11'!I69+'AD12'!I69+'AD13'!I69</f>
        <v>1647790.2199999993</v>
      </c>
      <c r="J69" s="81">
        <f>'AD8 Stat'!J69+'AD9'!J69+'AD10'!J69+'AD11'!J69+'AD12'!J69+'AD13'!J69</f>
        <v>2471685.3299999991</v>
      </c>
      <c r="K69" s="81">
        <f>'AD8 Stat'!K69+'AD9'!K69+'AD10'!K69+'AD11'!K69+'AD12'!K69+'AD13'!K69</f>
        <v>823895.11</v>
      </c>
      <c r="L69" s="81">
        <f>'AD8 Stat'!L69+'AD9'!L69+'AD10'!L69+'AD11'!L69+'AD12'!L69+'AD13'!L69</f>
        <v>823895.11</v>
      </c>
      <c r="M69" s="81">
        <f>'AD8 Stat'!M69+'AD9'!M69+'AD10'!M69+'AD11'!M69+'AD12'!M69+'AD13'!M69</f>
        <v>0</v>
      </c>
      <c r="N69" s="81">
        <f>'AD8 Stat'!N69+'AD9'!N69+'AD10'!N69+'AD11'!N69+'AD12'!N69+'AD13'!N69</f>
        <v>0</v>
      </c>
      <c r="O69" s="81">
        <f>'AD8 Stat'!O69+'AD9'!O69+'AD10'!O69+'AD11'!O69+'AD12'!O69+'AD13'!O69</f>
        <v>0</v>
      </c>
      <c r="P69" s="81">
        <f>'AD8 Stat'!P69+'AD9'!P69+'AD10'!P69+'AD11'!P69+'AD12'!P69+'AD13'!P69</f>
        <v>2471685.3299999991</v>
      </c>
      <c r="Q69" s="81">
        <f>'AD8 Stat'!Q69+'AD9'!Q69+'AD10'!Q69+'AD11'!Q69+'AD12'!Q69+'AD13'!Q69</f>
        <v>823895.11</v>
      </c>
      <c r="R69" s="81">
        <f>'AD8 Stat'!R69+'AD9'!R69+'AD10'!R69+'AD11'!R69+'AD12'!R69+'AD13'!R69</f>
        <v>3295580.439999999</v>
      </c>
      <c r="S69" s="81">
        <f>'AD8 Stat'!S69+'AD9'!S69+'AD10'!S69+'AD11'!S69+'AD12'!S69+'AD13'!S69</f>
        <v>0</v>
      </c>
      <c r="T69" s="81">
        <f>'AD8 Stat'!T69+'AD9'!T69+'AD10'!T69+'AD11'!T69+'AD12'!T69+'AD13'!T69</f>
        <v>0</v>
      </c>
      <c r="U69" s="81">
        <f>'AD8 Stat'!U69+'AD9'!U69+'AD10'!U69+'AD11'!U69+'AD12'!U69+'AD13'!U69</f>
        <v>0</v>
      </c>
      <c r="V69" s="81">
        <f>'AD8 Stat'!V69+'AD9'!V69+'AD10'!V69+'AD11'!V69+'AD12'!V69+'AD13'!V69</f>
        <v>3295580.439999999</v>
      </c>
      <c r="W69" s="81">
        <f>'AD8 Stat'!W69+'AD9'!W69+'AD10'!W69+'AD11'!W69+'AD12'!W69+'AD13'!W69</f>
        <v>0</v>
      </c>
      <c r="X69" s="17"/>
    </row>
    <row r="70" spans="1:24">
      <c r="A70" s="6">
        <f t="shared" si="6"/>
        <v>2007</v>
      </c>
      <c r="B70" s="81">
        <f>'AD8 Stat'!B70+'AD9'!B70+'AD10'!B70+'AD11'!B70+'AD12'!B70+'AD13'!B70</f>
        <v>1716687.82</v>
      </c>
      <c r="C70" s="81">
        <f>'AD8 Stat'!C70+'AD9'!C70+'AD10'!C70+'AD11'!C70+'AD12'!C70+'AD13'!C70</f>
        <v>1716687.8200000003</v>
      </c>
      <c r="D70" s="81">
        <f>'AD8 Stat'!D70+'AD9'!D70+'AD10'!D70+'AD11'!D70+'AD12'!D70+'AD13'!D70</f>
        <v>1716687.82</v>
      </c>
      <c r="E70" s="81">
        <f>'AD8 Stat'!E70+'AD9'!E70+'AD10'!E70+'AD11'!E70+'AD12'!E70+'AD13'!E70</f>
        <v>1716687.82</v>
      </c>
      <c r="F70" s="81">
        <f>'AD8 Stat'!F70+'AD9'!F70+'AD10'!F70+'AD11'!F70+'AD12'!F70+'AD13'!F70</f>
        <v>0</v>
      </c>
      <c r="G70" s="81">
        <f>'AD8 Stat'!G70+'AD9'!G70+'AD10'!G70+'AD11'!G70+'AD12'!G70+'AD13'!G70</f>
        <v>5150063.4600000009</v>
      </c>
      <c r="H70" s="81">
        <f>'AD8 Stat'!H70+'AD9'!H70+'AD10'!H70+'AD11'!H70+'AD12'!H70+'AD13'!H70</f>
        <v>6866751.2800000012</v>
      </c>
      <c r="I70" s="81">
        <f>'AD8 Stat'!I70+'AD9'!I70+'AD10'!I70+'AD11'!I70+'AD12'!I70+'AD13'!I70</f>
        <v>3433375.6400000006</v>
      </c>
      <c r="J70" s="81">
        <f>'AD8 Stat'!J70+'AD9'!J70+'AD10'!J70+'AD11'!J70+'AD12'!J70+'AD13'!J70</f>
        <v>5150063.4600000009</v>
      </c>
      <c r="K70" s="81">
        <f>'AD8 Stat'!K70+'AD9'!K70+'AD10'!K70+'AD11'!K70+'AD12'!K70+'AD13'!K70</f>
        <v>1716687.82</v>
      </c>
      <c r="L70" s="81">
        <f>'AD8 Stat'!L70+'AD9'!L70+'AD10'!L70+'AD11'!L70+'AD12'!L70+'AD13'!L70</f>
        <v>1716687.82</v>
      </c>
      <c r="M70" s="81">
        <f>'AD8 Stat'!M70+'AD9'!M70+'AD10'!M70+'AD11'!M70+'AD12'!M70+'AD13'!M70</f>
        <v>0</v>
      </c>
      <c r="N70" s="81">
        <f>'AD8 Stat'!N70+'AD9'!N70+'AD10'!N70+'AD11'!N70+'AD12'!N70+'AD13'!N70</f>
        <v>0</v>
      </c>
      <c r="O70" s="81">
        <f>'AD8 Stat'!O70+'AD9'!O70+'AD10'!O70+'AD11'!O70+'AD12'!O70+'AD13'!O70</f>
        <v>0</v>
      </c>
      <c r="P70" s="81">
        <f>'AD8 Stat'!P70+'AD9'!P70+'AD10'!P70+'AD11'!P70+'AD12'!P70+'AD13'!P70</f>
        <v>5150063.4600000009</v>
      </c>
      <c r="Q70" s="81">
        <f>'AD8 Stat'!Q70+'AD9'!Q70+'AD10'!Q70+'AD11'!Q70+'AD12'!Q70+'AD13'!Q70</f>
        <v>1716687.82</v>
      </c>
      <c r="R70" s="81">
        <f>'AD8 Stat'!R70+'AD9'!R70+'AD10'!R70+'AD11'!R70+'AD12'!R70+'AD13'!R70</f>
        <v>6866751.2800000012</v>
      </c>
      <c r="S70" s="81">
        <f>'AD8 Stat'!S70+'AD9'!S70+'AD10'!S70+'AD11'!S70+'AD12'!S70+'AD13'!S70</f>
        <v>0</v>
      </c>
      <c r="T70" s="81">
        <f>'AD8 Stat'!T70+'AD9'!T70+'AD10'!T70+'AD11'!T70+'AD12'!T70+'AD13'!T70</f>
        <v>0</v>
      </c>
      <c r="U70" s="81">
        <f>'AD8 Stat'!U70+'AD9'!U70+'AD10'!U70+'AD11'!U70+'AD12'!U70+'AD13'!U70</f>
        <v>0</v>
      </c>
      <c r="V70" s="81">
        <f>'AD8 Stat'!V70+'AD9'!V70+'AD10'!V70+'AD11'!V70+'AD12'!V70+'AD13'!V70</f>
        <v>6866751.2800000012</v>
      </c>
      <c r="W70" s="81">
        <f>'AD8 Stat'!W70+'AD9'!W70+'AD10'!W70+'AD11'!W70+'AD12'!W70+'AD13'!W70</f>
        <v>0</v>
      </c>
      <c r="X70" s="17"/>
    </row>
    <row r="71" spans="1:24">
      <c r="A71" s="6">
        <f t="shared" si="6"/>
        <v>2008</v>
      </c>
      <c r="B71" s="81">
        <f>'AD8 Stat'!B71+'AD9'!B71+'AD10'!B71+'AD11'!B71+'AD12'!B71+'AD13'!B71</f>
        <v>2126900.69</v>
      </c>
      <c r="C71" s="81">
        <f>'AD8 Stat'!C71+'AD9'!C71+'AD10'!C71+'AD11'!C71+'AD12'!C71+'AD13'!C71</f>
        <v>2126900.6900000013</v>
      </c>
      <c r="D71" s="81">
        <f>'AD8 Stat'!D71+'AD9'!D71+'AD10'!D71+'AD11'!D71+'AD12'!D71+'AD13'!D71</f>
        <v>2126900.69</v>
      </c>
      <c r="E71" s="81">
        <f>'AD8 Stat'!E71+'AD9'!E71+'AD10'!E71+'AD11'!E71+'AD12'!E71+'AD13'!E71</f>
        <v>2126900.69</v>
      </c>
      <c r="F71" s="81">
        <f>'AD8 Stat'!F71+'AD9'!F71+'AD10'!F71+'AD11'!F71+'AD12'!F71+'AD13'!F71</f>
        <v>0</v>
      </c>
      <c r="G71" s="81">
        <f>'AD8 Stat'!G71+'AD9'!G71+'AD10'!G71+'AD11'!G71+'AD12'!G71+'AD13'!G71</f>
        <v>6380702.0700000003</v>
      </c>
      <c r="H71" s="81">
        <f>'AD8 Stat'!H71+'AD9'!H71+'AD10'!H71+'AD11'!H71+'AD12'!H71+'AD13'!H71</f>
        <v>8507602.7599999998</v>
      </c>
      <c r="I71" s="81">
        <f>'AD8 Stat'!I71+'AD9'!I71+'AD10'!I71+'AD11'!I71+'AD12'!I71+'AD13'!I71</f>
        <v>4253801.3800000008</v>
      </c>
      <c r="J71" s="81">
        <f>'AD8 Stat'!J71+'AD9'!J71+'AD10'!J71+'AD11'!J71+'AD12'!J71+'AD13'!J71</f>
        <v>6380702.0700000003</v>
      </c>
      <c r="K71" s="81">
        <f>'AD8 Stat'!K71+'AD9'!K71+'AD10'!K71+'AD11'!K71+'AD12'!K71+'AD13'!K71</f>
        <v>2126900.69</v>
      </c>
      <c r="L71" s="81">
        <f>'AD8 Stat'!L71+'AD9'!L71+'AD10'!L71+'AD11'!L71+'AD12'!L71+'AD13'!L71</f>
        <v>2126900.69</v>
      </c>
      <c r="M71" s="81">
        <f>'AD8 Stat'!M71+'AD9'!M71+'AD10'!M71+'AD11'!M71+'AD12'!M71+'AD13'!M71</f>
        <v>0</v>
      </c>
      <c r="N71" s="81">
        <f>'AD8 Stat'!N71+'AD9'!N71+'AD10'!N71+'AD11'!N71+'AD12'!N71+'AD13'!N71</f>
        <v>0</v>
      </c>
      <c r="O71" s="81">
        <f>'AD8 Stat'!O71+'AD9'!O71+'AD10'!O71+'AD11'!O71+'AD12'!O71+'AD13'!O71</f>
        <v>0</v>
      </c>
      <c r="P71" s="81">
        <f>'AD8 Stat'!P71+'AD9'!P71+'AD10'!P71+'AD11'!P71+'AD12'!P71+'AD13'!P71</f>
        <v>6380702.0700000003</v>
      </c>
      <c r="Q71" s="81">
        <f>'AD8 Stat'!Q71+'AD9'!Q71+'AD10'!Q71+'AD11'!Q71+'AD12'!Q71+'AD13'!Q71</f>
        <v>2126900.69</v>
      </c>
      <c r="R71" s="81">
        <f>'AD8 Stat'!R71+'AD9'!R71+'AD10'!R71+'AD11'!R71+'AD12'!R71+'AD13'!R71</f>
        <v>8507602.7599999998</v>
      </c>
      <c r="S71" s="81">
        <f>'AD8 Stat'!S71+'AD9'!S71+'AD10'!S71+'AD11'!S71+'AD12'!S71+'AD13'!S71</f>
        <v>0</v>
      </c>
      <c r="T71" s="81">
        <f>'AD8 Stat'!T71+'AD9'!T71+'AD10'!T71+'AD11'!T71+'AD12'!T71+'AD13'!T71</f>
        <v>0</v>
      </c>
      <c r="U71" s="81">
        <f>'AD8 Stat'!U71+'AD9'!U71+'AD10'!U71+'AD11'!U71+'AD12'!U71+'AD13'!U71</f>
        <v>0</v>
      </c>
      <c r="V71" s="81">
        <f>'AD8 Stat'!V71+'AD9'!V71+'AD10'!V71+'AD11'!V71+'AD12'!V71+'AD13'!V71</f>
        <v>8507602.7599999998</v>
      </c>
      <c r="W71" s="81">
        <f>'AD8 Stat'!W71+'AD9'!W71+'AD10'!W71+'AD11'!W71+'AD12'!W71+'AD13'!W71</f>
        <v>0</v>
      </c>
      <c r="X71" s="17"/>
    </row>
    <row r="72" spans="1:24">
      <c r="A72" s="6">
        <f t="shared" si="6"/>
        <v>2009</v>
      </c>
      <c r="B72" s="81">
        <f>'AD8 Stat'!B72+'AD9'!B72+'AD10'!B72+'AD11'!B72+'AD12'!B72+'AD13'!B72</f>
        <v>2235848.35</v>
      </c>
      <c r="C72" s="81">
        <f>'AD8 Stat'!C72+'AD9'!C72+'AD10'!C72+'AD11'!C72+'AD12'!C72+'AD13'!C72</f>
        <v>2235848.3499999978</v>
      </c>
      <c r="D72" s="81">
        <f>'AD8 Stat'!D72+'AD9'!D72+'AD10'!D72+'AD11'!D72+'AD12'!D72+'AD13'!D72</f>
        <v>2235848.35</v>
      </c>
      <c r="E72" s="81">
        <f>'AD8 Stat'!E72+'AD9'!E72+'AD10'!E72+'AD11'!E72+'AD12'!E72+'AD13'!E72</f>
        <v>2235848.35</v>
      </c>
      <c r="F72" s="81">
        <f>'AD8 Stat'!F72+'AD9'!F72+'AD10'!F72+'AD11'!F72+'AD12'!F72+'AD13'!F72</f>
        <v>0</v>
      </c>
      <c r="G72" s="81">
        <f>'AD8 Stat'!G72+'AD9'!G72+'AD10'!G72+'AD11'!G72+'AD12'!G72+'AD13'!G72</f>
        <v>6707545.049999997</v>
      </c>
      <c r="H72" s="81">
        <f>'AD8 Stat'!H72+'AD9'!H72+'AD10'!H72+'AD11'!H72+'AD12'!H72+'AD13'!H72</f>
        <v>8943393.3999999966</v>
      </c>
      <c r="I72" s="81">
        <f>'AD8 Stat'!I72+'AD9'!I72+'AD10'!I72+'AD11'!I72+'AD12'!I72+'AD13'!I72</f>
        <v>4471696.6999999974</v>
      </c>
      <c r="J72" s="81">
        <f>'AD8 Stat'!J72+'AD9'!J72+'AD10'!J72+'AD11'!J72+'AD12'!J72+'AD13'!J72</f>
        <v>6707545.049999997</v>
      </c>
      <c r="K72" s="81">
        <f>'AD8 Stat'!K72+'AD9'!K72+'AD10'!K72+'AD11'!K72+'AD12'!K72+'AD13'!K72</f>
        <v>2235848.35</v>
      </c>
      <c r="L72" s="81">
        <f>'AD8 Stat'!L72+'AD9'!L72+'AD10'!L72+'AD11'!L72+'AD12'!L72+'AD13'!L72</f>
        <v>2235848.35</v>
      </c>
      <c r="M72" s="81">
        <f>'AD8 Stat'!M72+'AD9'!M72+'AD10'!M72+'AD11'!M72+'AD12'!M72+'AD13'!M72</f>
        <v>0</v>
      </c>
      <c r="N72" s="81">
        <f>'AD8 Stat'!N72+'AD9'!N72+'AD10'!N72+'AD11'!N72+'AD12'!N72+'AD13'!N72</f>
        <v>0</v>
      </c>
      <c r="O72" s="81">
        <f>'AD8 Stat'!O72+'AD9'!O72+'AD10'!O72+'AD11'!O72+'AD12'!O72+'AD13'!O72</f>
        <v>0</v>
      </c>
      <c r="P72" s="81">
        <f>'AD8 Stat'!P72+'AD9'!P72+'AD10'!P72+'AD11'!P72+'AD12'!P72+'AD13'!P72</f>
        <v>6707545.049999997</v>
      </c>
      <c r="Q72" s="81">
        <f>'AD8 Stat'!Q72+'AD9'!Q72+'AD10'!Q72+'AD11'!Q72+'AD12'!Q72+'AD13'!Q72</f>
        <v>2235848.35</v>
      </c>
      <c r="R72" s="81">
        <f>'AD8 Stat'!R72+'AD9'!R72+'AD10'!R72+'AD11'!R72+'AD12'!R72+'AD13'!R72</f>
        <v>8943393.3999999966</v>
      </c>
      <c r="S72" s="81">
        <f>'AD8 Stat'!S72+'AD9'!S72+'AD10'!S72+'AD11'!S72+'AD12'!S72+'AD13'!S72</f>
        <v>0</v>
      </c>
      <c r="T72" s="81">
        <f>'AD8 Stat'!T72+'AD9'!T72+'AD10'!T72+'AD11'!T72+'AD12'!T72+'AD13'!T72</f>
        <v>0</v>
      </c>
      <c r="U72" s="81">
        <f>'AD8 Stat'!U72+'AD9'!U72+'AD10'!U72+'AD11'!U72+'AD12'!U72+'AD13'!U72</f>
        <v>0</v>
      </c>
      <c r="V72" s="81">
        <f>'AD8 Stat'!V72+'AD9'!V72+'AD10'!V72+'AD11'!V72+'AD12'!V72+'AD13'!V72</f>
        <v>8943393.3999999966</v>
      </c>
      <c r="W72" s="81">
        <f>'AD8 Stat'!W72+'AD9'!W72+'AD10'!W72+'AD11'!W72+'AD12'!W72+'AD13'!W72</f>
        <v>0</v>
      </c>
      <c r="X72" s="17"/>
    </row>
    <row r="73" spans="1:24">
      <c r="A73" s="6">
        <f t="shared" si="6"/>
        <v>2010</v>
      </c>
      <c r="B73" s="81">
        <f>'AD8 Stat'!B73+'AD9'!B73+'AD10'!B73+'AD11'!B73+'AD12'!B73+'AD13'!B73</f>
        <v>5992753.5499999998</v>
      </c>
      <c r="C73" s="81">
        <f>'AD8 Stat'!C73+'AD9'!C73+'AD10'!C73+'AD11'!C73+'AD12'!C73+'AD13'!C73</f>
        <v>5992753.5500000007</v>
      </c>
      <c r="D73" s="81">
        <f>'AD8 Stat'!D73+'AD9'!D73+'AD10'!D73+'AD11'!D73+'AD12'!D73+'AD13'!D73</f>
        <v>5992753.5499999998</v>
      </c>
      <c r="E73" s="81">
        <f>'AD8 Stat'!E73+'AD9'!E73+'AD10'!E73+'AD11'!E73+'AD12'!E73+'AD13'!E73</f>
        <v>5992753.5499999998</v>
      </c>
      <c r="F73" s="81">
        <f>'AD8 Stat'!F73+'AD9'!F73+'AD10'!F73+'AD11'!F73+'AD12'!F73+'AD13'!F73</f>
        <v>0</v>
      </c>
      <c r="G73" s="81">
        <f>'AD8 Stat'!G73+'AD9'!G73+'AD10'!G73+'AD11'!G73+'AD12'!G73+'AD13'!G73</f>
        <v>17978260.650000002</v>
      </c>
      <c r="H73" s="81">
        <f>'AD8 Stat'!H73+'AD9'!H73+'AD10'!H73+'AD11'!H73+'AD12'!H73+'AD13'!H73</f>
        <v>23971014.200000003</v>
      </c>
      <c r="I73" s="81">
        <f>'AD8 Stat'!I73+'AD9'!I73+'AD10'!I73+'AD11'!I73+'AD12'!I73+'AD13'!I73</f>
        <v>11985507.100000001</v>
      </c>
      <c r="J73" s="81">
        <f>'AD8 Stat'!J73+'AD9'!J73+'AD10'!J73+'AD11'!J73+'AD12'!J73+'AD13'!J73</f>
        <v>17978260.650000002</v>
      </c>
      <c r="K73" s="81">
        <f>'AD8 Stat'!K73+'AD9'!K73+'AD10'!K73+'AD11'!K73+'AD12'!K73+'AD13'!K73</f>
        <v>5992753.5499999998</v>
      </c>
      <c r="L73" s="81">
        <f>'AD8 Stat'!L73+'AD9'!L73+'AD10'!L73+'AD11'!L73+'AD12'!L73+'AD13'!L73</f>
        <v>5992753.5499999998</v>
      </c>
      <c r="M73" s="81">
        <f>'AD8 Stat'!M73+'AD9'!M73+'AD10'!M73+'AD11'!M73+'AD12'!M73+'AD13'!M73</f>
        <v>0</v>
      </c>
      <c r="N73" s="81">
        <f>'AD8 Stat'!N73+'AD9'!N73+'AD10'!N73+'AD11'!N73+'AD12'!N73+'AD13'!N73</f>
        <v>0</v>
      </c>
      <c r="O73" s="81">
        <f>'AD8 Stat'!O73+'AD9'!O73+'AD10'!O73+'AD11'!O73+'AD12'!O73+'AD13'!O73</f>
        <v>0</v>
      </c>
      <c r="P73" s="81">
        <f>'AD8 Stat'!P73+'AD9'!P73+'AD10'!P73+'AD11'!P73+'AD12'!P73+'AD13'!P73</f>
        <v>17978260.650000002</v>
      </c>
      <c r="Q73" s="81">
        <f>'AD8 Stat'!Q73+'AD9'!Q73+'AD10'!Q73+'AD11'!Q73+'AD12'!Q73+'AD13'!Q73</f>
        <v>5992753.5499999998</v>
      </c>
      <c r="R73" s="81">
        <f>'AD8 Stat'!R73+'AD9'!R73+'AD10'!R73+'AD11'!R73+'AD12'!R73+'AD13'!R73</f>
        <v>23971014.200000003</v>
      </c>
      <c r="S73" s="81">
        <f>'AD8 Stat'!S73+'AD9'!S73+'AD10'!S73+'AD11'!S73+'AD12'!S73+'AD13'!S73</f>
        <v>0</v>
      </c>
      <c r="T73" s="81">
        <f>'AD8 Stat'!T73+'AD9'!T73+'AD10'!T73+'AD11'!T73+'AD12'!T73+'AD13'!T73</f>
        <v>0</v>
      </c>
      <c r="U73" s="81">
        <f>'AD8 Stat'!U73+'AD9'!U73+'AD10'!U73+'AD11'!U73+'AD12'!U73+'AD13'!U73</f>
        <v>0</v>
      </c>
      <c r="V73" s="81">
        <f>'AD8 Stat'!V73+'AD9'!V73+'AD10'!V73+'AD11'!V73+'AD12'!V73+'AD13'!V73</f>
        <v>23971014.200000003</v>
      </c>
      <c r="W73" s="81">
        <f>'AD8 Stat'!W73+'AD9'!W73+'AD10'!W73+'AD11'!W73+'AD12'!W73+'AD13'!W73</f>
        <v>0</v>
      </c>
      <c r="X73" s="17"/>
    </row>
    <row r="74" spans="1:24">
      <c r="A74" s="6">
        <f t="shared" si="6"/>
        <v>2011</v>
      </c>
      <c r="B74" s="81">
        <f>'AD8 Stat'!B74+'AD9'!B74+'AD10'!B74+'AD11'!B74+'AD12'!B74+'AD13'!B74</f>
        <v>6075393.9800000004</v>
      </c>
      <c r="C74" s="81">
        <f>'AD8 Stat'!C74+'AD9'!C74+'AD10'!C74+'AD11'!C74+'AD12'!C74+'AD13'!C74</f>
        <v>6075393.9799999986</v>
      </c>
      <c r="D74" s="81">
        <f>'AD8 Stat'!D74+'AD9'!D74+'AD10'!D74+'AD11'!D74+'AD12'!D74+'AD13'!D74</f>
        <v>6075393.9800000004</v>
      </c>
      <c r="E74" s="81">
        <f>'AD8 Stat'!E74+'AD9'!E74+'AD10'!E74+'AD11'!E74+'AD12'!E74+'AD13'!E74</f>
        <v>6075393.9800000004</v>
      </c>
      <c r="F74" s="81">
        <f>'AD8 Stat'!F74+'AD9'!F74+'AD10'!F74+'AD11'!F74+'AD12'!F74+'AD13'!F74</f>
        <v>0</v>
      </c>
      <c r="G74" s="81">
        <f>'AD8 Stat'!G74+'AD9'!G74+'AD10'!G74+'AD11'!G74+'AD12'!G74+'AD13'!G74</f>
        <v>18226181.939999998</v>
      </c>
      <c r="H74" s="81">
        <f>'AD8 Stat'!H74+'AD9'!H74+'AD10'!H74+'AD11'!H74+'AD12'!H74+'AD13'!H74</f>
        <v>24301575.919999998</v>
      </c>
      <c r="I74" s="81">
        <f>'AD8 Stat'!I74+'AD9'!I74+'AD10'!I74+'AD11'!I74+'AD12'!I74+'AD13'!I74</f>
        <v>12150787.959999999</v>
      </c>
      <c r="J74" s="81">
        <f>'AD8 Stat'!J74+'AD9'!J74+'AD10'!J74+'AD11'!J74+'AD12'!J74+'AD13'!J74</f>
        <v>18226181.939999998</v>
      </c>
      <c r="K74" s="81">
        <f>'AD8 Stat'!K74+'AD9'!K74+'AD10'!K74+'AD11'!K74+'AD12'!K74+'AD13'!K74</f>
        <v>6075393.9800000004</v>
      </c>
      <c r="L74" s="81">
        <f>'AD8 Stat'!L74+'AD9'!L74+'AD10'!L74+'AD11'!L74+'AD12'!L74+'AD13'!L74</f>
        <v>6075393.9800000004</v>
      </c>
      <c r="M74" s="81">
        <f>'AD8 Stat'!M74+'AD9'!M74+'AD10'!M74+'AD11'!M74+'AD12'!M74+'AD13'!M74</f>
        <v>0.32587378213647755</v>
      </c>
      <c r="N74" s="81">
        <f>'AD8 Stat'!N74+'AD9'!N74+'AD10'!N74+'AD11'!N74+'AD12'!N74+'AD13'!N74</f>
        <v>1.7151251691393556E-2</v>
      </c>
      <c r="O74" s="81">
        <f>'AD8 Stat'!O74+'AD9'!O74+'AD10'!O74+'AD11'!O74+'AD12'!O74+'AD13'!O74</f>
        <v>0.34302503382787108</v>
      </c>
      <c r="P74" s="81">
        <f>'AD8 Stat'!P74+'AD9'!P74+'AD10'!P74+'AD11'!P74+'AD12'!P74+'AD13'!P74</f>
        <v>18226182.265873779</v>
      </c>
      <c r="Q74" s="81">
        <f>'AD8 Stat'!Q74+'AD9'!Q74+'AD10'!Q74+'AD11'!Q74+'AD12'!Q74+'AD13'!Q74</f>
        <v>6075393.9971512519</v>
      </c>
      <c r="R74" s="81">
        <f>'AD8 Stat'!R74+'AD9'!R74+'AD10'!R74+'AD11'!R74+'AD12'!R74+'AD13'!R74</f>
        <v>24301576.26302503</v>
      </c>
      <c r="S74" s="81">
        <f>'AD8 Stat'!S74+'AD9'!S74+'AD10'!S74+'AD11'!S74+'AD12'!S74+'AD13'!S74</f>
        <v>0</v>
      </c>
      <c r="T74" s="81">
        <f>'AD8 Stat'!T74+'AD9'!T74+'AD10'!T74+'AD11'!T74+'AD12'!T74+'AD13'!T74</f>
        <v>0</v>
      </c>
      <c r="U74" s="81">
        <f>'AD8 Stat'!U74+'AD9'!U74+'AD10'!U74+'AD11'!U74+'AD12'!U74+'AD13'!U74</f>
        <v>0</v>
      </c>
      <c r="V74" s="81">
        <f>'AD8 Stat'!V74+'AD9'!V74+'AD10'!V74+'AD11'!V74+'AD12'!V74+'AD13'!V74</f>
        <v>24301576.26302503</v>
      </c>
      <c r="W74" s="81">
        <f>'AD8 Stat'!W74+'AD9'!W74+'AD10'!W74+'AD11'!W74+'AD12'!W74+'AD13'!W74</f>
        <v>6442000</v>
      </c>
      <c r="X74" s="17"/>
    </row>
    <row r="75" spans="1:24">
      <c r="A75" s="6">
        <f t="shared" si="6"/>
        <v>2012</v>
      </c>
      <c r="B75" s="81">
        <f>'AD8 Stat'!B75+'AD9'!B75+'AD10'!B75+'AD11'!B75+'AD12'!B75+'AD13'!B75</f>
        <v>1329575.07</v>
      </c>
      <c r="C75" s="81">
        <f>'AD8 Stat'!C75+'AD9'!C75+'AD10'!C75+'AD11'!C75+'AD12'!C75+'AD13'!C75</f>
        <v>1329575.0700000003</v>
      </c>
      <c r="D75" s="81">
        <f>'AD8 Stat'!D75+'AD9'!D75+'AD10'!D75+'AD11'!D75+'AD12'!D75+'AD13'!D75</f>
        <v>1329575.07</v>
      </c>
      <c r="E75" s="81">
        <f>'AD8 Stat'!E75+'AD9'!E75+'AD10'!E75+'AD11'!E75+'AD12'!E75+'AD13'!E75</f>
        <v>1329575.07</v>
      </c>
      <c r="F75" s="81">
        <f>'AD8 Stat'!F75+'AD9'!F75+'AD10'!F75+'AD11'!F75+'AD12'!F75+'AD13'!F75</f>
        <v>0</v>
      </c>
      <c r="G75" s="81">
        <f>'AD8 Stat'!G75+'AD9'!G75+'AD10'!G75+'AD11'!G75+'AD12'!G75+'AD13'!G75</f>
        <v>3988725.2100000009</v>
      </c>
      <c r="H75" s="81">
        <f>'AD8 Stat'!H75+'AD9'!H75+'AD10'!H75+'AD11'!H75+'AD12'!H75+'AD13'!H75</f>
        <v>5318300.2800000012</v>
      </c>
      <c r="I75" s="81">
        <f>'AD8 Stat'!I75+'AD9'!I75+'AD10'!I75+'AD11'!I75+'AD12'!I75+'AD13'!I75</f>
        <v>2659150.1400000006</v>
      </c>
      <c r="J75" s="81">
        <f>'AD8 Stat'!J75+'AD9'!J75+'AD10'!J75+'AD11'!J75+'AD12'!J75+'AD13'!J75</f>
        <v>3988725.2100000009</v>
      </c>
      <c r="K75" s="81">
        <f>'AD8 Stat'!K75+'AD9'!K75+'AD10'!K75+'AD11'!K75+'AD12'!K75+'AD13'!K75</f>
        <v>1329575.07</v>
      </c>
      <c r="L75" s="81">
        <f>'AD8 Stat'!L75+'AD9'!L75+'AD10'!L75+'AD11'!L75+'AD12'!L75+'AD13'!L75</f>
        <v>1329575.07</v>
      </c>
      <c r="M75" s="81">
        <f>'AD8 Stat'!M75+'AD9'!M75+'AD10'!M75+'AD11'!M75+'AD12'!M75+'AD13'!M75</f>
        <v>7063.5625905729557</v>
      </c>
      <c r="N75" s="81">
        <f>'AD8 Stat'!N75+'AD9'!N75+'AD10'!N75+'AD11'!N75+'AD12'!N75+'AD13'!N75</f>
        <v>-1178.9540478645813</v>
      </c>
      <c r="O75" s="81">
        <f>'AD8 Stat'!O75+'AD9'!O75+'AD10'!O75+'AD11'!O75+'AD12'!O75+'AD13'!O75</f>
        <v>5884.6085427083744</v>
      </c>
      <c r="P75" s="81">
        <f>'AD8 Stat'!P75+'AD9'!P75+'AD10'!P75+'AD11'!P75+'AD12'!P75+'AD13'!P75</f>
        <v>3995788.7725905734</v>
      </c>
      <c r="Q75" s="81">
        <f>'AD8 Stat'!Q75+'AD9'!Q75+'AD10'!Q75+'AD11'!Q75+'AD12'!Q75+'AD13'!Q75</f>
        <v>1328396.1159521353</v>
      </c>
      <c r="R75" s="81">
        <f>'AD8 Stat'!R75+'AD9'!R75+'AD10'!R75+'AD11'!R75+'AD12'!R75+'AD13'!R75</f>
        <v>5324184.8885427099</v>
      </c>
      <c r="S75" s="81">
        <f>'AD8 Stat'!S75+'AD9'!S75+'AD10'!S75+'AD11'!S75+'AD12'!S75+'AD13'!S75</f>
        <v>0</v>
      </c>
      <c r="T75" s="81">
        <f>'AD8 Stat'!T75+'AD9'!T75+'AD10'!T75+'AD11'!T75+'AD12'!T75+'AD13'!T75</f>
        <v>0</v>
      </c>
      <c r="U75" s="81">
        <f>'AD8 Stat'!U75+'AD9'!U75+'AD10'!U75+'AD11'!U75+'AD12'!U75+'AD13'!U75</f>
        <v>0</v>
      </c>
      <c r="V75" s="81">
        <f>'AD8 Stat'!V75+'AD9'!V75+'AD10'!V75+'AD11'!V75+'AD12'!V75+'AD13'!V75</f>
        <v>5324184.8885427099</v>
      </c>
      <c r="W75" s="81">
        <f>'AD8 Stat'!W75+'AD9'!W75+'AD10'!W75+'AD11'!W75+'AD12'!W75+'AD13'!W75</f>
        <v>5953000.0000000009</v>
      </c>
      <c r="X75" s="17"/>
    </row>
    <row r="76" spans="1:24">
      <c r="A76" s="6">
        <f t="shared" si="6"/>
        <v>2013</v>
      </c>
      <c r="B76" s="81">
        <f>'AD8 Stat'!B76+'AD9'!B76+'AD10'!B76+'AD11'!B76+'AD12'!B76+'AD13'!B76</f>
        <v>1325604.94</v>
      </c>
      <c r="C76" s="81">
        <f>'AD8 Stat'!C76+'AD9'!C76+'AD10'!C76+'AD11'!C76+'AD12'!C76+'AD13'!C76</f>
        <v>1325604.9400000013</v>
      </c>
      <c r="D76" s="81">
        <f>'AD8 Stat'!D76+'AD9'!D76+'AD10'!D76+'AD11'!D76+'AD12'!D76+'AD13'!D76</f>
        <v>1325604.94</v>
      </c>
      <c r="E76" s="81">
        <f>'AD8 Stat'!E76+'AD9'!E76+'AD10'!E76+'AD11'!E76+'AD12'!E76+'AD13'!E76</f>
        <v>1325604.94</v>
      </c>
      <c r="F76" s="81">
        <f>'AD8 Stat'!F76+'AD9'!F76+'AD10'!F76+'AD11'!F76+'AD12'!F76+'AD13'!F76</f>
        <v>0</v>
      </c>
      <c r="G76" s="81">
        <f>'AD8 Stat'!G76+'AD9'!G76+'AD10'!G76+'AD11'!G76+'AD12'!G76+'AD13'!G76</f>
        <v>3976814.8200000012</v>
      </c>
      <c r="H76" s="81">
        <f>'AD8 Stat'!H76+'AD9'!H76+'AD10'!H76+'AD11'!H76+'AD12'!H76+'AD13'!H76</f>
        <v>5302419.7600000016</v>
      </c>
      <c r="I76" s="81">
        <f>'AD8 Stat'!I76+'AD9'!I76+'AD10'!I76+'AD11'!I76+'AD12'!I76+'AD13'!I76</f>
        <v>2651209.8800000013</v>
      </c>
      <c r="J76" s="81">
        <f>'AD8 Stat'!J76+'AD9'!J76+'AD10'!J76+'AD11'!J76+'AD12'!J76+'AD13'!J76</f>
        <v>3976814.8200000012</v>
      </c>
      <c r="K76" s="81">
        <f>'AD8 Stat'!K76+'AD9'!K76+'AD10'!K76+'AD11'!K76+'AD12'!K76+'AD13'!K76</f>
        <v>1325604.94</v>
      </c>
      <c r="L76" s="81">
        <f>'AD8 Stat'!L76+'AD9'!L76+'AD10'!L76+'AD11'!L76+'AD12'!L76+'AD13'!L76</f>
        <v>1325604.94</v>
      </c>
      <c r="M76" s="81">
        <f>'AD8 Stat'!M76+'AD9'!M76+'AD10'!M76+'AD11'!M76+'AD12'!M76+'AD13'!M76</f>
        <v>-2464309.0433372119</v>
      </c>
      <c r="N76" s="81">
        <f>'AD8 Stat'!N76+'AD9'!N76+'AD10'!N76+'AD11'!N76+'AD12'!N76+'AD13'!N76</f>
        <v>-129700.47596511642</v>
      </c>
      <c r="O76" s="81">
        <f>'AD8 Stat'!O76+'AD9'!O76+'AD10'!O76+'AD11'!O76+'AD12'!O76+'AD13'!O76</f>
        <v>-2594009.5193023281</v>
      </c>
      <c r="P76" s="81">
        <f>'AD8 Stat'!P76+'AD9'!P76+'AD10'!P76+'AD11'!P76+'AD12'!P76+'AD13'!P76</f>
        <v>1512505.7766627895</v>
      </c>
      <c r="Q76" s="81">
        <f>'AD8 Stat'!Q76+'AD9'!Q76+'AD10'!Q76+'AD11'!Q76+'AD12'!Q76+'AD13'!Q76</f>
        <v>1195904.4640348835</v>
      </c>
      <c r="R76" s="81">
        <f>'AD8 Stat'!R76+'AD9'!R76+'AD10'!R76+'AD11'!R76+'AD12'!R76+'AD13'!R76</f>
        <v>2708410.2406976731</v>
      </c>
      <c r="S76" s="81">
        <f>'AD8 Stat'!S76+'AD9'!S76+'AD10'!S76+'AD11'!S76+'AD12'!S76+'AD13'!S76</f>
        <v>0</v>
      </c>
      <c r="T76" s="81">
        <f>'AD8 Stat'!T76+'AD9'!T76+'AD10'!T76+'AD11'!T76+'AD12'!T76+'AD13'!T76</f>
        <v>0</v>
      </c>
      <c r="U76" s="81">
        <f>'AD8 Stat'!U76+'AD9'!U76+'AD10'!U76+'AD11'!U76+'AD12'!U76+'AD13'!U76</f>
        <v>0</v>
      </c>
      <c r="V76" s="81">
        <f>'AD8 Stat'!V76+'AD9'!V76+'AD10'!V76+'AD11'!V76+'AD12'!V76+'AD13'!V76</f>
        <v>2708410.2406976731</v>
      </c>
      <c r="W76" s="81">
        <f>'AD8 Stat'!W76+'AD9'!W76+'AD10'!W76+'AD11'!W76+'AD12'!W76+'AD13'!W76</f>
        <v>6741999.9999999991</v>
      </c>
      <c r="X76" s="17"/>
    </row>
    <row r="77" spans="1:24">
      <c r="A77" s="6">
        <f t="shared" si="6"/>
        <v>2014</v>
      </c>
      <c r="B77" s="81">
        <f>'AD8 Stat'!B77+'AD9'!B77+'AD10'!B77+'AD11'!B77+'AD12'!B77+'AD13'!B77</f>
        <v>5401764.4299999997</v>
      </c>
      <c r="C77" s="81">
        <f>'AD8 Stat'!C77+'AD9'!C77+'AD10'!C77+'AD11'!C77+'AD12'!C77+'AD13'!C77</f>
        <v>3203978.4299999983</v>
      </c>
      <c r="D77" s="81">
        <f>'AD8 Stat'!D77+'AD9'!D77+'AD10'!D77+'AD11'!D77+'AD12'!D77+'AD13'!D77</f>
        <v>2651764.4300000002</v>
      </c>
      <c r="E77" s="81">
        <f>'AD8 Stat'!E77+'AD9'!E77+'AD10'!E77+'AD11'!E77+'AD12'!E77+'AD13'!E77</f>
        <v>3794361.7899999996</v>
      </c>
      <c r="F77" s="81">
        <f>'AD8 Stat'!F77+'AD9'!F77+'AD10'!F77+'AD11'!F77+'AD12'!F77+'AD13'!F77</f>
        <v>-442948.00000000163</v>
      </c>
      <c r="G77" s="81">
        <f>'AD8 Stat'!G77+'AD9'!G77+'AD10'!G77+'AD11'!G77+'AD12'!G77+'AD13'!G77</f>
        <v>12400104.649999999</v>
      </c>
      <c r="H77" s="81">
        <f>'AD8 Stat'!H77+'AD9'!H77+'AD10'!H77+'AD11'!H77+'AD12'!H77+'AD13'!H77</f>
        <v>14608921.079999996</v>
      </c>
      <c r="I77" s="81">
        <f>'AD8 Stat'!I77+'AD9'!I77+'AD10'!I77+'AD11'!I77+'AD12'!I77+'AD13'!I77</f>
        <v>8605742.8599999994</v>
      </c>
      <c r="J77" s="81">
        <f>'AD8 Stat'!J77+'AD9'!J77+'AD10'!J77+'AD11'!J77+'AD12'!J77+'AD13'!J77</f>
        <v>11257507.289999999</v>
      </c>
      <c r="K77" s="81">
        <f>'AD8 Stat'!K77+'AD9'!K77+'AD10'!K77+'AD11'!K77+'AD12'!K77+'AD13'!K77</f>
        <v>3794361.7899999996</v>
      </c>
      <c r="L77" s="81">
        <f>'AD8 Stat'!L77+'AD9'!L77+'AD10'!L77+'AD11'!L77+'AD12'!L77+'AD13'!L77</f>
        <v>3351413.7899999982</v>
      </c>
      <c r="M77" s="81">
        <f>'AD8 Stat'!M77+'AD9'!M77+'AD10'!M77+'AD11'!M77+'AD12'!M77+'AD13'!M77</f>
        <v>-4069732.4904471529</v>
      </c>
      <c r="N77" s="81">
        <f>'AD8 Stat'!N77+'AD9'!N77+'AD10'!N77+'AD11'!N77+'AD12'!N77+'AD13'!N77</f>
        <v>-214196.44686563965</v>
      </c>
      <c r="O77" s="81">
        <f>'AD8 Stat'!O77+'AD9'!O77+'AD10'!O77+'AD11'!O77+'AD12'!O77+'AD13'!O77</f>
        <v>-4283928.937312793</v>
      </c>
      <c r="P77" s="81">
        <f>'AD8 Stat'!P77+'AD9'!P77+'AD10'!P77+'AD11'!P77+'AD12'!P77+'AD13'!P77</f>
        <v>7187774.7995528448</v>
      </c>
      <c r="Q77" s="81">
        <f>'AD8 Stat'!Q77+'AD9'!Q77+'AD10'!Q77+'AD11'!Q77+'AD12'!Q77+'AD13'!Q77</f>
        <v>3137217.3431343585</v>
      </c>
      <c r="R77" s="81">
        <f>'AD8 Stat'!R77+'AD9'!R77+'AD10'!R77+'AD11'!R77+'AD12'!R77+'AD13'!R77</f>
        <v>10324992.142687203</v>
      </c>
      <c r="S77" s="81">
        <f>'AD8 Stat'!S77+'AD9'!S77+'AD10'!S77+'AD11'!S77+'AD12'!S77+'AD13'!S77</f>
        <v>0</v>
      </c>
      <c r="T77" s="81">
        <f>'AD8 Stat'!T77+'AD9'!T77+'AD10'!T77+'AD11'!T77+'AD12'!T77+'AD13'!T77</f>
        <v>0</v>
      </c>
      <c r="U77" s="81">
        <f>'AD8 Stat'!U77+'AD9'!U77+'AD10'!U77+'AD11'!U77+'AD12'!U77+'AD13'!U77</f>
        <v>0</v>
      </c>
      <c r="V77" s="81">
        <f>'AD8 Stat'!V77+'AD9'!V77+'AD10'!V77+'AD11'!V77+'AD12'!V77+'AD13'!V77</f>
        <v>10324992.142687203</v>
      </c>
      <c r="W77" s="81">
        <f>'AD8 Stat'!W77+'AD9'!W77+'AD10'!W77+'AD11'!W77+'AD12'!W77+'AD13'!W77</f>
        <v>5675000</v>
      </c>
      <c r="X77" s="17"/>
    </row>
    <row r="78" spans="1:24">
      <c r="A78" s="6">
        <f t="shared" si="6"/>
        <v>2015</v>
      </c>
      <c r="B78" s="81">
        <f>'AD8 Stat'!B78+'AD9'!B78+'AD10'!B78+'AD11'!B78+'AD12'!B78+'AD13'!B78</f>
        <v>0</v>
      </c>
      <c r="C78" s="81">
        <f>'AD8 Stat'!C78+'AD9'!C78+'AD10'!C78+'AD11'!C78+'AD12'!C78+'AD13'!C78</f>
        <v>220160</v>
      </c>
      <c r="D78" s="81">
        <f>'AD8 Stat'!D78+'AD9'!D78+'AD10'!D78+'AD11'!D78+'AD12'!D78+'AD13'!D78</f>
        <v>0</v>
      </c>
      <c r="E78" s="81">
        <f>'AD8 Stat'!E78+'AD9'!E78+'AD10'!E78+'AD11'!E78+'AD12'!E78+'AD13'!E78</f>
        <v>1052160</v>
      </c>
      <c r="F78" s="81">
        <f>'AD8 Stat'!F78+'AD9'!F78+'AD10'!F78+'AD11'!F78+'AD12'!F78+'AD13'!F78</f>
        <v>-832000</v>
      </c>
      <c r="G78" s="81">
        <f>'AD8 Stat'!G78+'AD9'!G78+'AD10'!G78+'AD11'!G78+'AD12'!G78+'AD13'!G78</f>
        <v>1272320</v>
      </c>
      <c r="H78" s="81">
        <f>'AD8 Stat'!H78+'AD9'!H78+'AD10'!H78+'AD11'!H78+'AD12'!H78+'AD13'!H78</f>
        <v>440320</v>
      </c>
      <c r="I78" s="81">
        <f>'AD8 Stat'!I78+'AD9'!I78+'AD10'!I78+'AD11'!I78+'AD12'!I78+'AD13'!I78</f>
        <v>220160</v>
      </c>
      <c r="J78" s="81">
        <f>'AD8 Stat'!J78+'AD9'!J78+'AD10'!J78+'AD11'!J78+'AD12'!J78+'AD13'!J78</f>
        <v>220160</v>
      </c>
      <c r="K78" s="81">
        <f>'AD8 Stat'!K78+'AD9'!K78+'AD10'!K78+'AD11'!K78+'AD12'!K78+'AD13'!K78</f>
        <v>1052160</v>
      </c>
      <c r="L78" s="81">
        <f>'AD8 Stat'!L78+'AD9'!L78+'AD10'!L78+'AD11'!L78+'AD12'!L78+'AD13'!L78</f>
        <v>220160</v>
      </c>
      <c r="M78" s="81">
        <f>'AD8 Stat'!M78+'AD9'!M78+'AD10'!M78+'AD11'!M78+'AD12'!M78+'AD13'!M78</f>
        <v>41833461.326859757</v>
      </c>
      <c r="N78" s="81">
        <f>'AD8 Stat'!N78+'AD9'!N78+'AD10'!N78+'AD11'!N78+'AD12'!N78+'AD13'!N78</f>
        <v>2201761.1224663029</v>
      </c>
      <c r="O78" s="81">
        <f>'AD8 Stat'!O78+'AD9'!O78+'AD10'!O78+'AD11'!O78+'AD12'!O78+'AD13'!O78</f>
        <v>44035222.449326061</v>
      </c>
      <c r="P78" s="81">
        <f>'AD8 Stat'!P78+'AD9'!P78+'AD10'!P78+'AD11'!P78+'AD12'!P78+'AD13'!P78</f>
        <v>42053621.326859757</v>
      </c>
      <c r="Q78" s="81">
        <f>'AD8 Stat'!Q78+'AD9'!Q78+'AD10'!Q78+'AD11'!Q78+'AD12'!Q78+'AD13'!Q78</f>
        <v>2421921.1224663029</v>
      </c>
      <c r="R78" s="81">
        <f>'AD8 Stat'!R78+'AD9'!R78+'AD10'!R78+'AD11'!R78+'AD12'!R78+'AD13'!R78</f>
        <v>44475542.449326061</v>
      </c>
      <c r="S78" s="81">
        <f>'AD8 Stat'!S78+'AD9'!S78+'AD10'!S78+'AD11'!S78+'AD12'!S78+'AD13'!S78</f>
        <v>0</v>
      </c>
      <c r="T78" s="81">
        <f>'AD8 Stat'!T78+'AD9'!T78+'AD10'!T78+'AD11'!T78+'AD12'!T78+'AD13'!T78</f>
        <v>0</v>
      </c>
      <c r="U78" s="81">
        <f>'AD8 Stat'!U78+'AD9'!U78+'AD10'!U78+'AD11'!U78+'AD12'!U78+'AD13'!U78</f>
        <v>0</v>
      </c>
      <c r="V78" s="81">
        <f>'AD8 Stat'!V78+'AD9'!V78+'AD10'!V78+'AD11'!V78+'AD12'!V78+'AD13'!V78</f>
        <v>44475542.449326061</v>
      </c>
      <c r="W78" s="81">
        <f>'AD8 Stat'!W78+'AD9'!W78+'AD10'!W78+'AD11'!W78+'AD12'!W78+'AD13'!W78</f>
        <v>4974000</v>
      </c>
      <c r="X78" s="17"/>
    </row>
    <row r="79" spans="1:24">
      <c r="A79" s="6">
        <f t="shared" si="6"/>
        <v>2016</v>
      </c>
      <c r="B79" s="81">
        <f>'AD8 Stat'!B79+'AD9'!B79+'AD10'!B79+'AD11'!B79+'AD12'!B79+'AD13'!B79</f>
        <v>1550000</v>
      </c>
      <c r="C79" s="81">
        <f>'AD8 Stat'!C79+'AD9'!C79+'AD10'!C79+'AD11'!C79+'AD12'!C79+'AD13'!C79</f>
        <v>2000000</v>
      </c>
      <c r="D79" s="81">
        <f>'AD8 Stat'!D79+'AD9'!D79+'AD10'!D79+'AD11'!D79+'AD12'!D79+'AD13'!D79</f>
        <v>500000</v>
      </c>
      <c r="E79" s="81">
        <f>'AD8 Stat'!E79+'AD9'!E79+'AD10'!E79+'AD11'!E79+'AD12'!E79+'AD13'!E79</f>
        <v>170443.22999999998</v>
      </c>
      <c r="F79" s="81">
        <f>'AD8 Stat'!F79+'AD9'!F79+'AD10'!F79+'AD11'!F79+'AD12'!F79+'AD13'!F79</f>
        <v>2050000</v>
      </c>
      <c r="G79" s="81">
        <f>'AD8 Stat'!G79+'AD9'!G79+'AD10'!G79+'AD11'!G79+'AD12'!G79+'AD13'!G79</f>
        <v>3720443.23</v>
      </c>
      <c r="H79" s="81">
        <f>'AD8 Stat'!H79+'AD9'!H79+'AD10'!H79+'AD11'!H79+'AD12'!H79+'AD13'!H79</f>
        <v>6270443.2300000004</v>
      </c>
      <c r="I79" s="81">
        <f>'AD8 Stat'!I79+'AD9'!I79+'AD10'!I79+'AD11'!I79+'AD12'!I79+'AD13'!I79</f>
        <v>3550000</v>
      </c>
      <c r="J79" s="81">
        <f>'AD8 Stat'!J79+'AD9'!J79+'AD10'!J79+'AD11'!J79+'AD12'!J79+'AD13'!J79</f>
        <v>4050000</v>
      </c>
      <c r="K79" s="81">
        <f>'AD8 Stat'!K79+'AD9'!K79+'AD10'!K79+'AD11'!K79+'AD12'!K79+'AD13'!K79</f>
        <v>170443.22999999998</v>
      </c>
      <c r="L79" s="81">
        <f>'AD8 Stat'!L79+'AD9'!L79+'AD10'!L79+'AD11'!L79+'AD12'!L79+'AD13'!L79</f>
        <v>2220443.23</v>
      </c>
      <c r="M79" s="81">
        <f>'AD8 Stat'!M79+'AD9'!M79+'AD10'!M79+'AD11'!M79+'AD12'!M79+'AD13'!M79</f>
        <v>14559542.848194223</v>
      </c>
      <c r="N79" s="81">
        <f>'AD8 Stat'!N79+'AD9'!N79+'AD10'!N79+'AD11'!N79+'AD12'!N79+'AD13'!N79</f>
        <v>766291.72885232756</v>
      </c>
      <c r="O79" s="81">
        <f>'AD8 Stat'!O79+'AD9'!O79+'AD10'!O79+'AD11'!O79+'AD12'!O79+'AD13'!O79</f>
        <v>15325834.577046551</v>
      </c>
      <c r="P79" s="81">
        <f>'AD8 Stat'!P79+'AD9'!P79+'AD10'!P79+'AD11'!P79+'AD12'!P79+'AD13'!P79</f>
        <v>18609542.848194223</v>
      </c>
      <c r="Q79" s="81">
        <f>'AD8 Stat'!Q79+'AD9'!Q79+'AD10'!Q79+'AD11'!Q79+'AD12'!Q79+'AD13'!Q79</f>
        <v>2986734.9588523274</v>
      </c>
      <c r="R79" s="81">
        <f>'AD8 Stat'!R79+'AD9'!R79+'AD10'!R79+'AD11'!R79+'AD12'!R79+'AD13'!R79</f>
        <v>21596277.807046551</v>
      </c>
      <c r="S79" s="81">
        <f>'AD8 Stat'!S79+'AD9'!S79+'AD10'!S79+'AD11'!S79+'AD12'!S79+'AD13'!S79</f>
        <v>0</v>
      </c>
      <c r="T79" s="81">
        <f>'AD8 Stat'!T79+'AD9'!T79+'AD10'!T79+'AD11'!T79+'AD12'!T79+'AD13'!T79</f>
        <v>0</v>
      </c>
      <c r="U79" s="81">
        <f>'AD8 Stat'!U79+'AD9'!U79+'AD10'!U79+'AD11'!U79+'AD12'!U79+'AD13'!U79</f>
        <v>0</v>
      </c>
      <c r="V79" s="81">
        <f>'AD8 Stat'!V79+'AD9'!V79+'AD10'!V79+'AD11'!V79+'AD12'!V79+'AD13'!V79</f>
        <v>21596277.807046551</v>
      </c>
      <c r="W79" s="81">
        <f>'AD8 Stat'!W79+'AD9'!W79+'AD10'!W79+'AD11'!W79+'AD12'!W79+'AD13'!W79</f>
        <v>5356000</v>
      </c>
      <c r="X79" s="17"/>
    </row>
    <row r="80" spans="1:24">
      <c r="A80" s="6">
        <f t="shared" si="6"/>
        <v>2017</v>
      </c>
      <c r="B80" s="81">
        <f>'AD8 Stat'!B80+'AD9'!B80+'AD10'!B80+'AD11'!B80+'AD12'!B80+'AD13'!B80</f>
        <v>339136.39</v>
      </c>
      <c r="C80" s="81">
        <f>'AD8 Stat'!C80+'AD9'!C80+'AD10'!C80+'AD11'!C80+'AD12'!C80+'AD13'!C80</f>
        <v>377637.3899999992</v>
      </c>
      <c r="D80" s="81">
        <f>'AD8 Stat'!D80+'AD9'!D80+'AD10'!D80+'AD11'!D80+'AD12'!D80+'AD13'!D80</f>
        <v>94010.52</v>
      </c>
      <c r="E80" s="81">
        <f>'AD8 Stat'!E80+'AD9'!E80+'AD10'!E80+'AD11'!E80+'AD12'!E80+'AD13'!E80</f>
        <v>197476.44000000003</v>
      </c>
      <c r="F80" s="81">
        <f>'AD8 Stat'!F80+'AD9'!F80+'AD10'!F80+'AD11'!F80+'AD12'!F80+'AD13'!F80</f>
        <v>189563.86999999918</v>
      </c>
      <c r="G80" s="81">
        <f>'AD8 Stat'!G80+'AD9'!G80+'AD10'!G80+'AD11'!G80+'AD12'!G80+'AD13'!G80</f>
        <v>914250.21999999927</v>
      </c>
      <c r="H80" s="81">
        <f>'AD8 Stat'!H80+'AD9'!H80+'AD10'!H80+'AD11'!H80+'AD12'!H80+'AD13'!H80</f>
        <v>1197824.6099999985</v>
      </c>
      <c r="I80" s="81">
        <f>'AD8 Stat'!I80+'AD9'!I80+'AD10'!I80+'AD11'!I80+'AD12'!I80+'AD13'!I80</f>
        <v>716773.77999999921</v>
      </c>
      <c r="J80" s="81">
        <f>'AD8 Stat'!J80+'AD9'!J80+'AD10'!J80+'AD11'!J80+'AD12'!J80+'AD13'!J80</f>
        <v>810784.29999999923</v>
      </c>
      <c r="K80" s="81">
        <f>'AD8 Stat'!K80+'AD9'!K80+'AD10'!K80+'AD11'!K80+'AD12'!K80+'AD13'!K80</f>
        <v>197476.44000000003</v>
      </c>
      <c r="L80" s="81">
        <f>'AD8 Stat'!L80+'AD9'!L80+'AD10'!L80+'AD11'!L80+'AD12'!L80+'AD13'!L80</f>
        <v>387040.30999999918</v>
      </c>
      <c r="M80" s="81">
        <f>'AD8 Stat'!M80+'AD9'!M80+'AD10'!M80+'AD11'!M80+'AD12'!M80+'AD13'!M80</f>
        <v>27362638.514551967</v>
      </c>
      <c r="N80" s="81">
        <f>'AD8 Stat'!N80+'AD9'!N80+'AD10'!N80+'AD11'!N80+'AD12'!N80+'AD13'!N80</f>
        <v>1440138.8691869457</v>
      </c>
      <c r="O80" s="81">
        <f>'AD8 Stat'!O80+'AD9'!O80+'AD10'!O80+'AD11'!O80+'AD12'!O80+'AD13'!O80</f>
        <v>28802777.383738913</v>
      </c>
      <c r="P80" s="81">
        <f>'AD8 Stat'!P80+'AD9'!P80+'AD10'!P80+'AD11'!P80+'AD12'!P80+'AD13'!P80</f>
        <v>28173422.814551968</v>
      </c>
      <c r="Q80" s="81">
        <f>'AD8 Stat'!Q80+'AD9'!Q80+'AD10'!Q80+'AD11'!Q80+'AD12'!Q80+'AD13'!Q80</f>
        <v>1827179.1791869448</v>
      </c>
      <c r="R80" s="81">
        <f>'AD8 Stat'!R80+'AD9'!R80+'AD10'!R80+'AD11'!R80+'AD12'!R80+'AD13'!R80</f>
        <v>30000601.993738912</v>
      </c>
      <c r="S80" s="81">
        <f>'AD8 Stat'!S80+'AD9'!S80+'AD10'!S80+'AD11'!S80+'AD12'!S80+'AD13'!S80</f>
        <v>0</v>
      </c>
      <c r="T80" s="81">
        <f>'AD8 Stat'!T80+'AD9'!T80+'AD10'!T80+'AD11'!T80+'AD12'!T80+'AD13'!T80</f>
        <v>0</v>
      </c>
      <c r="U80" s="81">
        <f>'AD8 Stat'!U80+'AD9'!U80+'AD10'!U80+'AD11'!U80+'AD12'!U80+'AD13'!U80</f>
        <v>0</v>
      </c>
      <c r="V80" s="81">
        <f>'AD8 Stat'!V80+'AD9'!V80+'AD10'!V80+'AD11'!V80+'AD12'!V80+'AD13'!V80</f>
        <v>30000601.993738912</v>
      </c>
      <c r="W80" s="81">
        <f>'AD8 Stat'!W80+'AD9'!W80+'AD10'!W80+'AD11'!W80+'AD12'!W80+'AD13'!W80</f>
        <v>6405999.9999999991</v>
      </c>
      <c r="X80" s="17"/>
    </row>
    <row r="81" spans="1:24">
      <c r="A81" s="6">
        <f t="shared" si="6"/>
        <v>2018</v>
      </c>
      <c r="B81" s="81">
        <f>'AD8 Stat'!B81+'AD9'!B81+'AD10'!B81+'AD11'!B81+'AD12'!B81+'AD13'!B81</f>
        <v>592996.41</v>
      </c>
      <c r="C81" s="81">
        <f>'AD8 Stat'!C81+'AD9'!C81+'AD10'!C81+'AD11'!C81+'AD12'!C81+'AD13'!C81</f>
        <v>592996.41000000015</v>
      </c>
      <c r="D81" s="81">
        <f>'AD8 Stat'!D81+'AD9'!D81+'AD10'!D81+'AD11'!D81+'AD12'!D81+'AD13'!D81</f>
        <v>0</v>
      </c>
      <c r="E81" s="81">
        <f>'AD8 Stat'!E81+'AD9'!E81+'AD10'!E81+'AD11'!E81+'AD12'!E81+'AD13'!E81</f>
        <v>0</v>
      </c>
      <c r="F81" s="81">
        <f>'AD8 Stat'!F81+'AD9'!F81+'AD10'!F81+'AD11'!F81+'AD12'!F81+'AD13'!F81</f>
        <v>592996.41000000015</v>
      </c>
      <c r="G81" s="81">
        <f>'AD8 Stat'!G81+'AD9'!G81+'AD10'!G81+'AD11'!G81+'AD12'!G81+'AD13'!G81</f>
        <v>1185992.8200000003</v>
      </c>
      <c r="H81" s="81">
        <f>'AD8 Stat'!H81+'AD9'!H81+'AD10'!H81+'AD11'!H81+'AD12'!H81+'AD13'!H81</f>
        <v>1778989.2300000004</v>
      </c>
      <c r="I81" s="81">
        <f>'AD8 Stat'!I81+'AD9'!I81+'AD10'!I81+'AD11'!I81+'AD12'!I81+'AD13'!I81</f>
        <v>1185992.8200000003</v>
      </c>
      <c r="J81" s="81">
        <f>'AD8 Stat'!J81+'AD9'!J81+'AD10'!J81+'AD11'!J81+'AD12'!J81+'AD13'!J81</f>
        <v>1185992.8200000003</v>
      </c>
      <c r="K81" s="81">
        <f>'AD8 Stat'!K81+'AD9'!K81+'AD10'!K81+'AD11'!K81+'AD12'!K81+'AD13'!K81</f>
        <v>0</v>
      </c>
      <c r="L81" s="81">
        <f>'AD8 Stat'!L81+'AD9'!L81+'AD10'!L81+'AD11'!L81+'AD12'!L81+'AD13'!L81</f>
        <v>592996.41000000015</v>
      </c>
      <c r="M81" s="81">
        <f>'AD8 Stat'!M81+'AD9'!M81+'AD10'!M81+'AD11'!M81+'AD12'!M81+'AD13'!M81</f>
        <v>21629576.034806147</v>
      </c>
      <c r="N81" s="81">
        <f>'AD8 Stat'!N81+'AD9'!N81+'AD10'!N81+'AD11'!N81+'AD12'!N81+'AD13'!N81</f>
        <v>1138398.7386740078</v>
      </c>
      <c r="O81" s="81">
        <f>'AD8 Stat'!O81+'AD9'!O81+'AD10'!O81+'AD11'!O81+'AD12'!O81+'AD13'!O81</f>
        <v>22767974.773480151</v>
      </c>
      <c r="P81" s="81">
        <f>'AD8 Stat'!P81+'AD9'!P81+'AD10'!P81+'AD11'!P81+'AD12'!P81+'AD13'!P81</f>
        <v>22815568.854806144</v>
      </c>
      <c r="Q81" s="81">
        <f>'AD8 Stat'!Q81+'AD9'!Q81+'AD10'!Q81+'AD11'!Q81+'AD12'!Q81+'AD13'!Q81</f>
        <v>1731395.148674008</v>
      </c>
      <c r="R81" s="81">
        <f>'AD8 Stat'!R81+'AD9'!R81+'AD10'!R81+'AD11'!R81+'AD12'!R81+'AD13'!R81</f>
        <v>24546964.003480151</v>
      </c>
      <c r="S81" s="81">
        <f>'AD8 Stat'!S81+'AD9'!S81+'AD10'!S81+'AD11'!S81+'AD12'!S81+'AD13'!S81</f>
        <v>0</v>
      </c>
      <c r="T81" s="81">
        <f>'AD8 Stat'!T81+'AD9'!T81+'AD10'!T81+'AD11'!T81+'AD12'!T81+'AD13'!T81</f>
        <v>0</v>
      </c>
      <c r="U81" s="81">
        <f>'AD8 Stat'!U81+'AD9'!U81+'AD10'!U81+'AD11'!U81+'AD12'!U81+'AD13'!U81</f>
        <v>0</v>
      </c>
      <c r="V81" s="81">
        <f>'AD8 Stat'!V81+'AD9'!V81+'AD10'!V81+'AD11'!V81+'AD12'!V81+'AD13'!V81</f>
        <v>24546964.003480151</v>
      </c>
      <c r="W81" s="81">
        <f>'AD8 Stat'!W81+'AD9'!W81+'AD10'!W81+'AD11'!W81+'AD12'!W81+'AD13'!W81</f>
        <v>4633000</v>
      </c>
      <c r="X81" s="17"/>
    </row>
    <row r="82" spans="1:24">
      <c r="A82" s="6">
        <f t="shared" si="6"/>
        <v>2019</v>
      </c>
      <c r="B82" s="81">
        <f>'AD8 Stat'!B82+'AD9'!B82+'AD10'!B82+'AD11'!B82+'AD12'!B82+'AD13'!B82</f>
        <v>26250</v>
      </c>
      <c r="C82" s="81">
        <f>'AD8 Stat'!C82+'AD9'!C82+'AD10'!C82+'AD11'!C82+'AD12'!C82+'AD13'!C82</f>
        <v>0</v>
      </c>
      <c r="D82" s="81">
        <f>'AD8 Stat'!D82+'AD9'!D82+'AD10'!D82+'AD11'!D82+'AD12'!D82+'AD13'!D82</f>
        <v>0</v>
      </c>
      <c r="E82" s="81">
        <f>'AD8 Stat'!E82+'AD9'!E82+'AD10'!E82+'AD11'!E82+'AD12'!E82+'AD13'!E82</f>
        <v>1438.82</v>
      </c>
      <c r="F82" s="81">
        <f>'AD8 Stat'!F82+'AD9'!F82+'AD10'!F82+'AD11'!F82+'AD12'!F82+'AD13'!F82</f>
        <v>0</v>
      </c>
      <c r="G82" s="81">
        <f>'AD8 Stat'!G82+'AD9'!G82+'AD10'!G82+'AD11'!G82+'AD12'!G82+'AD13'!G82</f>
        <v>27688.82</v>
      </c>
      <c r="H82" s="81">
        <f>'AD8 Stat'!H82+'AD9'!H82+'AD10'!H82+'AD11'!H82+'AD12'!H82+'AD13'!H82</f>
        <v>27688.82</v>
      </c>
      <c r="I82" s="81">
        <f>'AD8 Stat'!I82+'AD9'!I82+'AD10'!I82+'AD11'!I82+'AD12'!I82+'AD13'!I82</f>
        <v>26250</v>
      </c>
      <c r="J82" s="81">
        <f>'AD8 Stat'!J82+'AD9'!J82+'AD10'!J82+'AD11'!J82+'AD12'!J82+'AD13'!J82</f>
        <v>26250</v>
      </c>
      <c r="K82" s="81">
        <f>'AD8 Stat'!K82+'AD9'!K82+'AD10'!K82+'AD11'!K82+'AD12'!K82+'AD13'!K82</f>
        <v>1438.82</v>
      </c>
      <c r="L82" s="81">
        <f>'AD8 Stat'!L82+'AD9'!L82+'AD10'!L82+'AD11'!L82+'AD12'!L82+'AD13'!L82</f>
        <v>1438.82</v>
      </c>
      <c r="M82" s="81">
        <f>'AD8 Stat'!M82+'AD9'!M82+'AD10'!M82+'AD11'!M82+'AD12'!M82+'AD13'!M82</f>
        <v>65679.152959123254</v>
      </c>
      <c r="N82" s="81">
        <f>'AD8 Stat'!N82+'AD9'!N82+'AD10'!N82+'AD11'!N82+'AD12'!N82+'AD13'!N82</f>
        <v>3456.7975241643871</v>
      </c>
      <c r="O82" s="81">
        <f>'AD8 Stat'!O82+'AD9'!O82+'AD10'!O82+'AD11'!O82+'AD12'!O82+'AD13'!O82</f>
        <v>69135.950483287685</v>
      </c>
      <c r="P82" s="81">
        <f>'AD8 Stat'!P82+'AD9'!P82+'AD10'!P82+'AD11'!P82+'AD12'!P82+'AD13'!P82</f>
        <v>91929.152959123254</v>
      </c>
      <c r="Q82" s="81">
        <f>'AD8 Stat'!Q82+'AD9'!Q82+'AD10'!Q82+'AD11'!Q82+'AD12'!Q82+'AD13'!Q82</f>
        <v>4895.6175241643869</v>
      </c>
      <c r="R82" s="81">
        <f>'AD8 Stat'!R82+'AD9'!R82+'AD10'!R82+'AD11'!R82+'AD12'!R82+'AD13'!R82</f>
        <v>96824.770483287633</v>
      </c>
      <c r="S82" s="81">
        <f>'AD8 Stat'!S82+'AD9'!S82+'AD10'!S82+'AD11'!S82+'AD12'!S82+'AD13'!S82</f>
        <v>0</v>
      </c>
      <c r="T82" s="81">
        <f>'AD8 Stat'!T82+'AD9'!T82+'AD10'!T82+'AD11'!T82+'AD12'!T82+'AD13'!T82</f>
        <v>0</v>
      </c>
      <c r="U82" s="81">
        <f>'AD8 Stat'!U82+'AD9'!U82+'AD10'!U82+'AD11'!U82+'AD12'!U82+'AD13'!U82</f>
        <v>0</v>
      </c>
      <c r="V82" s="81">
        <f>'AD8 Stat'!V82+'AD9'!V82+'AD10'!V82+'AD11'!V82+'AD12'!V82+'AD13'!V82</f>
        <v>96824.770483287633</v>
      </c>
      <c r="W82" s="81">
        <f>'AD8 Stat'!W82+'AD9'!W82+'AD10'!W82+'AD11'!W82+'AD12'!W82+'AD13'!W82</f>
        <v>5929000</v>
      </c>
      <c r="X82" s="17"/>
    </row>
    <row r="83" spans="1:24">
      <c r="A83" s="6">
        <f t="shared" si="6"/>
        <v>2020</v>
      </c>
      <c r="B83" s="81">
        <f>'AD8 Stat'!B83+'AD9'!B83+'AD10'!B83+'AD11'!B83+'AD12'!B83+'AD13'!B83</f>
        <v>0</v>
      </c>
      <c r="C83" s="81">
        <f>'AD8 Stat'!C83+'AD9'!C83+'AD10'!C83+'AD11'!C83+'AD12'!C83+'AD13'!C83</f>
        <v>0</v>
      </c>
      <c r="D83" s="81">
        <f>'AD8 Stat'!D83+'AD9'!D83+'AD10'!D83+'AD11'!D83+'AD12'!D83+'AD13'!D83</f>
        <v>0</v>
      </c>
      <c r="E83" s="81">
        <f>'AD8 Stat'!E83+'AD9'!E83+'AD10'!E83+'AD11'!E83+'AD12'!E83+'AD13'!E83</f>
        <v>0</v>
      </c>
      <c r="F83" s="81">
        <f>'AD8 Stat'!F83+'AD9'!F83+'AD10'!F83+'AD11'!F83+'AD12'!F83+'AD13'!F83</f>
        <v>0</v>
      </c>
      <c r="G83" s="81">
        <f>'AD8 Stat'!G83+'AD9'!G83+'AD10'!G83+'AD11'!G83+'AD12'!G83+'AD13'!G83</f>
        <v>0</v>
      </c>
      <c r="H83" s="81">
        <f>'AD8 Stat'!H83+'AD9'!H83+'AD10'!H83+'AD11'!H83+'AD12'!H83+'AD13'!H83</f>
        <v>0</v>
      </c>
      <c r="I83" s="81">
        <f>'AD8 Stat'!I83+'AD9'!I83+'AD10'!I83+'AD11'!I83+'AD12'!I83+'AD13'!I83</f>
        <v>0</v>
      </c>
      <c r="J83" s="81">
        <f>'AD8 Stat'!J83+'AD9'!J83+'AD10'!J83+'AD11'!J83+'AD12'!J83+'AD13'!J83</f>
        <v>0</v>
      </c>
      <c r="K83" s="81">
        <f>'AD8 Stat'!K83+'AD9'!K83+'AD10'!K83+'AD11'!K83+'AD12'!K83+'AD13'!K83</f>
        <v>0</v>
      </c>
      <c r="L83" s="81">
        <f>'AD8 Stat'!L83+'AD9'!L83+'AD10'!L83+'AD11'!L83+'AD12'!L83+'AD13'!L83</f>
        <v>0</v>
      </c>
      <c r="M83" s="81">
        <f>'AD8 Stat'!M83+'AD9'!M83+'AD10'!M83+'AD11'!M83+'AD12'!M83+'AD13'!M83</f>
        <v>1463109.234395091</v>
      </c>
      <c r="N83" s="81">
        <f>'AD8 Stat'!N83+'AD9'!N83+'AD10'!N83+'AD11'!N83+'AD12'!N83+'AD13'!N83</f>
        <v>77005.749178689002</v>
      </c>
      <c r="O83" s="81">
        <f>'AD8 Stat'!O83+'AD9'!O83+'AD10'!O83+'AD11'!O83+'AD12'!O83+'AD13'!O83</f>
        <v>1540114.9835737799</v>
      </c>
      <c r="P83" s="81">
        <f>'AD8 Stat'!P83+'AD9'!P83+'AD10'!P83+'AD11'!P83+'AD12'!P83+'AD13'!P83</f>
        <v>1463109.234395091</v>
      </c>
      <c r="Q83" s="81">
        <f>'AD8 Stat'!Q83+'AD9'!Q83+'AD10'!Q83+'AD11'!Q83+'AD12'!Q83+'AD13'!Q83</f>
        <v>77005.749178689002</v>
      </c>
      <c r="R83" s="81">
        <f>'AD8 Stat'!R83+'AD9'!R83+'AD10'!R83+'AD11'!R83+'AD12'!R83+'AD13'!R83</f>
        <v>1540114.9835737799</v>
      </c>
      <c r="S83" s="81">
        <f>'AD8 Stat'!S83+'AD9'!S83+'AD10'!S83+'AD11'!S83+'AD12'!S83+'AD13'!S83</f>
        <v>0</v>
      </c>
      <c r="T83" s="81">
        <f>'AD8 Stat'!T83+'AD9'!T83+'AD10'!T83+'AD11'!T83+'AD12'!T83+'AD13'!T83</f>
        <v>0</v>
      </c>
      <c r="U83" s="81">
        <f>'AD8 Stat'!U83+'AD9'!U83+'AD10'!U83+'AD11'!U83+'AD12'!U83+'AD13'!U83</f>
        <v>0</v>
      </c>
      <c r="V83" s="81">
        <f>'AD8 Stat'!V83+'AD9'!V83+'AD10'!V83+'AD11'!V83+'AD12'!V83+'AD13'!V83</f>
        <v>1540114.9835737799</v>
      </c>
      <c r="W83" s="81">
        <f>'AD8 Stat'!W83+'AD9'!W83+'AD10'!W83+'AD11'!W83+'AD12'!W83+'AD13'!W83</f>
        <v>5660461.6100000003</v>
      </c>
      <c r="X83" s="17"/>
    </row>
    <row r="84" spans="1:24">
      <c r="A84" s="6"/>
      <c r="B84" s="81">
        <f>'Exhibit H,5'!Q45</f>
        <v>0</v>
      </c>
      <c r="C84" s="81">
        <f>'Exhibit H,5'!R45</f>
        <v>0</v>
      </c>
      <c r="D84" s="81">
        <f>'Exhibit H,5'!S45</f>
        <v>0</v>
      </c>
      <c r="E84" s="81">
        <f>'Exhibit H,5'!T45</f>
        <v>0</v>
      </c>
      <c r="F84" s="81">
        <f>'Exhibit H,5'!U45</f>
        <v>0</v>
      </c>
      <c r="G84" s="81"/>
      <c r="H84" s="81"/>
      <c r="I84" s="81"/>
      <c r="J84" s="81"/>
      <c r="K84" s="81"/>
      <c r="L84" s="81"/>
      <c r="M84" s="81">
        <f>O84-N84</f>
        <v>0</v>
      </c>
      <c r="N84" s="81">
        <f>N$50*O84</f>
        <v>0</v>
      </c>
      <c r="O84" s="81"/>
      <c r="P84" s="81">
        <f>J84+M84</f>
        <v>0</v>
      </c>
      <c r="Q84" s="81">
        <f>L84+N84</f>
        <v>0</v>
      </c>
      <c r="R84" s="81"/>
      <c r="S84" s="81"/>
      <c r="T84" s="81"/>
      <c r="U84" s="81">
        <f>S84+T84</f>
        <v>0</v>
      </c>
      <c r="V84" s="81">
        <f>R84+U84</f>
        <v>0</v>
      </c>
      <c r="W84" s="81"/>
      <c r="X84" s="17"/>
    </row>
    <row r="85" spans="1:24">
      <c r="A85" s="6" t="s">
        <v>0</v>
      </c>
      <c r="B85" s="82">
        <f>SUM(B55:B83)</f>
        <v>196351437.31999999</v>
      </c>
      <c r="C85" s="82">
        <f>SUM(C55:C83)</f>
        <v>194836062.31999996</v>
      </c>
      <c r="D85" s="82">
        <f t="shared" ref="D85:Q85" si="7">SUM(D55:D83)</f>
        <v>191687065.04000002</v>
      </c>
      <c r="E85" s="82">
        <f t="shared" si="7"/>
        <v>193657170.36999997</v>
      </c>
      <c r="F85" s="82">
        <f t="shared" si="7"/>
        <v>1557612.2799999984</v>
      </c>
      <c r="G85" s="82">
        <f>SUM(G55:G83)</f>
        <v>584844670.01000023</v>
      </c>
      <c r="H85" s="82">
        <f t="shared" si="7"/>
        <v>778089347.33000016</v>
      </c>
      <c r="I85" s="82">
        <f t="shared" si="7"/>
        <v>391187499.63999999</v>
      </c>
      <c r="J85" s="82">
        <f>SUM(J55:J83)</f>
        <v>582874564.68000007</v>
      </c>
      <c r="K85" s="82">
        <f t="shared" si="7"/>
        <v>193657170.36999997</v>
      </c>
      <c r="L85" s="82">
        <f t="shared" si="7"/>
        <v>195214782.64999998</v>
      </c>
      <c r="M85" s="82">
        <f t="shared" si="7"/>
        <v>100387029.4664463</v>
      </c>
      <c r="N85" s="82">
        <f t="shared" si="7"/>
        <v>5281977.1461550687</v>
      </c>
      <c r="O85" s="82">
        <f t="shared" si="7"/>
        <v>105669006.61260135</v>
      </c>
      <c r="P85" s="82">
        <f t="shared" si="7"/>
        <v>683261594.14644623</v>
      </c>
      <c r="Q85" s="82">
        <f t="shared" si="7"/>
        <v>200496759.7961551</v>
      </c>
      <c r="R85" s="82">
        <f t="shared" ref="R85:W85" si="8">SUM(R55:R83)</f>
        <v>883758353.94260132</v>
      </c>
      <c r="S85" s="82">
        <f t="shared" si="8"/>
        <v>0</v>
      </c>
      <c r="T85" s="82">
        <f t="shared" si="8"/>
        <v>0</v>
      </c>
      <c r="U85" s="82">
        <f t="shared" si="8"/>
        <v>0</v>
      </c>
      <c r="V85" s="82">
        <f t="shared" si="8"/>
        <v>883758353.94260132</v>
      </c>
      <c r="W85" s="82">
        <f t="shared" si="8"/>
        <v>57770461.609999999</v>
      </c>
      <c r="X85" s="17"/>
    </row>
    <row r="86" spans="1:24">
      <c r="A86" s="6"/>
      <c r="B86" s="81"/>
      <c r="C86" s="81"/>
      <c r="D86" s="81"/>
      <c r="E86" s="81"/>
      <c r="F86" s="81"/>
      <c r="G86" s="81"/>
      <c r="H86" s="81"/>
      <c r="I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  <c r="X86" s="17"/>
    </row>
    <row r="87" spans="1:24">
      <c r="A87" s="6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17"/>
    </row>
    <row r="88" spans="1:24">
      <c r="A88" s="6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  <c r="X88" s="17"/>
    </row>
    <row r="89" spans="1:24">
      <c r="A89" s="6" t="s">
        <v>17</v>
      </c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17"/>
    </row>
    <row r="90" spans="1:24">
      <c r="A90" s="6"/>
      <c r="B90" s="29"/>
      <c r="C90" s="29"/>
      <c r="D90" s="29"/>
      <c r="E90" s="29"/>
      <c r="F90" s="29"/>
      <c r="G90" s="17"/>
      <c r="H90" s="81"/>
      <c r="I90" s="81"/>
      <c r="J90" s="81"/>
      <c r="K90" s="81"/>
      <c r="L90" s="81"/>
      <c r="M90" s="17"/>
      <c r="N90" s="81"/>
      <c r="O90" s="81"/>
      <c r="P90" s="81"/>
      <c r="Q90" s="81"/>
      <c r="R90" s="81" t="s">
        <v>67</v>
      </c>
      <c r="S90" s="6"/>
      <c r="T90" s="6"/>
      <c r="U90" s="6"/>
      <c r="V90" s="6" t="s">
        <v>67</v>
      </c>
      <c r="W90" s="6"/>
      <c r="X90" s="17"/>
    </row>
    <row r="91" spans="1:24">
      <c r="A91" s="6" t="s">
        <v>3</v>
      </c>
      <c r="B91" s="29"/>
      <c r="C91" s="29"/>
      <c r="D91" s="29"/>
      <c r="E91" s="29"/>
      <c r="F91" s="29"/>
      <c r="G91" s="81" t="s">
        <v>14</v>
      </c>
      <c r="H91" s="81" t="s">
        <v>12</v>
      </c>
      <c r="I91" s="81" t="s">
        <v>14</v>
      </c>
      <c r="J91" s="81" t="s">
        <v>12</v>
      </c>
      <c r="K91" s="81" t="s">
        <v>14</v>
      </c>
      <c r="L91" s="81" t="s">
        <v>12</v>
      </c>
      <c r="M91" s="81" t="s">
        <v>381</v>
      </c>
      <c r="N91" s="81" t="s">
        <v>381</v>
      </c>
      <c r="O91" s="81" t="s">
        <v>381</v>
      </c>
      <c r="P91" s="81" t="s">
        <v>660</v>
      </c>
      <c r="Q91" s="81" t="s">
        <v>67</v>
      </c>
      <c r="R91" s="81" t="s">
        <v>662</v>
      </c>
      <c r="S91" s="6" t="s">
        <v>661</v>
      </c>
      <c r="T91" s="6" t="s">
        <v>661</v>
      </c>
      <c r="U91" s="6" t="s">
        <v>67</v>
      </c>
      <c r="V91" s="6" t="s">
        <v>663</v>
      </c>
      <c r="W91" s="6" t="s">
        <v>177</v>
      </c>
      <c r="X91" s="17"/>
    </row>
    <row r="92" spans="1:24">
      <c r="A92" s="6" t="s">
        <v>4</v>
      </c>
      <c r="B92" s="30"/>
      <c r="C92" s="30"/>
      <c r="D92" s="30"/>
      <c r="E92" s="30"/>
      <c r="F92" s="30"/>
      <c r="G92" s="81" t="s">
        <v>0</v>
      </c>
      <c r="H92" s="81" t="s">
        <v>0</v>
      </c>
      <c r="I92" s="81" t="s">
        <v>566</v>
      </c>
      <c r="J92" s="81" t="s">
        <v>566</v>
      </c>
      <c r="K92" s="81" t="s">
        <v>567</v>
      </c>
      <c r="L92" s="81" t="s">
        <v>567</v>
      </c>
      <c r="M92" s="81" t="s">
        <v>566</v>
      </c>
      <c r="N92" s="81" t="s">
        <v>567</v>
      </c>
      <c r="O92" s="81" t="s">
        <v>0</v>
      </c>
      <c r="P92" s="81" t="s">
        <v>566</v>
      </c>
      <c r="Q92" s="81" t="s">
        <v>567</v>
      </c>
      <c r="R92" s="81" t="s">
        <v>0</v>
      </c>
      <c r="S92" s="6" t="s">
        <v>117</v>
      </c>
      <c r="T92" s="6" t="s">
        <v>14</v>
      </c>
      <c r="U92" s="6" t="s">
        <v>661</v>
      </c>
      <c r="V92" s="6" t="s">
        <v>0</v>
      </c>
      <c r="W92" s="6" t="s">
        <v>16</v>
      </c>
      <c r="X92" s="17"/>
    </row>
    <row r="93" spans="1:24">
      <c r="A93" s="10">
        <v>-1</v>
      </c>
      <c r="B93" s="10">
        <f>A93-1</f>
        <v>-2</v>
      </c>
      <c r="C93" s="10">
        <f>B93-1</f>
        <v>-3</v>
      </c>
      <c r="D93" s="10">
        <f t="shared" ref="D93:L93" si="9">C93-1</f>
        <v>-4</v>
      </c>
      <c r="E93" s="10">
        <f t="shared" si="9"/>
        <v>-5</v>
      </c>
      <c r="F93" s="10">
        <f t="shared" si="9"/>
        <v>-6</v>
      </c>
      <c r="G93" s="10">
        <f t="shared" si="9"/>
        <v>-7</v>
      </c>
      <c r="H93" s="10">
        <f t="shared" si="9"/>
        <v>-8</v>
      </c>
      <c r="I93" s="10">
        <f t="shared" si="9"/>
        <v>-9</v>
      </c>
      <c r="J93" s="10">
        <f t="shared" si="9"/>
        <v>-10</v>
      </c>
      <c r="K93" s="10">
        <f t="shared" si="9"/>
        <v>-11</v>
      </c>
      <c r="L93" s="10">
        <f t="shared" si="9"/>
        <v>-12</v>
      </c>
      <c r="M93" s="10">
        <f>L93-1</f>
        <v>-13</v>
      </c>
      <c r="N93" s="10">
        <f t="shared" ref="N93:W93" si="10">M93-1</f>
        <v>-14</v>
      </c>
      <c r="O93" s="10">
        <f t="shared" si="10"/>
        <v>-15</v>
      </c>
      <c r="P93" s="10">
        <f t="shared" si="10"/>
        <v>-16</v>
      </c>
      <c r="Q93" s="10">
        <f t="shared" si="10"/>
        <v>-17</v>
      </c>
      <c r="R93" s="10">
        <f t="shared" si="10"/>
        <v>-18</v>
      </c>
      <c r="S93" s="10">
        <f t="shared" si="10"/>
        <v>-19</v>
      </c>
      <c r="T93" s="10">
        <f t="shared" si="10"/>
        <v>-20</v>
      </c>
      <c r="U93" s="10">
        <f t="shared" si="10"/>
        <v>-21</v>
      </c>
      <c r="V93" s="10">
        <f t="shared" si="10"/>
        <v>-22</v>
      </c>
      <c r="W93" s="10">
        <f t="shared" si="10"/>
        <v>-23</v>
      </c>
      <c r="X93" s="17"/>
    </row>
    <row r="94" spans="1:24">
      <c r="A94" s="80"/>
      <c r="B94" s="81"/>
      <c r="C94" s="81"/>
      <c r="D94" s="81"/>
      <c r="E94" s="81"/>
      <c r="F94" s="81"/>
      <c r="G94" s="17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6"/>
      <c r="T94" s="6"/>
      <c r="U94" s="6"/>
      <c r="V94" s="6"/>
      <c r="W94" s="6"/>
      <c r="X94" s="17"/>
    </row>
    <row r="95" spans="1:24">
      <c r="A95" s="6">
        <v>1992</v>
      </c>
      <c r="B95" s="81"/>
      <c r="C95" s="81"/>
      <c r="D95" s="81"/>
      <c r="E95" s="81"/>
      <c r="F95" s="81"/>
      <c r="G95" s="81">
        <f>G15-G55</f>
        <v>31775901.840000004</v>
      </c>
      <c r="H95" s="81">
        <f t="shared" ref="H95:T95" si="11">H15-H55</f>
        <v>19245838.359999999</v>
      </c>
      <c r="I95" s="81">
        <f t="shared" si="11"/>
        <v>9622919.1799999997</v>
      </c>
      <c r="J95" s="81">
        <f t="shared" si="11"/>
        <v>-2907144.299999997</v>
      </c>
      <c r="K95" s="81">
        <f t="shared" si="11"/>
        <v>22152982.66</v>
      </c>
      <c r="L95" s="81">
        <f t="shared" si="11"/>
        <v>22152982.66</v>
      </c>
      <c r="M95" s="81">
        <f t="shared" si="11"/>
        <v>0</v>
      </c>
      <c r="N95" s="81">
        <f t="shared" si="11"/>
        <v>0</v>
      </c>
      <c r="O95" s="81">
        <f t="shared" ref="O95:O123" si="12">O15-O55</f>
        <v>0</v>
      </c>
      <c r="P95" s="81">
        <f t="shared" si="11"/>
        <v>-2907144.299999997</v>
      </c>
      <c r="Q95" s="81">
        <f t="shared" si="11"/>
        <v>22152982.66</v>
      </c>
      <c r="R95" s="81">
        <f t="shared" si="11"/>
        <v>19245838.359999999</v>
      </c>
      <c r="S95" s="81">
        <f t="shared" si="11"/>
        <v>0</v>
      </c>
      <c r="T95" s="81">
        <f t="shared" si="11"/>
        <v>0</v>
      </c>
      <c r="U95" s="81">
        <f>S95+T95</f>
        <v>0</v>
      </c>
      <c r="V95" s="81">
        <f>R95+U95</f>
        <v>19245838.359999999</v>
      </c>
      <c r="W95" s="81">
        <f>'AD8 Stat'!W95+'AD9'!W95+'AD10'!W95+'AD11'!W95+'AD12'!W95+'AD13'!W95</f>
        <v>0</v>
      </c>
      <c r="X95" s="17"/>
    </row>
    <row r="96" spans="1:24">
      <c r="A96" s="6">
        <f>A95+1</f>
        <v>1993</v>
      </c>
      <c r="B96" s="81"/>
      <c r="C96" s="81"/>
      <c r="D96" s="81"/>
      <c r="E96" s="81"/>
      <c r="F96" s="81"/>
      <c r="G96" s="81">
        <f t="shared" ref="G96:T111" si="13">G16-G56</f>
        <v>23968158.13000001</v>
      </c>
      <c r="H96" s="81">
        <f t="shared" si="13"/>
        <v>-4028703.2399999946</v>
      </c>
      <c r="I96" s="81">
        <f t="shared" si="13"/>
        <v>-2014351.6199999973</v>
      </c>
      <c r="J96" s="81">
        <f t="shared" si="13"/>
        <v>-30011212.989999987</v>
      </c>
      <c r="K96" s="81">
        <f t="shared" si="13"/>
        <v>25982509.75</v>
      </c>
      <c r="L96" s="81">
        <f t="shared" si="13"/>
        <v>25982509.75</v>
      </c>
      <c r="M96" s="81">
        <f t="shared" si="13"/>
        <v>0</v>
      </c>
      <c r="N96" s="81">
        <f t="shared" si="13"/>
        <v>0</v>
      </c>
      <c r="O96" s="81">
        <f t="shared" si="12"/>
        <v>0</v>
      </c>
      <c r="P96" s="81">
        <f t="shared" si="13"/>
        <v>-30011212.989999987</v>
      </c>
      <c r="Q96" s="81">
        <f t="shared" si="13"/>
        <v>25982509.75</v>
      </c>
      <c r="R96" s="81">
        <f t="shared" si="13"/>
        <v>-4028703.2399999946</v>
      </c>
      <c r="S96" s="81">
        <f t="shared" si="13"/>
        <v>0</v>
      </c>
      <c r="T96" s="81">
        <f t="shared" si="13"/>
        <v>0</v>
      </c>
      <c r="U96" s="81">
        <f t="shared" ref="U96:U124" si="14">S96+T96</f>
        <v>0</v>
      </c>
      <c r="V96" s="81">
        <f t="shared" ref="V96:V124" si="15">R96+U96</f>
        <v>-4028703.2399999946</v>
      </c>
      <c r="W96" s="81">
        <f>'AD8 Stat'!W96+'AD9'!W96+'AD10'!W96+'AD11'!W96+'AD12'!W96+'AD13'!W96</f>
        <v>0</v>
      </c>
      <c r="X96" s="17"/>
    </row>
    <row r="97" spans="1:24">
      <c r="A97" s="6">
        <f t="shared" ref="A97:A123" si="16">A96+1</f>
        <v>1994</v>
      </c>
      <c r="B97" s="81"/>
      <c r="C97" s="81"/>
      <c r="D97" s="81"/>
      <c r="E97" s="81"/>
      <c r="F97" s="81"/>
      <c r="G97" s="81">
        <f t="shared" si="13"/>
        <v>36567493.579999998</v>
      </c>
      <c r="H97" s="81">
        <f t="shared" si="13"/>
        <v>17031619.959999993</v>
      </c>
      <c r="I97" s="81">
        <f t="shared" si="13"/>
        <v>8515809.9799999967</v>
      </c>
      <c r="J97" s="81">
        <f t="shared" si="13"/>
        <v>-11020063.640000001</v>
      </c>
      <c r="K97" s="81">
        <f t="shared" si="13"/>
        <v>28051683.599999998</v>
      </c>
      <c r="L97" s="81">
        <f t="shared" si="13"/>
        <v>28051683.599999998</v>
      </c>
      <c r="M97" s="81">
        <f t="shared" si="13"/>
        <v>0</v>
      </c>
      <c r="N97" s="81">
        <f t="shared" si="13"/>
        <v>0</v>
      </c>
      <c r="O97" s="81">
        <f t="shared" si="12"/>
        <v>0</v>
      </c>
      <c r="P97" s="81">
        <f t="shared" si="13"/>
        <v>-11020063.640000001</v>
      </c>
      <c r="Q97" s="81">
        <f t="shared" si="13"/>
        <v>28051683.599999998</v>
      </c>
      <c r="R97" s="81">
        <f t="shared" si="13"/>
        <v>17031619.959999993</v>
      </c>
      <c r="S97" s="81">
        <f t="shared" si="13"/>
        <v>0</v>
      </c>
      <c r="T97" s="81">
        <f t="shared" si="13"/>
        <v>0</v>
      </c>
      <c r="U97" s="81">
        <f t="shared" si="14"/>
        <v>0</v>
      </c>
      <c r="V97" s="81">
        <f t="shared" si="15"/>
        <v>17031619.959999993</v>
      </c>
      <c r="W97" s="81">
        <f>'AD8 Stat'!W97+'AD9'!W97+'AD10'!W97+'AD11'!W97+'AD12'!W97+'AD13'!W97</f>
        <v>0</v>
      </c>
      <c r="X97" s="17"/>
    </row>
    <row r="98" spans="1:24">
      <c r="A98" s="6">
        <f t="shared" si="16"/>
        <v>1995</v>
      </c>
      <c r="B98" s="81"/>
      <c r="C98" s="81"/>
      <c r="D98" s="81"/>
      <c r="E98" s="81"/>
      <c r="F98" s="81"/>
      <c r="G98" s="81">
        <f t="shared" si="13"/>
        <v>40291745.319999993</v>
      </c>
      <c r="H98" s="81">
        <f t="shared" si="13"/>
        <v>28325012.199999988</v>
      </c>
      <c r="I98" s="81">
        <f t="shared" si="13"/>
        <v>14162506.099999994</v>
      </c>
      <c r="J98" s="81">
        <f t="shared" si="13"/>
        <v>2195772.9799999967</v>
      </c>
      <c r="K98" s="81">
        <f t="shared" si="13"/>
        <v>26129239.219999995</v>
      </c>
      <c r="L98" s="81">
        <f t="shared" si="13"/>
        <v>26129239.219999995</v>
      </c>
      <c r="M98" s="81">
        <f t="shared" si="13"/>
        <v>0</v>
      </c>
      <c r="N98" s="81">
        <f t="shared" si="13"/>
        <v>0</v>
      </c>
      <c r="O98" s="81">
        <f t="shared" si="12"/>
        <v>0</v>
      </c>
      <c r="P98" s="81">
        <f t="shared" si="13"/>
        <v>2195772.9799999967</v>
      </c>
      <c r="Q98" s="81">
        <f t="shared" si="13"/>
        <v>26129239.219999995</v>
      </c>
      <c r="R98" s="81">
        <f t="shared" si="13"/>
        <v>28325012.199999988</v>
      </c>
      <c r="S98" s="81">
        <f t="shared" si="13"/>
        <v>0</v>
      </c>
      <c r="T98" s="81">
        <f t="shared" si="13"/>
        <v>0</v>
      </c>
      <c r="U98" s="81">
        <f t="shared" si="14"/>
        <v>0</v>
      </c>
      <c r="V98" s="81">
        <f t="shared" si="15"/>
        <v>28325012.199999988</v>
      </c>
      <c r="W98" s="81">
        <f>'AD8 Stat'!W98+'AD9'!W98+'AD10'!W98+'AD11'!W98+'AD12'!W98+'AD13'!W98</f>
        <v>0</v>
      </c>
      <c r="X98" s="17"/>
    </row>
    <row r="99" spans="1:24">
      <c r="A99" s="6">
        <f t="shared" si="16"/>
        <v>1996</v>
      </c>
      <c r="B99" s="81"/>
      <c r="C99" s="81"/>
      <c r="D99" s="81"/>
      <c r="E99" s="81"/>
      <c r="F99" s="81"/>
      <c r="G99" s="81">
        <f t="shared" si="13"/>
        <v>24789641.930000007</v>
      </c>
      <c r="H99" s="81">
        <f t="shared" si="13"/>
        <v>-3463925.9199999869</v>
      </c>
      <c r="I99" s="81">
        <f t="shared" si="13"/>
        <v>-1731962.9599999934</v>
      </c>
      <c r="J99" s="81">
        <f t="shared" si="13"/>
        <v>-29985530.809999995</v>
      </c>
      <c r="K99" s="81">
        <f t="shared" si="13"/>
        <v>26521604.890000004</v>
      </c>
      <c r="L99" s="81">
        <f t="shared" si="13"/>
        <v>26521604.890000004</v>
      </c>
      <c r="M99" s="81">
        <f t="shared" si="13"/>
        <v>0</v>
      </c>
      <c r="N99" s="81">
        <f t="shared" si="13"/>
        <v>0</v>
      </c>
      <c r="O99" s="81">
        <f t="shared" si="12"/>
        <v>0</v>
      </c>
      <c r="P99" s="81">
        <f t="shared" si="13"/>
        <v>-29985530.809999995</v>
      </c>
      <c r="Q99" s="81">
        <f t="shared" si="13"/>
        <v>26521604.890000004</v>
      </c>
      <c r="R99" s="81">
        <f t="shared" si="13"/>
        <v>-3463925.9199999869</v>
      </c>
      <c r="S99" s="81">
        <f t="shared" si="13"/>
        <v>0</v>
      </c>
      <c r="T99" s="81">
        <f t="shared" si="13"/>
        <v>0</v>
      </c>
      <c r="U99" s="81">
        <f t="shared" si="14"/>
        <v>0</v>
      </c>
      <c r="V99" s="81">
        <f t="shared" si="15"/>
        <v>-3463925.9199999869</v>
      </c>
      <c r="W99" s="81">
        <f>'AD8 Stat'!W99+'AD9'!W99+'AD10'!W99+'AD11'!W99+'AD12'!W99+'AD13'!W99</f>
        <v>0</v>
      </c>
      <c r="X99" s="17"/>
    </row>
    <row r="100" spans="1:24">
      <c r="A100" s="6">
        <f t="shared" si="16"/>
        <v>1997</v>
      </c>
      <c r="B100" s="81"/>
      <c r="C100" s="81"/>
      <c r="D100" s="81"/>
      <c r="E100" s="81"/>
      <c r="F100" s="81"/>
      <c r="G100" s="81">
        <f t="shared" si="13"/>
        <v>39198946.290000007</v>
      </c>
      <c r="H100" s="81">
        <f t="shared" si="13"/>
        <v>16105515.88000001</v>
      </c>
      <c r="I100" s="81">
        <f t="shared" si="13"/>
        <v>8052757.9400000051</v>
      </c>
      <c r="J100" s="81">
        <f t="shared" si="13"/>
        <v>-15040672.469999999</v>
      </c>
      <c r="K100" s="81">
        <f t="shared" si="13"/>
        <v>31146188.350000005</v>
      </c>
      <c r="L100" s="81">
        <f t="shared" si="13"/>
        <v>31146188.350000005</v>
      </c>
      <c r="M100" s="81">
        <f t="shared" si="13"/>
        <v>0</v>
      </c>
      <c r="N100" s="81">
        <f t="shared" si="13"/>
        <v>0</v>
      </c>
      <c r="O100" s="81">
        <f t="shared" si="12"/>
        <v>0</v>
      </c>
      <c r="P100" s="81">
        <f t="shared" si="13"/>
        <v>-15040672.469999999</v>
      </c>
      <c r="Q100" s="81">
        <f t="shared" si="13"/>
        <v>31146188.350000005</v>
      </c>
      <c r="R100" s="81">
        <f t="shared" si="13"/>
        <v>16105515.88000001</v>
      </c>
      <c r="S100" s="81">
        <f t="shared" si="13"/>
        <v>0</v>
      </c>
      <c r="T100" s="81">
        <f t="shared" si="13"/>
        <v>0</v>
      </c>
      <c r="U100" s="81">
        <f t="shared" si="14"/>
        <v>0</v>
      </c>
      <c r="V100" s="81">
        <f t="shared" si="15"/>
        <v>16105515.88000001</v>
      </c>
      <c r="W100" s="81">
        <f>'AD8 Stat'!W100+'AD9'!W100+'AD10'!W100+'AD11'!W100+'AD12'!W100+'AD13'!W100</f>
        <v>0</v>
      </c>
      <c r="X100" s="17"/>
    </row>
    <row r="101" spans="1:24">
      <c r="A101" s="6">
        <f t="shared" si="16"/>
        <v>1998</v>
      </c>
      <c r="B101" s="81"/>
      <c r="C101" s="81"/>
      <c r="D101" s="81"/>
      <c r="E101" s="81"/>
      <c r="F101" s="81"/>
      <c r="G101" s="81">
        <f t="shared" si="13"/>
        <v>-4699772.3600000069</v>
      </c>
      <c r="H101" s="81">
        <f t="shared" si="13"/>
        <v>-21652820.600000009</v>
      </c>
      <c r="I101" s="81">
        <f t="shared" si="13"/>
        <v>-33257152.840000004</v>
      </c>
      <c r="J101" s="81">
        <f t="shared" si="13"/>
        <v>-50210201.080000006</v>
      </c>
      <c r="K101" s="81">
        <f t="shared" si="13"/>
        <v>28557380.479999997</v>
      </c>
      <c r="L101" s="81">
        <f t="shared" si="13"/>
        <v>28557380.479999997</v>
      </c>
      <c r="M101" s="81">
        <f t="shared" si="13"/>
        <v>0</v>
      </c>
      <c r="N101" s="81">
        <f t="shared" si="13"/>
        <v>0</v>
      </c>
      <c r="O101" s="81">
        <f t="shared" si="12"/>
        <v>0</v>
      </c>
      <c r="P101" s="81">
        <f t="shared" si="13"/>
        <v>-50210201.080000006</v>
      </c>
      <c r="Q101" s="81">
        <f t="shared" si="13"/>
        <v>28557380.479999997</v>
      </c>
      <c r="R101" s="81">
        <f t="shared" si="13"/>
        <v>-21652820.600000009</v>
      </c>
      <c r="S101" s="81">
        <f t="shared" si="13"/>
        <v>0</v>
      </c>
      <c r="T101" s="81">
        <f t="shared" si="13"/>
        <v>0</v>
      </c>
      <c r="U101" s="81">
        <f t="shared" si="14"/>
        <v>0</v>
      </c>
      <c r="V101" s="81">
        <f t="shared" si="15"/>
        <v>-21652820.600000009</v>
      </c>
      <c r="W101" s="81">
        <f>'AD8 Stat'!W101+'AD9'!W101+'AD10'!W101+'AD11'!W101+'AD12'!W101+'AD13'!W101</f>
        <v>0</v>
      </c>
      <c r="X101" s="17"/>
    </row>
    <row r="102" spans="1:24">
      <c r="A102" s="6">
        <f t="shared" si="16"/>
        <v>1999</v>
      </c>
      <c r="B102" s="81"/>
      <c r="C102" s="81"/>
      <c r="D102" s="81"/>
      <c r="E102" s="81"/>
      <c r="F102" s="81"/>
      <c r="G102" s="81">
        <f t="shared" si="13"/>
        <v>9864784.5300000012</v>
      </c>
      <c r="H102" s="81">
        <f t="shared" si="13"/>
        <v>538212.9299999997</v>
      </c>
      <c r="I102" s="81">
        <f t="shared" si="13"/>
        <v>-18452565.430000011</v>
      </c>
      <c r="J102" s="81">
        <f t="shared" si="13"/>
        <v>-27779137.030000009</v>
      </c>
      <c r="K102" s="81">
        <f t="shared" si="13"/>
        <v>28317349.960000001</v>
      </c>
      <c r="L102" s="81">
        <f t="shared" si="13"/>
        <v>28317349.960000001</v>
      </c>
      <c r="M102" s="81">
        <f t="shared" si="13"/>
        <v>0</v>
      </c>
      <c r="N102" s="81">
        <f t="shared" si="13"/>
        <v>0</v>
      </c>
      <c r="O102" s="81">
        <f t="shared" si="12"/>
        <v>0</v>
      </c>
      <c r="P102" s="81">
        <f t="shared" si="13"/>
        <v>-27779137.030000009</v>
      </c>
      <c r="Q102" s="81">
        <f t="shared" si="13"/>
        <v>28317349.960000001</v>
      </c>
      <c r="R102" s="81">
        <f t="shared" si="13"/>
        <v>538212.9299999997</v>
      </c>
      <c r="S102" s="81">
        <f t="shared" si="13"/>
        <v>0</v>
      </c>
      <c r="T102" s="81">
        <f t="shared" si="13"/>
        <v>0</v>
      </c>
      <c r="U102" s="81">
        <f t="shared" si="14"/>
        <v>0</v>
      </c>
      <c r="V102" s="81">
        <f t="shared" si="15"/>
        <v>538212.9299999997</v>
      </c>
      <c r="W102" s="81">
        <f>'AD8 Stat'!W102+'AD9'!W102+'AD10'!W102+'AD11'!W102+'AD12'!W102+'AD13'!W102</f>
        <v>0</v>
      </c>
      <c r="X102" s="17"/>
    </row>
    <row r="103" spans="1:24">
      <c r="A103" s="6">
        <f t="shared" si="16"/>
        <v>2000</v>
      </c>
      <c r="B103" s="81"/>
      <c r="C103" s="81"/>
      <c r="D103" s="81"/>
      <c r="E103" s="81"/>
      <c r="F103" s="81"/>
      <c r="G103" s="81">
        <f t="shared" si="13"/>
        <v>22052695.559999973</v>
      </c>
      <c r="H103" s="81">
        <f t="shared" si="13"/>
        <v>16148991.189999972</v>
      </c>
      <c r="I103" s="81">
        <f t="shared" si="13"/>
        <v>-11701638.22000001</v>
      </c>
      <c r="J103" s="81">
        <f t="shared" si="13"/>
        <v>-17605342.590000011</v>
      </c>
      <c r="K103" s="81">
        <f t="shared" si="13"/>
        <v>33754333.779999994</v>
      </c>
      <c r="L103" s="81">
        <f t="shared" si="13"/>
        <v>33754333.779999994</v>
      </c>
      <c r="M103" s="81">
        <f t="shared" si="13"/>
        <v>0</v>
      </c>
      <c r="N103" s="81">
        <f t="shared" si="13"/>
        <v>0</v>
      </c>
      <c r="O103" s="81">
        <f t="shared" si="12"/>
        <v>0</v>
      </c>
      <c r="P103" s="81">
        <f t="shared" si="13"/>
        <v>-17605342.590000011</v>
      </c>
      <c r="Q103" s="81">
        <f t="shared" si="13"/>
        <v>33754333.779999994</v>
      </c>
      <c r="R103" s="81">
        <f t="shared" si="13"/>
        <v>16148991.189999979</v>
      </c>
      <c r="S103" s="81">
        <f t="shared" si="13"/>
        <v>0</v>
      </c>
      <c r="T103" s="81">
        <f t="shared" si="13"/>
        <v>0</v>
      </c>
      <c r="U103" s="81">
        <f t="shared" si="14"/>
        <v>0</v>
      </c>
      <c r="V103" s="81">
        <f t="shared" si="15"/>
        <v>16148991.189999979</v>
      </c>
      <c r="W103" s="81">
        <f>'AD8 Stat'!W103+'AD9'!W103+'AD10'!W103+'AD11'!W103+'AD12'!W103+'AD13'!W103</f>
        <v>0</v>
      </c>
      <c r="X103" s="17"/>
    </row>
    <row r="104" spans="1:24">
      <c r="A104" s="6">
        <f t="shared" si="16"/>
        <v>2001</v>
      </c>
      <c r="B104" s="81"/>
      <c r="C104" s="81"/>
      <c r="D104" s="81"/>
      <c r="E104" s="81"/>
      <c r="F104" s="81"/>
      <c r="G104" s="81">
        <f t="shared" si="13"/>
        <v>13883074.739999998</v>
      </c>
      <c r="H104" s="81">
        <f t="shared" si="13"/>
        <v>5237185.5899999961</v>
      </c>
      <c r="I104" s="81">
        <f t="shared" si="13"/>
        <v>-17092693.140000004</v>
      </c>
      <c r="J104" s="81">
        <f t="shared" si="13"/>
        <v>-25738582.290000003</v>
      </c>
      <c r="K104" s="81">
        <f t="shared" si="13"/>
        <v>30975767.880000003</v>
      </c>
      <c r="L104" s="81">
        <f t="shared" si="13"/>
        <v>30975767.880000003</v>
      </c>
      <c r="M104" s="81">
        <f t="shared" si="13"/>
        <v>0</v>
      </c>
      <c r="N104" s="81">
        <f t="shared" si="13"/>
        <v>0</v>
      </c>
      <c r="O104" s="81">
        <f t="shared" si="12"/>
        <v>0</v>
      </c>
      <c r="P104" s="81">
        <f t="shared" si="13"/>
        <v>-25738582.290000003</v>
      </c>
      <c r="Q104" s="81">
        <f t="shared" si="13"/>
        <v>30975767.880000003</v>
      </c>
      <c r="R104" s="81">
        <f t="shared" si="13"/>
        <v>5237185.5899999961</v>
      </c>
      <c r="S104" s="81">
        <f t="shared" si="13"/>
        <v>0</v>
      </c>
      <c r="T104" s="81">
        <f t="shared" si="13"/>
        <v>0</v>
      </c>
      <c r="U104" s="81">
        <f t="shared" si="14"/>
        <v>0</v>
      </c>
      <c r="V104" s="81">
        <f t="shared" si="15"/>
        <v>5237185.5899999961</v>
      </c>
      <c r="W104" s="81">
        <f>'AD8 Stat'!W104+'AD9'!W104+'AD10'!W104+'AD11'!W104+'AD12'!W104+'AD13'!W104</f>
        <v>0</v>
      </c>
      <c r="X104" s="17"/>
    </row>
    <row r="105" spans="1:24">
      <c r="A105" s="6">
        <f t="shared" si="16"/>
        <v>2002</v>
      </c>
      <c r="B105" s="81"/>
      <c r="C105" s="81"/>
      <c r="D105" s="81"/>
      <c r="E105" s="81"/>
      <c r="F105" s="81"/>
      <c r="G105" s="81">
        <f t="shared" si="13"/>
        <v>20740150.699999992</v>
      </c>
      <c r="H105" s="81">
        <f t="shared" si="13"/>
        <v>20194757.799999993</v>
      </c>
      <c r="I105" s="81">
        <f t="shared" si="13"/>
        <v>-1055282.8600000045</v>
      </c>
      <c r="J105" s="81">
        <f t="shared" si="13"/>
        <v>-1600675.7600000044</v>
      </c>
      <c r="K105" s="81">
        <f t="shared" si="13"/>
        <v>21795433.559999995</v>
      </c>
      <c r="L105" s="81">
        <f t="shared" si="13"/>
        <v>21795433.559999995</v>
      </c>
      <c r="M105" s="81">
        <f t="shared" si="13"/>
        <v>0</v>
      </c>
      <c r="N105" s="81">
        <f t="shared" si="13"/>
        <v>0</v>
      </c>
      <c r="O105" s="81">
        <f t="shared" si="12"/>
        <v>0</v>
      </c>
      <c r="P105" s="81">
        <f t="shared" si="13"/>
        <v>-1600675.7600000044</v>
      </c>
      <c r="Q105" s="81">
        <f t="shared" si="13"/>
        <v>21795433.559999995</v>
      </c>
      <c r="R105" s="81">
        <f t="shared" si="13"/>
        <v>20194757.799999993</v>
      </c>
      <c r="S105" s="81">
        <f t="shared" si="13"/>
        <v>0</v>
      </c>
      <c r="T105" s="81">
        <f t="shared" si="13"/>
        <v>0</v>
      </c>
      <c r="U105" s="81">
        <f t="shared" si="14"/>
        <v>0</v>
      </c>
      <c r="V105" s="81">
        <f t="shared" si="15"/>
        <v>20194757.799999993</v>
      </c>
      <c r="W105" s="81">
        <f>'AD8 Stat'!W105+'AD9'!W105+'AD10'!W105+'AD11'!W105+'AD12'!W105+'AD13'!W105</f>
        <v>0</v>
      </c>
      <c r="X105" s="17"/>
    </row>
    <row r="106" spans="1:24">
      <c r="A106" s="6">
        <f t="shared" si="16"/>
        <v>2003</v>
      </c>
      <c r="B106" s="81"/>
      <c r="C106" s="81"/>
      <c r="D106" s="81"/>
      <c r="E106" s="81"/>
      <c r="F106" s="81"/>
      <c r="G106" s="81">
        <f t="shared" si="13"/>
        <v>19468808.190000009</v>
      </c>
      <c r="H106" s="81">
        <f t="shared" si="13"/>
        <v>18138778.680000007</v>
      </c>
      <c r="I106" s="81">
        <f t="shared" si="13"/>
        <v>-2250456.0499999966</v>
      </c>
      <c r="J106" s="81">
        <f t="shared" si="13"/>
        <v>-3580485.5599999963</v>
      </c>
      <c r="K106" s="81">
        <f t="shared" si="13"/>
        <v>21719264.239999998</v>
      </c>
      <c r="L106" s="81">
        <f t="shared" si="13"/>
        <v>21719264.240000002</v>
      </c>
      <c r="M106" s="81">
        <f t="shared" si="13"/>
        <v>0</v>
      </c>
      <c r="N106" s="81">
        <f t="shared" si="13"/>
        <v>0</v>
      </c>
      <c r="O106" s="81">
        <f t="shared" si="12"/>
        <v>0</v>
      </c>
      <c r="P106" s="81">
        <f t="shared" si="13"/>
        <v>-3580485.5599999963</v>
      </c>
      <c r="Q106" s="81">
        <f t="shared" si="13"/>
        <v>21719264.240000002</v>
      </c>
      <c r="R106" s="81">
        <f t="shared" si="13"/>
        <v>18138778.680000003</v>
      </c>
      <c r="S106" s="81">
        <f t="shared" si="13"/>
        <v>0</v>
      </c>
      <c r="T106" s="81">
        <f t="shared" si="13"/>
        <v>0</v>
      </c>
      <c r="U106" s="81">
        <f t="shared" si="14"/>
        <v>0</v>
      </c>
      <c r="V106" s="81">
        <f t="shared" si="15"/>
        <v>18138778.680000003</v>
      </c>
      <c r="W106" s="81">
        <f>'AD8 Stat'!W106+'AD9'!W106+'AD10'!W106+'AD11'!W106+'AD12'!W106+'AD13'!W106</f>
        <v>0</v>
      </c>
      <c r="X106" s="17"/>
    </row>
    <row r="107" spans="1:24">
      <c r="A107" s="6">
        <f t="shared" si="16"/>
        <v>2004</v>
      </c>
      <c r="B107" s="81"/>
      <c r="C107" s="81"/>
      <c r="D107" s="81"/>
      <c r="E107" s="81"/>
      <c r="F107" s="81"/>
      <c r="G107" s="81">
        <f t="shared" si="13"/>
        <v>20258367.849999998</v>
      </c>
      <c r="H107" s="81">
        <f t="shared" si="13"/>
        <v>20554910.379999995</v>
      </c>
      <c r="I107" s="81">
        <f t="shared" si="13"/>
        <v>242484.84999999776</v>
      </c>
      <c r="J107" s="81">
        <f t="shared" si="13"/>
        <v>281104.57999999821</v>
      </c>
      <c r="K107" s="81">
        <f t="shared" si="13"/>
        <v>20015883</v>
      </c>
      <c r="L107" s="81">
        <f t="shared" si="13"/>
        <v>20273805.799999997</v>
      </c>
      <c r="M107" s="81">
        <f t="shared" si="13"/>
        <v>0</v>
      </c>
      <c r="N107" s="81">
        <f t="shared" si="13"/>
        <v>0</v>
      </c>
      <c r="O107" s="81">
        <f t="shared" si="12"/>
        <v>0</v>
      </c>
      <c r="P107" s="81">
        <f t="shared" si="13"/>
        <v>281104.57999999821</v>
      </c>
      <c r="Q107" s="81">
        <f t="shared" si="13"/>
        <v>20273805.799999997</v>
      </c>
      <c r="R107" s="81">
        <f t="shared" si="13"/>
        <v>20554910.379999995</v>
      </c>
      <c r="S107" s="81">
        <f t="shared" si="13"/>
        <v>1146.0851942027116</v>
      </c>
      <c r="T107" s="81">
        <f t="shared" si="13"/>
        <v>0</v>
      </c>
      <c r="U107" s="81">
        <f t="shared" si="14"/>
        <v>1146.0851942027116</v>
      </c>
      <c r="V107" s="81">
        <f t="shared" si="15"/>
        <v>20556056.465194199</v>
      </c>
      <c r="W107" s="81">
        <f>'AD8 Stat'!W107+'AD9'!W107+'AD10'!W107+'AD11'!W107+'AD12'!W107+'AD13'!W107</f>
        <v>0</v>
      </c>
      <c r="X107" s="17"/>
    </row>
    <row r="108" spans="1:24">
      <c r="A108" s="6">
        <f t="shared" si="16"/>
        <v>2005</v>
      </c>
      <c r="B108" s="81"/>
      <c r="C108" s="81"/>
      <c r="D108" s="81"/>
      <c r="E108" s="81"/>
      <c r="F108" s="81"/>
      <c r="G108" s="81">
        <f t="shared" si="13"/>
        <v>20715313.890000001</v>
      </c>
      <c r="H108" s="81">
        <f t="shared" si="13"/>
        <v>19981848.93</v>
      </c>
      <c r="I108" s="81">
        <f t="shared" si="13"/>
        <v>-921932.68000000063</v>
      </c>
      <c r="J108" s="81">
        <f t="shared" si="13"/>
        <v>-1655397.6400000006</v>
      </c>
      <c r="K108" s="81">
        <f t="shared" si="13"/>
        <v>21637246.57</v>
      </c>
      <c r="L108" s="81">
        <f t="shared" si="13"/>
        <v>21637246.57</v>
      </c>
      <c r="M108" s="81">
        <f t="shared" si="13"/>
        <v>0</v>
      </c>
      <c r="N108" s="81">
        <f t="shared" si="13"/>
        <v>0</v>
      </c>
      <c r="O108" s="81">
        <f t="shared" si="12"/>
        <v>0</v>
      </c>
      <c r="P108" s="81">
        <f t="shared" si="13"/>
        <v>-1655397.6400000006</v>
      </c>
      <c r="Q108" s="81">
        <f t="shared" si="13"/>
        <v>21637246.57</v>
      </c>
      <c r="R108" s="81">
        <f t="shared" si="13"/>
        <v>19981848.93</v>
      </c>
      <c r="S108" s="81">
        <f t="shared" si="13"/>
        <v>0</v>
      </c>
      <c r="T108" s="81">
        <f t="shared" si="13"/>
        <v>0</v>
      </c>
      <c r="U108" s="81">
        <f t="shared" si="14"/>
        <v>0</v>
      </c>
      <c r="V108" s="81">
        <f t="shared" si="15"/>
        <v>19981848.93</v>
      </c>
      <c r="W108" s="81">
        <f>'AD8 Stat'!W108+'AD9'!W108+'AD10'!W108+'AD11'!W108+'AD12'!W108+'AD13'!W108</f>
        <v>0</v>
      </c>
      <c r="X108" s="17"/>
    </row>
    <row r="109" spans="1:24">
      <c r="A109" s="6">
        <f t="shared" si="16"/>
        <v>2006</v>
      </c>
      <c r="B109" s="81"/>
      <c r="C109" s="81"/>
      <c r="D109" s="81"/>
      <c r="E109" s="81"/>
      <c r="F109" s="81"/>
      <c r="G109" s="81">
        <f t="shared" si="13"/>
        <v>19700877.090000004</v>
      </c>
      <c r="H109" s="81" t="e">
        <f t="shared" si="13"/>
        <v>#REF!</v>
      </c>
      <c r="I109" s="81">
        <f t="shared" si="13"/>
        <v>-1577754.8799999994</v>
      </c>
      <c r="J109" s="81" t="e">
        <f t="shared" si="13"/>
        <v>#REF!</v>
      </c>
      <c r="K109" s="81">
        <f t="shared" si="13"/>
        <v>21278631.969999999</v>
      </c>
      <c r="L109" s="81">
        <f t="shared" si="13"/>
        <v>23767841.519999996</v>
      </c>
      <c r="M109" s="81">
        <f t="shared" si="13"/>
        <v>0</v>
      </c>
      <c r="N109" s="81">
        <f t="shared" si="13"/>
        <v>0</v>
      </c>
      <c r="O109" s="81">
        <f t="shared" si="12"/>
        <v>0</v>
      </c>
      <c r="P109" s="81" t="e">
        <f t="shared" si="13"/>
        <v>#REF!</v>
      </c>
      <c r="Q109" s="81">
        <f t="shared" si="13"/>
        <v>23767841.519999996</v>
      </c>
      <c r="R109" s="81" t="e">
        <f t="shared" si="13"/>
        <v>#REF!</v>
      </c>
      <c r="S109" s="81">
        <f t="shared" si="13"/>
        <v>0</v>
      </c>
      <c r="T109" s="81">
        <f t="shared" si="13"/>
        <v>0</v>
      </c>
      <c r="U109" s="81">
        <f t="shared" si="14"/>
        <v>0</v>
      </c>
      <c r="V109" s="81" t="e">
        <f t="shared" si="15"/>
        <v>#REF!</v>
      </c>
      <c r="W109" s="81">
        <f>'AD8 Stat'!W109+'AD9'!W109+'AD10'!W109+'AD11'!W109+'AD12'!W109+'AD13'!W109</f>
        <v>0</v>
      </c>
      <c r="X109" s="17"/>
    </row>
    <row r="110" spans="1:24">
      <c r="A110" s="6">
        <f t="shared" si="16"/>
        <v>2007</v>
      </c>
      <c r="B110" s="81"/>
      <c r="C110" s="81"/>
      <c r="D110" s="81"/>
      <c r="E110" s="81"/>
      <c r="F110" s="81"/>
      <c r="G110" s="81">
        <f t="shared" si="13"/>
        <v>13880962.800000001</v>
      </c>
      <c r="H110" s="81">
        <f t="shared" si="13"/>
        <v>16605038.48</v>
      </c>
      <c r="I110" s="81">
        <f t="shared" si="13"/>
        <v>-3375938.4800000004</v>
      </c>
      <c r="J110" s="81">
        <f t="shared" si="13"/>
        <v>-2872244.5500000007</v>
      </c>
      <c r="K110" s="81">
        <f t="shared" si="13"/>
        <v>17256901.280000001</v>
      </c>
      <c r="L110" s="81">
        <f t="shared" si="13"/>
        <v>19477283.030000001</v>
      </c>
      <c r="M110" s="81">
        <f t="shared" si="13"/>
        <v>0</v>
      </c>
      <c r="N110" s="81">
        <f t="shared" si="13"/>
        <v>0</v>
      </c>
      <c r="O110" s="81">
        <f t="shared" si="12"/>
        <v>0</v>
      </c>
      <c r="P110" s="81">
        <f t="shared" si="13"/>
        <v>-2872244.5500000007</v>
      </c>
      <c r="Q110" s="81">
        <f t="shared" si="13"/>
        <v>19477283.030000001</v>
      </c>
      <c r="R110" s="81">
        <f t="shared" si="13"/>
        <v>16605038.48</v>
      </c>
      <c r="S110" s="81">
        <f t="shared" si="13"/>
        <v>0</v>
      </c>
      <c r="T110" s="81">
        <f t="shared" si="13"/>
        <v>416.96689735816676</v>
      </c>
      <c r="U110" s="81">
        <f t="shared" si="14"/>
        <v>416.96689735816676</v>
      </c>
      <c r="V110" s="81">
        <f t="shared" si="15"/>
        <v>16605455.446897358</v>
      </c>
      <c r="W110" s="81">
        <f>'AD8 Stat'!W110+'AD9'!W110+'AD10'!W110+'AD11'!W110+'AD12'!W110+'AD13'!W110</f>
        <v>0</v>
      </c>
      <c r="X110" s="17"/>
    </row>
    <row r="111" spans="1:24">
      <c r="A111" s="6">
        <f t="shared" si="16"/>
        <v>2008</v>
      </c>
      <c r="B111" s="81"/>
      <c r="C111" s="81"/>
      <c r="D111" s="81"/>
      <c r="E111" s="81"/>
      <c r="F111" s="81"/>
      <c r="G111" s="81">
        <f t="shared" si="13"/>
        <v>19260694.27</v>
      </c>
      <c r="H111" s="81">
        <f t="shared" si="13"/>
        <v>36202787.539999999</v>
      </c>
      <c r="I111" s="81">
        <f t="shared" si="13"/>
        <v>-3748292.5600000005</v>
      </c>
      <c r="J111" s="81">
        <f t="shared" si="13"/>
        <v>3658317.8200000003</v>
      </c>
      <c r="K111" s="81">
        <f t="shared" si="13"/>
        <v>23008986.829999998</v>
      </c>
      <c r="L111" s="81">
        <f t="shared" si="13"/>
        <v>32544469.719999995</v>
      </c>
      <c r="M111" s="81">
        <f t="shared" si="13"/>
        <v>0</v>
      </c>
      <c r="N111" s="81">
        <f t="shared" si="13"/>
        <v>0</v>
      </c>
      <c r="O111" s="81">
        <f t="shared" si="12"/>
        <v>0</v>
      </c>
      <c r="P111" s="81">
        <f t="shared" si="13"/>
        <v>3658317.8200000003</v>
      </c>
      <c r="Q111" s="81">
        <f t="shared" si="13"/>
        <v>32544469.719999995</v>
      </c>
      <c r="R111" s="81">
        <f t="shared" si="13"/>
        <v>36202787.539999999</v>
      </c>
      <c r="S111" s="81">
        <f t="shared" si="13"/>
        <v>0</v>
      </c>
      <c r="T111" s="81">
        <f t="shared" si="13"/>
        <v>36230.974506352737</v>
      </c>
      <c r="U111" s="81">
        <f t="shared" si="14"/>
        <v>36230.974506352737</v>
      </c>
      <c r="V111" s="81">
        <f t="shared" si="15"/>
        <v>36239018.514506355</v>
      </c>
      <c r="W111" s="81">
        <f>'AD8 Stat'!W111+'AD9'!W111+'AD10'!W111+'AD11'!W111+'AD12'!W111+'AD13'!W111</f>
        <v>0</v>
      </c>
      <c r="X111" s="17"/>
    </row>
    <row r="112" spans="1:24">
      <c r="A112" s="6">
        <f t="shared" si="16"/>
        <v>2009</v>
      </c>
      <c r="B112" s="81"/>
      <c r="C112" s="81"/>
      <c r="D112" s="81"/>
      <c r="E112" s="81"/>
      <c r="F112" s="81"/>
      <c r="G112" s="81">
        <f t="shared" ref="G112:T124" si="17">G32-G72</f>
        <v>-12498174.138964908</v>
      </c>
      <c r="H112" s="81">
        <f t="shared" si="17"/>
        <v>-322811.13896490633</v>
      </c>
      <c r="I112" s="81">
        <f t="shared" si="17"/>
        <v>-27528800.518964909</v>
      </c>
      <c r="J112" s="81">
        <f t="shared" si="17"/>
        <v>-22830538.918964904</v>
      </c>
      <c r="K112" s="81">
        <f t="shared" si="17"/>
        <v>15030626.379999997</v>
      </c>
      <c r="L112" s="81">
        <f t="shared" si="17"/>
        <v>22507727.779999997</v>
      </c>
      <c r="M112" s="81">
        <f t="shared" si="17"/>
        <v>49.437654141832901</v>
      </c>
      <c r="N112" s="81">
        <f t="shared" si="17"/>
        <v>14.352867331499873</v>
      </c>
      <c r="O112" s="81">
        <f t="shared" si="12"/>
        <v>63.790521473332774</v>
      </c>
      <c r="P112" s="81">
        <f t="shared" si="17"/>
        <v>-22830489.481310762</v>
      </c>
      <c r="Q112" s="81">
        <f t="shared" si="17"/>
        <v>22507742.132867329</v>
      </c>
      <c r="R112" s="81">
        <f t="shared" si="17"/>
        <v>-322747.34844343364</v>
      </c>
      <c r="S112" s="81">
        <f t="shared" si="17"/>
        <v>1.8930575690471381</v>
      </c>
      <c r="T112" s="81">
        <f t="shared" si="17"/>
        <v>0</v>
      </c>
      <c r="U112" s="81">
        <f t="shared" si="14"/>
        <v>1.8930575690471381</v>
      </c>
      <c r="V112" s="81">
        <f t="shared" si="15"/>
        <v>-322745.4553858646</v>
      </c>
      <c r="W112" s="81">
        <f>'AD8 Stat'!W112+'AD9'!W112+'AD10'!W112+'AD11'!W112+'AD12'!W112+'AD13'!W112</f>
        <v>0</v>
      </c>
      <c r="X112" s="17"/>
    </row>
    <row r="113" spans="1:24">
      <c r="A113" s="6">
        <f t="shared" si="16"/>
        <v>2010</v>
      </c>
      <c r="B113" s="81"/>
      <c r="C113" s="81"/>
      <c r="D113" s="81"/>
      <c r="E113" s="81"/>
      <c r="F113" s="81"/>
      <c r="G113" s="81">
        <f t="shared" si="17"/>
        <v>-14460223.32706717</v>
      </c>
      <c r="H113" s="81">
        <f t="shared" si="17"/>
        <v>24731717.992932819</v>
      </c>
      <c r="I113" s="81">
        <f t="shared" si="17"/>
        <v>-32920513.847067174</v>
      </c>
      <c r="J113" s="81">
        <f t="shared" si="17"/>
        <v>-17733207.857067171</v>
      </c>
      <c r="K113" s="81">
        <f t="shared" si="17"/>
        <v>18460290.520000003</v>
      </c>
      <c r="L113" s="81">
        <f t="shared" si="17"/>
        <v>42464925.850000009</v>
      </c>
      <c r="M113" s="81">
        <f t="shared" si="17"/>
        <v>613.83894569795814</v>
      </c>
      <c r="N113" s="81">
        <f t="shared" si="17"/>
        <v>178.2113068155362</v>
      </c>
      <c r="O113" s="81">
        <f t="shared" si="12"/>
        <v>792.05025251349434</v>
      </c>
      <c r="P113" s="81">
        <f t="shared" si="17"/>
        <v>-17732594.018121473</v>
      </c>
      <c r="Q113" s="81">
        <f t="shared" si="17"/>
        <v>42465104.061306819</v>
      </c>
      <c r="R113" s="81">
        <f t="shared" si="17"/>
        <v>24732510.043185338</v>
      </c>
      <c r="S113" s="81">
        <f t="shared" si="17"/>
        <v>13191.377017534356</v>
      </c>
      <c r="T113" s="81">
        <f t="shared" si="17"/>
        <v>1024907.9999999999</v>
      </c>
      <c r="U113" s="81">
        <f t="shared" si="14"/>
        <v>1038099.3770175342</v>
      </c>
      <c r="V113" s="81">
        <f t="shared" si="15"/>
        <v>25770609.420202874</v>
      </c>
      <c r="W113" s="81">
        <f>'AD8 Stat'!W113+'AD9'!W113+'AD10'!W113+'AD11'!W113+'AD12'!W113+'AD13'!W113</f>
        <v>0</v>
      </c>
      <c r="X113" s="17"/>
    </row>
    <row r="114" spans="1:24">
      <c r="A114" s="6">
        <f t="shared" si="16"/>
        <v>2011</v>
      </c>
      <c r="B114" s="81"/>
      <c r="C114" s="81"/>
      <c r="D114" s="81"/>
      <c r="E114" s="81"/>
      <c r="F114" s="81"/>
      <c r="G114" s="81">
        <f t="shared" si="17"/>
        <v>-17228226.13397466</v>
      </c>
      <c r="H114" s="81">
        <f t="shared" si="17"/>
        <v>7817327.6960253343</v>
      </c>
      <c r="I114" s="81">
        <f t="shared" si="17"/>
        <v>-34006416.983974665</v>
      </c>
      <c r="J114" s="81">
        <f t="shared" si="17"/>
        <v>-28612178.813974664</v>
      </c>
      <c r="K114" s="81">
        <f t="shared" si="17"/>
        <v>16778190.850000001</v>
      </c>
      <c r="L114" s="81">
        <f t="shared" si="17"/>
        <v>36429506.50999999</v>
      </c>
      <c r="M114" s="81">
        <f t="shared" si="17"/>
        <v>5192.9413042455217</v>
      </c>
      <c r="N114" s="81">
        <f t="shared" si="17"/>
        <v>1507.7055778531126</v>
      </c>
      <c r="O114" s="81">
        <f t="shared" si="12"/>
        <v>6700.6468820986338</v>
      </c>
      <c r="P114" s="81">
        <f t="shared" si="17"/>
        <v>-28606985.872670416</v>
      </c>
      <c r="Q114" s="81">
        <f t="shared" si="17"/>
        <v>36431014.215577856</v>
      </c>
      <c r="R114" s="81">
        <f t="shared" si="17"/>
        <v>7824028.3429074362</v>
      </c>
      <c r="S114" s="81">
        <f t="shared" si="17"/>
        <v>66651.443645766369</v>
      </c>
      <c r="T114" s="81">
        <f t="shared" si="17"/>
        <v>814224.85623338772</v>
      </c>
      <c r="U114" s="81">
        <f t="shared" si="14"/>
        <v>880876.29987915407</v>
      </c>
      <c r="V114" s="81">
        <f t="shared" si="15"/>
        <v>8704904.6427865904</v>
      </c>
      <c r="W114" s="81">
        <f>'AD8 Stat'!W114+'AD9'!W114+'AD10'!W114+'AD11'!W114+'AD12'!W114+'AD13'!W114</f>
        <v>31440951.319999997</v>
      </c>
      <c r="X114" s="17"/>
    </row>
    <row r="115" spans="1:24">
      <c r="A115" s="6">
        <f t="shared" si="16"/>
        <v>2012</v>
      </c>
      <c r="B115" s="81"/>
      <c r="C115" s="81"/>
      <c r="D115" s="81"/>
      <c r="E115" s="81"/>
      <c r="F115" s="81"/>
      <c r="G115" s="81">
        <f t="shared" si="17"/>
        <v>-6698105.1148546534</v>
      </c>
      <c r="H115" s="81">
        <f t="shared" si="17"/>
        <v>42371246.469145343</v>
      </c>
      <c r="I115" s="81">
        <f t="shared" si="17"/>
        <v>-19260169.834854659</v>
      </c>
      <c r="J115" s="81">
        <f t="shared" si="17"/>
        <v>877261.67214534339</v>
      </c>
      <c r="K115" s="81">
        <f t="shared" si="17"/>
        <v>12562064.720000001</v>
      </c>
      <c r="L115" s="81">
        <f t="shared" si="17"/>
        <v>41493984.796999998</v>
      </c>
      <c r="M115" s="81">
        <f t="shared" si="17"/>
        <v>21016.299332862101</v>
      </c>
      <c r="N115" s="81">
        <f t="shared" si="17"/>
        <v>7832.2365417650799</v>
      </c>
      <c r="O115" s="81">
        <f t="shared" si="12"/>
        <v>28848.535874627181</v>
      </c>
      <c r="P115" s="81">
        <f t="shared" si="17"/>
        <v>918297.76415320719</v>
      </c>
      <c r="Q115" s="81">
        <f t="shared" si="17"/>
        <v>41508824.08386676</v>
      </c>
      <c r="R115" s="81">
        <f t="shared" si="17"/>
        <v>42400095.005019963</v>
      </c>
      <c r="S115" s="81">
        <f t="shared" si="17"/>
        <v>162601.4476080758</v>
      </c>
      <c r="T115" s="81">
        <f t="shared" si="17"/>
        <v>1027727.8965232198</v>
      </c>
      <c r="U115" s="81">
        <f t="shared" si="14"/>
        <v>1190329.3441312956</v>
      </c>
      <c r="V115" s="81">
        <f t="shared" si="15"/>
        <v>43590424.349151261</v>
      </c>
      <c r="W115" s="81">
        <f>'AD8 Stat'!W115+'AD9'!W115+'AD10'!W115+'AD11'!W115+'AD12'!W115+'AD13'!W115</f>
        <v>34425999.399999999</v>
      </c>
      <c r="X115" s="17"/>
    </row>
    <row r="116" spans="1:24">
      <c r="A116" s="6">
        <f t="shared" si="16"/>
        <v>2013</v>
      </c>
      <c r="B116" s="81"/>
      <c r="C116" s="81"/>
      <c r="D116" s="81"/>
      <c r="E116" s="81"/>
      <c r="F116" s="81"/>
      <c r="G116" s="81">
        <f t="shared" si="17"/>
        <v>-3913521.9477060325</v>
      </c>
      <c r="H116" s="81">
        <f t="shared" si="17"/>
        <v>14406457.506293971</v>
      </c>
      <c r="I116" s="81">
        <f t="shared" si="17"/>
        <v>-21981547.294706032</v>
      </c>
      <c r="J116" s="81">
        <f t="shared" si="17"/>
        <v>-15176704.237706028</v>
      </c>
      <c r="K116" s="81">
        <f t="shared" si="17"/>
        <v>18068025.346999995</v>
      </c>
      <c r="L116" s="81">
        <f t="shared" si="17"/>
        <v>29583161.743999992</v>
      </c>
      <c r="M116" s="81">
        <f t="shared" si="17"/>
        <v>555636.88882416976</v>
      </c>
      <c r="N116" s="81">
        <f t="shared" si="17"/>
        <v>-424430.1495386702</v>
      </c>
      <c r="O116" s="81">
        <f t="shared" si="12"/>
        <v>131206.73928549886</v>
      </c>
      <c r="P116" s="81">
        <f t="shared" si="17"/>
        <v>-2912244.6950228126</v>
      </c>
      <c r="Q116" s="81">
        <f t="shared" si="17"/>
        <v>29808368.229742981</v>
      </c>
      <c r="R116" s="81">
        <f t="shared" si="17"/>
        <v>14537664.245579461</v>
      </c>
      <c r="S116" s="81">
        <f t="shared" si="17"/>
        <v>182901.73442602859</v>
      </c>
      <c r="T116" s="81">
        <f t="shared" si="17"/>
        <v>1150171.6594028801</v>
      </c>
      <c r="U116" s="81">
        <f t="shared" si="14"/>
        <v>1333073.3938289087</v>
      </c>
      <c r="V116" s="81">
        <f t="shared" si="15"/>
        <v>15870737.639408369</v>
      </c>
      <c r="W116" s="81">
        <f>'AD8 Stat'!W116+'AD9'!W116+'AD10'!W116+'AD11'!W116+'AD12'!W116+'AD13'!W116</f>
        <v>34918217.002499998</v>
      </c>
      <c r="X116" s="17"/>
    </row>
    <row r="117" spans="1:24">
      <c r="A117" s="6">
        <f t="shared" si="16"/>
        <v>2014</v>
      </c>
      <c r="B117" s="81"/>
      <c r="C117" s="81"/>
      <c r="D117" s="81"/>
      <c r="E117" s="81"/>
      <c r="F117" s="81"/>
      <c r="G117" s="81">
        <f t="shared" si="17"/>
        <v>-11983559.137823891</v>
      </c>
      <c r="H117" s="81">
        <f t="shared" si="17"/>
        <v>17371904.747676112</v>
      </c>
      <c r="I117" s="81">
        <f t="shared" si="17"/>
        <v>-22927548.36332389</v>
      </c>
      <c r="J117" s="81">
        <f t="shared" si="17"/>
        <v>-13136461.711823892</v>
      </c>
      <c r="K117" s="81">
        <f t="shared" si="17"/>
        <v>10943989.225500001</v>
      </c>
      <c r="L117" s="81">
        <f t="shared" si="17"/>
        <v>30508366.459500007</v>
      </c>
      <c r="M117" s="81">
        <f t="shared" si="17"/>
        <v>2211077.3493048716</v>
      </c>
      <c r="N117" s="81">
        <f t="shared" si="17"/>
        <v>-325413.11024018424</v>
      </c>
      <c r="O117" s="81">
        <f t="shared" si="12"/>
        <v>1885664.2390646874</v>
      </c>
      <c r="P117" s="81">
        <f t="shared" si="17"/>
        <v>-3042998.0734443842</v>
      </c>
      <c r="Q117" s="81">
        <f t="shared" si="17"/>
        <v>30644388.014765352</v>
      </c>
      <c r="R117" s="81">
        <f t="shared" si="17"/>
        <v>19257568.986740798</v>
      </c>
      <c r="S117" s="81">
        <f t="shared" si="17"/>
        <v>319165.84391105088</v>
      </c>
      <c r="T117" s="81">
        <f t="shared" si="17"/>
        <v>1236487.4149729372</v>
      </c>
      <c r="U117" s="81">
        <f t="shared" si="14"/>
        <v>1555653.258883988</v>
      </c>
      <c r="V117" s="81">
        <f t="shared" si="15"/>
        <v>20813222.245624784</v>
      </c>
      <c r="W117" s="81">
        <f>'AD8 Stat'!W117+'AD9'!W117+'AD10'!W117+'AD11'!W117+'AD12'!W117+'AD13'!W117</f>
        <v>36908000</v>
      </c>
      <c r="X117" s="17"/>
    </row>
    <row r="118" spans="1:24">
      <c r="A118" s="6">
        <f t="shared" si="16"/>
        <v>2015</v>
      </c>
      <c r="B118" s="81"/>
      <c r="C118" s="81"/>
      <c r="D118" s="81"/>
      <c r="E118" s="81"/>
      <c r="F118" s="81"/>
      <c r="G118" s="81">
        <f t="shared" si="17"/>
        <v>-8426480.3698192406</v>
      </c>
      <c r="H118" s="81">
        <f t="shared" si="17"/>
        <v>16025495.509680757</v>
      </c>
      <c r="I118" s="81">
        <f t="shared" si="17"/>
        <v>-11586511.021819238</v>
      </c>
      <c r="J118" s="81">
        <f t="shared" si="17"/>
        <v>-1624359.7423192402</v>
      </c>
      <c r="K118" s="81">
        <f t="shared" si="17"/>
        <v>3160030.6519999998</v>
      </c>
      <c r="L118" s="81">
        <f t="shared" si="17"/>
        <v>17649855.252</v>
      </c>
      <c r="M118" s="81">
        <f t="shared" si="17"/>
        <v>-4492927.4980269447</v>
      </c>
      <c r="N118" s="81">
        <f t="shared" si="17"/>
        <v>8639039.0213883817</v>
      </c>
      <c r="O118" s="81">
        <f t="shared" si="12"/>
        <v>4146111.5233614296</v>
      </c>
      <c r="P118" s="81">
        <f t="shared" si="17"/>
        <v>445607.74461069703</v>
      </c>
      <c r="Q118" s="81">
        <f t="shared" si="17"/>
        <v>29012989.395262957</v>
      </c>
      <c r="R118" s="81">
        <f t="shared" si="17"/>
        <v>20171607.033042185</v>
      </c>
      <c r="S118" s="81">
        <f t="shared" si="17"/>
        <v>591477.59114209842</v>
      </c>
      <c r="T118" s="81">
        <f t="shared" si="17"/>
        <v>1151985.0497457702</v>
      </c>
      <c r="U118" s="81">
        <f t="shared" si="14"/>
        <v>1743462.6408878686</v>
      </c>
      <c r="V118" s="81">
        <f t="shared" si="15"/>
        <v>21915069.673930053</v>
      </c>
      <c r="W118" s="81">
        <f>'AD8 Stat'!W118+'AD9'!W118+'AD10'!W118+'AD11'!W118+'AD12'!W118+'AD13'!W118</f>
        <v>36885133</v>
      </c>
      <c r="X118" s="17"/>
    </row>
    <row r="119" spans="1:24">
      <c r="A119" s="6">
        <f t="shared" si="16"/>
        <v>2016</v>
      </c>
      <c r="B119" s="81"/>
      <c r="C119" s="81"/>
      <c r="D119" s="81"/>
      <c r="E119" s="81"/>
      <c r="F119" s="81"/>
      <c r="G119" s="81">
        <f t="shared" si="17"/>
        <v>698648.64628262119</v>
      </c>
      <c r="H119" s="81">
        <f t="shared" si="17"/>
        <v>22430163.342282619</v>
      </c>
      <c r="I119" s="81">
        <f t="shared" si="17"/>
        <v>-7624312.9172173785</v>
      </c>
      <c r="J119" s="81">
        <f t="shared" si="17"/>
        <v>4158188.6777826212</v>
      </c>
      <c r="K119" s="81">
        <f t="shared" si="17"/>
        <v>8322961.5634999983</v>
      </c>
      <c r="L119" s="81">
        <f t="shared" si="17"/>
        <v>18271974.664500002</v>
      </c>
      <c r="M119" s="81">
        <f t="shared" si="17"/>
        <v>1428902.5751867797</v>
      </c>
      <c r="N119" s="81">
        <f t="shared" si="17"/>
        <v>3875515.0069679613</v>
      </c>
      <c r="O119" s="81">
        <f t="shared" si="12"/>
        <v>5304417.5821547396</v>
      </c>
      <c r="P119" s="81">
        <f t="shared" si="17"/>
        <v>11591291.224707883</v>
      </c>
      <c r="Q119" s="81">
        <f t="shared" si="17"/>
        <v>22229995.980311394</v>
      </c>
      <c r="R119" s="81">
        <f t="shared" si="17"/>
        <v>27734580.924437363</v>
      </c>
      <c r="S119" s="81">
        <f t="shared" si="17"/>
        <v>721615.27258332027</v>
      </c>
      <c r="T119" s="81">
        <f t="shared" si="17"/>
        <v>1130741.8282039098</v>
      </c>
      <c r="U119" s="81">
        <f t="shared" si="14"/>
        <v>1852357.1007872301</v>
      </c>
      <c r="V119" s="81">
        <f t="shared" si="15"/>
        <v>29586938.025224593</v>
      </c>
      <c r="W119" s="81">
        <f>'AD8 Stat'!W119+'AD9'!W119+'AD10'!W119+'AD11'!W119+'AD12'!W119+'AD13'!W119</f>
        <v>37762858.999999993</v>
      </c>
      <c r="X119" s="17"/>
    </row>
    <row r="120" spans="1:24">
      <c r="A120" s="6">
        <f t="shared" si="16"/>
        <v>2017</v>
      </c>
      <c r="B120" s="81"/>
      <c r="C120" s="81"/>
      <c r="D120" s="81"/>
      <c r="E120" s="81"/>
      <c r="F120" s="81"/>
      <c r="G120" s="81">
        <f t="shared" si="17"/>
        <v>-7399564.2156512551</v>
      </c>
      <c r="H120" s="81">
        <f t="shared" si="17"/>
        <v>6363025.295348742</v>
      </c>
      <c r="I120" s="81">
        <f t="shared" si="17"/>
        <v>-13794475.435151251</v>
      </c>
      <c r="J120" s="81">
        <f t="shared" si="17"/>
        <v>-6394494.3051512539</v>
      </c>
      <c r="K120" s="81">
        <f t="shared" si="17"/>
        <v>6394911.2194999978</v>
      </c>
      <c r="L120" s="81">
        <f t="shared" si="17"/>
        <v>12757519.600499999</v>
      </c>
      <c r="M120" s="81">
        <f t="shared" si="17"/>
        <v>5140928.8904881626</v>
      </c>
      <c r="N120" s="81">
        <f t="shared" si="17"/>
        <v>7996380.7000182495</v>
      </c>
      <c r="O120" s="81">
        <f t="shared" si="12"/>
        <v>13137309.590506412</v>
      </c>
      <c r="P120" s="81">
        <f t="shared" si="17"/>
        <v>-1011766.3242459781</v>
      </c>
      <c r="Q120" s="81">
        <f t="shared" si="17"/>
        <v>20808692.454978056</v>
      </c>
      <c r="R120" s="81">
        <f t="shared" si="17"/>
        <v>19500334.885855146</v>
      </c>
      <c r="S120" s="81">
        <f t="shared" si="17"/>
        <v>738072.61466513714</v>
      </c>
      <c r="T120" s="81">
        <f t="shared" si="17"/>
        <v>855762.21591262775</v>
      </c>
      <c r="U120" s="81">
        <f t="shared" si="14"/>
        <v>1593834.8305777649</v>
      </c>
      <c r="V120" s="81">
        <f t="shared" si="15"/>
        <v>21094169.71643291</v>
      </c>
      <c r="W120" s="81">
        <f>'AD8 Stat'!W120+'AD9'!W120+'AD10'!W120+'AD11'!W120+'AD12'!W120+'AD13'!W120</f>
        <v>32840352.000000004</v>
      </c>
      <c r="X120" s="17"/>
    </row>
    <row r="121" spans="1:24">
      <c r="A121" s="6">
        <f t="shared" si="16"/>
        <v>2018</v>
      </c>
      <c r="B121" s="81"/>
      <c r="C121" s="81"/>
      <c r="D121" s="81"/>
      <c r="E121" s="81"/>
      <c r="F121" s="81"/>
      <c r="G121" s="81">
        <f t="shared" si="17"/>
        <v>-4995264.3792511784</v>
      </c>
      <c r="H121" s="81">
        <f t="shared" si="17"/>
        <v>1201349.9282488227</v>
      </c>
      <c r="I121" s="81">
        <f t="shared" si="17"/>
        <v>-6674277.9767511785</v>
      </c>
      <c r="J121" s="81">
        <f t="shared" si="17"/>
        <v>-3101465.5167511776</v>
      </c>
      <c r="K121" s="81">
        <f t="shared" si="17"/>
        <v>1679013.5975000001</v>
      </c>
      <c r="L121" s="81">
        <f t="shared" si="17"/>
        <v>4302815.4450000003</v>
      </c>
      <c r="M121" s="81">
        <f t="shared" si="17"/>
        <v>8244313.6915797628</v>
      </c>
      <c r="N121" s="81">
        <f t="shared" si="17"/>
        <v>7534666.0205993205</v>
      </c>
      <c r="O121" s="81">
        <f t="shared" si="12"/>
        <v>15778979.712179091</v>
      </c>
      <c r="P121" s="81">
        <f t="shared" si="17"/>
        <v>9952523.5848654769</v>
      </c>
      <c r="Q121" s="81">
        <f t="shared" si="17"/>
        <v>13275453.844513252</v>
      </c>
      <c r="R121" s="81">
        <f t="shared" si="17"/>
        <v>16980329.640427902</v>
      </c>
      <c r="S121" s="81">
        <f t="shared" si="17"/>
        <v>689456.62551123952</v>
      </c>
      <c r="T121" s="81">
        <f t="shared" si="17"/>
        <v>767119.17265417078</v>
      </c>
      <c r="U121" s="81">
        <f t="shared" si="14"/>
        <v>1456575.7981654103</v>
      </c>
      <c r="V121" s="81">
        <f t="shared" si="15"/>
        <v>18436905.438593313</v>
      </c>
      <c r="W121" s="81">
        <f>'AD8 Stat'!W121+'AD9'!W121+'AD10'!W121+'AD11'!W121+'AD12'!W121+'AD13'!W121</f>
        <v>28789174.999999996</v>
      </c>
      <c r="X121" s="17"/>
    </row>
    <row r="122" spans="1:24">
      <c r="A122" s="6">
        <f t="shared" si="16"/>
        <v>2019</v>
      </c>
      <c r="B122" s="81"/>
      <c r="C122" s="81"/>
      <c r="D122" s="81"/>
      <c r="E122" s="81"/>
      <c r="F122" s="81"/>
      <c r="G122" s="81">
        <f t="shared" si="17"/>
        <v>-10502696.543940872</v>
      </c>
      <c r="H122" s="81">
        <f t="shared" si="17"/>
        <v>-6974012.6639408721</v>
      </c>
      <c r="I122" s="81">
        <f t="shared" si="17"/>
        <v>-11119702.373440873</v>
      </c>
      <c r="J122" s="81">
        <f t="shared" si="17"/>
        <v>-8777654.3834408727</v>
      </c>
      <c r="K122" s="81">
        <f t="shared" si="17"/>
        <v>617005.82950000011</v>
      </c>
      <c r="L122" s="81">
        <f t="shared" si="17"/>
        <v>1803641.7194999999</v>
      </c>
      <c r="M122" s="81">
        <f t="shared" si="17"/>
        <v>11205729.012638364</v>
      </c>
      <c r="N122" s="81">
        <f t="shared" si="17"/>
        <v>3268887.5086170412</v>
      </c>
      <c r="O122" s="81">
        <f t="shared" si="12"/>
        <v>14474616.521255407</v>
      </c>
      <c r="P122" s="81">
        <f t="shared" si="17"/>
        <v>3089345.1817786074</v>
      </c>
      <c r="Q122" s="81">
        <f t="shared" si="17"/>
        <v>5528750.4426405896</v>
      </c>
      <c r="R122" s="81">
        <f t="shared" si="17"/>
        <v>7500603.8573145336</v>
      </c>
      <c r="S122" s="81">
        <f t="shared" si="17"/>
        <v>563400.89962894307</v>
      </c>
      <c r="T122" s="81">
        <f t="shared" si="17"/>
        <v>481306.55548299453</v>
      </c>
      <c r="U122" s="81">
        <f t="shared" si="14"/>
        <v>1044707.4551119376</v>
      </c>
      <c r="V122" s="81">
        <f t="shared" si="15"/>
        <v>8545311.3124264702</v>
      </c>
      <c r="W122" s="81">
        <f>'AD8 Stat'!W122+'AD9'!W122+'AD10'!W122+'AD11'!W122+'AD12'!W122+'AD13'!W122</f>
        <v>30266064.050000004</v>
      </c>
      <c r="X122" s="17"/>
    </row>
    <row r="123" spans="1:24">
      <c r="A123" s="6">
        <f t="shared" si="16"/>
        <v>2020</v>
      </c>
      <c r="B123" s="81"/>
      <c r="C123" s="81"/>
      <c r="D123" s="81"/>
      <c r="E123" s="81"/>
      <c r="F123" s="81"/>
      <c r="G123" s="81">
        <f t="shared" si="17"/>
        <v>-12785988.244314287</v>
      </c>
      <c r="H123" s="81">
        <f t="shared" si="17"/>
        <v>-10633744.309314288</v>
      </c>
      <c r="I123" s="81">
        <f t="shared" si="17"/>
        <v>-12822053.569314286</v>
      </c>
      <c r="J123" s="81">
        <f t="shared" si="17"/>
        <v>-10690807.299314288</v>
      </c>
      <c r="K123" s="81">
        <f t="shared" si="17"/>
        <v>36065.324999999997</v>
      </c>
      <c r="L123" s="81">
        <f t="shared" si="17"/>
        <v>57062.990000000005</v>
      </c>
      <c r="M123" s="81">
        <f t="shared" si="17"/>
        <v>16203557.978457388</v>
      </c>
      <c r="N123" s="81">
        <f t="shared" si="17"/>
        <v>5052026.6674559014</v>
      </c>
      <c r="O123" s="81">
        <f t="shared" si="12"/>
        <v>21255584.645913288</v>
      </c>
      <c r="P123" s="81">
        <f t="shared" si="17"/>
        <v>3546816.4725588909</v>
      </c>
      <c r="Q123" s="81">
        <f t="shared" si="17"/>
        <v>5744370.1206733892</v>
      </c>
      <c r="R123" s="81">
        <f t="shared" si="17"/>
        <v>10621840.336599004</v>
      </c>
      <c r="S123" s="81">
        <f t="shared" si="17"/>
        <v>702451.59435776109</v>
      </c>
      <c r="T123" s="81">
        <f t="shared" si="17"/>
        <v>24522.374680408124</v>
      </c>
      <c r="U123" s="81">
        <f t="shared" si="14"/>
        <v>726973.96903816925</v>
      </c>
      <c r="V123" s="81">
        <f t="shared" si="15"/>
        <v>11348814.305637173</v>
      </c>
      <c r="W123" s="81">
        <f>'AD8 Stat'!W123+'AD9'!W123+'AD10'!W123+'AD11'!W123+'AD12'!W123+'AD13'!W123</f>
        <v>18381119.880000014</v>
      </c>
      <c r="X123" s="17"/>
    </row>
    <row r="124" spans="1:24">
      <c r="A124" s="6"/>
      <c r="B124" s="81"/>
      <c r="C124" s="17"/>
      <c r="D124" s="81"/>
      <c r="E124" s="81"/>
      <c r="F124" s="81"/>
      <c r="G124" s="81">
        <f t="shared" si="17"/>
        <v>0</v>
      </c>
      <c r="H124" s="81">
        <f t="shared" si="17"/>
        <v>0</v>
      </c>
      <c r="I124" s="81">
        <f t="shared" si="17"/>
        <v>0</v>
      </c>
      <c r="J124" s="81">
        <f t="shared" si="17"/>
        <v>0</v>
      </c>
      <c r="K124" s="81">
        <f t="shared" si="17"/>
        <v>0</v>
      </c>
      <c r="L124" s="81">
        <f t="shared" si="17"/>
        <v>0</v>
      </c>
      <c r="M124" s="81">
        <f t="shared" si="17"/>
        <v>0</v>
      </c>
      <c r="N124" s="81">
        <f t="shared" si="17"/>
        <v>0</v>
      </c>
      <c r="O124" s="81">
        <f>'Exhibit F,1'!AC45</f>
        <v>0</v>
      </c>
      <c r="P124" s="81">
        <f t="shared" si="17"/>
        <v>0</v>
      </c>
      <c r="Q124" s="81">
        <f t="shared" si="17"/>
        <v>0</v>
      </c>
      <c r="R124" s="81">
        <f t="shared" si="17"/>
        <v>0</v>
      </c>
      <c r="S124" s="81">
        <f t="shared" si="17"/>
        <v>0</v>
      </c>
      <c r="T124" s="81">
        <f t="shared" si="17"/>
        <v>0</v>
      </c>
      <c r="U124" s="81">
        <f t="shared" si="14"/>
        <v>0</v>
      </c>
      <c r="V124" s="81">
        <f t="shared" si="15"/>
        <v>0</v>
      </c>
      <c r="W124" s="81"/>
      <c r="X124" s="17"/>
    </row>
    <row r="125" spans="1:24">
      <c r="A125" s="6" t="s">
        <v>0</v>
      </c>
      <c r="B125" s="82">
        <f>SUM(B95:B123)</f>
        <v>0</v>
      </c>
      <c r="C125" s="82">
        <f>SUM(C95:C123)</f>
        <v>0</v>
      </c>
      <c r="D125" s="82">
        <f t="shared" ref="D125:Q125" si="18">SUM(D95:D123)</f>
        <v>0</v>
      </c>
      <c r="E125" s="82">
        <f t="shared" si="18"/>
        <v>0</v>
      </c>
      <c r="F125" s="82">
        <f t="shared" si="18"/>
        <v>0</v>
      </c>
      <c r="G125" s="82">
        <f>SUM(G95:G123)</f>
        <v>261524689.4429144</v>
      </c>
      <c r="H125" s="82" t="e">
        <f t="shared" si="18"/>
        <v>#REF!</v>
      </c>
      <c r="I125" s="82">
        <f t="shared" si="18"/>
        <v>-278829873.80658555</v>
      </c>
      <c r="J125" s="82" t="e">
        <f t="shared" si="18"/>
        <v>#REF!</v>
      </c>
      <c r="K125" s="82">
        <f t="shared" si="18"/>
        <v>540354563.24949992</v>
      </c>
      <c r="L125" s="82">
        <f t="shared" si="18"/>
        <v>700634927.82199979</v>
      </c>
      <c r="M125" s="82">
        <f t="shared" si="18"/>
        <v>40524091.4056895</v>
      </c>
      <c r="N125" s="82">
        <f t="shared" si="18"/>
        <v>35626204.171561763</v>
      </c>
      <c r="O125" s="82">
        <f t="shared" si="18"/>
        <v>76150295.57725127</v>
      </c>
      <c r="P125" s="82" t="e">
        <f t="shared" si="18"/>
        <v>#REF!</v>
      </c>
      <c r="Q125" s="82">
        <f t="shared" si="18"/>
        <v>742770077.98650682</v>
      </c>
      <c r="R125" s="82" t="e">
        <f t="shared" ref="R125:W125" si="19">SUM(R95:R123)</f>
        <v>#REF!</v>
      </c>
      <c r="S125" s="82">
        <f t="shared" si="19"/>
        <v>4752134.4227487277</v>
      </c>
      <c r="T125" s="82">
        <f t="shared" si="19"/>
        <v>9701604.9652160164</v>
      </c>
      <c r="U125" s="82">
        <f t="shared" si="19"/>
        <v>14453739.387964746</v>
      </c>
      <c r="V125" s="82" t="e">
        <f t="shared" si="19"/>
        <v>#REF!</v>
      </c>
      <c r="W125" s="82">
        <f t="shared" si="19"/>
        <v>322617870.65249997</v>
      </c>
      <c r="X125" s="17"/>
    </row>
    <row r="126" spans="1:24">
      <c r="A126" s="6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/>
      <c r="Q126" s="81"/>
      <c r="R126" s="81"/>
      <c r="S126" s="81"/>
      <c r="T126" s="81"/>
      <c r="U126" s="81"/>
      <c r="V126" s="81"/>
      <c r="W126" s="81"/>
      <c r="X126" s="17"/>
    </row>
    <row r="127" spans="1:24">
      <c r="A127" s="6"/>
      <c r="C127" s="81"/>
      <c r="D127" s="81"/>
      <c r="E127" s="81"/>
      <c r="F127" s="81" t="s">
        <v>685</v>
      </c>
      <c r="G127" s="81">
        <f>'AD8 Stat'!G125+'AD9'!G125+'AD10'!G125+'AD11'!G125+'AD12'!G125+'AD13'!G125-G125</f>
        <v>0</v>
      </c>
      <c r="H127" s="81" t="e">
        <f>'AD8 Stat'!H125+'AD9'!H125+'AD10'!H125+'AD11'!H125+'AD12'!H125+'AD13'!H125-H125</f>
        <v>#REF!</v>
      </c>
      <c r="I127" s="81">
        <f>'AD8 Stat'!I125+'AD9'!I125+'AD10'!I125+'AD11'!I125+'AD12'!I125+'AD13'!I125-I125</f>
        <v>0</v>
      </c>
      <c r="J127" s="81" t="e">
        <f>'AD8 Stat'!J125+'AD9'!J125+'AD10'!J125+'AD11'!J125+'AD12'!J125+'AD13'!J125-J125</f>
        <v>#REF!</v>
      </c>
      <c r="K127" s="81">
        <f>'AD8 Stat'!K125+'AD9'!K125+'AD10'!K125+'AD11'!K125+'AD12'!K125+'AD13'!K125-K125</f>
        <v>0</v>
      </c>
      <c r="L127" s="81">
        <f>'AD8 Stat'!L125+'AD9'!L125+'AD10'!L125+'AD11'!L125+'AD12'!L125+'AD13'!L125-L125</f>
        <v>0</v>
      </c>
      <c r="M127" s="81">
        <f>'AD8 Stat'!M125+'AD9'!M125+'AD10'!M125+'AD11'!M125+'AD12'!M125+'AD13'!M125-M125</f>
        <v>0</v>
      </c>
      <c r="N127" s="81">
        <f>'AD8 Stat'!N125+'AD9'!N125+'AD10'!N125+'AD11'!N125+'AD12'!N125+'AD13'!N125-N125</f>
        <v>0</v>
      </c>
      <c r="O127" s="81">
        <f>'AD8 Stat'!O125+'AD9'!O125+'AD10'!O125+'AD11'!O125+'AD12'!O125+'AD13'!O125-O125</f>
        <v>0</v>
      </c>
      <c r="P127" s="81" t="e">
        <f>'AD8 Stat'!P125+'AD9'!P125+'AD10'!P125+'AD11'!P125+'AD12'!P125+'AD13'!P125-P125</f>
        <v>#REF!</v>
      </c>
      <c r="Q127" s="81">
        <f>'AD8 Stat'!Q125+'AD9'!Q125+'AD10'!Q125+'AD11'!Q125+'AD12'!Q125+'AD13'!Q125-Q125</f>
        <v>0</v>
      </c>
      <c r="R127" s="81" t="e">
        <f>'AD8 Stat'!R125+'AD9'!R125+'AD10'!R125+'AD11'!R125+'AD12'!R125+'AD13'!R125-R125</f>
        <v>#REF!</v>
      </c>
      <c r="S127" s="81">
        <f>'AD8 Stat'!S125+'AD9'!S125+'AD10'!S125+'AD11'!S125+'AD12'!S125+'AD13'!S125-S125</f>
        <v>0</v>
      </c>
      <c r="T127" s="81">
        <f>'AD8 Stat'!T125+'AD9'!T125+'AD10'!T125+'AD11'!T125+'AD12'!T125+'AD13'!T125-T125</f>
        <v>0</v>
      </c>
      <c r="U127" s="81">
        <f>'AD8 Stat'!U125+'AD9'!U125+'AD10'!U125+'AD11'!U125+'AD12'!U125+'AD13'!U125-U125</f>
        <v>0</v>
      </c>
      <c r="V127" s="81" t="e">
        <f>'AD8 Stat'!V125+'AD9'!V125+'AD10'!V125+'AD11'!V125+'AD12'!V125+'AD13'!V125-V125</f>
        <v>#REF!</v>
      </c>
      <c r="W127" s="81">
        <f>'AD8 Stat'!W125+'AD9'!W125+'AD10'!W125+'AD11'!W125+'AD12'!W125+'AD13'!W125-W125</f>
        <v>0</v>
      </c>
      <c r="X127" s="17"/>
    </row>
    <row r="128" spans="1:24">
      <c r="R128" s="22"/>
    </row>
    <row r="129" spans="2:18">
      <c r="C129" s="1" t="s">
        <v>852</v>
      </c>
      <c r="R129" s="22"/>
    </row>
    <row r="130" spans="2:18">
      <c r="O130" s="22"/>
      <c r="R130" s="22"/>
    </row>
    <row r="131" spans="2:18">
      <c r="B131" s="6"/>
      <c r="C131" s="6" t="s">
        <v>744</v>
      </c>
      <c r="D131" s="6" t="s">
        <v>846</v>
      </c>
      <c r="E131" s="6" t="s">
        <v>849</v>
      </c>
      <c r="N131" s="1">
        <f>N125/O125</f>
        <v>0.4678406551346932</v>
      </c>
      <c r="R131" s="17"/>
    </row>
    <row r="132" spans="2:18">
      <c r="B132" s="6"/>
      <c r="C132" s="6"/>
      <c r="D132" s="6"/>
      <c r="R132" s="22"/>
    </row>
    <row r="133" spans="2:18">
      <c r="B133" s="6" t="s">
        <v>847</v>
      </c>
      <c r="C133" s="81" t="e">
        <f>H125-G125</f>
        <v>#REF!</v>
      </c>
      <c r="D133" s="81">
        <v>54795790</v>
      </c>
      <c r="E133" s="17"/>
    </row>
    <row r="134" spans="2:18">
      <c r="B134" s="6" t="s">
        <v>381</v>
      </c>
      <c r="C134" s="81">
        <f>'AD8'!O125+'AD9'!O125+'AD10'!O125+'AD11'!O125+'AD12'!O125+'AD13'!O125</f>
        <v>79292686.170421615</v>
      </c>
      <c r="D134" s="81">
        <v>78661640</v>
      </c>
      <c r="E134" s="17">
        <f>O125</f>
        <v>76150295.57725127</v>
      </c>
    </row>
    <row r="135" spans="2:18">
      <c r="B135" s="6" t="s">
        <v>661</v>
      </c>
      <c r="C135" s="81">
        <f>S125</f>
        <v>4752134.4227487277</v>
      </c>
      <c r="D135" s="81">
        <v>4021790</v>
      </c>
      <c r="E135" s="17">
        <f>S125</f>
        <v>4752134.4227487277</v>
      </c>
    </row>
    <row r="136" spans="2:18">
      <c r="B136" s="82"/>
      <c r="C136" s="82"/>
      <c r="D136" s="82"/>
      <c r="E136" s="82"/>
    </row>
    <row r="137" spans="2:18">
      <c r="B137" s="6" t="s">
        <v>848</v>
      </c>
      <c r="C137" s="81" t="e">
        <f>SUM(C133:C135)</f>
        <v>#REF!</v>
      </c>
      <c r="D137" s="81">
        <f>SUM(D133:D135)</f>
        <v>137479220</v>
      </c>
      <c r="E137" s="17"/>
    </row>
    <row r="139" spans="2:18">
      <c r="D139" s="1" t="s">
        <v>685</v>
      </c>
      <c r="E139" s="84">
        <f>D133+E134+E135</f>
        <v>135698220</v>
      </c>
    </row>
    <row r="141" spans="2:18">
      <c r="B141" s="1" t="s">
        <v>850</v>
      </c>
      <c r="E141" s="17">
        <f>135698220-D133-C135</f>
        <v>76150295.57725127</v>
      </c>
    </row>
    <row r="142" spans="2:18">
      <c r="B142" s="1" t="s">
        <v>851</v>
      </c>
      <c r="E142" s="22">
        <f>C134-E141</f>
        <v>3142390.5931703448</v>
      </c>
    </row>
  </sheetData>
  <pageMargins left="0.7" right="0.7" top="0.75" bottom="0.75" header="0.3" footer="0.3"/>
  <pageSetup orientation="portrait" horizontalDpi="1200" verticalDpi="1200" r:id="rId1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sheetPr codeName="Sheet107">
    <tabColor rgb="FFFF0000"/>
  </sheetPr>
  <dimension ref="A5:W127"/>
  <sheetViews>
    <sheetView topLeftCell="E3" workbookViewId="0">
      <selection activeCell="A6" sqref="A6"/>
    </sheetView>
  </sheetViews>
  <sheetFormatPr baseColWidth="10" defaultColWidth="8.7109375" defaultRowHeight="15"/>
  <cols>
    <col min="1" max="1" width="8.7109375" style="1"/>
    <col min="2" max="23" width="12.7109375" style="1" customWidth="1"/>
    <col min="24" max="16384" width="8.7109375" style="1"/>
  </cols>
  <sheetData>
    <row r="5" spans="1:23" ht="16">
      <c r="A5" s="4"/>
      <c r="B5" s="4"/>
      <c r="H5" s="4"/>
      <c r="I5" s="4"/>
      <c r="J5" s="51" t="s">
        <v>853</v>
      </c>
      <c r="K5" s="4"/>
      <c r="L5" s="4"/>
    </row>
    <row r="6" spans="1:23" ht="16">
      <c r="A6" s="4"/>
      <c r="B6" s="4"/>
      <c r="H6" s="5" t="s">
        <v>859</v>
      </c>
      <c r="I6" s="5"/>
      <c r="J6" s="5"/>
      <c r="K6" s="5"/>
      <c r="L6" s="5"/>
    </row>
    <row r="7" spans="1:23">
      <c r="J7" s="1" t="s">
        <v>658</v>
      </c>
    </row>
    <row r="8" spans="1:23">
      <c r="I8" s="6"/>
      <c r="J8" s="6" t="s">
        <v>659</v>
      </c>
      <c r="K8" s="6"/>
      <c r="L8" s="6"/>
    </row>
    <row r="9" spans="1:23">
      <c r="A9" s="6" t="s">
        <v>9</v>
      </c>
      <c r="B9" s="85">
        <v>1</v>
      </c>
      <c r="C9" s="85">
        <v>1</v>
      </c>
      <c r="D9" s="85">
        <v>1</v>
      </c>
      <c r="E9" s="85">
        <v>1</v>
      </c>
      <c r="F9" s="85">
        <v>1</v>
      </c>
      <c r="G9" s="85">
        <v>1</v>
      </c>
      <c r="H9" s="85">
        <v>1</v>
      </c>
      <c r="I9" s="85">
        <v>1</v>
      </c>
      <c r="J9" s="85">
        <v>1</v>
      </c>
      <c r="K9" s="85">
        <v>1</v>
      </c>
      <c r="L9" s="85">
        <v>1</v>
      </c>
      <c r="M9" s="83" t="s">
        <v>682</v>
      </c>
      <c r="N9" s="83" t="s">
        <v>682</v>
      </c>
      <c r="O9" s="85">
        <v>1</v>
      </c>
      <c r="P9" s="83" t="s">
        <v>682</v>
      </c>
      <c r="Q9" s="83" t="s">
        <v>682</v>
      </c>
      <c r="R9" s="83" t="s">
        <v>682</v>
      </c>
      <c r="S9" s="6" t="s">
        <v>682</v>
      </c>
      <c r="T9" s="6" t="s">
        <v>682</v>
      </c>
      <c r="U9" s="6" t="s">
        <v>682</v>
      </c>
      <c r="V9" s="6"/>
      <c r="W9" s="86">
        <v>1</v>
      </c>
    </row>
    <row r="10" spans="1:23">
      <c r="A10" s="6"/>
      <c r="B10" s="27" t="s">
        <v>665</v>
      </c>
      <c r="C10" s="27" t="s">
        <v>523</v>
      </c>
      <c r="D10" s="27" t="s">
        <v>523</v>
      </c>
      <c r="E10" s="27" t="s">
        <v>523</v>
      </c>
      <c r="F10" s="27" t="s">
        <v>523</v>
      </c>
      <c r="H10" s="6"/>
      <c r="I10" s="6"/>
      <c r="J10" s="6"/>
      <c r="K10" s="6"/>
      <c r="L10" s="6"/>
      <c r="N10" s="79">
        <v>0.22500000000000001</v>
      </c>
      <c r="O10" s="6"/>
      <c r="P10" s="6"/>
      <c r="Q10" s="6"/>
      <c r="R10" s="6" t="s">
        <v>67</v>
      </c>
      <c r="S10" s="6"/>
      <c r="T10" s="6"/>
      <c r="U10" s="6"/>
      <c r="V10" s="6" t="s">
        <v>67</v>
      </c>
    </row>
    <row r="11" spans="1:23">
      <c r="A11" s="6" t="s">
        <v>3</v>
      </c>
      <c r="B11" s="27" t="s">
        <v>524</v>
      </c>
      <c r="C11" s="27" t="s">
        <v>524</v>
      </c>
      <c r="D11" s="27" t="s">
        <v>524</v>
      </c>
      <c r="E11" s="27" t="s">
        <v>528</v>
      </c>
      <c r="F11" s="27" t="s">
        <v>528</v>
      </c>
      <c r="G11" s="6" t="s">
        <v>14</v>
      </c>
      <c r="H11" s="6" t="s">
        <v>12</v>
      </c>
      <c r="I11" s="6" t="s">
        <v>14</v>
      </c>
      <c r="J11" s="6" t="s">
        <v>12</v>
      </c>
      <c r="K11" s="6" t="s">
        <v>14</v>
      </c>
      <c r="L11" s="6" t="s">
        <v>12</v>
      </c>
      <c r="M11" s="6" t="s">
        <v>381</v>
      </c>
      <c r="N11" s="6" t="s">
        <v>381</v>
      </c>
      <c r="O11" s="6" t="s">
        <v>381</v>
      </c>
      <c r="P11" s="6" t="s">
        <v>660</v>
      </c>
      <c r="Q11" s="6" t="s">
        <v>67</v>
      </c>
      <c r="R11" s="6" t="s">
        <v>662</v>
      </c>
      <c r="S11" s="6" t="s">
        <v>661</v>
      </c>
      <c r="T11" s="6" t="s">
        <v>661</v>
      </c>
      <c r="U11" s="6" t="s">
        <v>67</v>
      </c>
      <c r="V11" s="6" t="s">
        <v>663</v>
      </c>
      <c r="W11" s="6" t="s">
        <v>177</v>
      </c>
    </row>
    <row r="12" spans="1:23">
      <c r="A12" s="6" t="s">
        <v>4</v>
      </c>
      <c r="B12" s="28" t="s">
        <v>672</v>
      </c>
      <c r="C12" s="28" t="s">
        <v>671</v>
      </c>
      <c r="D12" s="28" t="s">
        <v>688</v>
      </c>
      <c r="E12" s="28" t="s">
        <v>671</v>
      </c>
      <c r="F12" s="28" t="s">
        <v>688</v>
      </c>
      <c r="G12" s="6" t="s">
        <v>0</v>
      </c>
      <c r="H12" s="6" t="s">
        <v>0</v>
      </c>
      <c r="I12" s="6" t="s">
        <v>566</v>
      </c>
      <c r="J12" s="6" t="s">
        <v>566</v>
      </c>
      <c r="K12" s="6" t="s">
        <v>567</v>
      </c>
      <c r="L12" s="6" t="s">
        <v>567</v>
      </c>
      <c r="M12" s="6" t="s">
        <v>566</v>
      </c>
      <c r="N12" s="6" t="s">
        <v>567</v>
      </c>
      <c r="O12" s="6" t="s">
        <v>0</v>
      </c>
      <c r="P12" s="6" t="s">
        <v>566</v>
      </c>
      <c r="Q12" s="6" t="s">
        <v>567</v>
      </c>
      <c r="R12" s="6" t="s">
        <v>0</v>
      </c>
      <c r="S12" s="6" t="s">
        <v>117</v>
      </c>
      <c r="T12" s="6" t="s">
        <v>14</v>
      </c>
      <c r="U12" s="6" t="s">
        <v>661</v>
      </c>
      <c r="V12" s="6" t="s">
        <v>0</v>
      </c>
      <c r="W12" s="6" t="s">
        <v>16</v>
      </c>
    </row>
    <row r="13" spans="1:23">
      <c r="A13" s="10">
        <v>-1</v>
      </c>
      <c r="B13" s="10">
        <f>A13-1</f>
        <v>-2</v>
      </c>
      <c r="C13" s="10">
        <f>B13-1</f>
        <v>-3</v>
      </c>
      <c r="D13" s="10">
        <f t="shared" ref="D13:W13" si="0">C13-1</f>
        <v>-4</v>
      </c>
      <c r="E13" s="10">
        <f t="shared" si="0"/>
        <v>-5</v>
      </c>
      <c r="F13" s="10">
        <f t="shared" si="0"/>
        <v>-6</v>
      </c>
      <c r="G13" s="10">
        <f t="shared" si="0"/>
        <v>-7</v>
      </c>
      <c r="H13" s="10">
        <f t="shared" si="0"/>
        <v>-8</v>
      </c>
      <c r="I13" s="10">
        <f t="shared" si="0"/>
        <v>-9</v>
      </c>
      <c r="J13" s="10">
        <f t="shared" si="0"/>
        <v>-10</v>
      </c>
      <c r="K13" s="10">
        <f t="shared" si="0"/>
        <v>-11</v>
      </c>
      <c r="L13" s="10">
        <f t="shared" si="0"/>
        <v>-12</v>
      </c>
      <c r="M13" s="10">
        <f>L13-1</f>
        <v>-13</v>
      </c>
      <c r="N13" s="10">
        <f t="shared" si="0"/>
        <v>-14</v>
      </c>
      <c r="O13" s="10">
        <f t="shared" si="0"/>
        <v>-15</v>
      </c>
      <c r="P13" s="10">
        <f t="shared" si="0"/>
        <v>-16</v>
      </c>
      <c r="Q13" s="10">
        <f t="shared" si="0"/>
        <v>-17</v>
      </c>
      <c r="R13" s="10">
        <f t="shared" si="0"/>
        <v>-18</v>
      </c>
      <c r="S13" s="10">
        <f>R13-1</f>
        <v>-19</v>
      </c>
      <c r="T13" s="10">
        <f>S13-1</f>
        <v>-20</v>
      </c>
      <c r="U13" s="10">
        <f>T13-1</f>
        <v>-21</v>
      </c>
      <c r="V13" s="10">
        <f>U13-1</f>
        <v>-22</v>
      </c>
      <c r="W13" s="10">
        <f t="shared" si="0"/>
        <v>-23</v>
      </c>
    </row>
    <row r="14" spans="1:23">
      <c r="A14" s="80"/>
      <c r="B14" s="80"/>
      <c r="C14" s="6"/>
      <c r="D14" s="6"/>
      <c r="E14" s="6"/>
      <c r="F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</row>
    <row r="15" spans="1:23">
      <c r="A15" s="6">
        <v>1992</v>
      </c>
      <c r="B15" s="81"/>
      <c r="C15" s="81"/>
      <c r="D15" s="81"/>
      <c r="E15" s="81"/>
      <c r="F15" s="81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81">
        <f t="shared" ref="S15:S43" si="1">S$45*(H15-G15+O15)/(H$45-G$45+O$45)</f>
        <v>0</v>
      </c>
      <c r="T15" s="87">
        <v>0</v>
      </c>
      <c r="U15" s="81">
        <f>S15+T15</f>
        <v>0</v>
      </c>
      <c r="V15" s="81">
        <f>R15+U15</f>
        <v>0</v>
      </c>
      <c r="W15" s="94"/>
    </row>
    <row r="16" spans="1:23">
      <c r="A16" s="6">
        <f>A15+1</f>
        <v>1993</v>
      </c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>
        <f t="shared" si="1"/>
        <v>0</v>
      </c>
      <c r="T16" s="87">
        <v>0</v>
      </c>
      <c r="U16" s="81">
        <f t="shared" ref="U16:U44" si="2">S16+T16</f>
        <v>0</v>
      </c>
      <c r="V16" s="81">
        <f t="shared" ref="V16:V44" si="3">R16+U16</f>
        <v>0</v>
      </c>
      <c r="W16" s="87"/>
    </row>
    <row r="17" spans="1:23">
      <c r="A17" s="6">
        <f t="shared" ref="A17:A43" si="4">A16+1</f>
        <v>1994</v>
      </c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>
        <f t="shared" si="1"/>
        <v>0</v>
      </c>
      <c r="T17" s="87">
        <v>0</v>
      </c>
      <c r="U17" s="81">
        <f t="shared" si="2"/>
        <v>0</v>
      </c>
      <c r="V17" s="81">
        <f t="shared" si="3"/>
        <v>0</v>
      </c>
      <c r="W17" s="87"/>
    </row>
    <row r="18" spans="1:23">
      <c r="A18" s="6">
        <f t="shared" si="4"/>
        <v>1995</v>
      </c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>
        <f t="shared" si="1"/>
        <v>0</v>
      </c>
      <c r="T18" s="87">
        <v>0</v>
      </c>
      <c r="U18" s="81">
        <f t="shared" si="2"/>
        <v>0</v>
      </c>
      <c r="V18" s="81">
        <f t="shared" si="3"/>
        <v>0</v>
      </c>
      <c r="W18" s="87"/>
    </row>
    <row r="19" spans="1:23">
      <c r="A19" s="6">
        <f t="shared" si="4"/>
        <v>1996</v>
      </c>
      <c r="B19" s="81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>
        <f t="shared" si="1"/>
        <v>0</v>
      </c>
      <c r="T19" s="87">
        <v>0</v>
      </c>
      <c r="U19" s="81">
        <f t="shared" si="2"/>
        <v>0</v>
      </c>
      <c r="V19" s="81">
        <f t="shared" si="3"/>
        <v>0</v>
      </c>
      <c r="W19" s="87"/>
    </row>
    <row r="20" spans="1:23">
      <c r="A20" s="6">
        <f t="shared" si="4"/>
        <v>1997</v>
      </c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>
        <f t="shared" si="1"/>
        <v>0</v>
      </c>
      <c r="T20" s="87">
        <v>0</v>
      </c>
      <c r="U20" s="81">
        <f t="shared" si="2"/>
        <v>0</v>
      </c>
      <c r="V20" s="81">
        <f t="shared" si="3"/>
        <v>0</v>
      </c>
      <c r="W20" s="87"/>
    </row>
    <row r="21" spans="1:23">
      <c r="A21" s="6">
        <f t="shared" si="4"/>
        <v>1998</v>
      </c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>
        <f t="shared" si="1"/>
        <v>0</v>
      </c>
      <c r="T21" s="87">
        <v>0</v>
      </c>
      <c r="U21" s="81">
        <f t="shared" si="2"/>
        <v>0</v>
      </c>
      <c r="V21" s="81">
        <f t="shared" si="3"/>
        <v>0</v>
      </c>
      <c r="W21" s="87"/>
    </row>
    <row r="22" spans="1:23">
      <c r="A22" s="6">
        <f t="shared" si="4"/>
        <v>1999</v>
      </c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>
        <f t="shared" si="1"/>
        <v>0</v>
      </c>
      <c r="T22" s="87">
        <v>0</v>
      </c>
      <c r="U22" s="81">
        <f t="shared" si="2"/>
        <v>0</v>
      </c>
      <c r="V22" s="81">
        <f t="shared" si="3"/>
        <v>0</v>
      </c>
      <c r="W22" s="87"/>
    </row>
    <row r="23" spans="1:23">
      <c r="A23" s="6">
        <f t="shared" si="4"/>
        <v>2000</v>
      </c>
      <c r="B23" s="81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>
        <f t="shared" si="1"/>
        <v>0</v>
      </c>
      <c r="T23" s="87">
        <v>0</v>
      </c>
      <c r="U23" s="81">
        <f t="shared" si="2"/>
        <v>0</v>
      </c>
      <c r="V23" s="81">
        <f t="shared" si="3"/>
        <v>0</v>
      </c>
      <c r="W23" s="87"/>
    </row>
    <row r="24" spans="1:23">
      <c r="A24" s="6">
        <f t="shared" si="4"/>
        <v>2001</v>
      </c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>
        <f t="shared" si="1"/>
        <v>0</v>
      </c>
      <c r="T24" s="87">
        <v>0</v>
      </c>
      <c r="U24" s="81">
        <f t="shared" si="2"/>
        <v>0</v>
      </c>
      <c r="V24" s="81">
        <f t="shared" si="3"/>
        <v>0</v>
      </c>
      <c r="W24" s="87"/>
    </row>
    <row r="25" spans="1:23">
      <c r="A25" s="6">
        <f t="shared" si="4"/>
        <v>2002</v>
      </c>
      <c r="B25" s="81"/>
      <c r="C25" s="81"/>
      <c r="D25" s="81"/>
      <c r="E25" s="32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>
        <f t="shared" si="1"/>
        <v>0</v>
      </c>
      <c r="T25" s="87">
        <v>0</v>
      </c>
      <c r="U25" s="81">
        <f t="shared" si="2"/>
        <v>0</v>
      </c>
      <c r="V25" s="81">
        <f t="shared" si="3"/>
        <v>0</v>
      </c>
      <c r="W25" s="87"/>
    </row>
    <row r="26" spans="1:23">
      <c r="A26" s="6">
        <f t="shared" si="4"/>
        <v>2003</v>
      </c>
      <c r="B26" s="81"/>
      <c r="C26" s="81"/>
      <c r="D26" s="81"/>
      <c r="E26" s="32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>
        <f t="shared" si="1"/>
        <v>0</v>
      </c>
      <c r="T26" s="87">
        <v>0</v>
      </c>
      <c r="U26" s="81">
        <f t="shared" si="2"/>
        <v>0</v>
      </c>
      <c r="V26" s="81">
        <f t="shared" si="3"/>
        <v>0</v>
      </c>
      <c r="W26" s="87"/>
    </row>
    <row r="27" spans="1:23">
      <c r="A27" s="6">
        <f t="shared" si="4"/>
        <v>2004</v>
      </c>
      <c r="B27" s="81"/>
      <c r="C27" s="81"/>
      <c r="D27" s="81"/>
      <c r="E27" s="32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>
        <f t="shared" si="1"/>
        <v>0</v>
      </c>
      <c r="T27" s="87">
        <v>0</v>
      </c>
      <c r="U27" s="81">
        <f t="shared" si="2"/>
        <v>0</v>
      </c>
      <c r="V27" s="81">
        <f t="shared" si="3"/>
        <v>0</v>
      </c>
      <c r="W27" s="87"/>
    </row>
    <row r="28" spans="1:23">
      <c r="A28" s="6">
        <f t="shared" si="4"/>
        <v>2005</v>
      </c>
      <c r="B28" s="81"/>
      <c r="C28" s="81"/>
      <c r="D28" s="81"/>
      <c r="E28" s="32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>
        <f t="shared" si="1"/>
        <v>0</v>
      </c>
      <c r="T28" s="87">
        <v>0</v>
      </c>
      <c r="U28" s="81">
        <f t="shared" si="2"/>
        <v>0</v>
      </c>
      <c r="V28" s="81">
        <f t="shared" si="3"/>
        <v>0</v>
      </c>
      <c r="W28" s="87"/>
    </row>
    <row r="29" spans="1:23">
      <c r="A29" s="6">
        <f t="shared" si="4"/>
        <v>2006</v>
      </c>
      <c r="B29" s="81"/>
      <c r="C29" s="81"/>
      <c r="D29" s="81"/>
      <c r="E29" s="32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>
        <f t="shared" si="1"/>
        <v>0</v>
      </c>
      <c r="T29" s="87">
        <v>0</v>
      </c>
      <c r="U29" s="81">
        <f t="shared" si="2"/>
        <v>0</v>
      </c>
      <c r="V29" s="81">
        <f t="shared" si="3"/>
        <v>0</v>
      </c>
      <c r="W29" s="87"/>
    </row>
    <row r="30" spans="1:23">
      <c r="A30" s="6">
        <f t="shared" si="4"/>
        <v>2007</v>
      </c>
      <c r="B30" s="81"/>
      <c r="C30" s="81"/>
      <c r="D30" s="81"/>
      <c r="E30" s="32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>
        <f t="shared" si="1"/>
        <v>0</v>
      </c>
      <c r="T30" s="87">
        <v>0</v>
      </c>
      <c r="U30" s="81">
        <f t="shared" si="2"/>
        <v>0</v>
      </c>
      <c r="V30" s="81">
        <f t="shared" si="3"/>
        <v>0</v>
      </c>
      <c r="W30" s="87"/>
    </row>
    <row r="31" spans="1:23">
      <c r="A31" s="6">
        <f t="shared" si="4"/>
        <v>2008</v>
      </c>
      <c r="B31" s="81"/>
      <c r="C31" s="81"/>
      <c r="D31" s="81"/>
      <c r="E31" s="32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>
        <f t="shared" si="1"/>
        <v>0</v>
      </c>
      <c r="T31" s="87">
        <v>0</v>
      </c>
      <c r="U31" s="81">
        <f t="shared" si="2"/>
        <v>0</v>
      </c>
      <c r="V31" s="81">
        <f t="shared" si="3"/>
        <v>0</v>
      </c>
      <c r="W31" s="87"/>
    </row>
    <row r="32" spans="1:23">
      <c r="A32" s="6">
        <f t="shared" si="4"/>
        <v>2009</v>
      </c>
      <c r="B32" s="81"/>
      <c r="C32" s="81"/>
      <c r="D32" s="81"/>
      <c r="E32" s="32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>
        <f t="shared" si="1"/>
        <v>0</v>
      </c>
      <c r="T32" s="87">
        <v>0</v>
      </c>
      <c r="U32" s="81">
        <f t="shared" si="2"/>
        <v>0</v>
      </c>
      <c r="V32" s="81">
        <f t="shared" si="3"/>
        <v>0</v>
      </c>
      <c r="W32" s="87"/>
    </row>
    <row r="33" spans="1:23">
      <c r="A33" s="6">
        <f t="shared" si="4"/>
        <v>2010</v>
      </c>
      <c r="D33" s="81"/>
      <c r="E33" s="32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>
        <f t="shared" si="1"/>
        <v>0</v>
      </c>
      <c r="T33" s="87">
        <v>0</v>
      </c>
      <c r="U33" s="81">
        <f t="shared" si="2"/>
        <v>0</v>
      </c>
      <c r="V33" s="81">
        <f t="shared" si="3"/>
        <v>0</v>
      </c>
      <c r="W33" s="87"/>
    </row>
    <row r="34" spans="1:23">
      <c r="A34" s="6">
        <f t="shared" si="4"/>
        <v>2011</v>
      </c>
      <c r="B34" s="81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>
        <f t="shared" si="1"/>
        <v>0</v>
      </c>
      <c r="T34" s="87">
        <v>0</v>
      </c>
      <c r="U34" s="81">
        <f t="shared" si="2"/>
        <v>0</v>
      </c>
      <c r="V34" s="81">
        <f t="shared" si="3"/>
        <v>0</v>
      </c>
      <c r="W34" s="100">
        <v>320011.03999999992</v>
      </c>
    </row>
    <row r="35" spans="1:23">
      <c r="A35" s="6">
        <f t="shared" si="4"/>
        <v>2012</v>
      </c>
      <c r="B35" s="81">
        <f>'Exhibit B,2'!AE59</f>
        <v>0</v>
      </c>
      <c r="C35" s="81">
        <f>'Exhibit B,2'!AA59</f>
        <v>8861.26</v>
      </c>
      <c r="D35" s="81">
        <f>'Exhibit B,2'!AC59</f>
        <v>8861.26</v>
      </c>
      <c r="E35" s="81">
        <f>'Exhibit B,2'!AB59</f>
        <v>8861.26</v>
      </c>
      <c r="F35" s="81">
        <f>'Exhibit B,2'!AD59</f>
        <v>8861.26</v>
      </c>
      <c r="G35" s="81">
        <f t="shared" ref="G35:G44" si="5">(C35+E35-B35)*G$9</f>
        <v>17722.52</v>
      </c>
      <c r="H35" s="81">
        <f t="shared" ref="H35:H44" si="6">(SUM(C35:F35)-B35)*H$9</f>
        <v>35445.040000000001</v>
      </c>
      <c r="I35" s="81">
        <f t="shared" ref="I35:I44" si="7">(C35-B35)*I$9</f>
        <v>8861.26</v>
      </c>
      <c r="J35" s="81">
        <f t="shared" ref="J35:J44" si="8">(I35+D35)*J$9</f>
        <v>17722.52</v>
      </c>
      <c r="K35" s="81">
        <f t="shared" ref="K35:K44" si="9">E35*K$9</f>
        <v>8861.26</v>
      </c>
      <c r="L35" s="81">
        <f t="shared" ref="L35:L44" si="10">(K35+F35)*L$9</f>
        <v>17722.52</v>
      </c>
      <c r="M35" s="81">
        <f t="shared" ref="M35:M44" si="11">O35*(1-N$10)</f>
        <v>0</v>
      </c>
      <c r="N35" s="81">
        <f t="shared" ref="N35:N44" si="12">O35-M35</f>
        <v>0</v>
      </c>
      <c r="O35" s="81">
        <f>'Exhibit B,2'!U59-'Exhibit B,2'!O59</f>
        <v>0</v>
      </c>
      <c r="P35" s="81">
        <f t="shared" ref="P35:P44" si="13">J35+M35</f>
        <v>17722.52</v>
      </c>
      <c r="Q35" s="81">
        <f t="shared" ref="Q35:Q44" si="14">L35+N35</f>
        <v>17722.52</v>
      </c>
      <c r="R35" s="81">
        <f t="shared" ref="R35:R44" si="15">P35+Q35</f>
        <v>35445.040000000001</v>
      </c>
      <c r="S35" s="81">
        <f t="shared" si="1"/>
        <v>163.86140806477792</v>
      </c>
      <c r="T35" s="87">
        <v>0</v>
      </c>
      <c r="U35" s="81">
        <f t="shared" si="2"/>
        <v>163.86140806477792</v>
      </c>
      <c r="V35" s="81">
        <f t="shared" si="3"/>
        <v>35608.901408064776</v>
      </c>
      <c r="W35" s="100">
        <v>440713.07999999996</v>
      </c>
    </row>
    <row r="36" spans="1:23">
      <c r="A36" s="6">
        <f t="shared" si="4"/>
        <v>2013</v>
      </c>
      <c r="B36" s="81">
        <f>'Exhibit B,2'!AE60</f>
        <v>0</v>
      </c>
      <c r="C36" s="81">
        <f>'Exhibit B,2'!AA60</f>
        <v>4078500.86</v>
      </c>
      <c r="D36" s="81">
        <f>'Exhibit B,2'!AC60</f>
        <v>4078500.86</v>
      </c>
      <c r="E36" s="81">
        <f>'Exhibit B,2'!AB60</f>
        <v>4078500.86</v>
      </c>
      <c r="F36" s="81">
        <f>'Exhibit B,2'!AD60</f>
        <v>4078500.86</v>
      </c>
      <c r="G36" s="81">
        <f t="shared" si="5"/>
        <v>8157001.7199999997</v>
      </c>
      <c r="H36" s="81">
        <f t="shared" si="6"/>
        <v>16314003.439999999</v>
      </c>
      <c r="I36" s="81">
        <f t="shared" si="7"/>
        <v>4078500.86</v>
      </c>
      <c r="J36" s="81">
        <f t="shared" si="8"/>
        <v>8157001.7199999997</v>
      </c>
      <c r="K36" s="81">
        <f t="shared" si="9"/>
        <v>4078500.86</v>
      </c>
      <c r="L36" s="81">
        <f t="shared" si="10"/>
        <v>8157001.7199999997</v>
      </c>
      <c r="M36" s="81">
        <f t="shared" si="11"/>
        <v>1759.6706809998025</v>
      </c>
      <c r="N36" s="81">
        <f t="shared" si="12"/>
        <v>510.87213319349098</v>
      </c>
      <c r="O36" s="81">
        <f>'Exhibit B,2'!U60-'Exhibit B,2'!O60</f>
        <v>2270.5428141932935</v>
      </c>
      <c r="P36" s="81">
        <f t="shared" si="13"/>
        <v>8158761.3906809995</v>
      </c>
      <c r="Q36" s="81">
        <f t="shared" si="14"/>
        <v>8157512.5921331933</v>
      </c>
      <c r="R36" s="81">
        <f t="shared" si="15"/>
        <v>16316273.982814193</v>
      </c>
      <c r="S36" s="81">
        <f t="shared" si="1"/>
        <v>75440.165493881243</v>
      </c>
      <c r="T36" s="87">
        <v>0</v>
      </c>
      <c r="U36" s="81">
        <f t="shared" si="2"/>
        <v>75440.165493881243</v>
      </c>
      <c r="V36" s="81">
        <f t="shared" si="3"/>
        <v>16391714.148308074</v>
      </c>
      <c r="W36" s="100">
        <v>967222.10000000009</v>
      </c>
    </row>
    <row r="37" spans="1:23">
      <c r="A37" s="6">
        <f t="shared" si="4"/>
        <v>2014</v>
      </c>
      <c r="B37" s="81">
        <f>'Exhibit B,2'!AE61</f>
        <v>0</v>
      </c>
      <c r="C37" s="81">
        <f>'Exhibit B,2'!AA61</f>
        <v>2710527.3699999996</v>
      </c>
      <c r="D37" s="81">
        <f>'Exhibit B,2'!AC61</f>
        <v>2710527.3699999996</v>
      </c>
      <c r="E37" s="81">
        <f>'Exhibit B,2'!AB61</f>
        <v>2710527.3699999996</v>
      </c>
      <c r="F37" s="81">
        <f>'Exhibit B,2'!AD61</f>
        <v>2710527.3699999996</v>
      </c>
      <c r="G37" s="81">
        <f t="shared" si="5"/>
        <v>5421054.7399999993</v>
      </c>
      <c r="H37" s="81">
        <f t="shared" si="6"/>
        <v>10842109.479999999</v>
      </c>
      <c r="I37" s="81">
        <f t="shared" si="7"/>
        <v>2710527.3699999996</v>
      </c>
      <c r="J37" s="81">
        <f t="shared" si="8"/>
        <v>5421054.7399999993</v>
      </c>
      <c r="K37" s="81">
        <f t="shared" si="9"/>
        <v>2710527.3699999996</v>
      </c>
      <c r="L37" s="81">
        <f t="shared" si="10"/>
        <v>5421054.7399999993</v>
      </c>
      <c r="M37" s="81">
        <f t="shared" si="11"/>
        <v>10034.226440561202</v>
      </c>
      <c r="N37" s="81">
        <f t="shared" si="12"/>
        <v>2913.1625150016389</v>
      </c>
      <c r="O37" s="81">
        <f>'Exhibit B,2'!U61-'Exhibit B,2'!O61</f>
        <v>12947.388955562841</v>
      </c>
      <c r="P37" s="81">
        <f t="shared" si="13"/>
        <v>5431088.9664405603</v>
      </c>
      <c r="Q37" s="81">
        <f t="shared" si="14"/>
        <v>5423967.9025150007</v>
      </c>
      <c r="R37" s="81">
        <f t="shared" si="15"/>
        <v>10855056.86895556</v>
      </c>
      <c r="S37" s="81">
        <f t="shared" si="1"/>
        <v>50242.473433668529</v>
      </c>
      <c r="T37" s="87">
        <v>0</v>
      </c>
      <c r="U37" s="81">
        <f t="shared" si="2"/>
        <v>50242.473433668529</v>
      </c>
      <c r="V37" s="81">
        <f t="shared" si="3"/>
        <v>10905299.342389228</v>
      </c>
      <c r="W37" s="100">
        <v>1180792.44</v>
      </c>
    </row>
    <row r="38" spans="1:23">
      <c r="A38" s="6">
        <f t="shared" si="4"/>
        <v>2015</v>
      </c>
      <c r="B38" s="81">
        <f>'Exhibit B,2'!AE62</f>
        <v>0</v>
      </c>
      <c r="C38" s="81">
        <f>'Exhibit B,2'!AA62</f>
        <v>3014251.8099999996</v>
      </c>
      <c r="D38" s="81">
        <f>'Exhibit B,2'!AC62</f>
        <v>3014251.8099999996</v>
      </c>
      <c r="E38" s="81">
        <f>'Exhibit B,2'!AB62</f>
        <v>3014251.8099999996</v>
      </c>
      <c r="F38" s="81">
        <f>'Exhibit B,2'!AD62</f>
        <v>3014251.8099999996</v>
      </c>
      <c r="G38" s="81">
        <f t="shared" si="5"/>
        <v>6028503.6199999992</v>
      </c>
      <c r="H38" s="81">
        <f t="shared" si="6"/>
        <v>12057007.239999998</v>
      </c>
      <c r="I38" s="81">
        <f t="shared" si="7"/>
        <v>3014251.8099999996</v>
      </c>
      <c r="J38" s="81">
        <f t="shared" si="8"/>
        <v>6028503.6199999992</v>
      </c>
      <c r="K38" s="81">
        <f t="shared" si="9"/>
        <v>3014251.8099999996</v>
      </c>
      <c r="L38" s="81">
        <f t="shared" si="10"/>
        <v>6028503.6199999992</v>
      </c>
      <c r="M38" s="81">
        <f t="shared" si="11"/>
        <v>41973.024419036999</v>
      </c>
      <c r="N38" s="81">
        <f t="shared" si="12"/>
        <v>12185.71676681719</v>
      </c>
      <c r="O38" s="81">
        <f>'Exhibit B,2'!U62-'Exhibit B,2'!O62</f>
        <v>54158.741185854189</v>
      </c>
      <c r="P38" s="81">
        <f t="shared" si="13"/>
        <v>6070476.6444190359</v>
      </c>
      <c r="Q38" s="81">
        <f t="shared" si="14"/>
        <v>6040689.3367668167</v>
      </c>
      <c r="R38" s="81">
        <f t="shared" si="15"/>
        <v>12111165.981185853</v>
      </c>
      <c r="S38" s="81">
        <f t="shared" si="1"/>
        <v>56239.948906055157</v>
      </c>
      <c r="T38" s="87">
        <v>0</v>
      </c>
      <c r="U38" s="81">
        <f t="shared" si="2"/>
        <v>56239.948906055157</v>
      </c>
      <c r="V38" s="81">
        <f t="shared" si="3"/>
        <v>12167405.930091908</v>
      </c>
      <c r="W38" s="100">
        <v>1722279.45</v>
      </c>
    </row>
    <row r="39" spans="1:23">
      <c r="A39" s="6">
        <f t="shared" si="4"/>
        <v>2016</v>
      </c>
      <c r="B39" s="81">
        <f>'Exhibit B,2'!AE63</f>
        <v>-233439.74</v>
      </c>
      <c r="C39" s="81">
        <f>'Exhibit B,2'!AA63</f>
        <v>1785482.28</v>
      </c>
      <c r="D39" s="81">
        <f>'Exhibit B,2'!AC63</f>
        <v>1645974.7000000002</v>
      </c>
      <c r="E39" s="81">
        <f>'Exhibit B,2'!AB63</f>
        <v>2037482.28</v>
      </c>
      <c r="F39" s="81">
        <f>'Exhibit B,2'!AD63</f>
        <v>2270922.0199999996</v>
      </c>
      <c r="G39" s="81">
        <f t="shared" si="5"/>
        <v>4056404.3</v>
      </c>
      <c r="H39" s="81">
        <f t="shared" si="6"/>
        <v>7973301.0200000005</v>
      </c>
      <c r="I39" s="81">
        <f t="shared" si="7"/>
        <v>2018922.02</v>
      </c>
      <c r="J39" s="81">
        <f t="shared" si="8"/>
        <v>3664896.72</v>
      </c>
      <c r="K39" s="81">
        <f t="shared" si="9"/>
        <v>2037482.28</v>
      </c>
      <c r="L39" s="81">
        <f t="shared" si="10"/>
        <v>4308404.3</v>
      </c>
      <c r="M39" s="81">
        <f t="shared" si="11"/>
        <v>71244.670602467566</v>
      </c>
      <c r="N39" s="81">
        <f t="shared" si="12"/>
        <v>20683.936626522845</v>
      </c>
      <c r="O39" s="81">
        <f>'Exhibit B,2'!U63-'Exhibit B,2'!O63</f>
        <v>91928.607228990411</v>
      </c>
      <c r="P39" s="81">
        <f t="shared" si="13"/>
        <v>3736141.3906024676</v>
      </c>
      <c r="Q39" s="81">
        <f t="shared" si="14"/>
        <v>4329088.2366265226</v>
      </c>
      <c r="R39" s="81">
        <f t="shared" si="15"/>
        <v>8065229.6272289902</v>
      </c>
      <c r="S39" s="81">
        <f t="shared" si="1"/>
        <v>37065.370094404556</v>
      </c>
      <c r="T39" s="87">
        <v>4819.493905667352</v>
      </c>
      <c r="U39" s="81">
        <f t="shared" si="2"/>
        <v>41884.86400007191</v>
      </c>
      <c r="V39" s="81">
        <f t="shared" si="3"/>
        <v>8107114.491229062</v>
      </c>
      <c r="W39" s="100">
        <v>1060608</v>
      </c>
    </row>
    <row r="40" spans="1:23">
      <c r="A40" s="6">
        <f t="shared" si="4"/>
        <v>2017</v>
      </c>
      <c r="B40" s="81">
        <f>'Exhibit B,2'!AE64</f>
        <v>0</v>
      </c>
      <c r="C40" s="81">
        <f>'Exhibit B,2'!AA64</f>
        <v>91450.640000000014</v>
      </c>
      <c r="D40" s="81">
        <f>'Exhibit B,2'!AC64</f>
        <v>91450.64</v>
      </c>
      <c r="E40" s="81">
        <f>'Exhibit B,2'!AB64</f>
        <v>91450.640000000014</v>
      </c>
      <c r="F40" s="81">
        <f>'Exhibit B,2'!AD64</f>
        <v>91450.64</v>
      </c>
      <c r="G40" s="81">
        <f t="shared" si="5"/>
        <v>182901.28000000003</v>
      </c>
      <c r="H40" s="81">
        <f t="shared" si="6"/>
        <v>365802.56000000006</v>
      </c>
      <c r="I40" s="81">
        <f t="shared" si="7"/>
        <v>91450.640000000014</v>
      </c>
      <c r="J40" s="81">
        <f t="shared" si="8"/>
        <v>182901.28000000003</v>
      </c>
      <c r="K40" s="81">
        <f t="shared" si="9"/>
        <v>91450.640000000014</v>
      </c>
      <c r="L40" s="81">
        <f t="shared" si="10"/>
        <v>182901.28000000003</v>
      </c>
      <c r="M40" s="81">
        <f t="shared" si="11"/>
        <v>424996.4488268522</v>
      </c>
      <c r="N40" s="81">
        <f t="shared" si="12"/>
        <v>123386.06578844093</v>
      </c>
      <c r="O40" s="81">
        <f>'Exhibit B,2'!U64-'Exhibit B,2'!O64</f>
        <v>548382.51461529313</v>
      </c>
      <c r="P40" s="81">
        <f t="shared" si="13"/>
        <v>607897.72882685228</v>
      </c>
      <c r="Q40" s="81">
        <f t="shared" si="14"/>
        <v>306287.34578844096</v>
      </c>
      <c r="R40" s="81">
        <f t="shared" si="15"/>
        <v>914185.07461529318</v>
      </c>
      <c r="S40" s="81">
        <f t="shared" si="1"/>
        <v>6761.4082128622676</v>
      </c>
      <c r="T40" s="87">
        <v>7654.2973753347269</v>
      </c>
      <c r="U40" s="81">
        <f t="shared" si="2"/>
        <v>14415.705588196994</v>
      </c>
      <c r="V40" s="81">
        <f t="shared" si="3"/>
        <v>928600.78020349017</v>
      </c>
      <c r="W40" s="100">
        <v>1686489.58</v>
      </c>
    </row>
    <row r="41" spans="1:23">
      <c r="A41" s="6">
        <f t="shared" si="4"/>
        <v>2018</v>
      </c>
      <c r="B41" s="81">
        <f>'Exhibit B,2'!AE65</f>
        <v>150884.81999999983</v>
      </c>
      <c r="C41" s="81">
        <f>'Exhibit B,2'!AA65</f>
        <v>1918435.24</v>
      </c>
      <c r="D41" s="81">
        <f>'Exhibit B,2'!AC65</f>
        <v>1158122.77</v>
      </c>
      <c r="E41" s="81">
        <f>'Exhibit B,2'!AB65</f>
        <v>3419917.54</v>
      </c>
      <c r="F41" s="81">
        <f>'Exhibit B,2'!AD65</f>
        <v>3269032.72</v>
      </c>
      <c r="G41" s="81">
        <f t="shared" si="5"/>
        <v>5187467.9600000009</v>
      </c>
      <c r="H41" s="81">
        <f t="shared" si="6"/>
        <v>9614623.4499999993</v>
      </c>
      <c r="I41" s="81">
        <f t="shared" si="7"/>
        <v>1767550.4200000002</v>
      </c>
      <c r="J41" s="81">
        <f t="shared" si="8"/>
        <v>2925673.1900000004</v>
      </c>
      <c r="K41" s="81">
        <f t="shared" si="9"/>
        <v>3419917.54</v>
      </c>
      <c r="L41" s="81">
        <f t="shared" si="10"/>
        <v>6688950.2599999998</v>
      </c>
      <c r="M41" s="81">
        <f t="shared" si="11"/>
        <v>422154.29858990811</v>
      </c>
      <c r="N41" s="81">
        <f t="shared" si="12"/>
        <v>122560.92539707007</v>
      </c>
      <c r="O41" s="81">
        <f>'Exhibit B,2'!U65-'Exhibit B,2'!O65</f>
        <v>544715.22398697818</v>
      </c>
      <c r="P41" s="81">
        <f t="shared" si="13"/>
        <v>3347827.4885899085</v>
      </c>
      <c r="Q41" s="81">
        <f t="shared" si="14"/>
        <v>6811511.1853970699</v>
      </c>
      <c r="R41" s="81">
        <f t="shared" si="15"/>
        <v>10159338.673986979</v>
      </c>
      <c r="S41" s="81">
        <f t="shared" si="1"/>
        <v>45969.632755947721</v>
      </c>
      <c r="T41" s="87">
        <v>9500</v>
      </c>
      <c r="U41" s="81">
        <f t="shared" si="2"/>
        <v>55469.632755947721</v>
      </c>
      <c r="V41" s="81">
        <f t="shared" si="3"/>
        <v>10214808.306742927</v>
      </c>
      <c r="W41" s="100">
        <v>1402971</v>
      </c>
    </row>
    <row r="42" spans="1:23">
      <c r="A42" s="6">
        <f t="shared" si="4"/>
        <v>2019</v>
      </c>
      <c r="B42" s="81">
        <f>'Exhibit B,2'!AE66</f>
        <v>958061.12999999989</v>
      </c>
      <c r="C42" s="81">
        <f>'Exhibit B,2'!AA66</f>
        <v>1426777.8299999998</v>
      </c>
      <c r="D42" s="81">
        <f>'Exhibit B,2'!AC66</f>
        <v>350439.26</v>
      </c>
      <c r="E42" s="81">
        <f>'Exhibit B,2'!AB66</f>
        <v>1463982.8299999998</v>
      </c>
      <c r="F42" s="81">
        <f>'Exhibit B,2'!AD66</f>
        <v>505921.7</v>
      </c>
      <c r="G42" s="81">
        <f t="shared" si="5"/>
        <v>1932699.5299999998</v>
      </c>
      <c r="H42" s="81">
        <f t="shared" si="6"/>
        <v>2789060.49</v>
      </c>
      <c r="I42" s="81">
        <f t="shared" si="7"/>
        <v>468716.69999999995</v>
      </c>
      <c r="J42" s="81">
        <f t="shared" si="8"/>
        <v>819155.96</v>
      </c>
      <c r="K42" s="81">
        <f t="shared" si="9"/>
        <v>1463982.8299999998</v>
      </c>
      <c r="L42" s="81">
        <f t="shared" si="10"/>
        <v>1969904.5299999998</v>
      </c>
      <c r="M42" s="81">
        <f t="shared" si="11"/>
        <v>391053.93057508429</v>
      </c>
      <c r="N42" s="81">
        <f t="shared" si="12"/>
        <v>113531.78629599221</v>
      </c>
      <c r="O42" s="81">
        <f>'Exhibit B,2'!U66-'Exhibit B,2'!O66</f>
        <v>504585.7168710765</v>
      </c>
      <c r="P42" s="81">
        <f t="shared" si="13"/>
        <v>1210209.8905750844</v>
      </c>
      <c r="Q42" s="81">
        <f t="shared" si="14"/>
        <v>2083436.3162959921</v>
      </c>
      <c r="R42" s="81">
        <f t="shared" si="15"/>
        <v>3293646.2068710765</v>
      </c>
      <c r="S42" s="81">
        <f t="shared" si="1"/>
        <v>12583.235272025366</v>
      </c>
      <c r="T42" s="87">
        <v>15126.273314138667</v>
      </c>
      <c r="U42" s="81">
        <f t="shared" si="2"/>
        <v>27709.508586164033</v>
      </c>
      <c r="V42" s="81">
        <f t="shared" si="3"/>
        <v>3321355.7154572406</v>
      </c>
      <c r="W42" s="100">
        <v>1352611.39</v>
      </c>
    </row>
    <row r="43" spans="1:23">
      <c r="A43" s="6">
        <f t="shared" si="4"/>
        <v>2020</v>
      </c>
      <c r="B43" s="81">
        <f>'Exhibit B,2'!AE67</f>
        <v>3129302.05</v>
      </c>
      <c r="C43" s="81">
        <f>'Exhibit B,2'!AA67</f>
        <v>1236199.73</v>
      </c>
      <c r="D43" s="81">
        <f>'Exhibit B,2'!AC67</f>
        <v>37551.15</v>
      </c>
      <c r="E43" s="81">
        <f>'Exhibit B,2'!AB67</f>
        <v>3487415.05</v>
      </c>
      <c r="F43" s="81">
        <f>'Exhibit B,2'!AD67</f>
        <v>358113</v>
      </c>
      <c r="G43" s="81">
        <f t="shared" si="5"/>
        <v>1594312.7299999995</v>
      </c>
      <c r="H43" s="81">
        <f t="shared" si="6"/>
        <v>1989976.88</v>
      </c>
      <c r="I43" s="81">
        <f t="shared" si="7"/>
        <v>-1893102.3199999998</v>
      </c>
      <c r="J43" s="81">
        <f t="shared" si="8"/>
        <v>-1855551.17</v>
      </c>
      <c r="K43" s="81">
        <f t="shared" si="9"/>
        <v>3487415.05</v>
      </c>
      <c r="L43" s="81">
        <f t="shared" si="10"/>
        <v>3845528.05</v>
      </c>
      <c r="M43" s="81">
        <f t="shared" si="11"/>
        <v>1773161.8962919866</v>
      </c>
      <c r="N43" s="81">
        <f t="shared" si="12"/>
        <v>514788.93763315724</v>
      </c>
      <c r="O43" s="81">
        <f>'Exhibit B,2'!U67-'Exhibit B,2'!O67</f>
        <v>2287950.8339251438</v>
      </c>
      <c r="P43" s="81">
        <f t="shared" si="13"/>
        <v>-82389.273708013352</v>
      </c>
      <c r="Q43" s="81">
        <f t="shared" si="14"/>
        <v>4360316.9876331575</v>
      </c>
      <c r="R43" s="81">
        <f t="shared" si="15"/>
        <v>4277927.7139251437</v>
      </c>
      <c r="S43" s="81">
        <f t="shared" si="1"/>
        <v>24812.550922200146</v>
      </c>
      <c r="T43" s="87">
        <v>52.532106970518591</v>
      </c>
      <c r="U43" s="81">
        <f t="shared" si="2"/>
        <v>24865.083029170662</v>
      </c>
      <c r="V43" s="81">
        <f t="shared" si="3"/>
        <v>4302792.7969543142</v>
      </c>
      <c r="W43" s="100">
        <v>1504213.82</v>
      </c>
    </row>
    <row r="44" spans="1:23">
      <c r="A44" s="6"/>
      <c r="B44" s="81"/>
      <c r="C44" s="17"/>
      <c r="D44" s="81"/>
      <c r="E44" s="81"/>
      <c r="F44" s="81"/>
      <c r="G44" s="81">
        <f t="shared" si="5"/>
        <v>0</v>
      </c>
      <c r="H44" s="81">
        <f t="shared" si="6"/>
        <v>0</v>
      </c>
      <c r="I44" s="81">
        <f t="shared" si="7"/>
        <v>0</v>
      </c>
      <c r="J44" s="81">
        <f t="shared" si="8"/>
        <v>0</v>
      </c>
      <c r="K44" s="81">
        <f t="shared" si="9"/>
        <v>0</v>
      </c>
      <c r="L44" s="81">
        <f t="shared" si="10"/>
        <v>0</v>
      </c>
      <c r="M44" s="81">
        <f t="shared" si="11"/>
        <v>0</v>
      </c>
      <c r="N44" s="81">
        <f t="shared" si="12"/>
        <v>0</v>
      </c>
      <c r="O44" s="81">
        <f>'Exhibit A, 1d'!K27</f>
        <v>0</v>
      </c>
      <c r="P44" s="81">
        <f t="shared" si="13"/>
        <v>0</v>
      </c>
      <c r="Q44" s="81">
        <f t="shared" si="14"/>
        <v>0</v>
      </c>
      <c r="R44" s="81">
        <f t="shared" si="15"/>
        <v>0</v>
      </c>
      <c r="S44" s="81">
        <f>'Exhibit C,1'!AA45</f>
        <v>0</v>
      </c>
      <c r="T44" s="87">
        <v>0</v>
      </c>
      <c r="U44" s="81">
        <f t="shared" si="2"/>
        <v>0</v>
      </c>
      <c r="V44" s="81">
        <f t="shared" si="3"/>
        <v>0</v>
      </c>
      <c r="W44" s="87"/>
    </row>
    <row r="45" spans="1:23">
      <c r="A45" s="6" t="s">
        <v>0</v>
      </c>
      <c r="B45" s="82">
        <f>SUM(B15:B43)</f>
        <v>4004808.26</v>
      </c>
      <c r="C45" s="82">
        <f>SUM(C15:C43)</f>
        <v>16270487.02</v>
      </c>
      <c r="D45" s="82">
        <f t="shared" ref="D45:R45" si="16">SUM(D15:D43)</f>
        <v>13095679.82</v>
      </c>
      <c r="E45" s="82">
        <f t="shared" si="16"/>
        <v>20312389.639999997</v>
      </c>
      <c r="F45" s="82">
        <f t="shared" si="16"/>
        <v>16307581.379999999</v>
      </c>
      <c r="G45" s="82">
        <f t="shared" si="16"/>
        <v>32578068.400000002</v>
      </c>
      <c r="H45" s="82">
        <f t="shared" si="16"/>
        <v>61981329.600000009</v>
      </c>
      <c r="I45" s="82">
        <f t="shared" si="16"/>
        <v>12265678.759999998</v>
      </c>
      <c r="J45" s="82">
        <f t="shared" si="16"/>
        <v>25361358.579999998</v>
      </c>
      <c r="K45" s="82">
        <f t="shared" si="16"/>
        <v>20312389.639999997</v>
      </c>
      <c r="L45" s="82">
        <f t="shared" si="16"/>
        <v>36619971.019999996</v>
      </c>
      <c r="M45" s="82">
        <f t="shared" si="16"/>
        <v>3136378.1664268966</v>
      </c>
      <c r="N45" s="82">
        <f t="shared" si="16"/>
        <v>910561.40315619553</v>
      </c>
      <c r="O45" s="82">
        <f t="shared" si="16"/>
        <v>4046939.5695830924</v>
      </c>
      <c r="P45" s="82">
        <f t="shared" si="16"/>
        <v>28497736.746426899</v>
      </c>
      <c r="Q45" s="82">
        <f t="shared" si="16"/>
        <v>37530532.423156187</v>
      </c>
      <c r="R45" s="82">
        <f t="shared" si="16"/>
        <v>66028269.16958309</v>
      </c>
      <c r="S45" s="82">
        <f>'Exhibit B,2'!W72</f>
        <v>309278.64649910986</v>
      </c>
      <c r="T45" s="82">
        <f>SUM(T15:T43)</f>
        <v>37152.596702111266</v>
      </c>
      <c r="U45" s="82">
        <f>SUM(U15:U43)</f>
        <v>346431.24320122099</v>
      </c>
      <c r="V45" s="82">
        <f>SUM(V15:V43)</f>
        <v>66374700.412784308</v>
      </c>
      <c r="W45" s="90">
        <v>11637911.900000002</v>
      </c>
    </row>
    <row r="46" spans="1:23">
      <c r="A46" s="6"/>
      <c r="B46" s="6"/>
      <c r="C46" s="6"/>
      <c r="D46" s="6"/>
      <c r="E46" s="6"/>
      <c r="F46" s="6"/>
      <c r="G46" s="81"/>
      <c r="H46" s="81"/>
      <c r="I46" s="81"/>
      <c r="J46" s="99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7"/>
    </row>
    <row r="47" spans="1:23">
      <c r="A47" s="6"/>
      <c r="B47" s="6"/>
      <c r="C47" s="6"/>
      <c r="D47" s="6"/>
      <c r="E47" s="6"/>
      <c r="F47" s="6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7"/>
    </row>
    <row r="48" spans="1:23">
      <c r="A48" s="6"/>
      <c r="B48" s="6"/>
      <c r="C48" s="6"/>
      <c r="D48" s="6"/>
      <c r="E48" s="6"/>
      <c r="F48" s="6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7"/>
    </row>
    <row r="49" spans="1:23">
      <c r="A49" s="6" t="s">
        <v>13</v>
      </c>
      <c r="B49" s="6" t="s">
        <v>682</v>
      </c>
      <c r="C49" s="6" t="s">
        <v>682</v>
      </c>
      <c r="D49" s="6" t="s">
        <v>682</v>
      </c>
      <c r="E49" s="6" t="s">
        <v>682</v>
      </c>
      <c r="F49" s="6" t="s">
        <v>682</v>
      </c>
      <c r="G49" s="85">
        <v>0.95</v>
      </c>
      <c r="H49" s="85">
        <v>0.95</v>
      </c>
      <c r="I49" s="85">
        <v>0.95</v>
      </c>
      <c r="J49" s="85">
        <v>0.95</v>
      </c>
      <c r="K49" s="85">
        <v>0.95</v>
      </c>
      <c r="L49" s="85">
        <v>0.95</v>
      </c>
      <c r="M49" s="85">
        <v>0.95</v>
      </c>
      <c r="N49" s="85">
        <v>0.95</v>
      </c>
      <c r="O49" s="85">
        <v>0.95</v>
      </c>
      <c r="P49" s="6" t="s">
        <v>683</v>
      </c>
      <c r="Q49" s="6" t="s">
        <v>683</v>
      </c>
      <c r="R49" s="6" t="s">
        <v>683</v>
      </c>
      <c r="S49" s="83" t="s">
        <v>682</v>
      </c>
      <c r="T49" s="83" t="s">
        <v>682</v>
      </c>
      <c r="U49" s="83" t="s">
        <v>682</v>
      </c>
      <c r="V49" s="81"/>
      <c r="W49" s="98">
        <v>0.95</v>
      </c>
    </row>
    <row r="50" spans="1:23">
      <c r="A50" s="6"/>
      <c r="B50" s="27" t="s">
        <v>665</v>
      </c>
      <c r="C50" s="27" t="s">
        <v>666</v>
      </c>
      <c r="D50" s="27" t="s">
        <v>667</v>
      </c>
      <c r="E50" s="27" t="s">
        <v>665</v>
      </c>
      <c r="F50" s="27" t="s">
        <v>673</v>
      </c>
      <c r="G50" s="17"/>
      <c r="H50" s="81"/>
      <c r="I50" s="81"/>
      <c r="J50" s="81"/>
      <c r="K50" s="81"/>
      <c r="L50" s="81"/>
      <c r="M50" s="17"/>
      <c r="N50" s="83">
        <v>0.05</v>
      </c>
      <c r="O50" s="81"/>
      <c r="P50" s="81"/>
      <c r="Q50" s="81"/>
      <c r="R50" s="81" t="s">
        <v>67</v>
      </c>
      <c r="S50" s="83"/>
      <c r="T50" s="6"/>
      <c r="U50" s="6"/>
      <c r="V50" s="6" t="s">
        <v>67</v>
      </c>
      <c r="W50" s="87"/>
    </row>
    <row r="51" spans="1:23">
      <c r="A51" s="6" t="s">
        <v>3</v>
      </c>
      <c r="B51" s="27" t="s">
        <v>524</v>
      </c>
      <c r="C51" s="27" t="s">
        <v>524</v>
      </c>
      <c r="D51" s="27" t="s">
        <v>524</v>
      </c>
      <c r="E51" s="27" t="s">
        <v>528</v>
      </c>
      <c r="F51" s="27" t="s">
        <v>528</v>
      </c>
      <c r="G51" s="81" t="s">
        <v>14</v>
      </c>
      <c r="H51" s="81" t="s">
        <v>12</v>
      </c>
      <c r="I51" s="81" t="s">
        <v>14</v>
      </c>
      <c r="J51" s="81" t="s">
        <v>12</v>
      </c>
      <c r="K51" s="81" t="s">
        <v>14</v>
      </c>
      <c r="L51" s="81" t="s">
        <v>12</v>
      </c>
      <c r="M51" s="81" t="s">
        <v>381</v>
      </c>
      <c r="N51" s="81" t="s">
        <v>381</v>
      </c>
      <c r="O51" s="81" t="s">
        <v>381</v>
      </c>
      <c r="P51" s="81" t="s">
        <v>660</v>
      </c>
      <c r="Q51" s="81" t="s">
        <v>67</v>
      </c>
      <c r="R51" s="81" t="s">
        <v>662</v>
      </c>
      <c r="S51" s="6" t="s">
        <v>661</v>
      </c>
      <c r="T51" s="6" t="s">
        <v>661</v>
      </c>
      <c r="U51" s="6" t="s">
        <v>67</v>
      </c>
      <c r="V51" s="6" t="s">
        <v>663</v>
      </c>
      <c r="W51" s="94" t="s">
        <v>177</v>
      </c>
    </row>
    <row r="52" spans="1:23">
      <c r="A52" s="6" t="s">
        <v>4</v>
      </c>
      <c r="B52" s="28" t="s">
        <v>668</v>
      </c>
      <c r="C52" s="28" t="s">
        <v>669</v>
      </c>
      <c r="D52" s="28" t="s">
        <v>670</v>
      </c>
      <c r="E52" s="28" t="s">
        <v>668</v>
      </c>
      <c r="F52" s="28" t="s">
        <v>670</v>
      </c>
      <c r="G52" s="81" t="s">
        <v>0</v>
      </c>
      <c r="H52" s="81" t="s">
        <v>0</v>
      </c>
      <c r="I52" s="81" t="s">
        <v>566</v>
      </c>
      <c r="J52" s="81" t="s">
        <v>566</v>
      </c>
      <c r="K52" s="81" t="s">
        <v>567</v>
      </c>
      <c r="L52" s="81" t="s">
        <v>567</v>
      </c>
      <c r="M52" s="81" t="s">
        <v>566</v>
      </c>
      <c r="N52" s="81" t="s">
        <v>567</v>
      </c>
      <c r="O52" s="81" t="s">
        <v>0</v>
      </c>
      <c r="P52" s="81" t="s">
        <v>566</v>
      </c>
      <c r="Q52" s="81" t="s">
        <v>567</v>
      </c>
      <c r="R52" s="81" t="s">
        <v>0</v>
      </c>
      <c r="S52" s="6" t="s">
        <v>117</v>
      </c>
      <c r="T52" s="6" t="s">
        <v>14</v>
      </c>
      <c r="U52" s="6" t="s">
        <v>661</v>
      </c>
      <c r="V52" s="6" t="s">
        <v>0</v>
      </c>
      <c r="W52" s="94" t="s">
        <v>16</v>
      </c>
    </row>
    <row r="53" spans="1:23">
      <c r="A53" s="10">
        <v>-1</v>
      </c>
      <c r="B53" s="10">
        <f>A53-1</f>
        <v>-2</v>
      </c>
      <c r="C53" s="10">
        <f>B53-1</f>
        <v>-3</v>
      </c>
      <c r="D53" s="10">
        <f t="shared" ref="D53:L53" si="17">C53-1</f>
        <v>-4</v>
      </c>
      <c r="E53" s="10">
        <f t="shared" si="17"/>
        <v>-5</v>
      </c>
      <c r="F53" s="10">
        <f t="shared" si="17"/>
        <v>-6</v>
      </c>
      <c r="G53" s="10">
        <f t="shared" si="17"/>
        <v>-7</v>
      </c>
      <c r="H53" s="10">
        <f t="shared" si="17"/>
        <v>-8</v>
      </c>
      <c r="I53" s="10">
        <f t="shared" si="17"/>
        <v>-9</v>
      </c>
      <c r="J53" s="10">
        <f t="shared" si="17"/>
        <v>-10</v>
      </c>
      <c r="K53" s="10">
        <f t="shared" si="17"/>
        <v>-11</v>
      </c>
      <c r="L53" s="10">
        <f t="shared" si="17"/>
        <v>-12</v>
      </c>
      <c r="M53" s="10">
        <f t="shared" ref="M53:V53" si="18">L53-1</f>
        <v>-13</v>
      </c>
      <c r="N53" s="10">
        <f t="shared" si="18"/>
        <v>-14</v>
      </c>
      <c r="O53" s="10">
        <f t="shared" si="18"/>
        <v>-15</v>
      </c>
      <c r="P53" s="10">
        <f t="shared" si="18"/>
        <v>-16</v>
      </c>
      <c r="Q53" s="10">
        <f t="shared" si="18"/>
        <v>-17</v>
      </c>
      <c r="R53" s="10">
        <f t="shared" si="18"/>
        <v>-18</v>
      </c>
      <c r="S53" s="10">
        <f t="shared" si="18"/>
        <v>-19</v>
      </c>
      <c r="T53" s="10">
        <f t="shared" si="18"/>
        <v>-20</v>
      </c>
      <c r="U53" s="10">
        <f t="shared" si="18"/>
        <v>-21</v>
      </c>
      <c r="V53" s="10">
        <f t="shared" si="18"/>
        <v>-22</v>
      </c>
      <c r="W53" s="93">
        <v>-23</v>
      </c>
    </row>
    <row r="54" spans="1:23">
      <c r="A54" s="80"/>
      <c r="B54" s="6"/>
      <c r="C54" s="6"/>
      <c r="D54" s="6"/>
      <c r="E54" s="6"/>
      <c r="F54" s="6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6"/>
      <c r="T54" s="6"/>
      <c r="U54" s="6"/>
      <c r="V54" s="6"/>
      <c r="W54" s="87"/>
    </row>
    <row r="55" spans="1:23">
      <c r="A55" s="6">
        <v>1992</v>
      </c>
      <c r="B55" s="2"/>
      <c r="C55" s="6"/>
      <c r="D55" s="6"/>
      <c r="E55" s="6"/>
      <c r="F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81"/>
      <c r="T55" s="81"/>
      <c r="U55" s="81">
        <f>S55+T55</f>
        <v>0</v>
      </c>
      <c r="V55" s="81">
        <f>R55+U55</f>
        <v>0</v>
      </c>
      <c r="W55" s="94"/>
    </row>
    <row r="56" spans="1:23">
      <c r="A56" s="6">
        <f>A55+1</f>
        <v>1993</v>
      </c>
      <c r="B56" s="6"/>
      <c r="C56" s="6"/>
      <c r="D56" s="6"/>
      <c r="E56" s="6"/>
      <c r="F56" s="6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>
        <f t="shared" ref="U56:U84" si="19">S56+T56</f>
        <v>0</v>
      </c>
      <c r="V56" s="81">
        <f t="shared" ref="V56:V84" si="20">R56+U56</f>
        <v>0</v>
      </c>
      <c r="W56" s="87"/>
    </row>
    <row r="57" spans="1:23">
      <c r="A57" s="6">
        <f t="shared" ref="A57:A83" si="21">A56+1</f>
        <v>1994</v>
      </c>
      <c r="B57" s="6"/>
      <c r="C57" s="6"/>
      <c r="D57" s="6"/>
      <c r="E57" s="6"/>
      <c r="F57" s="6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>
        <f t="shared" si="19"/>
        <v>0</v>
      </c>
      <c r="V57" s="81">
        <f t="shared" si="20"/>
        <v>0</v>
      </c>
      <c r="W57" s="87"/>
    </row>
    <row r="58" spans="1:23">
      <c r="A58" s="6">
        <f t="shared" si="21"/>
        <v>1995</v>
      </c>
      <c r="B58" s="6"/>
      <c r="C58" s="6"/>
      <c r="D58" s="6"/>
      <c r="E58" s="6"/>
      <c r="F58" s="6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>
        <f t="shared" si="19"/>
        <v>0</v>
      </c>
      <c r="V58" s="81">
        <f t="shared" si="20"/>
        <v>0</v>
      </c>
      <c r="W58" s="87"/>
    </row>
    <row r="59" spans="1:23">
      <c r="A59" s="6">
        <f t="shared" si="21"/>
        <v>1996</v>
      </c>
      <c r="B59" s="6"/>
      <c r="C59" s="6"/>
      <c r="D59" s="6"/>
      <c r="E59" s="6"/>
      <c r="F59" s="6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>
        <f t="shared" si="19"/>
        <v>0</v>
      </c>
      <c r="V59" s="81">
        <f t="shared" si="20"/>
        <v>0</v>
      </c>
      <c r="W59" s="87"/>
    </row>
    <row r="60" spans="1:23">
      <c r="A60" s="6">
        <f t="shared" si="21"/>
        <v>1997</v>
      </c>
      <c r="B60" s="6"/>
      <c r="C60" s="6"/>
      <c r="D60" s="6"/>
      <c r="E60" s="6"/>
      <c r="F60" s="6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>
        <f t="shared" si="19"/>
        <v>0</v>
      </c>
      <c r="V60" s="81">
        <f t="shared" si="20"/>
        <v>0</v>
      </c>
      <c r="W60" s="87"/>
    </row>
    <row r="61" spans="1:23">
      <c r="A61" s="6">
        <f t="shared" si="21"/>
        <v>1998</v>
      </c>
      <c r="B61" s="6"/>
      <c r="C61" s="6"/>
      <c r="D61" s="6"/>
      <c r="E61" s="6"/>
      <c r="F61" s="6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>
        <f t="shared" si="19"/>
        <v>0</v>
      </c>
      <c r="V61" s="81">
        <f t="shared" si="20"/>
        <v>0</v>
      </c>
      <c r="W61" s="87"/>
    </row>
    <row r="62" spans="1:23">
      <c r="A62" s="6">
        <f t="shared" si="21"/>
        <v>1999</v>
      </c>
      <c r="B62" s="6"/>
      <c r="C62" s="6"/>
      <c r="D62" s="6"/>
      <c r="E62" s="6"/>
      <c r="F62" s="6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>
        <f t="shared" si="19"/>
        <v>0</v>
      </c>
      <c r="V62" s="81">
        <f t="shared" si="20"/>
        <v>0</v>
      </c>
      <c r="W62" s="87"/>
    </row>
    <row r="63" spans="1:23">
      <c r="A63" s="6">
        <f t="shared" si="21"/>
        <v>2000</v>
      </c>
      <c r="B63" s="6"/>
      <c r="C63" s="6"/>
      <c r="D63" s="6"/>
      <c r="E63" s="6"/>
      <c r="F63" s="6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>
        <f t="shared" si="19"/>
        <v>0</v>
      </c>
      <c r="V63" s="81">
        <f t="shared" si="20"/>
        <v>0</v>
      </c>
      <c r="W63" s="87"/>
    </row>
    <row r="64" spans="1:23">
      <c r="A64" s="6">
        <f t="shared" si="21"/>
        <v>2001</v>
      </c>
      <c r="B64" s="6"/>
      <c r="C64" s="6"/>
      <c r="D64" s="6"/>
      <c r="E64" s="6"/>
      <c r="F64" s="6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>
        <f t="shared" si="19"/>
        <v>0</v>
      </c>
      <c r="V64" s="81">
        <f t="shared" si="20"/>
        <v>0</v>
      </c>
      <c r="W64" s="87"/>
    </row>
    <row r="65" spans="1:23">
      <c r="A65" s="6">
        <f t="shared" si="21"/>
        <v>2002</v>
      </c>
      <c r="B65" s="6"/>
      <c r="C65" s="6"/>
      <c r="D65" s="6"/>
      <c r="E65" s="6"/>
      <c r="F65" s="6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>
        <f t="shared" si="19"/>
        <v>0</v>
      </c>
      <c r="V65" s="81">
        <f t="shared" si="20"/>
        <v>0</v>
      </c>
      <c r="W65" s="87"/>
    </row>
    <row r="66" spans="1:23">
      <c r="A66" s="6">
        <f t="shared" si="21"/>
        <v>2003</v>
      </c>
      <c r="B66" s="6"/>
      <c r="C66" s="6"/>
      <c r="D66" s="6"/>
      <c r="E66" s="6"/>
      <c r="F66" s="6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>
        <f t="shared" si="19"/>
        <v>0</v>
      </c>
      <c r="V66" s="81">
        <f t="shared" si="20"/>
        <v>0</v>
      </c>
      <c r="W66" s="87"/>
    </row>
    <row r="67" spans="1:23">
      <c r="A67" s="6">
        <f t="shared" si="21"/>
        <v>2004</v>
      </c>
      <c r="B67" s="6"/>
      <c r="C67" s="6"/>
      <c r="D67" s="6"/>
      <c r="E67" s="6"/>
      <c r="F67" s="6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>
        <f t="shared" si="19"/>
        <v>0</v>
      </c>
      <c r="V67" s="81">
        <f t="shared" si="20"/>
        <v>0</v>
      </c>
      <c r="W67" s="87"/>
    </row>
    <row r="68" spans="1:23">
      <c r="A68" s="6">
        <f t="shared" si="21"/>
        <v>2005</v>
      </c>
      <c r="B68" s="6"/>
      <c r="C68" s="6"/>
      <c r="D68" s="6"/>
      <c r="E68" s="6"/>
      <c r="F68" s="6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>
        <f t="shared" si="19"/>
        <v>0</v>
      </c>
      <c r="V68" s="81">
        <f t="shared" si="20"/>
        <v>0</v>
      </c>
      <c r="W68" s="87"/>
    </row>
    <row r="69" spans="1:23">
      <c r="A69" s="6">
        <f t="shared" si="21"/>
        <v>2006</v>
      </c>
      <c r="B69" s="6"/>
      <c r="C69" s="6"/>
      <c r="D69" s="6"/>
      <c r="E69" s="6"/>
      <c r="F69" s="6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>
        <f t="shared" si="19"/>
        <v>0</v>
      </c>
      <c r="V69" s="81">
        <f t="shared" si="20"/>
        <v>0</v>
      </c>
      <c r="W69" s="87"/>
    </row>
    <row r="70" spans="1:23">
      <c r="A70" s="6">
        <f t="shared" si="21"/>
        <v>2007</v>
      </c>
      <c r="B70" s="6"/>
      <c r="C70" s="6"/>
      <c r="D70" s="6"/>
      <c r="E70" s="6"/>
      <c r="F70" s="6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>
        <f t="shared" si="19"/>
        <v>0</v>
      </c>
      <c r="V70" s="81">
        <f t="shared" si="20"/>
        <v>0</v>
      </c>
      <c r="W70" s="87"/>
    </row>
    <row r="71" spans="1:23">
      <c r="A71" s="6">
        <f t="shared" si="21"/>
        <v>2008</v>
      </c>
      <c r="B71" s="6"/>
      <c r="C71" s="6"/>
      <c r="D71" s="6"/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>
        <f t="shared" si="19"/>
        <v>0</v>
      </c>
      <c r="V71" s="81">
        <f t="shared" si="20"/>
        <v>0</v>
      </c>
      <c r="W71" s="87"/>
    </row>
    <row r="72" spans="1:23">
      <c r="A72" s="6">
        <f t="shared" si="21"/>
        <v>2009</v>
      </c>
      <c r="B72" s="6"/>
      <c r="C72" s="6"/>
      <c r="D72" s="6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>
        <f t="shared" si="19"/>
        <v>0</v>
      </c>
      <c r="V72" s="81">
        <f t="shared" si="20"/>
        <v>0</v>
      </c>
      <c r="W72" s="87"/>
    </row>
    <row r="73" spans="1:23">
      <c r="A73" s="6">
        <f t="shared" si="21"/>
        <v>2010</v>
      </c>
      <c r="B73" s="95"/>
      <c r="C73" s="95"/>
      <c r="D73" s="95"/>
      <c r="E73" s="17"/>
      <c r="F73" s="1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>
        <f t="shared" si="19"/>
        <v>0</v>
      </c>
      <c r="V73" s="81">
        <f t="shared" si="20"/>
        <v>0</v>
      </c>
      <c r="W73" s="87"/>
    </row>
    <row r="74" spans="1:23">
      <c r="A74" s="6">
        <f t="shared" si="21"/>
        <v>2011</v>
      </c>
      <c r="B74" s="95"/>
      <c r="C74" s="95"/>
      <c r="D74" s="95"/>
      <c r="E74" s="17"/>
      <c r="F74" s="1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>
        <f t="shared" ref="T74:T83" si="22">T34-T114</f>
        <v>0</v>
      </c>
      <c r="U74" s="81">
        <f t="shared" si="19"/>
        <v>0</v>
      </c>
      <c r="V74" s="81">
        <f t="shared" si="20"/>
        <v>0</v>
      </c>
      <c r="W74" s="89">
        <v>186276</v>
      </c>
    </row>
    <row r="75" spans="1:23">
      <c r="A75" s="6">
        <f t="shared" si="21"/>
        <v>2012</v>
      </c>
      <c r="B75" s="95">
        <v>15000</v>
      </c>
      <c r="C75" s="95">
        <v>0</v>
      </c>
      <c r="D75" s="95">
        <v>0</v>
      </c>
      <c r="E75" s="95">
        <v>10024.959999999999</v>
      </c>
      <c r="F75" s="95">
        <v>0</v>
      </c>
      <c r="G75" s="81">
        <f t="shared" ref="G75:L75" si="23">G35-G115</f>
        <v>25024.959999999999</v>
      </c>
      <c r="H75" s="81">
        <f t="shared" si="23"/>
        <v>25024.959999999999</v>
      </c>
      <c r="I75" s="81">
        <f t="shared" si="23"/>
        <v>15000</v>
      </c>
      <c r="J75" s="81">
        <f t="shared" si="23"/>
        <v>15000</v>
      </c>
      <c r="K75" s="81">
        <f t="shared" si="23"/>
        <v>10024.959999999999</v>
      </c>
      <c r="L75" s="81">
        <f t="shared" si="23"/>
        <v>10024.959999999999</v>
      </c>
      <c r="M75" s="81">
        <f>O75-N75</f>
        <v>9899.0760000000009</v>
      </c>
      <c r="N75" s="81">
        <f>O75*(N$50)</f>
        <v>521.00400000000013</v>
      </c>
      <c r="O75" s="81">
        <f t="shared" ref="O75:S83" si="24">O35-O115</f>
        <v>10420.080000000002</v>
      </c>
      <c r="P75" s="81">
        <f t="shared" si="24"/>
        <v>23075.562000000002</v>
      </c>
      <c r="Q75" s="81">
        <f t="shared" si="24"/>
        <v>12369.477999999999</v>
      </c>
      <c r="R75" s="81">
        <f t="shared" si="24"/>
        <v>35445.040000000001</v>
      </c>
      <c r="S75" s="81">
        <f t="shared" si="24"/>
        <v>163.86140806477792</v>
      </c>
      <c r="T75" s="81">
        <f t="shared" si="22"/>
        <v>0</v>
      </c>
      <c r="U75" s="81">
        <f t="shared" ref="U75:V83" si="25">U35-U115</f>
        <v>163.86140806477792</v>
      </c>
      <c r="V75" s="81">
        <f t="shared" si="25"/>
        <v>35608.901408064776</v>
      </c>
      <c r="W75" s="89">
        <v>501580.5</v>
      </c>
    </row>
    <row r="76" spans="1:23">
      <c r="A76" s="6">
        <f t="shared" si="21"/>
        <v>2013</v>
      </c>
      <c r="B76" s="95">
        <v>0</v>
      </c>
      <c r="C76" s="95">
        <v>0</v>
      </c>
      <c r="D76" s="95">
        <v>0</v>
      </c>
      <c r="E76" s="95">
        <v>8418.2000000000007</v>
      </c>
      <c r="F76" s="95">
        <v>-0.01</v>
      </c>
      <c r="G76" s="81">
        <f t="shared" ref="G76:N83" si="26">G36-G116</f>
        <v>8418.2000000001863</v>
      </c>
      <c r="H76" s="81">
        <f t="shared" si="26"/>
        <v>8418.1900000013411</v>
      </c>
      <c r="I76" s="81">
        <f t="shared" si="26"/>
        <v>0</v>
      </c>
      <c r="J76" s="81">
        <f t="shared" si="26"/>
        <v>0</v>
      </c>
      <c r="K76" s="81">
        <f t="shared" si="26"/>
        <v>8418.2000000001863</v>
      </c>
      <c r="L76" s="81">
        <f t="shared" si="26"/>
        <v>8418.1900000004098</v>
      </c>
      <c r="M76" s="81">
        <f t="shared" ref="M76:M83" si="27">O76-N76</f>
        <v>12518306.968430998</v>
      </c>
      <c r="N76" s="81">
        <f t="shared" si="26"/>
        <v>3634347.184383193</v>
      </c>
      <c r="O76" s="81">
        <f t="shared" si="24"/>
        <v>16152654.152814191</v>
      </c>
      <c r="P76" s="81">
        <f t="shared" si="24"/>
        <v>12518306.968430998</v>
      </c>
      <c r="Q76" s="81">
        <f t="shared" si="24"/>
        <v>3642765.3743831934</v>
      </c>
      <c r="R76" s="81">
        <f t="shared" si="24"/>
        <v>16161072.342814192</v>
      </c>
      <c r="S76" s="81">
        <f t="shared" si="24"/>
        <v>75440.165493881243</v>
      </c>
      <c r="T76" s="81">
        <f t="shared" si="22"/>
        <v>0</v>
      </c>
      <c r="U76" s="81">
        <f t="shared" si="25"/>
        <v>75440.165493881243</v>
      </c>
      <c r="V76" s="81">
        <f t="shared" si="25"/>
        <v>16236512.508308074</v>
      </c>
      <c r="W76" s="89">
        <v>1035725</v>
      </c>
    </row>
    <row r="77" spans="1:23">
      <c r="A77" s="6">
        <f t="shared" si="21"/>
        <v>2014</v>
      </c>
      <c r="B77" s="95">
        <v>3562500</v>
      </c>
      <c r="C77" s="95">
        <v>0</v>
      </c>
      <c r="D77" s="95">
        <v>0</v>
      </c>
      <c r="E77" s="95">
        <v>238376.04</v>
      </c>
      <c r="F77" s="95">
        <v>0</v>
      </c>
      <c r="G77" s="81">
        <f t="shared" si="26"/>
        <v>3800876.04</v>
      </c>
      <c r="H77" s="81">
        <f t="shared" si="26"/>
        <v>3800876.040000001</v>
      </c>
      <c r="I77" s="81">
        <f t="shared" si="26"/>
        <v>3562500</v>
      </c>
      <c r="J77" s="81">
        <f t="shared" si="26"/>
        <v>3562500</v>
      </c>
      <c r="K77" s="81">
        <f t="shared" si="26"/>
        <v>238376.04000000004</v>
      </c>
      <c r="L77" s="81">
        <f t="shared" si="26"/>
        <v>238376.04000000004</v>
      </c>
      <c r="M77" s="81">
        <f t="shared" si="27"/>
        <v>5432956.1934681721</v>
      </c>
      <c r="N77" s="81">
        <f t="shared" si="26"/>
        <v>1577309.8626197914</v>
      </c>
      <c r="O77" s="81">
        <f t="shared" si="24"/>
        <v>7010266.0560879633</v>
      </c>
      <c r="P77" s="81">
        <f t="shared" si="24"/>
        <v>8995456.1934681721</v>
      </c>
      <c r="Q77" s="81">
        <f t="shared" si="24"/>
        <v>1815685.9026197912</v>
      </c>
      <c r="R77" s="81">
        <f t="shared" si="24"/>
        <v>10811142.096087964</v>
      </c>
      <c r="S77" s="81">
        <f t="shared" si="24"/>
        <v>50242.473433668529</v>
      </c>
      <c r="T77" s="81">
        <f t="shared" si="22"/>
        <v>0</v>
      </c>
      <c r="U77" s="81">
        <f t="shared" si="25"/>
        <v>50242.473433668529</v>
      </c>
      <c r="V77" s="81">
        <f t="shared" si="25"/>
        <v>10861384.569521632</v>
      </c>
      <c r="W77" s="89">
        <v>1262224</v>
      </c>
    </row>
    <row r="78" spans="1:23">
      <c r="A78" s="6">
        <f t="shared" si="21"/>
        <v>2015</v>
      </c>
      <c r="B78" s="95">
        <v>2204414.6</v>
      </c>
      <c r="C78" s="95">
        <v>0</v>
      </c>
      <c r="D78" s="95">
        <v>0</v>
      </c>
      <c r="E78" s="95">
        <v>354981.52</v>
      </c>
      <c r="F78" s="95">
        <v>0</v>
      </c>
      <c r="G78" s="81">
        <f t="shared" si="26"/>
        <v>2559396.12</v>
      </c>
      <c r="H78" s="81">
        <f t="shared" si="26"/>
        <v>2559396.120000001</v>
      </c>
      <c r="I78" s="81">
        <f t="shared" si="26"/>
        <v>2204414.6</v>
      </c>
      <c r="J78" s="81">
        <f t="shared" si="26"/>
        <v>2204414.6</v>
      </c>
      <c r="K78" s="81">
        <f t="shared" si="26"/>
        <v>354981.52</v>
      </c>
      <c r="L78" s="81">
        <f t="shared" si="26"/>
        <v>354981.51999999955</v>
      </c>
      <c r="M78" s="81">
        <f t="shared" si="27"/>
        <v>7377010.9810049739</v>
      </c>
      <c r="N78" s="81">
        <f t="shared" si="26"/>
        <v>2141712.8654530556</v>
      </c>
      <c r="O78" s="81">
        <f t="shared" si="24"/>
        <v>9518723.846458029</v>
      </c>
      <c r="P78" s="81">
        <f t="shared" si="24"/>
        <v>9581425.5810049716</v>
      </c>
      <c r="Q78" s="81">
        <f t="shared" si="24"/>
        <v>2496694.3854530556</v>
      </c>
      <c r="R78" s="81">
        <f t="shared" si="24"/>
        <v>12078119.96645803</v>
      </c>
      <c r="S78" s="81">
        <f t="shared" si="24"/>
        <v>56239.948906055157</v>
      </c>
      <c r="T78" s="81">
        <f t="shared" si="22"/>
        <v>0</v>
      </c>
      <c r="U78" s="81">
        <f t="shared" si="25"/>
        <v>56239.948906055157</v>
      </c>
      <c r="V78" s="81">
        <f t="shared" si="25"/>
        <v>12134359.915364085</v>
      </c>
      <c r="W78" s="89">
        <v>1814179.45</v>
      </c>
    </row>
    <row r="79" spans="1:23">
      <c r="A79" s="6">
        <f t="shared" si="21"/>
        <v>2016</v>
      </c>
      <c r="B79" s="95">
        <v>2451744.31</v>
      </c>
      <c r="C79" s="95">
        <v>0</v>
      </c>
      <c r="D79" s="95">
        <v>0</v>
      </c>
      <c r="E79" s="95">
        <v>402165.31999999995</v>
      </c>
      <c r="F79" s="95">
        <v>0</v>
      </c>
      <c r="G79" s="81">
        <f t="shared" si="26"/>
        <v>2853909.63</v>
      </c>
      <c r="H79" s="81">
        <f t="shared" si="26"/>
        <v>2853909.6300000008</v>
      </c>
      <c r="I79" s="81">
        <f t="shared" si="26"/>
        <v>2451744.31</v>
      </c>
      <c r="J79" s="81">
        <f t="shared" si="26"/>
        <v>2451744.31</v>
      </c>
      <c r="K79" s="81">
        <f t="shared" si="26"/>
        <v>402165.32000000007</v>
      </c>
      <c r="L79" s="81">
        <f t="shared" si="26"/>
        <v>402165.3200000003</v>
      </c>
      <c r="M79" s="81">
        <f t="shared" si="27"/>
        <v>4004080.1048108269</v>
      </c>
      <c r="N79" s="81">
        <f t="shared" si="26"/>
        <v>1162474.8691386268</v>
      </c>
      <c r="O79" s="81">
        <f t="shared" si="24"/>
        <v>5166554.9739494538</v>
      </c>
      <c r="P79" s="81">
        <f t="shared" si="24"/>
        <v>6455824.414810827</v>
      </c>
      <c r="Q79" s="81">
        <f t="shared" si="24"/>
        <v>1564640.1891386271</v>
      </c>
      <c r="R79" s="81">
        <f t="shared" si="24"/>
        <v>8020464.6039494537</v>
      </c>
      <c r="S79" s="81">
        <f t="shared" si="24"/>
        <v>37065.370094404556</v>
      </c>
      <c r="T79" s="81">
        <f t="shared" si="22"/>
        <v>4819.493905667352</v>
      </c>
      <c r="U79" s="81">
        <f t="shared" si="25"/>
        <v>41884.86400007191</v>
      </c>
      <c r="V79" s="81">
        <f t="shared" si="25"/>
        <v>8062349.4679495255</v>
      </c>
      <c r="W79" s="89">
        <v>1254971</v>
      </c>
    </row>
    <row r="80" spans="1:23">
      <c r="A80" s="6">
        <f t="shared" si="21"/>
        <v>2017</v>
      </c>
      <c r="B80" s="95">
        <v>1011178.76</v>
      </c>
      <c r="C80" s="95">
        <v>0</v>
      </c>
      <c r="D80" s="95">
        <v>606221.24</v>
      </c>
      <c r="E80" s="95">
        <v>312593.42299999995</v>
      </c>
      <c r="F80" s="95">
        <v>119077.42700000008</v>
      </c>
      <c r="G80" s="81">
        <f t="shared" si="26"/>
        <v>1323772.183</v>
      </c>
      <c r="H80" s="81">
        <f t="shared" si="26"/>
        <v>2049070.85</v>
      </c>
      <c r="I80" s="81">
        <f t="shared" si="26"/>
        <v>1011178.76</v>
      </c>
      <c r="J80" s="81">
        <f t="shared" si="26"/>
        <v>1617400</v>
      </c>
      <c r="K80" s="81">
        <f t="shared" si="26"/>
        <v>312593.42299999995</v>
      </c>
      <c r="L80" s="81">
        <f t="shared" si="26"/>
        <v>431670.85000000003</v>
      </c>
      <c r="M80" s="81">
        <f t="shared" si="27"/>
        <v>-893132.47595987469</v>
      </c>
      <c r="N80" s="81">
        <f t="shared" si="26"/>
        <v>-259296.52527867322</v>
      </c>
      <c r="O80" s="81">
        <f t="shared" si="24"/>
        <v>-1152429.001238548</v>
      </c>
      <c r="P80" s="81">
        <f t="shared" si="24"/>
        <v>724267.52404012531</v>
      </c>
      <c r="Q80" s="81">
        <f t="shared" si="24"/>
        <v>172374.32472132682</v>
      </c>
      <c r="R80" s="81">
        <f t="shared" si="24"/>
        <v>896641.84876145201</v>
      </c>
      <c r="S80" s="81">
        <f t="shared" si="24"/>
        <v>6761.4082128622676</v>
      </c>
      <c r="T80" s="81">
        <f t="shared" si="22"/>
        <v>7654.2973753347269</v>
      </c>
      <c r="U80" s="81">
        <f t="shared" si="25"/>
        <v>14415.705588196994</v>
      </c>
      <c r="V80" s="81">
        <f t="shared" si="25"/>
        <v>911057.554349649</v>
      </c>
      <c r="W80" s="89">
        <v>1632316.58</v>
      </c>
    </row>
    <row r="81" spans="1:23">
      <c r="A81" s="6">
        <f t="shared" si="21"/>
        <v>2018</v>
      </c>
      <c r="B81" s="95">
        <v>0</v>
      </c>
      <c r="C81" s="95">
        <v>0</v>
      </c>
      <c r="D81" s="95">
        <v>0</v>
      </c>
      <c r="E81" s="95">
        <v>78606.505000000005</v>
      </c>
      <c r="F81" s="95">
        <v>480.70499999999993</v>
      </c>
      <c r="G81" s="81">
        <f t="shared" si="26"/>
        <v>78606.50500000082</v>
      </c>
      <c r="H81" s="81">
        <f t="shared" si="26"/>
        <v>79087.209999999031</v>
      </c>
      <c r="I81" s="81">
        <f t="shared" si="26"/>
        <v>0</v>
      </c>
      <c r="J81" s="81">
        <f t="shared" si="26"/>
        <v>0</v>
      </c>
      <c r="K81" s="81">
        <f t="shared" si="26"/>
        <v>78606.504999999888</v>
      </c>
      <c r="L81" s="81">
        <f t="shared" si="26"/>
        <v>79087.209999999031</v>
      </c>
      <c r="M81" s="81">
        <f t="shared" si="27"/>
        <v>7621327.4476848012</v>
      </c>
      <c r="N81" s="81">
        <f t="shared" si="26"/>
        <v>2212643.4525536513</v>
      </c>
      <c r="O81" s="81">
        <f t="shared" si="24"/>
        <v>9833970.9002384525</v>
      </c>
      <c r="P81" s="81">
        <f t="shared" si="24"/>
        <v>7621327.4476848021</v>
      </c>
      <c r="Q81" s="81">
        <f t="shared" si="24"/>
        <v>2291730.6625536503</v>
      </c>
      <c r="R81" s="81">
        <f t="shared" si="24"/>
        <v>9913058.1102384534</v>
      </c>
      <c r="S81" s="81">
        <f t="shared" si="24"/>
        <v>45969.632755947721</v>
      </c>
      <c r="T81" s="81">
        <f t="shared" si="22"/>
        <v>9500</v>
      </c>
      <c r="U81" s="81">
        <f t="shared" si="25"/>
        <v>55469.632755947721</v>
      </c>
      <c r="V81" s="81">
        <f t="shared" si="25"/>
        <v>9968527.7429944016</v>
      </c>
      <c r="W81" s="89">
        <v>1456345</v>
      </c>
    </row>
    <row r="82" spans="1:23">
      <c r="A82" s="6">
        <f t="shared" si="21"/>
        <v>2019</v>
      </c>
      <c r="B82" s="95">
        <v>617500</v>
      </c>
      <c r="C82" s="95">
        <v>0</v>
      </c>
      <c r="D82" s="95">
        <v>405650</v>
      </c>
      <c r="E82" s="95">
        <v>265911.39500000002</v>
      </c>
      <c r="F82" s="95">
        <v>116973.57499999998</v>
      </c>
      <c r="G82" s="81">
        <f t="shared" si="26"/>
        <v>883411.39500000002</v>
      </c>
      <c r="H82" s="81">
        <f t="shared" si="26"/>
        <v>1406034.9700000004</v>
      </c>
      <c r="I82" s="81">
        <f t="shared" si="26"/>
        <v>617500</v>
      </c>
      <c r="J82" s="81">
        <f t="shared" si="26"/>
        <v>1023150</v>
      </c>
      <c r="K82" s="81">
        <f t="shared" si="26"/>
        <v>265911.39500000002</v>
      </c>
      <c r="L82" s="81">
        <f t="shared" si="26"/>
        <v>382884.97</v>
      </c>
      <c r="M82" s="81">
        <f t="shared" si="27"/>
        <v>1066172.9456399446</v>
      </c>
      <c r="N82" s="81">
        <f t="shared" si="26"/>
        <v>309534.08099224186</v>
      </c>
      <c r="O82" s="81">
        <f t="shared" si="24"/>
        <v>1375707.0266321865</v>
      </c>
      <c r="P82" s="81">
        <f t="shared" si="24"/>
        <v>2089322.9456399446</v>
      </c>
      <c r="Q82" s="81">
        <f t="shared" si="24"/>
        <v>692419.05099224206</v>
      </c>
      <c r="R82" s="81">
        <f t="shared" si="24"/>
        <v>2781741.9966321867</v>
      </c>
      <c r="S82" s="81">
        <f t="shared" si="24"/>
        <v>12583.235272025366</v>
      </c>
      <c r="T82" s="81">
        <f t="shared" si="22"/>
        <v>15126.273314138667</v>
      </c>
      <c r="U82" s="81">
        <f t="shared" si="25"/>
        <v>27709.508586164033</v>
      </c>
      <c r="V82" s="81">
        <f t="shared" si="25"/>
        <v>2809451.5052183508</v>
      </c>
      <c r="W82" s="89">
        <v>1564630.8204999999</v>
      </c>
    </row>
    <row r="83" spans="1:23">
      <c r="A83" s="6">
        <f t="shared" si="21"/>
        <v>2020</v>
      </c>
      <c r="B83" s="95">
        <v>0</v>
      </c>
      <c r="C83" s="95">
        <v>0</v>
      </c>
      <c r="D83" s="95">
        <v>94050</v>
      </c>
      <c r="E83" s="95">
        <v>26850.324999999997</v>
      </c>
      <c r="F83" s="95">
        <v>17901.675000000003</v>
      </c>
      <c r="G83" s="81">
        <f t="shared" si="26"/>
        <v>26850.324999999721</v>
      </c>
      <c r="H83" s="81">
        <f t="shared" si="26"/>
        <v>138802.00000000023</v>
      </c>
      <c r="I83" s="81">
        <f t="shared" si="26"/>
        <v>0</v>
      </c>
      <c r="J83" s="81">
        <f t="shared" si="26"/>
        <v>94050</v>
      </c>
      <c r="K83" s="81">
        <f t="shared" si="26"/>
        <v>26850.325000000186</v>
      </c>
      <c r="L83" s="81">
        <f t="shared" si="26"/>
        <v>44752</v>
      </c>
      <c r="M83" s="81">
        <f t="shared" si="27"/>
        <v>3110895.7996806768</v>
      </c>
      <c r="N83" s="81">
        <f t="shared" si="26"/>
        <v>903163.29668148654</v>
      </c>
      <c r="O83" s="81">
        <f t="shared" si="24"/>
        <v>4014059.0963621633</v>
      </c>
      <c r="P83" s="81">
        <f t="shared" si="24"/>
        <v>3204945.7996806768</v>
      </c>
      <c r="Q83" s="81">
        <f t="shared" si="24"/>
        <v>947915.296681487</v>
      </c>
      <c r="R83" s="81">
        <f t="shared" si="24"/>
        <v>4152861.0963621633</v>
      </c>
      <c r="S83" s="81">
        <f t="shared" si="24"/>
        <v>24812.550922200146</v>
      </c>
      <c r="T83" s="81">
        <f t="shared" si="22"/>
        <v>52.532106970518591</v>
      </c>
      <c r="U83" s="81">
        <f t="shared" si="25"/>
        <v>24865.083029170662</v>
      </c>
      <c r="V83" s="81">
        <f t="shared" si="25"/>
        <v>4177726.1793913338</v>
      </c>
      <c r="W83" s="89">
        <v>1467128.13</v>
      </c>
    </row>
    <row r="84" spans="1:23">
      <c r="A84" s="6"/>
      <c r="B84" s="6"/>
      <c r="C84" s="6"/>
      <c r="D84" s="6"/>
      <c r="E84" s="81"/>
      <c r="F84" s="81"/>
      <c r="G84" s="81">
        <f>'AD12'!G44</f>
        <v>0</v>
      </c>
      <c r="H84" s="81">
        <f>'AD12'!H44</f>
        <v>0</v>
      </c>
      <c r="I84" s="81">
        <f>'AD12'!I44</f>
        <v>0</v>
      </c>
      <c r="J84" s="81">
        <f>'AD12'!J44</f>
        <v>0</v>
      </c>
      <c r="K84" s="81">
        <f>'AD12'!K44</f>
        <v>0</v>
      </c>
      <c r="L84" s="81">
        <f>'AD12'!L44</f>
        <v>0</v>
      </c>
      <c r="M84" s="81">
        <f>'AD12'!M44</f>
        <v>0</v>
      </c>
      <c r="N84" s="81">
        <f>'AD12'!N44</f>
        <v>0</v>
      </c>
      <c r="O84" s="81">
        <f>'AD12'!O44</f>
        <v>0</v>
      </c>
      <c r="P84" s="81">
        <f>'AD12'!P44</f>
        <v>0</v>
      </c>
      <c r="Q84" s="81">
        <f>'AD12'!Q44</f>
        <v>0</v>
      </c>
      <c r="R84" s="81">
        <f>'AD12'!R44</f>
        <v>0</v>
      </c>
      <c r="S84" s="81"/>
      <c r="T84" s="81"/>
      <c r="U84" s="81">
        <f t="shared" si="19"/>
        <v>0</v>
      </c>
      <c r="V84" s="81">
        <f t="shared" si="20"/>
        <v>0</v>
      </c>
      <c r="W84" s="87"/>
    </row>
    <row r="85" spans="1:23">
      <c r="A85" s="6" t="s">
        <v>0</v>
      </c>
      <c r="B85" s="82">
        <f>SUM(B55:B83)</f>
        <v>9862337.6699999999</v>
      </c>
      <c r="C85" s="82">
        <f>SUM(C55:C83)</f>
        <v>0</v>
      </c>
      <c r="D85" s="82">
        <f t="shared" ref="D85:R85" si="28">SUM(D55:D83)</f>
        <v>1105921.24</v>
      </c>
      <c r="E85" s="82">
        <f t="shared" si="28"/>
        <v>1697927.6879999998</v>
      </c>
      <c r="F85" s="82">
        <f t="shared" si="28"/>
        <v>254433.37200000009</v>
      </c>
      <c r="G85" s="82">
        <f t="shared" si="28"/>
        <v>11560265.357999999</v>
      </c>
      <c r="H85" s="82">
        <f t="shared" si="28"/>
        <v>12920619.970000004</v>
      </c>
      <c r="I85" s="82">
        <f t="shared" si="28"/>
        <v>9862337.6699999999</v>
      </c>
      <c r="J85" s="82">
        <f t="shared" si="28"/>
        <v>10968258.91</v>
      </c>
      <c r="K85" s="82">
        <f t="shared" si="28"/>
        <v>1697927.6880000003</v>
      </c>
      <c r="L85" s="82">
        <f t="shared" si="28"/>
        <v>1952361.0599999994</v>
      </c>
      <c r="M85" s="82">
        <f t="shared" si="28"/>
        <v>40247517.040760525</v>
      </c>
      <c r="N85" s="82">
        <f t="shared" si="28"/>
        <v>11682410.090543373</v>
      </c>
      <c r="O85" s="82">
        <f t="shared" si="28"/>
        <v>51929927.131303899</v>
      </c>
      <c r="P85" s="82">
        <f t="shared" si="28"/>
        <v>51213952.436760522</v>
      </c>
      <c r="Q85" s="82">
        <f t="shared" si="28"/>
        <v>13636594.664543375</v>
      </c>
      <c r="R85" s="82">
        <f t="shared" si="28"/>
        <v>64850547.101303905</v>
      </c>
      <c r="S85" s="82">
        <f>SUM(S55:S83)</f>
        <v>309278.64649910975</v>
      </c>
      <c r="T85" s="82">
        <f>SUM(T55:T83)</f>
        <v>37152.596702111266</v>
      </c>
      <c r="U85" s="82">
        <f>SUM(U55:U83)</f>
        <v>346431.24320122099</v>
      </c>
      <c r="V85" s="82">
        <f>SUM(V55:V83)</f>
        <v>65196978.344505116</v>
      </c>
      <c r="W85" s="90">
        <v>12175376.480500001</v>
      </c>
    </row>
    <row r="86" spans="1:23">
      <c r="A86" s="6"/>
      <c r="B86" s="6"/>
      <c r="C86" s="6"/>
      <c r="D86" s="6"/>
      <c r="E86" s="6"/>
      <c r="F86" s="6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7"/>
    </row>
    <row r="87" spans="1:23">
      <c r="A87" s="6"/>
      <c r="B87" s="6"/>
      <c r="C87" s="6"/>
      <c r="D87" s="6"/>
      <c r="E87" s="6"/>
      <c r="F87" s="6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7"/>
    </row>
    <row r="88" spans="1:23">
      <c r="A88" s="6"/>
      <c r="B88" s="6"/>
      <c r="C88" s="6"/>
      <c r="D88" s="6"/>
      <c r="E88" s="6"/>
      <c r="F88" s="6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7"/>
    </row>
    <row r="89" spans="1:23">
      <c r="A89" s="6" t="s">
        <v>17</v>
      </c>
      <c r="B89" s="6"/>
      <c r="C89" s="6"/>
      <c r="D89" s="6"/>
      <c r="E89" s="6"/>
      <c r="F89" s="6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7"/>
    </row>
    <row r="90" spans="1:23">
      <c r="A90" s="6"/>
      <c r="B90" s="27"/>
      <c r="C90" s="27"/>
      <c r="D90" s="27"/>
      <c r="E90" s="27"/>
      <c r="F90" s="27"/>
      <c r="G90" s="17"/>
      <c r="H90" s="81"/>
      <c r="I90" s="81"/>
      <c r="J90" s="81"/>
      <c r="K90" s="81"/>
      <c r="L90" s="81"/>
      <c r="M90" s="17"/>
      <c r="N90" s="81"/>
      <c r="O90" s="81"/>
      <c r="P90" s="81"/>
      <c r="Q90" s="81"/>
      <c r="R90" s="81" t="s">
        <v>67</v>
      </c>
      <c r="S90" s="6"/>
      <c r="T90" s="6"/>
      <c r="U90" s="6"/>
      <c r="V90" s="6" t="s">
        <v>67</v>
      </c>
      <c r="W90" s="87"/>
    </row>
    <row r="91" spans="1:23">
      <c r="A91" s="6" t="s">
        <v>3</v>
      </c>
      <c r="B91" s="27"/>
      <c r="C91" s="27"/>
      <c r="D91" s="27"/>
      <c r="E91" s="27"/>
      <c r="F91" s="27"/>
      <c r="G91" s="81" t="s">
        <v>14</v>
      </c>
      <c r="H91" s="81" t="s">
        <v>12</v>
      </c>
      <c r="I91" s="81" t="s">
        <v>14</v>
      </c>
      <c r="J91" s="81" t="s">
        <v>12</v>
      </c>
      <c r="K91" s="81" t="s">
        <v>14</v>
      </c>
      <c r="L91" s="81" t="s">
        <v>12</v>
      </c>
      <c r="M91" s="81" t="s">
        <v>381</v>
      </c>
      <c r="N91" s="81" t="s">
        <v>381</v>
      </c>
      <c r="O91" s="81" t="s">
        <v>381</v>
      </c>
      <c r="P91" s="81" t="s">
        <v>660</v>
      </c>
      <c r="Q91" s="81" t="s">
        <v>67</v>
      </c>
      <c r="R91" s="81" t="s">
        <v>662</v>
      </c>
      <c r="S91" s="6" t="s">
        <v>661</v>
      </c>
      <c r="T91" s="6" t="s">
        <v>661</v>
      </c>
      <c r="U91" s="6" t="s">
        <v>67</v>
      </c>
      <c r="V91" s="6" t="s">
        <v>663</v>
      </c>
      <c r="W91" s="94" t="s">
        <v>177</v>
      </c>
    </row>
    <row r="92" spans="1:23">
      <c r="A92" s="6" t="s">
        <v>4</v>
      </c>
      <c r="B92" s="28"/>
      <c r="C92" s="28"/>
      <c r="D92" s="28"/>
      <c r="E92" s="28"/>
      <c r="F92" s="28"/>
      <c r="G92" s="81" t="s">
        <v>0</v>
      </c>
      <c r="H92" s="81" t="s">
        <v>0</v>
      </c>
      <c r="I92" s="81" t="s">
        <v>566</v>
      </c>
      <c r="J92" s="81" t="s">
        <v>566</v>
      </c>
      <c r="K92" s="81" t="s">
        <v>567</v>
      </c>
      <c r="L92" s="81" t="s">
        <v>567</v>
      </c>
      <c r="M92" s="81" t="s">
        <v>566</v>
      </c>
      <c r="N92" s="81" t="s">
        <v>567</v>
      </c>
      <c r="O92" s="81" t="s">
        <v>0</v>
      </c>
      <c r="P92" s="81" t="s">
        <v>566</v>
      </c>
      <c r="Q92" s="81" t="s">
        <v>567</v>
      </c>
      <c r="R92" s="81" t="s">
        <v>0</v>
      </c>
      <c r="S92" s="6" t="s">
        <v>117</v>
      </c>
      <c r="T92" s="6" t="s">
        <v>14</v>
      </c>
      <c r="U92" s="6" t="s">
        <v>661</v>
      </c>
      <c r="V92" s="6" t="s">
        <v>0</v>
      </c>
      <c r="W92" s="94" t="s">
        <v>16</v>
      </c>
    </row>
    <row r="93" spans="1:23">
      <c r="A93" s="10">
        <v>-1</v>
      </c>
      <c r="B93" s="10">
        <f>A93-1</f>
        <v>-2</v>
      </c>
      <c r="C93" s="10">
        <f>B93-1</f>
        <v>-3</v>
      </c>
      <c r="D93" s="10">
        <f t="shared" ref="D93:L93" si="29">C93-1</f>
        <v>-4</v>
      </c>
      <c r="E93" s="10">
        <f t="shared" si="29"/>
        <v>-5</v>
      </c>
      <c r="F93" s="10">
        <f t="shared" si="29"/>
        <v>-6</v>
      </c>
      <c r="G93" s="10">
        <f t="shared" si="29"/>
        <v>-7</v>
      </c>
      <c r="H93" s="10">
        <f t="shared" si="29"/>
        <v>-8</v>
      </c>
      <c r="I93" s="10">
        <f t="shared" si="29"/>
        <v>-9</v>
      </c>
      <c r="J93" s="10">
        <f t="shared" si="29"/>
        <v>-10</v>
      </c>
      <c r="K93" s="10">
        <f t="shared" si="29"/>
        <v>-11</v>
      </c>
      <c r="L93" s="10">
        <f t="shared" si="29"/>
        <v>-12</v>
      </c>
      <c r="M93" s="10">
        <f t="shared" ref="M93:V93" si="30">L93-1</f>
        <v>-13</v>
      </c>
      <c r="N93" s="10">
        <f t="shared" si="30"/>
        <v>-14</v>
      </c>
      <c r="O93" s="10">
        <f t="shared" si="30"/>
        <v>-15</v>
      </c>
      <c r="P93" s="10">
        <f t="shared" si="30"/>
        <v>-16</v>
      </c>
      <c r="Q93" s="10">
        <f t="shared" si="30"/>
        <v>-17</v>
      </c>
      <c r="R93" s="10">
        <f t="shared" si="30"/>
        <v>-18</v>
      </c>
      <c r="S93" s="10">
        <f t="shared" si="30"/>
        <v>-19</v>
      </c>
      <c r="T93" s="10">
        <f t="shared" si="30"/>
        <v>-20</v>
      </c>
      <c r="U93" s="10">
        <f t="shared" si="30"/>
        <v>-21</v>
      </c>
      <c r="V93" s="10">
        <f t="shared" si="30"/>
        <v>-22</v>
      </c>
      <c r="W93" s="93">
        <v>-23</v>
      </c>
    </row>
    <row r="94" spans="1:23">
      <c r="A94" s="80"/>
      <c r="B94" s="80"/>
      <c r="C94" s="6"/>
      <c r="D94" s="6"/>
      <c r="E94" s="6"/>
      <c r="F94" s="6"/>
      <c r="G94" s="17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6"/>
      <c r="T94" s="6"/>
      <c r="U94" s="6"/>
      <c r="V94" s="6"/>
      <c r="W94" s="87"/>
    </row>
    <row r="95" spans="1:23">
      <c r="A95" s="6">
        <v>1992</v>
      </c>
      <c r="B95" s="6"/>
      <c r="C95" s="6"/>
      <c r="D95" s="6"/>
      <c r="E95" s="6"/>
      <c r="F95" s="6"/>
      <c r="G95" s="81"/>
      <c r="H95" s="81"/>
      <c r="I95" s="81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7"/>
    </row>
    <row r="96" spans="1:23">
      <c r="A96" s="6">
        <f>A95+1</f>
        <v>1993</v>
      </c>
      <c r="B96" s="6"/>
      <c r="C96" s="6"/>
      <c r="D96" s="6"/>
      <c r="E96" s="6"/>
      <c r="F96" s="6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7"/>
    </row>
    <row r="97" spans="1:23">
      <c r="A97" s="6">
        <f t="shared" ref="A97:A123" si="31">A96+1</f>
        <v>1994</v>
      </c>
      <c r="B97" s="6"/>
      <c r="C97" s="6"/>
      <c r="D97" s="6"/>
      <c r="E97" s="6"/>
      <c r="F97" s="6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7"/>
    </row>
    <row r="98" spans="1:23">
      <c r="A98" s="6">
        <f t="shared" si="31"/>
        <v>1995</v>
      </c>
      <c r="B98" s="6"/>
      <c r="C98" s="6"/>
      <c r="D98" s="6"/>
      <c r="E98" s="6"/>
      <c r="F98" s="6"/>
      <c r="G98" s="81"/>
      <c r="H98" s="81"/>
      <c r="I98" s="81"/>
      <c r="J98" s="81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7"/>
    </row>
    <row r="99" spans="1:23">
      <c r="A99" s="6">
        <f t="shared" si="31"/>
        <v>1996</v>
      </c>
      <c r="B99" s="6"/>
      <c r="C99" s="6"/>
      <c r="D99" s="6"/>
      <c r="E99" s="6"/>
      <c r="F99" s="6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7"/>
    </row>
    <row r="100" spans="1:23">
      <c r="A100" s="6">
        <f t="shared" si="31"/>
        <v>1997</v>
      </c>
      <c r="B100" s="6"/>
      <c r="C100" s="6"/>
      <c r="D100" s="6"/>
      <c r="E100" s="6"/>
      <c r="F100" s="6"/>
      <c r="G100" s="81"/>
      <c r="H100" s="81"/>
      <c r="I100" s="81"/>
      <c r="J100" s="81"/>
      <c r="K100" s="81"/>
      <c r="L100" s="81"/>
      <c r="M100" s="81"/>
      <c r="N100" s="81"/>
      <c r="O100" s="81"/>
      <c r="P100" s="81"/>
      <c r="Q100" s="81"/>
      <c r="R100" s="81"/>
      <c r="S100" s="81"/>
      <c r="T100" s="81"/>
      <c r="U100" s="81"/>
      <c r="V100" s="81"/>
      <c r="W100" s="87"/>
    </row>
    <row r="101" spans="1:23">
      <c r="A101" s="6">
        <f t="shared" si="31"/>
        <v>1998</v>
      </c>
      <c r="B101" s="6"/>
      <c r="C101" s="6"/>
      <c r="D101" s="6"/>
      <c r="E101" s="6"/>
      <c r="F101" s="6"/>
      <c r="G101" s="81"/>
      <c r="H101" s="81"/>
      <c r="I101" s="81"/>
      <c r="J101" s="81"/>
      <c r="K101" s="81"/>
      <c r="L101" s="81"/>
      <c r="M101" s="81"/>
      <c r="N101" s="81"/>
      <c r="O101" s="81"/>
      <c r="P101" s="81"/>
      <c r="Q101" s="81"/>
      <c r="R101" s="81"/>
      <c r="S101" s="81"/>
      <c r="T101" s="81"/>
      <c r="U101" s="81"/>
      <c r="V101" s="81"/>
      <c r="W101" s="87"/>
    </row>
    <row r="102" spans="1:23">
      <c r="A102" s="6">
        <f t="shared" si="31"/>
        <v>1999</v>
      </c>
      <c r="B102" s="6"/>
      <c r="C102" s="6"/>
      <c r="D102" s="6"/>
      <c r="E102" s="6"/>
      <c r="F102" s="6"/>
      <c r="G102" s="81"/>
      <c r="H102" s="81"/>
      <c r="I102" s="81"/>
      <c r="J102" s="81"/>
      <c r="K102" s="81"/>
      <c r="L102" s="81"/>
      <c r="M102" s="81"/>
      <c r="N102" s="81"/>
      <c r="O102" s="81"/>
      <c r="P102" s="81"/>
      <c r="Q102" s="81"/>
      <c r="R102" s="81"/>
      <c r="S102" s="81"/>
      <c r="T102" s="81"/>
      <c r="U102" s="81"/>
      <c r="V102" s="81"/>
      <c r="W102" s="87"/>
    </row>
    <row r="103" spans="1:23">
      <c r="A103" s="6">
        <f t="shared" si="31"/>
        <v>2000</v>
      </c>
      <c r="B103" s="6"/>
      <c r="C103" s="6"/>
      <c r="D103" s="6"/>
      <c r="E103" s="6"/>
      <c r="F103" s="6"/>
      <c r="G103" s="81"/>
      <c r="H103" s="81"/>
      <c r="I103" s="81"/>
      <c r="J103" s="81"/>
      <c r="K103" s="81"/>
      <c r="L103" s="81"/>
      <c r="M103" s="81"/>
      <c r="N103" s="81"/>
      <c r="O103" s="81"/>
      <c r="P103" s="81"/>
      <c r="Q103" s="81"/>
      <c r="R103" s="81"/>
      <c r="S103" s="81"/>
      <c r="T103" s="81"/>
      <c r="U103" s="81"/>
      <c r="V103" s="81"/>
      <c r="W103" s="87"/>
    </row>
    <row r="104" spans="1:23">
      <c r="A104" s="6">
        <f t="shared" si="31"/>
        <v>2001</v>
      </c>
      <c r="B104" s="6"/>
      <c r="C104" s="6"/>
      <c r="D104" s="6"/>
      <c r="E104" s="6"/>
      <c r="F104" s="6"/>
      <c r="G104" s="81"/>
      <c r="H104" s="81"/>
      <c r="I104" s="81"/>
      <c r="J104" s="81"/>
      <c r="K104" s="81"/>
      <c r="L104" s="81"/>
      <c r="M104" s="81"/>
      <c r="N104" s="81"/>
      <c r="O104" s="81"/>
      <c r="P104" s="81"/>
      <c r="Q104" s="81"/>
      <c r="R104" s="81"/>
      <c r="S104" s="81"/>
      <c r="T104" s="81"/>
      <c r="U104" s="81"/>
      <c r="V104" s="81"/>
      <c r="W104" s="87"/>
    </row>
    <row r="105" spans="1:23">
      <c r="A105" s="6">
        <f t="shared" si="31"/>
        <v>2002</v>
      </c>
      <c r="B105" s="6"/>
      <c r="C105" s="6"/>
      <c r="D105" s="6"/>
      <c r="E105" s="6"/>
      <c r="F105" s="6"/>
      <c r="G105" s="81"/>
      <c r="H105" s="81"/>
      <c r="I105" s="81"/>
      <c r="J105" s="81"/>
      <c r="K105" s="81"/>
      <c r="L105" s="81"/>
      <c r="M105" s="81"/>
      <c r="N105" s="81"/>
      <c r="O105" s="81"/>
      <c r="P105" s="81"/>
      <c r="Q105" s="81"/>
      <c r="R105" s="81"/>
      <c r="S105" s="81"/>
      <c r="T105" s="81"/>
      <c r="U105" s="81"/>
      <c r="V105" s="81"/>
      <c r="W105" s="87"/>
    </row>
    <row r="106" spans="1:23">
      <c r="A106" s="6">
        <f t="shared" si="31"/>
        <v>2003</v>
      </c>
      <c r="B106" s="6"/>
      <c r="C106" s="6"/>
      <c r="D106" s="6"/>
      <c r="E106" s="6"/>
      <c r="F106" s="6"/>
      <c r="G106" s="81"/>
      <c r="H106" s="81"/>
      <c r="I106" s="81"/>
      <c r="J106" s="81"/>
      <c r="K106" s="81"/>
      <c r="L106" s="81"/>
      <c r="M106" s="81"/>
      <c r="N106" s="81"/>
      <c r="O106" s="81"/>
      <c r="P106" s="81"/>
      <c r="Q106" s="81"/>
      <c r="R106" s="81"/>
      <c r="S106" s="81"/>
      <c r="T106" s="81"/>
      <c r="U106" s="81"/>
      <c r="V106" s="81"/>
      <c r="W106" s="87"/>
    </row>
    <row r="107" spans="1:23">
      <c r="A107" s="6">
        <f t="shared" si="31"/>
        <v>2004</v>
      </c>
      <c r="B107" s="6"/>
      <c r="C107" s="6"/>
      <c r="D107" s="6"/>
      <c r="E107" s="6"/>
      <c r="F107" s="6"/>
      <c r="G107" s="81"/>
      <c r="H107" s="81"/>
      <c r="I107" s="81"/>
      <c r="J107" s="81"/>
      <c r="K107" s="81"/>
      <c r="L107" s="81"/>
      <c r="M107" s="81"/>
      <c r="N107" s="81"/>
      <c r="O107" s="81"/>
      <c r="P107" s="81"/>
      <c r="Q107" s="81"/>
      <c r="R107" s="81"/>
      <c r="S107" s="81"/>
      <c r="T107" s="81"/>
      <c r="U107" s="81"/>
      <c r="V107" s="81"/>
      <c r="W107" s="87"/>
    </row>
    <row r="108" spans="1:23">
      <c r="A108" s="6">
        <f t="shared" si="31"/>
        <v>2005</v>
      </c>
      <c r="B108" s="6"/>
      <c r="C108" s="6"/>
      <c r="D108" s="6"/>
      <c r="E108" s="6"/>
      <c r="F108" s="6"/>
      <c r="G108" s="81"/>
      <c r="H108" s="81"/>
      <c r="I108" s="81"/>
      <c r="J108" s="81"/>
      <c r="K108" s="81"/>
      <c r="L108" s="81"/>
      <c r="M108" s="81"/>
      <c r="N108" s="81"/>
      <c r="O108" s="81"/>
      <c r="P108" s="81"/>
      <c r="Q108" s="81"/>
      <c r="R108" s="81"/>
      <c r="S108" s="81"/>
      <c r="T108" s="81"/>
      <c r="U108" s="81"/>
      <c r="V108" s="81"/>
      <c r="W108" s="87"/>
    </row>
    <row r="109" spans="1:23">
      <c r="A109" s="6">
        <f t="shared" si="31"/>
        <v>2006</v>
      </c>
      <c r="B109" s="6"/>
      <c r="C109" s="6"/>
      <c r="D109" s="6"/>
      <c r="E109" s="6"/>
      <c r="F109" s="6"/>
      <c r="G109" s="81"/>
      <c r="H109" s="81"/>
      <c r="I109" s="81"/>
      <c r="J109" s="81"/>
      <c r="K109" s="81"/>
      <c r="L109" s="81"/>
      <c r="M109" s="81"/>
      <c r="N109" s="81"/>
      <c r="O109" s="81"/>
      <c r="P109" s="81"/>
      <c r="Q109" s="81"/>
      <c r="R109" s="81"/>
      <c r="S109" s="81"/>
      <c r="T109" s="81"/>
      <c r="U109" s="81"/>
      <c r="V109" s="81"/>
      <c r="W109" s="87"/>
    </row>
    <row r="110" spans="1:23">
      <c r="A110" s="6">
        <f t="shared" si="31"/>
        <v>2007</v>
      </c>
      <c r="B110" s="6"/>
      <c r="C110" s="6"/>
      <c r="D110" s="6"/>
      <c r="E110" s="6"/>
      <c r="F110" s="6"/>
      <c r="G110" s="81"/>
      <c r="H110" s="81"/>
      <c r="I110" s="81"/>
      <c r="J110" s="81"/>
      <c r="K110" s="81"/>
      <c r="L110" s="81"/>
      <c r="M110" s="81"/>
      <c r="N110" s="81"/>
      <c r="O110" s="81"/>
      <c r="P110" s="81"/>
      <c r="Q110" s="81"/>
      <c r="R110" s="81"/>
      <c r="S110" s="81"/>
      <c r="T110" s="81"/>
      <c r="U110" s="81"/>
      <c r="V110" s="81"/>
      <c r="W110" s="87"/>
    </row>
    <row r="111" spans="1:23">
      <c r="A111" s="6">
        <f t="shared" si="31"/>
        <v>2008</v>
      </c>
      <c r="B111" s="6"/>
      <c r="C111" s="6"/>
      <c r="D111" s="6"/>
      <c r="E111" s="6"/>
      <c r="F111" s="6"/>
      <c r="G111" s="81"/>
      <c r="H111" s="81"/>
      <c r="I111" s="81"/>
      <c r="J111" s="81"/>
      <c r="K111" s="81"/>
      <c r="L111" s="81"/>
      <c r="M111" s="81"/>
      <c r="N111" s="81"/>
      <c r="O111" s="81"/>
      <c r="P111" s="81"/>
      <c r="Q111" s="81"/>
      <c r="R111" s="81"/>
      <c r="S111" s="81"/>
      <c r="T111" s="81"/>
      <c r="U111" s="81"/>
      <c r="V111" s="81"/>
      <c r="W111" s="87"/>
    </row>
    <row r="112" spans="1:23">
      <c r="A112" s="6">
        <f t="shared" si="31"/>
        <v>2009</v>
      </c>
      <c r="B112" s="6"/>
      <c r="C112" s="6"/>
      <c r="D112" s="6"/>
      <c r="E112" s="6"/>
      <c r="F112" s="6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1"/>
      <c r="W112" s="87"/>
    </row>
    <row r="113" spans="1:23">
      <c r="A113" s="6">
        <f t="shared" si="31"/>
        <v>2010</v>
      </c>
      <c r="B113" s="6"/>
      <c r="C113" s="6"/>
      <c r="D113" s="6"/>
      <c r="E113" s="6"/>
      <c r="F113" s="6"/>
      <c r="G113" s="81"/>
      <c r="H113" s="81"/>
      <c r="I113" s="81"/>
      <c r="J113" s="81"/>
      <c r="K113" s="81"/>
      <c r="L113" s="81"/>
      <c r="M113" s="81"/>
      <c r="N113" s="81"/>
      <c r="O113" s="81"/>
      <c r="P113" s="81"/>
      <c r="Q113" s="81"/>
      <c r="R113" s="81"/>
      <c r="S113" s="81"/>
      <c r="T113" s="81"/>
      <c r="U113" s="81"/>
      <c r="V113" s="81"/>
      <c r="W113" s="87"/>
    </row>
    <row r="114" spans="1:23">
      <c r="A114" s="6">
        <f t="shared" si="31"/>
        <v>2011</v>
      </c>
      <c r="B114" s="6"/>
      <c r="C114" s="6"/>
      <c r="D114" s="6"/>
      <c r="E114" s="6"/>
      <c r="F114" s="6"/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>
        <v>0</v>
      </c>
      <c r="U114" s="81"/>
      <c r="V114" s="81"/>
      <c r="W114" s="87">
        <v>133735.03999999992</v>
      </c>
    </row>
    <row r="115" spans="1:23">
      <c r="A115" s="6">
        <f t="shared" si="31"/>
        <v>2012</v>
      </c>
      <c r="B115" s="56">
        <f>B15</f>
        <v>0</v>
      </c>
      <c r="C115" s="56">
        <f>(C35-B35)-(B75+C75)</f>
        <v>-6138.74</v>
      </c>
      <c r="D115" s="56">
        <f t="shared" ref="D115:F123" si="32">D35-D75</f>
        <v>8861.26</v>
      </c>
      <c r="E115" s="56">
        <f t="shared" si="32"/>
        <v>-1163.6999999999989</v>
      </c>
      <c r="F115" s="56">
        <f t="shared" si="32"/>
        <v>8861.26</v>
      </c>
      <c r="G115" s="81">
        <f t="shared" ref="G115:G123" si="33">C115+E115-B115</f>
        <v>-7302.4399999999987</v>
      </c>
      <c r="H115" s="81">
        <f t="shared" ref="H115:H123" si="34">SUM(C115:F115)-B115</f>
        <v>10420.080000000002</v>
      </c>
      <c r="I115" s="81">
        <f t="shared" ref="I115:I123" si="35">C115-B115</f>
        <v>-6138.74</v>
      </c>
      <c r="J115" s="81">
        <f t="shared" ref="J115:J123" si="36">I115+D115</f>
        <v>2722.5200000000004</v>
      </c>
      <c r="K115" s="81">
        <f t="shared" ref="K115:K123" si="37">E115</f>
        <v>-1163.6999999999989</v>
      </c>
      <c r="L115" s="81">
        <f t="shared" ref="L115:L123" si="38">K115+F115</f>
        <v>7697.5600000000013</v>
      </c>
      <c r="M115" s="81">
        <f t="shared" ref="M115:M123" si="39">O115*(1-N$10)</f>
        <v>-8075.5620000000017</v>
      </c>
      <c r="N115" s="81">
        <f t="shared" ref="N115:N123" si="40">O115-M115</f>
        <v>-2344.518</v>
      </c>
      <c r="O115" s="81">
        <f>R115-H115</f>
        <v>-10420.080000000002</v>
      </c>
      <c r="P115" s="81">
        <f>J115+M115</f>
        <v>-5353.0420000000013</v>
      </c>
      <c r="Q115" s="81">
        <f>L115+N115</f>
        <v>5353.0420000000013</v>
      </c>
      <c r="R115" s="81">
        <f>'Exhibit A, 1d'!C45+'Exhibit B,2'!U45</f>
        <v>0</v>
      </c>
      <c r="S115" s="81">
        <v>0</v>
      </c>
      <c r="T115" s="81">
        <v>0</v>
      </c>
      <c r="U115" s="81">
        <f>S115+T115</f>
        <v>0</v>
      </c>
      <c r="V115" s="81">
        <f>U115+R115</f>
        <v>0</v>
      </c>
      <c r="W115" s="87">
        <v>-60867.420000000042</v>
      </c>
    </row>
    <row r="116" spans="1:23">
      <c r="A116" s="6">
        <f t="shared" si="31"/>
        <v>2013</v>
      </c>
      <c r="B116" s="56">
        <f t="shared" ref="B116:B123" si="41">B16</f>
        <v>0</v>
      </c>
      <c r="C116" s="56">
        <f t="shared" ref="C116:C123" si="42">(C36-B36)-(B76+C76)</f>
        <v>4078500.86</v>
      </c>
      <c r="D116" s="56">
        <f t="shared" si="32"/>
        <v>4078500.86</v>
      </c>
      <c r="E116" s="56">
        <f t="shared" si="32"/>
        <v>4070082.6599999997</v>
      </c>
      <c r="F116" s="56">
        <f t="shared" si="32"/>
        <v>4078500.8699999996</v>
      </c>
      <c r="G116" s="81">
        <f t="shared" si="33"/>
        <v>8148583.5199999996</v>
      </c>
      <c r="H116" s="81">
        <f t="shared" si="34"/>
        <v>16305585.249999998</v>
      </c>
      <c r="I116" s="81">
        <f t="shared" si="35"/>
        <v>4078500.86</v>
      </c>
      <c r="J116" s="81">
        <f t="shared" si="36"/>
        <v>8157001.7199999997</v>
      </c>
      <c r="K116" s="81">
        <f t="shared" si="37"/>
        <v>4070082.6599999997</v>
      </c>
      <c r="L116" s="81">
        <f t="shared" si="38"/>
        <v>8148583.5299999993</v>
      </c>
      <c r="M116" s="81">
        <f t="shared" si="39"/>
        <v>-12516547.297749998</v>
      </c>
      <c r="N116" s="81">
        <f t="shared" si="40"/>
        <v>-3633836.3122499995</v>
      </c>
      <c r="O116" s="81">
        <f t="shared" ref="O116:O123" si="43">R116-H116</f>
        <v>-16150383.609999998</v>
      </c>
      <c r="P116" s="81">
        <f t="shared" ref="P116:P123" si="44">J116+M116</f>
        <v>-4359545.5777499983</v>
      </c>
      <c r="Q116" s="81">
        <f t="shared" ref="Q116:Q123" si="45">L116+N116</f>
        <v>4514747.2177499998</v>
      </c>
      <c r="R116" s="81">
        <f>'Exhibit A, 1d'!C46+'Exhibit B,2'!U46</f>
        <v>155201.64000000001</v>
      </c>
      <c r="S116" s="81">
        <v>0</v>
      </c>
      <c r="T116" s="81">
        <v>0</v>
      </c>
      <c r="U116" s="81">
        <f t="shared" ref="U116:U124" si="46">S116+T116</f>
        <v>0</v>
      </c>
      <c r="V116" s="81">
        <f t="shared" ref="V116:V124" si="47">U116+R116</f>
        <v>155201.64000000001</v>
      </c>
      <c r="W116" s="87">
        <v>-68502.899999999907</v>
      </c>
    </row>
    <row r="117" spans="1:23">
      <c r="A117" s="6">
        <f t="shared" si="31"/>
        <v>2014</v>
      </c>
      <c r="B117" s="56">
        <f t="shared" si="41"/>
        <v>0</v>
      </c>
      <c r="C117" s="56">
        <f t="shared" si="42"/>
        <v>-851972.63000000035</v>
      </c>
      <c r="D117" s="56">
        <f t="shared" si="32"/>
        <v>2710527.3699999996</v>
      </c>
      <c r="E117" s="56">
        <f t="shared" si="32"/>
        <v>2472151.3299999996</v>
      </c>
      <c r="F117" s="56">
        <f t="shared" si="32"/>
        <v>2710527.3699999996</v>
      </c>
      <c r="G117" s="81">
        <f t="shared" si="33"/>
        <v>1620178.6999999993</v>
      </c>
      <c r="H117" s="81">
        <f t="shared" si="34"/>
        <v>7041233.4399999976</v>
      </c>
      <c r="I117" s="81">
        <f t="shared" si="35"/>
        <v>-851972.63000000035</v>
      </c>
      <c r="J117" s="81">
        <f t="shared" si="36"/>
        <v>1858554.7399999993</v>
      </c>
      <c r="K117" s="81">
        <f t="shared" si="37"/>
        <v>2472151.3299999996</v>
      </c>
      <c r="L117" s="81">
        <f t="shared" si="38"/>
        <v>5182678.6999999993</v>
      </c>
      <c r="M117" s="81">
        <f t="shared" si="39"/>
        <v>-5422921.9670276111</v>
      </c>
      <c r="N117" s="81">
        <f t="shared" si="40"/>
        <v>-1574396.7001047898</v>
      </c>
      <c r="O117" s="81">
        <f t="shared" si="43"/>
        <v>-6997318.6671324009</v>
      </c>
      <c r="P117" s="81">
        <f t="shared" si="44"/>
        <v>-3564367.2270276118</v>
      </c>
      <c r="Q117" s="81">
        <f t="shared" si="45"/>
        <v>3608281.9998952094</v>
      </c>
      <c r="R117" s="81">
        <f>'Exhibit A, 1d'!C47+'Exhibit B,2'!U47</f>
        <v>43914.772867596606</v>
      </c>
      <c r="S117" s="81">
        <v>0</v>
      </c>
      <c r="T117" s="81">
        <v>0</v>
      </c>
      <c r="U117" s="81">
        <f t="shared" si="46"/>
        <v>0</v>
      </c>
      <c r="V117" s="81">
        <f t="shared" si="47"/>
        <v>43914.772867596606</v>
      </c>
      <c r="W117" s="87">
        <v>-81431.560000000056</v>
      </c>
    </row>
    <row r="118" spans="1:23">
      <c r="A118" s="6">
        <f t="shared" si="31"/>
        <v>2015</v>
      </c>
      <c r="B118" s="56">
        <f t="shared" si="41"/>
        <v>0</v>
      </c>
      <c r="C118" s="56">
        <f t="shared" si="42"/>
        <v>809837.2099999995</v>
      </c>
      <c r="D118" s="56">
        <f t="shared" si="32"/>
        <v>3014251.8099999996</v>
      </c>
      <c r="E118" s="56">
        <f t="shared" si="32"/>
        <v>2659270.2899999996</v>
      </c>
      <c r="F118" s="56">
        <f t="shared" si="32"/>
        <v>3014251.8099999996</v>
      </c>
      <c r="G118" s="81">
        <f t="shared" si="33"/>
        <v>3469107.4999999991</v>
      </c>
      <c r="H118" s="81">
        <f t="shared" si="34"/>
        <v>9497611.1199999973</v>
      </c>
      <c r="I118" s="81">
        <f t="shared" si="35"/>
        <v>809837.2099999995</v>
      </c>
      <c r="J118" s="81">
        <f t="shared" si="36"/>
        <v>3824089.0199999991</v>
      </c>
      <c r="K118" s="81">
        <f t="shared" si="37"/>
        <v>2659270.2899999996</v>
      </c>
      <c r="L118" s="81">
        <f t="shared" si="38"/>
        <v>5673522.0999999996</v>
      </c>
      <c r="M118" s="81">
        <f t="shared" si="39"/>
        <v>-7335037.9565859353</v>
      </c>
      <c r="N118" s="81">
        <f t="shared" si="40"/>
        <v>-2129527.1486862386</v>
      </c>
      <c r="O118" s="81">
        <f t="shared" si="43"/>
        <v>-9464565.1052721739</v>
      </c>
      <c r="P118" s="81">
        <f t="shared" si="44"/>
        <v>-3510948.9365859362</v>
      </c>
      <c r="Q118" s="81">
        <f t="shared" si="45"/>
        <v>3543994.9513137611</v>
      </c>
      <c r="R118" s="81">
        <f>'Exhibit A, 1d'!C48+'Exhibit B,2'!U48</f>
        <v>33046.014727823203</v>
      </c>
      <c r="S118" s="81">
        <v>0</v>
      </c>
      <c r="T118" s="81">
        <v>0</v>
      </c>
      <c r="U118" s="81">
        <f t="shared" si="46"/>
        <v>0</v>
      </c>
      <c r="V118" s="81">
        <f t="shared" si="47"/>
        <v>33046.014727823203</v>
      </c>
      <c r="W118" s="87">
        <v>-91900</v>
      </c>
    </row>
    <row r="119" spans="1:23">
      <c r="A119" s="6">
        <f t="shared" si="31"/>
        <v>2016</v>
      </c>
      <c r="B119" s="56">
        <f t="shared" si="41"/>
        <v>0</v>
      </c>
      <c r="C119" s="56">
        <f t="shared" si="42"/>
        <v>-432822.29000000004</v>
      </c>
      <c r="D119" s="56">
        <f t="shared" si="32"/>
        <v>1645974.7000000002</v>
      </c>
      <c r="E119" s="56">
        <f t="shared" si="32"/>
        <v>1635316.96</v>
      </c>
      <c r="F119" s="56">
        <f t="shared" si="32"/>
        <v>2270922.0199999996</v>
      </c>
      <c r="G119" s="81">
        <f t="shared" si="33"/>
        <v>1202494.67</v>
      </c>
      <c r="H119" s="81">
        <f t="shared" si="34"/>
        <v>5119391.3899999997</v>
      </c>
      <c r="I119" s="81">
        <f t="shared" si="35"/>
        <v>-432822.29000000004</v>
      </c>
      <c r="J119" s="81">
        <f t="shared" si="36"/>
        <v>1213152.4100000001</v>
      </c>
      <c r="K119" s="81">
        <f t="shared" si="37"/>
        <v>1635316.96</v>
      </c>
      <c r="L119" s="81">
        <f t="shared" si="38"/>
        <v>3906238.9799999995</v>
      </c>
      <c r="M119" s="81">
        <f t="shared" si="39"/>
        <v>-3932835.4342083591</v>
      </c>
      <c r="N119" s="81">
        <f t="shared" si="40"/>
        <v>-1141790.932512104</v>
      </c>
      <c r="O119" s="81">
        <f t="shared" si="43"/>
        <v>-5074626.3667204631</v>
      </c>
      <c r="P119" s="81">
        <f t="shared" si="44"/>
        <v>-2719683.024208359</v>
      </c>
      <c r="Q119" s="81">
        <f t="shared" si="45"/>
        <v>2764448.0474878955</v>
      </c>
      <c r="R119" s="81">
        <f>'Exhibit A, 1d'!C49+'Exhibit B,2'!U49</f>
        <v>44765.023279536392</v>
      </c>
      <c r="S119" s="81">
        <v>0</v>
      </c>
      <c r="T119" s="81">
        <v>0</v>
      </c>
      <c r="U119" s="81">
        <f t="shared" si="46"/>
        <v>0</v>
      </c>
      <c r="V119" s="81">
        <f t="shared" si="47"/>
        <v>44765.023279536392</v>
      </c>
      <c r="W119" s="87">
        <v>-194363</v>
      </c>
    </row>
    <row r="120" spans="1:23">
      <c r="A120" s="6">
        <f t="shared" si="31"/>
        <v>2017</v>
      </c>
      <c r="B120" s="56">
        <f t="shared" si="41"/>
        <v>0</v>
      </c>
      <c r="C120" s="56">
        <f t="shared" si="42"/>
        <v>-919728.12</v>
      </c>
      <c r="D120" s="56">
        <f t="shared" si="32"/>
        <v>-514770.6</v>
      </c>
      <c r="E120" s="56">
        <f t="shared" si="32"/>
        <v>-221142.78299999994</v>
      </c>
      <c r="F120" s="56">
        <f t="shared" si="32"/>
        <v>-27626.787000000084</v>
      </c>
      <c r="G120" s="81">
        <f t="shared" si="33"/>
        <v>-1140870.9029999999</v>
      </c>
      <c r="H120" s="81">
        <f t="shared" si="34"/>
        <v>-1683268.29</v>
      </c>
      <c r="I120" s="81">
        <f t="shared" si="35"/>
        <v>-919728.12</v>
      </c>
      <c r="J120" s="81">
        <f t="shared" si="36"/>
        <v>-1434498.72</v>
      </c>
      <c r="K120" s="81">
        <f t="shared" si="37"/>
        <v>-221142.78299999994</v>
      </c>
      <c r="L120" s="81">
        <f t="shared" si="38"/>
        <v>-248769.57</v>
      </c>
      <c r="M120" s="81">
        <f t="shared" si="39"/>
        <v>1318128.9247867269</v>
      </c>
      <c r="N120" s="81">
        <f t="shared" si="40"/>
        <v>382682.59106711415</v>
      </c>
      <c r="O120" s="81">
        <f t="shared" si="43"/>
        <v>1700811.5158538411</v>
      </c>
      <c r="P120" s="81">
        <f t="shared" si="44"/>
        <v>-116369.79521327303</v>
      </c>
      <c r="Q120" s="81">
        <f t="shared" si="45"/>
        <v>133913.02106711414</v>
      </c>
      <c r="R120" s="81">
        <f>'Exhibit A, 1d'!C50+'Exhibit B,2'!U50</f>
        <v>17543.225853841141</v>
      </c>
      <c r="S120" s="81">
        <v>0</v>
      </c>
      <c r="T120" s="81">
        <v>0</v>
      </c>
      <c r="U120" s="81">
        <f t="shared" si="46"/>
        <v>0</v>
      </c>
      <c r="V120" s="81">
        <f t="shared" si="47"/>
        <v>17543.225853841141</v>
      </c>
      <c r="W120" s="87">
        <v>54173</v>
      </c>
    </row>
    <row r="121" spans="1:23">
      <c r="A121" s="6">
        <f t="shared" si="31"/>
        <v>2018</v>
      </c>
      <c r="B121" s="56">
        <f t="shared" si="41"/>
        <v>0</v>
      </c>
      <c r="C121" s="56">
        <f t="shared" si="42"/>
        <v>1767550.4200000002</v>
      </c>
      <c r="D121" s="56">
        <f t="shared" si="32"/>
        <v>1158122.77</v>
      </c>
      <c r="E121" s="56">
        <f t="shared" si="32"/>
        <v>3341311.0350000001</v>
      </c>
      <c r="F121" s="56">
        <f t="shared" si="32"/>
        <v>3268552.0150000001</v>
      </c>
      <c r="G121" s="81">
        <f t="shared" si="33"/>
        <v>5108861.4550000001</v>
      </c>
      <c r="H121" s="81">
        <f t="shared" si="34"/>
        <v>9535536.2400000002</v>
      </c>
      <c r="I121" s="81">
        <f t="shared" si="35"/>
        <v>1767550.4200000002</v>
      </c>
      <c r="J121" s="81">
        <f t="shared" si="36"/>
        <v>2925673.1900000004</v>
      </c>
      <c r="K121" s="81">
        <f t="shared" si="37"/>
        <v>3341311.0350000001</v>
      </c>
      <c r="L121" s="81">
        <f t="shared" si="38"/>
        <v>6609863.0500000007</v>
      </c>
      <c r="M121" s="81">
        <f t="shared" si="39"/>
        <v>-7199173.1490948936</v>
      </c>
      <c r="N121" s="81">
        <f t="shared" si="40"/>
        <v>-2090082.5271565812</v>
      </c>
      <c r="O121" s="81">
        <f t="shared" si="43"/>
        <v>-9289255.6762514748</v>
      </c>
      <c r="P121" s="81">
        <f t="shared" si="44"/>
        <v>-4273499.9590948932</v>
      </c>
      <c r="Q121" s="81">
        <f t="shared" si="45"/>
        <v>4519780.5228434196</v>
      </c>
      <c r="R121" s="81">
        <f>'Exhibit A, 1d'!C51+'Exhibit B,2'!U51</f>
        <v>246280.56374852514</v>
      </c>
      <c r="S121" s="81">
        <v>0</v>
      </c>
      <c r="T121" s="81">
        <v>0</v>
      </c>
      <c r="U121" s="81">
        <f t="shared" si="46"/>
        <v>0</v>
      </c>
      <c r="V121" s="81">
        <f t="shared" si="47"/>
        <v>246280.56374852514</v>
      </c>
      <c r="W121" s="87">
        <v>-53374</v>
      </c>
    </row>
    <row r="122" spans="1:23">
      <c r="A122" s="6">
        <f t="shared" si="31"/>
        <v>2019</v>
      </c>
      <c r="B122" s="56">
        <f t="shared" si="41"/>
        <v>0</v>
      </c>
      <c r="C122" s="56">
        <f t="shared" si="42"/>
        <v>-148783.30000000005</v>
      </c>
      <c r="D122" s="56">
        <f t="shared" si="32"/>
        <v>-55210.739999999991</v>
      </c>
      <c r="E122" s="56">
        <f t="shared" si="32"/>
        <v>1198071.4349999998</v>
      </c>
      <c r="F122" s="56">
        <f t="shared" si="32"/>
        <v>388948.125</v>
      </c>
      <c r="G122" s="81">
        <f t="shared" si="33"/>
        <v>1049288.1349999998</v>
      </c>
      <c r="H122" s="81">
        <f t="shared" si="34"/>
        <v>1383025.5199999998</v>
      </c>
      <c r="I122" s="81">
        <f t="shared" si="35"/>
        <v>-148783.30000000005</v>
      </c>
      <c r="J122" s="81">
        <f t="shared" si="36"/>
        <v>-203994.04000000004</v>
      </c>
      <c r="K122" s="81">
        <f t="shared" si="37"/>
        <v>1198071.4349999998</v>
      </c>
      <c r="L122" s="81">
        <f t="shared" si="38"/>
        <v>1587019.5599999998</v>
      </c>
      <c r="M122" s="81">
        <f t="shared" si="39"/>
        <v>-675119.01506486023</v>
      </c>
      <c r="N122" s="81">
        <f t="shared" si="40"/>
        <v>-196002.29469624965</v>
      </c>
      <c r="O122" s="81">
        <f t="shared" si="43"/>
        <v>-871121.30976110988</v>
      </c>
      <c r="P122" s="81">
        <f t="shared" si="44"/>
        <v>-879113.05506486027</v>
      </c>
      <c r="Q122" s="81">
        <f t="shared" si="45"/>
        <v>1391017.2653037501</v>
      </c>
      <c r="R122" s="81">
        <f>'Exhibit A, 1d'!C52+'Exhibit B,2'!U52</f>
        <v>511904.21023888991</v>
      </c>
      <c r="S122" s="81">
        <v>0</v>
      </c>
      <c r="T122" s="81">
        <v>0</v>
      </c>
      <c r="U122" s="81">
        <f t="shared" si="46"/>
        <v>0</v>
      </c>
      <c r="V122" s="81">
        <f t="shared" si="47"/>
        <v>511904.21023888991</v>
      </c>
      <c r="W122" s="87">
        <v>-212019.43050000002</v>
      </c>
    </row>
    <row r="123" spans="1:23">
      <c r="A123" s="6">
        <f t="shared" si="31"/>
        <v>2020</v>
      </c>
      <c r="B123" s="56">
        <f t="shared" si="41"/>
        <v>0</v>
      </c>
      <c r="C123" s="56">
        <f t="shared" si="42"/>
        <v>-1893102.3199999998</v>
      </c>
      <c r="D123" s="56">
        <f t="shared" si="32"/>
        <v>-56498.85</v>
      </c>
      <c r="E123" s="56">
        <f t="shared" si="32"/>
        <v>3460564.7249999996</v>
      </c>
      <c r="F123" s="56">
        <f t="shared" si="32"/>
        <v>340211.32500000001</v>
      </c>
      <c r="G123" s="81">
        <f t="shared" si="33"/>
        <v>1567462.4049999998</v>
      </c>
      <c r="H123" s="81">
        <f t="shared" si="34"/>
        <v>1851174.8799999997</v>
      </c>
      <c r="I123" s="81">
        <f t="shared" si="35"/>
        <v>-1893102.3199999998</v>
      </c>
      <c r="J123" s="81">
        <f t="shared" si="36"/>
        <v>-1949601.17</v>
      </c>
      <c r="K123" s="81">
        <f t="shared" si="37"/>
        <v>3460564.7249999996</v>
      </c>
      <c r="L123" s="81">
        <f t="shared" si="38"/>
        <v>3800776.05</v>
      </c>
      <c r="M123" s="81">
        <f t="shared" si="39"/>
        <v>-1337733.90338869</v>
      </c>
      <c r="N123" s="81">
        <f t="shared" si="40"/>
        <v>-388374.35904832929</v>
      </c>
      <c r="O123" s="81">
        <f t="shared" si="43"/>
        <v>-1726108.2624370193</v>
      </c>
      <c r="P123" s="81">
        <f t="shared" si="44"/>
        <v>-3287335.0733886901</v>
      </c>
      <c r="Q123" s="81">
        <f t="shared" si="45"/>
        <v>3412401.6909516705</v>
      </c>
      <c r="R123" s="81">
        <f>'Exhibit A, 1d'!C53+'Exhibit B,2'!U53</f>
        <v>125066.61756298042</v>
      </c>
      <c r="S123" s="81">
        <v>0</v>
      </c>
      <c r="T123" s="81">
        <v>0</v>
      </c>
      <c r="U123" s="81">
        <f t="shared" si="46"/>
        <v>0</v>
      </c>
      <c r="V123" s="81">
        <f t="shared" si="47"/>
        <v>125066.61756298042</v>
      </c>
      <c r="W123" s="87">
        <v>37085.690000000177</v>
      </c>
    </row>
    <row r="124" spans="1:23">
      <c r="A124" s="6"/>
      <c r="B124" s="6"/>
      <c r="D124" s="6"/>
      <c r="E124" s="6"/>
      <c r="F124" s="6"/>
      <c r="G124" s="81">
        <f t="shared" ref="G124:R124" si="48">G44-G84</f>
        <v>0</v>
      </c>
      <c r="H124" s="81">
        <f t="shared" si="48"/>
        <v>0</v>
      </c>
      <c r="I124" s="81">
        <f t="shared" si="48"/>
        <v>0</v>
      </c>
      <c r="J124" s="81">
        <f t="shared" si="48"/>
        <v>0</v>
      </c>
      <c r="K124" s="81">
        <f t="shared" si="48"/>
        <v>0</v>
      </c>
      <c r="L124" s="81">
        <f t="shared" si="48"/>
        <v>0</v>
      </c>
      <c r="M124" s="81">
        <f t="shared" si="48"/>
        <v>0</v>
      </c>
      <c r="N124" s="81">
        <f t="shared" si="48"/>
        <v>0</v>
      </c>
      <c r="O124" s="81"/>
      <c r="P124" s="81">
        <f t="shared" si="48"/>
        <v>0</v>
      </c>
      <c r="Q124" s="81">
        <f t="shared" si="48"/>
        <v>0</v>
      </c>
      <c r="R124" s="81">
        <f t="shared" si="48"/>
        <v>0</v>
      </c>
      <c r="S124" s="81">
        <v>0</v>
      </c>
      <c r="T124" s="81">
        <v>0</v>
      </c>
      <c r="U124" s="81">
        <f t="shared" si="46"/>
        <v>0</v>
      </c>
      <c r="V124" s="81">
        <f t="shared" si="47"/>
        <v>0</v>
      </c>
      <c r="W124" s="87">
        <v>0</v>
      </c>
    </row>
    <row r="125" spans="1:23">
      <c r="A125" s="6" t="s">
        <v>0</v>
      </c>
      <c r="B125" s="82">
        <f>SUM(B95:B123)</f>
        <v>0</v>
      </c>
      <c r="C125" s="82">
        <f>SUM(C95:C123)</f>
        <v>2403341.0899999994</v>
      </c>
      <c r="D125" s="82">
        <f t="shared" ref="D125:Q125" si="49">SUM(D95:D123)</f>
        <v>11989758.58</v>
      </c>
      <c r="E125" s="82">
        <f t="shared" si="49"/>
        <v>18614461.952</v>
      </c>
      <c r="F125" s="82">
        <f t="shared" si="49"/>
        <v>16053148.007999998</v>
      </c>
      <c r="G125" s="82">
        <f>SUM(G95:G123)</f>
        <v>21017803.041999996</v>
      </c>
      <c r="H125" s="82">
        <f t="shared" si="49"/>
        <v>49060709.630000003</v>
      </c>
      <c r="I125" s="82">
        <f t="shared" si="49"/>
        <v>2403341.0899999994</v>
      </c>
      <c r="J125" s="82">
        <f t="shared" si="49"/>
        <v>14393099.67</v>
      </c>
      <c r="K125" s="82">
        <f t="shared" si="49"/>
        <v>18614461.952</v>
      </c>
      <c r="L125" s="82">
        <f t="shared" si="49"/>
        <v>34667609.960000001</v>
      </c>
      <c r="M125" s="82">
        <f t="shared" si="49"/>
        <v>-37109315.360333614</v>
      </c>
      <c r="N125" s="82">
        <f t="shared" si="49"/>
        <v>-10773672.201387178</v>
      </c>
      <c r="O125" s="82">
        <f t="shared" si="49"/>
        <v>-47882987.561720788</v>
      </c>
      <c r="P125" s="82">
        <f t="shared" si="49"/>
        <v>-22716215.690333627</v>
      </c>
      <c r="Q125" s="82">
        <f t="shared" si="49"/>
        <v>23893937.758612823</v>
      </c>
      <c r="R125" s="82">
        <f>SUM(R95:R123)</f>
        <v>1177722.0682791928</v>
      </c>
      <c r="S125" s="82">
        <f>SUM(S95:S123)</f>
        <v>0</v>
      </c>
      <c r="T125" s="82">
        <f>SUM(T95:T123)</f>
        <v>0</v>
      </c>
      <c r="U125" s="82">
        <f>SUM(U95:U123)</f>
        <v>0</v>
      </c>
      <c r="V125" s="82">
        <f>SUM(V95:V123)</f>
        <v>1177722.0682791928</v>
      </c>
      <c r="W125" s="90">
        <v>-537464.58049999992</v>
      </c>
    </row>
    <row r="126" spans="1:23">
      <c r="W126" s="91"/>
    </row>
    <row r="127" spans="1:23">
      <c r="F127" s="1" t="s">
        <v>685</v>
      </c>
      <c r="G127" s="22">
        <f>G45-G85-G125</f>
        <v>0</v>
      </c>
      <c r="H127" s="22">
        <f t="shared" ref="H127:V127" si="50">H45-H85-H125</f>
        <v>0</v>
      </c>
      <c r="I127" s="22">
        <f t="shared" si="50"/>
        <v>0</v>
      </c>
      <c r="J127" s="22">
        <f t="shared" si="50"/>
        <v>0</v>
      </c>
      <c r="K127" s="22">
        <f t="shared" si="50"/>
        <v>0</v>
      </c>
      <c r="L127" s="22">
        <f t="shared" si="50"/>
        <v>0</v>
      </c>
      <c r="M127" s="22">
        <f t="shared" si="50"/>
        <v>-1823.5140000134706</v>
      </c>
      <c r="N127" s="22">
        <f t="shared" si="50"/>
        <v>1823.5140000004321</v>
      </c>
      <c r="O127" s="22">
        <f t="shared" si="50"/>
        <v>0</v>
      </c>
      <c r="P127" s="22">
        <f t="shared" si="50"/>
        <v>0</v>
      </c>
      <c r="Q127" s="22">
        <f t="shared" si="50"/>
        <v>0</v>
      </c>
      <c r="R127" s="22">
        <f t="shared" si="50"/>
        <v>-8.3819031715393066E-9</v>
      </c>
      <c r="S127" s="22">
        <f t="shared" si="50"/>
        <v>1.1641532182693481E-10</v>
      </c>
      <c r="T127" s="22">
        <f t="shared" si="50"/>
        <v>0</v>
      </c>
      <c r="U127" s="22">
        <f t="shared" si="50"/>
        <v>0</v>
      </c>
      <c r="V127" s="22">
        <f t="shared" si="50"/>
        <v>0</v>
      </c>
      <c r="W127" s="91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sheetPr codeName="Sheet108">
    <tabColor rgb="FFFF0000"/>
  </sheetPr>
  <dimension ref="A5:W125"/>
  <sheetViews>
    <sheetView topLeftCell="G1" workbookViewId="0">
      <selection activeCell="A6" sqref="A6"/>
    </sheetView>
  </sheetViews>
  <sheetFormatPr baseColWidth="10" defaultColWidth="8.7109375" defaultRowHeight="15"/>
  <cols>
    <col min="1" max="12" width="8.7109375" style="1"/>
    <col min="13" max="19" width="12.7109375" style="1" customWidth="1"/>
    <col min="20" max="16384" width="8.7109375" style="1"/>
  </cols>
  <sheetData>
    <row r="5" spans="1:23" ht="16">
      <c r="A5" s="4"/>
      <c r="B5" s="4"/>
      <c r="H5" s="4"/>
      <c r="I5" s="4"/>
      <c r="J5" s="51" t="s">
        <v>853</v>
      </c>
      <c r="K5" s="4"/>
      <c r="L5" s="4"/>
    </row>
    <row r="6" spans="1:23" ht="16">
      <c r="A6" s="4"/>
      <c r="B6" s="4"/>
      <c r="H6" s="5" t="s">
        <v>858</v>
      </c>
      <c r="I6" s="5"/>
      <c r="J6" s="5"/>
      <c r="K6" s="5"/>
      <c r="L6" s="5"/>
    </row>
    <row r="7" spans="1:23">
      <c r="J7" s="1" t="s">
        <v>658</v>
      </c>
    </row>
    <row r="8" spans="1:23">
      <c r="I8" s="6"/>
      <c r="J8" s="6" t="s">
        <v>659</v>
      </c>
      <c r="K8" s="6"/>
      <c r="L8" s="6"/>
    </row>
    <row r="9" spans="1:23">
      <c r="A9" s="6" t="s">
        <v>9</v>
      </c>
      <c r="B9" s="85">
        <v>1</v>
      </c>
      <c r="C9" s="85">
        <v>1</v>
      </c>
      <c r="D9" s="85">
        <v>1</v>
      </c>
      <c r="E9" s="85">
        <v>1</v>
      </c>
      <c r="F9" s="85">
        <v>1</v>
      </c>
      <c r="G9" s="85">
        <v>1</v>
      </c>
      <c r="H9" s="85">
        <v>1</v>
      </c>
      <c r="I9" s="85">
        <v>1</v>
      </c>
      <c r="J9" s="85">
        <v>1</v>
      </c>
      <c r="K9" s="85">
        <v>1</v>
      </c>
      <c r="L9" s="85">
        <v>1</v>
      </c>
      <c r="M9" s="83" t="s">
        <v>682</v>
      </c>
      <c r="N9" s="83" t="s">
        <v>682</v>
      </c>
      <c r="O9" s="85">
        <v>1</v>
      </c>
      <c r="P9" s="83" t="s">
        <v>682</v>
      </c>
      <c r="Q9" s="83" t="s">
        <v>682</v>
      </c>
      <c r="R9" s="83" t="s">
        <v>682</v>
      </c>
      <c r="S9" s="6" t="s">
        <v>682</v>
      </c>
      <c r="T9" s="6" t="s">
        <v>682</v>
      </c>
      <c r="U9" s="6" t="s">
        <v>682</v>
      </c>
      <c r="V9" s="6"/>
      <c r="W9" s="86">
        <v>1</v>
      </c>
    </row>
    <row r="10" spans="1:23">
      <c r="A10" s="6"/>
      <c r="B10" s="27" t="s">
        <v>665</v>
      </c>
      <c r="C10" s="27" t="s">
        <v>523</v>
      </c>
      <c r="D10" s="27" t="s">
        <v>523</v>
      </c>
      <c r="E10" s="27" t="s">
        <v>523</v>
      </c>
      <c r="F10" s="27" t="s">
        <v>523</v>
      </c>
      <c r="H10" s="6"/>
      <c r="I10" s="6"/>
      <c r="J10" s="6"/>
      <c r="K10" s="6"/>
      <c r="L10" s="6"/>
      <c r="N10" s="79">
        <v>0.22500000000000001</v>
      </c>
      <c r="O10" s="6"/>
      <c r="P10" s="6"/>
      <c r="Q10" s="6"/>
      <c r="R10" s="6" t="s">
        <v>67</v>
      </c>
      <c r="S10" s="6"/>
      <c r="T10" s="6"/>
      <c r="U10" s="6"/>
      <c r="V10" s="6" t="s">
        <v>67</v>
      </c>
    </row>
    <row r="11" spans="1:23">
      <c r="A11" s="6" t="s">
        <v>3</v>
      </c>
      <c r="B11" s="27" t="s">
        <v>524</v>
      </c>
      <c r="C11" s="27" t="s">
        <v>524</v>
      </c>
      <c r="D11" s="27" t="s">
        <v>524</v>
      </c>
      <c r="E11" s="27" t="s">
        <v>528</v>
      </c>
      <c r="F11" s="27" t="s">
        <v>528</v>
      </c>
      <c r="G11" s="6" t="s">
        <v>14</v>
      </c>
      <c r="H11" s="6" t="s">
        <v>12</v>
      </c>
      <c r="I11" s="6" t="s">
        <v>14</v>
      </c>
      <c r="J11" s="6" t="s">
        <v>12</v>
      </c>
      <c r="K11" s="6" t="s">
        <v>14</v>
      </c>
      <c r="L11" s="6" t="s">
        <v>12</v>
      </c>
      <c r="M11" s="6" t="s">
        <v>381</v>
      </c>
      <c r="N11" s="6" t="s">
        <v>381</v>
      </c>
      <c r="O11" s="6" t="s">
        <v>381</v>
      </c>
      <c r="P11" s="6" t="s">
        <v>660</v>
      </c>
      <c r="Q11" s="6" t="s">
        <v>67</v>
      </c>
      <c r="R11" s="6" t="s">
        <v>662</v>
      </c>
      <c r="S11" s="6" t="s">
        <v>661</v>
      </c>
      <c r="T11" s="6" t="s">
        <v>661</v>
      </c>
      <c r="U11" s="6" t="s">
        <v>67</v>
      </c>
      <c r="V11" s="6" t="s">
        <v>663</v>
      </c>
      <c r="W11" s="6" t="s">
        <v>177</v>
      </c>
    </row>
    <row r="12" spans="1:23">
      <c r="A12" s="6" t="s">
        <v>4</v>
      </c>
      <c r="B12" s="28" t="s">
        <v>672</v>
      </c>
      <c r="C12" s="28" t="s">
        <v>671</v>
      </c>
      <c r="D12" s="28" t="s">
        <v>688</v>
      </c>
      <c r="E12" s="28" t="s">
        <v>671</v>
      </c>
      <c r="F12" s="28" t="s">
        <v>688</v>
      </c>
      <c r="G12" s="6" t="s">
        <v>0</v>
      </c>
      <c r="H12" s="6" t="s">
        <v>0</v>
      </c>
      <c r="I12" s="6" t="s">
        <v>566</v>
      </c>
      <c r="J12" s="6" t="s">
        <v>566</v>
      </c>
      <c r="K12" s="6" t="s">
        <v>567</v>
      </c>
      <c r="L12" s="6" t="s">
        <v>567</v>
      </c>
      <c r="M12" s="6" t="s">
        <v>566</v>
      </c>
      <c r="N12" s="6" t="s">
        <v>567</v>
      </c>
      <c r="O12" s="6" t="s">
        <v>0</v>
      </c>
      <c r="P12" s="6" t="s">
        <v>566</v>
      </c>
      <c r="Q12" s="6" t="s">
        <v>567</v>
      </c>
      <c r="R12" s="6" t="s">
        <v>0</v>
      </c>
      <c r="S12" s="6" t="s">
        <v>117</v>
      </c>
      <c r="T12" s="6" t="s">
        <v>14</v>
      </c>
      <c r="U12" s="6" t="s">
        <v>661</v>
      </c>
      <c r="V12" s="6" t="s">
        <v>0</v>
      </c>
      <c r="W12" s="6" t="s">
        <v>16</v>
      </c>
    </row>
    <row r="13" spans="1:23">
      <c r="A13" s="10">
        <v>-1</v>
      </c>
      <c r="B13" s="10">
        <f>A13-1</f>
        <v>-2</v>
      </c>
      <c r="C13" s="10">
        <f>B13-1</f>
        <v>-3</v>
      </c>
      <c r="D13" s="10">
        <f t="shared" ref="D13:W13" si="0">C13-1</f>
        <v>-4</v>
      </c>
      <c r="E13" s="10">
        <f t="shared" si="0"/>
        <v>-5</v>
      </c>
      <c r="F13" s="10">
        <f t="shared" si="0"/>
        <v>-6</v>
      </c>
      <c r="G13" s="10">
        <f t="shared" si="0"/>
        <v>-7</v>
      </c>
      <c r="H13" s="10">
        <f t="shared" si="0"/>
        <v>-8</v>
      </c>
      <c r="I13" s="10">
        <f t="shared" si="0"/>
        <v>-9</v>
      </c>
      <c r="J13" s="10">
        <f t="shared" si="0"/>
        <v>-10</v>
      </c>
      <c r="K13" s="10">
        <f t="shared" si="0"/>
        <v>-11</v>
      </c>
      <c r="L13" s="10">
        <f t="shared" si="0"/>
        <v>-12</v>
      </c>
      <c r="M13" s="10">
        <f>L13-1</f>
        <v>-13</v>
      </c>
      <c r="N13" s="10">
        <f t="shared" si="0"/>
        <v>-14</v>
      </c>
      <c r="O13" s="10">
        <f t="shared" si="0"/>
        <v>-15</v>
      </c>
      <c r="P13" s="10">
        <f t="shared" si="0"/>
        <v>-16</v>
      </c>
      <c r="Q13" s="10">
        <f t="shared" si="0"/>
        <v>-17</v>
      </c>
      <c r="R13" s="10">
        <f t="shared" si="0"/>
        <v>-18</v>
      </c>
      <c r="S13" s="10">
        <f t="shared" si="0"/>
        <v>-19</v>
      </c>
      <c r="T13" s="10">
        <f t="shared" si="0"/>
        <v>-20</v>
      </c>
      <c r="U13" s="10">
        <f t="shared" si="0"/>
        <v>-21</v>
      </c>
      <c r="V13" s="10">
        <f t="shared" si="0"/>
        <v>-22</v>
      </c>
      <c r="W13" s="10">
        <f t="shared" si="0"/>
        <v>-23</v>
      </c>
    </row>
    <row r="14" spans="1:23">
      <c r="A14" s="80"/>
      <c r="B14" s="80"/>
      <c r="C14" s="6"/>
      <c r="D14" s="6"/>
      <c r="E14" s="6"/>
      <c r="F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</row>
    <row r="15" spans="1:23">
      <c r="A15" s="6">
        <v>1992</v>
      </c>
      <c r="B15" s="81"/>
      <c r="C15" s="81"/>
      <c r="D15" s="81"/>
      <c r="E15" s="81"/>
      <c r="F15" s="81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81"/>
      <c r="T15" s="87"/>
      <c r="U15" s="81"/>
      <c r="V15" s="81"/>
      <c r="W15" s="6"/>
    </row>
    <row r="16" spans="1:23">
      <c r="A16" s="6">
        <f>A15+1</f>
        <v>1993</v>
      </c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7"/>
      <c r="U16" s="81"/>
      <c r="V16" s="81"/>
      <c r="W16" s="81"/>
    </row>
    <row r="17" spans="1:23">
      <c r="A17" s="6">
        <f t="shared" ref="A17:A43" si="1">A16+1</f>
        <v>1994</v>
      </c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7"/>
      <c r="U17" s="81"/>
      <c r="V17" s="81"/>
      <c r="W17" s="81"/>
    </row>
    <row r="18" spans="1:23">
      <c r="A18" s="6">
        <f t="shared" si="1"/>
        <v>1995</v>
      </c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7"/>
      <c r="U18" s="81"/>
      <c r="V18" s="81"/>
      <c r="W18" s="81"/>
    </row>
    <row r="19" spans="1:23">
      <c r="A19" s="6">
        <f t="shared" si="1"/>
        <v>1996</v>
      </c>
      <c r="B19" s="81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7"/>
      <c r="U19" s="81"/>
      <c r="V19" s="81"/>
      <c r="W19" s="81"/>
    </row>
    <row r="20" spans="1:23">
      <c r="A20" s="6">
        <f t="shared" si="1"/>
        <v>1997</v>
      </c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7"/>
      <c r="U20" s="81"/>
      <c r="V20" s="81"/>
      <c r="W20" s="81"/>
    </row>
    <row r="21" spans="1:23">
      <c r="A21" s="6">
        <f t="shared" si="1"/>
        <v>1998</v>
      </c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7"/>
      <c r="U21" s="81"/>
      <c r="V21" s="81"/>
      <c r="W21" s="81"/>
    </row>
    <row r="22" spans="1:23">
      <c r="A22" s="6">
        <f t="shared" si="1"/>
        <v>1999</v>
      </c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7"/>
      <c r="U22" s="81"/>
      <c r="V22" s="81"/>
      <c r="W22" s="81"/>
    </row>
    <row r="23" spans="1:23">
      <c r="A23" s="6">
        <f t="shared" si="1"/>
        <v>2000</v>
      </c>
      <c r="B23" s="81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7"/>
      <c r="U23" s="81"/>
      <c r="V23" s="81"/>
      <c r="W23" s="81"/>
    </row>
    <row r="24" spans="1:23">
      <c r="A24" s="6">
        <f t="shared" si="1"/>
        <v>2001</v>
      </c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7"/>
      <c r="U24" s="81"/>
      <c r="V24" s="81"/>
      <c r="W24" s="81"/>
    </row>
    <row r="25" spans="1:23">
      <c r="A25" s="6">
        <f t="shared" si="1"/>
        <v>2002</v>
      </c>
      <c r="B25" s="81"/>
      <c r="C25" s="81"/>
      <c r="D25" s="81"/>
      <c r="E25" s="32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7"/>
      <c r="U25" s="81"/>
      <c r="V25" s="81"/>
      <c r="W25" s="81"/>
    </row>
    <row r="26" spans="1:23">
      <c r="A26" s="6">
        <f t="shared" si="1"/>
        <v>2003</v>
      </c>
      <c r="B26" s="81"/>
      <c r="C26" s="81"/>
      <c r="D26" s="81"/>
      <c r="E26" s="32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7"/>
      <c r="U26" s="81"/>
      <c r="V26" s="81"/>
      <c r="W26" s="81"/>
    </row>
    <row r="27" spans="1:23">
      <c r="A27" s="6">
        <f t="shared" si="1"/>
        <v>2004</v>
      </c>
      <c r="B27" s="81"/>
      <c r="C27" s="81"/>
      <c r="D27" s="81"/>
      <c r="E27" s="32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7"/>
      <c r="U27" s="81"/>
      <c r="V27" s="81"/>
      <c r="W27" s="81"/>
    </row>
    <row r="28" spans="1:23">
      <c r="A28" s="6">
        <f t="shared" si="1"/>
        <v>2005</v>
      </c>
      <c r="B28" s="81"/>
      <c r="C28" s="81"/>
      <c r="D28" s="81"/>
      <c r="E28" s="32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7"/>
      <c r="U28" s="81"/>
      <c r="V28" s="81"/>
      <c r="W28" s="81"/>
    </row>
    <row r="29" spans="1:23">
      <c r="A29" s="6">
        <f t="shared" si="1"/>
        <v>2006</v>
      </c>
      <c r="B29" s="81"/>
      <c r="C29" s="81"/>
      <c r="D29" s="81"/>
      <c r="E29" s="32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7"/>
      <c r="U29" s="81"/>
      <c r="V29" s="81"/>
      <c r="W29" s="81"/>
    </row>
    <row r="30" spans="1:23">
      <c r="A30" s="6">
        <f t="shared" si="1"/>
        <v>2007</v>
      </c>
      <c r="B30" s="81"/>
      <c r="C30" s="81"/>
      <c r="D30" s="81"/>
      <c r="E30" s="32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7"/>
      <c r="U30" s="81"/>
      <c r="V30" s="81"/>
      <c r="W30" s="81"/>
    </row>
    <row r="31" spans="1:23">
      <c r="A31" s="6">
        <f t="shared" si="1"/>
        <v>2008</v>
      </c>
      <c r="B31" s="81"/>
      <c r="C31" s="81"/>
      <c r="D31" s="81"/>
      <c r="E31" s="32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7"/>
      <c r="U31" s="81"/>
      <c r="V31" s="81"/>
      <c r="W31" s="81"/>
    </row>
    <row r="32" spans="1:23">
      <c r="A32" s="6">
        <f t="shared" si="1"/>
        <v>2009</v>
      </c>
      <c r="B32" s="81"/>
      <c r="C32" s="81"/>
      <c r="D32" s="81"/>
      <c r="E32" s="32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7"/>
      <c r="U32" s="81"/>
      <c r="V32" s="81"/>
      <c r="W32" s="81"/>
    </row>
    <row r="33" spans="1:23">
      <c r="A33" s="6">
        <f t="shared" si="1"/>
        <v>2010</v>
      </c>
      <c r="D33" s="81"/>
      <c r="E33" s="32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7"/>
      <c r="U33" s="81"/>
      <c r="V33" s="81"/>
      <c r="W33" s="81"/>
    </row>
    <row r="34" spans="1:23">
      <c r="A34" s="6">
        <f t="shared" si="1"/>
        <v>2011</v>
      </c>
      <c r="B34" s="81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>
        <f>('Exhibit B,2'!U16-'Exhibit B,2'!O16)+('Exhibit B,2'!U44-'Exhibit B,2'!O44)</f>
        <v>-10079.66</v>
      </c>
      <c r="P34" s="81"/>
      <c r="Q34" s="81"/>
      <c r="R34" s="81"/>
      <c r="S34" s="81">
        <f>'AD14'!S74</f>
        <v>0</v>
      </c>
      <c r="T34" s="87"/>
      <c r="U34" s="81"/>
      <c r="V34" s="81"/>
      <c r="W34" s="81"/>
    </row>
    <row r="35" spans="1:23">
      <c r="A35" s="6">
        <f t="shared" si="1"/>
        <v>2012</v>
      </c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>
        <f t="shared" ref="M35:M43" si="2">O35*(1-N$10)</f>
        <v>0</v>
      </c>
      <c r="N35" s="81">
        <f t="shared" ref="N35:N43" si="3">O35-M35</f>
        <v>0</v>
      </c>
      <c r="O35" s="81">
        <f>('Exhibit B,2'!U17-'Exhibit B,2'!O17)+('Exhibit B,2'!U45-'Exhibit B,2'!O45)</f>
        <v>0</v>
      </c>
      <c r="P35" s="81"/>
      <c r="Q35" s="81"/>
      <c r="R35" s="81"/>
      <c r="S35" s="81">
        <f>'AD14'!S75</f>
        <v>163.86140806477792</v>
      </c>
      <c r="T35" s="87"/>
      <c r="U35" s="81"/>
      <c r="V35" s="81"/>
      <c r="W35" s="81"/>
    </row>
    <row r="36" spans="1:23">
      <c r="A36" s="6">
        <f t="shared" si="1"/>
        <v>2013</v>
      </c>
      <c r="B36" s="81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>
        <f t="shared" si="2"/>
        <v>1759.6706809998025</v>
      </c>
      <c r="N36" s="81">
        <f t="shared" si="3"/>
        <v>510.87213319349098</v>
      </c>
      <c r="O36" s="81">
        <f>('Exhibit B,2'!U18-'Exhibit B,2'!O18)+('Exhibit B,2'!U46-'Exhibit B,2'!O46)</f>
        <v>2270.5428141932935</v>
      </c>
      <c r="P36" s="81"/>
      <c r="Q36" s="81"/>
      <c r="R36" s="81"/>
      <c r="S36" s="81">
        <f>'AD14'!S76</f>
        <v>75440.165493881243</v>
      </c>
      <c r="T36" s="87"/>
      <c r="U36" s="81"/>
      <c r="V36" s="81"/>
      <c r="W36" s="81"/>
    </row>
    <row r="37" spans="1:23">
      <c r="A37" s="6">
        <f t="shared" si="1"/>
        <v>2014</v>
      </c>
      <c r="B37" s="81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>
        <f t="shared" si="2"/>
        <v>10034.22644056106</v>
      </c>
      <c r="N37" s="81">
        <f t="shared" si="3"/>
        <v>2913.1625150015989</v>
      </c>
      <c r="O37" s="81">
        <f>('Exhibit B,2'!U19-'Exhibit B,2'!O19)+('Exhibit B,2'!U47-'Exhibit B,2'!O47)</f>
        <v>12947.388955562659</v>
      </c>
      <c r="P37" s="81"/>
      <c r="Q37" s="81"/>
      <c r="R37" s="81"/>
      <c r="S37" s="81">
        <f>'AD14'!S77</f>
        <v>50242.473433668529</v>
      </c>
      <c r="T37" s="87"/>
      <c r="U37" s="81"/>
      <c r="V37" s="81"/>
      <c r="W37" s="81"/>
    </row>
    <row r="38" spans="1:23">
      <c r="A38" s="6">
        <f t="shared" si="1"/>
        <v>2015</v>
      </c>
      <c r="B38" s="81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>
        <f t="shared" si="2"/>
        <v>41973.024419036759</v>
      </c>
      <c r="N38" s="81">
        <f t="shared" si="3"/>
        <v>12185.716766817124</v>
      </c>
      <c r="O38" s="81">
        <f>('Exhibit B,2'!U20-'Exhibit B,2'!O20)+('Exhibit B,2'!U48-'Exhibit B,2'!O48)</f>
        <v>54158.741185853884</v>
      </c>
      <c r="P38" s="81"/>
      <c r="Q38" s="81"/>
      <c r="R38" s="81"/>
      <c r="S38" s="81">
        <f>'AD14'!S78</f>
        <v>56239.948906055157</v>
      </c>
      <c r="T38" s="87"/>
      <c r="U38" s="81"/>
      <c r="V38" s="81"/>
      <c r="W38" s="81"/>
    </row>
    <row r="39" spans="1:23">
      <c r="A39" s="6">
        <f t="shared" si="1"/>
        <v>2016</v>
      </c>
      <c r="B39" s="81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>
        <f t="shared" si="2"/>
        <v>71244.670602467522</v>
      </c>
      <c r="N39" s="81">
        <f t="shared" si="3"/>
        <v>20683.936626522831</v>
      </c>
      <c r="O39" s="81">
        <f>('Exhibit B,2'!U21-'Exhibit B,2'!O21)+('Exhibit B,2'!U49-'Exhibit B,2'!O49)</f>
        <v>91928.607228990353</v>
      </c>
      <c r="P39" s="81"/>
      <c r="Q39" s="81"/>
      <c r="R39" s="81"/>
      <c r="S39" s="81">
        <f>'AD14'!S79</f>
        <v>37065.370094404556</v>
      </c>
      <c r="T39" s="87"/>
      <c r="U39" s="81"/>
      <c r="V39" s="81"/>
      <c r="W39" s="81"/>
    </row>
    <row r="40" spans="1:23">
      <c r="A40" s="6">
        <f t="shared" si="1"/>
        <v>2017</v>
      </c>
      <c r="B40" s="81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>
        <f t="shared" si="2"/>
        <v>424996.44882685225</v>
      </c>
      <c r="N40" s="81">
        <f t="shared" si="3"/>
        <v>123386.06578844099</v>
      </c>
      <c r="O40" s="81">
        <f>('Exhibit B,2'!U22-'Exhibit B,2'!O22)+('Exhibit B,2'!U50-'Exhibit B,2'!O50)</f>
        <v>548382.51461529324</v>
      </c>
      <c r="P40" s="81"/>
      <c r="Q40" s="81"/>
      <c r="R40" s="81"/>
      <c r="S40" s="81">
        <f>'AD14'!S80</f>
        <v>6761.4082128622676</v>
      </c>
      <c r="T40" s="87"/>
      <c r="U40" s="81"/>
      <c r="V40" s="81"/>
      <c r="W40" s="81"/>
    </row>
    <row r="41" spans="1:23">
      <c r="A41" s="6">
        <f t="shared" si="1"/>
        <v>2018</v>
      </c>
      <c r="B41" s="81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>
        <f t="shared" si="2"/>
        <v>422154.29858990811</v>
      </c>
      <c r="N41" s="81">
        <f t="shared" si="3"/>
        <v>122560.92539707007</v>
      </c>
      <c r="O41" s="81">
        <f>('Exhibit B,2'!U23-'Exhibit B,2'!O23)+('Exhibit B,2'!U51-'Exhibit B,2'!O51)</f>
        <v>544715.22398697818</v>
      </c>
      <c r="P41" s="81"/>
      <c r="Q41" s="81"/>
      <c r="R41" s="81"/>
      <c r="S41" s="81">
        <f>'AD14'!S81</f>
        <v>45969.632755947721</v>
      </c>
      <c r="T41" s="87"/>
      <c r="U41" s="81"/>
      <c r="V41" s="81"/>
      <c r="W41" s="81"/>
    </row>
    <row r="42" spans="1:23">
      <c r="A42" s="6">
        <f t="shared" si="1"/>
        <v>2019</v>
      </c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>
        <f t="shared" si="2"/>
        <v>391053.93057508429</v>
      </c>
      <c r="N42" s="81">
        <f t="shared" si="3"/>
        <v>113531.78629599221</v>
      </c>
      <c r="O42" s="81">
        <f>('Exhibit B,2'!U24-'Exhibit B,2'!O24)+('Exhibit B,2'!U52-'Exhibit B,2'!O52)</f>
        <v>504585.7168710765</v>
      </c>
      <c r="P42" s="81"/>
      <c r="Q42" s="81"/>
      <c r="R42" s="81"/>
      <c r="S42" s="81">
        <f>'AD14'!S82</f>
        <v>12583.235272025366</v>
      </c>
      <c r="T42" s="87"/>
      <c r="U42" s="81"/>
      <c r="V42" s="81"/>
      <c r="W42" s="81"/>
    </row>
    <row r="43" spans="1:23">
      <c r="A43" s="6">
        <f t="shared" si="1"/>
        <v>2020</v>
      </c>
      <c r="B43" s="81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>
        <f t="shared" si="2"/>
        <v>1773161.8962919861</v>
      </c>
      <c r="N43" s="81">
        <f t="shared" si="3"/>
        <v>514788.93763315724</v>
      </c>
      <c r="O43" s="81">
        <f>('Exhibit B,2'!U25-'Exhibit B,2'!O25)+('Exhibit B,2'!U53-'Exhibit B,2'!O53)</f>
        <v>2287950.8339251433</v>
      </c>
      <c r="P43" s="81"/>
      <c r="Q43" s="81"/>
      <c r="R43" s="81"/>
      <c r="S43" s="81">
        <f>'AD14'!S83</f>
        <v>24812.550922200146</v>
      </c>
      <c r="T43" s="87"/>
      <c r="U43" s="81"/>
      <c r="V43" s="81"/>
      <c r="W43" s="81"/>
    </row>
    <row r="44" spans="1:23">
      <c r="A44" s="6"/>
      <c r="B44" s="81"/>
      <c r="C44" s="17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7"/>
      <c r="U44" s="81"/>
      <c r="V44" s="81"/>
      <c r="W44" s="81"/>
    </row>
    <row r="45" spans="1:23">
      <c r="A45" s="6" t="s">
        <v>0</v>
      </c>
      <c r="B45" s="82">
        <f>SUM(B15:B43)</f>
        <v>0</v>
      </c>
      <c r="C45" s="82">
        <f>SUM(C15:C43)</f>
        <v>0</v>
      </c>
      <c r="D45" s="82">
        <f t="shared" ref="D45:S45" si="4">SUM(D15:D43)</f>
        <v>0</v>
      </c>
      <c r="E45" s="82">
        <f t="shared" si="4"/>
        <v>0</v>
      </c>
      <c r="F45" s="82">
        <f t="shared" si="4"/>
        <v>0</v>
      </c>
      <c r="G45" s="82">
        <f t="shared" si="4"/>
        <v>0</v>
      </c>
      <c r="H45" s="82">
        <f t="shared" si="4"/>
        <v>0</v>
      </c>
      <c r="I45" s="82">
        <f t="shared" si="4"/>
        <v>0</v>
      </c>
      <c r="J45" s="82">
        <f t="shared" si="4"/>
        <v>0</v>
      </c>
      <c r="K45" s="82">
        <f t="shared" si="4"/>
        <v>0</v>
      </c>
      <c r="L45" s="82">
        <f t="shared" si="4"/>
        <v>0</v>
      </c>
      <c r="M45" s="82">
        <f t="shared" si="4"/>
        <v>3136378.1664268961</v>
      </c>
      <c r="N45" s="82">
        <f t="shared" si="4"/>
        <v>910561.40315619553</v>
      </c>
      <c r="O45" s="82">
        <f t="shared" si="4"/>
        <v>4036859.9095830917</v>
      </c>
      <c r="P45" s="82">
        <f t="shared" si="4"/>
        <v>0</v>
      </c>
      <c r="Q45" s="82">
        <f t="shared" si="4"/>
        <v>0</v>
      </c>
      <c r="R45" s="82">
        <f t="shared" si="4"/>
        <v>0</v>
      </c>
      <c r="S45" s="82">
        <f t="shared" si="4"/>
        <v>309278.64649910975</v>
      </c>
      <c r="T45" s="82">
        <f>SUM(T15:T43)</f>
        <v>0</v>
      </c>
      <c r="U45" s="82">
        <f>SUM(U15:U43)</f>
        <v>0</v>
      </c>
      <c r="V45" s="82">
        <f>SUM(V15:V43)</f>
        <v>0</v>
      </c>
      <c r="W45" s="81"/>
    </row>
    <row r="46" spans="1:23">
      <c r="A46" s="6"/>
      <c r="B46" s="6"/>
      <c r="C46" s="6"/>
      <c r="D46" s="6"/>
      <c r="E46" s="6"/>
      <c r="F46" s="6"/>
      <c r="G46" s="81"/>
      <c r="H46" s="81"/>
      <c r="I46" s="81"/>
      <c r="J46" s="99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</row>
    <row r="47" spans="1:23">
      <c r="A47" s="6"/>
      <c r="B47" s="6"/>
      <c r="C47" s="6"/>
      <c r="D47" s="6"/>
      <c r="E47" s="6"/>
      <c r="F47" s="6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</row>
    <row r="48" spans="1:23">
      <c r="A48" s="6"/>
      <c r="B48" s="6"/>
      <c r="C48" s="6"/>
      <c r="D48" s="6"/>
      <c r="E48" s="6"/>
      <c r="F48" s="6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</row>
    <row r="49" spans="1:23">
      <c r="A49" s="6" t="s">
        <v>13</v>
      </c>
      <c r="B49" s="6" t="s">
        <v>682</v>
      </c>
      <c r="C49" s="6" t="s">
        <v>682</v>
      </c>
      <c r="D49" s="6" t="s">
        <v>682</v>
      </c>
      <c r="E49" s="6" t="s">
        <v>682</v>
      </c>
      <c r="F49" s="6" t="s">
        <v>682</v>
      </c>
      <c r="G49" s="85">
        <v>0.95</v>
      </c>
      <c r="H49" s="85">
        <v>0.95</v>
      </c>
      <c r="I49" s="85">
        <v>0.95</v>
      </c>
      <c r="J49" s="85">
        <v>0.95</v>
      </c>
      <c r="K49" s="85">
        <v>0.95</v>
      </c>
      <c r="L49" s="85">
        <v>0.95</v>
      </c>
      <c r="M49" s="85">
        <v>0.95</v>
      </c>
      <c r="N49" s="85">
        <v>0.95</v>
      </c>
      <c r="O49" s="85">
        <v>0.95</v>
      </c>
      <c r="P49" s="6" t="s">
        <v>683</v>
      </c>
      <c r="Q49" s="6" t="s">
        <v>683</v>
      </c>
      <c r="R49" s="6" t="s">
        <v>683</v>
      </c>
      <c r="S49" s="83" t="s">
        <v>682</v>
      </c>
      <c r="T49" s="83" t="s">
        <v>682</v>
      </c>
      <c r="U49" s="83" t="s">
        <v>682</v>
      </c>
      <c r="V49" s="81"/>
      <c r="W49" s="86">
        <v>0.95</v>
      </c>
    </row>
    <row r="50" spans="1:23">
      <c r="A50" s="6"/>
      <c r="B50" s="27" t="s">
        <v>665</v>
      </c>
      <c r="C50" s="27" t="s">
        <v>666</v>
      </c>
      <c r="D50" s="27" t="s">
        <v>667</v>
      </c>
      <c r="E50" s="27" t="s">
        <v>665</v>
      </c>
      <c r="F50" s="27" t="s">
        <v>673</v>
      </c>
      <c r="G50" s="17"/>
      <c r="H50" s="81"/>
      <c r="I50" s="81"/>
      <c r="J50" s="81"/>
      <c r="K50" s="81"/>
      <c r="L50" s="81"/>
      <c r="M50" s="17"/>
      <c r="N50" s="83">
        <v>0.05</v>
      </c>
      <c r="O50" s="81"/>
      <c r="P50" s="81"/>
      <c r="Q50" s="81"/>
      <c r="R50" s="81" t="s">
        <v>67</v>
      </c>
      <c r="S50" s="83"/>
      <c r="T50" s="6"/>
      <c r="U50" s="6"/>
      <c r="V50" s="6" t="s">
        <v>67</v>
      </c>
      <c r="W50" s="81"/>
    </row>
    <row r="51" spans="1:23">
      <c r="A51" s="6" t="s">
        <v>3</v>
      </c>
      <c r="B51" s="27" t="s">
        <v>524</v>
      </c>
      <c r="C51" s="27" t="s">
        <v>524</v>
      </c>
      <c r="D51" s="27" t="s">
        <v>524</v>
      </c>
      <c r="E51" s="27" t="s">
        <v>528</v>
      </c>
      <c r="F51" s="27" t="s">
        <v>528</v>
      </c>
      <c r="G51" s="81" t="s">
        <v>14</v>
      </c>
      <c r="H51" s="81" t="s">
        <v>12</v>
      </c>
      <c r="I51" s="81" t="s">
        <v>14</v>
      </c>
      <c r="J51" s="81" t="s">
        <v>12</v>
      </c>
      <c r="K51" s="81" t="s">
        <v>14</v>
      </c>
      <c r="L51" s="81" t="s">
        <v>12</v>
      </c>
      <c r="M51" s="81" t="s">
        <v>381</v>
      </c>
      <c r="N51" s="81" t="s">
        <v>381</v>
      </c>
      <c r="O51" s="81" t="s">
        <v>381</v>
      </c>
      <c r="P51" s="81" t="s">
        <v>660</v>
      </c>
      <c r="Q51" s="81" t="s">
        <v>67</v>
      </c>
      <c r="R51" s="81" t="s">
        <v>662</v>
      </c>
      <c r="S51" s="6" t="s">
        <v>661</v>
      </c>
      <c r="T51" s="6" t="s">
        <v>661</v>
      </c>
      <c r="U51" s="6" t="s">
        <v>67</v>
      </c>
      <c r="V51" s="6" t="s">
        <v>663</v>
      </c>
      <c r="W51" s="6" t="s">
        <v>177</v>
      </c>
    </row>
    <row r="52" spans="1:23">
      <c r="A52" s="6" t="s">
        <v>4</v>
      </c>
      <c r="B52" s="28" t="s">
        <v>668</v>
      </c>
      <c r="C52" s="28" t="s">
        <v>669</v>
      </c>
      <c r="D52" s="28" t="s">
        <v>670</v>
      </c>
      <c r="E52" s="28" t="s">
        <v>668</v>
      </c>
      <c r="F52" s="28" t="s">
        <v>670</v>
      </c>
      <c r="G52" s="81" t="s">
        <v>0</v>
      </c>
      <c r="H52" s="81" t="s">
        <v>0</v>
      </c>
      <c r="I52" s="81" t="s">
        <v>566</v>
      </c>
      <c r="J52" s="81" t="s">
        <v>566</v>
      </c>
      <c r="K52" s="81" t="s">
        <v>567</v>
      </c>
      <c r="L52" s="81" t="s">
        <v>567</v>
      </c>
      <c r="M52" s="81" t="s">
        <v>566</v>
      </c>
      <c r="N52" s="81" t="s">
        <v>567</v>
      </c>
      <c r="O52" s="81" t="s">
        <v>0</v>
      </c>
      <c r="P52" s="81" t="s">
        <v>566</v>
      </c>
      <c r="Q52" s="81" t="s">
        <v>567</v>
      </c>
      <c r="R52" s="81" t="s">
        <v>0</v>
      </c>
      <c r="S52" s="6" t="s">
        <v>117</v>
      </c>
      <c r="T52" s="6" t="s">
        <v>14</v>
      </c>
      <c r="U52" s="6" t="s">
        <v>661</v>
      </c>
      <c r="V52" s="6" t="s">
        <v>0</v>
      </c>
      <c r="W52" s="6" t="s">
        <v>16</v>
      </c>
    </row>
    <row r="53" spans="1:23">
      <c r="A53" s="10">
        <v>-1</v>
      </c>
      <c r="B53" s="10">
        <f>A53-1</f>
        <v>-2</v>
      </c>
      <c r="C53" s="10">
        <f>B53-1</f>
        <v>-3</v>
      </c>
      <c r="D53" s="10">
        <f t="shared" ref="D53:L53" si="5">C53-1</f>
        <v>-4</v>
      </c>
      <c r="E53" s="10">
        <f t="shared" si="5"/>
        <v>-5</v>
      </c>
      <c r="F53" s="10">
        <f t="shared" si="5"/>
        <v>-6</v>
      </c>
      <c r="G53" s="10">
        <f t="shared" si="5"/>
        <v>-7</v>
      </c>
      <c r="H53" s="10">
        <f t="shared" si="5"/>
        <v>-8</v>
      </c>
      <c r="I53" s="10">
        <f t="shared" si="5"/>
        <v>-9</v>
      </c>
      <c r="J53" s="10">
        <f t="shared" si="5"/>
        <v>-10</v>
      </c>
      <c r="K53" s="10">
        <f t="shared" si="5"/>
        <v>-11</v>
      </c>
      <c r="L53" s="10">
        <f t="shared" si="5"/>
        <v>-12</v>
      </c>
      <c r="M53" s="10">
        <f>L53-1</f>
        <v>-13</v>
      </c>
      <c r="N53" s="10">
        <f t="shared" ref="N53:W53" si="6">M53-1</f>
        <v>-14</v>
      </c>
      <c r="O53" s="10">
        <f t="shared" si="6"/>
        <v>-15</v>
      </c>
      <c r="P53" s="10">
        <f t="shared" si="6"/>
        <v>-16</v>
      </c>
      <c r="Q53" s="10">
        <f t="shared" si="6"/>
        <v>-17</v>
      </c>
      <c r="R53" s="10">
        <f t="shared" si="6"/>
        <v>-18</v>
      </c>
      <c r="S53" s="10">
        <f t="shared" si="6"/>
        <v>-19</v>
      </c>
      <c r="T53" s="10">
        <f t="shared" si="6"/>
        <v>-20</v>
      </c>
      <c r="U53" s="10">
        <f t="shared" si="6"/>
        <v>-21</v>
      </c>
      <c r="V53" s="10">
        <f t="shared" si="6"/>
        <v>-22</v>
      </c>
      <c r="W53" s="10">
        <f t="shared" si="6"/>
        <v>-23</v>
      </c>
    </row>
    <row r="54" spans="1:23">
      <c r="A54" s="80"/>
      <c r="B54" s="6"/>
      <c r="C54" s="6"/>
      <c r="D54" s="6"/>
      <c r="E54" s="6"/>
      <c r="F54" s="6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6"/>
      <c r="T54" s="6"/>
      <c r="U54" s="6"/>
      <c r="V54" s="6"/>
      <c r="W54" s="81"/>
    </row>
    <row r="55" spans="1:23">
      <c r="A55" s="6">
        <v>1992</v>
      </c>
      <c r="B55" s="2"/>
      <c r="C55" s="6"/>
      <c r="D55" s="6"/>
      <c r="E55" s="6"/>
      <c r="F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81"/>
      <c r="T55" s="81"/>
      <c r="U55" s="81">
        <f>S55+T55</f>
        <v>0</v>
      </c>
      <c r="V55" s="81">
        <f>R55+U55</f>
        <v>0</v>
      </c>
      <c r="W55" s="6"/>
    </row>
    <row r="56" spans="1:23">
      <c r="A56" s="6">
        <f>A55+1</f>
        <v>1993</v>
      </c>
      <c r="B56" s="6"/>
      <c r="C56" s="6"/>
      <c r="D56" s="6"/>
      <c r="E56" s="6"/>
      <c r="F56" s="6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>
        <f t="shared" ref="U56:U74" si="7">S56+T56</f>
        <v>0</v>
      </c>
      <c r="V56" s="81">
        <f t="shared" ref="V56:V74" si="8">R56+U56</f>
        <v>0</v>
      </c>
      <c r="W56" s="81"/>
    </row>
    <row r="57" spans="1:23">
      <c r="A57" s="6">
        <f t="shared" ref="A57:A83" si="9">A56+1</f>
        <v>1994</v>
      </c>
      <c r="B57" s="6"/>
      <c r="C57" s="6"/>
      <c r="D57" s="6"/>
      <c r="E57" s="6"/>
      <c r="F57" s="6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>
        <f t="shared" si="7"/>
        <v>0</v>
      </c>
      <c r="V57" s="81">
        <f t="shared" si="8"/>
        <v>0</v>
      </c>
      <c r="W57" s="81"/>
    </row>
    <row r="58" spans="1:23">
      <c r="A58" s="6">
        <f t="shared" si="9"/>
        <v>1995</v>
      </c>
      <c r="B58" s="6"/>
      <c r="C58" s="6"/>
      <c r="D58" s="6"/>
      <c r="E58" s="6"/>
      <c r="F58" s="6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>
        <f t="shared" si="7"/>
        <v>0</v>
      </c>
      <c r="V58" s="81">
        <f t="shared" si="8"/>
        <v>0</v>
      </c>
      <c r="W58" s="81"/>
    </row>
    <row r="59" spans="1:23">
      <c r="A59" s="6">
        <f t="shared" si="9"/>
        <v>1996</v>
      </c>
      <c r="B59" s="6"/>
      <c r="C59" s="6"/>
      <c r="D59" s="6"/>
      <c r="E59" s="6"/>
      <c r="F59" s="6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>
        <f t="shared" si="7"/>
        <v>0</v>
      </c>
      <c r="V59" s="81">
        <f t="shared" si="8"/>
        <v>0</v>
      </c>
      <c r="W59" s="81"/>
    </row>
    <row r="60" spans="1:23">
      <c r="A60" s="6">
        <f t="shared" si="9"/>
        <v>1997</v>
      </c>
      <c r="B60" s="6"/>
      <c r="C60" s="6"/>
      <c r="D60" s="6"/>
      <c r="E60" s="6"/>
      <c r="F60" s="6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>
        <f t="shared" si="7"/>
        <v>0</v>
      </c>
      <c r="V60" s="81">
        <f t="shared" si="8"/>
        <v>0</v>
      </c>
      <c r="W60" s="81"/>
    </row>
    <row r="61" spans="1:23">
      <c r="A61" s="6">
        <f t="shared" si="9"/>
        <v>1998</v>
      </c>
      <c r="B61" s="6"/>
      <c r="C61" s="6"/>
      <c r="D61" s="6"/>
      <c r="E61" s="6"/>
      <c r="F61" s="6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>
        <f t="shared" si="7"/>
        <v>0</v>
      </c>
      <c r="V61" s="81">
        <f t="shared" si="8"/>
        <v>0</v>
      </c>
      <c r="W61" s="81"/>
    </row>
    <row r="62" spans="1:23">
      <c r="A62" s="6">
        <f t="shared" si="9"/>
        <v>1999</v>
      </c>
      <c r="B62" s="6"/>
      <c r="C62" s="6"/>
      <c r="D62" s="6"/>
      <c r="E62" s="6"/>
      <c r="F62" s="6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>
        <f t="shared" si="7"/>
        <v>0</v>
      </c>
      <c r="V62" s="81">
        <f t="shared" si="8"/>
        <v>0</v>
      </c>
      <c r="W62" s="81"/>
    </row>
    <row r="63" spans="1:23">
      <c r="A63" s="6">
        <f t="shared" si="9"/>
        <v>2000</v>
      </c>
      <c r="B63" s="6"/>
      <c r="C63" s="6"/>
      <c r="D63" s="6"/>
      <c r="E63" s="6"/>
      <c r="F63" s="6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>
        <f t="shared" si="7"/>
        <v>0</v>
      </c>
      <c r="V63" s="81">
        <f t="shared" si="8"/>
        <v>0</v>
      </c>
      <c r="W63" s="81"/>
    </row>
    <row r="64" spans="1:23">
      <c r="A64" s="6">
        <f t="shared" si="9"/>
        <v>2001</v>
      </c>
      <c r="B64" s="6"/>
      <c r="C64" s="6"/>
      <c r="D64" s="6"/>
      <c r="E64" s="6"/>
      <c r="F64" s="6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>
        <f t="shared" si="7"/>
        <v>0</v>
      </c>
      <c r="V64" s="81">
        <f t="shared" si="8"/>
        <v>0</v>
      </c>
      <c r="W64" s="81"/>
    </row>
    <row r="65" spans="1:23">
      <c r="A65" s="6">
        <f t="shared" si="9"/>
        <v>2002</v>
      </c>
      <c r="B65" s="6"/>
      <c r="C65" s="6"/>
      <c r="D65" s="6"/>
      <c r="E65" s="6"/>
      <c r="F65" s="6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>
        <f t="shared" si="7"/>
        <v>0</v>
      </c>
      <c r="V65" s="81">
        <f t="shared" si="8"/>
        <v>0</v>
      </c>
      <c r="W65" s="81"/>
    </row>
    <row r="66" spans="1:23">
      <c r="A66" s="6">
        <f t="shared" si="9"/>
        <v>2003</v>
      </c>
      <c r="B66" s="6"/>
      <c r="C66" s="6"/>
      <c r="D66" s="6"/>
      <c r="E66" s="6"/>
      <c r="F66" s="6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>
        <f t="shared" si="7"/>
        <v>0</v>
      </c>
      <c r="V66" s="81">
        <f t="shared" si="8"/>
        <v>0</v>
      </c>
      <c r="W66" s="81"/>
    </row>
    <row r="67" spans="1:23">
      <c r="A67" s="6">
        <f t="shared" si="9"/>
        <v>2004</v>
      </c>
      <c r="B67" s="6"/>
      <c r="C67" s="6"/>
      <c r="D67" s="6"/>
      <c r="E67" s="6"/>
      <c r="F67" s="6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>
        <f t="shared" si="7"/>
        <v>0</v>
      </c>
      <c r="V67" s="81">
        <f t="shared" si="8"/>
        <v>0</v>
      </c>
      <c r="W67" s="81"/>
    </row>
    <row r="68" spans="1:23">
      <c r="A68" s="6">
        <f t="shared" si="9"/>
        <v>2005</v>
      </c>
      <c r="B68" s="6"/>
      <c r="C68" s="6"/>
      <c r="D68" s="6"/>
      <c r="E68" s="6"/>
      <c r="F68" s="6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>
        <f t="shared" si="7"/>
        <v>0</v>
      </c>
      <c r="V68" s="81">
        <f t="shared" si="8"/>
        <v>0</v>
      </c>
      <c r="W68" s="81"/>
    </row>
    <row r="69" spans="1:23">
      <c r="A69" s="6">
        <f t="shared" si="9"/>
        <v>2006</v>
      </c>
      <c r="B69" s="6"/>
      <c r="C69" s="6"/>
      <c r="D69" s="6"/>
      <c r="E69" s="6"/>
      <c r="F69" s="6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>
        <f t="shared" si="7"/>
        <v>0</v>
      </c>
      <c r="V69" s="81">
        <f t="shared" si="8"/>
        <v>0</v>
      </c>
      <c r="W69" s="81"/>
    </row>
    <row r="70" spans="1:23">
      <c r="A70" s="6">
        <f t="shared" si="9"/>
        <v>2007</v>
      </c>
      <c r="B70" s="6"/>
      <c r="C70" s="6"/>
      <c r="D70" s="6"/>
      <c r="E70" s="6"/>
      <c r="F70" s="6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>
        <f t="shared" si="7"/>
        <v>0</v>
      </c>
      <c r="V70" s="81">
        <f t="shared" si="8"/>
        <v>0</v>
      </c>
      <c r="W70" s="81"/>
    </row>
    <row r="71" spans="1:23">
      <c r="A71" s="6">
        <f t="shared" si="9"/>
        <v>2008</v>
      </c>
      <c r="B71" s="6"/>
      <c r="C71" s="6"/>
      <c r="D71" s="6"/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>
        <f t="shared" si="7"/>
        <v>0</v>
      </c>
      <c r="V71" s="81">
        <f t="shared" si="8"/>
        <v>0</v>
      </c>
      <c r="W71" s="81"/>
    </row>
    <row r="72" spans="1:23">
      <c r="A72" s="6">
        <f t="shared" si="9"/>
        <v>2009</v>
      </c>
      <c r="B72" s="6"/>
      <c r="C72" s="6"/>
      <c r="D72" s="6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>
        <f t="shared" si="7"/>
        <v>0</v>
      </c>
      <c r="V72" s="81">
        <f t="shared" si="8"/>
        <v>0</v>
      </c>
      <c r="W72" s="81"/>
    </row>
    <row r="73" spans="1:23">
      <c r="A73" s="6">
        <f t="shared" si="9"/>
        <v>2010</v>
      </c>
      <c r="B73" s="95"/>
      <c r="C73" s="95"/>
      <c r="D73" s="95"/>
      <c r="E73" s="17"/>
      <c r="F73" s="1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>
        <f t="shared" si="7"/>
        <v>0</v>
      </c>
      <c r="V73" s="81">
        <f t="shared" si="8"/>
        <v>0</v>
      </c>
      <c r="W73" s="81"/>
    </row>
    <row r="74" spans="1:23">
      <c r="A74" s="6">
        <f t="shared" si="9"/>
        <v>2011</v>
      </c>
      <c r="B74" s="95"/>
      <c r="C74" s="95"/>
      <c r="D74" s="95"/>
      <c r="E74" s="17"/>
      <c r="F74" s="1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>
        <f>T34-T114</f>
        <v>0</v>
      </c>
      <c r="U74" s="81">
        <f t="shared" si="7"/>
        <v>0</v>
      </c>
      <c r="V74" s="81">
        <f t="shared" si="8"/>
        <v>0</v>
      </c>
      <c r="W74" s="81"/>
    </row>
    <row r="75" spans="1:23">
      <c r="A75" s="6">
        <f t="shared" si="9"/>
        <v>2012</v>
      </c>
      <c r="B75" s="95"/>
      <c r="C75" s="95"/>
      <c r="D75" s="95"/>
      <c r="E75" s="95"/>
      <c r="F75" s="95"/>
      <c r="G75" s="81"/>
      <c r="H75" s="81"/>
      <c r="I75" s="81"/>
      <c r="J75" s="81"/>
      <c r="K75" s="81"/>
      <c r="L75" s="81"/>
      <c r="M75" s="81">
        <f>'AD12'!M35</f>
        <v>-6524.1026750000001</v>
      </c>
      <c r="N75" s="81">
        <f>'AD12'!N35</f>
        <v>-1894.094325</v>
      </c>
      <c r="O75" s="81">
        <f>'AD12'!O35</f>
        <v>-8418.1970000000001</v>
      </c>
      <c r="P75" s="81"/>
      <c r="Q75" s="81"/>
      <c r="R75" s="81"/>
      <c r="S75" s="81">
        <f>S35</f>
        <v>163.86140806477792</v>
      </c>
      <c r="T75" s="81"/>
      <c r="U75" s="81"/>
      <c r="V75" s="81"/>
      <c r="W75" s="81"/>
    </row>
    <row r="76" spans="1:23">
      <c r="A76" s="6">
        <f t="shared" si="9"/>
        <v>2013</v>
      </c>
      <c r="B76" s="95"/>
      <c r="C76" s="95"/>
      <c r="D76" s="95"/>
      <c r="E76" s="95"/>
      <c r="F76" s="95"/>
      <c r="G76" s="81"/>
      <c r="H76" s="81"/>
      <c r="I76" s="81"/>
      <c r="J76" s="81"/>
      <c r="K76" s="81"/>
      <c r="L76" s="81"/>
      <c r="M76" s="81">
        <f>'AD12'!M36</f>
        <v>-3065091.5024280492</v>
      </c>
      <c r="N76" s="81">
        <f>'AD12'!N36</f>
        <v>-889865.27489846596</v>
      </c>
      <c r="O76" s="81">
        <f>'AD12'!O36</f>
        <v>-3954956.7773265154</v>
      </c>
      <c r="P76" s="81"/>
      <c r="Q76" s="81"/>
      <c r="R76" s="81"/>
      <c r="S76" s="81">
        <f t="shared" ref="S76:S83" si="10">S36</f>
        <v>75440.165493881243</v>
      </c>
      <c r="T76" s="81"/>
      <c r="U76" s="81"/>
      <c r="V76" s="81"/>
      <c r="W76" s="81"/>
    </row>
    <row r="77" spans="1:23">
      <c r="A77" s="6">
        <f t="shared" si="9"/>
        <v>2014</v>
      </c>
      <c r="B77" s="95"/>
      <c r="C77" s="95"/>
      <c r="D77" s="95"/>
      <c r="E77" s="95"/>
      <c r="F77" s="95"/>
      <c r="G77" s="81"/>
      <c r="H77" s="81"/>
      <c r="I77" s="81"/>
      <c r="J77" s="81"/>
      <c r="K77" s="81"/>
      <c r="L77" s="81"/>
      <c r="M77" s="81">
        <f>'AD12'!M37</f>
        <v>-5024431.0971064642</v>
      </c>
      <c r="N77" s="81">
        <f>'AD12'!N37</f>
        <v>-1458705.8023857479</v>
      </c>
      <c r="O77" s="81">
        <f>'AD12'!O37</f>
        <v>-6483136.8994922126</v>
      </c>
      <c r="P77" s="81"/>
      <c r="Q77" s="81"/>
      <c r="R77" s="81"/>
      <c r="S77" s="81">
        <f t="shared" si="10"/>
        <v>50242.473433668529</v>
      </c>
      <c r="T77" s="81"/>
      <c r="U77" s="81"/>
      <c r="V77" s="81"/>
      <c r="W77" s="81"/>
    </row>
    <row r="78" spans="1:23">
      <c r="A78" s="6">
        <f t="shared" si="9"/>
        <v>2015</v>
      </c>
      <c r="B78" s="95"/>
      <c r="C78" s="95"/>
      <c r="D78" s="95"/>
      <c r="E78" s="95"/>
      <c r="F78" s="95"/>
      <c r="G78" s="81"/>
      <c r="H78" s="81"/>
      <c r="I78" s="81"/>
      <c r="J78" s="81"/>
      <c r="K78" s="81"/>
      <c r="L78" s="81"/>
      <c r="M78" s="81">
        <f>'AD12'!M38</f>
        <v>-1958758.6234519146</v>
      </c>
      <c r="N78" s="81">
        <f>'AD12'!N38</f>
        <v>-568671.85842152359</v>
      </c>
      <c r="O78" s="81">
        <f>'AD12'!O38</f>
        <v>-2527430.4818734382</v>
      </c>
      <c r="P78" s="81"/>
      <c r="Q78" s="81"/>
      <c r="R78" s="81"/>
      <c r="S78" s="81">
        <f t="shared" si="10"/>
        <v>56239.948906055157</v>
      </c>
      <c r="T78" s="81"/>
      <c r="U78" s="81"/>
      <c r="V78" s="81"/>
      <c r="W78" s="81"/>
    </row>
    <row r="79" spans="1:23">
      <c r="A79" s="6">
        <f t="shared" si="9"/>
        <v>2016</v>
      </c>
      <c r="B79" s="95"/>
      <c r="C79" s="95"/>
      <c r="D79" s="95"/>
      <c r="E79" s="95"/>
      <c r="F79" s="95"/>
      <c r="G79" s="81"/>
      <c r="H79" s="81"/>
      <c r="I79" s="81"/>
      <c r="J79" s="81"/>
      <c r="K79" s="81"/>
      <c r="L79" s="81"/>
      <c r="M79" s="81">
        <f>'AD12'!M39</f>
        <v>-3336533.7689276556</v>
      </c>
      <c r="N79" s="81">
        <f>'AD12'!N39</f>
        <v>-968671.09420480335</v>
      </c>
      <c r="O79" s="81">
        <f>'AD12'!O39</f>
        <v>-4305204.8631324591</v>
      </c>
      <c r="P79" s="81"/>
      <c r="Q79" s="81"/>
      <c r="R79" s="81"/>
      <c r="S79" s="81">
        <f t="shared" si="10"/>
        <v>37065.370094404556</v>
      </c>
      <c r="T79" s="81"/>
      <c r="U79" s="81"/>
      <c r="V79" s="81"/>
      <c r="W79" s="81"/>
    </row>
    <row r="80" spans="1:23">
      <c r="A80" s="6">
        <f t="shared" si="9"/>
        <v>2017</v>
      </c>
      <c r="B80" s="95"/>
      <c r="C80" s="95"/>
      <c r="D80" s="95"/>
      <c r="E80" s="95"/>
      <c r="F80" s="95"/>
      <c r="G80" s="81"/>
      <c r="H80" s="81"/>
      <c r="I80" s="81"/>
      <c r="J80" s="81"/>
      <c r="K80" s="81"/>
      <c r="L80" s="81"/>
      <c r="M80" s="81">
        <f>'AD12'!M40</f>
        <v>-1029931.5663769902</v>
      </c>
      <c r="N80" s="81">
        <f>'AD12'!N40</f>
        <v>-299012.39023848105</v>
      </c>
      <c r="O80" s="81">
        <f>'AD12'!O40</f>
        <v>-1328943.9566154713</v>
      </c>
      <c r="P80" s="81"/>
      <c r="Q80" s="81"/>
      <c r="R80" s="81"/>
      <c r="S80" s="81">
        <f t="shared" si="10"/>
        <v>6761.4082128622676</v>
      </c>
      <c r="T80" s="81"/>
      <c r="U80" s="81"/>
      <c r="V80" s="81"/>
      <c r="W80" s="81"/>
    </row>
    <row r="81" spans="1:23">
      <c r="A81" s="6">
        <f t="shared" si="9"/>
        <v>2018</v>
      </c>
      <c r="B81" s="95"/>
      <c r="C81" s="95"/>
      <c r="D81" s="95"/>
      <c r="E81" s="95"/>
      <c r="F81" s="95"/>
      <c r="G81" s="81"/>
      <c r="H81" s="81"/>
      <c r="I81" s="81"/>
      <c r="J81" s="81"/>
      <c r="K81" s="81"/>
      <c r="L81" s="81"/>
      <c r="M81" s="81">
        <f>'AD12'!M41</f>
        <v>2668311.4586479128</v>
      </c>
      <c r="N81" s="81">
        <f>'AD12'!N41</f>
        <v>774671.0686397166</v>
      </c>
      <c r="O81" s="81">
        <f>'AD12'!O41</f>
        <v>3442982.5272876294</v>
      </c>
      <c r="P81" s="81"/>
      <c r="Q81" s="81"/>
      <c r="R81" s="81"/>
      <c r="S81" s="81">
        <f t="shared" si="10"/>
        <v>45969.632755947721</v>
      </c>
      <c r="T81" s="81"/>
      <c r="U81" s="81"/>
      <c r="V81" s="81"/>
      <c r="W81" s="81"/>
    </row>
    <row r="82" spans="1:23">
      <c r="A82" s="6">
        <f t="shared" si="9"/>
        <v>2019</v>
      </c>
      <c r="B82" s="95"/>
      <c r="C82" s="95"/>
      <c r="D82" s="95"/>
      <c r="E82" s="95"/>
      <c r="F82" s="95"/>
      <c r="G82" s="81"/>
      <c r="H82" s="81"/>
      <c r="I82" s="81"/>
      <c r="J82" s="81"/>
      <c r="K82" s="81"/>
      <c r="L82" s="81"/>
      <c r="M82" s="81">
        <f>'AD12'!M42</f>
        <v>-505255.68044116953</v>
      </c>
      <c r="N82" s="81">
        <f>'AD12'!N42</f>
        <v>-146687.13303130728</v>
      </c>
      <c r="O82" s="81">
        <f>'AD12'!O42</f>
        <v>-651942.81347247679</v>
      </c>
      <c r="P82" s="81"/>
      <c r="Q82" s="81"/>
      <c r="R82" s="81"/>
      <c r="S82" s="81">
        <f t="shared" si="10"/>
        <v>12583.235272025366</v>
      </c>
      <c r="T82" s="81"/>
      <c r="U82" s="81"/>
      <c r="V82" s="81"/>
      <c r="W82" s="81"/>
    </row>
    <row r="83" spans="1:23">
      <c r="A83" s="6">
        <f t="shared" si="9"/>
        <v>2020</v>
      </c>
      <c r="B83" s="95"/>
      <c r="C83" s="95"/>
      <c r="D83" s="95"/>
      <c r="E83" s="95"/>
      <c r="F83" s="95"/>
      <c r="G83" s="81"/>
      <c r="H83" s="81"/>
      <c r="I83" s="81"/>
      <c r="J83" s="81"/>
      <c r="K83" s="81"/>
      <c r="L83" s="81"/>
      <c r="M83" s="81">
        <f>'AD12'!M43</f>
        <v>929603.31526488648</v>
      </c>
      <c r="N83" s="81">
        <f>'AD12'!N43</f>
        <v>269884.83346399927</v>
      </c>
      <c r="O83" s="81">
        <f>'AD12'!O43</f>
        <v>1199488.1487288857</v>
      </c>
      <c r="P83" s="81"/>
      <c r="Q83" s="81"/>
      <c r="R83" s="81"/>
      <c r="S83" s="81">
        <f t="shared" si="10"/>
        <v>24812.550922200146</v>
      </c>
      <c r="T83" s="81"/>
      <c r="U83" s="81"/>
      <c r="V83" s="81"/>
      <c r="W83" s="81"/>
    </row>
    <row r="84" spans="1:23">
      <c r="A84" s="6"/>
      <c r="B84" s="6"/>
      <c r="C84" s="6"/>
      <c r="D84" s="6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>
        <f>'AD12'!O44</f>
        <v>0</v>
      </c>
      <c r="P84" s="81"/>
      <c r="Q84" s="81"/>
      <c r="R84" s="81"/>
      <c r="S84" s="81"/>
      <c r="T84" s="81"/>
      <c r="U84" s="81"/>
      <c r="V84" s="81"/>
      <c r="W84" s="81"/>
    </row>
    <row r="85" spans="1:23">
      <c r="A85" s="6" t="s">
        <v>0</v>
      </c>
      <c r="B85" s="82">
        <f>SUM(B55:B83)</f>
        <v>0</v>
      </c>
      <c r="C85" s="82">
        <f>SUM(C55:C83)</f>
        <v>0</v>
      </c>
      <c r="D85" s="82">
        <f t="shared" ref="D85:V85" si="11">SUM(D55:D83)</f>
        <v>0</v>
      </c>
      <c r="E85" s="82">
        <f t="shared" si="11"/>
        <v>0</v>
      </c>
      <c r="F85" s="82">
        <f t="shared" si="11"/>
        <v>0</v>
      </c>
      <c r="G85" s="82">
        <f t="shared" si="11"/>
        <v>0</v>
      </c>
      <c r="H85" s="82">
        <f t="shared" si="11"/>
        <v>0</v>
      </c>
      <c r="I85" s="82">
        <f t="shared" si="11"/>
        <v>0</v>
      </c>
      <c r="J85" s="82">
        <f t="shared" si="11"/>
        <v>0</v>
      </c>
      <c r="K85" s="82">
        <f t="shared" si="11"/>
        <v>0</v>
      </c>
      <c r="L85" s="82">
        <f t="shared" si="11"/>
        <v>0</v>
      </c>
      <c r="M85" s="82">
        <f t="shared" si="11"/>
        <v>-11328611.567494445</v>
      </c>
      <c r="N85" s="82">
        <f t="shared" si="11"/>
        <v>-3288951.7454016129</v>
      </c>
      <c r="O85" s="82">
        <f t="shared" si="11"/>
        <v>-14617563.312896058</v>
      </c>
      <c r="P85" s="82">
        <f t="shared" si="11"/>
        <v>0</v>
      </c>
      <c r="Q85" s="82">
        <f t="shared" si="11"/>
        <v>0</v>
      </c>
      <c r="R85" s="82">
        <f t="shared" si="11"/>
        <v>0</v>
      </c>
      <c r="S85" s="82">
        <f t="shared" si="11"/>
        <v>309278.64649910975</v>
      </c>
      <c r="T85" s="82">
        <f t="shared" si="11"/>
        <v>0</v>
      </c>
      <c r="U85" s="82">
        <f t="shared" si="11"/>
        <v>0</v>
      </c>
      <c r="V85" s="82">
        <f t="shared" si="11"/>
        <v>0</v>
      </c>
      <c r="W85" s="81"/>
    </row>
    <row r="86" spans="1:23">
      <c r="A86" s="6"/>
      <c r="B86" s="6"/>
      <c r="C86" s="6"/>
      <c r="D86" s="6"/>
      <c r="E86" s="6"/>
      <c r="F86" s="6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</row>
    <row r="87" spans="1:23">
      <c r="A87" s="6"/>
      <c r="B87" s="6"/>
      <c r="C87" s="6"/>
      <c r="D87" s="6"/>
      <c r="E87" s="6"/>
      <c r="F87" s="6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</row>
    <row r="88" spans="1:23">
      <c r="A88" s="6"/>
      <c r="B88" s="6"/>
      <c r="C88" s="6"/>
      <c r="D88" s="6"/>
      <c r="E88" s="6"/>
      <c r="F88" s="6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</row>
    <row r="89" spans="1:23">
      <c r="A89" s="6" t="s">
        <v>17</v>
      </c>
      <c r="B89" s="6"/>
      <c r="C89" s="6"/>
      <c r="D89" s="6"/>
      <c r="E89" s="6"/>
      <c r="F89" s="6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</row>
    <row r="90" spans="1:23">
      <c r="A90" s="6"/>
      <c r="B90" s="27"/>
      <c r="C90" s="27"/>
      <c r="D90" s="27"/>
      <c r="E90" s="27"/>
      <c r="F90" s="27"/>
      <c r="G90" s="17"/>
      <c r="H90" s="81"/>
      <c r="I90" s="81"/>
      <c r="J90" s="81"/>
      <c r="K90" s="81"/>
      <c r="L90" s="81"/>
      <c r="M90" s="17"/>
      <c r="N90" s="81"/>
      <c r="O90" s="81"/>
      <c r="P90" s="81"/>
      <c r="Q90" s="81"/>
      <c r="R90" s="81" t="s">
        <v>67</v>
      </c>
      <c r="S90" s="6"/>
      <c r="T90" s="6"/>
      <c r="U90" s="6"/>
      <c r="V90" s="6" t="s">
        <v>67</v>
      </c>
      <c r="W90" s="81"/>
    </row>
    <row r="91" spans="1:23">
      <c r="A91" s="6" t="s">
        <v>3</v>
      </c>
      <c r="B91" s="27"/>
      <c r="C91" s="27"/>
      <c r="D91" s="27"/>
      <c r="E91" s="27"/>
      <c r="F91" s="27"/>
      <c r="G91" s="81" t="s">
        <v>14</v>
      </c>
      <c r="H91" s="81" t="s">
        <v>12</v>
      </c>
      <c r="I91" s="81" t="s">
        <v>14</v>
      </c>
      <c r="J91" s="81" t="s">
        <v>12</v>
      </c>
      <c r="K91" s="81" t="s">
        <v>14</v>
      </c>
      <c r="L91" s="81" t="s">
        <v>12</v>
      </c>
      <c r="M91" s="81" t="s">
        <v>381</v>
      </c>
      <c r="N91" s="81" t="s">
        <v>381</v>
      </c>
      <c r="O91" s="81" t="s">
        <v>381</v>
      </c>
      <c r="P91" s="81" t="s">
        <v>660</v>
      </c>
      <c r="Q91" s="81" t="s">
        <v>67</v>
      </c>
      <c r="R91" s="81" t="s">
        <v>662</v>
      </c>
      <c r="S91" s="6" t="s">
        <v>661</v>
      </c>
      <c r="T91" s="6" t="s">
        <v>661</v>
      </c>
      <c r="U91" s="6" t="s">
        <v>67</v>
      </c>
      <c r="V91" s="6" t="s">
        <v>663</v>
      </c>
      <c r="W91" s="6" t="s">
        <v>177</v>
      </c>
    </row>
    <row r="92" spans="1:23">
      <c r="A92" s="6" t="s">
        <v>4</v>
      </c>
      <c r="B92" s="28"/>
      <c r="C92" s="28"/>
      <c r="D92" s="28"/>
      <c r="E92" s="28"/>
      <c r="F92" s="28"/>
      <c r="G92" s="81" t="s">
        <v>0</v>
      </c>
      <c r="H92" s="81" t="s">
        <v>0</v>
      </c>
      <c r="I92" s="81" t="s">
        <v>566</v>
      </c>
      <c r="J92" s="81" t="s">
        <v>566</v>
      </c>
      <c r="K92" s="81" t="s">
        <v>567</v>
      </c>
      <c r="L92" s="81" t="s">
        <v>567</v>
      </c>
      <c r="M92" s="81" t="s">
        <v>566</v>
      </c>
      <c r="N92" s="81" t="s">
        <v>567</v>
      </c>
      <c r="O92" s="81" t="s">
        <v>0</v>
      </c>
      <c r="P92" s="81" t="s">
        <v>566</v>
      </c>
      <c r="Q92" s="81" t="s">
        <v>567</v>
      </c>
      <c r="R92" s="81" t="s">
        <v>0</v>
      </c>
      <c r="S92" s="6" t="s">
        <v>117</v>
      </c>
      <c r="T92" s="6" t="s">
        <v>14</v>
      </c>
      <c r="U92" s="6" t="s">
        <v>661</v>
      </c>
      <c r="V92" s="6" t="s">
        <v>0</v>
      </c>
      <c r="W92" s="6" t="s">
        <v>16</v>
      </c>
    </row>
    <row r="93" spans="1:23">
      <c r="A93" s="10">
        <v>-1</v>
      </c>
      <c r="B93" s="10">
        <f>A93-1</f>
        <v>-2</v>
      </c>
      <c r="C93" s="10">
        <f>B93-1</f>
        <v>-3</v>
      </c>
      <c r="D93" s="10">
        <f t="shared" ref="D93:L93" si="12">C93-1</f>
        <v>-4</v>
      </c>
      <c r="E93" s="10">
        <f t="shared" si="12"/>
        <v>-5</v>
      </c>
      <c r="F93" s="10">
        <f t="shared" si="12"/>
        <v>-6</v>
      </c>
      <c r="G93" s="10">
        <f t="shared" si="12"/>
        <v>-7</v>
      </c>
      <c r="H93" s="10">
        <f t="shared" si="12"/>
        <v>-8</v>
      </c>
      <c r="I93" s="10">
        <f t="shared" si="12"/>
        <v>-9</v>
      </c>
      <c r="J93" s="10">
        <f t="shared" si="12"/>
        <v>-10</v>
      </c>
      <c r="K93" s="10">
        <f t="shared" si="12"/>
        <v>-11</v>
      </c>
      <c r="L93" s="10">
        <f t="shared" si="12"/>
        <v>-12</v>
      </c>
      <c r="M93" s="10">
        <f>L93-1</f>
        <v>-13</v>
      </c>
      <c r="N93" s="10">
        <f t="shared" ref="N93:W93" si="13">M93-1</f>
        <v>-14</v>
      </c>
      <c r="O93" s="10">
        <f t="shared" si="13"/>
        <v>-15</v>
      </c>
      <c r="P93" s="10">
        <f t="shared" si="13"/>
        <v>-16</v>
      </c>
      <c r="Q93" s="10">
        <f t="shared" si="13"/>
        <v>-17</v>
      </c>
      <c r="R93" s="10">
        <f t="shared" si="13"/>
        <v>-18</v>
      </c>
      <c r="S93" s="10">
        <f t="shared" si="13"/>
        <v>-19</v>
      </c>
      <c r="T93" s="10">
        <f t="shared" si="13"/>
        <v>-20</v>
      </c>
      <c r="U93" s="10">
        <f t="shared" si="13"/>
        <v>-21</v>
      </c>
      <c r="V93" s="10">
        <f t="shared" si="13"/>
        <v>-22</v>
      </c>
      <c r="W93" s="10">
        <f t="shared" si="13"/>
        <v>-23</v>
      </c>
    </row>
    <row r="94" spans="1:23">
      <c r="A94" s="80"/>
      <c r="B94" s="80"/>
      <c r="C94" s="6"/>
      <c r="D94" s="6"/>
      <c r="E94" s="6"/>
      <c r="F94" s="6"/>
      <c r="G94" s="17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6"/>
      <c r="T94" s="6"/>
      <c r="U94" s="6"/>
      <c r="V94" s="6"/>
      <c r="W94" s="81"/>
    </row>
    <row r="95" spans="1:23">
      <c r="A95" s="6">
        <v>1992</v>
      </c>
      <c r="B95" s="6"/>
      <c r="C95" s="6"/>
      <c r="D95" s="6"/>
      <c r="E95" s="6"/>
      <c r="F95" s="6"/>
      <c r="G95" s="81"/>
      <c r="H95" s="81"/>
      <c r="I95" s="81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</row>
    <row r="96" spans="1:23">
      <c r="A96" s="6">
        <f>A95+1</f>
        <v>1993</v>
      </c>
      <c r="B96" s="6"/>
      <c r="C96" s="6"/>
      <c r="D96" s="6"/>
      <c r="E96" s="6"/>
      <c r="F96" s="6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</row>
    <row r="97" spans="1:23">
      <c r="A97" s="6">
        <f t="shared" ref="A97:A123" si="14">A96+1</f>
        <v>1994</v>
      </c>
      <c r="B97" s="6"/>
      <c r="C97" s="6"/>
      <c r="D97" s="6"/>
      <c r="E97" s="6"/>
      <c r="F97" s="6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</row>
    <row r="98" spans="1:23">
      <c r="A98" s="6">
        <f t="shared" si="14"/>
        <v>1995</v>
      </c>
      <c r="B98" s="6"/>
      <c r="C98" s="6"/>
      <c r="D98" s="6"/>
      <c r="E98" s="6"/>
      <c r="F98" s="6"/>
      <c r="G98" s="81"/>
      <c r="H98" s="81"/>
      <c r="I98" s="81"/>
      <c r="J98" s="81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1"/>
    </row>
    <row r="99" spans="1:23">
      <c r="A99" s="6">
        <f t="shared" si="14"/>
        <v>1996</v>
      </c>
      <c r="B99" s="6"/>
      <c r="C99" s="6"/>
      <c r="D99" s="6"/>
      <c r="E99" s="6"/>
      <c r="F99" s="6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</row>
    <row r="100" spans="1:23">
      <c r="A100" s="6">
        <f t="shared" si="14"/>
        <v>1997</v>
      </c>
      <c r="B100" s="6"/>
      <c r="C100" s="6"/>
      <c r="D100" s="6"/>
      <c r="E100" s="6"/>
      <c r="F100" s="6"/>
      <c r="G100" s="81"/>
      <c r="H100" s="81"/>
      <c r="I100" s="81"/>
      <c r="J100" s="81"/>
      <c r="K100" s="81"/>
      <c r="L100" s="81"/>
      <c r="M100" s="81"/>
      <c r="N100" s="81"/>
      <c r="O100" s="81"/>
      <c r="P100" s="81"/>
      <c r="Q100" s="81"/>
      <c r="R100" s="81"/>
      <c r="S100" s="81"/>
      <c r="T100" s="81"/>
      <c r="U100" s="81"/>
      <c r="V100" s="81"/>
      <c r="W100" s="81"/>
    </row>
    <row r="101" spans="1:23">
      <c r="A101" s="6">
        <f t="shared" si="14"/>
        <v>1998</v>
      </c>
      <c r="B101" s="6"/>
      <c r="C101" s="6"/>
      <c r="D101" s="6"/>
      <c r="E101" s="6"/>
      <c r="F101" s="6"/>
      <c r="G101" s="81"/>
      <c r="H101" s="81"/>
      <c r="I101" s="81"/>
      <c r="J101" s="81"/>
      <c r="K101" s="81"/>
      <c r="L101" s="81"/>
      <c r="M101" s="81"/>
      <c r="N101" s="81"/>
      <c r="O101" s="81"/>
      <c r="P101" s="81"/>
      <c r="Q101" s="81"/>
      <c r="R101" s="81"/>
      <c r="S101" s="81"/>
      <c r="T101" s="81"/>
      <c r="U101" s="81"/>
      <c r="V101" s="81"/>
      <c r="W101" s="81"/>
    </row>
    <row r="102" spans="1:23">
      <c r="A102" s="6">
        <f t="shared" si="14"/>
        <v>1999</v>
      </c>
      <c r="B102" s="6"/>
      <c r="C102" s="6"/>
      <c r="D102" s="6"/>
      <c r="E102" s="6"/>
      <c r="F102" s="6"/>
      <c r="G102" s="81"/>
      <c r="H102" s="81"/>
      <c r="I102" s="81"/>
      <c r="J102" s="81"/>
      <c r="K102" s="81"/>
      <c r="L102" s="81"/>
      <c r="M102" s="81"/>
      <c r="N102" s="81"/>
      <c r="O102" s="81"/>
      <c r="P102" s="81"/>
      <c r="Q102" s="81"/>
      <c r="R102" s="81"/>
      <c r="S102" s="81"/>
      <c r="T102" s="81"/>
      <c r="U102" s="81"/>
      <c r="V102" s="81"/>
      <c r="W102" s="81"/>
    </row>
    <row r="103" spans="1:23">
      <c r="A103" s="6">
        <f t="shared" si="14"/>
        <v>2000</v>
      </c>
      <c r="B103" s="6"/>
      <c r="C103" s="6"/>
      <c r="D103" s="6"/>
      <c r="E103" s="6"/>
      <c r="F103" s="6"/>
      <c r="G103" s="81"/>
      <c r="H103" s="81"/>
      <c r="I103" s="81"/>
      <c r="J103" s="81"/>
      <c r="K103" s="81"/>
      <c r="L103" s="81"/>
      <c r="M103" s="81"/>
      <c r="N103" s="81"/>
      <c r="O103" s="81"/>
      <c r="P103" s="81"/>
      <c r="Q103" s="81"/>
      <c r="R103" s="81"/>
      <c r="S103" s="81"/>
      <c r="T103" s="81"/>
      <c r="U103" s="81"/>
      <c r="V103" s="81"/>
      <c r="W103" s="81"/>
    </row>
    <row r="104" spans="1:23">
      <c r="A104" s="6">
        <f t="shared" si="14"/>
        <v>2001</v>
      </c>
      <c r="B104" s="6"/>
      <c r="C104" s="6"/>
      <c r="D104" s="6"/>
      <c r="E104" s="6"/>
      <c r="F104" s="6"/>
      <c r="G104" s="81"/>
      <c r="H104" s="81"/>
      <c r="I104" s="81"/>
      <c r="J104" s="81"/>
      <c r="K104" s="81"/>
      <c r="L104" s="81"/>
      <c r="M104" s="81"/>
      <c r="N104" s="81"/>
      <c r="O104" s="81"/>
      <c r="P104" s="81"/>
      <c r="Q104" s="81"/>
      <c r="R104" s="81"/>
      <c r="S104" s="81"/>
      <c r="T104" s="81"/>
      <c r="U104" s="81"/>
      <c r="V104" s="81"/>
      <c r="W104" s="81"/>
    </row>
    <row r="105" spans="1:23">
      <c r="A105" s="6">
        <f t="shared" si="14"/>
        <v>2002</v>
      </c>
      <c r="B105" s="6"/>
      <c r="C105" s="6"/>
      <c r="D105" s="6"/>
      <c r="E105" s="6"/>
      <c r="F105" s="6"/>
      <c r="G105" s="81"/>
      <c r="H105" s="81"/>
      <c r="I105" s="81"/>
      <c r="J105" s="81"/>
      <c r="K105" s="81"/>
      <c r="L105" s="81"/>
      <c r="M105" s="81"/>
      <c r="N105" s="81"/>
      <c r="O105" s="81"/>
      <c r="P105" s="81"/>
      <c r="Q105" s="81"/>
      <c r="R105" s="81"/>
      <c r="S105" s="81"/>
      <c r="T105" s="81"/>
      <c r="U105" s="81"/>
      <c r="V105" s="81"/>
      <c r="W105" s="81"/>
    </row>
    <row r="106" spans="1:23">
      <c r="A106" s="6">
        <f t="shared" si="14"/>
        <v>2003</v>
      </c>
      <c r="B106" s="6"/>
      <c r="C106" s="6"/>
      <c r="D106" s="6"/>
      <c r="E106" s="6"/>
      <c r="F106" s="6"/>
      <c r="G106" s="81"/>
      <c r="H106" s="81"/>
      <c r="I106" s="81"/>
      <c r="J106" s="81"/>
      <c r="K106" s="81"/>
      <c r="L106" s="81"/>
      <c r="M106" s="81"/>
      <c r="N106" s="81"/>
      <c r="O106" s="81"/>
      <c r="P106" s="81"/>
      <c r="Q106" s="81"/>
      <c r="R106" s="81"/>
      <c r="S106" s="81"/>
      <c r="T106" s="81"/>
      <c r="U106" s="81"/>
      <c r="V106" s="81"/>
      <c r="W106" s="81"/>
    </row>
    <row r="107" spans="1:23">
      <c r="A107" s="6">
        <f t="shared" si="14"/>
        <v>2004</v>
      </c>
      <c r="B107" s="6"/>
      <c r="C107" s="6"/>
      <c r="D107" s="6"/>
      <c r="E107" s="6"/>
      <c r="F107" s="6"/>
      <c r="G107" s="81"/>
      <c r="H107" s="81"/>
      <c r="I107" s="81"/>
      <c r="J107" s="81"/>
      <c r="K107" s="81"/>
      <c r="L107" s="81"/>
      <c r="M107" s="81"/>
      <c r="N107" s="81"/>
      <c r="O107" s="81"/>
      <c r="P107" s="81"/>
      <c r="Q107" s="81"/>
      <c r="R107" s="81"/>
      <c r="S107" s="81"/>
      <c r="T107" s="81"/>
      <c r="U107" s="81"/>
      <c r="V107" s="81"/>
      <c r="W107" s="81"/>
    </row>
    <row r="108" spans="1:23">
      <c r="A108" s="6">
        <f t="shared" si="14"/>
        <v>2005</v>
      </c>
      <c r="B108" s="6"/>
      <c r="C108" s="6"/>
      <c r="D108" s="6"/>
      <c r="E108" s="6"/>
      <c r="F108" s="6"/>
      <c r="G108" s="81"/>
      <c r="H108" s="81"/>
      <c r="I108" s="81"/>
      <c r="J108" s="81"/>
      <c r="K108" s="81"/>
      <c r="L108" s="81"/>
      <c r="M108" s="81"/>
      <c r="N108" s="81"/>
      <c r="O108" s="81"/>
      <c r="P108" s="81"/>
      <c r="Q108" s="81"/>
      <c r="R108" s="81"/>
      <c r="S108" s="81"/>
      <c r="T108" s="81"/>
      <c r="U108" s="81"/>
      <c r="V108" s="81"/>
      <c r="W108" s="81"/>
    </row>
    <row r="109" spans="1:23">
      <c r="A109" s="6">
        <f t="shared" si="14"/>
        <v>2006</v>
      </c>
      <c r="B109" s="6"/>
      <c r="C109" s="6"/>
      <c r="D109" s="6"/>
      <c r="E109" s="6"/>
      <c r="F109" s="6"/>
      <c r="G109" s="81"/>
      <c r="H109" s="81"/>
      <c r="I109" s="81"/>
      <c r="J109" s="81"/>
      <c r="K109" s="81"/>
      <c r="L109" s="81"/>
      <c r="M109" s="81"/>
      <c r="N109" s="81"/>
      <c r="O109" s="81"/>
      <c r="P109" s="81"/>
      <c r="Q109" s="81"/>
      <c r="R109" s="81"/>
      <c r="S109" s="81"/>
      <c r="T109" s="81"/>
      <c r="U109" s="81"/>
      <c r="V109" s="81"/>
      <c r="W109" s="81"/>
    </row>
    <row r="110" spans="1:23">
      <c r="A110" s="6">
        <f t="shared" si="14"/>
        <v>2007</v>
      </c>
      <c r="B110" s="6"/>
      <c r="C110" s="6"/>
      <c r="D110" s="6"/>
      <c r="E110" s="6"/>
      <c r="F110" s="6"/>
      <c r="G110" s="81"/>
      <c r="H110" s="81"/>
      <c r="I110" s="81"/>
      <c r="J110" s="81"/>
      <c r="K110" s="81"/>
      <c r="L110" s="81"/>
      <c r="M110" s="81"/>
      <c r="N110" s="81"/>
      <c r="O110" s="81"/>
      <c r="P110" s="81"/>
      <c r="Q110" s="81"/>
      <c r="R110" s="81"/>
      <c r="S110" s="81"/>
      <c r="T110" s="81"/>
      <c r="U110" s="81"/>
      <c r="V110" s="81"/>
      <c r="W110" s="81"/>
    </row>
    <row r="111" spans="1:23">
      <c r="A111" s="6">
        <f t="shared" si="14"/>
        <v>2008</v>
      </c>
      <c r="B111" s="6"/>
      <c r="C111" s="6"/>
      <c r="D111" s="6"/>
      <c r="E111" s="6"/>
      <c r="F111" s="6"/>
      <c r="G111" s="81"/>
      <c r="H111" s="81"/>
      <c r="I111" s="81"/>
      <c r="J111" s="81"/>
      <c r="K111" s="81"/>
      <c r="L111" s="81"/>
      <c r="M111" s="81"/>
      <c r="N111" s="81"/>
      <c r="O111" s="81"/>
      <c r="P111" s="81"/>
      <c r="Q111" s="81"/>
      <c r="R111" s="81"/>
      <c r="S111" s="81"/>
      <c r="T111" s="81"/>
      <c r="U111" s="81"/>
      <c r="V111" s="81"/>
      <c r="W111" s="81"/>
    </row>
    <row r="112" spans="1:23">
      <c r="A112" s="6">
        <f t="shared" si="14"/>
        <v>2009</v>
      </c>
      <c r="B112" s="6"/>
      <c r="C112" s="6"/>
      <c r="D112" s="6"/>
      <c r="E112" s="6"/>
      <c r="F112" s="6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1"/>
      <c r="W112" s="81"/>
    </row>
    <row r="113" spans="1:23">
      <c r="A113" s="6">
        <f t="shared" si="14"/>
        <v>2010</v>
      </c>
      <c r="B113" s="6"/>
      <c r="C113" s="6"/>
      <c r="D113" s="6"/>
      <c r="E113" s="6"/>
      <c r="F113" s="6"/>
      <c r="G113" s="81"/>
      <c r="H113" s="81"/>
      <c r="I113" s="81"/>
      <c r="J113" s="81"/>
      <c r="K113" s="81"/>
      <c r="L113" s="81"/>
      <c r="M113" s="81"/>
      <c r="N113" s="81"/>
      <c r="O113" s="81"/>
      <c r="P113" s="81"/>
      <c r="Q113" s="81"/>
      <c r="R113" s="81"/>
      <c r="S113" s="81"/>
      <c r="T113" s="81"/>
      <c r="U113" s="81"/>
      <c r="V113" s="81"/>
      <c r="W113" s="81"/>
    </row>
    <row r="114" spans="1:23">
      <c r="A114" s="6">
        <f t="shared" si="14"/>
        <v>2011</v>
      </c>
      <c r="B114" s="6"/>
      <c r="C114" s="6"/>
      <c r="D114" s="6"/>
      <c r="E114" s="6"/>
      <c r="F114" s="6"/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</row>
    <row r="115" spans="1:23">
      <c r="A115" s="6">
        <f t="shared" si="14"/>
        <v>2012</v>
      </c>
      <c r="B115" s="56"/>
      <c r="C115" s="56"/>
      <c r="D115" s="56"/>
      <c r="E115" s="56"/>
      <c r="F115" s="56"/>
      <c r="G115" s="81"/>
      <c r="H115" s="81"/>
      <c r="I115" s="81"/>
      <c r="J115" s="81"/>
      <c r="K115" s="81"/>
      <c r="L115" s="81"/>
      <c r="M115" s="81">
        <f>M35-M75</f>
        <v>6524.1026750000001</v>
      </c>
      <c r="N115" s="81">
        <f>N35-N75</f>
        <v>1894.094325</v>
      </c>
      <c r="O115" s="81">
        <f>O35-O75</f>
        <v>8418.1970000000001</v>
      </c>
      <c r="P115" s="81"/>
      <c r="Q115" s="81"/>
      <c r="R115" s="81"/>
      <c r="S115" s="81">
        <f>S35-S75</f>
        <v>0</v>
      </c>
      <c r="T115" s="81"/>
      <c r="U115" s="81"/>
      <c r="V115" s="81"/>
      <c r="W115" s="81"/>
    </row>
    <row r="116" spans="1:23">
      <c r="A116" s="6">
        <f t="shared" si="14"/>
        <v>2013</v>
      </c>
      <c r="B116" s="56"/>
      <c r="C116" s="56"/>
      <c r="D116" s="56"/>
      <c r="E116" s="56"/>
      <c r="F116" s="56"/>
      <c r="G116" s="81"/>
      <c r="H116" s="81"/>
      <c r="I116" s="81"/>
      <c r="J116" s="81"/>
      <c r="K116" s="81"/>
      <c r="L116" s="81"/>
      <c r="M116" s="81">
        <f t="shared" ref="M116:N123" si="15">M36-M76</f>
        <v>3066851.173109049</v>
      </c>
      <c r="N116" s="81">
        <f t="shared" si="15"/>
        <v>890376.14703165949</v>
      </c>
      <c r="O116" s="81">
        <f t="shared" ref="O116:O123" si="16">O36-O76</f>
        <v>3957227.3201407087</v>
      </c>
      <c r="P116" s="81"/>
      <c r="Q116" s="81"/>
      <c r="R116" s="81"/>
      <c r="S116" s="81">
        <f t="shared" ref="S116:S123" si="17">S36-S76</f>
        <v>0</v>
      </c>
      <c r="T116" s="81"/>
      <c r="U116" s="81"/>
      <c r="V116" s="81"/>
      <c r="W116" s="81"/>
    </row>
    <row r="117" spans="1:23">
      <c r="A117" s="6">
        <f t="shared" si="14"/>
        <v>2014</v>
      </c>
      <c r="B117" s="56"/>
      <c r="C117" s="56"/>
      <c r="D117" s="56"/>
      <c r="E117" s="56"/>
      <c r="F117" s="56"/>
      <c r="G117" s="81"/>
      <c r="H117" s="81"/>
      <c r="I117" s="81"/>
      <c r="J117" s="81"/>
      <c r="K117" s="81"/>
      <c r="L117" s="81"/>
      <c r="M117" s="81">
        <f t="shared" si="15"/>
        <v>5034465.3235470252</v>
      </c>
      <c r="N117" s="81">
        <f t="shared" si="15"/>
        <v>1461618.9649007495</v>
      </c>
      <c r="O117" s="81">
        <f t="shared" si="16"/>
        <v>6496084.2884477749</v>
      </c>
      <c r="P117" s="81"/>
      <c r="Q117" s="81"/>
      <c r="R117" s="81"/>
      <c r="S117" s="81">
        <f t="shared" si="17"/>
        <v>0</v>
      </c>
      <c r="T117" s="81"/>
      <c r="U117" s="81"/>
      <c r="V117" s="81"/>
      <c r="W117" s="81"/>
    </row>
    <row r="118" spans="1:23">
      <c r="A118" s="6">
        <f t="shared" si="14"/>
        <v>2015</v>
      </c>
      <c r="B118" s="56"/>
      <c r="C118" s="56"/>
      <c r="D118" s="56"/>
      <c r="E118" s="56"/>
      <c r="F118" s="56"/>
      <c r="G118" s="81"/>
      <c r="H118" s="81"/>
      <c r="I118" s="81"/>
      <c r="J118" s="81"/>
      <c r="K118" s="81"/>
      <c r="L118" s="81"/>
      <c r="M118" s="81">
        <f t="shared" si="15"/>
        <v>2000731.6478709513</v>
      </c>
      <c r="N118" s="81">
        <f t="shared" si="15"/>
        <v>580857.57518834074</v>
      </c>
      <c r="O118" s="81">
        <f t="shared" si="16"/>
        <v>2581589.223059292</v>
      </c>
      <c r="P118" s="81"/>
      <c r="Q118" s="81"/>
      <c r="R118" s="81"/>
      <c r="S118" s="81">
        <f t="shared" si="17"/>
        <v>0</v>
      </c>
      <c r="T118" s="81"/>
      <c r="U118" s="81"/>
      <c r="V118" s="81"/>
      <c r="W118" s="81"/>
    </row>
    <row r="119" spans="1:23">
      <c r="A119" s="6">
        <f t="shared" si="14"/>
        <v>2016</v>
      </c>
      <c r="B119" s="56"/>
      <c r="C119" s="56"/>
      <c r="D119" s="56"/>
      <c r="E119" s="56"/>
      <c r="F119" s="56"/>
      <c r="G119" s="81"/>
      <c r="H119" s="81"/>
      <c r="I119" s="81"/>
      <c r="J119" s="81"/>
      <c r="K119" s="81"/>
      <c r="L119" s="81"/>
      <c r="M119" s="81">
        <f t="shared" si="15"/>
        <v>3407778.439530123</v>
      </c>
      <c r="N119" s="81">
        <f t="shared" si="15"/>
        <v>989355.03083132615</v>
      </c>
      <c r="O119" s="81">
        <f t="shared" si="16"/>
        <v>4397133.4703614498</v>
      </c>
      <c r="P119" s="81"/>
      <c r="Q119" s="81"/>
      <c r="R119" s="81"/>
      <c r="S119" s="81">
        <f t="shared" si="17"/>
        <v>0</v>
      </c>
      <c r="T119" s="81"/>
      <c r="U119" s="81"/>
      <c r="V119" s="81"/>
      <c r="W119" s="81"/>
    </row>
    <row r="120" spans="1:23">
      <c r="A120" s="6">
        <f t="shared" si="14"/>
        <v>2017</v>
      </c>
      <c r="B120" s="56"/>
      <c r="C120" s="56"/>
      <c r="D120" s="56"/>
      <c r="E120" s="56"/>
      <c r="F120" s="56"/>
      <c r="G120" s="81"/>
      <c r="H120" s="81"/>
      <c r="I120" s="81"/>
      <c r="J120" s="81"/>
      <c r="K120" s="81"/>
      <c r="L120" s="81"/>
      <c r="M120" s="81">
        <f t="shared" si="15"/>
        <v>1454928.0152038424</v>
      </c>
      <c r="N120" s="81">
        <f t="shared" si="15"/>
        <v>422398.45602692204</v>
      </c>
      <c r="O120" s="81">
        <f t="shared" si="16"/>
        <v>1877326.4712307644</v>
      </c>
      <c r="P120" s="81"/>
      <c r="Q120" s="81"/>
      <c r="R120" s="81"/>
      <c r="S120" s="81">
        <f t="shared" si="17"/>
        <v>0</v>
      </c>
      <c r="T120" s="81"/>
      <c r="U120" s="81"/>
      <c r="V120" s="81"/>
      <c r="W120" s="81"/>
    </row>
    <row r="121" spans="1:23">
      <c r="A121" s="6">
        <f t="shared" si="14"/>
        <v>2018</v>
      </c>
      <c r="B121" s="56"/>
      <c r="C121" s="56"/>
      <c r="D121" s="56"/>
      <c r="E121" s="56"/>
      <c r="F121" s="56"/>
      <c r="G121" s="81"/>
      <c r="H121" s="81"/>
      <c r="I121" s="81"/>
      <c r="J121" s="81"/>
      <c r="K121" s="81"/>
      <c r="L121" s="81"/>
      <c r="M121" s="81">
        <f t="shared" si="15"/>
        <v>-2246157.1600580048</v>
      </c>
      <c r="N121" s="81">
        <f t="shared" si="15"/>
        <v>-652110.14324264647</v>
      </c>
      <c r="O121" s="81">
        <f t="shared" si="16"/>
        <v>-2898267.3033006513</v>
      </c>
      <c r="P121" s="81"/>
      <c r="Q121" s="81"/>
      <c r="R121" s="81"/>
      <c r="S121" s="81">
        <f t="shared" si="17"/>
        <v>0</v>
      </c>
      <c r="T121" s="81"/>
      <c r="U121" s="81"/>
      <c r="V121" s="81"/>
      <c r="W121" s="81"/>
    </row>
    <row r="122" spans="1:23">
      <c r="A122" s="6">
        <f t="shared" si="14"/>
        <v>2019</v>
      </c>
      <c r="B122" s="56"/>
      <c r="C122" s="56"/>
      <c r="D122" s="56"/>
      <c r="E122" s="56"/>
      <c r="F122" s="56"/>
      <c r="G122" s="81"/>
      <c r="H122" s="81"/>
      <c r="I122" s="81"/>
      <c r="J122" s="81"/>
      <c r="K122" s="81"/>
      <c r="L122" s="81"/>
      <c r="M122" s="81">
        <f t="shared" si="15"/>
        <v>896309.61101625382</v>
      </c>
      <c r="N122" s="81">
        <f t="shared" si="15"/>
        <v>260218.91932729949</v>
      </c>
      <c r="O122" s="81">
        <f t="shared" si="16"/>
        <v>1156528.5303435533</v>
      </c>
      <c r="P122" s="81"/>
      <c r="Q122" s="81"/>
      <c r="R122" s="81"/>
      <c r="S122" s="81">
        <f t="shared" si="17"/>
        <v>0</v>
      </c>
      <c r="T122" s="81"/>
      <c r="U122" s="81"/>
      <c r="V122" s="81"/>
      <c r="W122" s="81"/>
    </row>
    <row r="123" spans="1:23">
      <c r="A123" s="6">
        <f t="shared" si="14"/>
        <v>2020</v>
      </c>
      <c r="B123" s="56"/>
      <c r="C123" s="56"/>
      <c r="D123" s="56"/>
      <c r="E123" s="56"/>
      <c r="F123" s="56"/>
      <c r="G123" s="81"/>
      <c r="H123" s="81"/>
      <c r="I123" s="81"/>
      <c r="J123" s="81"/>
      <c r="K123" s="81"/>
      <c r="L123" s="81"/>
      <c r="M123" s="81">
        <f t="shared" si="15"/>
        <v>843558.58102709963</v>
      </c>
      <c r="N123" s="81">
        <f t="shared" si="15"/>
        <v>244904.10416915797</v>
      </c>
      <c r="O123" s="81">
        <f t="shared" si="16"/>
        <v>1088462.6851962577</v>
      </c>
      <c r="P123" s="81"/>
      <c r="Q123" s="81"/>
      <c r="R123" s="81"/>
      <c r="S123" s="81">
        <f t="shared" si="17"/>
        <v>0</v>
      </c>
      <c r="T123" s="81"/>
      <c r="U123" s="81"/>
      <c r="V123" s="81"/>
      <c r="W123" s="81"/>
    </row>
    <row r="124" spans="1:23">
      <c r="A124" s="6"/>
      <c r="B124" s="6"/>
      <c r="D124" s="6"/>
      <c r="E124" s="6"/>
      <c r="F124" s="6"/>
      <c r="G124" s="81"/>
      <c r="H124" s="81"/>
      <c r="I124" s="81"/>
      <c r="J124" s="81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1"/>
      <c r="W124" s="81"/>
    </row>
    <row r="125" spans="1:23">
      <c r="A125" s="6" t="s">
        <v>0</v>
      </c>
      <c r="B125" s="82">
        <f>SUM(B95:B123)</f>
        <v>0</v>
      </c>
      <c r="C125" s="82">
        <f>SUM(C95:C123)</f>
        <v>0</v>
      </c>
      <c r="D125" s="82">
        <f t="shared" ref="D125:Q125" si="18">SUM(D95:D123)</f>
        <v>0</v>
      </c>
      <c r="E125" s="82">
        <f t="shared" si="18"/>
        <v>0</v>
      </c>
      <c r="F125" s="82">
        <f t="shared" si="18"/>
        <v>0</v>
      </c>
      <c r="G125" s="82">
        <f>SUM(G95:G123)</f>
        <v>0</v>
      </c>
      <c r="H125" s="82">
        <f t="shared" si="18"/>
        <v>0</v>
      </c>
      <c r="I125" s="82">
        <f t="shared" si="18"/>
        <v>0</v>
      </c>
      <c r="J125" s="82">
        <f t="shared" si="18"/>
        <v>0</v>
      </c>
      <c r="K125" s="82">
        <f t="shared" si="18"/>
        <v>0</v>
      </c>
      <c r="L125" s="82">
        <f t="shared" si="18"/>
        <v>0</v>
      </c>
      <c r="M125" s="82">
        <f t="shared" si="18"/>
        <v>14464989.73392134</v>
      </c>
      <c r="N125" s="82">
        <f t="shared" si="18"/>
        <v>4199513.1485578092</v>
      </c>
      <c r="O125" s="82">
        <f t="shared" si="18"/>
        <v>18664502.88247915</v>
      </c>
      <c r="P125" s="82">
        <f t="shared" si="18"/>
        <v>0</v>
      </c>
      <c r="Q125" s="82">
        <f t="shared" si="18"/>
        <v>0</v>
      </c>
      <c r="R125" s="82">
        <f t="shared" ref="R125:W125" si="19">SUM(R95:R123)</f>
        <v>0</v>
      </c>
      <c r="S125" s="82">
        <f t="shared" si="19"/>
        <v>0</v>
      </c>
      <c r="T125" s="82">
        <f t="shared" si="19"/>
        <v>0</v>
      </c>
      <c r="U125" s="82">
        <f t="shared" si="19"/>
        <v>0</v>
      </c>
      <c r="V125" s="82">
        <f t="shared" si="19"/>
        <v>0</v>
      </c>
      <c r="W125" s="82">
        <f t="shared" si="19"/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sheetPr codeName="Sheet109">
    <tabColor rgb="FFFF0000"/>
  </sheetPr>
  <dimension ref="A5:AJ139"/>
  <sheetViews>
    <sheetView topLeftCell="B22" workbookViewId="0">
      <selection activeCell="A6" sqref="A6"/>
    </sheetView>
  </sheetViews>
  <sheetFormatPr baseColWidth="10" defaultColWidth="8.7109375" defaultRowHeight="15"/>
  <cols>
    <col min="1" max="30" width="12.7109375" style="1" customWidth="1"/>
    <col min="31" max="16384" width="8.7109375" style="1"/>
  </cols>
  <sheetData>
    <row r="5" spans="1:23" ht="16">
      <c r="A5" s="4"/>
      <c r="B5" s="4"/>
      <c r="H5" s="4"/>
      <c r="I5" s="4"/>
      <c r="J5" s="51" t="s">
        <v>853</v>
      </c>
      <c r="K5" s="4"/>
      <c r="L5" s="4"/>
    </row>
    <row r="6" spans="1:23" ht="16">
      <c r="A6" s="4"/>
      <c r="B6" s="4"/>
      <c r="H6" s="5" t="s">
        <v>687</v>
      </c>
      <c r="I6" s="5"/>
      <c r="J6" s="5"/>
      <c r="K6" s="5"/>
      <c r="L6" s="5"/>
    </row>
    <row r="7" spans="1:23">
      <c r="J7" s="1" t="s">
        <v>658</v>
      </c>
    </row>
    <row r="8" spans="1:23">
      <c r="I8" s="6"/>
      <c r="J8" s="6" t="s">
        <v>659</v>
      </c>
      <c r="K8" s="6"/>
      <c r="L8" s="6"/>
    </row>
    <row r="9" spans="1:23">
      <c r="A9" s="6" t="s">
        <v>9</v>
      </c>
      <c r="B9" s="85">
        <v>1</v>
      </c>
      <c r="C9" s="85">
        <v>1</v>
      </c>
      <c r="D9" s="85">
        <v>1</v>
      </c>
      <c r="E9" s="85">
        <v>1</v>
      </c>
      <c r="F9" s="85">
        <v>1</v>
      </c>
      <c r="G9" s="85">
        <v>1</v>
      </c>
      <c r="H9" s="85">
        <v>1</v>
      </c>
      <c r="I9" s="85">
        <v>1</v>
      </c>
      <c r="J9" s="85">
        <v>1</v>
      </c>
      <c r="K9" s="85">
        <v>1</v>
      </c>
      <c r="L9" s="85">
        <v>1</v>
      </c>
      <c r="M9" s="83" t="s">
        <v>682</v>
      </c>
      <c r="N9" s="83" t="s">
        <v>682</v>
      </c>
      <c r="O9" s="85">
        <v>1</v>
      </c>
      <c r="P9" s="83" t="s">
        <v>682</v>
      </c>
      <c r="Q9" s="83" t="s">
        <v>682</v>
      </c>
      <c r="R9" s="83" t="s">
        <v>682</v>
      </c>
      <c r="S9" s="6" t="s">
        <v>682</v>
      </c>
      <c r="T9" s="6" t="s">
        <v>682</v>
      </c>
      <c r="U9" s="6" t="s">
        <v>682</v>
      </c>
      <c r="V9" s="3"/>
      <c r="W9" s="86">
        <v>1</v>
      </c>
    </row>
    <row r="10" spans="1:23">
      <c r="A10" s="6"/>
      <c r="B10" s="27" t="s">
        <v>665</v>
      </c>
      <c r="C10" s="27" t="s">
        <v>523</v>
      </c>
      <c r="D10" s="27" t="s">
        <v>523</v>
      </c>
      <c r="E10" s="27" t="s">
        <v>523</v>
      </c>
      <c r="F10" s="27" t="s">
        <v>523</v>
      </c>
      <c r="H10" s="6"/>
      <c r="I10" s="6"/>
      <c r="J10" s="6"/>
      <c r="K10" s="6"/>
      <c r="L10" s="6"/>
      <c r="N10" s="79">
        <v>0.22500000000000001</v>
      </c>
      <c r="O10" s="6"/>
      <c r="P10" s="6"/>
      <c r="Q10" s="6"/>
      <c r="R10" s="6" t="s">
        <v>67</v>
      </c>
      <c r="S10" s="6"/>
      <c r="T10" s="6"/>
      <c r="U10" s="6"/>
      <c r="V10" s="6" t="s">
        <v>67</v>
      </c>
    </row>
    <row r="11" spans="1:23">
      <c r="A11" s="6" t="s">
        <v>3</v>
      </c>
      <c r="B11" s="27" t="s">
        <v>524</v>
      </c>
      <c r="C11" s="27" t="s">
        <v>524</v>
      </c>
      <c r="D11" s="27" t="s">
        <v>524</v>
      </c>
      <c r="E11" s="27" t="s">
        <v>528</v>
      </c>
      <c r="F11" s="27" t="s">
        <v>528</v>
      </c>
      <c r="G11" s="6" t="s">
        <v>14</v>
      </c>
      <c r="H11" s="6" t="s">
        <v>12</v>
      </c>
      <c r="I11" s="6" t="s">
        <v>14</v>
      </c>
      <c r="J11" s="6" t="s">
        <v>12</v>
      </c>
      <c r="K11" s="6" t="s">
        <v>14</v>
      </c>
      <c r="L11" s="6" t="s">
        <v>12</v>
      </c>
      <c r="M11" s="6" t="s">
        <v>381</v>
      </c>
      <c r="N11" s="6" t="s">
        <v>381</v>
      </c>
      <c r="O11" s="6" t="s">
        <v>381</v>
      </c>
      <c r="P11" s="6" t="s">
        <v>660</v>
      </c>
      <c r="Q11" s="6" t="s">
        <v>67</v>
      </c>
      <c r="R11" s="6" t="s">
        <v>662</v>
      </c>
      <c r="S11" s="6" t="s">
        <v>661</v>
      </c>
      <c r="T11" s="6" t="s">
        <v>661</v>
      </c>
      <c r="U11" s="6" t="s">
        <v>67</v>
      </c>
      <c r="V11" s="6" t="s">
        <v>663</v>
      </c>
      <c r="W11" s="6" t="s">
        <v>177</v>
      </c>
    </row>
    <row r="12" spans="1:23">
      <c r="A12" s="6" t="s">
        <v>4</v>
      </c>
      <c r="B12" s="28" t="s">
        <v>672</v>
      </c>
      <c r="C12" s="28" t="s">
        <v>671</v>
      </c>
      <c r="D12" s="28" t="s">
        <v>688</v>
      </c>
      <c r="E12" s="28" t="s">
        <v>671</v>
      </c>
      <c r="F12" s="28" t="s">
        <v>688</v>
      </c>
      <c r="G12" s="6" t="s">
        <v>0</v>
      </c>
      <c r="H12" s="6" t="s">
        <v>0</v>
      </c>
      <c r="I12" s="6" t="s">
        <v>566</v>
      </c>
      <c r="J12" s="6" t="s">
        <v>566</v>
      </c>
      <c r="K12" s="6" t="s">
        <v>567</v>
      </c>
      <c r="L12" s="6" t="s">
        <v>567</v>
      </c>
      <c r="M12" s="6" t="s">
        <v>566</v>
      </c>
      <c r="N12" s="6" t="s">
        <v>567</v>
      </c>
      <c r="O12" s="6" t="s">
        <v>0</v>
      </c>
      <c r="P12" s="6" t="s">
        <v>566</v>
      </c>
      <c r="Q12" s="6" t="s">
        <v>567</v>
      </c>
      <c r="R12" s="6" t="s">
        <v>0</v>
      </c>
      <c r="S12" s="6" t="s">
        <v>117</v>
      </c>
      <c r="T12" s="6" t="s">
        <v>14</v>
      </c>
      <c r="U12" s="6" t="s">
        <v>661</v>
      </c>
      <c r="V12" s="6" t="s">
        <v>0</v>
      </c>
      <c r="W12" s="6" t="s">
        <v>16</v>
      </c>
    </row>
    <row r="13" spans="1:23">
      <c r="A13" s="10">
        <v>-1</v>
      </c>
      <c r="B13" s="10">
        <f>A13-1</f>
        <v>-2</v>
      </c>
      <c r="C13" s="10">
        <f>B13-1</f>
        <v>-3</v>
      </c>
      <c r="D13" s="10">
        <f t="shared" ref="D13:W13" si="0">C13-1</f>
        <v>-4</v>
      </c>
      <c r="E13" s="10">
        <f t="shared" si="0"/>
        <v>-5</v>
      </c>
      <c r="F13" s="10">
        <f t="shared" si="0"/>
        <v>-6</v>
      </c>
      <c r="G13" s="10">
        <f t="shared" si="0"/>
        <v>-7</v>
      </c>
      <c r="H13" s="10">
        <f t="shared" si="0"/>
        <v>-8</v>
      </c>
      <c r="I13" s="10">
        <f t="shared" si="0"/>
        <v>-9</v>
      </c>
      <c r="J13" s="10">
        <f t="shared" si="0"/>
        <v>-10</v>
      </c>
      <c r="K13" s="10">
        <f t="shared" si="0"/>
        <v>-11</v>
      </c>
      <c r="L13" s="10">
        <f t="shared" si="0"/>
        <v>-12</v>
      </c>
      <c r="M13" s="10">
        <f>L13-1</f>
        <v>-13</v>
      </c>
      <c r="N13" s="10">
        <f t="shared" si="0"/>
        <v>-14</v>
      </c>
      <c r="O13" s="10">
        <f t="shared" si="0"/>
        <v>-15</v>
      </c>
      <c r="P13" s="10">
        <f t="shared" si="0"/>
        <v>-16</v>
      </c>
      <c r="Q13" s="10">
        <f t="shared" si="0"/>
        <v>-17</v>
      </c>
      <c r="R13" s="10">
        <f t="shared" si="0"/>
        <v>-18</v>
      </c>
      <c r="S13" s="10">
        <f t="shared" si="0"/>
        <v>-19</v>
      </c>
      <c r="T13" s="10">
        <f t="shared" si="0"/>
        <v>-20</v>
      </c>
      <c r="U13" s="10">
        <f t="shared" si="0"/>
        <v>-21</v>
      </c>
      <c r="V13" s="10">
        <f>S13-1</f>
        <v>-20</v>
      </c>
      <c r="W13" s="10">
        <f t="shared" si="0"/>
        <v>-21</v>
      </c>
    </row>
    <row r="14" spans="1:23">
      <c r="A14" s="80"/>
      <c r="B14" s="80"/>
      <c r="C14" s="6"/>
      <c r="D14" s="6"/>
      <c r="E14" s="6"/>
      <c r="F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</row>
    <row r="15" spans="1:23">
      <c r="A15" s="6">
        <v>1992</v>
      </c>
      <c r="B15" s="81"/>
      <c r="C15" s="81"/>
      <c r="D15" s="81"/>
      <c r="E15" s="81"/>
      <c r="F15" s="81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  <row r="16" spans="1:23">
      <c r="A16" s="6">
        <f>A15+1</f>
        <v>1993</v>
      </c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7"/>
      <c r="U16" s="81"/>
      <c r="V16" s="81"/>
      <c r="W16" s="87"/>
    </row>
    <row r="17" spans="1:23">
      <c r="A17" s="6">
        <f t="shared" ref="A17:A43" si="1">A16+1</f>
        <v>1994</v>
      </c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7"/>
      <c r="U17" s="81"/>
      <c r="V17" s="81"/>
      <c r="W17" s="87"/>
    </row>
    <row r="18" spans="1:23">
      <c r="A18" s="6">
        <f t="shared" si="1"/>
        <v>1995</v>
      </c>
      <c r="B18" s="81"/>
      <c r="C18" s="81"/>
      <c r="D18" s="97"/>
      <c r="E18" s="97"/>
      <c r="F18" s="97"/>
      <c r="G18" s="97"/>
      <c r="H18" s="97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7"/>
      <c r="U18" s="81"/>
      <c r="V18" s="81"/>
      <c r="W18" s="87"/>
    </row>
    <row r="19" spans="1:23">
      <c r="A19" s="6">
        <f t="shared" si="1"/>
        <v>1996</v>
      </c>
      <c r="B19" s="81"/>
      <c r="C19" s="81"/>
      <c r="D19" s="97"/>
      <c r="E19" s="97"/>
      <c r="F19" s="97"/>
      <c r="G19" s="97"/>
      <c r="H19" s="97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7"/>
      <c r="U19" s="81"/>
      <c r="V19" s="81"/>
      <c r="W19" s="87"/>
    </row>
    <row r="20" spans="1:23">
      <c r="A20" s="6">
        <f t="shared" si="1"/>
        <v>1997</v>
      </c>
      <c r="B20" s="81"/>
      <c r="C20" s="81"/>
      <c r="D20" s="68"/>
      <c r="E20" s="68"/>
      <c r="F20" s="68"/>
      <c r="G20" s="68"/>
      <c r="H20" s="68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7"/>
      <c r="U20" s="81"/>
      <c r="V20" s="81"/>
      <c r="W20" s="87"/>
    </row>
    <row r="21" spans="1:23">
      <c r="A21" s="6">
        <f t="shared" si="1"/>
        <v>1998</v>
      </c>
      <c r="B21" s="81"/>
      <c r="C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7"/>
      <c r="U21" s="81"/>
      <c r="V21" s="81"/>
      <c r="W21" s="87"/>
    </row>
    <row r="22" spans="1:23">
      <c r="A22" s="6">
        <f t="shared" si="1"/>
        <v>1999</v>
      </c>
      <c r="B22" s="81"/>
      <c r="C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7"/>
      <c r="U22" s="81"/>
      <c r="V22" s="81"/>
      <c r="W22" s="87"/>
    </row>
    <row r="23" spans="1:23">
      <c r="A23" s="6">
        <f t="shared" si="1"/>
        <v>2000</v>
      </c>
      <c r="B23" s="81"/>
      <c r="C23" s="81"/>
      <c r="D23" s="31"/>
      <c r="E23" s="32"/>
      <c r="F23" s="32"/>
      <c r="G23" s="32"/>
      <c r="H23" s="95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7"/>
      <c r="U23" s="81"/>
      <c r="V23" s="81"/>
      <c r="W23" s="87"/>
    </row>
    <row r="24" spans="1:23">
      <c r="A24" s="6">
        <f t="shared" si="1"/>
        <v>2001</v>
      </c>
      <c r="B24" s="81"/>
      <c r="C24" s="81"/>
      <c r="D24" s="31"/>
      <c r="E24" s="32"/>
      <c r="F24" s="32"/>
      <c r="G24" s="32"/>
      <c r="H24" s="95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7"/>
      <c r="U24" s="81"/>
      <c r="V24" s="81"/>
      <c r="W24" s="87"/>
    </row>
    <row r="25" spans="1:23">
      <c r="A25" s="6">
        <f t="shared" si="1"/>
        <v>2002</v>
      </c>
      <c r="B25" s="81"/>
      <c r="C25" s="81"/>
      <c r="D25" s="31"/>
      <c r="E25" s="32"/>
      <c r="F25" s="32"/>
      <c r="G25" s="32"/>
      <c r="H25" s="95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7"/>
      <c r="U25" s="81"/>
      <c r="V25" s="81"/>
      <c r="W25" s="87"/>
    </row>
    <row r="26" spans="1:23">
      <c r="A26" s="6">
        <f t="shared" si="1"/>
        <v>2003</v>
      </c>
      <c r="B26" s="81"/>
      <c r="C26" s="81"/>
      <c r="D26" s="31"/>
      <c r="E26" s="32"/>
      <c r="F26" s="32"/>
      <c r="G26" s="32"/>
      <c r="H26" s="95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7"/>
      <c r="U26" s="81"/>
      <c r="V26" s="81"/>
      <c r="W26" s="87"/>
    </row>
    <row r="27" spans="1:23">
      <c r="A27" s="6">
        <f t="shared" si="1"/>
        <v>2004</v>
      </c>
      <c r="B27" s="81"/>
      <c r="C27" s="81"/>
      <c r="D27" s="31"/>
      <c r="E27" s="32"/>
      <c r="F27" s="32"/>
      <c r="G27" s="32"/>
      <c r="H27" s="95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7"/>
      <c r="U27" s="81"/>
      <c r="V27" s="81"/>
      <c r="W27" s="87"/>
    </row>
    <row r="28" spans="1:23">
      <c r="A28" s="6">
        <f t="shared" si="1"/>
        <v>2005</v>
      </c>
      <c r="B28" s="81"/>
      <c r="C28" s="81"/>
      <c r="D28" s="31"/>
      <c r="E28" s="32"/>
      <c r="F28" s="32"/>
      <c r="G28" s="32"/>
      <c r="H28" s="95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7"/>
      <c r="U28" s="81"/>
      <c r="V28" s="81"/>
      <c r="W28" s="87"/>
    </row>
    <row r="29" spans="1:23">
      <c r="A29" s="6">
        <f t="shared" si="1"/>
        <v>2006</v>
      </c>
      <c r="B29" s="81"/>
      <c r="C29" s="81"/>
      <c r="D29" s="31"/>
      <c r="E29" s="32"/>
      <c r="F29" s="32"/>
      <c r="G29" s="32"/>
      <c r="H29" s="95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7"/>
      <c r="U29" s="81"/>
      <c r="V29" s="81"/>
      <c r="W29" s="87"/>
    </row>
    <row r="30" spans="1:23">
      <c r="A30" s="6">
        <f t="shared" si="1"/>
        <v>2007</v>
      </c>
      <c r="B30" s="81"/>
      <c r="C30" s="81"/>
      <c r="D30" s="31"/>
      <c r="E30" s="32"/>
      <c r="F30" s="32"/>
      <c r="G30" s="32"/>
      <c r="H30" s="95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7"/>
      <c r="U30" s="81"/>
      <c r="V30" s="81"/>
      <c r="W30" s="87"/>
    </row>
    <row r="31" spans="1:23">
      <c r="A31" s="6">
        <f t="shared" si="1"/>
        <v>2008</v>
      </c>
      <c r="B31" s="81"/>
      <c r="C31" s="81"/>
      <c r="D31" s="31"/>
      <c r="E31" s="32"/>
      <c r="F31" s="32"/>
      <c r="G31" s="32"/>
      <c r="H31" s="95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7"/>
      <c r="U31" s="81"/>
      <c r="V31" s="81"/>
      <c r="W31" s="87"/>
    </row>
    <row r="32" spans="1:23">
      <c r="A32" s="6">
        <f t="shared" si="1"/>
        <v>2009</v>
      </c>
      <c r="B32" s="81"/>
      <c r="C32" s="81"/>
      <c r="D32" s="68"/>
      <c r="E32" s="68"/>
      <c r="F32" s="68"/>
      <c r="G32" s="68"/>
      <c r="H32" s="68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7"/>
      <c r="U32" s="81"/>
      <c r="V32" s="81"/>
      <c r="W32" s="87"/>
    </row>
    <row r="33" spans="1:23">
      <c r="A33" s="6">
        <f t="shared" si="1"/>
        <v>2010</v>
      </c>
      <c r="D33" s="68"/>
      <c r="E33" s="68"/>
      <c r="F33" s="68"/>
      <c r="G33" s="68"/>
      <c r="H33" s="68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7">
        <v>0</v>
      </c>
      <c r="U33" s="81"/>
      <c r="V33" s="81"/>
      <c r="W33" s="87"/>
    </row>
    <row r="34" spans="1:23">
      <c r="A34" s="6">
        <f t="shared" si="1"/>
        <v>2011</v>
      </c>
      <c r="B34" s="81"/>
      <c r="C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7">
        <v>0</v>
      </c>
      <c r="U34" s="81"/>
      <c r="V34" s="81"/>
      <c r="W34" s="87">
        <v>0</v>
      </c>
    </row>
    <row r="35" spans="1:23">
      <c r="A35" s="6">
        <f t="shared" si="1"/>
        <v>2012</v>
      </c>
      <c r="B35" s="95">
        <f>'Exhibit B,3'!AU59</f>
        <v>0</v>
      </c>
      <c r="C35" s="31">
        <f>'Exhibit B,3'!AQ59</f>
        <v>1721</v>
      </c>
      <c r="D35" s="32">
        <f>'Exhibit B,3'!AS59</f>
        <v>1721</v>
      </c>
      <c r="E35" s="32">
        <f>'Exhibit B,3'!AR59</f>
        <v>1721</v>
      </c>
      <c r="F35" s="32">
        <f>'Exhibit B,3'!AT59</f>
        <v>1721</v>
      </c>
      <c r="G35" s="81">
        <f t="shared" ref="G35:G44" si="2">(C35+E35-B35)*G$9</f>
        <v>3442</v>
      </c>
      <c r="H35" s="81">
        <f t="shared" ref="H35:H44" si="3">(SUM(C35:F35)-B35)*H$9</f>
        <v>6884</v>
      </c>
      <c r="I35" s="81">
        <f t="shared" ref="I35:I44" si="4">(C35-B35)*I$9</f>
        <v>1721</v>
      </c>
      <c r="J35" s="81">
        <f t="shared" ref="J35:J44" si="5">(I35+D35)*J$9</f>
        <v>3442</v>
      </c>
      <c r="K35" s="81">
        <f t="shared" ref="K35:K44" si="6">E35*K$9</f>
        <v>1721</v>
      </c>
      <c r="L35" s="81">
        <f t="shared" ref="L35:L44" si="7">(K35+F35)*L$9</f>
        <v>3442</v>
      </c>
      <c r="M35" s="81">
        <f t="shared" ref="M35:M44" si="8">O35*(1-N$10)</f>
        <v>0</v>
      </c>
      <c r="N35" s="81">
        <f t="shared" ref="N35:N44" si="9">O35-M35</f>
        <v>0</v>
      </c>
      <c r="O35" s="81">
        <f>'Exhibit B,3'!AI59-('Exhibit B,3'!S59+'Exhibit B,3'!U59)</f>
        <v>0</v>
      </c>
      <c r="P35" s="81">
        <f t="shared" ref="P35:P44" si="10">J35+M35</f>
        <v>3442</v>
      </c>
      <c r="Q35" s="81">
        <f t="shared" ref="Q35:Q44" si="11">L35+N35</f>
        <v>3442</v>
      </c>
      <c r="R35" s="81">
        <f t="shared" ref="R35:R44" si="12">P35+Q35</f>
        <v>6884</v>
      </c>
      <c r="S35" s="81">
        <f t="shared" ref="S35:S43" si="13">S$45*(H35-G35+O35)/(H$45-G$45+O$45)</f>
        <v>46.377267634844571</v>
      </c>
      <c r="T35" s="87">
        <v>0</v>
      </c>
      <c r="U35" s="81">
        <f>S35+T35</f>
        <v>46.377267634844571</v>
      </c>
      <c r="V35" s="81">
        <f>R35+U35</f>
        <v>6930.3772676348444</v>
      </c>
      <c r="W35" s="87">
        <v>0</v>
      </c>
    </row>
    <row r="36" spans="1:23">
      <c r="A36" s="6">
        <f t="shared" si="1"/>
        <v>2013</v>
      </c>
      <c r="B36" s="95">
        <f>'Exhibit B,3'!AU60</f>
        <v>926000</v>
      </c>
      <c r="C36" s="31">
        <f>'Exhibit B,3'!AQ60</f>
        <v>60472.08</v>
      </c>
      <c r="D36" s="32">
        <f>'Exhibit B,3'!AS60</f>
        <v>57021.58</v>
      </c>
      <c r="E36" s="32">
        <f>'Exhibit B,3'!AR60</f>
        <v>1100000</v>
      </c>
      <c r="F36" s="32">
        <f>'Exhibit B,3'!AT60</f>
        <v>174000</v>
      </c>
      <c r="G36" s="81">
        <f t="shared" si="2"/>
        <v>234472.08000000007</v>
      </c>
      <c r="H36" s="81">
        <f t="shared" si="3"/>
        <v>465493.65999999992</v>
      </c>
      <c r="I36" s="81">
        <f t="shared" si="4"/>
        <v>-865527.92</v>
      </c>
      <c r="J36" s="81">
        <f t="shared" si="5"/>
        <v>-808506.34000000008</v>
      </c>
      <c r="K36" s="81">
        <f t="shared" si="6"/>
        <v>1100000</v>
      </c>
      <c r="L36" s="81">
        <f t="shared" si="7"/>
        <v>1274000</v>
      </c>
      <c r="M36" s="81">
        <f t="shared" si="8"/>
        <v>16524.999478673413</v>
      </c>
      <c r="N36" s="81">
        <f t="shared" si="9"/>
        <v>4797.5804938084075</v>
      </c>
      <c r="O36" s="81">
        <f>'Exhibit B,3'!AI60-('Exhibit B,3'!S60+'Exhibit B,3'!U60)</f>
        <v>21322.579972481821</v>
      </c>
      <c r="P36" s="81">
        <f t="shared" si="10"/>
        <v>-791981.34052132664</v>
      </c>
      <c r="Q36" s="81">
        <f t="shared" si="11"/>
        <v>1278797.5804938085</v>
      </c>
      <c r="R36" s="81">
        <f t="shared" si="12"/>
        <v>486816.23997248185</v>
      </c>
      <c r="S36" s="81">
        <f t="shared" si="13"/>
        <v>3400.067589521736</v>
      </c>
      <c r="T36" s="87">
        <v>0</v>
      </c>
      <c r="U36" s="81">
        <f t="shared" ref="U36:U44" si="14">S36+T36</f>
        <v>3400.067589521736</v>
      </c>
      <c r="V36" s="81">
        <f t="shared" ref="V36:V43" si="15">R36+U36</f>
        <v>490216.30756200361</v>
      </c>
      <c r="W36" s="87">
        <v>38585.949999999997</v>
      </c>
    </row>
    <row r="37" spans="1:23">
      <c r="A37" s="6">
        <f t="shared" si="1"/>
        <v>2014</v>
      </c>
      <c r="B37" s="95">
        <f>'Exhibit B,3'!AU61</f>
        <v>10125</v>
      </c>
      <c r="C37" s="31">
        <f>'Exhibit B,3'!AQ61</f>
        <v>359141.74</v>
      </c>
      <c r="D37" s="32">
        <f>'Exhibit B,3'!AS61</f>
        <v>343940.74</v>
      </c>
      <c r="E37" s="32">
        <f>'Exhibit B,3'!AR61</f>
        <v>396555.74</v>
      </c>
      <c r="F37" s="32">
        <f>'Exhibit B,3'!AT61</f>
        <v>386430.74</v>
      </c>
      <c r="G37" s="81">
        <f t="shared" si="2"/>
        <v>745572.48</v>
      </c>
      <c r="H37" s="81">
        <f t="shared" si="3"/>
        <v>1475943.96</v>
      </c>
      <c r="I37" s="81">
        <f t="shared" si="4"/>
        <v>349016.74</v>
      </c>
      <c r="J37" s="81">
        <f t="shared" si="5"/>
        <v>692957.48</v>
      </c>
      <c r="K37" s="81">
        <f t="shared" si="6"/>
        <v>396555.74</v>
      </c>
      <c r="L37" s="81">
        <f t="shared" si="7"/>
        <v>782986.48</v>
      </c>
      <c r="M37" s="81">
        <f t="shared" si="8"/>
        <v>12204.251895828787</v>
      </c>
      <c r="N37" s="81">
        <f t="shared" si="9"/>
        <v>3543.1699052406148</v>
      </c>
      <c r="O37" s="81">
        <f>'Exhibit B,3'!AI61-('Exhibit B,3'!S61+'Exhibit B,3'!U61)</f>
        <v>15747.421801069402</v>
      </c>
      <c r="P37" s="81">
        <f t="shared" si="10"/>
        <v>705161.73189582874</v>
      </c>
      <c r="Q37" s="81">
        <f t="shared" si="11"/>
        <v>786529.64990524063</v>
      </c>
      <c r="R37" s="81">
        <f t="shared" si="12"/>
        <v>1491691.3818010692</v>
      </c>
      <c r="S37" s="81">
        <f t="shared" si="13"/>
        <v>10053.153979152967</v>
      </c>
      <c r="T37" s="87">
        <v>206.68741985745712</v>
      </c>
      <c r="U37" s="81">
        <f t="shared" si="14"/>
        <v>10259.841399010424</v>
      </c>
      <c r="V37" s="81">
        <f t="shared" si="15"/>
        <v>1501951.2232000798</v>
      </c>
      <c r="W37" s="87">
        <v>46751.11</v>
      </c>
    </row>
    <row r="38" spans="1:23">
      <c r="A38" s="6">
        <f t="shared" si="1"/>
        <v>2015</v>
      </c>
      <c r="B38" s="95">
        <f>'Exhibit B,3'!AU62</f>
        <v>529295.22000000253</v>
      </c>
      <c r="C38" s="31">
        <f>'Exhibit B,3'!AQ62</f>
        <v>11892497.98</v>
      </c>
      <c r="D38" s="32">
        <f>'Exhibit B,3'!AS62</f>
        <v>10491209.669999998</v>
      </c>
      <c r="E38" s="32">
        <f>'Exhibit B,3'!AR62</f>
        <v>12419112.57</v>
      </c>
      <c r="F38" s="32">
        <f>'Exhibit B,3'!AT62</f>
        <v>11889817.349999998</v>
      </c>
      <c r="G38" s="81">
        <f t="shared" si="2"/>
        <v>23782315.329999998</v>
      </c>
      <c r="H38" s="81">
        <f t="shared" si="3"/>
        <v>46163342.349999994</v>
      </c>
      <c r="I38" s="81">
        <f t="shared" si="4"/>
        <v>11363202.759999998</v>
      </c>
      <c r="J38" s="81">
        <f t="shared" si="5"/>
        <v>21854412.429999996</v>
      </c>
      <c r="K38" s="81">
        <f t="shared" si="6"/>
        <v>12419112.57</v>
      </c>
      <c r="L38" s="81">
        <f t="shared" si="7"/>
        <v>24308929.919999998</v>
      </c>
      <c r="M38" s="81">
        <f t="shared" si="8"/>
        <v>105687.63821601188</v>
      </c>
      <c r="N38" s="81">
        <f t="shared" si="9"/>
        <v>30683.507869164736</v>
      </c>
      <c r="O38" s="81">
        <f>'Exhibit B,3'!AI62-('Exhibit B,3'!S62+'Exhibit B,3'!U62)</f>
        <v>136371.14608517662</v>
      </c>
      <c r="P38" s="81">
        <f t="shared" si="10"/>
        <v>21960100.068216007</v>
      </c>
      <c r="Q38" s="81">
        <f t="shared" si="11"/>
        <v>24339613.427869163</v>
      </c>
      <c r="R38" s="81">
        <f t="shared" si="12"/>
        <v>46299713.496085167</v>
      </c>
      <c r="S38" s="81">
        <f t="shared" si="13"/>
        <v>303397.85043256549</v>
      </c>
      <c r="T38" s="87">
        <v>2532.8507476944542</v>
      </c>
      <c r="U38" s="81">
        <f t="shared" si="14"/>
        <v>305930.70118025993</v>
      </c>
      <c r="V38" s="81">
        <f t="shared" si="15"/>
        <v>46605644.197265424</v>
      </c>
      <c r="W38" s="87">
        <v>234088</v>
      </c>
    </row>
    <row r="39" spans="1:23">
      <c r="A39" s="6">
        <f t="shared" si="1"/>
        <v>2016</v>
      </c>
      <c r="B39" s="95">
        <f>'Exhibit B,3'!AU63</f>
        <v>1502774.5100000005</v>
      </c>
      <c r="C39" s="31">
        <f>'Exhibit B,3'!AQ63</f>
        <v>6661861.7000000002</v>
      </c>
      <c r="D39" s="32">
        <f>'Exhibit B,3'!AS63</f>
        <v>6530930.6399999997</v>
      </c>
      <c r="E39" s="32">
        <f>'Exhibit B,3'!AR63</f>
        <v>8519330.1099999994</v>
      </c>
      <c r="F39" s="32">
        <f>'Exhibit B,3'!AT63</f>
        <v>7016555.5999999996</v>
      </c>
      <c r="G39" s="81">
        <f t="shared" si="2"/>
        <v>13678417.299999999</v>
      </c>
      <c r="H39" s="81">
        <f t="shared" si="3"/>
        <v>27225903.539999995</v>
      </c>
      <c r="I39" s="81">
        <f t="shared" si="4"/>
        <v>5159087.1899999995</v>
      </c>
      <c r="J39" s="81">
        <f t="shared" si="5"/>
        <v>11690017.829999998</v>
      </c>
      <c r="K39" s="81">
        <f t="shared" si="6"/>
        <v>8519330.1099999994</v>
      </c>
      <c r="L39" s="81">
        <f t="shared" si="7"/>
        <v>15535885.709999999</v>
      </c>
      <c r="M39" s="81">
        <f t="shared" si="8"/>
        <v>-14131.4485712694</v>
      </c>
      <c r="N39" s="81">
        <f t="shared" si="9"/>
        <v>-4102.6786174653098</v>
      </c>
      <c r="O39" s="81">
        <f>'Exhibit B,3'!AI63-('Exhibit B,3'!S63+'Exhibit B,3'!U63)</f>
        <v>-18234.12718873471</v>
      </c>
      <c r="P39" s="81">
        <f t="shared" si="10"/>
        <v>11675886.38142873</v>
      </c>
      <c r="Q39" s="81">
        <f t="shared" si="11"/>
        <v>15531783.031382535</v>
      </c>
      <c r="R39" s="81">
        <f t="shared" si="12"/>
        <v>27207669.412811264</v>
      </c>
      <c r="S39" s="81">
        <f t="shared" si="13"/>
        <v>182292.19817987632</v>
      </c>
      <c r="T39" s="87">
        <v>14180.634894616751</v>
      </c>
      <c r="U39" s="81">
        <f t="shared" si="14"/>
        <v>196472.83307449307</v>
      </c>
      <c r="V39" s="81">
        <f t="shared" si="15"/>
        <v>27404142.245885756</v>
      </c>
      <c r="W39" s="87">
        <v>1208175</v>
      </c>
    </row>
    <row r="40" spans="1:23">
      <c r="A40" s="6">
        <f t="shared" si="1"/>
        <v>2017</v>
      </c>
      <c r="B40" s="95">
        <f>'Exhibit B,3'!AU64</f>
        <v>4823654.17</v>
      </c>
      <c r="C40" s="31">
        <f>'Exhibit B,3'!AQ64</f>
        <v>7009350.0700000003</v>
      </c>
      <c r="D40" s="32">
        <f>'Exhibit B,3'!AS64</f>
        <v>5628389.5600000005</v>
      </c>
      <c r="E40" s="32">
        <f>'Exhibit B,3'!AR64</f>
        <v>11180218.109999999</v>
      </c>
      <c r="F40" s="32">
        <f>'Exhibit B,3'!AT64</f>
        <v>6356563.9399999995</v>
      </c>
      <c r="G40" s="81">
        <f t="shared" si="2"/>
        <v>13365914.01</v>
      </c>
      <c r="H40" s="81">
        <f t="shared" si="3"/>
        <v>25350867.509999998</v>
      </c>
      <c r="I40" s="81">
        <f t="shared" si="4"/>
        <v>2185695.9000000004</v>
      </c>
      <c r="J40" s="81">
        <f t="shared" si="5"/>
        <v>7814085.4600000009</v>
      </c>
      <c r="K40" s="81">
        <f t="shared" si="6"/>
        <v>11180218.109999999</v>
      </c>
      <c r="L40" s="81">
        <f t="shared" si="7"/>
        <v>17536782.049999997</v>
      </c>
      <c r="M40" s="81">
        <f t="shared" si="8"/>
        <v>5568050.5807428947</v>
      </c>
      <c r="N40" s="81">
        <f t="shared" si="9"/>
        <v>1616530.8137640664</v>
      </c>
      <c r="O40" s="81">
        <f>'Exhibit B,3'!AI64-('Exhibit B,3'!S64+'Exhibit B,3'!U64)</f>
        <v>7184581.3945069611</v>
      </c>
      <c r="P40" s="81">
        <f t="shared" si="10"/>
        <v>13382136.040742896</v>
      </c>
      <c r="Q40" s="81">
        <f t="shared" si="11"/>
        <v>19153312.863764063</v>
      </c>
      <c r="R40" s="81">
        <f t="shared" si="12"/>
        <v>32535448.904506959</v>
      </c>
      <c r="S40" s="81">
        <f t="shared" si="13"/>
        <v>258288.97450262675</v>
      </c>
      <c r="T40" s="87">
        <v>13390.947701041099</v>
      </c>
      <c r="U40" s="81">
        <f t="shared" si="14"/>
        <v>271679.92220366787</v>
      </c>
      <c r="V40" s="81">
        <f t="shared" si="15"/>
        <v>32807128.826710626</v>
      </c>
      <c r="W40" s="87">
        <v>4072930</v>
      </c>
    </row>
    <row r="41" spans="1:23">
      <c r="A41" s="6">
        <f t="shared" si="1"/>
        <v>2018</v>
      </c>
      <c r="B41" s="95">
        <f>'Exhibit B,3'!AU65</f>
        <v>1757952.68</v>
      </c>
      <c r="C41" s="31">
        <f>'Exhibit B,3'!AQ65</f>
        <v>6205520.0199999996</v>
      </c>
      <c r="D41" s="32">
        <f>'Exhibit B,3'!AS65</f>
        <v>2927762.03</v>
      </c>
      <c r="E41" s="32">
        <f>'Exhibit B,3'!AR65</f>
        <v>7041216.5099999998</v>
      </c>
      <c r="F41" s="32">
        <f>'Exhibit B,3'!AT65</f>
        <v>5283263.83</v>
      </c>
      <c r="G41" s="81">
        <f t="shared" si="2"/>
        <v>11488783.85</v>
      </c>
      <c r="H41" s="81">
        <f t="shared" si="3"/>
        <v>19699809.710000001</v>
      </c>
      <c r="I41" s="81">
        <f t="shared" si="4"/>
        <v>4447567.34</v>
      </c>
      <c r="J41" s="81">
        <f t="shared" si="5"/>
        <v>7375329.3699999992</v>
      </c>
      <c r="K41" s="81">
        <f t="shared" si="6"/>
        <v>7041216.5099999998</v>
      </c>
      <c r="L41" s="81">
        <f t="shared" si="7"/>
        <v>12324480.34</v>
      </c>
      <c r="M41" s="81">
        <f t="shared" si="8"/>
        <v>6299159.397463006</v>
      </c>
      <c r="N41" s="81">
        <f t="shared" si="9"/>
        <v>1828788.2121666791</v>
      </c>
      <c r="O41" s="81">
        <f>'Exhibit B,3'!AI65-('Exhibit B,3'!S65+'Exhibit B,3'!U65)</f>
        <v>8127947.6096296851</v>
      </c>
      <c r="P41" s="81">
        <f t="shared" si="10"/>
        <v>13674488.767463006</v>
      </c>
      <c r="Q41" s="81">
        <f t="shared" si="11"/>
        <v>14153268.552166678</v>
      </c>
      <c r="R41" s="81">
        <f t="shared" si="12"/>
        <v>27827757.319629684</v>
      </c>
      <c r="S41" s="81">
        <f t="shared" si="13"/>
        <v>220150.18753040119</v>
      </c>
      <c r="T41" s="87">
        <v>18128.763740244849</v>
      </c>
      <c r="U41" s="81">
        <f t="shared" si="14"/>
        <v>238278.95127064604</v>
      </c>
      <c r="V41" s="81">
        <f t="shared" si="15"/>
        <v>28066036.270900331</v>
      </c>
      <c r="W41" s="87">
        <v>3938077</v>
      </c>
    </row>
    <row r="42" spans="1:23">
      <c r="A42" s="6">
        <f t="shared" si="1"/>
        <v>2019</v>
      </c>
      <c r="B42" s="95">
        <f>'Exhibit B,3'!AU66</f>
        <v>117480.98999999999</v>
      </c>
      <c r="C42" s="31">
        <f>'Exhibit B,3'!AQ66</f>
        <v>200506.26</v>
      </c>
      <c r="D42" s="32">
        <f>'Exhibit B,3'!AS66</f>
        <v>129673.56000000001</v>
      </c>
      <c r="E42" s="32">
        <f>'Exhibit B,3'!AR66</f>
        <v>474071.19</v>
      </c>
      <c r="F42" s="32">
        <f>'Exhibit B,3'!AT66</f>
        <v>356590.2</v>
      </c>
      <c r="G42" s="81">
        <f t="shared" si="2"/>
        <v>557096.46</v>
      </c>
      <c r="H42" s="81">
        <f t="shared" si="3"/>
        <v>1043360.22</v>
      </c>
      <c r="I42" s="81">
        <f t="shared" si="4"/>
        <v>83025.270000000019</v>
      </c>
      <c r="J42" s="81">
        <f t="shared" si="5"/>
        <v>212698.83000000002</v>
      </c>
      <c r="K42" s="81">
        <f t="shared" si="6"/>
        <v>474071.19</v>
      </c>
      <c r="L42" s="81">
        <f t="shared" si="7"/>
        <v>830661.39</v>
      </c>
      <c r="M42" s="81">
        <f t="shared" si="8"/>
        <v>1953153.3314225792</v>
      </c>
      <c r="N42" s="81">
        <f t="shared" si="9"/>
        <v>567044.51557429717</v>
      </c>
      <c r="O42" s="81">
        <f>'Exhibit B,3'!AI66-('Exhibit B,3'!S66+'Exhibit B,3'!U66)</f>
        <v>2520197.8469968764</v>
      </c>
      <c r="P42" s="81">
        <f t="shared" si="10"/>
        <v>2165852.1614225791</v>
      </c>
      <c r="Q42" s="81">
        <f t="shared" si="11"/>
        <v>1397705.9055742971</v>
      </c>
      <c r="R42" s="81">
        <f t="shared" si="12"/>
        <v>3563558.0669968762</v>
      </c>
      <c r="S42" s="81">
        <f t="shared" si="13"/>
        <v>40508.853742469211</v>
      </c>
      <c r="T42" s="87">
        <v>15226.424192710763</v>
      </c>
      <c r="U42" s="81">
        <f t="shared" si="14"/>
        <v>55735.277935179976</v>
      </c>
      <c r="V42" s="81">
        <f t="shared" si="15"/>
        <v>3619293.344932056</v>
      </c>
      <c r="W42" s="87">
        <v>3935052.4599999981</v>
      </c>
    </row>
    <row r="43" spans="1:23">
      <c r="A43" s="6">
        <f t="shared" si="1"/>
        <v>2020</v>
      </c>
      <c r="B43" s="95">
        <f>'Exhibit B,3'!AU67</f>
        <v>143500</v>
      </c>
      <c r="C43" s="31">
        <f>'Exhibit B,3'!AQ67</f>
        <v>2849.11</v>
      </c>
      <c r="D43" s="32">
        <f>'Exhibit B,3'!AS67</f>
        <v>0</v>
      </c>
      <c r="E43" s="32">
        <f>'Exhibit B,3'!AR67</f>
        <v>143500</v>
      </c>
      <c r="F43" s="32">
        <f>'Exhibit B,3'!AT67</f>
        <v>0</v>
      </c>
      <c r="G43" s="81">
        <f t="shared" si="2"/>
        <v>2849.109999999986</v>
      </c>
      <c r="H43" s="81">
        <f t="shared" si="3"/>
        <v>2849.109999999986</v>
      </c>
      <c r="I43" s="81">
        <f t="shared" si="4"/>
        <v>-140650.89000000001</v>
      </c>
      <c r="J43" s="81">
        <f t="shared" si="5"/>
        <v>-140650.89000000001</v>
      </c>
      <c r="K43" s="81">
        <f t="shared" si="6"/>
        <v>143500</v>
      </c>
      <c r="L43" s="81">
        <f t="shared" si="7"/>
        <v>143500</v>
      </c>
      <c r="M43" s="81">
        <f t="shared" si="8"/>
        <v>3155332.9625673699</v>
      </c>
      <c r="N43" s="81">
        <f t="shared" si="9"/>
        <v>916064.40848730085</v>
      </c>
      <c r="O43" s="81">
        <f>'Exhibit B,3'!AI67-('Exhibit B,3'!S67+'Exhibit B,3'!U67)</f>
        <v>4071397.3710546708</v>
      </c>
      <c r="P43" s="81">
        <f t="shared" si="10"/>
        <v>3014682.0725673698</v>
      </c>
      <c r="Q43" s="81">
        <f t="shared" si="11"/>
        <v>1059564.4084873009</v>
      </c>
      <c r="R43" s="81">
        <f t="shared" si="12"/>
        <v>4074246.4810546706</v>
      </c>
      <c r="S43" s="81">
        <f t="shared" si="13"/>
        <v>54857.723859734186</v>
      </c>
      <c r="T43" s="87">
        <v>9.0946017233614462</v>
      </c>
      <c r="U43" s="81">
        <f t="shared" si="14"/>
        <v>54866.818461457544</v>
      </c>
      <c r="V43" s="81">
        <f t="shared" si="15"/>
        <v>4129113.2995161284</v>
      </c>
      <c r="W43" s="87">
        <v>1465858.2899999991</v>
      </c>
    </row>
    <row r="44" spans="1:23">
      <c r="A44" s="6"/>
      <c r="B44" s="81"/>
      <c r="C44" s="17"/>
      <c r="D44" s="81"/>
      <c r="E44" s="81"/>
      <c r="F44" s="81"/>
      <c r="G44" s="81">
        <f t="shared" si="2"/>
        <v>0</v>
      </c>
      <c r="H44" s="81">
        <f t="shared" si="3"/>
        <v>0</v>
      </c>
      <c r="I44" s="81">
        <f t="shared" si="4"/>
        <v>0</v>
      </c>
      <c r="J44" s="81">
        <f t="shared" si="5"/>
        <v>0</v>
      </c>
      <c r="K44" s="81">
        <f t="shared" si="6"/>
        <v>0</v>
      </c>
      <c r="L44" s="81">
        <f t="shared" si="7"/>
        <v>0</v>
      </c>
      <c r="M44" s="81">
        <f t="shared" si="8"/>
        <v>0</v>
      </c>
      <c r="N44" s="81">
        <f t="shared" si="9"/>
        <v>0</v>
      </c>
      <c r="O44" s="81">
        <f>'Exhibit A, 1d'!AA27</f>
        <v>0</v>
      </c>
      <c r="P44" s="81">
        <f t="shared" si="10"/>
        <v>0</v>
      </c>
      <c r="Q44" s="81">
        <f t="shared" si="11"/>
        <v>0</v>
      </c>
      <c r="R44" s="81">
        <f t="shared" si="12"/>
        <v>0</v>
      </c>
      <c r="S44" s="81">
        <f>S$45*(H44-G44+O44)/(H$45-G$45+O$45)</f>
        <v>0</v>
      </c>
      <c r="T44" s="87">
        <v>0</v>
      </c>
      <c r="U44" s="81">
        <f t="shared" si="14"/>
        <v>0</v>
      </c>
      <c r="V44" s="81">
        <f>R44+S44</f>
        <v>0</v>
      </c>
      <c r="W44" s="87"/>
    </row>
    <row r="45" spans="1:23">
      <c r="A45" s="6" t="s">
        <v>0</v>
      </c>
      <c r="B45" s="82">
        <f>SUM(B15:B43)</f>
        <v>9810782.570000004</v>
      </c>
      <c r="C45" s="82">
        <f>SUM(C15:C43)</f>
        <v>32393919.960000001</v>
      </c>
      <c r="D45" s="82">
        <f t="shared" ref="D45:V45" si="16">SUM(D15:D43)</f>
        <v>26110648.779999997</v>
      </c>
      <c r="E45" s="82">
        <f t="shared" si="16"/>
        <v>41275725.229999997</v>
      </c>
      <c r="F45" s="82">
        <f t="shared" si="16"/>
        <v>31464942.659999993</v>
      </c>
      <c r="G45" s="82">
        <f t="shared" si="16"/>
        <v>63858862.619999997</v>
      </c>
      <c r="H45" s="82">
        <f t="shared" si="16"/>
        <v>121434454.05999999</v>
      </c>
      <c r="I45" s="82">
        <f t="shared" si="16"/>
        <v>22583137.389999997</v>
      </c>
      <c r="J45" s="82">
        <f t="shared" si="16"/>
        <v>48693786.169999994</v>
      </c>
      <c r="K45" s="82">
        <f t="shared" si="16"/>
        <v>41275725.229999997</v>
      </c>
      <c r="L45" s="82">
        <f t="shared" si="16"/>
        <v>72740667.890000001</v>
      </c>
      <c r="M45" s="82">
        <f t="shared" si="16"/>
        <v>17095981.713215094</v>
      </c>
      <c r="N45" s="82">
        <f t="shared" si="16"/>
        <v>4963349.5296430923</v>
      </c>
      <c r="O45" s="82">
        <f t="shared" si="16"/>
        <v>22059331.242858186</v>
      </c>
      <c r="P45" s="82">
        <f t="shared" si="16"/>
        <v>65789767.883215085</v>
      </c>
      <c r="Q45" s="82">
        <f t="shared" si="16"/>
        <v>77704017.419643089</v>
      </c>
      <c r="R45" s="82">
        <f t="shared" si="16"/>
        <v>143493785.30285817</v>
      </c>
      <c r="S45" s="82">
        <f>'Exhibit B,3'!AK72</f>
        <v>1072995.3870839826</v>
      </c>
      <c r="T45" s="90">
        <v>62325.343308051983</v>
      </c>
      <c r="U45" s="82">
        <f t="shared" si="16"/>
        <v>1136670.7903818714</v>
      </c>
      <c r="V45" s="82">
        <f t="shared" si="16"/>
        <v>144630456.09324005</v>
      </c>
      <c r="W45" s="90">
        <v>14939517.809999999</v>
      </c>
    </row>
    <row r="46" spans="1:23">
      <c r="A46" s="6"/>
      <c r="B46" s="6"/>
      <c r="C46" s="6"/>
      <c r="D46" s="6"/>
      <c r="E46" s="6"/>
      <c r="F46" s="6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7"/>
      <c r="U46" s="81"/>
      <c r="V46" s="81"/>
      <c r="W46" s="87"/>
    </row>
    <row r="47" spans="1:23">
      <c r="A47" s="6"/>
      <c r="B47" s="6"/>
      <c r="C47" s="6"/>
      <c r="D47" s="6"/>
      <c r="E47" s="6"/>
      <c r="F47" s="6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7"/>
      <c r="U47" s="81"/>
      <c r="V47" s="81"/>
      <c r="W47" s="87"/>
    </row>
    <row r="48" spans="1:23">
      <c r="A48" s="6"/>
      <c r="B48" s="6"/>
      <c r="C48" s="6"/>
      <c r="D48" s="6"/>
      <c r="E48" s="6"/>
      <c r="F48" s="6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7"/>
      <c r="U48" s="81"/>
      <c r="V48" s="81"/>
      <c r="W48" s="87"/>
    </row>
    <row r="49" spans="1:23">
      <c r="A49" s="6" t="s">
        <v>13</v>
      </c>
      <c r="B49" s="6" t="s">
        <v>682</v>
      </c>
      <c r="C49" s="6" t="s">
        <v>682</v>
      </c>
      <c r="D49" s="6" t="s">
        <v>682</v>
      </c>
      <c r="E49" s="6" t="s">
        <v>682</v>
      </c>
      <c r="F49" s="6" t="s">
        <v>682</v>
      </c>
      <c r="G49" s="85">
        <v>0.95</v>
      </c>
      <c r="H49" s="85">
        <v>0.95</v>
      </c>
      <c r="I49" s="85">
        <v>0.95</v>
      </c>
      <c r="J49" s="85">
        <v>0.95</v>
      </c>
      <c r="K49" s="85">
        <v>0.95</v>
      </c>
      <c r="L49" s="85">
        <v>0.95</v>
      </c>
      <c r="M49" s="85">
        <v>0.95</v>
      </c>
      <c r="N49" s="85">
        <v>0.95</v>
      </c>
      <c r="O49" s="85">
        <v>0.95</v>
      </c>
      <c r="P49" s="6" t="s">
        <v>683</v>
      </c>
      <c r="Q49" s="6" t="s">
        <v>683</v>
      </c>
      <c r="R49" s="6" t="s">
        <v>683</v>
      </c>
      <c r="S49" s="6" t="s">
        <v>682</v>
      </c>
      <c r="T49" s="94" t="s">
        <v>682</v>
      </c>
      <c r="U49" s="6" t="s">
        <v>682</v>
      </c>
      <c r="V49" s="3"/>
      <c r="W49" s="98">
        <v>0.95</v>
      </c>
    </row>
    <row r="50" spans="1:23">
      <c r="A50" s="6"/>
      <c r="B50" s="27" t="s">
        <v>665</v>
      </c>
      <c r="C50" s="27" t="s">
        <v>666</v>
      </c>
      <c r="D50" s="27" t="s">
        <v>667</v>
      </c>
      <c r="E50" s="27" t="s">
        <v>665</v>
      </c>
      <c r="F50" s="27" t="s">
        <v>673</v>
      </c>
      <c r="G50" s="17"/>
      <c r="H50" s="81"/>
      <c r="I50" s="81"/>
      <c r="J50" s="81"/>
      <c r="K50" s="81"/>
      <c r="L50" s="81"/>
      <c r="M50" s="17"/>
      <c r="N50" s="83"/>
      <c r="O50" s="81"/>
      <c r="P50" s="81"/>
      <c r="Q50" s="81"/>
      <c r="R50" s="81" t="s">
        <v>67</v>
      </c>
      <c r="S50" s="6"/>
      <c r="T50" s="94"/>
      <c r="U50" s="6"/>
      <c r="V50" s="81" t="s">
        <v>67</v>
      </c>
      <c r="W50" s="87"/>
    </row>
    <row r="51" spans="1:23">
      <c r="A51" s="6" t="s">
        <v>3</v>
      </c>
      <c r="B51" s="27" t="s">
        <v>524</v>
      </c>
      <c r="C51" s="27" t="s">
        <v>524</v>
      </c>
      <c r="D51" s="27" t="s">
        <v>524</v>
      </c>
      <c r="E51" s="27" t="s">
        <v>528</v>
      </c>
      <c r="F51" s="27" t="s">
        <v>528</v>
      </c>
      <c r="G51" s="81" t="s">
        <v>14</v>
      </c>
      <c r="H51" s="81" t="s">
        <v>12</v>
      </c>
      <c r="I51" s="81" t="s">
        <v>14</v>
      </c>
      <c r="J51" s="81" t="s">
        <v>12</v>
      </c>
      <c r="K51" s="81" t="s">
        <v>14</v>
      </c>
      <c r="L51" s="81" t="s">
        <v>12</v>
      </c>
      <c r="M51" s="81" t="s">
        <v>381</v>
      </c>
      <c r="N51" s="81" t="s">
        <v>381</v>
      </c>
      <c r="O51" s="81" t="s">
        <v>381</v>
      </c>
      <c r="P51" s="81" t="s">
        <v>660</v>
      </c>
      <c r="Q51" s="81" t="s">
        <v>67</v>
      </c>
      <c r="R51" s="81" t="s">
        <v>662</v>
      </c>
      <c r="S51" s="6" t="s">
        <v>661</v>
      </c>
      <c r="T51" s="94" t="s">
        <v>661</v>
      </c>
      <c r="U51" s="6" t="s">
        <v>67</v>
      </c>
      <c r="V51" s="81" t="s">
        <v>663</v>
      </c>
      <c r="W51" s="6" t="s">
        <v>177</v>
      </c>
    </row>
    <row r="52" spans="1:23">
      <c r="A52" s="6" t="s">
        <v>4</v>
      </c>
      <c r="B52" s="28" t="s">
        <v>668</v>
      </c>
      <c r="C52" s="28" t="s">
        <v>669</v>
      </c>
      <c r="D52" s="28" t="s">
        <v>670</v>
      </c>
      <c r="E52" s="28" t="s">
        <v>668</v>
      </c>
      <c r="F52" s="28" t="s">
        <v>670</v>
      </c>
      <c r="G52" s="81" t="s">
        <v>0</v>
      </c>
      <c r="H52" s="81" t="s">
        <v>0</v>
      </c>
      <c r="I52" s="81" t="s">
        <v>566</v>
      </c>
      <c r="J52" s="81" t="s">
        <v>566</v>
      </c>
      <c r="K52" s="81" t="s">
        <v>567</v>
      </c>
      <c r="L52" s="81" t="s">
        <v>567</v>
      </c>
      <c r="M52" s="81" t="s">
        <v>566</v>
      </c>
      <c r="N52" s="81" t="s">
        <v>567</v>
      </c>
      <c r="O52" s="81" t="s">
        <v>0</v>
      </c>
      <c r="P52" s="81" t="s">
        <v>566</v>
      </c>
      <c r="Q52" s="81" t="s">
        <v>567</v>
      </c>
      <c r="R52" s="81" t="s">
        <v>0</v>
      </c>
      <c r="S52" s="6" t="s">
        <v>117</v>
      </c>
      <c r="T52" s="94" t="s">
        <v>14</v>
      </c>
      <c r="U52" s="6" t="s">
        <v>661</v>
      </c>
      <c r="V52" s="81" t="s">
        <v>0</v>
      </c>
      <c r="W52" s="6" t="s">
        <v>16</v>
      </c>
    </row>
    <row r="53" spans="1:23">
      <c r="A53" s="10">
        <v>-1</v>
      </c>
      <c r="B53" s="10">
        <f>A53-1</f>
        <v>-2</v>
      </c>
      <c r="C53" s="10">
        <f>B53-1</f>
        <v>-3</v>
      </c>
      <c r="D53" s="10">
        <f t="shared" ref="D53:L53" si="17">C53-1</f>
        <v>-4</v>
      </c>
      <c r="E53" s="10">
        <f t="shared" si="17"/>
        <v>-5</v>
      </c>
      <c r="F53" s="10">
        <f t="shared" si="17"/>
        <v>-6</v>
      </c>
      <c r="G53" s="10">
        <f t="shared" si="17"/>
        <v>-7</v>
      </c>
      <c r="H53" s="10">
        <f t="shared" si="17"/>
        <v>-8</v>
      </c>
      <c r="I53" s="10">
        <f t="shared" si="17"/>
        <v>-9</v>
      </c>
      <c r="J53" s="10">
        <f t="shared" si="17"/>
        <v>-10</v>
      </c>
      <c r="K53" s="10">
        <f t="shared" si="17"/>
        <v>-11</v>
      </c>
      <c r="L53" s="10">
        <f t="shared" si="17"/>
        <v>-12</v>
      </c>
      <c r="M53" s="10">
        <f t="shared" ref="M53:S53" si="18">L53-1</f>
        <v>-13</v>
      </c>
      <c r="N53" s="10">
        <f t="shared" si="18"/>
        <v>-14</v>
      </c>
      <c r="O53" s="10">
        <f t="shared" si="18"/>
        <v>-15</v>
      </c>
      <c r="P53" s="10">
        <f t="shared" si="18"/>
        <v>-16</v>
      </c>
      <c r="Q53" s="10">
        <f t="shared" si="18"/>
        <v>-17</v>
      </c>
      <c r="R53" s="10">
        <f t="shared" si="18"/>
        <v>-18</v>
      </c>
      <c r="S53" s="10">
        <f t="shared" si="18"/>
        <v>-19</v>
      </c>
      <c r="T53" s="93">
        <v>-20</v>
      </c>
      <c r="U53" s="10">
        <f>T53-1</f>
        <v>-21</v>
      </c>
      <c r="V53" s="10">
        <f>U53-1</f>
        <v>-22</v>
      </c>
      <c r="W53" s="10">
        <v>-23</v>
      </c>
    </row>
    <row r="54" spans="1:23">
      <c r="A54" s="80"/>
      <c r="B54" s="6"/>
      <c r="C54" s="6"/>
      <c r="D54" s="6"/>
      <c r="E54" s="6"/>
      <c r="F54" s="6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17"/>
      <c r="T54" s="89"/>
      <c r="U54" s="17"/>
      <c r="V54" s="17"/>
      <c r="W54" s="87"/>
    </row>
    <row r="55" spans="1:23">
      <c r="A55" s="6">
        <v>1992</v>
      </c>
      <c r="B55" s="2"/>
      <c r="C55" s="6"/>
      <c r="D55" s="6"/>
      <c r="E55" s="6"/>
      <c r="F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94"/>
      <c r="U55" s="6"/>
      <c r="V55" s="6"/>
      <c r="W55" s="6"/>
    </row>
    <row r="56" spans="1:23">
      <c r="A56" s="6">
        <f>A55+1</f>
        <v>1993</v>
      </c>
      <c r="B56" s="6"/>
      <c r="C56" s="6"/>
      <c r="D56" s="6"/>
      <c r="E56" s="6"/>
      <c r="F56" s="6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7"/>
      <c r="U56" s="81"/>
      <c r="V56" s="81"/>
      <c r="W56" s="87"/>
    </row>
    <row r="57" spans="1:23">
      <c r="A57" s="6">
        <f t="shared" ref="A57:A83" si="19">A56+1</f>
        <v>1994</v>
      </c>
      <c r="B57" s="6"/>
      <c r="C57" s="6"/>
      <c r="D57" s="6"/>
      <c r="E57" s="6"/>
      <c r="F57" s="6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7"/>
      <c r="U57" s="81"/>
      <c r="V57" s="81"/>
      <c r="W57" s="87"/>
    </row>
    <row r="58" spans="1:23">
      <c r="A58" s="6">
        <f t="shared" si="19"/>
        <v>1995</v>
      </c>
      <c r="B58" s="6"/>
      <c r="C58" s="6"/>
      <c r="D58" s="6"/>
      <c r="E58" s="6"/>
      <c r="F58" s="6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7"/>
      <c r="U58" s="81"/>
      <c r="V58" s="81"/>
      <c r="W58" s="87"/>
    </row>
    <row r="59" spans="1:23">
      <c r="A59" s="6">
        <f t="shared" si="19"/>
        <v>1996</v>
      </c>
      <c r="B59" s="6"/>
      <c r="C59" s="6"/>
      <c r="D59" s="6"/>
      <c r="E59" s="6"/>
      <c r="F59" s="6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7"/>
      <c r="U59" s="81"/>
      <c r="V59" s="81"/>
      <c r="W59" s="87"/>
    </row>
    <row r="60" spans="1:23">
      <c r="A60" s="6">
        <f t="shared" si="19"/>
        <v>1997</v>
      </c>
      <c r="B60" s="6"/>
      <c r="C60" s="6"/>
      <c r="D60" s="6"/>
      <c r="E60" s="6"/>
      <c r="F60" s="6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7"/>
      <c r="U60" s="81"/>
      <c r="V60" s="81"/>
      <c r="W60" s="87"/>
    </row>
    <row r="61" spans="1:23">
      <c r="A61" s="6">
        <f t="shared" si="19"/>
        <v>1998</v>
      </c>
      <c r="B61" s="6"/>
      <c r="C61" s="6"/>
      <c r="D61" s="6"/>
      <c r="E61" s="6"/>
      <c r="F61" s="6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7"/>
      <c r="U61" s="81"/>
      <c r="V61" s="81"/>
      <c r="W61" s="87"/>
    </row>
    <row r="62" spans="1:23">
      <c r="A62" s="6">
        <f t="shared" si="19"/>
        <v>1999</v>
      </c>
      <c r="B62" s="6"/>
      <c r="C62" s="6"/>
      <c r="D62" s="6"/>
      <c r="E62" s="6"/>
      <c r="F62" s="6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7"/>
      <c r="U62" s="81"/>
      <c r="V62" s="81"/>
      <c r="W62" s="87"/>
    </row>
    <row r="63" spans="1:23">
      <c r="A63" s="6">
        <f t="shared" si="19"/>
        <v>2000</v>
      </c>
      <c r="B63" s="6"/>
      <c r="C63" s="6"/>
      <c r="D63" s="6"/>
      <c r="E63" s="6"/>
      <c r="F63" s="6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7"/>
      <c r="U63" s="81"/>
      <c r="V63" s="81"/>
      <c r="W63" s="87"/>
    </row>
    <row r="64" spans="1:23">
      <c r="A64" s="6">
        <f t="shared" si="19"/>
        <v>2001</v>
      </c>
      <c r="B64" s="6"/>
      <c r="C64" s="6"/>
      <c r="D64" s="6"/>
      <c r="E64" s="6"/>
      <c r="F64" s="6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7"/>
      <c r="U64" s="81"/>
      <c r="V64" s="81"/>
      <c r="W64" s="87"/>
    </row>
    <row r="65" spans="1:27">
      <c r="A65" s="6">
        <f t="shared" si="19"/>
        <v>2002</v>
      </c>
      <c r="B65" s="6"/>
      <c r="C65" s="6"/>
      <c r="D65" s="6"/>
      <c r="E65" s="6"/>
      <c r="F65" s="6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7"/>
      <c r="U65" s="81"/>
      <c r="V65" s="81"/>
      <c r="W65" s="87"/>
    </row>
    <row r="66" spans="1:27">
      <c r="A66" s="6">
        <f t="shared" si="19"/>
        <v>2003</v>
      </c>
      <c r="B66" s="6"/>
      <c r="C66" s="6"/>
      <c r="D66" s="6"/>
      <c r="E66" s="6"/>
      <c r="F66" s="6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7"/>
      <c r="U66" s="81"/>
      <c r="V66" s="81"/>
      <c r="W66" s="87"/>
    </row>
    <row r="67" spans="1:27">
      <c r="A67" s="6">
        <f t="shared" si="19"/>
        <v>2004</v>
      </c>
      <c r="B67" s="6"/>
      <c r="C67" s="6"/>
      <c r="D67" s="6"/>
      <c r="E67" s="6"/>
      <c r="F67" s="6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7"/>
      <c r="U67" s="81"/>
      <c r="V67" s="81"/>
      <c r="W67" s="87"/>
    </row>
    <row r="68" spans="1:27">
      <c r="A68" s="6">
        <f t="shared" si="19"/>
        <v>2005</v>
      </c>
      <c r="B68" s="6"/>
      <c r="C68" s="6"/>
      <c r="D68" s="6"/>
      <c r="E68" s="6"/>
      <c r="F68" s="6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7"/>
      <c r="U68" s="81"/>
      <c r="V68" s="81"/>
      <c r="W68" s="87"/>
    </row>
    <row r="69" spans="1:27">
      <c r="A69" s="6">
        <f t="shared" si="19"/>
        <v>2006</v>
      </c>
      <c r="B69" s="6"/>
      <c r="C69" s="6"/>
      <c r="D69" s="6"/>
      <c r="E69" s="6"/>
      <c r="F69" s="6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7"/>
      <c r="U69" s="81"/>
      <c r="V69" s="81"/>
      <c r="W69" s="87"/>
    </row>
    <row r="70" spans="1:27">
      <c r="A70" s="6">
        <f t="shared" si="19"/>
        <v>2007</v>
      </c>
      <c r="B70" s="6"/>
      <c r="C70" s="6"/>
      <c r="D70" s="6"/>
      <c r="E70" s="6"/>
      <c r="F70" s="6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7"/>
      <c r="U70" s="81"/>
      <c r="V70" s="81"/>
      <c r="W70" s="87"/>
    </row>
    <row r="71" spans="1:27">
      <c r="A71" s="6">
        <f t="shared" si="19"/>
        <v>2008</v>
      </c>
      <c r="B71" s="6"/>
      <c r="C71" s="6"/>
      <c r="D71" s="6"/>
      <c r="E71" s="6"/>
      <c r="F71" s="6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7"/>
      <c r="U71" s="81"/>
      <c r="V71" s="81"/>
      <c r="W71" s="87"/>
    </row>
    <row r="72" spans="1:27">
      <c r="A72" s="6">
        <f t="shared" si="19"/>
        <v>2009</v>
      </c>
      <c r="B72" s="6"/>
      <c r="C72" s="6"/>
      <c r="D72" s="6"/>
      <c r="E72" s="6"/>
      <c r="F72" s="6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7"/>
      <c r="U72" s="81"/>
      <c r="V72" s="81"/>
      <c r="W72" s="87"/>
    </row>
    <row r="73" spans="1:27">
      <c r="A73" s="6">
        <f t="shared" si="19"/>
        <v>2010</v>
      </c>
      <c r="B73" s="95"/>
      <c r="C73" s="95"/>
      <c r="D73" s="17"/>
      <c r="E73" s="17"/>
      <c r="F73" s="1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7"/>
      <c r="U73" s="81"/>
      <c r="V73" s="81"/>
      <c r="W73" s="87"/>
    </row>
    <row r="74" spans="1:27">
      <c r="A74" s="6">
        <f t="shared" si="19"/>
        <v>2011</v>
      </c>
      <c r="B74" s="95"/>
      <c r="C74" s="95"/>
      <c r="D74" s="17"/>
      <c r="E74" s="17"/>
      <c r="F74" s="1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7">
        <v>15.126716540259942</v>
      </c>
      <c r="U74" s="81"/>
      <c r="V74" s="81"/>
      <c r="W74" s="87">
        <v>0</v>
      </c>
    </row>
    <row r="75" spans="1:27">
      <c r="A75" s="6">
        <f t="shared" si="19"/>
        <v>2012</v>
      </c>
      <c r="B75" s="95"/>
      <c r="C75" s="95"/>
      <c r="D75" s="95"/>
      <c r="E75" s="95"/>
      <c r="F75" s="95"/>
      <c r="G75" s="81">
        <f t="shared" ref="G75:L75" si="20">G35-G115</f>
        <v>0</v>
      </c>
      <c r="H75" s="81">
        <f t="shared" si="20"/>
        <v>0</v>
      </c>
      <c r="I75" s="81">
        <f t="shared" si="20"/>
        <v>0</v>
      </c>
      <c r="J75" s="81">
        <f t="shared" si="20"/>
        <v>0</v>
      </c>
      <c r="K75" s="81">
        <f t="shared" si="20"/>
        <v>0</v>
      </c>
      <c r="L75" s="81">
        <f t="shared" si="20"/>
        <v>0</v>
      </c>
      <c r="M75" s="81">
        <f>O75-N75</f>
        <v>5163</v>
      </c>
      <c r="N75" s="81">
        <f>O75*(N$50)</f>
        <v>0</v>
      </c>
      <c r="O75" s="81">
        <f t="shared" ref="O75:V83" si="21">O35-O115</f>
        <v>5163</v>
      </c>
      <c r="P75" s="81">
        <f t="shared" si="21"/>
        <v>4001.3250000000003</v>
      </c>
      <c r="Q75" s="81">
        <f t="shared" si="21"/>
        <v>1161.6749999999997</v>
      </c>
      <c r="R75" s="81">
        <f t="shared" si="21"/>
        <v>5163</v>
      </c>
      <c r="S75" s="81">
        <f t="shared" si="21"/>
        <v>46.377267634844571</v>
      </c>
      <c r="T75" s="87">
        <v>30.253433080519883</v>
      </c>
      <c r="U75" s="81">
        <f t="shared" si="21"/>
        <v>46.377267634844571</v>
      </c>
      <c r="V75" s="81">
        <f t="shared" si="21"/>
        <v>5209.3772676348444</v>
      </c>
      <c r="W75" s="87">
        <v>0</v>
      </c>
      <c r="X75" s="81"/>
      <c r="AA75" s="33"/>
    </row>
    <row r="76" spans="1:27">
      <c r="A76" s="6">
        <f t="shared" si="19"/>
        <v>2013</v>
      </c>
      <c r="B76" s="95"/>
      <c r="C76" s="95"/>
      <c r="D76" s="95"/>
      <c r="E76" s="95"/>
      <c r="F76" s="95"/>
      <c r="G76" s="81">
        <f t="shared" ref="G76:N83" si="22">G36-G116</f>
        <v>-879700</v>
      </c>
      <c r="H76" s="81">
        <f t="shared" si="22"/>
        <v>-879700</v>
      </c>
      <c r="I76" s="81">
        <f t="shared" si="22"/>
        <v>-879700</v>
      </c>
      <c r="J76" s="81">
        <f t="shared" si="22"/>
        <v>-879700</v>
      </c>
      <c r="K76" s="81">
        <f t="shared" si="22"/>
        <v>0</v>
      </c>
      <c r="L76" s="81">
        <f t="shared" si="22"/>
        <v>0</v>
      </c>
      <c r="M76" s="81">
        <f t="shared" ref="M76:M83" si="23">O76-N76</f>
        <v>1058902.6326590476</v>
      </c>
      <c r="N76" s="81">
        <f t="shared" si="22"/>
        <v>307423.34496552992</v>
      </c>
      <c r="O76" s="81">
        <f t="shared" si="21"/>
        <v>1366325.9776245775</v>
      </c>
      <c r="P76" s="81">
        <f t="shared" si="21"/>
        <v>179202.63265904761</v>
      </c>
      <c r="Q76" s="81">
        <f t="shared" si="21"/>
        <v>307423.34496552998</v>
      </c>
      <c r="R76" s="81">
        <f t="shared" si="21"/>
        <v>486625.97762457753</v>
      </c>
      <c r="S76" s="81">
        <f t="shared" si="21"/>
        <v>3400.067589521736</v>
      </c>
      <c r="T76" s="87">
        <v>30.253433080519883</v>
      </c>
      <c r="U76" s="81">
        <f t="shared" si="21"/>
        <v>3400.067589521736</v>
      </c>
      <c r="V76" s="81">
        <f t="shared" si="21"/>
        <v>490026.04521409929</v>
      </c>
      <c r="W76" s="87">
        <v>37050</v>
      </c>
      <c r="X76" s="81"/>
      <c r="AA76" s="33"/>
    </row>
    <row r="77" spans="1:27">
      <c r="A77" s="6">
        <f t="shared" si="19"/>
        <v>2014</v>
      </c>
      <c r="B77" s="95">
        <v>0</v>
      </c>
      <c r="C77" s="95">
        <v>0</v>
      </c>
      <c r="D77" s="95">
        <v>94050</v>
      </c>
      <c r="E77" s="95">
        <v>41360.767500000002</v>
      </c>
      <c r="F77" s="95">
        <v>29889.232499999998</v>
      </c>
      <c r="G77" s="81">
        <f t="shared" si="22"/>
        <v>31742.017500000075</v>
      </c>
      <c r="H77" s="81">
        <f t="shared" si="22"/>
        <v>155681.25</v>
      </c>
      <c r="I77" s="81">
        <f t="shared" si="22"/>
        <v>-9618.75</v>
      </c>
      <c r="J77" s="81">
        <f t="shared" si="22"/>
        <v>84431.25</v>
      </c>
      <c r="K77" s="81">
        <f t="shared" si="22"/>
        <v>41360.767500000016</v>
      </c>
      <c r="L77" s="81">
        <f t="shared" si="22"/>
        <v>71250</v>
      </c>
      <c r="M77" s="81">
        <f t="shared" si="23"/>
        <v>985732.76512271143</v>
      </c>
      <c r="N77" s="81">
        <f t="shared" si="22"/>
        <v>286180.48019691621</v>
      </c>
      <c r="O77" s="81">
        <f t="shared" si="21"/>
        <v>1271913.2453196277</v>
      </c>
      <c r="P77" s="81">
        <f t="shared" si="21"/>
        <v>1070164.0151227117</v>
      </c>
      <c r="Q77" s="81">
        <f t="shared" si="21"/>
        <v>357430.48019691627</v>
      </c>
      <c r="R77" s="81">
        <f t="shared" si="21"/>
        <v>1427594.4953196277</v>
      </c>
      <c r="S77" s="81">
        <f t="shared" si="21"/>
        <v>10053.153979152967</v>
      </c>
      <c r="T77" s="87">
        <v>245.38014962077983</v>
      </c>
      <c r="U77" s="81">
        <f t="shared" si="21"/>
        <v>10259.841399010424</v>
      </c>
      <c r="V77" s="81">
        <f t="shared" si="21"/>
        <v>1437854.336718638</v>
      </c>
      <c r="W77" s="87">
        <v>44650</v>
      </c>
      <c r="X77" s="81"/>
      <c r="AA77" s="33"/>
    </row>
    <row r="78" spans="1:27">
      <c r="A78" s="6">
        <f t="shared" si="19"/>
        <v>2015</v>
      </c>
      <c r="B78" s="95">
        <v>237500</v>
      </c>
      <c r="C78" s="95">
        <v>0</v>
      </c>
      <c r="D78" s="95">
        <v>0</v>
      </c>
      <c r="E78" s="95">
        <v>69029.909999999989</v>
      </c>
      <c r="F78" s="95">
        <v>-0.02</v>
      </c>
      <c r="G78" s="81">
        <f t="shared" si="22"/>
        <v>-196300.54900000244</v>
      </c>
      <c r="H78" s="81">
        <f t="shared" si="22"/>
        <v>-196300.56899999827</v>
      </c>
      <c r="I78" s="81">
        <f t="shared" si="22"/>
        <v>-265330.45900000259</v>
      </c>
      <c r="J78" s="81">
        <f t="shared" si="22"/>
        <v>-265330.45900000259</v>
      </c>
      <c r="K78" s="81">
        <f t="shared" si="22"/>
        <v>69029.910000000149</v>
      </c>
      <c r="L78" s="81">
        <f t="shared" si="22"/>
        <v>69029.890000000596</v>
      </c>
      <c r="M78" s="81">
        <f t="shared" si="23"/>
        <v>36016412.046465427</v>
      </c>
      <c r="N78" s="81">
        <f t="shared" si="22"/>
        <v>10456377.690909315</v>
      </c>
      <c r="O78" s="81">
        <f t="shared" si="21"/>
        <v>46472789.737374738</v>
      </c>
      <c r="P78" s="81">
        <f t="shared" si="21"/>
        <v>35751081.58746542</v>
      </c>
      <c r="Q78" s="81">
        <f t="shared" si="21"/>
        <v>10525407.580909315</v>
      </c>
      <c r="R78" s="81">
        <f t="shared" si="21"/>
        <v>46276489.168374732</v>
      </c>
      <c r="S78" s="81">
        <f t="shared" si="21"/>
        <v>303397.85043256549</v>
      </c>
      <c r="T78" s="87">
        <v>2460.5068661610399</v>
      </c>
      <c r="U78" s="81">
        <f t="shared" si="21"/>
        <v>305930.70118025993</v>
      </c>
      <c r="V78" s="81">
        <f t="shared" si="21"/>
        <v>46582419.869554989</v>
      </c>
      <c r="W78" s="87">
        <v>222300</v>
      </c>
      <c r="X78" s="81"/>
      <c r="AA78" s="33"/>
    </row>
    <row r="79" spans="1:27">
      <c r="A79" s="6">
        <f t="shared" si="19"/>
        <v>2016</v>
      </c>
      <c r="B79" s="95">
        <v>6694649.9900000002</v>
      </c>
      <c r="C79" s="95">
        <v>0</v>
      </c>
      <c r="D79" s="95">
        <v>1801200</v>
      </c>
      <c r="E79" s="95">
        <v>1650235.6579999998</v>
      </c>
      <c r="F79" s="95">
        <v>136276.17199999996</v>
      </c>
      <c r="G79" s="81">
        <f t="shared" si="22"/>
        <v>6917249.8635</v>
      </c>
      <c r="H79" s="81">
        <f t="shared" si="22"/>
        <v>8854726.0354999974</v>
      </c>
      <c r="I79" s="81">
        <f t="shared" si="22"/>
        <v>5267014.2055000002</v>
      </c>
      <c r="J79" s="81">
        <f t="shared" si="22"/>
        <v>7068214.2054999992</v>
      </c>
      <c r="K79" s="81">
        <f t="shared" si="22"/>
        <v>1650235.6579999998</v>
      </c>
      <c r="L79" s="81">
        <f t="shared" si="22"/>
        <v>1786511.83</v>
      </c>
      <c r="M79" s="81">
        <f t="shared" si="23"/>
        <v>14024988.802728549</v>
      </c>
      <c r="N79" s="81">
        <f t="shared" si="22"/>
        <v>4071770.9427276412</v>
      </c>
      <c r="O79" s="81">
        <f t="shared" si="21"/>
        <v>18096759.745456189</v>
      </c>
      <c r="P79" s="81">
        <f t="shared" si="21"/>
        <v>21093203.008228548</v>
      </c>
      <c r="Q79" s="81">
        <f t="shared" si="21"/>
        <v>5858282.7727276422</v>
      </c>
      <c r="R79" s="81">
        <f t="shared" si="21"/>
        <v>26951485.78095619</v>
      </c>
      <c r="S79" s="81">
        <f t="shared" si="21"/>
        <v>182292.19817987632</v>
      </c>
      <c r="T79" s="87">
        <v>13742.027464644159</v>
      </c>
      <c r="U79" s="81">
        <f t="shared" si="21"/>
        <v>196472.83307449307</v>
      </c>
      <c r="V79" s="81">
        <f t="shared" si="21"/>
        <v>27147958.614030682</v>
      </c>
      <c r="W79" s="87">
        <v>1147600</v>
      </c>
      <c r="X79" s="81"/>
      <c r="AA79" s="33"/>
    </row>
    <row r="80" spans="1:27">
      <c r="A80" s="6">
        <f t="shared" si="19"/>
        <v>2017</v>
      </c>
      <c r="B80" s="95">
        <v>1280657</v>
      </c>
      <c r="C80" s="95">
        <v>0</v>
      </c>
      <c r="D80" s="95">
        <v>631750</v>
      </c>
      <c r="E80" s="95">
        <v>379207.66599999997</v>
      </c>
      <c r="F80" s="95">
        <v>228698.484</v>
      </c>
      <c r="G80" s="81">
        <f t="shared" si="22"/>
        <v>-2922606.7955000009</v>
      </c>
      <c r="H80" s="81">
        <f t="shared" si="22"/>
        <v>-2062158.3115000054</v>
      </c>
      <c r="I80" s="81">
        <f t="shared" si="22"/>
        <v>-3301814.4614999993</v>
      </c>
      <c r="J80" s="81">
        <f t="shared" si="22"/>
        <v>-2670064.4615000002</v>
      </c>
      <c r="K80" s="81">
        <f t="shared" si="22"/>
        <v>379207.66599999927</v>
      </c>
      <c r="L80" s="81">
        <f t="shared" si="22"/>
        <v>607906.14999999851</v>
      </c>
      <c r="M80" s="81">
        <f t="shared" si="23"/>
        <v>26765415.819328696</v>
      </c>
      <c r="N80" s="81">
        <f t="shared" si="22"/>
        <v>7770604.5927083278</v>
      </c>
      <c r="O80" s="81">
        <f t="shared" si="21"/>
        <v>34536020.412037022</v>
      </c>
      <c r="P80" s="81">
        <f t="shared" si="21"/>
        <v>24095351.357828695</v>
      </c>
      <c r="Q80" s="81">
        <f t="shared" si="21"/>
        <v>8378510.7427083254</v>
      </c>
      <c r="R80" s="81">
        <f t="shared" si="21"/>
        <v>32473862.100537017</v>
      </c>
      <c r="S80" s="81">
        <f t="shared" si="21"/>
        <v>258288.97450262675</v>
      </c>
      <c r="T80" s="87">
        <v>13184.054929288317</v>
      </c>
      <c r="U80" s="81">
        <f t="shared" si="21"/>
        <v>271679.92220366787</v>
      </c>
      <c r="V80" s="81">
        <f t="shared" si="21"/>
        <v>32745542.022740684</v>
      </c>
      <c r="W80" s="87">
        <v>3869350</v>
      </c>
      <c r="X80" s="81"/>
      <c r="AA80" s="33"/>
    </row>
    <row r="81" spans="1:31">
      <c r="A81" s="6">
        <f t="shared" si="19"/>
        <v>2018</v>
      </c>
      <c r="B81" s="95">
        <v>3289375</v>
      </c>
      <c r="C81" s="95">
        <v>0</v>
      </c>
      <c r="D81" s="95">
        <v>843600</v>
      </c>
      <c r="E81" s="95">
        <v>684388.46249999991</v>
      </c>
      <c r="F81" s="95">
        <v>46066.187500000029</v>
      </c>
      <c r="G81" s="81">
        <f t="shared" si="22"/>
        <v>2303708.4165000003</v>
      </c>
      <c r="H81" s="81">
        <f t="shared" si="22"/>
        <v>3193374.6040000021</v>
      </c>
      <c r="I81" s="81">
        <f t="shared" si="22"/>
        <v>1619319.9539999999</v>
      </c>
      <c r="J81" s="81">
        <f t="shared" si="22"/>
        <v>2462919.9539999999</v>
      </c>
      <c r="K81" s="81">
        <f t="shared" si="22"/>
        <v>684388.46250000037</v>
      </c>
      <c r="L81" s="81">
        <f t="shared" si="22"/>
        <v>730454.65000000037</v>
      </c>
      <c r="M81" s="81">
        <f t="shared" si="23"/>
        <v>19024063.831125993</v>
      </c>
      <c r="N81" s="81">
        <f t="shared" si="22"/>
        <v>5523115.305810771</v>
      </c>
      <c r="O81" s="81">
        <f t="shared" si="21"/>
        <v>24547179.136936765</v>
      </c>
      <c r="P81" s="81">
        <f t="shared" si="21"/>
        <v>21486983.785125993</v>
      </c>
      <c r="Q81" s="81">
        <f t="shared" si="21"/>
        <v>6253569.9558107704</v>
      </c>
      <c r="R81" s="81">
        <f t="shared" si="21"/>
        <v>27740553.740936764</v>
      </c>
      <c r="S81" s="81">
        <f t="shared" si="21"/>
        <v>220150.18753040119</v>
      </c>
      <c r="T81" s="87">
        <v>16974.815228529878</v>
      </c>
      <c r="U81" s="81">
        <f t="shared" si="21"/>
        <v>238278.95127064604</v>
      </c>
      <c r="V81" s="81">
        <f t="shared" si="21"/>
        <v>27978832.692207411</v>
      </c>
      <c r="W81" s="87">
        <v>3741173</v>
      </c>
      <c r="X81" s="81"/>
      <c r="AA81" s="33"/>
    </row>
    <row r="82" spans="1:31">
      <c r="A82" s="6">
        <f t="shared" si="19"/>
        <v>2019</v>
      </c>
      <c r="B82" s="95">
        <v>2061500</v>
      </c>
      <c r="C82" s="95">
        <v>0</v>
      </c>
      <c r="D82" s="95">
        <v>265050</v>
      </c>
      <c r="E82" s="95">
        <v>150624.951</v>
      </c>
      <c r="F82" s="95">
        <v>35864.478999999992</v>
      </c>
      <c r="G82" s="81">
        <f t="shared" si="22"/>
        <v>2100518.0104999999</v>
      </c>
      <c r="H82" s="81">
        <f t="shared" si="22"/>
        <v>2401432.4895000001</v>
      </c>
      <c r="I82" s="81">
        <f t="shared" si="22"/>
        <v>1949893.0595</v>
      </c>
      <c r="J82" s="81">
        <f t="shared" si="22"/>
        <v>2214943.0595</v>
      </c>
      <c r="K82" s="81">
        <f t="shared" si="22"/>
        <v>150624.951</v>
      </c>
      <c r="L82" s="81">
        <f t="shared" si="22"/>
        <v>186489.43000000005</v>
      </c>
      <c r="M82" s="81">
        <f t="shared" si="23"/>
        <v>779615.70254947315</v>
      </c>
      <c r="N82" s="81">
        <f t="shared" si="22"/>
        <v>226340.04267565347</v>
      </c>
      <c r="O82" s="81">
        <f t="shared" si="21"/>
        <v>1005955.7452251266</v>
      </c>
      <c r="P82" s="81">
        <f t="shared" si="21"/>
        <v>2994558.7620494729</v>
      </c>
      <c r="Q82" s="81">
        <f t="shared" si="21"/>
        <v>412829.47267565341</v>
      </c>
      <c r="R82" s="81">
        <f t="shared" si="21"/>
        <v>3407388.2347251261</v>
      </c>
      <c r="S82" s="81">
        <f t="shared" si="21"/>
        <v>40508.853742469211</v>
      </c>
      <c r="T82" s="87">
        <v>14795.828960851957</v>
      </c>
      <c r="U82" s="81">
        <f t="shared" si="21"/>
        <v>55735.277935179976</v>
      </c>
      <c r="V82" s="81">
        <f t="shared" si="21"/>
        <v>3463123.5126603059</v>
      </c>
      <c r="W82" s="87">
        <v>3738299.8370000022</v>
      </c>
      <c r="X82" s="81"/>
      <c r="AA82" s="33"/>
    </row>
    <row r="83" spans="1:31">
      <c r="A83" s="6">
        <f t="shared" si="19"/>
        <v>2020</v>
      </c>
      <c r="B83" s="95"/>
      <c r="C83" s="95"/>
      <c r="D83" s="95"/>
      <c r="E83" s="95">
        <v>9215</v>
      </c>
      <c r="F83" s="95">
        <v>5097.99</v>
      </c>
      <c r="G83" s="81">
        <f t="shared" si="22"/>
        <v>-127110</v>
      </c>
      <c r="H83" s="81">
        <f t="shared" si="22"/>
        <v>-122012.01</v>
      </c>
      <c r="I83" s="81">
        <f t="shared" si="22"/>
        <v>-136325</v>
      </c>
      <c r="J83" s="81">
        <f t="shared" si="22"/>
        <v>-136325</v>
      </c>
      <c r="K83" s="81">
        <f t="shared" si="22"/>
        <v>9215</v>
      </c>
      <c r="L83" s="81">
        <f t="shared" si="22"/>
        <v>14312.990000000005</v>
      </c>
      <c r="M83" s="81">
        <f t="shared" si="23"/>
        <v>3140375.0259312987</v>
      </c>
      <c r="N83" s="81">
        <f t="shared" si="22"/>
        <v>911721.78172198986</v>
      </c>
      <c r="O83" s="81">
        <f t="shared" si="21"/>
        <v>4052096.8076532888</v>
      </c>
      <c r="P83" s="81">
        <f t="shared" si="21"/>
        <v>3004050.0259312987</v>
      </c>
      <c r="Q83" s="81">
        <f t="shared" si="21"/>
        <v>926034.77172198985</v>
      </c>
      <c r="R83" s="81">
        <f t="shared" si="21"/>
        <v>3930084.7976532886</v>
      </c>
      <c r="S83" s="81">
        <f t="shared" si="21"/>
        <v>54857.723859734186</v>
      </c>
      <c r="T83" s="87">
        <v>847.09612625455679</v>
      </c>
      <c r="U83" s="81">
        <f t="shared" si="21"/>
        <v>54866.818461457544</v>
      </c>
      <c r="V83" s="81">
        <f t="shared" si="21"/>
        <v>3984951.6161147463</v>
      </c>
      <c r="W83" s="87">
        <v>1392565.37</v>
      </c>
      <c r="X83" s="81"/>
      <c r="AA83" s="33"/>
    </row>
    <row r="84" spans="1:31">
      <c r="A84" s="6"/>
      <c r="B84" s="6"/>
      <c r="C84" s="6"/>
      <c r="D84" s="81"/>
      <c r="E84" s="95"/>
      <c r="F84" s="95"/>
      <c r="G84" s="81">
        <f>'AD12'!G44</f>
        <v>0</v>
      </c>
      <c r="H84" s="81">
        <f>'AD12'!H44</f>
        <v>0</v>
      </c>
      <c r="I84" s="81">
        <f>'AD12'!I44</f>
        <v>0</v>
      </c>
      <c r="J84" s="81">
        <f>'AD12'!J44</f>
        <v>0</v>
      </c>
      <c r="K84" s="81">
        <f>'AD12'!K44</f>
        <v>0</v>
      </c>
      <c r="L84" s="81">
        <f>'AD12'!L44</f>
        <v>0</v>
      </c>
      <c r="M84" s="81">
        <f>'AD12'!M44</f>
        <v>0</v>
      </c>
      <c r="N84" s="81">
        <f>'AD12'!N44</f>
        <v>0</v>
      </c>
      <c r="O84" s="81">
        <f>'AD12'!O44</f>
        <v>0</v>
      </c>
      <c r="P84" s="81">
        <f>'AD12'!P44</f>
        <v>0</v>
      </c>
      <c r="Q84" s="81">
        <f>'AD12'!Q44</f>
        <v>0</v>
      </c>
      <c r="R84" s="81">
        <f>'AD12'!R44</f>
        <v>0</v>
      </c>
      <c r="S84" s="81"/>
      <c r="T84" s="81"/>
      <c r="U84" s="81">
        <f>S84+T84</f>
        <v>0</v>
      </c>
      <c r="V84" s="81">
        <f>R84+U84</f>
        <v>0</v>
      </c>
      <c r="W84" s="87"/>
      <c r="X84" s="81"/>
      <c r="AA84" s="33"/>
    </row>
    <row r="85" spans="1:31">
      <c r="A85" s="6" t="s">
        <v>0</v>
      </c>
      <c r="B85" s="82">
        <f>SUM(B55:B83)</f>
        <v>13563681.99</v>
      </c>
      <c r="C85" s="82">
        <f>SUM(C55:C83)</f>
        <v>0</v>
      </c>
      <c r="D85" s="82">
        <f t="shared" ref="D85:R85" si="24">SUM(D55:D83)</f>
        <v>3635650</v>
      </c>
      <c r="E85" s="82">
        <f t="shared" si="24"/>
        <v>2984062.4149999996</v>
      </c>
      <c r="F85" s="82">
        <f t="shared" si="24"/>
        <v>481892.52499999997</v>
      </c>
      <c r="G85" s="82">
        <f t="shared" si="24"/>
        <v>7227500.9634999968</v>
      </c>
      <c r="H85" s="82">
        <f t="shared" si="24"/>
        <v>11345043.488499997</v>
      </c>
      <c r="I85" s="82">
        <f t="shared" si="24"/>
        <v>4243438.5484999977</v>
      </c>
      <c r="J85" s="82">
        <f t="shared" si="24"/>
        <v>7879088.5484999958</v>
      </c>
      <c r="K85" s="82">
        <f t="shared" si="24"/>
        <v>2984062.4149999996</v>
      </c>
      <c r="L85" s="82">
        <f t="shared" si="24"/>
        <v>3465954.94</v>
      </c>
      <c r="M85" s="82">
        <f t="shared" si="24"/>
        <v>101800669.62591119</v>
      </c>
      <c r="N85" s="82">
        <f t="shared" si="24"/>
        <v>29553534.181716148</v>
      </c>
      <c r="O85" s="82">
        <f t="shared" si="24"/>
        <v>131354203.80762735</v>
      </c>
      <c r="P85" s="82">
        <f t="shared" si="24"/>
        <v>109678596.4994112</v>
      </c>
      <c r="Q85" s="82">
        <f t="shared" si="24"/>
        <v>33020650.796716142</v>
      </c>
      <c r="R85" s="82">
        <f t="shared" si="24"/>
        <v>142699247.29612732</v>
      </c>
      <c r="S85" s="82">
        <f>SUM(S55:S83)</f>
        <v>1072995.3870839828</v>
      </c>
      <c r="T85" s="82">
        <f>SUM(T55:T83)</f>
        <v>62325.343308051983</v>
      </c>
      <c r="U85" s="82">
        <f>SUM(U55:U83)</f>
        <v>1136670.7903818714</v>
      </c>
      <c r="V85" s="82">
        <f>SUM(V55:V83)</f>
        <v>143835918.0865092</v>
      </c>
      <c r="W85" s="82">
        <f>SUM(W55:W83)</f>
        <v>14192988.207000002</v>
      </c>
      <c r="X85" s="82"/>
    </row>
    <row r="86" spans="1:31">
      <c r="A86" s="6"/>
      <c r="B86" s="6"/>
      <c r="C86" s="6"/>
      <c r="D86" s="6"/>
      <c r="E86" s="6"/>
      <c r="F86" s="6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7"/>
      <c r="X86" s="81"/>
    </row>
    <row r="87" spans="1:31">
      <c r="A87" s="6"/>
      <c r="B87" s="6"/>
      <c r="C87" s="56"/>
      <c r="D87" s="6"/>
      <c r="E87" s="56"/>
      <c r="F87" s="6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7"/>
      <c r="X87" s="81"/>
    </row>
    <row r="88" spans="1:31">
      <c r="A88" s="6"/>
      <c r="B88" s="6"/>
      <c r="C88" s="6"/>
      <c r="D88" s="6"/>
      <c r="E88" s="6"/>
      <c r="F88" s="6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7"/>
      <c r="X88" s="81"/>
    </row>
    <row r="89" spans="1:31">
      <c r="A89" s="6" t="s">
        <v>17</v>
      </c>
      <c r="B89" s="6"/>
      <c r="C89" s="6"/>
      <c r="D89" s="6"/>
      <c r="E89" s="6"/>
      <c r="F89" s="6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7"/>
      <c r="X89" s="81"/>
    </row>
    <row r="90" spans="1:31">
      <c r="A90" s="6"/>
      <c r="B90" s="27" t="s">
        <v>665</v>
      </c>
      <c r="C90" s="27" t="s">
        <v>523</v>
      </c>
      <c r="D90" s="27" t="s">
        <v>523</v>
      </c>
      <c r="E90" s="27" t="s">
        <v>523</v>
      </c>
      <c r="F90" s="27" t="s">
        <v>523</v>
      </c>
      <c r="G90" s="17"/>
      <c r="H90" s="81"/>
      <c r="I90" s="81"/>
      <c r="J90" s="81"/>
      <c r="K90" s="81"/>
      <c r="L90" s="81"/>
      <c r="M90" s="17"/>
      <c r="N90" s="81"/>
      <c r="O90" s="81"/>
      <c r="P90" s="81"/>
      <c r="Q90" s="81"/>
      <c r="R90" s="81" t="s">
        <v>67</v>
      </c>
      <c r="S90" s="6"/>
      <c r="T90" s="6"/>
      <c r="U90" s="6"/>
      <c r="V90" s="6" t="s">
        <v>67</v>
      </c>
      <c r="W90" s="87"/>
      <c r="X90" s="6" t="s">
        <v>67</v>
      </c>
    </row>
    <row r="91" spans="1:31">
      <c r="A91" s="6" t="s">
        <v>3</v>
      </c>
      <c r="B91" s="27" t="s">
        <v>524</v>
      </c>
      <c r="C91" s="27" t="s">
        <v>524</v>
      </c>
      <c r="D91" s="27" t="s">
        <v>524</v>
      </c>
      <c r="E91" s="27" t="s">
        <v>528</v>
      </c>
      <c r="F91" s="27" t="s">
        <v>528</v>
      </c>
      <c r="G91" s="81" t="s">
        <v>14</v>
      </c>
      <c r="H91" s="81" t="s">
        <v>12</v>
      </c>
      <c r="I91" s="81" t="s">
        <v>14</v>
      </c>
      <c r="J91" s="81" t="s">
        <v>12</v>
      </c>
      <c r="K91" s="81" t="s">
        <v>14</v>
      </c>
      <c r="L91" s="81" t="s">
        <v>12</v>
      </c>
      <c r="M91" s="81" t="s">
        <v>381</v>
      </c>
      <c r="N91" s="81" t="s">
        <v>381</v>
      </c>
      <c r="O91" s="81" t="s">
        <v>381</v>
      </c>
      <c r="P91" s="81" t="s">
        <v>660</v>
      </c>
      <c r="Q91" s="81" t="s">
        <v>67</v>
      </c>
      <c r="R91" s="81" t="s">
        <v>662</v>
      </c>
      <c r="S91" s="6" t="s">
        <v>661</v>
      </c>
      <c r="T91" s="6" t="s">
        <v>661</v>
      </c>
      <c r="U91" s="6" t="s">
        <v>67</v>
      </c>
      <c r="V91" s="6" t="s">
        <v>663</v>
      </c>
      <c r="W91" s="6" t="s">
        <v>177</v>
      </c>
      <c r="X91" s="6" t="s">
        <v>663</v>
      </c>
    </row>
    <row r="92" spans="1:31">
      <c r="A92" s="6" t="s">
        <v>4</v>
      </c>
      <c r="B92" s="28" t="s">
        <v>672</v>
      </c>
      <c r="C92" s="28" t="s">
        <v>671</v>
      </c>
      <c r="D92" s="28" t="s">
        <v>688</v>
      </c>
      <c r="E92" s="28" t="s">
        <v>671</v>
      </c>
      <c r="F92" s="28" t="s">
        <v>688</v>
      </c>
      <c r="G92" s="81" t="s">
        <v>0</v>
      </c>
      <c r="H92" s="81" t="s">
        <v>0</v>
      </c>
      <c r="I92" s="81" t="s">
        <v>566</v>
      </c>
      <c r="J92" s="81" t="s">
        <v>566</v>
      </c>
      <c r="K92" s="81" t="s">
        <v>567</v>
      </c>
      <c r="L92" s="81" t="s">
        <v>567</v>
      </c>
      <c r="M92" s="81" t="s">
        <v>566</v>
      </c>
      <c r="N92" s="81" t="s">
        <v>567</v>
      </c>
      <c r="O92" s="81" t="s">
        <v>0</v>
      </c>
      <c r="P92" s="81" t="s">
        <v>566</v>
      </c>
      <c r="Q92" s="81" t="s">
        <v>567</v>
      </c>
      <c r="R92" s="81" t="s">
        <v>0</v>
      </c>
      <c r="S92" s="6" t="s">
        <v>117</v>
      </c>
      <c r="T92" s="6" t="s">
        <v>14</v>
      </c>
      <c r="U92" s="6" t="s">
        <v>661</v>
      </c>
      <c r="V92" s="6" t="s">
        <v>0</v>
      </c>
      <c r="W92" s="6" t="s">
        <v>16</v>
      </c>
      <c r="X92" s="6" t="s">
        <v>0</v>
      </c>
    </row>
    <row r="93" spans="1:31">
      <c r="A93" s="10">
        <v>-1</v>
      </c>
      <c r="B93" s="10">
        <f>A93-1</f>
        <v>-2</v>
      </c>
      <c r="C93" s="10">
        <f>B93-1</f>
        <v>-3</v>
      </c>
      <c r="D93" s="10">
        <f t="shared" ref="D93:L93" si="25">C93-1</f>
        <v>-4</v>
      </c>
      <c r="E93" s="10">
        <f t="shared" si="25"/>
        <v>-5</v>
      </c>
      <c r="F93" s="10">
        <f t="shared" si="25"/>
        <v>-6</v>
      </c>
      <c r="G93" s="10">
        <f t="shared" si="25"/>
        <v>-7</v>
      </c>
      <c r="H93" s="10">
        <f t="shared" si="25"/>
        <v>-8</v>
      </c>
      <c r="I93" s="10">
        <f t="shared" si="25"/>
        <v>-9</v>
      </c>
      <c r="J93" s="10">
        <f t="shared" si="25"/>
        <v>-10</v>
      </c>
      <c r="K93" s="10">
        <f t="shared" si="25"/>
        <v>-11</v>
      </c>
      <c r="L93" s="10">
        <f t="shared" si="25"/>
        <v>-12</v>
      </c>
      <c r="M93" s="10">
        <f>L93-1</f>
        <v>-13</v>
      </c>
      <c r="N93" s="10">
        <f t="shared" ref="N93:V93" si="26">M93-1</f>
        <v>-14</v>
      </c>
      <c r="O93" s="10">
        <f t="shared" si="26"/>
        <v>-15</v>
      </c>
      <c r="P93" s="10">
        <f t="shared" si="26"/>
        <v>-16</v>
      </c>
      <c r="Q93" s="10">
        <f t="shared" si="26"/>
        <v>-17</v>
      </c>
      <c r="R93" s="10">
        <f t="shared" si="26"/>
        <v>-18</v>
      </c>
      <c r="S93" s="10">
        <f t="shared" si="26"/>
        <v>-19</v>
      </c>
      <c r="T93" s="10">
        <f t="shared" si="26"/>
        <v>-20</v>
      </c>
      <c r="U93" s="10">
        <f t="shared" si="26"/>
        <v>-21</v>
      </c>
      <c r="V93" s="10">
        <f t="shared" si="26"/>
        <v>-22</v>
      </c>
      <c r="W93" s="10">
        <v>-23</v>
      </c>
      <c r="X93" s="10">
        <f>W93-1</f>
        <v>-24</v>
      </c>
    </row>
    <row r="94" spans="1:31">
      <c r="A94" s="80"/>
      <c r="B94" s="80"/>
      <c r="C94" s="6"/>
      <c r="D94" s="6"/>
      <c r="E94" s="6"/>
      <c r="F94" s="6"/>
      <c r="G94" s="17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6"/>
      <c r="T94" s="6"/>
      <c r="U94" s="6"/>
      <c r="V94" s="6"/>
      <c r="W94" s="87"/>
      <c r="X94" s="6"/>
    </row>
    <row r="95" spans="1:31">
      <c r="A95" s="6">
        <v>1992</v>
      </c>
      <c r="B95" s="6"/>
      <c r="C95" s="6"/>
      <c r="D95" s="6"/>
      <c r="E95" s="6"/>
      <c r="F95" s="6"/>
      <c r="G95" s="81"/>
      <c r="H95" s="81"/>
      <c r="I95" s="81"/>
      <c r="J95" s="81"/>
      <c r="K95" s="81"/>
      <c r="L95" s="81"/>
      <c r="M95" s="81"/>
      <c r="N95" s="81"/>
      <c r="Q95" s="81"/>
      <c r="R95" s="81"/>
      <c r="S95" s="81"/>
      <c r="T95" s="81"/>
      <c r="U95" s="81"/>
      <c r="V95" s="81"/>
      <c r="W95" s="87"/>
      <c r="X95" s="81">
        <f>T95+W95</f>
        <v>0</v>
      </c>
    </row>
    <row r="96" spans="1:31">
      <c r="A96" s="6">
        <f>A95+1</f>
        <v>1993</v>
      </c>
      <c r="B96" s="6"/>
      <c r="C96" s="6"/>
      <c r="D96" s="6"/>
      <c r="E96" s="6"/>
      <c r="F96" s="6"/>
      <c r="G96" s="81"/>
      <c r="H96" s="81"/>
      <c r="I96" s="81"/>
      <c r="J96" s="81"/>
      <c r="K96" s="81"/>
      <c r="L96" s="81"/>
      <c r="M96" s="81"/>
      <c r="N96" s="81"/>
      <c r="Q96" s="81"/>
      <c r="R96" s="81"/>
      <c r="S96" s="81"/>
      <c r="T96" s="81"/>
      <c r="U96" s="81"/>
      <c r="V96" s="81"/>
      <c r="W96" s="87"/>
      <c r="X96" s="81"/>
      <c r="AE96" s="81"/>
    </row>
    <row r="97" spans="1:36">
      <c r="A97" s="6">
        <f t="shared" ref="A97:A123" si="27">A96+1</f>
        <v>1994</v>
      </c>
      <c r="B97" s="6"/>
      <c r="G97" s="81"/>
      <c r="H97" s="81"/>
      <c r="I97" s="81"/>
      <c r="N97" s="81"/>
      <c r="O97" s="81"/>
      <c r="U97" s="81"/>
      <c r="V97" s="81"/>
      <c r="W97" s="87"/>
      <c r="AB97" s="81"/>
      <c r="AC97" s="81"/>
      <c r="AI97" s="81"/>
      <c r="AJ97" s="81"/>
    </row>
    <row r="98" spans="1:36">
      <c r="A98" s="6">
        <f t="shared" si="27"/>
        <v>1995</v>
      </c>
      <c r="B98" s="6"/>
      <c r="I98" s="81"/>
      <c r="W98" s="87"/>
    </row>
    <row r="99" spans="1:36">
      <c r="A99" s="6">
        <f t="shared" si="27"/>
        <v>1996</v>
      </c>
      <c r="B99" s="6"/>
      <c r="C99" s="18"/>
      <c r="D99" s="95"/>
      <c r="E99" s="18"/>
      <c r="F99" s="95"/>
      <c r="G99" s="81"/>
      <c r="H99" s="81"/>
      <c r="I99" s="81"/>
      <c r="J99" s="18"/>
      <c r="K99" s="18"/>
      <c r="L99" s="18"/>
      <c r="M99" s="18"/>
      <c r="N99" s="81"/>
      <c r="O99" s="81"/>
      <c r="P99" s="95"/>
      <c r="Q99" s="18"/>
      <c r="R99" s="18"/>
      <c r="S99" s="18"/>
      <c r="T99" s="18"/>
      <c r="U99" s="81"/>
      <c r="V99" s="81"/>
      <c r="W99" s="87"/>
      <c r="X99" s="18"/>
      <c r="Y99" s="18"/>
      <c r="Z99" s="18"/>
      <c r="AA99" s="18"/>
      <c r="AB99" s="81"/>
      <c r="AC99" s="81"/>
      <c r="AE99" s="18"/>
      <c r="AF99" s="18"/>
      <c r="AG99" s="18"/>
      <c r="AH99" s="18"/>
      <c r="AI99" s="18"/>
      <c r="AJ99" s="18"/>
    </row>
    <row r="100" spans="1:36">
      <c r="A100" s="6">
        <f t="shared" si="27"/>
        <v>1997</v>
      </c>
      <c r="B100" s="6"/>
      <c r="C100" s="18"/>
      <c r="D100" s="95"/>
      <c r="E100" s="18"/>
      <c r="F100" s="95"/>
      <c r="G100" s="81"/>
      <c r="H100" s="81"/>
      <c r="I100" s="81"/>
      <c r="J100" s="18"/>
      <c r="K100" s="18"/>
      <c r="L100" s="18"/>
      <c r="M100" s="18"/>
      <c r="N100" s="81"/>
      <c r="O100" s="81"/>
      <c r="P100" s="95"/>
      <c r="Q100" s="18"/>
      <c r="R100" s="18"/>
      <c r="S100" s="18"/>
      <c r="T100" s="18"/>
      <c r="U100" s="81"/>
      <c r="V100" s="81"/>
      <c r="W100" s="87"/>
      <c r="X100" s="18"/>
      <c r="Y100" s="18"/>
      <c r="Z100" s="18"/>
      <c r="AA100" s="18"/>
      <c r="AB100" s="81"/>
      <c r="AC100" s="81"/>
      <c r="AE100" s="18"/>
      <c r="AF100" s="18"/>
      <c r="AG100" s="18"/>
      <c r="AH100" s="18"/>
      <c r="AI100" s="18"/>
      <c r="AJ100" s="18"/>
    </row>
    <row r="101" spans="1:36">
      <c r="A101" s="6">
        <f t="shared" si="27"/>
        <v>1998</v>
      </c>
      <c r="B101" s="6"/>
      <c r="C101" s="18"/>
      <c r="D101" s="95"/>
      <c r="E101" s="18"/>
      <c r="F101" s="95"/>
      <c r="G101" s="81"/>
      <c r="H101" s="81"/>
      <c r="I101" s="81"/>
      <c r="J101" s="18"/>
      <c r="K101" s="18"/>
      <c r="L101" s="18"/>
      <c r="M101" s="18"/>
      <c r="N101" s="81"/>
      <c r="O101" s="81"/>
      <c r="P101" s="95"/>
      <c r="Q101" s="18"/>
      <c r="R101" s="18"/>
      <c r="S101" s="18"/>
      <c r="T101" s="18"/>
      <c r="U101" s="81"/>
      <c r="V101" s="81"/>
      <c r="W101" s="87"/>
      <c r="X101" s="18"/>
      <c r="Y101" s="18"/>
      <c r="Z101" s="18"/>
      <c r="AA101" s="18"/>
      <c r="AB101" s="81"/>
      <c r="AC101" s="81"/>
      <c r="AE101" s="18"/>
      <c r="AF101" s="18"/>
      <c r="AG101" s="18"/>
      <c r="AH101" s="18"/>
      <c r="AI101" s="18"/>
      <c r="AJ101" s="18"/>
    </row>
    <row r="102" spans="1:36">
      <c r="A102" s="6">
        <f t="shared" si="27"/>
        <v>1999</v>
      </c>
      <c r="B102" s="6"/>
      <c r="C102" s="18"/>
      <c r="D102" s="95"/>
      <c r="E102" s="18"/>
      <c r="F102" s="95"/>
      <c r="G102" s="81"/>
      <c r="H102" s="81"/>
      <c r="I102" s="81"/>
      <c r="J102" s="18"/>
      <c r="K102" s="18"/>
      <c r="L102" s="18"/>
      <c r="M102" s="18"/>
      <c r="N102" s="81"/>
      <c r="O102" s="81"/>
      <c r="P102" s="95"/>
      <c r="Q102" s="18"/>
      <c r="R102" s="18"/>
      <c r="S102" s="18"/>
      <c r="T102" s="18"/>
      <c r="U102" s="81"/>
      <c r="V102" s="81"/>
      <c r="W102" s="87"/>
      <c r="X102" s="18"/>
      <c r="Y102" s="18"/>
      <c r="Z102" s="18"/>
      <c r="AA102" s="18"/>
      <c r="AB102" s="81"/>
      <c r="AC102" s="81"/>
      <c r="AE102" s="18"/>
      <c r="AF102" s="18"/>
      <c r="AG102" s="18"/>
      <c r="AH102" s="18"/>
      <c r="AI102" s="18"/>
      <c r="AJ102" s="18"/>
    </row>
    <row r="103" spans="1:36">
      <c r="A103" s="6">
        <f t="shared" si="27"/>
        <v>2000</v>
      </c>
      <c r="B103" s="6"/>
      <c r="C103" s="18"/>
      <c r="D103" s="95"/>
      <c r="E103" s="18"/>
      <c r="F103" s="95"/>
      <c r="G103" s="81"/>
      <c r="H103" s="81"/>
      <c r="I103" s="81"/>
      <c r="J103" s="18"/>
      <c r="K103" s="18"/>
      <c r="L103" s="18"/>
      <c r="M103" s="18"/>
      <c r="N103" s="81"/>
      <c r="O103" s="81"/>
      <c r="P103" s="95"/>
      <c r="Q103" s="18"/>
      <c r="R103" s="18"/>
      <c r="S103" s="18"/>
      <c r="T103" s="18"/>
      <c r="U103" s="81"/>
      <c r="V103" s="81"/>
      <c r="W103" s="87"/>
      <c r="X103" s="18"/>
      <c r="Y103" s="18"/>
      <c r="Z103" s="18"/>
      <c r="AA103" s="18"/>
      <c r="AB103" s="81"/>
      <c r="AC103" s="81"/>
      <c r="AE103" s="18"/>
      <c r="AF103" s="18"/>
      <c r="AG103" s="18"/>
      <c r="AH103" s="18"/>
      <c r="AI103" s="18"/>
      <c r="AJ103" s="18"/>
    </row>
    <row r="104" spans="1:36">
      <c r="A104" s="6">
        <f t="shared" si="27"/>
        <v>2001</v>
      </c>
      <c r="B104" s="6"/>
      <c r="C104" s="18"/>
      <c r="D104" s="95"/>
      <c r="E104" s="18"/>
      <c r="F104" s="95"/>
      <c r="G104" s="81"/>
      <c r="H104" s="81"/>
      <c r="I104" s="81"/>
      <c r="J104" s="18"/>
      <c r="K104" s="18"/>
      <c r="L104" s="18"/>
      <c r="M104" s="18"/>
      <c r="N104" s="81"/>
      <c r="O104" s="81"/>
      <c r="P104" s="95"/>
      <c r="Q104" s="18"/>
      <c r="R104" s="18"/>
      <c r="S104" s="18"/>
      <c r="T104" s="18"/>
      <c r="U104" s="81"/>
      <c r="V104" s="81"/>
      <c r="W104" s="87"/>
      <c r="X104" s="18"/>
      <c r="Y104" s="18"/>
      <c r="Z104" s="18"/>
      <c r="AA104" s="18"/>
      <c r="AB104" s="81"/>
      <c r="AC104" s="81"/>
      <c r="AE104" s="18"/>
      <c r="AF104" s="18"/>
      <c r="AG104" s="18"/>
      <c r="AH104" s="18"/>
      <c r="AI104" s="18"/>
      <c r="AJ104" s="18"/>
    </row>
    <row r="105" spans="1:36">
      <c r="A105" s="6">
        <f t="shared" si="27"/>
        <v>2002</v>
      </c>
      <c r="B105" s="6"/>
      <c r="C105" s="18"/>
      <c r="D105" s="95"/>
      <c r="E105" s="18"/>
      <c r="F105" s="95"/>
      <c r="G105" s="81"/>
      <c r="H105" s="81"/>
      <c r="I105" s="81"/>
      <c r="J105" s="18"/>
      <c r="K105" s="18"/>
      <c r="L105" s="18"/>
      <c r="M105" s="18"/>
      <c r="N105" s="81"/>
      <c r="O105" s="81"/>
      <c r="P105" s="95"/>
      <c r="Q105" s="18"/>
      <c r="R105" s="18"/>
      <c r="S105" s="18"/>
      <c r="T105" s="18"/>
      <c r="U105" s="81"/>
      <c r="V105" s="81"/>
      <c r="W105" s="87"/>
      <c r="X105" s="18"/>
      <c r="Y105" s="18"/>
      <c r="Z105" s="18"/>
      <c r="AA105" s="18"/>
      <c r="AB105" s="81"/>
      <c r="AC105" s="81"/>
      <c r="AE105" s="18"/>
      <c r="AF105" s="18"/>
      <c r="AG105" s="18"/>
      <c r="AH105" s="18"/>
      <c r="AI105" s="18"/>
      <c r="AJ105" s="18"/>
    </row>
    <row r="106" spans="1:36">
      <c r="A106" s="6">
        <f t="shared" si="27"/>
        <v>2003</v>
      </c>
      <c r="B106" s="6"/>
      <c r="C106" s="18"/>
      <c r="D106" s="95"/>
      <c r="E106" s="18"/>
      <c r="F106" s="95"/>
      <c r="G106" s="81"/>
      <c r="H106" s="81"/>
      <c r="I106" s="81"/>
      <c r="J106" s="18"/>
      <c r="K106" s="18"/>
      <c r="L106" s="18"/>
      <c r="M106" s="18"/>
      <c r="N106" s="81"/>
      <c r="O106" s="81"/>
      <c r="P106" s="95"/>
      <c r="Q106" s="18"/>
      <c r="R106" s="18"/>
      <c r="S106" s="18"/>
      <c r="T106" s="18"/>
      <c r="U106" s="81"/>
      <c r="V106" s="81"/>
      <c r="W106" s="87"/>
      <c r="X106" s="18"/>
      <c r="Y106" s="18"/>
      <c r="Z106" s="18"/>
      <c r="AA106" s="18"/>
      <c r="AB106" s="81"/>
      <c r="AC106" s="81"/>
      <c r="AE106" s="18"/>
      <c r="AF106" s="18"/>
      <c r="AG106" s="18"/>
      <c r="AH106" s="18"/>
      <c r="AI106" s="18"/>
      <c r="AJ106" s="18"/>
    </row>
    <row r="107" spans="1:36">
      <c r="A107" s="6">
        <f t="shared" si="27"/>
        <v>2004</v>
      </c>
      <c r="B107" s="6"/>
      <c r="C107" s="18"/>
      <c r="D107" s="95"/>
      <c r="E107" s="18"/>
      <c r="F107" s="95"/>
      <c r="G107" s="81"/>
      <c r="H107" s="81"/>
      <c r="I107" s="81"/>
      <c r="J107" s="18"/>
      <c r="K107" s="18"/>
      <c r="L107" s="18"/>
      <c r="M107" s="18"/>
      <c r="N107" s="81"/>
      <c r="O107" s="81"/>
      <c r="P107" s="95"/>
      <c r="Q107" s="18"/>
      <c r="R107" s="18"/>
      <c r="S107" s="18"/>
      <c r="T107" s="18"/>
      <c r="U107" s="81"/>
      <c r="V107" s="81"/>
      <c r="W107" s="87"/>
      <c r="X107" s="18"/>
      <c r="Y107" s="18"/>
      <c r="Z107" s="18"/>
      <c r="AA107" s="18"/>
      <c r="AB107" s="81"/>
      <c r="AC107" s="81"/>
      <c r="AE107" s="18"/>
      <c r="AF107" s="18"/>
      <c r="AG107" s="18"/>
      <c r="AH107" s="18"/>
      <c r="AI107" s="18"/>
      <c r="AJ107" s="18"/>
    </row>
    <row r="108" spans="1:36">
      <c r="A108" s="6">
        <f t="shared" si="27"/>
        <v>2005</v>
      </c>
      <c r="B108" s="6"/>
      <c r="C108" s="18"/>
      <c r="D108" s="95"/>
      <c r="E108" s="18"/>
      <c r="F108" s="95"/>
      <c r="G108" s="81"/>
      <c r="H108" s="81"/>
      <c r="I108" s="81"/>
      <c r="J108" s="18"/>
      <c r="K108" s="18"/>
      <c r="L108" s="18"/>
      <c r="M108" s="18"/>
      <c r="N108" s="81"/>
      <c r="O108" s="81"/>
      <c r="P108" s="95"/>
      <c r="Q108" s="18"/>
      <c r="R108" s="18"/>
      <c r="S108" s="18"/>
      <c r="T108" s="18"/>
      <c r="U108" s="81"/>
      <c r="V108" s="81"/>
      <c r="W108" s="87"/>
      <c r="X108" s="18"/>
      <c r="Y108" s="18"/>
      <c r="Z108" s="18"/>
      <c r="AA108" s="18"/>
      <c r="AB108" s="81"/>
      <c r="AC108" s="81"/>
      <c r="AE108" s="18"/>
      <c r="AF108" s="18"/>
      <c r="AG108" s="18"/>
      <c r="AH108" s="18"/>
      <c r="AI108" s="18"/>
      <c r="AJ108" s="18"/>
    </row>
    <row r="109" spans="1:36">
      <c r="A109" s="6">
        <f t="shared" si="27"/>
        <v>2006</v>
      </c>
      <c r="B109" s="6"/>
      <c r="G109" s="81"/>
      <c r="H109" s="81"/>
      <c r="I109" s="81"/>
      <c r="N109" s="81"/>
      <c r="O109" s="81"/>
      <c r="U109" s="81"/>
      <c r="V109" s="81"/>
      <c r="W109" s="87"/>
      <c r="AB109" s="81"/>
      <c r="AC109" s="81"/>
      <c r="AI109" s="81"/>
      <c r="AJ109" s="81"/>
    </row>
    <row r="110" spans="1:36">
      <c r="A110" s="6">
        <f t="shared" si="27"/>
        <v>2007</v>
      </c>
      <c r="B110" s="6"/>
      <c r="C110" s="18"/>
      <c r="D110" s="18"/>
      <c r="E110" s="18"/>
      <c r="F110" s="18"/>
      <c r="G110" s="18"/>
      <c r="H110" s="18"/>
      <c r="I110" s="81"/>
      <c r="J110" s="18"/>
      <c r="K110" s="18"/>
      <c r="L110" s="18"/>
      <c r="M110" s="18"/>
      <c r="N110" s="18"/>
      <c r="O110" s="18"/>
      <c r="Q110" s="18"/>
      <c r="R110" s="18"/>
      <c r="S110" s="18"/>
      <c r="T110" s="18"/>
      <c r="U110" s="18"/>
      <c r="V110" s="18"/>
      <c r="W110" s="87"/>
      <c r="X110" s="18"/>
      <c r="Y110" s="18"/>
      <c r="Z110" s="18"/>
      <c r="AA110" s="18"/>
      <c r="AB110" s="18"/>
      <c r="AC110" s="18"/>
      <c r="AE110" s="18"/>
      <c r="AF110" s="18"/>
      <c r="AG110" s="18"/>
      <c r="AH110" s="18"/>
      <c r="AI110" s="18"/>
      <c r="AJ110" s="18"/>
    </row>
    <row r="111" spans="1:36">
      <c r="A111" s="6">
        <f t="shared" si="27"/>
        <v>2008</v>
      </c>
      <c r="B111" s="6"/>
      <c r="C111" s="6"/>
      <c r="D111" s="6"/>
      <c r="E111" s="6"/>
      <c r="F111" s="6"/>
      <c r="G111" s="81"/>
      <c r="H111" s="81"/>
      <c r="I111" s="81"/>
      <c r="J111" s="81"/>
      <c r="K111" s="81"/>
      <c r="L111" s="81"/>
      <c r="M111" s="81"/>
      <c r="N111" s="81"/>
      <c r="O111" s="81"/>
      <c r="P111" s="81"/>
      <c r="Q111" s="81"/>
      <c r="R111" s="81"/>
      <c r="S111" s="81"/>
      <c r="T111" s="81"/>
      <c r="U111" s="81"/>
      <c r="V111" s="81"/>
      <c r="W111" s="87"/>
      <c r="X111" s="81"/>
    </row>
    <row r="112" spans="1:36">
      <c r="A112" s="6">
        <f t="shared" si="27"/>
        <v>2009</v>
      </c>
      <c r="B112" s="6"/>
      <c r="C112" s="6"/>
      <c r="D112" s="6"/>
      <c r="E112" s="6"/>
      <c r="F112" s="6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1"/>
      <c r="W112" s="87"/>
      <c r="X112" s="81"/>
    </row>
    <row r="113" spans="1:24">
      <c r="A113" s="6">
        <f t="shared" si="27"/>
        <v>2010</v>
      </c>
      <c r="B113" s="6"/>
      <c r="C113" s="6"/>
      <c r="D113" s="6"/>
      <c r="E113" s="6"/>
      <c r="F113" s="6"/>
      <c r="G113" s="81"/>
      <c r="H113" s="81"/>
      <c r="I113" s="81"/>
      <c r="J113" s="81"/>
      <c r="K113" s="81"/>
      <c r="L113" s="81"/>
      <c r="M113" s="81"/>
      <c r="N113" s="81"/>
      <c r="O113" s="81"/>
      <c r="P113" s="81"/>
      <c r="Q113" s="81"/>
      <c r="R113" s="81"/>
      <c r="S113" s="81"/>
      <c r="T113" s="81"/>
      <c r="U113" s="81"/>
      <c r="V113" s="81"/>
      <c r="W113" s="87"/>
      <c r="X113" s="81"/>
    </row>
    <row r="114" spans="1:24">
      <c r="A114" s="6">
        <f t="shared" si="27"/>
        <v>2011</v>
      </c>
      <c r="B114" s="6"/>
      <c r="C114" s="6"/>
      <c r="D114" s="6"/>
      <c r="E114" s="6"/>
      <c r="F114" s="6"/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>
        <v>0</v>
      </c>
      <c r="U114" s="81"/>
      <c r="V114" s="81"/>
      <c r="W114" s="87"/>
      <c r="X114" s="81"/>
    </row>
    <row r="115" spans="1:24">
      <c r="A115" s="6">
        <f t="shared" si="27"/>
        <v>2012</v>
      </c>
      <c r="B115" s="56"/>
      <c r="C115" s="56">
        <f>(C35-B35)-(B75+C75-0.95*B35)</f>
        <v>1721</v>
      </c>
      <c r="D115" s="56">
        <f>D35-D75</f>
        <v>1721</v>
      </c>
      <c r="E115" s="56">
        <f>E35-E75</f>
        <v>1721</v>
      </c>
      <c r="F115" s="56">
        <f>F35-F75</f>
        <v>1721</v>
      </c>
      <c r="G115" s="81">
        <f>C115+E115-B115</f>
        <v>3442</v>
      </c>
      <c r="H115" s="81">
        <f t="shared" ref="H115:H123" si="28">SUM(C115:F115)-B115</f>
        <v>6884</v>
      </c>
      <c r="I115" s="81">
        <f t="shared" ref="I115:I123" si="29">C115-B115</f>
        <v>1721</v>
      </c>
      <c r="J115" s="81">
        <f t="shared" ref="J115:J123" si="30">I115+D115</f>
        <v>3442</v>
      </c>
      <c r="K115" s="81">
        <f t="shared" ref="K115:K123" si="31">E115</f>
        <v>1721</v>
      </c>
      <c r="L115" s="81">
        <f t="shared" ref="L115:L123" si="32">K115+F115</f>
        <v>3442</v>
      </c>
      <c r="M115" s="81">
        <f t="shared" ref="M115:M123" si="33">O115*(1-N$10)</f>
        <v>-4001.3250000000003</v>
      </c>
      <c r="N115" s="81">
        <f t="shared" ref="N115:N123" si="34">O115-M115</f>
        <v>-1161.6749999999997</v>
      </c>
      <c r="O115" s="81">
        <f>R115-H115</f>
        <v>-5163</v>
      </c>
      <c r="P115" s="81">
        <f>J115+M115</f>
        <v>-559.32500000000027</v>
      </c>
      <c r="Q115" s="81">
        <f>L115+N115</f>
        <v>2280.3250000000003</v>
      </c>
      <c r="R115" s="81">
        <f>'Exhibit A, 1d'!S45+'Exhibit B,3'!AI45</f>
        <v>1721</v>
      </c>
      <c r="S115" s="81">
        <v>0</v>
      </c>
      <c r="T115" s="81">
        <v>0</v>
      </c>
      <c r="U115" s="81">
        <f>S115+T115</f>
        <v>0</v>
      </c>
      <c r="V115" s="81">
        <f>U115+R115</f>
        <v>1721</v>
      </c>
      <c r="W115" s="87">
        <v>0</v>
      </c>
      <c r="X115" s="81"/>
    </row>
    <row r="116" spans="1:24">
      <c r="A116" s="6">
        <f t="shared" si="27"/>
        <v>2013</v>
      </c>
      <c r="B116" s="56"/>
      <c r="C116" s="56">
        <f>(C36-B36)-(B76+C76-0.95*B36)</f>
        <v>14172.079999999958</v>
      </c>
      <c r="D116" s="56">
        <f t="shared" ref="D116:F123" si="35">D36-D76</f>
        <v>57021.58</v>
      </c>
      <c r="E116" s="56">
        <f t="shared" si="35"/>
        <v>1100000</v>
      </c>
      <c r="F116" s="56">
        <f t="shared" si="35"/>
        <v>174000</v>
      </c>
      <c r="G116" s="81">
        <f t="shared" ref="G116:G123" si="36">C116+E116-B116</f>
        <v>1114172.08</v>
      </c>
      <c r="H116" s="81">
        <f t="shared" si="28"/>
        <v>1345193.66</v>
      </c>
      <c r="I116" s="81">
        <f t="shared" si="29"/>
        <v>14172.079999999958</v>
      </c>
      <c r="J116" s="81">
        <f t="shared" si="30"/>
        <v>71193.65999999996</v>
      </c>
      <c r="K116" s="81">
        <f t="shared" si="31"/>
        <v>1100000</v>
      </c>
      <c r="L116" s="81">
        <f t="shared" si="32"/>
        <v>1274000</v>
      </c>
      <c r="M116" s="81">
        <f t="shared" si="33"/>
        <v>-1042377.6331803742</v>
      </c>
      <c r="N116" s="81">
        <f t="shared" si="34"/>
        <v>-302625.76447172149</v>
      </c>
      <c r="O116" s="81">
        <f t="shared" ref="O116:O123" si="37">R116-H116</f>
        <v>-1345003.3976520956</v>
      </c>
      <c r="P116" s="81">
        <f t="shared" ref="P116:P123" si="38">J116+M116</f>
        <v>-971183.97318037425</v>
      </c>
      <c r="Q116" s="81">
        <f t="shared" ref="Q116:Q123" si="39">L116+N116</f>
        <v>971374.23552827851</v>
      </c>
      <c r="R116" s="81">
        <f>'Exhibit A, 1d'!S46+'Exhibit B,3'!AI46</f>
        <v>190.26234790433719</v>
      </c>
      <c r="S116" s="81">
        <v>0</v>
      </c>
      <c r="T116" s="81">
        <v>0</v>
      </c>
      <c r="U116" s="81">
        <f t="shared" ref="U116:U124" si="40">S116+T116</f>
        <v>0</v>
      </c>
      <c r="V116" s="81">
        <f t="shared" ref="V116:V124" si="41">U116+R116</f>
        <v>190.26234790433719</v>
      </c>
      <c r="W116" s="87">
        <v>1535.9499999999971</v>
      </c>
      <c r="X116" s="81"/>
    </row>
    <row r="117" spans="1:24">
      <c r="A117" s="6">
        <f t="shared" si="27"/>
        <v>2014</v>
      </c>
      <c r="B117" s="56"/>
      <c r="C117" s="56">
        <f>(C37-B37)-(B77+C77-0.95*B37)</f>
        <v>358635.49</v>
      </c>
      <c r="D117" s="56">
        <f t="shared" si="35"/>
        <v>249890.74</v>
      </c>
      <c r="E117" s="56">
        <f t="shared" si="35"/>
        <v>355194.97249999997</v>
      </c>
      <c r="F117" s="56">
        <f t="shared" si="35"/>
        <v>356541.50750000001</v>
      </c>
      <c r="G117" s="81">
        <f t="shared" si="36"/>
        <v>713830.46249999991</v>
      </c>
      <c r="H117" s="81">
        <f t="shared" si="28"/>
        <v>1320262.71</v>
      </c>
      <c r="I117" s="81">
        <f t="shared" si="29"/>
        <v>358635.49</v>
      </c>
      <c r="J117" s="81">
        <f t="shared" si="30"/>
        <v>608526.23</v>
      </c>
      <c r="K117" s="81">
        <f t="shared" si="31"/>
        <v>355194.97249999997</v>
      </c>
      <c r="L117" s="81">
        <f t="shared" si="32"/>
        <v>711736.48</v>
      </c>
      <c r="M117" s="81">
        <f t="shared" si="33"/>
        <v>-973528.51322688279</v>
      </c>
      <c r="N117" s="81">
        <f t="shared" si="34"/>
        <v>-282637.31029167562</v>
      </c>
      <c r="O117" s="81">
        <f t="shared" si="37"/>
        <v>-1256165.8235185584</v>
      </c>
      <c r="P117" s="81">
        <f t="shared" si="38"/>
        <v>-365002.28322688281</v>
      </c>
      <c r="Q117" s="81">
        <f t="shared" si="39"/>
        <v>429099.16970832436</v>
      </c>
      <c r="R117" s="81">
        <f>'Exhibit A, 1d'!S47+'Exhibit B,3'!AI47</f>
        <v>64096.886481441674</v>
      </c>
      <c r="S117" s="81">
        <v>0</v>
      </c>
      <c r="T117" s="81">
        <v>0</v>
      </c>
      <c r="U117" s="81">
        <f t="shared" si="40"/>
        <v>0</v>
      </c>
      <c r="V117" s="81">
        <f t="shared" si="41"/>
        <v>64096.886481441674</v>
      </c>
      <c r="W117" s="87">
        <v>2101.1100000000006</v>
      </c>
      <c r="X117" s="81"/>
    </row>
    <row r="118" spans="1:24">
      <c r="A118" s="6">
        <f t="shared" si="27"/>
        <v>2015</v>
      </c>
      <c r="B118" s="56"/>
      <c r="C118" s="56">
        <f t="shared" ref="C118:C123" si="42">(C38-B38)-(B78+C78-0.95*B38)</f>
        <v>11628533.219000001</v>
      </c>
      <c r="D118" s="56">
        <f t="shared" si="35"/>
        <v>10491209.669999998</v>
      </c>
      <c r="E118" s="56">
        <f t="shared" si="35"/>
        <v>12350082.66</v>
      </c>
      <c r="F118" s="56">
        <f t="shared" si="35"/>
        <v>11889817.369999997</v>
      </c>
      <c r="G118" s="81">
        <f t="shared" si="36"/>
        <v>23978615.879000001</v>
      </c>
      <c r="H118" s="81">
        <f t="shared" si="28"/>
        <v>46359642.918999992</v>
      </c>
      <c r="I118" s="81">
        <f t="shared" si="29"/>
        <v>11628533.219000001</v>
      </c>
      <c r="J118" s="81">
        <f t="shared" si="30"/>
        <v>22119742.888999999</v>
      </c>
      <c r="K118" s="81">
        <f t="shared" si="31"/>
        <v>12350082.66</v>
      </c>
      <c r="L118" s="81">
        <f t="shared" si="32"/>
        <v>24239900.029999997</v>
      </c>
      <c r="M118" s="81">
        <f t="shared" si="33"/>
        <v>-35910724.408249408</v>
      </c>
      <c r="N118" s="81">
        <f t="shared" si="34"/>
        <v>-10425694.18304015</v>
      </c>
      <c r="O118" s="81">
        <f t="shared" si="37"/>
        <v>-46336418.591289558</v>
      </c>
      <c r="P118" s="81">
        <f t="shared" si="38"/>
        <v>-13790981.519249409</v>
      </c>
      <c r="Q118" s="81">
        <f t="shared" si="39"/>
        <v>13814205.846959848</v>
      </c>
      <c r="R118" s="81">
        <f>'Exhibit A, 1d'!S48+'Exhibit B,3'!AI48</f>
        <v>23224.327710435431</v>
      </c>
      <c r="S118" s="81">
        <v>0</v>
      </c>
      <c r="T118" s="81">
        <v>0</v>
      </c>
      <c r="U118" s="81">
        <f t="shared" si="40"/>
        <v>0</v>
      </c>
      <c r="V118" s="81">
        <f t="shared" si="41"/>
        <v>23224.327710435431</v>
      </c>
      <c r="W118" s="87">
        <v>11788</v>
      </c>
      <c r="X118" s="81"/>
    </row>
    <row r="119" spans="1:24">
      <c r="A119" s="6">
        <f t="shared" si="27"/>
        <v>2016</v>
      </c>
      <c r="B119" s="56"/>
      <c r="C119" s="56">
        <f t="shared" si="42"/>
        <v>-107927.01550000068</v>
      </c>
      <c r="D119" s="56">
        <f t="shared" si="35"/>
        <v>4729730.6399999997</v>
      </c>
      <c r="E119" s="56">
        <f t="shared" si="35"/>
        <v>6869094.4519999996</v>
      </c>
      <c r="F119" s="56">
        <f t="shared" si="35"/>
        <v>6880279.4279999994</v>
      </c>
      <c r="G119" s="81">
        <f t="shared" si="36"/>
        <v>6761167.4364999989</v>
      </c>
      <c r="H119" s="81">
        <f t="shared" si="28"/>
        <v>18371177.504499998</v>
      </c>
      <c r="I119" s="81">
        <f t="shared" si="29"/>
        <v>-107927.01550000068</v>
      </c>
      <c r="J119" s="81">
        <f t="shared" si="30"/>
        <v>4621803.624499999</v>
      </c>
      <c r="K119" s="81">
        <f t="shared" si="31"/>
        <v>6869094.4519999996</v>
      </c>
      <c r="L119" s="81">
        <f t="shared" si="32"/>
        <v>13749373.879999999</v>
      </c>
      <c r="M119" s="81">
        <f t="shared" si="33"/>
        <v>-14039120.251299817</v>
      </c>
      <c r="N119" s="81">
        <f t="shared" si="34"/>
        <v>-4075873.6213451065</v>
      </c>
      <c r="O119" s="81">
        <f t="shared" si="37"/>
        <v>-18114993.872644924</v>
      </c>
      <c r="P119" s="81">
        <f t="shared" si="38"/>
        <v>-9417316.6267998181</v>
      </c>
      <c r="Q119" s="81">
        <f t="shared" si="39"/>
        <v>9673500.2586548924</v>
      </c>
      <c r="R119" s="81">
        <f>'Exhibit A, 1d'!S49+'Exhibit B,3'!AI49</f>
        <v>256183.63185507539</v>
      </c>
      <c r="S119" s="81">
        <v>0</v>
      </c>
      <c r="T119" s="81">
        <v>0</v>
      </c>
      <c r="U119" s="81">
        <f t="shared" si="40"/>
        <v>0</v>
      </c>
      <c r="V119" s="81">
        <f t="shared" si="41"/>
        <v>256183.63185507539</v>
      </c>
      <c r="W119" s="87">
        <v>60575</v>
      </c>
      <c r="X119" s="81"/>
    </row>
    <row r="120" spans="1:24">
      <c r="A120" s="6">
        <f t="shared" si="27"/>
        <v>2017</v>
      </c>
      <c r="B120" s="56"/>
      <c r="C120" s="56">
        <f t="shared" si="42"/>
        <v>5487510.3614999996</v>
      </c>
      <c r="D120" s="56">
        <f t="shared" si="35"/>
        <v>4996639.5600000005</v>
      </c>
      <c r="E120" s="56">
        <f t="shared" si="35"/>
        <v>10801010.444</v>
      </c>
      <c r="F120" s="56">
        <f t="shared" si="35"/>
        <v>6127865.4559999993</v>
      </c>
      <c r="G120" s="81">
        <f t="shared" si="36"/>
        <v>16288520.805500001</v>
      </c>
      <c r="H120" s="81">
        <f t="shared" si="28"/>
        <v>27413025.821500003</v>
      </c>
      <c r="I120" s="81">
        <f t="shared" si="29"/>
        <v>5487510.3614999996</v>
      </c>
      <c r="J120" s="81">
        <f t="shared" si="30"/>
        <v>10484149.921500001</v>
      </c>
      <c r="K120" s="81">
        <f t="shared" si="31"/>
        <v>10801010.444</v>
      </c>
      <c r="L120" s="81">
        <f t="shared" si="32"/>
        <v>16928875.899999999</v>
      </c>
      <c r="M120" s="81">
        <f t="shared" si="33"/>
        <v>-21197365.2385858</v>
      </c>
      <c r="N120" s="81">
        <f t="shared" si="34"/>
        <v>-6154073.7789442614</v>
      </c>
      <c r="O120" s="81">
        <f t="shared" si="37"/>
        <v>-27351439.017530061</v>
      </c>
      <c r="P120" s="81">
        <f t="shared" si="38"/>
        <v>-10713215.317085799</v>
      </c>
      <c r="Q120" s="81">
        <f t="shared" si="39"/>
        <v>10774802.121055737</v>
      </c>
      <c r="R120" s="81">
        <f>'Exhibit A, 1d'!S50+'Exhibit B,3'!AI50</f>
        <v>61586.803969942368</v>
      </c>
      <c r="S120" s="81">
        <v>0</v>
      </c>
      <c r="T120" s="81">
        <v>0</v>
      </c>
      <c r="U120" s="81">
        <f t="shared" si="40"/>
        <v>0</v>
      </c>
      <c r="V120" s="81">
        <f t="shared" si="41"/>
        <v>61586.803969942368</v>
      </c>
      <c r="W120" s="87">
        <v>203580</v>
      </c>
      <c r="X120" s="81"/>
    </row>
    <row r="121" spans="1:24">
      <c r="A121" s="6">
        <f t="shared" si="27"/>
        <v>2018</v>
      </c>
      <c r="B121" s="56"/>
      <c r="C121" s="56">
        <f t="shared" si="42"/>
        <v>2828247.3859999999</v>
      </c>
      <c r="D121" s="56">
        <f t="shared" si="35"/>
        <v>2084162.0299999998</v>
      </c>
      <c r="E121" s="56">
        <f t="shared" si="35"/>
        <v>6356828.0474999994</v>
      </c>
      <c r="F121" s="56">
        <f t="shared" si="35"/>
        <v>5237197.6425000001</v>
      </c>
      <c r="G121" s="81">
        <f t="shared" si="36"/>
        <v>9185075.4334999993</v>
      </c>
      <c r="H121" s="81">
        <f t="shared" si="28"/>
        <v>16506435.105999999</v>
      </c>
      <c r="I121" s="81">
        <f t="shared" si="29"/>
        <v>2828247.3859999999</v>
      </c>
      <c r="J121" s="81">
        <f t="shared" si="30"/>
        <v>4912409.4159999993</v>
      </c>
      <c r="K121" s="81">
        <f t="shared" si="31"/>
        <v>6356828.0474999994</v>
      </c>
      <c r="L121" s="81">
        <f t="shared" si="32"/>
        <v>11594025.689999999</v>
      </c>
      <c r="M121" s="81">
        <f t="shared" si="33"/>
        <v>-12724904.433662988</v>
      </c>
      <c r="N121" s="81">
        <f t="shared" si="34"/>
        <v>-3694327.0936440919</v>
      </c>
      <c r="O121" s="81">
        <f t="shared" si="37"/>
        <v>-16419231.52730708</v>
      </c>
      <c r="P121" s="81">
        <f t="shared" si="38"/>
        <v>-7812495.017662989</v>
      </c>
      <c r="Q121" s="81">
        <f t="shared" si="39"/>
        <v>7899698.5963559076</v>
      </c>
      <c r="R121" s="81">
        <f>'Exhibit A, 1d'!S51+'Exhibit B,3'!AI51</f>
        <v>87203.578692919415</v>
      </c>
      <c r="S121" s="81">
        <v>0</v>
      </c>
      <c r="T121" s="81">
        <v>0</v>
      </c>
      <c r="U121" s="81">
        <f t="shared" si="40"/>
        <v>0</v>
      </c>
      <c r="V121" s="81">
        <f t="shared" si="41"/>
        <v>87203.578692919415</v>
      </c>
      <c r="W121" s="87">
        <v>196904</v>
      </c>
      <c r="X121" s="81"/>
    </row>
    <row r="122" spans="1:24">
      <c r="A122" s="6">
        <f t="shared" si="27"/>
        <v>2019</v>
      </c>
      <c r="B122" s="56"/>
      <c r="C122" s="56">
        <f t="shared" si="42"/>
        <v>-1866867.7895</v>
      </c>
      <c r="D122" s="56">
        <f t="shared" si="35"/>
        <v>-135376.44</v>
      </c>
      <c r="E122" s="56">
        <f t="shared" si="35"/>
        <v>323446.239</v>
      </c>
      <c r="F122" s="56">
        <f t="shared" si="35"/>
        <v>320725.72100000002</v>
      </c>
      <c r="G122" s="81">
        <f t="shared" si="36"/>
        <v>-1543421.5504999999</v>
      </c>
      <c r="H122" s="81">
        <f t="shared" si="28"/>
        <v>-1358072.2694999999</v>
      </c>
      <c r="I122" s="81">
        <f t="shared" si="29"/>
        <v>-1866867.7895</v>
      </c>
      <c r="J122" s="81">
        <f t="shared" si="30"/>
        <v>-2002244.2294999999</v>
      </c>
      <c r="K122" s="81">
        <f t="shared" si="31"/>
        <v>323446.239</v>
      </c>
      <c r="L122" s="81">
        <f t="shared" si="32"/>
        <v>644171.96</v>
      </c>
      <c r="M122" s="81">
        <f t="shared" si="33"/>
        <v>1173537.6288731061</v>
      </c>
      <c r="N122" s="81">
        <f t="shared" si="34"/>
        <v>340704.4728986437</v>
      </c>
      <c r="O122" s="81">
        <f t="shared" si="37"/>
        <v>1514242.1017717498</v>
      </c>
      <c r="P122" s="81">
        <f t="shared" si="38"/>
        <v>-828706.60062689381</v>
      </c>
      <c r="Q122" s="81">
        <f t="shared" si="39"/>
        <v>984876.43289864366</v>
      </c>
      <c r="R122" s="81">
        <f>'Exhibit A, 1d'!S52+'Exhibit B,3'!AI52</f>
        <v>156169.83227174991</v>
      </c>
      <c r="S122" s="81">
        <v>0</v>
      </c>
      <c r="T122" s="81">
        <v>0</v>
      </c>
      <c r="U122" s="81">
        <f t="shared" si="40"/>
        <v>0</v>
      </c>
      <c r="V122" s="81">
        <f t="shared" si="41"/>
        <v>156169.83227174991</v>
      </c>
      <c r="W122" s="87">
        <v>196752.62299999595</v>
      </c>
      <c r="X122" s="81"/>
    </row>
    <row r="123" spans="1:24">
      <c r="A123" s="6">
        <f t="shared" si="27"/>
        <v>2020</v>
      </c>
      <c r="B123" s="56"/>
      <c r="C123" s="56">
        <f t="shared" si="42"/>
        <v>-4325.890000000014</v>
      </c>
      <c r="D123" s="56">
        <f t="shared" si="35"/>
        <v>0</v>
      </c>
      <c r="E123" s="56">
        <f t="shared" si="35"/>
        <v>134285</v>
      </c>
      <c r="F123" s="56">
        <f t="shared" si="35"/>
        <v>-5097.99</v>
      </c>
      <c r="G123" s="81">
        <f t="shared" si="36"/>
        <v>129959.10999999999</v>
      </c>
      <c r="H123" s="81">
        <f t="shared" si="28"/>
        <v>124861.11999999998</v>
      </c>
      <c r="I123" s="81">
        <f t="shared" si="29"/>
        <v>-4325.890000000014</v>
      </c>
      <c r="J123" s="81">
        <f t="shared" si="30"/>
        <v>-4325.890000000014</v>
      </c>
      <c r="K123" s="81">
        <f t="shared" si="31"/>
        <v>134285</v>
      </c>
      <c r="L123" s="81">
        <f t="shared" si="32"/>
        <v>129187.01</v>
      </c>
      <c r="M123" s="81">
        <f t="shared" si="33"/>
        <v>14957.936636071023</v>
      </c>
      <c r="N123" s="81">
        <f t="shared" si="34"/>
        <v>4342.6267653109426</v>
      </c>
      <c r="O123" s="81">
        <f t="shared" si="37"/>
        <v>19300.563401381965</v>
      </c>
      <c r="P123" s="81">
        <f t="shared" si="38"/>
        <v>10632.046636071009</v>
      </c>
      <c r="Q123" s="81">
        <f t="shared" si="39"/>
        <v>133529.63676531095</v>
      </c>
      <c r="R123" s="81">
        <f>'Exhibit A, 1d'!S53+'Exhibit B,3'!AI53</f>
        <v>144161.68340138195</v>
      </c>
      <c r="S123" s="81">
        <v>0</v>
      </c>
      <c r="T123" s="81">
        <v>0</v>
      </c>
      <c r="U123" s="81">
        <f t="shared" si="40"/>
        <v>0</v>
      </c>
      <c r="V123" s="81">
        <f t="shared" si="41"/>
        <v>144161.68340138195</v>
      </c>
      <c r="W123" s="87">
        <v>73292.919999998994</v>
      </c>
      <c r="X123" s="81"/>
    </row>
    <row r="124" spans="1:24">
      <c r="A124" s="6"/>
      <c r="B124" s="6"/>
      <c r="D124" s="6"/>
      <c r="E124" s="6"/>
      <c r="F124" s="6"/>
      <c r="G124" s="81">
        <f t="shared" ref="G124:R124" si="43">G44-G84</f>
        <v>0</v>
      </c>
      <c r="H124" s="81">
        <f t="shared" si="43"/>
        <v>0</v>
      </c>
      <c r="I124" s="81">
        <f t="shared" si="43"/>
        <v>0</v>
      </c>
      <c r="J124" s="81">
        <f t="shared" si="43"/>
        <v>0</v>
      </c>
      <c r="K124" s="81">
        <f t="shared" si="43"/>
        <v>0</v>
      </c>
      <c r="L124" s="81">
        <f t="shared" si="43"/>
        <v>0</v>
      </c>
      <c r="M124" s="81">
        <f t="shared" si="43"/>
        <v>0</v>
      </c>
      <c r="N124" s="81">
        <f t="shared" si="43"/>
        <v>0</v>
      </c>
      <c r="O124" s="81"/>
      <c r="P124" s="81">
        <f t="shared" si="43"/>
        <v>0</v>
      </c>
      <c r="Q124" s="81">
        <f t="shared" si="43"/>
        <v>0</v>
      </c>
      <c r="R124" s="81">
        <f t="shared" si="43"/>
        <v>0</v>
      </c>
      <c r="S124" s="81">
        <v>0</v>
      </c>
      <c r="T124" s="81">
        <v>0</v>
      </c>
      <c r="U124" s="81">
        <f t="shared" si="40"/>
        <v>0</v>
      </c>
      <c r="V124" s="81">
        <f t="shared" si="41"/>
        <v>0</v>
      </c>
      <c r="W124" s="87">
        <v>0</v>
      </c>
      <c r="X124" s="81"/>
    </row>
    <row r="125" spans="1:24">
      <c r="A125" s="6" t="s">
        <v>0</v>
      </c>
      <c r="B125" s="82">
        <f>SUM(B115:B123)</f>
        <v>0</v>
      </c>
      <c r="C125" s="82">
        <f t="shared" ref="C125:T125" si="44">SUM(C115:C123)</f>
        <v>18339698.841499999</v>
      </c>
      <c r="D125" s="82">
        <f t="shared" si="44"/>
        <v>22474998.779999997</v>
      </c>
      <c r="E125" s="82">
        <f t="shared" si="44"/>
        <v>38291662.814999998</v>
      </c>
      <c r="F125" s="82">
        <f t="shared" si="44"/>
        <v>30983050.135000002</v>
      </c>
      <c r="G125" s="82">
        <f t="shared" si="44"/>
        <v>56631361.656499997</v>
      </c>
      <c r="H125" s="82">
        <f t="shared" si="44"/>
        <v>110089410.57149999</v>
      </c>
      <c r="I125" s="82">
        <f t="shared" si="44"/>
        <v>18339698.841499999</v>
      </c>
      <c r="J125" s="82">
        <f t="shared" si="44"/>
        <v>40814697.6215</v>
      </c>
      <c r="K125" s="82">
        <f t="shared" si="44"/>
        <v>38291662.814999998</v>
      </c>
      <c r="L125" s="82">
        <f t="shared" si="44"/>
        <v>69274712.950000003</v>
      </c>
      <c r="M125" s="82">
        <f t="shared" si="44"/>
        <v>-84703526.237696096</v>
      </c>
      <c r="N125" s="82">
        <f t="shared" si="44"/>
        <v>-24591346.327073049</v>
      </c>
      <c r="O125" s="82">
        <f t="shared" si="44"/>
        <v>-109294872.56476913</v>
      </c>
      <c r="P125" s="82">
        <f t="shared" si="44"/>
        <v>-43888828.616196096</v>
      </c>
      <c r="Q125" s="82">
        <f t="shared" si="44"/>
        <v>44683366.622926936</v>
      </c>
      <c r="R125" s="82">
        <f t="shared" si="44"/>
        <v>794538.00673085044</v>
      </c>
      <c r="S125" s="82">
        <f t="shared" si="44"/>
        <v>0</v>
      </c>
      <c r="T125" s="82">
        <f t="shared" si="44"/>
        <v>0</v>
      </c>
      <c r="U125" s="82">
        <f>SUM(U95:U123)</f>
        <v>0</v>
      </c>
      <c r="V125" s="82">
        <f>SUM(V95:V123)</f>
        <v>794538.00673085044</v>
      </c>
      <c r="W125" s="90">
        <v>746529.602999995</v>
      </c>
      <c r="X125" s="82"/>
    </row>
    <row r="127" spans="1:24">
      <c r="F127" s="1" t="s">
        <v>685</v>
      </c>
      <c r="G127" s="22">
        <f>G45-G85-G125</f>
        <v>0</v>
      </c>
      <c r="H127" s="22">
        <f t="shared" ref="H127:W127" si="45">H45-H85-H125</f>
        <v>0</v>
      </c>
      <c r="I127" s="22">
        <f t="shared" si="45"/>
        <v>0</v>
      </c>
      <c r="J127" s="22">
        <f t="shared" si="45"/>
        <v>0</v>
      </c>
      <c r="K127" s="22">
        <f t="shared" si="45"/>
        <v>0</v>
      </c>
      <c r="L127" s="22">
        <f t="shared" si="45"/>
        <v>0</v>
      </c>
      <c r="M127" s="22">
        <f t="shared" si="45"/>
        <v>-1161.6749999970198</v>
      </c>
      <c r="N127" s="22">
        <f t="shared" si="45"/>
        <v>1161.6749999932945</v>
      </c>
      <c r="O127" s="22">
        <f t="shared" si="45"/>
        <v>0</v>
      </c>
      <c r="P127" s="22">
        <f t="shared" si="45"/>
        <v>0</v>
      </c>
      <c r="Q127" s="22">
        <f t="shared" si="45"/>
        <v>0</v>
      </c>
      <c r="R127" s="22">
        <f t="shared" si="45"/>
        <v>4.0745362639427185E-9</v>
      </c>
      <c r="S127" s="22">
        <f t="shared" si="45"/>
        <v>-2.3283064365386963E-10</v>
      </c>
      <c r="T127" s="22">
        <f t="shared" si="45"/>
        <v>0</v>
      </c>
      <c r="U127" s="22">
        <f t="shared" si="45"/>
        <v>0</v>
      </c>
      <c r="V127" s="22">
        <f t="shared" si="45"/>
        <v>4.0745362639427185E-9</v>
      </c>
      <c r="W127" s="22">
        <f t="shared" si="45"/>
        <v>1.3969838619232178E-9</v>
      </c>
      <c r="X127" s="22"/>
    </row>
    <row r="128" spans="1:24"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</row>
    <row r="129" spans="1:10">
      <c r="A129" s="1" t="s">
        <v>50</v>
      </c>
      <c r="B129" s="23" t="s">
        <v>763</v>
      </c>
      <c r="F129" s="6"/>
      <c r="G129" s="17"/>
      <c r="H129" s="17"/>
      <c r="I129" s="22"/>
      <c r="J129" s="22"/>
    </row>
    <row r="130" spans="1:10">
      <c r="B130" s="23" t="s">
        <v>764</v>
      </c>
      <c r="F130" s="6"/>
      <c r="G130" s="17"/>
      <c r="H130" s="17"/>
      <c r="I130" s="22"/>
      <c r="J130" s="22"/>
    </row>
    <row r="131" spans="1:10">
      <c r="F131" s="6"/>
      <c r="G131" s="17"/>
      <c r="H131" s="17"/>
      <c r="I131" s="22"/>
      <c r="J131" s="22"/>
    </row>
    <row r="132" spans="1:10">
      <c r="F132" s="6"/>
      <c r="G132" s="17"/>
      <c r="H132" s="17"/>
      <c r="I132" s="22"/>
      <c r="J132" s="22"/>
    </row>
    <row r="133" spans="1:10">
      <c r="F133" s="6"/>
      <c r="G133" s="17"/>
      <c r="H133" s="17"/>
      <c r="I133" s="22"/>
      <c r="J133" s="22"/>
    </row>
    <row r="134" spans="1:10">
      <c r="F134" s="6"/>
      <c r="G134" s="17"/>
      <c r="H134" s="17"/>
      <c r="I134" s="22"/>
      <c r="J134" s="22"/>
    </row>
    <row r="135" spans="1:10">
      <c r="F135" s="6"/>
      <c r="G135" s="17"/>
      <c r="H135" s="17"/>
      <c r="I135" s="22"/>
      <c r="J135" s="22"/>
    </row>
    <row r="136" spans="1:10">
      <c r="F136" s="6"/>
      <c r="G136" s="17"/>
      <c r="H136" s="17"/>
      <c r="I136" s="22"/>
      <c r="J136" s="22"/>
    </row>
    <row r="137" spans="1:10">
      <c r="F137" s="6"/>
      <c r="G137" s="17"/>
      <c r="H137" s="17"/>
      <c r="I137" s="22"/>
      <c r="J137" s="22"/>
    </row>
    <row r="138" spans="1:10">
      <c r="F138" s="6"/>
    </row>
    <row r="139" spans="1:10">
      <c r="F139" s="6"/>
      <c r="G139" s="22"/>
      <c r="H139" s="22"/>
      <c r="I139" s="22"/>
      <c r="J139" s="22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sheetPr codeName="Sheet110">
    <tabColor rgb="FFFF0000"/>
  </sheetPr>
  <dimension ref="A5:W125"/>
  <sheetViews>
    <sheetView topLeftCell="E1" workbookViewId="0">
      <selection activeCell="A6" sqref="A6"/>
    </sheetView>
  </sheetViews>
  <sheetFormatPr baseColWidth="10" defaultColWidth="8.7109375" defaultRowHeight="15"/>
  <cols>
    <col min="1" max="22" width="12.7109375" style="1" customWidth="1"/>
    <col min="23" max="16384" width="8.7109375" style="1"/>
  </cols>
  <sheetData>
    <row r="5" spans="1:21" ht="16">
      <c r="A5" s="4"/>
      <c r="B5" s="4"/>
      <c r="H5" s="4"/>
      <c r="I5" s="4"/>
      <c r="J5" s="51" t="s">
        <v>853</v>
      </c>
      <c r="K5" s="4"/>
      <c r="L5" s="4"/>
    </row>
    <row r="6" spans="1:21" ht="16">
      <c r="A6" s="4"/>
      <c r="B6" s="4"/>
      <c r="H6" s="5" t="s">
        <v>689</v>
      </c>
      <c r="I6" s="5"/>
      <c r="J6" s="5"/>
      <c r="K6" s="5"/>
      <c r="L6" s="5"/>
    </row>
    <row r="7" spans="1:21">
      <c r="J7" s="1" t="s">
        <v>658</v>
      </c>
    </row>
    <row r="8" spans="1:21">
      <c r="I8" s="6"/>
      <c r="J8" s="6" t="s">
        <v>659</v>
      </c>
      <c r="K8" s="6"/>
      <c r="L8" s="6"/>
    </row>
    <row r="9" spans="1:21">
      <c r="A9" s="6" t="s">
        <v>9</v>
      </c>
      <c r="B9" s="85">
        <v>1</v>
      </c>
      <c r="C9" s="85">
        <v>1</v>
      </c>
      <c r="D9" s="85">
        <v>1</v>
      </c>
      <c r="E9" s="85">
        <v>1</v>
      </c>
      <c r="F9" s="85">
        <v>1</v>
      </c>
      <c r="G9" s="85">
        <v>1</v>
      </c>
      <c r="H9" s="85">
        <v>1</v>
      </c>
      <c r="I9" s="85">
        <v>1</v>
      </c>
      <c r="J9" s="85">
        <v>1</v>
      </c>
      <c r="K9" s="85">
        <v>1</v>
      </c>
      <c r="L9" s="85">
        <v>1</v>
      </c>
      <c r="M9" s="83" t="s">
        <v>682</v>
      </c>
      <c r="N9" s="83" t="s">
        <v>682</v>
      </c>
      <c r="O9" s="85">
        <v>1</v>
      </c>
      <c r="P9" s="83" t="s">
        <v>682</v>
      </c>
      <c r="Q9" s="83" t="s">
        <v>682</v>
      </c>
      <c r="R9" s="83" t="s">
        <v>682</v>
      </c>
      <c r="S9" s="6" t="s">
        <v>682</v>
      </c>
      <c r="T9" s="3"/>
      <c r="U9" s="86">
        <v>1</v>
      </c>
    </row>
    <row r="10" spans="1:21">
      <c r="A10" s="6"/>
      <c r="B10" s="27" t="s">
        <v>665</v>
      </c>
      <c r="C10" s="27" t="s">
        <v>523</v>
      </c>
      <c r="D10" s="27" t="s">
        <v>523</v>
      </c>
      <c r="E10" s="27" t="s">
        <v>523</v>
      </c>
      <c r="F10" s="27" t="s">
        <v>523</v>
      </c>
      <c r="H10" s="6"/>
      <c r="I10" s="6"/>
      <c r="J10" s="6"/>
      <c r="K10" s="6"/>
      <c r="L10" s="6"/>
      <c r="N10" s="79">
        <v>0.22500000000000001</v>
      </c>
      <c r="O10" s="6"/>
      <c r="P10" s="6"/>
      <c r="Q10" s="6"/>
      <c r="R10" s="6" t="s">
        <v>67</v>
      </c>
      <c r="S10" s="6"/>
      <c r="T10" s="6" t="s">
        <v>67</v>
      </c>
    </row>
    <row r="11" spans="1:21">
      <c r="A11" s="6" t="s">
        <v>3</v>
      </c>
      <c r="B11" s="27" t="s">
        <v>524</v>
      </c>
      <c r="C11" s="27" t="s">
        <v>524</v>
      </c>
      <c r="D11" s="27" t="s">
        <v>524</v>
      </c>
      <c r="E11" s="27" t="s">
        <v>528</v>
      </c>
      <c r="F11" s="27" t="s">
        <v>528</v>
      </c>
      <c r="G11" s="6" t="s">
        <v>14</v>
      </c>
      <c r="H11" s="6" t="s">
        <v>12</v>
      </c>
      <c r="I11" s="6" t="s">
        <v>14</v>
      </c>
      <c r="J11" s="6" t="s">
        <v>12</v>
      </c>
      <c r="K11" s="6" t="s">
        <v>14</v>
      </c>
      <c r="L11" s="6" t="s">
        <v>12</v>
      </c>
      <c r="M11" s="6" t="s">
        <v>381</v>
      </c>
      <c r="N11" s="6" t="s">
        <v>381</v>
      </c>
      <c r="O11" s="6" t="s">
        <v>381</v>
      </c>
      <c r="P11" s="6" t="s">
        <v>660</v>
      </c>
      <c r="Q11" s="6" t="s">
        <v>67</v>
      </c>
      <c r="R11" s="6" t="s">
        <v>662</v>
      </c>
      <c r="S11" s="6" t="s">
        <v>661</v>
      </c>
      <c r="T11" s="6" t="s">
        <v>663</v>
      </c>
      <c r="U11" s="6" t="s">
        <v>177</v>
      </c>
    </row>
    <row r="12" spans="1:21">
      <c r="A12" s="6" t="s">
        <v>4</v>
      </c>
      <c r="B12" s="28" t="s">
        <v>672</v>
      </c>
      <c r="C12" s="28" t="s">
        <v>671</v>
      </c>
      <c r="D12" s="28" t="s">
        <v>688</v>
      </c>
      <c r="E12" s="28" t="s">
        <v>671</v>
      </c>
      <c r="F12" s="28" t="s">
        <v>688</v>
      </c>
      <c r="G12" s="6" t="s">
        <v>0</v>
      </c>
      <c r="H12" s="6" t="s">
        <v>0</v>
      </c>
      <c r="I12" s="6" t="s">
        <v>566</v>
      </c>
      <c r="J12" s="6" t="s">
        <v>566</v>
      </c>
      <c r="K12" s="6" t="s">
        <v>567</v>
      </c>
      <c r="L12" s="6" t="s">
        <v>567</v>
      </c>
      <c r="M12" s="6" t="s">
        <v>566</v>
      </c>
      <c r="N12" s="6" t="s">
        <v>567</v>
      </c>
      <c r="O12" s="6" t="s">
        <v>0</v>
      </c>
      <c r="P12" s="6" t="s">
        <v>566</v>
      </c>
      <c r="Q12" s="6" t="s">
        <v>567</v>
      </c>
      <c r="R12" s="6" t="s">
        <v>0</v>
      </c>
      <c r="S12" s="6" t="s">
        <v>0</v>
      </c>
      <c r="T12" s="6" t="s">
        <v>0</v>
      </c>
      <c r="U12" s="6" t="s">
        <v>16</v>
      </c>
    </row>
    <row r="13" spans="1:21">
      <c r="A13" s="10">
        <v>-1</v>
      </c>
      <c r="B13" s="10">
        <f>A13-1</f>
        <v>-2</v>
      </c>
      <c r="C13" s="10">
        <f>B13-1</f>
        <v>-3</v>
      </c>
      <c r="D13" s="10">
        <f t="shared" ref="D13:U13" si="0">C13-1</f>
        <v>-4</v>
      </c>
      <c r="E13" s="10">
        <f t="shared" si="0"/>
        <v>-5</v>
      </c>
      <c r="F13" s="10">
        <f t="shared" si="0"/>
        <v>-6</v>
      </c>
      <c r="G13" s="10">
        <f t="shared" si="0"/>
        <v>-7</v>
      </c>
      <c r="H13" s="10">
        <f t="shared" si="0"/>
        <v>-8</v>
      </c>
      <c r="I13" s="10">
        <f t="shared" si="0"/>
        <v>-9</v>
      </c>
      <c r="J13" s="10">
        <f t="shared" si="0"/>
        <v>-10</v>
      </c>
      <c r="K13" s="10">
        <f t="shared" si="0"/>
        <v>-11</v>
      </c>
      <c r="L13" s="10">
        <f t="shared" si="0"/>
        <v>-12</v>
      </c>
      <c r="M13" s="10">
        <f>L13-1</f>
        <v>-13</v>
      </c>
      <c r="N13" s="10">
        <f t="shared" si="0"/>
        <v>-14</v>
      </c>
      <c r="O13" s="10">
        <f t="shared" si="0"/>
        <v>-15</v>
      </c>
      <c r="P13" s="10">
        <f t="shared" si="0"/>
        <v>-16</v>
      </c>
      <c r="Q13" s="10">
        <f t="shared" si="0"/>
        <v>-17</v>
      </c>
      <c r="R13" s="10">
        <f t="shared" si="0"/>
        <v>-18</v>
      </c>
      <c r="S13" s="10">
        <f t="shared" si="0"/>
        <v>-19</v>
      </c>
      <c r="T13" s="10">
        <f t="shared" si="0"/>
        <v>-20</v>
      </c>
      <c r="U13" s="10">
        <f t="shared" si="0"/>
        <v>-21</v>
      </c>
    </row>
    <row r="14" spans="1:21">
      <c r="A14" s="80"/>
      <c r="B14" s="80"/>
      <c r="C14" s="6"/>
      <c r="D14" s="6"/>
      <c r="E14" s="6"/>
      <c r="F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</row>
    <row r="15" spans="1:21">
      <c r="A15" s="6">
        <v>1992</v>
      </c>
      <c r="B15" s="81"/>
      <c r="C15" s="81"/>
      <c r="D15" s="81"/>
      <c r="E15" s="81"/>
      <c r="F15" s="81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</row>
    <row r="16" spans="1:21">
      <c r="A16" s="6">
        <f>A15+1</f>
        <v>1993</v>
      </c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7"/>
      <c r="U16" s="87"/>
    </row>
    <row r="17" spans="1:21">
      <c r="A17" s="6">
        <f t="shared" ref="A17:A43" si="1">A16+1</f>
        <v>1994</v>
      </c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7"/>
      <c r="U17" s="87"/>
    </row>
    <row r="18" spans="1:21">
      <c r="A18" s="6">
        <f t="shared" si="1"/>
        <v>1995</v>
      </c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7"/>
      <c r="U18" s="87"/>
    </row>
    <row r="19" spans="1:21">
      <c r="A19" s="6">
        <f t="shared" si="1"/>
        <v>1996</v>
      </c>
      <c r="B19" s="81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7"/>
      <c r="U19" s="87"/>
    </row>
    <row r="20" spans="1:21">
      <c r="A20" s="6">
        <f t="shared" si="1"/>
        <v>1997</v>
      </c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7"/>
      <c r="U20" s="87"/>
    </row>
    <row r="21" spans="1:21">
      <c r="A21" s="6">
        <f t="shared" si="1"/>
        <v>1998</v>
      </c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7"/>
      <c r="U21" s="87"/>
    </row>
    <row r="22" spans="1:21">
      <c r="A22" s="6">
        <f t="shared" si="1"/>
        <v>1999</v>
      </c>
      <c r="B22" s="81"/>
      <c r="C22" s="18"/>
      <c r="D22" s="31"/>
      <c r="E22" s="32"/>
      <c r="F22" s="32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7"/>
      <c r="U22" s="87"/>
    </row>
    <row r="23" spans="1:21">
      <c r="A23" s="6">
        <f t="shared" si="1"/>
        <v>2000</v>
      </c>
      <c r="B23" s="81"/>
      <c r="C23" s="18"/>
      <c r="D23" s="31"/>
      <c r="E23" s="32"/>
      <c r="F23" s="32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7"/>
      <c r="U23" s="87"/>
    </row>
    <row r="24" spans="1:21">
      <c r="A24" s="6">
        <f t="shared" si="1"/>
        <v>2001</v>
      </c>
      <c r="B24" s="81"/>
      <c r="C24" s="18"/>
      <c r="D24" s="31"/>
      <c r="E24" s="32"/>
      <c r="F24" s="32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7"/>
      <c r="U24" s="87"/>
    </row>
    <row r="25" spans="1:21">
      <c r="A25" s="6">
        <f t="shared" si="1"/>
        <v>2002</v>
      </c>
      <c r="B25" s="81"/>
      <c r="C25" s="18"/>
      <c r="D25" s="31"/>
      <c r="E25" s="32"/>
      <c r="F25" s="32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7"/>
      <c r="U25" s="87"/>
    </row>
    <row r="26" spans="1:21">
      <c r="A26" s="6">
        <f t="shared" si="1"/>
        <v>2003</v>
      </c>
      <c r="B26" s="81"/>
      <c r="C26" s="18"/>
      <c r="D26" s="31"/>
      <c r="E26" s="32"/>
      <c r="F26" s="32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7"/>
      <c r="U26" s="87"/>
    </row>
    <row r="27" spans="1:21">
      <c r="A27" s="6">
        <f t="shared" si="1"/>
        <v>2004</v>
      </c>
      <c r="B27" s="81"/>
      <c r="C27" s="18"/>
      <c r="D27" s="31"/>
      <c r="E27" s="32"/>
      <c r="F27" s="32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7"/>
      <c r="U27" s="87"/>
    </row>
    <row r="28" spans="1:21">
      <c r="A28" s="6">
        <f t="shared" si="1"/>
        <v>2005</v>
      </c>
      <c r="B28" s="81"/>
      <c r="C28" s="18"/>
      <c r="D28" s="31"/>
      <c r="E28" s="32"/>
      <c r="F28" s="32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7"/>
      <c r="U28" s="87"/>
    </row>
    <row r="29" spans="1:21">
      <c r="A29" s="6">
        <f t="shared" si="1"/>
        <v>2006</v>
      </c>
      <c r="B29" s="81"/>
      <c r="C29" s="18"/>
      <c r="D29" s="31"/>
      <c r="E29" s="32"/>
      <c r="F29" s="32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7"/>
      <c r="U29" s="87"/>
    </row>
    <row r="30" spans="1:21">
      <c r="A30" s="6">
        <f t="shared" si="1"/>
        <v>2007</v>
      </c>
      <c r="B30" s="81"/>
      <c r="C30" s="88"/>
      <c r="D30" s="31"/>
      <c r="E30" s="32"/>
      <c r="F30" s="32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7"/>
      <c r="U30" s="87"/>
    </row>
    <row r="31" spans="1:21">
      <c r="A31" s="6">
        <f t="shared" si="1"/>
        <v>2008</v>
      </c>
      <c r="B31" s="81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7"/>
      <c r="U31" s="87"/>
    </row>
    <row r="32" spans="1:21">
      <c r="A32" s="6">
        <f t="shared" si="1"/>
        <v>2009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7"/>
      <c r="U32" s="87"/>
    </row>
    <row r="33" spans="1:21">
      <c r="A33" s="6">
        <f t="shared" si="1"/>
        <v>2010</v>
      </c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7"/>
      <c r="U33" s="87"/>
    </row>
    <row r="34" spans="1:21">
      <c r="A34" s="6">
        <f t="shared" si="1"/>
        <v>2011</v>
      </c>
      <c r="B34" s="81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7"/>
      <c r="U34" s="89">
        <v>172724</v>
      </c>
    </row>
    <row r="35" spans="1:21">
      <c r="A35" s="6">
        <f t="shared" si="1"/>
        <v>2012</v>
      </c>
      <c r="B35" s="81">
        <f>'Exhibit B,2'!AE31</f>
        <v>0</v>
      </c>
      <c r="C35" s="31">
        <v>15000</v>
      </c>
      <c r="D35" s="32">
        <v>0</v>
      </c>
      <c r="E35" s="32">
        <v>10024.959999999999</v>
      </c>
      <c r="F35" s="81">
        <v>0</v>
      </c>
      <c r="G35" s="81">
        <f>(C35+E35-B35)*G$9</f>
        <v>25024.959999999999</v>
      </c>
      <c r="H35" s="81">
        <f>(SUM(C35:F35)-B35)*H$9</f>
        <v>25024.959999999999</v>
      </c>
      <c r="I35" s="81">
        <f>(C35-B35)*I$9</f>
        <v>15000</v>
      </c>
      <c r="J35" s="81">
        <f>(I35+D35)*J$9</f>
        <v>15000</v>
      </c>
      <c r="K35" s="81">
        <f>E35*K$9</f>
        <v>10024.959999999999</v>
      </c>
      <c r="L35" s="81">
        <f>(K35+F35)*L$9</f>
        <v>10024.959999999999</v>
      </c>
      <c r="M35" s="81">
        <f>O35*(1-N$10)</f>
        <v>-19394.344000000001</v>
      </c>
      <c r="N35" s="81">
        <f>O35-M35</f>
        <v>-5630.6159999999982</v>
      </c>
      <c r="O35" s="81">
        <f>R35-H35</f>
        <v>-25024.959999999999</v>
      </c>
      <c r="P35" s="81">
        <f>J35+M35</f>
        <v>-4394.344000000001</v>
      </c>
      <c r="Q35" s="81">
        <f>L35+N35</f>
        <v>4394.344000000001</v>
      </c>
      <c r="R35" s="81">
        <f>'Exhibit B,2'!U31</f>
        <v>0</v>
      </c>
      <c r="S35" s="81">
        <f>S$45*(H35-G35+O35)/(H$45-G$45+O$45)</f>
        <v>0</v>
      </c>
      <c r="T35" s="87">
        <f>R35+S35</f>
        <v>0</v>
      </c>
      <c r="U35" s="89">
        <v>229419.5</v>
      </c>
    </row>
    <row r="36" spans="1:21">
      <c r="A36" s="6">
        <f t="shared" si="1"/>
        <v>2013</v>
      </c>
      <c r="B36" s="81">
        <f>'Exhibit B,2'!AE32</f>
        <v>0</v>
      </c>
      <c r="C36" s="31">
        <v>0</v>
      </c>
      <c r="D36" s="32">
        <v>0</v>
      </c>
      <c r="E36" s="32">
        <v>0</v>
      </c>
      <c r="F36" s="81">
        <v>0</v>
      </c>
      <c r="G36" s="81">
        <f t="shared" ref="G36:G43" si="2">(C36+E36-B36)*G$9</f>
        <v>0</v>
      </c>
      <c r="H36" s="81">
        <f t="shared" ref="H36:H43" si="3">(SUM(C36:F36)-B36)*H$9</f>
        <v>0</v>
      </c>
      <c r="I36" s="81">
        <f t="shared" ref="I36:I43" si="4">(C36-B36)*I$9</f>
        <v>0</v>
      </c>
      <c r="J36" s="81">
        <f t="shared" ref="J36:J43" si="5">(I36+D36)*J$9</f>
        <v>0</v>
      </c>
      <c r="K36" s="81">
        <f t="shared" ref="K36:K44" si="6">E36*K$9</f>
        <v>0</v>
      </c>
      <c r="L36" s="81">
        <f t="shared" ref="L36:L44" si="7">(K36+F36)*L$9</f>
        <v>0</v>
      </c>
      <c r="M36" s="81">
        <f t="shared" ref="M36:M44" si="8">O36*(1-N$10)</f>
        <v>325.5</v>
      </c>
      <c r="N36" s="81">
        <f t="shared" ref="N36:N44" si="9">O36-M36</f>
        <v>94.5</v>
      </c>
      <c r="O36" s="81">
        <f t="shared" ref="O36:O43" si="10">R36-H36</f>
        <v>420</v>
      </c>
      <c r="P36" s="81">
        <f t="shared" ref="P36:P44" si="11">J36+M36</f>
        <v>325.5</v>
      </c>
      <c r="Q36" s="81">
        <f t="shared" ref="Q36:Q44" si="12">L36+N36</f>
        <v>94.5</v>
      </c>
      <c r="R36" s="81">
        <f>'Exhibit B,2'!U32</f>
        <v>420</v>
      </c>
      <c r="S36" s="81">
        <f t="shared" ref="S36:S43" si="13">S$45*(H36-G36+O36)/(H$45-G$45+O$45)</f>
        <v>0</v>
      </c>
      <c r="T36" s="87">
        <f t="shared" ref="T36:T44" si="14">R36+S36</f>
        <v>420</v>
      </c>
      <c r="U36" s="89">
        <v>261275</v>
      </c>
    </row>
    <row r="37" spans="1:21">
      <c r="A37" s="6">
        <f t="shared" si="1"/>
        <v>2014</v>
      </c>
      <c r="B37" s="81">
        <f>'Exhibit B,2'!AE33</f>
        <v>0</v>
      </c>
      <c r="C37" s="31">
        <v>0</v>
      </c>
      <c r="D37" s="32">
        <v>0</v>
      </c>
      <c r="E37" s="32">
        <v>420</v>
      </c>
      <c r="F37" s="81">
        <v>0</v>
      </c>
      <c r="G37" s="81">
        <f t="shared" si="2"/>
        <v>420</v>
      </c>
      <c r="H37" s="81">
        <f t="shared" si="3"/>
        <v>420</v>
      </c>
      <c r="I37" s="81">
        <f t="shared" si="4"/>
        <v>0</v>
      </c>
      <c r="J37" s="81">
        <f t="shared" si="5"/>
        <v>0</v>
      </c>
      <c r="K37" s="81">
        <f t="shared" si="6"/>
        <v>420</v>
      </c>
      <c r="L37" s="81">
        <f t="shared" si="7"/>
        <v>420</v>
      </c>
      <c r="M37" s="81">
        <f t="shared" si="8"/>
        <v>80565.125</v>
      </c>
      <c r="N37" s="81">
        <f t="shared" si="9"/>
        <v>23389.875</v>
      </c>
      <c r="O37" s="81">
        <f t="shared" si="10"/>
        <v>103955</v>
      </c>
      <c r="P37" s="81">
        <f t="shared" si="11"/>
        <v>80565.125</v>
      </c>
      <c r="Q37" s="81">
        <f t="shared" si="12"/>
        <v>23809.875</v>
      </c>
      <c r="R37" s="81">
        <f>'Exhibit B,2'!U33</f>
        <v>104375</v>
      </c>
      <c r="S37" s="81">
        <f t="shared" si="13"/>
        <v>0</v>
      </c>
      <c r="T37" s="87">
        <f t="shared" si="14"/>
        <v>104375</v>
      </c>
      <c r="U37" s="89">
        <v>227776</v>
      </c>
    </row>
    <row r="38" spans="1:21">
      <c r="A38" s="6">
        <f t="shared" si="1"/>
        <v>2015</v>
      </c>
      <c r="B38" s="81">
        <f>'Exhibit B,2'!AE34</f>
        <v>0</v>
      </c>
      <c r="C38" s="31">
        <v>90664.6</v>
      </c>
      <c r="D38" s="32">
        <v>0</v>
      </c>
      <c r="E38" s="32">
        <v>13710.4</v>
      </c>
      <c r="F38" s="81">
        <v>0</v>
      </c>
      <c r="G38" s="81">
        <f t="shared" si="2"/>
        <v>104375</v>
      </c>
      <c r="H38" s="81">
        <f t="shared" si="3"/>
        <v>104375</v>
      </c>
      <c r="I38" s="81">
        <f t="shared" si="4"/>
        <v>90664.6</v>
      </c>
      <c r="J38" s="81">
        <f t="shared" si="5"/>
        <v>90664.6</v>
      </c>
      <c r="K38" s="81">
        <f t="shared" si="6"/>
        <v>13710.4</v>
      </c>
      <c r="L38" s="81">
        <f t="shared" si="7"/>
        <v>13710.4</v>
      </c>
      <c r="M38" s="81">
        <f t="shared" si="8"/>
        <v>7638.0667499999945</v>
      </c>
      <c r="N38" s="81">
        <f t="shared" si="9"/>
        <v>2217.5032499999979</v>
      </c>
      <c r="O38" s="81">
        <f t="shared" si="10"/>
        <v>9855.5699999999924</v>
      </c>
      <c r="P38" s="81">
        <f t="shared" si="11"/>
        <v>98302.666750000004</v>
      </c>
      <c r="Q38" s="81">
        <f t="shared" si="12"/>
        <v>15927.903249999998</v>
      </c>
      <c r="R38" s="81">
        <f>'Exhibit B,2'!U34</f>
        <v>114230.56999999999</v>
      </c>
      <c r="S38" s="81">
        <f t="shared" si="13"/>
        <v>0</v>
      </c>
      <c r="T38" s="87">
        <f t="shared" si="14"/>
        <v>114230.56999999999</v>
      </c>
      <c r="U38" s="89">
        <v>170820.55</v>
      </c>
    </row>
    <row r="39" spans="1:21">
      <c r="A39" s="6">
        <f t="shared" si="1"/>
        <v>2016</v>
      </c>
      <c r="B39" s="81">
        <f>'Exhibit B,2'!AE35</f>
        <v>0</v>
      </c>
      <c r="C39" s="31">
        <v>5494.31</v>
      </c>
      <c r="D39" s="32">
        <v>0</v>
      </c>
      <c r="E39" s="32">
        <v>108736.26</v>
      </c>
      <c r="F39" s="81">
        <v>0</v>
      </c>
      <c r="G39" s="81">
        <f t="shared" si="2"/>
        <v>114230.56999999999</v>
      </c>
      <c r="H39" s="81">
        <f t="shared" si="3"/>
        <v>114230.56999999999</v>
      </c>
      <c r="I39" s="81">
        <f t="shared" si="4"/>
        <v>5494.31</v>
      </c>
      <c r="J39" s="81">
        <f t="shared" si="5"/>
        <v>5494.31</v>
      </c>
      <c r="K39" s="81">
        <f t="shared" si="6"/>
        <v>108736.26</v>
      </c>
      <c r="L39" s="81">
        <f t="shared" si="7"/>
        <v>108736.26</v>
      </c>
      <c r="M39" s="81">
        <f t="shared" si="8"/>
        <v>-32376.027999999991</v>
      </c>
      <c r="N39" s="81">
        <f t="shared" si="9"/>
        <v>-9399.4919999999984</v>
      </c>
      <c r="O39" s="81">
        <f t="shared" si="10"/>
        <v>-41775.51999999999</v>
      </c>
      <c r="P39" s="81">
        <f t="shared" si="11"/>
        <v>-26881.71799999999</v>
      </c>
      <c r="Q39" s="81">
        <f t="shared" si="12"/>
        <v>99336.767999999996</v>
      </c>
      <c r="R39" s="81">
        <f>'Exhibit B,2'!U35</f>
        <v>72455.05</v>
      </c>
      <c r="S39" s="81">
        <f t="shared" si="13"/>
        <v>0</v>
      </c>
      <c r="T39" s="87">
        <f t="shared" si="14"/>
        <v>72455.05</v>
      </c>
      <c r="U39" s="89">
        <v>173029</v>
      </c>
    </row>
    <row r="40" spans="1:21">
      <c r="A40" s="6">
        <f t="shared" si="1"/>
        <v>2017</v>
      </c>
      <c r="B40" s="81">
        <f>'Exhibit B,2'!AE36</f>
        <v>0</v>
      </c>
      <c r="C40" s="31">
        <v>57378.76</v>
      </c>
      <c r="D40" s="32">
        <v>47621.24</v>
      </c>
      <c r="E40" s="32">
        <v>15076.29</v>
      </c>
      <c r="F40" s="81">
        <v>0</v>
      </c>
      <c r="G40" s="81">
        <f t="shared" si="2"/>
        <v>72455.05</v>
      </c>
      <c r="H40" s="81">
        <f t="shared" si="3"/>
        <v>120076.29000000001</v>
      </c>
      <c r="I40" s="81">
        <f t="shared" si="4"/>
        <v>57378.76</v>
      </c>
      <c r="J40" s="81">
        <f t="shared" si="5"/>
        <v>105000</v>
      </c>
      <c r="K40" s="81">
        <f t="shared" si="6"/>
        <v>15076.29</v>
      </c>
      <c r="L40" s="81">
        <f t="shared" si="7"/>
        <v>15076.29</v>
      </c>
      <c r="M40" s="81">
        <f t="shared" si="8"/>
        <v>-93059.124750000003</v>
      </c>
      <c r="N40" s="81">
        <f t="shared" si="9"/>
        <v>-27017.165250000005</v>
      </c>
      <c r="O40" s="81">
        <f t="shared" si="10"/>
        <v>-120076.29000000001</v>
      </c>
      <c r="P40" s="81">
        <f t="shared" si="11"/>
        <v>11940.875249999997</v>
      </c>
      <c r="Q40" s="81">
        <f t="shared" si="12"/>
        <v>-11940.875250000005</v>
      </c>
      <c r="R40" s="81">
        <f>'Exhibit B,2'!U36</f>
        <v>0</v>
      </c>
      <c r="S40" s="81">
        <f t="shared" si="13"/>
        <v>0</v>
      </c>
      <c r="T40" s="87">
        <f t="shared" si="14"/>
        <v>0</v>
      </c>
      <c r="U40" s="89">
        <v>175683.42</v>
      </c>
    </row>
    <row r="41" spans="1:21">
      <c r="A41" s="6">
        <f t="shared" si="1"/>
        <v>2018</v>
      </c>
      <c r="B41" s="81">
        <f>'Exhibit B,2'!AE37</f>
        <v>0</v>
      </c>
      <c r="C41" s="31">
        <v>0</v>
      </c>
      <c r="D41" s="32">
        <v>0</v>
      </c>
      <c r="E41" s="32">
        <v>0</v>
      </c>
      <c r="F41" s="81">
        <v>0</v>
      </c>
      <c r="G41" s="81">
        <f t="shared" si="2"/>
        <v>0</v>
      </c>
      <c r="H41" s="81">
        <f t="shared" si="3"/>
        <v>0</v>
      </c>
      <c r="I41" s="81">
        <f t="shared" si="4"/>
        <v>0</v>
      </c>
      <c r="J41" s="81">
        <f t="shared" si="5"/>
        <v>0</v>
      </c>
      <c r="K41" s="81">
        <f t="shared" si="6"/>
        <v>0</v>
      </c>
      <c r="L41" s="81">
        <f t="shared" si="7"/>
        <v>0</v>
      </c>
      <c r="M41" s="81">
        <f t="shared" si="8"/>
        <v>0</v>
      </c>
      <c r="N41" s="81">
        <f t="shared" si="9"/>
        <v>0</v>
      </c>
      <c r="O41" s="81">
        <f t="shared" si="10"/>
        <v>0</v>
      </c>
      <c r="P41" s="81">
        <f t="shared" si="11"/>
        <v>0</v>
      </c>
      <c r="Q41" s="81">
        <f t="shared" si="12"/>
        <v>0</v>
      </c>
      <c r="R41" s="81">
        <f>'Exhibit B,2'!U37</f>
        <v>0</v>
      </c>
      <c r="S41" s="81">
        <f t="shared" si="13"/>
        <v>0</v>
      </c>
      <c r="T41" s="87">
        <f t="shared" si="14"/>
        <v>0</v>
      </c>
      <c r="U41" s="89">
        <v>164009</v>
      </c>
    </row>
    <row r="42" spans="1:21">
      <c r="A42" s="6">
        <f t="shared" si="1"/>
        <v>2019</v>
      </c>
      <c r="B42" s="81">
        <f>'Exhibit B,2'!AE38</f>
        <v>0</v>
      </c>
      <c r="C42" s="31">
        <v>0</v>
      </c>
      <c r="D42" s="32">
        <v>0</v>
      </c>
      <c r="E42" s="32">
        <v>0</v>
      </c>
      <c r="F42" s="81">
        <v>0</v>
      </c>
      <c r="G42" s="81">
        <f t="shared" si="2"/>
        <v>0</v>
      </c>
      <c r="H42" s="81">
        <f t="shared" si="3"/>
        <v>0</v>
      </c>
      <c r="I42" s="81">
        <f t="shared" si="4"/>
        <v>0</v>
      </c>
      <c r="J42" s="81">
        <f t="shared" si="5"/>
        <v>0</v>
      </c>
      <c r="K42" s="81">
        <f t="shared" si="6"/>
        <v>0</v>
      </c>
      <c r="L42" s="81">
        <f t="shared" si="7"/>
        <v>0</v>
      </c>
      <c r="M42" s="81">
        <f t="shared" si="8"/>
        <v>1551.55</v>
      </c>
      <c r="N42" s="81">
        <f t="shared" si="9"/>
        <v>450.45000000000005</v>
      </c>
      <c r="O42" s="81">
        <f t="shared" si="10"/>
        <v>2002</v>
      </c>
      <c r="P42" s="81">
        <f t="shared" si="11"/>
        <v>1551.55</v>
      </c>
      <c r="Q42" s="81">
        <f t="shared" si="12"/>
        <v>450.45000000000005</v>
      </c>
      <c r="R42" s="81">
        <f>'Exhibit B,2'!U38</f>
        <v>2002</v>
      </c>
      <c r="S42" s="81">
        <f t="shared" si="13"/>
        <v>0</v>
      </c>
      <c r="T42" s="87">
        <f t="shared" si="14"/>
        <v>2002</v>
      </c>
      <c r="U42" s="89">
        <v>148828</v>
      </c>
    </row>
    <row r="43" spans="1:21">
      <c r="A43" s="6">
        <f t="shared" si="1"/>
        <v>2020</v>
      </c>
      <c r="B43" s="81">
        <f>'Exhibit B,2'!AE39</f>
        <v>0</v>
      </c>
      <c r="C43" s="31">
        <v>0</v>
      </c>
      <c r="D43" s="32">
        <v>0</v>
      </c>
      <c r="E43" s="32">
        <v>2002</v>
      </c>
      <c r="F43" s="81">
        <v>0</v>
      </c>
      <c r="G43" s="81">
        <f t="shared" si="2"/>
        <v>2002</v>
      </c>
      <c r="H43" s="81">
        <f t="shared" si="3"/>
        <v>2002</v>
      </c>
      <c r="I43" s="81">
        <f t="shared" si="4"/>
        <v>0</v>
      </c>
      <c r="J43" s="81">
        <f t="shared" si="5"/>
        <v>0</v>
      </c>
      <c r="K43" s="81">
        <f t="shared" si="6"/>
        <v>2002</v>
      </c>
      <c r="L43" s="81">
        <f t="shared" si="7"/>
        <v>2002</v>
      </c>
      <c r="M43" s="81">
        <f t="shared" si="8"/>
        <v>-1551.55</v>
      </c>
      <c r="N43" s="81">
        <f t="shared" si="9"/>
        <v>-450.45000000000005</v>
      </c>
      <c r="O43" s="81">
        <f t="shared" si="10"/>
        <v>-2002</v>
      </c>
      <c r="P43" s="81">
        <f t="shared" si="11"/>
        <v>-1551.55</v>
      </c>
      <c r="Q43" s="81">
        <f t="shared" si="12"/>
        <v>1551.55</v>
      </c>
      <c r="R43" s="81">
        <f>'Exhibit B,2'!U39</f>
        <v>0</v>
      </c>
      <c r="S43" s="81">
        <f t="shared" si="13"/>
        <v>0</v>
      </c>
      <c r="T43" s="87">
        <f t="shared" si="14"/>
        <v>0</v>
      </c>
      <c r="U43" s="89">
        <v>141777</v>
      </c>
    </row>
    <row r="44" spans="1:21">
      <c r="A44" s="6"/>
      <c r="B44" s="81"/>
      <c r="C44" s="17"/>
      <c r="D44" s="81"/>
      <c r="E44" s="81"/>
      <c r="F44" s="81"/>
      <c r="G44" s="81">
        <f>(C44+E44-B44)*G$9</f>
        <v>0</v>
      </c>
      <c r="H44" s="81">
        <f>(SUM(C44:F44)-B44)*H$9</f>
        <v>0</v>
      </c>
      <c r="I44" s="81">
        <f>(C44-B44)*I$9</f>
        <v>0</v>
      </c>
      <c r="J44" s="81">
        <f>(I44+D44)*J$9</f>
        <v>0</v>
      </c>
      <c r="K44" s="81">
        <f t="shared" si="6"/>
        <v>0</v>
      </c>
      <c r="L44" s="81">
        <f t="shared" si="7"/>
        <v>0</v>
      </c>
      <c r="M44" s="81">
        <f t="shared" si="8"/>
        <v>0</v>
      </c>
      <c r="N44" s="81">
        <f t="shared" si="9"/>
        <v>0</v>
      </c>
      <c r="O44" s="81">
        <f>('Exhibit B,3'!AI27-(SUM('Exhibit B,3'!AQ27:'Exhibit B,3'!AT27)-'Exhibit B,3'!AU27))*O$9</f>
        <v>0</v>
      </c>
      <c r="P44" s="81">
        <f t="shared" si="11"/>
        <v>0</v>
      </c>
      <c r="Q44" s="81">
        <f t="shared" si="12"/>
        <v>0</v>
      </c>
      <c r="R44" s="81">
        <f>P44+Q44</f>
        <v>0</v>
      </c>
      <c r="S44" s="81">
        <f>S$45*(H44-G44+O44)/(H$45-G$45+O$45)</f>
        <v>0</v>
      </c>
      <c r="T44" s="87">
        <f t="shared" si="14"/>
        <v>0</v>
      </c>
      <c r="U44" s="87"/>
    </row>
    <row r="45" spans="1:21">
      <c r="A45" s="6" t="s">
        <v>0</v>
      </c>
      <c r="B45" s="82">
        <f>SUM(B15:B43)</f>
        <v>0</v>
      </c>
      <c r="C45" s="82">
        <f>SUM(C15:C43)</f>
        <v>168537.67</v>
      </c>
      <c r="D45" s="82">
        <f t="shared" ref="D45:R45" si="15">SUM(D15:D43)</f>
        <v>47621.24</v>
      </c>
      <c r="E45" s="82">
        <f t="shared" si="15"/>
        <v>149969.91</v>
      </c>
      <c r="F45" s="82">
        <f t="shared" si="15"/>
        <v>0</v>
      </c>
      <c r="G45" s="82">
        <f t="shared" si="15"/>
        <v>318507.57999999996</v>
      </c>
      <c r="H45" s="82">
        <f t="shared" si="15"/>
        <v>366128.81999999995</v>
      </c>
      <c r="I45" s="82">
        <f t="shared" si="15"/>
        <v>168537.67</v>
      </c>
      <c r="J45" s="82">
        <f t="shared" si="15"/>
        <v>216158.91</v>
      </c>
      <c r="K45" s="82">
        <f t="shared" si="15"/>
        <v>149969.91</v>
      </c>
      <c r="L45" s="82">
        <f t="shared" si="15"/>
        <v>149969.91</v>
      </c>
      <c r="M45" s="82">
        <f t="shared" si="15"/>
        <v>-56300.804999999993</v>
      </c>
      <c r="N45" s="82">
        <f t="shared" si="15"/>
        <v>-16345.395000000004</v>
      </c>
      <c r="O45" s="82">
        <f t="shared" si="15"/>
        <v>-72646.2</v>
      </c>
      <c r="P45" s="82">
        <f t="shared" si="15"/>
        <v>159858.10499999998</v>
      </c>
      <c r="Q45" s="82">
        <f t="shared" si="15"/>
        <v>133624.51499999998</v>
      </c>
      <c r="R45" s="82">
        <f t="shared" si="15"/>
        <v>293482.62</v>
      </c>
      <c r="S45" s="82">
        <v>0</v>
      </c>
      <c r="T45" s="90">
        <v>496073.75027208513</v>
      </c>
      <c r="U45" s="90">
        <v>1865341.47</v>
      </c>
    </row>
    <row r="46" spans="1:21">
      <c r="A46" s="6"/>
      <c r="B46" s="6"/>
      <c r="C46" s="6"/>
      <c r="D46" s="6"/>
      <c r="E46" s="6"/>
      <c r="F46" s="6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7"/>
      <c r="U46" s="87"/>
    </row>
    <row r="47" spans="1:21">
      <c r="A47" s="6"/>
      <c r="B47" s="6"/>
      <c r="C47" s="6"/>
      <c r="D47" s="6"/>
      <c r="E47" s="6"/>
      <c r="F47" s="6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7"/>
      <c r="U47" s="87"/>
    </row>
    <row r="48" spans="1:21">
      <c r="A48" s="6"/>
      <c r="O48" s="81">
        <f>('Exhibit B,3'!AU88-(SUM('Exhibit B,3'!AQ31:'Exhibit B,3'!AT31)-'Exhibit B,3'!AU31))*O$9</f>
        <v>10193262.62555851</v>
      </c>
      <c r="T48" s="91"/>
      <c r="U48" s="87"/>
    </row>
    <row r="49" spans="1:21">
      <c r="A49" s="6" t="s">
        <v>13</v>
      </c>
      <c r="B49" s="6" t="s">
        <v>682</v>
      </c>
      <c r="C49" s="6" t="s">
        <v>682</v>
      </c>
      <c r="D49" s="6" t="s">
        <v>682</v>
      </c>
      <c r="E49" s="6" t="s">
        <v>682</v>
      </c>
      <c r="F49" s="6" t="s">
        <v>682</v>
      </c>
      <c r="G49" s="85">
        <v>1</v>
      </c>
      <c r="H49" s="85">
        <v>1</v>
      </c>
      <c r="I49" s="85">
        <v>1</v>
      </c>
      <c r="J49" s="85">
        <v>1</v>
      </c>
      <c r="K49" s="85">
        <v>1</v>
      </c>
      <c r="L49" s="85">
        <v>1</v>
      </c>
      <c r="M49" s="85">
        <v>1</v>
      </c>
      <c r="N49" s="85">
        <v>1</v>
      </c>
      <c r="O49" s="85">
        <v>1</v>
      </c>
      <c r="P49" s="85">
        <v>1</v>
      </c>
      <c r="Q49" s="85">
        <v>1</v>
      </c>
      <c r="R49" s="85">
        <v>1</v>
      </c>
      <c r="S49" s="85">
        <v>1</v>
      </c>
      <c r="T49" s="92">
        <v>1</v>
      </c>
      <c r="U49" s="85">
        <v>1</v>
      </c>
    </row>
    <row r="50" spans="1:21">
      <c r="A50" s="6"/>
      <c r="B50" s="27" t="s">
        <v>665</v>
      </c>
      <c r="C50" s="27" t="s">
        <v>666</v>
      </c>
      <c r="D50" s="27" t="s">
        <v>667</v>
      </c>
      <c r="E50" s="27" t="s">
        <v>665</v>
      </c>
      <c r="F50" s="27" t="s">
        <v>673</v>
      </c>
      <c r="G50" s="17"/>
      <c r="H50" s="81"/>
      <c r="I50" s="81"/>
      <c r="J50" s="81"/>
      <c r="K50" s="81"/>
      <c r="L50" s="81"/>
      <c r="M50" s="17"/>
      <c r="N50" s="83"/>
      <c r="O50" s="81"/>
      <c r="P50" s="81"/>
      <c r="Q50" s="81"/>
      <c r="R50" s="81" t="s">
        <v>67</v>
      </c>
      <c r="S50" s="81"/>
      <c r="T50" s="87" t="s">
        <v>67</v>
      </c>
      <c r="U50" s="87"/>
    </row>
    <row r="51" spans="1:21">
      <c r="A51" s="6" t="s">
        <v>3</v>
      </c>
      <c r="B51" s="27" t="s">
        <v>524</v>
      </c>
      <c r="C51" s="27" t="s">
        <v>524</v>
      </c>
      <c r="D51" s="27" t="s">
        <v>524</v>
      </c>
      <c r="E51" s="27" t="s">
        <v>528</v>
      </c>
      <c r="F51" s="27" t="s">
        <v>528</v>
      </c>
      <c r="G51" s="81" t="s">
        <v>14</v>
      </c>
      <c r="H51" s="81" t="s">
        <v>12</v>
      </c>
      <c r="I51" s="81" t="s">
        <v>14</v>
      </c>
      <c r="J51" s="81" t="s">
        <v>12</v>
      </c>
      <c r="K51" s="81" t="s">
        <v>14</v>
      </c>
      <c r="L51" s="81" t="s">
        <v>12</v>
      </c>
      <c r="M51" s="81" t="s">
        <v>381</v>
      </c>
      <c r="N51" s="81" t="s">
        <v>381</v>
      </c>
      <c r="O51" s="81" t="s">
        <v>381</v>
      </c>
      <c r="P51" s="81" t="s">
        <v>660</v>
      </c>
      <c r="Q51" s="81" t="s">
        <v>67</v>
      </c>
      <c r="R51" s="81" t="s">
        <v>662</v>
      </c>
      <c r="S51" s="81" t="s">
        <v>661</v>
      </c>
      <c r="T51" s="87" t="s">
        <v>663</v>
      </c>
      <c r="U51" s="6" t="s">
        <v>177</v>
      </c>
    </row>
    <row r="52" spans="1:21">
      <c r="A52" s="6" t="s">
        <v>4</v>
      </c>
      <c r="B52" s="28" t="s">
        <v>668</v>
      </c>
      <c r="C52" s="28" t="s">
        <v>669</v>
      </c>
      <c r="D52" s="28" t="s">
        <v>670</v>
      </c>
      <c r="E52" s="28" t="s">
        <v>668</v>
      </c>
      <c r="F52" s="28" t="s">
        <v>670</v>
      </c>
      <c r="G52" s="81" t="s">
        <v>0</v>
      </c>
      <c r="H52" s="81" t="s">
        <v>0</v>
      </c>
      <c r="I52" s="81" t="s">
        <v>566</v>
      </c>
      <c r="J52" s="81" t="s">
        <v>566</v>
      </c>
      <c r="K52" s="81" t="s">
        <v>567</v>
      </c>
      <c r="L52" s="81" t="s">
        <v>567</v>
      </c>
      <c r="M52" s="81" t="s">
        <v>566</v>
      </c>
      <c r="N52" s="81" t="s">
        <v>567</v>
      </c>
      <c r="O52" s="81" t="s">
        <v>0</v>
      </c>
      <c r="P52" s="81" t="s">
        <v>566</v>
      </c>
      <c r="Q52" s="81" t="s">
        <v>567</v>
      </c>
      <c r="R52" s="81" t="s">
        <v>0</v>
      </c>
      <c r="S52" s="81" t="s">
        <v>0</v>
      </c>
      <c r="T52" s="87" t="s">
        <v>0</v>
      </c>
      <c r="U52" s="6" t="s">
        <v>16</v>
      </c>
    </row>
    <row r="53" spans="1:21">
      <c r="A53" s="10">
        <v>-1</v>
      </c>
      <c r="B53" s="10">
        <f>A53-1</f>
        <v>-2</v>
      </c>
      <c r="C53" s="10">
        <f>B53-1</f>
        <v>-3</v>
      </c>
      <c r="D53" s="10">
        <f t="shared" ref="D53:L53" si="16">C53-1</f>
        <v>-4</v>
      </c>
      <c r="E53" s="10">
        <f t="shared" si="16"/>
        <v>-5</v>
      </c>
      <c r="F53" s="10">
        <f t="shared" si="16"/>
        <v>-6</v>
      </c>
      <c r="G53" s="10">
        <f t="shared" si="16"/>
        <v>-7</v>
      </c>
      <c r="H53" s="10">
        <f t="shared" si="16"/>
        <v>-8</v>
      </c>
      <c r="I53" s="10">
        <f t="shared" si="16"/>
        <v>-9</v>
      </c>
      <c r="J53" s="10">
        <f t="shared" si="16"/>
        <v>-10</v>
      </c>
      <c r="K53" s="10">
        <f t="shared" si="16"/>
        <v>-11</v>
      </c>
      <c r="L53" s="10">
        <f t="shared" si="16"/>
        <v>-12</v>
      </c>
      <c r="M53" s="10">
        <f>L53-1</f>
        <v>-13</v>
      </c>
      <c r="N53" s="10">
        <f t="shared" ref="N53:S53" si="17">M53-1</f>
        <v>-14</v>
      </c>
      <c r="O53" s="10">
        <f t="shared" si="17"/>
        <v>-15</v>
      </c>
      <c r="P53" s="10">
        <f t="shared" si="17"/>
        <v>-16</v>
      </c>
      <c r="Q53" s="10">
        <f t="shared" si="17"/>
        <v>-17</v>
      </c>
      <c r="R53" s="10">
        <f t="shared" si="17"/>
        <v>-18</v>
      </c>
      <c r="S53" s="10">
        <f t="shared" si="17"/>
        <v>-19</v>
      </c>
      <c r="T53" s="93">
        <v>-20</v>
      </c>
      <c r="U53" s="10">
        <v>-21</v>
      </c>
    </row>
    <row r="54" spans="1:21">
      <c r="A54" s="80"/>
      <c r="B54" s="6"/>
      <c r="C54" s="6"/>
      <c r="D54" s="6"/>
      <c r="E54" s="6"/>
      <c r="F54" s="6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17"/>
      <c r="T54" s="89"/>
      <c r="U54" s="87"/>
    </row>
    <row r="55" spans="1:21">
      <c r="A55" s="6">
        <v>1992</v>
      </c>
      <c r="B55" s="2"/>
      <c r="C55" s="6"/>
      <c r="D55" s="6"/>
      <c r="E55" s="6"/>
      <c r="F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94"/>
      <c r="U55" s="6"/>
    </row>
    <row r="56" spans="1:21">
      <c r="A56" s="6">
        <f>A55+1</f>
        <v>1993</v>
      </c>
      <c r="B56" s="6"/>
      <c r="C56" s="6"/>
      <c r="D56" s="6"/>
      <c r="E56" s="6"/>
      <c r="F56" s="6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7"/>
      <c r="U56" s="87"/>
    </row>
    <row r="57" spans="1:21">
      <c r="A57" s="6">
        <f t="shared" ref="A57:A83" si="18">A56+1</f>
        <v>1994</v>
      </c>
      <c r="B57" s="6"/>
      <c r="C57" s="6"/>
      <c r="D57" s="6"/>
      <c r="E57" s="6"/>
      <c r="F57" s="6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7"/>
      <c r="U57" s="87"/>
    </row>
    <row r="58" spans="1:21">
      <c r="A58" s="6">
        <f t="shared" si="18"/>
        <v>1995</v>
      </c>
      <c r="B58" s="6"/>
      <c r="C58" s="6"/>
      <c r="D58" s="6"/>
      <c r="E58" s="6"/>
      <c r="F58" s="6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7"/>
      <c r="U58" s="87"/>
    </row>
    <row r="59" spans="1:21">
      <c r="A59" s="6">
        <f t="shared" si="18"/>
        <v>1996</v>
      </c>
      <c r="B59" s="6"/>
      <c r="C59" s="6"/>
      <c r="D59" s="6"/>
      <c r="E59" s="6"/>
      <c r="F59" s="6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7"/>
      <c r="U59" s="87"/>
    </row>
    <row r="60" spans="1:21">
      <c r="A60" s="6">
        <f t="shared" si="18"/>
        <v>1997</v>
      </c>
      <c r="B60" s="6"/>
      <c r="C60" s="6"/>
      <c r="D60" s="6"/>
      <c r="E60" s="6"/>
      <c r="F60" s="6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7"/>
      <c r="U60" s="87"/>
    </row>
    <row r="61" spans="1:21">
      <c r="A61" s="6">
        <f t="shared" si="18"/>
        <v>1998</v>
      </c>
      <c r="B61" s="6"/>
      <c r="C61" s="6"/>
      <c r="D61" s="6"/>
      <c r="E61" s="6"/>
      <c r="F61" s="6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7"/>
      <c r="U61" s="87"/>
    </row>
    <row r="62" spans="1:21">
      <c r="A62" s="6">
        <f t="shared" si="18"/>
        <v>1999</v>
      </c>
      <c r="B62" s="6"/>
      <c r="C62" s="6"/>
      <c r="D62" s="6"/>
      <c r="E62" s="6"/>
      <c r="F62" s="6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7"/>
      <c r="U62" s="87"/>
    </row>
    <row r="63" spans="1:21">
      <c r="A63" s="6">
        <f t="shared" si="18"/>
        <v>2000</v>
      </c>
      <c r="B63" s="6"/>
      <c r="C63" s="6"/>
      <c r="D63" s="6"/>
      <c r="E63" s="6"/>
      <c r="F63" s="6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7"/>
      <c r="U63" s="87"/>
    </row>
    <row r="64" spans="1:21">
      <c r="A64" s="6">
        <f t="shared" si="18"/>
        <v>2001</v>
      </c>
      <c r="B64" s="6"/>
      <c r="C64" s="6"/>
      <c r="D64" s="6"/>
      <c r="E64" s="6"/>
      <c r="F64" s="6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7"/>
      <c r="U64" s="87"/>
    </row>
    <row r="65" spans="1:21">
      <c r="A65" s="6">
        <f t="shared" si="18"/>
        <v>2002</v>
      </c>
      <c r="B65" s="6"/>
      <c r="C65" s="6"/>
      <c r="D65" s="6"/>
      <c r="E65" s="6"/>
      <c r="F65" s="6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7"/>
      <c r="U65" s="87"/>
    </row>
    <row r="66" spans="1:21">
      <c r="A66" s="6">
        <f t="shared" si="18"/>
        <v>2003</v>
      </c>
      <c r="B66" s="6"/>
      <c r="C66" s="6"/>
      <c r="D66" s="6"/>
      <c r="E66" s="6"/>
      <c r="F66" s="6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7"/>
      <c r="U66" s="87"/>
    </row>
    <row r="67" spans="1:21">
      <c r="A67" s="6">
        <f t="shared" si="18"/>
        <v>2004</v>
      </c>
      <c r="B67" s="6"/>
      <c r="C67" s="6"/>
      <c r="D67" s="6"/>
      <c r="E67" s="6"/>
      <c r="F67" s="6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7"/>
      <c r="U67" s="87"/>
    </row>
    <row r="68" spans="1:21">
      <c r="A68" s="6">
        <f t="shared" si="18"/>
        <v>2005</v>
      </c>
      <c r="B68" s="6"/>
      <c r="C68" s="6"/>
      <c r="D68" s="6"/>
      <c r="E68" s="6"/>
      <c r="F68" s="6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7"/>
      <c r="U68" s="87"/>
    </row>
    <row r="69" spans="1:21">
      <c r="A69" s="6">
        <f t="shared" si="18"/>
        <v>2006</v>
      </c>
      <c r="B69" s="6"/>
      <c r="C69" s="6"/>
      <c r="D69" s="6"/>
      <c r="E69" s="6"/>
      <c r="F69" s="6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7"/>
      <c r="U69" s="87"/>
    </row>
    <row r="70" spans="1:21">
      <c r="A70" s="6">
        <f t="shared" si="18"/>
        <v>2007</v>
      </c>
      <c r="B70" s="6"/>
      <c r="C70" s="6"/>
      <c r="D70" s="6"/>
      <c r="E70" s="6"/>
      <c r="F70" s="6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7"/>
      <c r="U70" s="87"/>
    </row>
    <row r="71" spans="1:21">
      <c r="A71" s="6">
        <f t="shared" si="18"/>
        <v>2008</v>
      </c>
      <c r="B71" s="6"/>
      <c r="C71" s="6"/>
      <c r="D71" s="6"/>
      <c r="E71" s="6"/>
      <c r="F71" s="6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7"/>
      <c r="U71" s="87"/>
    </row>
    <row r="72" spans="1:21">
      <c r="A72" s="6">
        <f t="shared" si="18"/>
        <v>2009</v>
      </c>
      <c r="B72" s="6"/>
      <c r="C72" s="6"/>
      <c r="D72" s="6"/>
      <c r="E72" s="6"/>
      <c r="F72" s="6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7"/>
      <c r="U72" s="87"/>
    </row>
    <row r="73" spans="1:21">
      <c r="A73" s="6">
        <f t="shared" si="18"/>
        <v>2010</v>
      </c>
      <c r="B73" s="95"/>
      <c r="C73" s="95"/>
      <c r="D73" s="95"/>
      <c r="E73" s="95"/>
      <c r="F73" s="95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7"/>
      <c r="U73" s="87"/>
    </row>
    <row r="74" spans="1:21">
      <c r="A74" s="6">
        <f t="shared" si="18"/>
        <v>2011</v>
      </c>
      <c r="B74" s="95"/>
      <c r="C74" s="95"/>
      <c r="D74" s="95"/>
      <c r="E74" s="95"/>
      <c r="F74" s="95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7">
        <f>R74+S74</f>
        <v>0</v>
      </c>
      <c r="U74" s="89">
        <v>172724</v>
      </c>
    </row>
    <row r="75" spans="1:21">
      <c r="A75" s="6">
        <f t="shared" si="18"/>
        <v>2012</v>
      </c>
      <c r="B75" s="96">
        <f t="shared" ref="B75:B83" si="19">B35</f>
        <v>0</v>
      </c>
      <c r="C75" s="96">
        <f t="shared" ref="C75:S83" si="20">C35</f>
        <v>15000</v>
      </c>
      <c r="D75" s="96">
        <f t="shared" si="20"/>
        <v>0</v>
      </c>
      <c r="E75" s="96">
        <f t="shared" si="20"/>
        <v>10024.959999999999</v>
      </c>
      <c r="F75" s="96">
        <f t="shared" si="20"/>
        <v>0</v>
      </c>
      <c r="G75" s="96">
        <f t="shared" si="20"/>
        <v>25024.959999999999</v>
      </c>
      <c r="H75" s="96">
        <f t="shared" si="20"/>
        <v>25024.959999999999</v>
      </c>
      <c r="I75" s="96">
        <f t="shared" si="20"/>
        <v>15000</v>
      </c>
      <c r="J75" s="96">
        <f t="shared" si="20"/>
        <v>15000</v>
      </c>
      <c r="K75" s="96">
        <f t="shared" si="20"/>
        <v>10024.959999999999</v>
      </c>
      <c r="L75" s="96">
        <f t="shared" si="20"/>
        <v>10024.959999999999</v>
      </c>
      <c r="M75" s="96">
        <f t="shared" si="20"/>
        <v>-19394.344000000001</v>
      </c>
      <c r="N75" s="96">
        <f t="shared" si="20"/>
        <v>-5630.6159999999982</v>
      </c>
      <c r="O75" s="96">
        <f t="shared" si="20"/>
        <v>-25024.959999999999</v>
      </c>
      <c r="P75" s="96">
        <f t="shared" si="20"/>
        <v>-4394.344000000001</v>
      </c>
      <c r="Q75" s="96">
        <f t="shared" si="20"/>
        <v>4394.344000000001</v>
      </c>
      <c r="R75" s="96">
        <f t="shared" si="20"/>
        <v>0</v>
      </c>
      <c r="S75" s="96">
        <f t="shared" si="20"/>
        <v>0</v>
      </c>
      <c r="T75" s="87">
        <f t="shared" ref="T75:T83" si="21">R75+S75</f>
        <v>0</v>
      </c>
      <c r="U75" s="89">
        <v>229419.5</v>
      </c>
    </row>
    <row r="76" spans="1:21">
      <c r="A76" s="6">
        <f t="shared" si="18"/>
        <v>2013</v>
      </c>
      <c r="B76" s="96">
        <f t="shared" si="19"/>
        <v>0</v>
      </c>
      <c r="C76" s="96">
        <f t="shared" ref="C76:Q76" si="22">C36</f>
        <v>0</v>
      </c>
      <c r="D76" s="96">
        <f t="shared" si="22"/>
        <v>0</v>
      </c>
      <c r="E76" s="96">
        <f t="shared" si="22"/>
        <v>0</v>
      </c>
      <c r="F76" s="96">
        <f t="shared" si="22"/>
        <v>0</v>
      </c>
      <c r="G76" s="96">
        <f t="shared" si="22"/>
        <v>0</v>
      </c>
      <c r="H76" s="96">
        <f t="shared" si="22"/>
        <v>0</v>
      </c>
      <c r="I76" s="96">
        <f t="shared" si="22"/>
        <v>0</v>
      </c>
      <c r="J76" s="96">
        <f t="shared" si="22"/>
        <v>0</v>
      </c>
      <c r="K76" s="96">
        <f t="shared" si="22"/>
        <v>0</v>
      </c>
      <c r="L76" s="96">
        <f t="shared" si="22"/>
        <v>0</v>
      </c>
      <c r="M76" s="96">
        <f t="shared" si="22"/>
        <v>325.5</v>
      </c>
      <c r="N76" s="96">
        <f t="shared" si="22"/>
        <v>94.5</v>
      </c>
      <c r="O76" s="96">
        <f t="shared" si="22"/>
        <v>420</v>
      </c>
      <c r="P76" s="96">
        <f t="shared" si="22"/>
        <v>325.5</v>
      </c>
      <c r="Q76" s="96">
        <f t="shared" si="22"/>
        <v>94.5</v>
      </c>
      <c r="R76" s="96">
        <f t="shared" si="20"/>
        <v>420</v>
      </c>
      <c r="S76" s="96">
        <f t="shared" si="20"/>
        <v>0</v>
      </c>
      <c r="T76" s="87">
        <f t="shared" si="21"/>
        <v>420</v>
      </c>
      <c r="U76" s="89">
        <v>261275</v>
      </c>
    </row>
    <row r="77" spans="1:21">
      <c r="A77" s="6">
        <f t="shared" si="18"/>
        <v>2014</v>
      </c>
      <c r="B77" s="96">
        <f t="shared" si="19"/>
        <v>0</v>
      </c>
      <c r="C77" s="96">
        <f t="shared" si="20"/>
        <v>0</v>
      </c>
      <c r="D77" s="96">
        <f t="shared" si="20"/>
        <v>0</v>
      </c>
      <c r="E77" s="96">
        <f t="shared" si="20"/>
        <v>420</v>
      </c>
      <c r="F77" s="96">
        <f t="shared" si="20"/>
        <v>0</v>
      </c>
      <c r="G77" s="96">
        <f t="shared" si="20"/>
        <v>420</v>
      </c>
      <c r="H77" s="96">
        <f t="shared" si="20"/>
        <v>420</v>
      </c>
      <c r="I77" s="96">
        <f t="shared" si="20"/>
        <v>0</v>
      </c>
      <c r="J77" s="96">
        <f t="shared" si="20"/>
        <v>0</v>
      </c>
      <c r="K77" s="96">
        <f t="shared" si="20"/>
        <v>420</v>
      </c>
      <c r="L77" s="96">
        <f t="shared" si="20"/>
        <v>420</v>
      </c>
      <c r="M77" s="96">
        <f t="shared" si="20"/>
        <v>80565.125</v>
      </c>
      <c r="N77" s="96">
        <f t="shared" si="20"/>
        <v>23389.875</v>
      </c>
      <c r="O77" s="96">
        <f t="shared" si="20"/>
        <v>103955</v>
      </c>
      <c r="P77" s="96">
        <f t="shared" si="20"/>
        <v>80565.125</v>
      </c>
      <c r="Q77" s="96">
        <f t="shared" si="20"/>
        <v>23809.875</v>
      </c>
      <c r="R77" s="96">
        <f t="shared" si="20"/>
        <v>104375</v>
      </c>
      <c r="S77" s="96">
        <f t="shared" si="20"/>
        <v>0</v>
      </c>
      <c r="T77" s="87">
        <f t="shared" si="21"/>
        <v>104375</v>
      </c>
      <c r="U77" s="89">
        <v>227776</v>
      </c>
    </row>
    <row r="78" spans="1:21">
      <c r="A78" s="6">
        <f t="shared" si="18"/>
        <v>2015</v>
      </c>
      <c r="B78" s="96">
        <f t="shared" si="19"/>
        <v>0</v>
      </c>
      <c r="C78" s="96">
        <f t="shared" si="20"/>
        <v>90664.6</v>
      </c>
      <c r="D78" s="96">
        <f t="shared" si="20"/>
        <v>0</v>
      </c>
      <c r="E78" s="96">
        <f t="shared" si="20"/>
        <v>13710.4</v>
      </c>
      <c r="F78" s="96">
        <f t="shared" si="20"/>
        <v>0</v>
      </c>
      <c r="G78" s="96">
        <f t="shared" si="20"/>
        <v>104375</v>
      </c>
      <c r="H78" s="96">
        <f t="shared" si="20"/>
        <v>104375</v>
      </c>
      <c r="I78" s="96">
        <f t="shared" si="20"/>
        <v>90664.6</v>
      </c>
      <c r="J78" s="96">
        <f t="shared" si="20"/>
        <v>90664.6</v>
      </c>
      <c r="K78" s="96">
        <f t="shared" si="20"/>
        <v>13710.4</v>
      </c>
      <c r="L78" s="96">
        <f t="shared" si="20"/>
        <v>13710.4</v>
      </c>
      <c r="M78" s="96">
        <f t="shared" si="20"/>
        <v>7638.0667499999945</v>
      </c>
      <c r="N78" s="96">
        <f t="shared" si="20"/>
        <v>2217.5032499999979</v>
      </c>
      <c r="O78" s="96">
        <f t="shared" si="20"/>
        <v>9855.5699999999924</v>
      </c>
      <c r="P78" s="96">
        <f t="shared" si="20"/>
        <v>98302.666750000004</v>
      </c>
      <c r="Q78" s="96">
        <f t="shared" si="20"/>
        <v>15927.903249999998</v>
      </c>
      <c r="R78" s="96">
        <f t="shared" si="20"/>
        <v>114230.56999999999</v>
      </c>
      <c r="S78" s="96">
        <f t="shared" si="20"/>
        <v>0</v>
      </c>
      <c r="T78" s="87">
        <f t="shared" si="21"/>
        <v>114230.56999999999</v>
      </c>
      <c r="U78" s="89">
        <v>170820.55</v>
      </c>
    </row>
    <row r="79" spans="1:21">
      <c r="A79" s="6">
        <f t="shared" si="18"/>
        <v>2016</v>
      </c>
      <c r="B79" s="96">
        <f t="shared" si="19"/>
        <v>0</v>
      </c>
      <c r="C79" s="96">
        <f t="shared" si="20"/>
        <v>5494.31</v>
      </c>
      <c r="D79" s="96">
        <f t="shared" si="20"/>
        <v>0</v>
      </c>
      <c r="E79" s="96">
        <f t="shared" si="20"/>
        <v>108736.26</v>
      </c>
      <c r="F79" s="96">
        <f t="shared" si="20"/>
        <v>0</v>
      </c>
      <c r="G79" s="96">
        <f t="shared" si="20"/>
        <v>114230.56999999999</v>
      </c>
      <c r="H79" s="96">
        <f t="shared" si="20"/>
        <v>114230.56999999999</v>
      </c>
      <c r="I79" s="96">
        <f t="shared" si="20"/>
        <v>5494.31</v>
      </c>
      <c r="J79" s="96">
        <f t="shared" si="20"/>
        <v>5494.31</v>
      </c>
      <c r="K79" s="96">
        <f t="shared" si="20"/>
        <v>108736.26</v>
      </c>
      <c r="L79" s="96">
        <f t="shared" si="20"/>
        <v>108736.26</v>
      </c>
      <c r="M79" s="96">
        <f t="shared" si="20"/>
        <v>-32376.027999999991</v>
      </c>
      <c r="N79" s="96">
        <f t="shared" si="20"/>
        <v>-9399.4919999999984</v>
      </c>
      <c r="O79" s="96">
        <f t="shared" si="20"/>
        <v>-41775.51999999999</v>
      </c>
      <c r="P79" s="96">
        <f t="shared" si="20"/>
        <v>-26881.71799999999</v>
      </c>
      <c r="Q79" s="96">
        <f t="shared" si="20"/>
        <v>99336.767999999996</v>
      </c>
      <c r="R79" s="96">
        <f t="shared" si="20"/>
        <v>72455.05</v>
      </c>
      <c r="S79" s="96">
        <f t="shared" si="20"/>
        <v>0</v>
      </c>
      <c r="T79" s="87">
        <f t="shared" si="21"/>
        <v>72455.05</v>
      </c>
      <c r="U79" s="89">
        <v>173029</v>
      </c>
    </row>
    <row r="80" spans="1:21">
      <c r="A80" s="6">
        <f t="shared" si="18"/>
        <v>2017</v>
      </c>
      <c r="B80" s="96">
        <f t="shared" si="19"/>
        <v>0</v>
      </c>
      <c r="C80" s="96">
        <f t="shared" si="20"/>
        <v>57378.76</v>
      </c>
      <c r="D80" s="96">
        <f t="shared" si="20"/>
        <v>47621.24</v>
      </c>
      <c r="E80" s="96">
        <f t="shared" si="20"/>
        <v>15076.29</v>
      </c>
      <c r="F80" s="96">
        <f t="shared" si="20"/>
        <v>0</v>
      </c>
      <c r="G80" s="96">
        <f t="shared" si="20"/>
        <v>72455.05</v>
      </c>
      <c r="H80" s="96">
        <f t="shared" si="20"/>
        <v>120076.29000000001</v>
      </c>
      <c r="I80" s="96">
        <f t="shared" si="20"/>
        <v>57378.76</v>
      </c>
      <c r="J80" s="96">
        <f t="shared" si="20"/>
        <v>105000</v>
      </c>
      <c r="K80" s="96">
        <f t="shared" si="20"/>
        <v>15076.29</v>
      </c>
      <c r="L80" s="96">
        <f t="shared" si="20"/>
        <v>15076.29</v>
      </c>
      <c r="M80" s="96">
        <f t="shared" si="20"/>
        <v>-93059.124750000003</v>
      </c>
      <c r="N80" s="96">
        <f t="shared" si="20"/>
        <v>-27017.165250000005</v>
      </c>
      <c r="O80" s="96">
        <f t="shared" si="20"/>
        <v>-120076.29000000001</v>
      </c>
      <c r="P80" s="96">
        <f t="shared" si="20"/>
        <v>11940.875249999997</v>
      </c>
      <c r="Q80" s="96">
        <f t="shared" si="20"/>
        <v>-11940.875250000005</v>
      </c>
      <c r="R80" s="96">
        <f t="shared" si="20"/>
        <v>0</v>
      </c>
      <c r="S80" s="96">
        <f t="shared" si="20"/>
        <v>0</v>
      </c>
      <c r="T80" s="87">
        <f t="shared" si="21"/>
        <v>0</v>
      </c>
      <c r="U80" s="89">
        <v>175683.42</v>
      </c>
    </row>
    <row r="81" spans="1:21">
      <c r="A81" s="6">
        <f t="shared" si="18"/>
        <v>2018</v>
      </c>
      <c r="B81" s="96">
        <f t="shared" si="19"/>
        <v>0</v>
      </c>
      <c r="C81" s="96">
        <f t="shared" si="20"/>
        <v>0</v>
      </c>
      <c r="D81" s="96">
        <f t="shared" si="20"/>
        <v>0</v>
      </c>
      <c r="E81" s="96">
        <f t="shared" si="20"/>
        <v>0</v>
      </c>
      <c r="F81" s="96">
        <f t="shared" si="20"/>
        <v>0</v>
      </c>
      <c r="G81" s="96">
        <f t="shared" si="20"/>
        <v>0</v>
      </c>
      <c r="H81" s="96">
        <f t="shared" si="20"/>
        <v>0</v>
      </c>
      <c r="I81" s="96">
        <f t="shared" si="20"/>
        <v>0</v>
      </c>
      <c r="J81" s="96">
        <f t="shared" si="20"/>
        <v>0</v>
      </c>
      <c r="K81" s="96">
        <f t="shared" si="20"/>
        <v>0</v>
      </c>
      <c r="L81" s="96">
        <f t="shared" si="20"/>
        <v>0</v>
      </c>
      <c r="M81" s="96">
        <f t="shared" si="20"/>
        <v>0</v>
      </c>
      <c r="N81" s="96">
        <f t="shared" si="20"/>
        <v>0</v>
      </c>
      <c r="O81" s="96">
        <f t="shared" si="20"/>
        <v>0</v>
      </c>
      <c r="P81" s="96">
        <f t="shared" si="20"/>
        <v>0</v>
      </c>
      <c r="Q81" s="96">
        <f t="shared" si="20"/>
        <v>0</v>
      </c>
      <c r="R81" s="96">
        <f t="shared" si="20"/>
        <v>0</v>
      </c>
      <c r="S81" s="96">
        <f t="shared" si="20"/>
        <v>0</v>
      </c>
      <c r="T81" s="87">
        <f t="shared" si="21"/>
        <v>0</v>
      </c>
      <c r="U81" s="89">
        <v>164009</v>
      </c>
    </row>
    <row r="82" spans="1:21">
      <c r="A82" s="6">
        <f t="shared" si="18"/>
        <v>2019</v>
      </c>
      <c r="B82" s="96">
        <f t="shared" si="19"/>
        <v>0</v>
      </c>
      <c r="C82" s="96">
        <f t="shared" si="20"/>
        <v>0</v>
      </c>
      <c r="D82" s="96">
        <f t="shared" si="20"/>
        <v>0</v>
      </c>
      <c r="E82" s="96">
        <f t="shared" si="20"/>
        <v>0</v>
      </c>
      <c r="F82" s="96">
        <f t="shared" si="20"/>
        <v>0</v>
      </c>
      <c r="G82" s="96">
        <f t="shared" si="20"/>
        <v>0</v>
      </c>
      <c r="H82" s="96">
        <f t="shared" si="20"/>
        <v>0</v>
      </c>
      <c r="I82" s="96">
        <f t="shared" si="20"/>
        <v>0</v>
      </c>
      <c r="J82" s="96">
        <f t="shared" si="20"/>
        <v>0</v>
      </c>
      <c r="K82" s="96">
        <f t="shared" si="20"/>
        <v>0</v>
      </c>
      <c r="L82" s="96">
        <f t="shared" si="20"/>
        <v>0</v>
      </c>
      <c r="M82" s="96">
        <f t="shared" si="20"/>
        <v>1551.55</v>
      </c>
      <c r="N82" s="96">
        <f t="shared" si="20"/>
        <v>450.45000000000005</v>
      </c>
      <c r="O82" s="96">
        <f t="shared" si="20"/>
        <v>2002</v>
      </c>
      <c r="P82" s="96">
        <f t="shared" si="20"/>
        <v>1551.55</v>
      </c>
      <c r="Q82" s="96">
        <f t="shared" si="20"/>
        <v>450.45000000000005</v>
      </c>
      <c r="R82" s="96">
        <f t="shared" si="20"/>
        <v>2002</v>
      </c>
      <c r="S82" s="96">
        <f t="shared" si="20"/>
        <v>0</v>
      </c>
      <c r="T82" s="87">
        <f t="shared" si="21"/>
        <v>2002</v>
      </c>
      <c r="U82" s="89">
        <v>148828</v>
      </c>
    </row>
    <row r="83" spans="1:21">
      <c r="A83" s="6">
        <f t="shared" si="18"/>
        <v>2020</v>
      </c>
      <c r="B83" s="96">
        <f t="shared" si="19"/>
        <v>0</v>
      </c>
      <c r="C83" s="96">
        <f t="shared" si="20"/>
        <v>0</v>
      </c>
      <c r="D83" s="96">
        <f t="shared" si="20"/>
        <v>0</v>
      </c>
      <c r="E83" s="96">
        <f t="shared" si="20"/>
        <v>2002</v>
      </c>
      <c r="F83" s="96">
        <f t="shared" si="20"/>
        <v>0</v>
      </c>
      <c r="G83" s="96">
        <f t="shared" si="20"/>
        <v>2002</v>
      </c>
      <c r="H83" s="96">
        <f t="shared" si="20"/>
        <v>2002</v>
      </c>
      <c r="I83" s="96">
        <f t="shared" si="20"/>
        <v>0</v>
      </c>
      <c r="J83" s="96">
        <f t="shared" si="20"/>
        <v>0</v>
      </c>
      <c r="K83" s="96">
        <f t="shared" si="20"/>
        <v>2002</v>
      </c>
      <c r="L83" s="96">
        <f t="shared" si="20"/>
        <v>2002</v>
      </c>
      <c r="M83" s="96">
        <f t="shared" si="20"/>
        <v>-1551.55</v>
      </c>
      <c r="N83" s="96">
        <f t="shared" si="20"/>
        <v>-450.45000000000005</v>
      </c>
      <c r="O83" s="96">
        <f t="shared" si="20"/>
        <v>-2002</v>
      </c>
      <c r="P83" s="96">
        <f t="shared" si="20"/>
        <v>-1551.55</v>
      </c>
      <c r="Q83" s="96">
        <f t="shared" si="20"/>
        <v>1551.55</v>
      </c>
      <c r="R83" s="96">
        <f t="shared" si="20"/>
        <v>0</v>
      </c>
      <c r="S83" s="96">
        <f t="shared" si="20"/>
        <v>0</v>
      </c>
      <c r="T83" s="87">
        <f t="shared" si="21"/>
        <v>0</v>
      </c>
      <c r="U83" s="89">
        <v>141777</v>
      </c>
    </row>
    <row r="84" spans="1:21">
      <c r="A84" s="6"/>
      <c r="B84" s="6"/>
      <c r="C84" s="6"/>
      <c r="D84" s="6"/>
      <c r="E84" s="6"/>
      <c r="F84" s="6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7"/>
      <c r="U84" s="87"/>
    </row>
    <row r="85" spans="1:21">
      <c r="A85" s="6" t="s">
        <v>0</v>
      </c>
      <c r="B85" s="82">
        <f>SUM(B55:B83)</f>
        <v>0</v>
      </c>
      <c r="C85" s="82">
        <f>SUM(C55:C83)</f>
        <v>168537.67</v>
      </c>
      <c r="D85" s="82">
        <f t="shared" ref="D85:T85" si="23">SUM(D55:D83)</f>
        <v>47621.24</v>
      </c>
      <c r="E85" s="82">
        <f t="shared" si="23"/>
        <v>149969.91</v>
      </c>
      <c r="F85" s="82">
        <f t="shared" si="23"/>
        <v>0</v>
      </c>
      <c r="G85" s="82">
        <f t="shared" si="23"/>
        <v>318507.57999999996</v>
      </c>
      <c r="H85" s="82">
        <f t="shared" si="23"/>
        <v>366128.81999999995</v>
      </c>
      <c r="I85" s="82">
        <f t="shared" si="23"/>
        <v>168537.67</v>
      </c>
      <c r="J85" s="82">
        <f t="shared" si="23"/>
        <v>216158.91</v>
      </c>
      <c r="K85" s="82">
        <f t="shared" si="23"/>
        <v>149969.91</v>
      </c>
      <c r="L85" s="82">
        <f t="shared" si="23"/>
        <v>149969.91</v>
      </c>
      <c r="M85" s="82">
        <f t="shared" si="23"/>
        <v>-56300.804999999993</v>
      </c>
      <c r="N85" s="82">
        <f t="shared" si="23"/>
        <v>-16345.395000000004</v>
      </c>
      <c r="O85" s="82">
        <f t="shared" si="23"/>
        <v>-72646.2</v>
      </c>
      <c r="P85" s="82">
        <f t="shared" si="23"/>
        <v>159858.10499999998</v>
      </c>
      <c r="Q85" s="82">
        <f t="shared" si="23"/>
        <v>133624.51499999998</v>
      </c>
      <c r="R85" s="82">
        <f t="shared" si="23"/>
        <v>293482.62</v>
      </c>
      <c r="S85" s="82">
        <f t="shared" si="23"/>
        <v>0</v>
      </c>
      <c r="T85" s="82">
        <f t="shared" si="23"/>
        <v>293482.62</v>
      </c>
      <c r="U85" s="90">
        <v>1865341.47</v>
      </c>
    </row>
    <row r="86" spans="1:21">
      <c r="A86" s="6"/>
      <c r="B86" s="6"/>
      <c r="C86" s="6"/>
      <c r="D86" s="6"/>
      <c r="E86" s="6"/>
      <c r="F86" s="6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7"/>
    </row>
    <row r="87" spans="1:21">
      <c r="A87" s="6"/>
      <c r="B87" s="6"/>
      <c r="C87" s="6"/>
      <c r="D87" s="6"/>
      <c r="E87" s="6"/>
      <c r="F87" s="6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7"/>
    </row>
    <row r="88" spans="1:21">
      <c r="A88" s="6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7"/>
    </row>
    <row r="89" spans="1:21">
      <c r="A89" s="6" t="s">
        <v>17</v>
      </c>
      <c r="B89" s="6"/>
      <c r="C89" s="6"/>
      <c r="D89" s="6"/>
      <c r="E89" s="6"/>
      <c r="F89" s="6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7"/>
    </row>
    <row r="90" spans="1:21">
      <c r="A90" s="6"/>
      <c r="B90" s="27"/>
      <c r="C90" s="27"/>
      <c r="D90" s="27"/>
      <c r="E90" s="27"/>
      <c r="F90" s="27"/>
      <c r="G90" s="17"/>
      <c r="H90" s="81"/>
      <c r="I90" s="81"/>
      <c r="J90" s="81"/>
      <c r="K90" s="81"/>
      <c r="L90" s="81"/>
      <c r="M90" s="17"/>
      <c r="N90" s="83">
        <v>0.05</v>
      </c>
      <c r="O90" s="81"/>
      <c r="P90" s="81"/>
      <c r="Q90" s="81"/>
      <c r="R90" s="81" t="s">
        <v>67</v>
      </c>
      <c r="S90" s="81"/>
      <c r="T90" s="81" t="s">
        <v>67</v>
      </c>
      <c r="U90" s="87"/>
    </row>
    <row r="91" spans="1:21">
      <c r="A91" s="6" t="s">
        <v>3</v>
      </c>
      <c r="B91" s="27"/>
      <c r="C91" s="27"/>
      <c r="D91" s="27"/>
      <c r="E91" s="27"/>
      <c r="F91" s="27"/>
      <c r="G91" s="81" t="s">
        <v>14</v>
      </c>
      <c r="H91" s="81" t="s">
        <v>12</v>
      </c>
      <c r="I91" s="81" t="s">
        <v>14</v>
      </c>
      <c r="J91" s="81" t="s">
        <v>12</v>
      </c>
      <c r="K91" s="81" t="s">
        <v>14</v>
      </c>
      <c r="L91" s="81" t="s">
        <v>12</v>
      </c>
      <c r="M91" s="81" t="s">
        <v>381</v>
      </c>
      <c r="N91" s="81" t="s">
        <v>381</v>
      </c>
      <c r="O91" s="81" t="s">
        <v>381</v>
      </c>
      <c r="P91" s="81" t="s">
        <v>660</v>
      </c>
      <c r="Q91" s="81" t="s">
        <v>67</v>
      </c>
      <c r="R91" s="81" t="s">
        <v>662</v>
      </c>
      <c r="S91" s="81" t="s">
        <v>661</v>
      </c>
      <c r="T91" s="81" t="s">
        <v>663</v>
      </c>
      <c r="U91" s="6" t="s">
        <v>177</v>
      </c>
    </row>
    <row r="92" spans="1:21">
      <c r="A92" s="6" t="s">
        <v>4</v>
      </c>
      <c r="B92" s="28"/>
      <c r="C92" s="28"/>
      <c r="D92" s="28"/>
      <c r="E92" s="28"/>
      <c r="F92" s="28"/>
      <c r="G92" s="81" t="s">
        <v>0</v>
      </c>
      <c r="H92" s="81" t="s">
        <v>0</v>
      </c>
      <c r="I92" s="81" t="s">
        <v>566</v>
      </c>
      <c r="J92" s="81" t="s">
        <v>566</v>
      </c>
      <c r="K92" s="81" t="s">
        <v>567</v>
      </c>
      <c r="L92" s="81" t="s">
        <v>567</v>
      </c>
      <c r="M92" s="81" t="s">
        <v>566</v>
      </c>
      <c r="N92" s="81" t="s">
        <v>567</v>
      </c>
      <c r="O92" s="81" t="s">
        <v>0</v>
      </c>
      <c r="P92" s="81" t="s">
        <v>566</v>
      </c>
      <c r="Q92" s="81" t="s">
        <v>567</v>
      </c>
      <c r="R92" s="81" t="s">
        <v>0</v>
      </c>
      <c r="S92" s="81" t="s">
        <v>0</v>
      </c>
      <c r="T92" s="81" t="s">
        <v>0</v>
      </c>
      <c r="U92" s="6" t="s">
        <v>16</v>
      </c>
    </row>
    <row r="93" spans="1:21">
      <c r="A93" s="10">
        <v>-1</v>
      </c>
      <c r="B93" s="10">
        <f>A93-1</f>
        <v>-2</v>
      </c>
      <c r="C93" s="10">
        <f>B93-1</f>
        <v>-3</v>
      </c>
      <c r="D93" s="10">
        <f t="shared" ref="D93:L93" si="24">C93-1</f>
        <v>-4</v>
      </c>
      <c r="E93" s="10">
        <f t="shared" si="24"/>
        <v>-5</v>
      </c>
      <c r="F93" s="10">
        <f t="shared" si="24"/>
        <v>-6</v>
      </c>
      <c r="G93" s="10">
        <f t="shared" si="24"/>
        <v>-7</v>
      </c>
      <c r="H93" s="10">
        <f t="shared" si="24"/>
        <v>-8</v>
      </c>
      <c r="I93" s="10">
        <f t="shared" si="24"/>
        <v>-9</v>
      </c>
      <c r="J93" s="10">
        <f t="shared" si="24"/>
        <v>-10</v>
      </c>
      <c r="K93" s="10">
        <f t="shared" si="24"/>
        <v>-11</v>
      </c>
      <c r="L93" s="10">
        <f t="shared" si="24"/>
        <v>-12</v>
      </c>
      <c r="M93" s="10">
        <f>L93-1</f>
        <v>-13</v>
      </c>
      <c r="N93" s="10">
        <f t="shared" ref="N93:T93" si="25">M93-1</f>
        <v>-14</v>
      </c>
      <c r="O93" s="10">
        <f t="shared" si="25"/>
        <v>-15</v>
      </c>
      <c r="P93" s="10">
        <f t="shared" si="25"/>
        <v>-16</v>
      </c>
      <c r="Q93" s="10">
        <f t="shared" si="25"/>
        <v>-17</v>
      </c>
      <c r="R93" s="10">
        <f t="shared" si="25"/>
        <v>-18</v>
      </c>
      <c r="S93" s="10">
        <f t="shared" si="25"/>
        <v>-19</v>
      </c>
      <c r="T93" s="10">
        <f t="shared" si="25"/>
        <v>-20</v>
      </c>
      <c r="U93" s="10">
        <v>-21</v>
      </c>
    </row>
    <row r="94" spans="1:21">
      <c r="A94" s="80"/>
      <c r="B94" s="80"/>
      <c r="C94" s="6"/>
      <c r="D94" s="6"/>
      <c r="E94" s="6"/>
      <c r="F94" s="6"/>
      <c r="G94" s="17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7"/>
    </row>
    <row r="95" spans="1:21">
      <c r="A95" s="6">
        <v>1992</v>
      </c>
      <c r="B95" s="6"/>
      <c r="C95" s="6"/>
      <c r="D95" s="6"/>
      <c r="E95" s="6"/>
      <c r="F95" s="6"/>
      <c r="G95" s="81">
        <f>G15-G55</f>
        <v>0</v>
      </c>
      <c r="H95" s="81">
        <f t="shared" ref="H95:T95" si="26">H15-H55</f>
        <v>0</v>
      </c>
      <c r="I95" s="81">
        <f t="shared" si="26"/>
        <v>0</v>
      </c>
      <c r="J95" s="81">
        <f t="shared" si="26"/>
        <v>0</v>
      </c>
      <c r="K95" s="81">
        <f t="shared" si="26"/>
        <v>0</v>
      </c>
      <c r="L95" s="81">
        <f t="shared" si="26"/>
        <v>0</v>
      </c>
      <c r="M95" s="81">
        <f t="shared" si="26"/>
        <v>0</v>
      </c>
      <c r="N95" s="81">
        <f t="shared" si="26"/>
        <v>0</v>
      </c>
      <c r="O95" s="81">
        <f t="shared" si="26"/>
        <v>0</v>
      </c>
      <c r="P95" s="81">
        <f t="shared" si="26"/>
        <v>0</v>
      </c>
      <c r="Q95" s="81">
        <f t="shared" si="26"/>
        <v>0</v>
      </c>
      <c r="R95" s="81">
        <f t="shared" si="26"/>
        <v>0</v>
      </c>
      <c r="S95" s="81">
        <f t="shared" si="26"/>
        <v>0</v>
      </c>
      <c r="T95" s="81">
        <f t="shared" si="26"/>
        <v>0</v>
      </c>
      <c r="U95" s="87">
        <v>0</v>
      </c>
    </row>
    <row r="96" spans="1:21">
      <c r="A96" s="6">
        <f>A95+1</f>
        <v>1993</v>
      </c>
      <c r="B96" s="6"/>
      <c r="C96" s="6"/>
      <c r="D96" s="6"/>
      <c r="E96" s="6"/>
      <c r="F96" s="6"/>
      <c r="G96" s="81">
        <f t="shared" ref="G96:T111" si="27">G16-G56</f>
        <v>0</v>
      </c>
      <c r="H96" s="81">
        <f t="shared" si="27"/>
        <v>0</v>
      </c>
      <c r="I96" s="81">
        <f t="shared" si="27"/>
        <v>0</v>
      </c>
      <c r="J96" s="81">
        <f t="shared" si="27"/>
        <v>0</v>
      </c>
      <c r="K96" s="81">
        <f t="shared" si="27"/>
        <v>0</v>
      </c>
      <c r="L96" s="81">
        <f t="shared" si="27"/>
        <v>0</v>
      </c>
      <c r="M96" s="81">
        <f t="shared" si="27"/>
        <v>0</v>
      </c>
      <c r="N96" s="81">
        <f t="shared" si="27"/>
        <v>0</v>
      </c>
      <c r="O96" s="81">
        <f t="shared" si="27"/>
        <v>0</v>
      </c>
      <c r="P96" s="81">
        <f t="shared" si="27"/>
        <v>0</v>
      </c>
      <c r="Q96" s="81">
        <f t="shared" si="27"/>
        <v>0</v>
      </c>
      <c r="R96" s="81">
        <f t="shared" si="27"/>
        <v>0</v>
      </c>
      <c r="S96" s="81">
        <f t="shared" si="27"/>
        <v>0</v>
      </c>
      <c r="T96" s="81">
        <f t="shared" si="27"/>
        <v>0</v>
      </c>
      <c r="U96" s="87">
        <v>0</v>
      </c>
    </row>
    <row r="97" spans="1:21">
      <c r="A97" s="6">
        <f t="shared" ref="A97:A123" si="28">A96+1</f>
        <v>1994</v>
      </c>
      <c r="B97" s="6"/>
      <c r="C97" s="6"/>
      <c r="D97" s="6"/>
      <c r="E97" s="6"/>
      <c r="F97" s="6"/>
      <c r="G97" s="81">
        <f t="shared" si="27"/>
        <v>0</v>
      </c>
      <c r="H97" s="81">
        <f t="shared" si="27"/>
        <v>0</v>
      </c>
      <c r="I97" s="81">
        <f t="shared" si="27"/>
        <v>0</v>
      </c>
      <c r="J97" s="81">
        <f t="shared" si="27"/>
        <v>0</v>
      </c>
      <c r="K97" s="81">
        <f t="shared" si="27"/>
        <v>0</v>
      </c>
      <c r="L97" s="81">
        <f t="shared" si="27"/>
        <v>0</v>
      </c>
      <c r="M97" s="81">
        <f t="shared" si="27"/>
        <v>0</v>
      </c>
      <c r="N97" s="81">
        <f t="shared" si="27"/>
        <v>0</v>
      </c>
      <c r="O97" s="81">
        <f t="shared" si="27"/>
        <v>0</v>
      </c>
      <c r="P97" s="81">
        <f t="shared" si="27"/>
        <v>0</v>
      </c>
      <c r="Q97" s="81">
        <f t="shared" si="27"/>
        <v>0</v>
      </c>
      <c r="R97" s="81">
        <f t="shared" si="27"/>
        <v>0</v>
      </c>
      <c r="S97" s="81">
        <f t="shared" si="27"/>
        <v>0</v>
      </c>
      <c r="T97" s="81">
        <f t="shared" si="27"/>
        <v>0</v>
      </c>
      <c r="U97" s="87">
        <v>0</v>
      </c>
    </row>
    <row r="98" spans="1:21">
      <c r="A98" s="6">
        <f t="shared" si="28"/>
        <v>1995</v>
      </c>
      <c r="B98" s="6"/>
      <c r="C98" s="6"/>
      <c r="D98" s="6"/>
      <c r="E98" s="6"/>
      <c r="F98" s="6"/>
      <c r="G98" s="81">
        <f t="shared" si="27"/>
        <v>0</v>
      </c>
      <c r="H98" s="81">
        <f t="shared" si="27"/>
        <v>0</v>
      </c>
      <c r="I98" s="81">
        <f t="shared" si="27"/>
        <v>0</v>
      </c>
      <c r="J98" s="81">
        <f t="shared" si="27"/>
        <v>0</v>
      </c>
      <c r="K98" s="81">
        <f t="shared" si="27"/>
        <v>0</v>
      </c>
      <c r="L98" s="81">
        <f t="shared" si="27"/>
        <v>0</v>
      </c>
      <c r="M98" s="81">
        <f t="shared" si="27"/>
        <v>0</v>
      </c>
      <c r="N98" s="81">
        <f t="shared" si="27"/>
        <v>0</v>
      </c>
      <c r="O98" s="81">
        <f t="shared" si="27"/>
        <v>0</v>
      </c>
      <c r="P98" s="81">
        <f t="shared" si="27"/>
        <v>0</v>
      </c>
      <c r="Q98" s="81">
        <f t="shared" si="27"/>
        <v>0</v>
      </c>
      <c r="R98" s="81">
        <f t="shared" si="27"/>
        <v>0</v>
      </c>
      <c r="S98" s="81">
        <f t="shared" si="27"/>
        <v>0</v>
      </c>
      <c r="T98" s="81">
        <f t="shared" si="27"/>
        <v>0</v>
      </c>
      <c r="U98" s="87">
        <v>0</v>
      </c>
    </row>
    <row r="99" spans="1:21">
      <c r="A99" s="6">
        <f t="shared" si="28"/>
        <v>1996</v>
      </c>
      <c r="B99" s="6"/>
      <c r="C99" s="6"/>
      <c r="D99" s="6"/>
      <c r="E99" s="6"/>
      <c r="F99" s="6"/>
      <c r="G99" s="81">
        <f t="shared" si="27"/>
        <v>0</v>
      </c>
      <c r="H99" s="81">
        <f t="shared" si="27"/>
        <v>0</v>
      </c>
      <c r="I99" s="81">
        <f t="shared" si="27"/>
        <v>0</v>
      </c>
      <c r="J99" s="81">
        <f t="shared" si="27"/>
        <v>0</v>
      </c>
      <c r="K99" s="81">
        <f t="shared" si="27"/>
        <v>0</v>
      </c>
      <c r="L99" s="81">
        <f t="shared" si="27"/>
        <v>0</v>
      </c>
      <c r="M99" s="81">
        <f t="shared" si="27"/>
        <v>0</v>
      </c>
      <c r="N99" s="81">
        <f t="shared" si="27"/>
        <v>0</v>
      </c>
      <c r="O99" s="81">
        <f t="shared" si="27"/>
        <v>0</v>
      </c>
      <c r="P99" s="81">
        <f t="shared" si="27"/>
        <v>0</v>
      </c>
      <c r="Q99" s="81">
        <f t="shared" si="27"/>
        <v>0</v>
      </c>
      <c r="R99" s="81">
        <f t="shared" si="27"/>
        <v>0</v>
      </c>
      <c r="S99" s="81">
        <f t="shared" si="27"/>
        <v>0</v>
      </c>
      <c r="T99" s="81">
        <f t="shared" si="27"/>
        <v>0</v>
      </c>
      <c r="U99" s="87">
        <v>0</v>
      </c>
    </row>
    <row r="100" spans="1:21">
      <c r="A100" s="6">
        <f t="shared" si="28"/>
        <v>1997</v>
      </c>
      <c r="B100" s="6"/>
      <c r="C100" s="6"/>
      <c r="D100" s="6"/>
      <c r="E100" s="6"/>
      <c r="F100" s="6"/>
      <c r="G100" s="81">
        <f t="shared" si="27"/>
        <v>0</v>
      </c>
      <c r="H100" s="81">
        <f t="shared" si="27"/>
        <v>0</v>
      </c>
      <c r="I100" s="81">
        <f t="shared" si="27"/>
        <v>0</v>
      </c>
      <c r="J100" s="81">
        <f t="shared" si="27"/>
        <v>0</v>
      </c>
      <c r="K100" s="81">
        <f t="shared" si="27"/>
        <v>0</v>
      </c>
      <c r="L100" s="81">
        <f t="shared" si="27"/>
        <v>0</v>
      </c>
      <c r="M100" s="81">
        <f t="shared" si="27"/>
        <v>0</v>
      </c>
      <c r="N100" s="81">
        <f t="shared" si="27"/>
        <v>0</v>
      </c>
      <c r="O100" s="81">
        <f t="shared" si="27"/>
        <v>0</v>
      </c>
      <c r="P100" s="81">
        <f t="shared" si="27"/>
        <v>0</v>
      </c>
      <c r="Q100" s="81">
        <f t="shared" si="27"/>
        <v>0</v>
      </c>
      <c r="R100" s="81">
        <f t="shared" si="27"/>
        <v>0</v>
      </c>
      <c r="S100" s="81">
        <f t="shared" si="27"/>
        <v>0</v>
      </c>
      <c r="T100" s="81">
        <f t="shared" si="27"/>
        <v>0</v>
      </c>
      <c r="U100" s="87">
        <v>0</v>
      </c>
    </row>
    <row r="101" spans="1:21">
      <c r="A101" s="6">
        <f t="shared" si="28"/>
        <v>1998</v>
      </c>
      <c r="B101" s="6"/>
      <c r="C101" s="6"/>
      <c r="D101" s="6"/>
      <c r="E101" s="6"/>
      <c r="F101" s="6"/>
      <c r="G101" s="81">
        <f t="shared" si="27"/>
        <v>0</v>
      </c>
      <c r="H101" s="81">
        <f t="shared" si="27"/>
        <v>0</v>
      </c>
      <c r="I101" s="81">
        <f t="shared" si="27"/>
        <v>0</v>
      </c>
      <c r="J101" s="81">
        <f t="shared" si="27"/>
        <v>0</v>
      </c>
      <c r="K101" s="81">
        <f t="shared" si="27"/>
        <v>0</v>
      </c>
      <c r="L101" s="81">
        <f t="shared" si="27"/>
        <v>0</v>
      </c>
      <c r="M101" s="81">
        <f t="shared" si="27"/>
        <v>0</v>
      </c>
      <c r="N101" s="81">
        <f t="shared" si="27"/>
        <v>0</v>
      </c>
      <c r="O101" s="81">
        <f t="shared" si="27"/>
        <v>0</v>
      </c>
      <c r="P101" s="81">
        <f t="shared" si="27"/>
        <v>0</v>
      </c>
      <c r="Q101" s="81">
        <f t="shared" si="27"/>
        <v>0</v>
      </c>
      <c r="R101" s="81">
        <f t="shared" si="27"/>
        <v>0</v>
      </c>
      <c r="S101" s="81">
        <f t="shared" si="27"/>
        <v>0</v>
      </c>
      <c r="T101" s="81">
        <f t="shared" si="27"/>
        <v>0</v>
      </c>
      <c r="U101" s="87">
        <v>0</v>
      </c>
    </row>
    <row r="102" spans="1:21">
      <c r="A102" s="6">
        <f t="shared" si="28"/>
        <v>1999</v>
      </c>
      <c r="B102" s="6"/>
      <c r="C102" s="6"/>
      <c r="D102" s="6"/>
      <c r="E102" s="6"/>
      <c r="F102" s="6"/>
      <c r="G102" s="81">
        <f t="shared" si="27"/>
        <v>0</v>
      </c>
      <c r="H102" s="81">
        <f t="shared" si="27"/>
        <v>0</v>
      </c>
      <c r="I102" s="81">
        <f t="shared" si="27"/>
        <v>0</v>
      </c>
      <c r="J102" s="81">
        <f t="shared" si="27"/>
        <v>0</v>
      </c>
      <c r="K102" s="81">
        <f t="shared" si="27"/>
        <v>0</v>
      </c>
      <c r="L102" s="81">
        <f t="shared" si="27"/>
        <v>0</v>
      </c>
      <c r="M102" s="81">
        <f t="shared" si="27"/>
        <v>0</v>
      </c>
      <c r="N102" s="81">
        <f t="shared" si="27"/>
        <v>0</v>
      </c>
      <c r="O102" s="81">
        <f t="shared" si="27"/>
        <v>0</v>
      </c>
      <c r="P102" s="81">
        <f t="shared" si="27"/>
        <v>0</v>
      </c>
      <c r="Q102" s="81">
        <f t="shared" si="27"/>
        <v>0</v>
      </c>
      <c r="R102" s="81">
        <f t="shared" si="27"/>
        <v>0</v>
      </c>
      <c r="S102" s="81">
        <f t="shared" si="27"/>
        <v>0</v>
      </c>
      <c r="T102" s="81">
        <f t="shared" si="27"/>
        <v>0</v>
      </c>
      <c r="U102" s="87">
        <v>0</v>
      </c>
    </row>
    <row r="103" spans="1:21">
      <c r="A103" s="6">
        <f t="shared" si="28"/>
        <v>2000</v>
      </c>
      <c r="B103" s="6"/>
      <c r="C103" s="6"/>
      <c r="D103" s="6"/>
      <c r="E103" s="6"/>
      <c r="F103" s="6"/>
      <c r="G103" s="81">
        <f t="shared" si="27"/>
        <v>0</v>
      </c>
      <c r="H103" s="81">
        <f t="shared" si="27"/>
        <v>0</v>
      </c>
      <c r="I103" s="81">
        <f t="shared" si="27"/>
        <v>0</v>
      </c>
      <c r="J103" s="81">
        <f t="shared" si="27"/>
        <v>0</v>
      </c>
      <c r="K103" s="81">
        <f t="shared" si="27"/>
        <v>0</v>
      </c>
      <c r="L103" s="81">
        <f t="shared" si="27"/>
        <v>0</v>
      </c>
      <c r="M103" s="81">
        <f t="shared" si="27"/>
        <v>0</v>
      </c>
      <c r="N103" s="81">
        <f t="shared" si="27"/>
        <v>0</v>
      </c>
      <c r="O103" s="81">
        <f t="shared" si="27"/>
        <v>0</v>
      </c>
      <c r="P103" s="81">
        <f t="shared" si="27"/>
        <v>0</v>
      </c>
      <c r="Q103" s="81">
        <f t="shared" si="27"/>
        <v>0</v>
      </c>
      <c r="R103" s="81">
        <f t="shared" si="27"/>
        <v>0</v>
      </c>
      <c r="S103" s="81">
        <f t="shared" si="27"/>
        <v>0</v>
      </c>
      <c r="T103" s="81">
        <f t="shared" si="27"/>
        <v>0</v>
      </c>
      <c r="U103" s="87">
        <v>0</v>
      </c>
    </row>
    <row r="104" spans="1:21">
      <c r="A104" s="6">
        <f t="shared" si="28"/>
        <v>2001</v>
      </c>
      <c r="B104" s="6"/>
      <c r="C104" s="6"/>
      <c r="D104" s="6"/>
      <c r="E104" s="6"/>
      <c r="F104" s="6"/>
      <c r="G104" s="81">
        <f t="shared" si="27"/>
        <v>0</v>
      </c>
      <c r="H104" s="81">
        <f t="shared" si="27"/>
        <v>0</v>
      </c>
      <c r="I104" s="81">
        <f t="shared" si="27"/>
        <v>0</v>
      </c>
      <c r="J104" s="81">
        <f t="shared" si="27"/>
        <v>0</v>
      </c>
      <c r="K104" s="81">
        <f t="shared" si="27"/>
        <v>0</v>
      </c>
      <c r="L104" s="81">
        <f t="shared" si="27"/>
        <v>0</v>
      </c>
      <c r="M104" s="81">
        <f t="shared" si="27"/>
        <v>0</v>
      </c>
      <c r="N104" s="81">
        <f t="shared" si="27"/>
        <v>0</v>
      </c>
      <c r="O104" s="81">
        <f t="shared" si="27"/>
        <v>0</v>
      </c>
      <c r="P104" s="81">
        <f t="shared" si="27"/>
        <v>0</v>
      </c>
      <c r="Q104" s="81">
        <f t="shared" si="27"/>
        <v>0</v>
      </c>
      <c r="R104" s="81">
        <f t="shared" si="27"/>
        <v>0</v>
      </c>
      <c r="S104" s="81">
        <f t="shared" si="27"/>
        <v>0</v>
      </c>
      <c r="T104" s="81">
        <f t="shared" si="27"/>
        <v>0</v>
      </c>
      <c r="U104" s="87">
        <v>0</v>
      </c>
    </row>
    <row r="105" spans="1:21">
      <c r="A105" s="6">
        <f t="shared" si="28"/>
        <v>2002</v>
      </c>
      <c r="B105" s="6"/>
      <c r="C105" s="6"/>
      <c r="D105" s="6"/>
      <c r="E105" s="6"/>
      <c r="F105" s="6"/>
      <c r="G105" s="81">
        <f t="shared" si="27"/>
        <v>0</v>
      </c>
      <c r="H105" s="81">
        <f t="shared" si="27"/>
        <v>0</v>
      </c>
      <c r="I105" s="81">
        <f t="shared" si="27"/>
        <v>0</v>
      </c>
      <c r="J105" s="81">
        <f t="shared" si="27"/>
        <v>0</v>
      </c>
      <c r="K105" s="81">
        <f t="shared" si="27"/>
        <v>0</v>
      </c>
      <c r="L105" s="81">
        <f t="shared" si="27"/>
        <v>0</v>
      </c>
      <c r="M105" s="81">
        <f t="shared" si="27"/>
        <v>0</v>
      </c>
      <c r="N105" s="81">
        <f t="shared" si="27"/>
        <v>0</v>
      </c>
      <c r="O105" s="81">
        <f t="shared" si="27"/>
        <v>0</v>
      </c>
      <c r="P105" s="81">
        <f t="shared" si="27"/>
        <v>0</v>
      </c>
      <c r="Q105" s="81">
        <f t="shared" si="27"/>
        <v>0</v>
      </c>
      <c r="R105" s="81">
        <f t="shared" si="27"/>
        <v>0</v>
      </c>
      <c r="S105" s="81">
        <f t="shared" si="27"/>
        <v>0</v>
      </c>
      <c r="T105" s="81">
        <f t="shared" si="27"/>
        <v>0</v>
      </c>
      <c r="U105" s="87">
        <v>0</v>
      </c>
    </row>
    <row r="106" spans="1:21">
      <c r="A106" s="6">
        <f t="shared" si="28"/>
        <v>2003</v>
      </c>
      <c r="B106" s="6"/>
      <c r="C106" s="6"/>
      <c r="D106" s="6"/>
      <c r="E106" s="6"/>
      <c r="F106" s="6"/>
      <c r="G106" s="81">
        <f t="shared" si="27"/>
        <v>0</v>
      </c>
      <c r="H106" s="81">
        <f t="shared" si="27"/>
        <v>0</v>
      </c>
      <c r="I106" s="81">
        <f t="shared" si="27"/>
        <v>0</v>
      </c>
      <c r="J106" s="81">
        <f t="shared" si="27"/>
        <v>0</v>
      </c>
      <c r="K106" s="81">
        <f t="shared" si="27"/>
        <v>0</v>
      </c>
      <c r="L106" s="81">
        <f t="shared" si="27"/>
        <v>0</v>
      </c>
      <c r="M106" s="81">
        <f t="shared" si="27"/>
        <v>0</v>
      </c>
      <c r="N106" s="81">
        <f t="shared" si="27"/>
        <v>0</v>
      </c>
      <c r="O106" s="81">
        <f t="shared" si="27"/>
        <v>0</v>
      </c>
      <c r="P106" s="81">
        <f t="shared" si="27"/>
        <v>0</v>
      </c>
      <c r="Q106" s="81">
        <f t="shared" si="27"/>
        <v>0</v>
      </c>
      <c r="R106" s="81">
        <f t="shared" si="27"/>
        <v>0</v>
      </c>
      <c r="S106" s="81">
        <f t="shared" si="27"/>
        <v>0</v>
      </c>
      <c r="T106" s="81">
        <f t="shared" si="27"/>
        <v>0</v>
      </c>
      <c r="U106" s="87">
        <v>0</v>
      </c>
    </row>
    <row r="107" spans="1:21">
      <c r="A107" s="6">
        <f t="shared" si="28"/>
        <v>2004</v>
      </c>
      <c r="B107" s="6"/>
      <c r="C107" s="6"/>
      <c r="D107" s="6"/>
      <c r="E107" s="6"/>
      <c r="F107" s="6"/>
      <c r="G107" s="81">
        <f t="shared" si="27"/>
        <v>0</v>
      </c>
      <c r="H107" s="81">
        <f t="shared" si="27"/>
        <v>0</v>
      </c>
      <c r="I107" s="81">
        <f t="shared" si="27"/>
        <v>0</v>
      </c>
      <c r="J107" s="81">
        <f t="shared" si="27"/>
        <v>0</v>
      </c>
      <c r="K107" s="81">
        <f t="shared" si="27"/>
        <v>0</v>
      </c>
      <c r="L107" s="81">
        <f t="shared" si="27"/>
        <v>0</v>
      </c>
      <c r="M107" s="81">
        <f t="shared" si="27"/>
        <v>0</v>
      </c>
      <c r="N107" s="81">
        <f t="shared" si="27"/>
        <v>0</v>
      </c>
      <c r="O107" s="81">
        <f t="shared" si="27"/>
        <v>0</v>
      </c>
      <c r="P107" s="81">
        <f t="shared" si="27"/>
        <v>0</v>
      </c>
      <c r="Q107" s="81">
        <f t="shared" si="27"/>
        <v>0</v>
      </c>
      <c r="R107" s="81">
        <f t="shared" si="27"/>
        <v>0</v>
      </c>
      <c r="S107" s="81">
        <f t="shared" si="27"/>
        <v>0</v>
      </c>
      <c r="T107" s="81">
        <f t="shared" si="27"/>
        <v>0</v>
      </c>
      <c r="U107" s="87">
        <v>0</v>
      </c>
    </row>
    <row r="108" spans="1:21">
      <c r="A108" s="6">
        <f t="shared" si="28"/>
        <v>2005</v>
      </c>
      <c r="B108" s="6"/>
      <c r="C108" s="6"/>
      <c r="D108" s="6"/>
      <c r="E108" s="6"/>
      <c r="F108" s="6"/>
      <c r="G108" s="81">
        <f t="shared" si="27"/>
        <v>0</v>
      </c>
      <c r="H108" s="81">
        <f t="shared" si="27"/>
        <v>0</v>
      </c>
      <c r="I108" s="81">
        <f t="shared" si="27"/>
        <v>0</v>
      </c>
      <c r="J108" s="81">
        <f t="shared" si="27"/>
        <v>0</v>
      </c>
      <c r="K108" s="81">
        <f t="shared" si="27"/>
        <v>0</v>
      </c>
      <c r="L108" s="81">
        <f t="shared" si="27"/>
        <v>0</v>
      </c>
      <c r="M108" s="81">
        <f t="shared" si="27"/>
        <v>0</v>
      </c>
      <c r="N108" s="81">
        <f t="shared" si="27"/>
        <v>0</v>
      </c>
      <c r="O108" s="81">
        <f t="shared" si="27"/>
        <v>0</v>
      </c>
      <c r="P108" s="81">
        <f t="shared" si="27"/>
        <v>0</v>
      </c>
      <c r="Q108" s="81">
        <f t="shared" si="27"/>
        <v>0</v>
      </c>
      <c r="R108" s="81">
        <f>R28-R68</f>
        <v>0</v>
      </c>
      <c r="S108" s="81">
        <f t="shared" si="27"/>
        <v>0</v>
      </c>
      <c r="T108" s="81">
        <f t="shared" si="27"/>
        <v>0</v>
      </c>
      <c r="U108" s="87">
        <v>0</v>
      </c>
    </row>
    <row r="109" spans="1:21">
      <c r="A109" s="6">
        <f t="shared" si="28"/>
        <v>2006</v>
      </c>
      <c r="B109" s="6"/>
      <c r="C109" s="6"/>
      <c r="D109" s="6"/>
      <c r="E109" s="6"/>
      <c r="F109" s="6"/>
      <c r="G109" s="81">
        <f t="shared" si="27"/>
        <v>0</v>
      </c>
      <c r="H109" s="81">
        <f t="shared" si="27"/>
        <v>0</v>
      </c>
      <c r="I109" s="81">
        <f t="shared" si="27"/>
        <v>0</v>
      </c>
      <c r="J109" s="81">
        <f t="shared" si="27"/>
        <v>0</v>
      </c>
      <c r="K109" s="81">
        <f t="shared" si="27"/>
        <v>0</v>
      </c>
      <c r="L109" s="81">
        <f t="shared" si="27"/>
        <v>0</v>
      </c>
      <c r="M109" s="81">
        <f t="shared" si="27"/>
        <v>0</v>
      </c>
      <c r="N109" s="81">
        <f t="shared" si="27"/>
        <v>0</v>
      </c>
      <c r="O109" s="81">
        <f t="shared" si="27"/>
        <v>0</v>
      </c>
      <c r="P109" s="81">
        <f t="shared" si="27"/>
        <v>0</v>
      </c>
      <c r="Q109" s="81">
        <f t="shared" si="27"/>
        <v>0</v>
      </c>
      <c r="R109" s="81">
        <f>R29-R69</f>
        <v>0</v>
      </c>
      <c r="S109" s="81">
        <f t="shared" si="27"/>
        <v>0</v>
      </c>
      <c r="T109" s="81">
        <f t="shared" si="27"/>
        <v>0</v>
      </c>
      <c r="U109" s="87">
        <v>0</v>
      </c>
    </row>
    <row r="110" spans="1:21">
      <c r="A110" s="6">
        <f t="shared" si="28"/>
        <v>2007</v>
      </c>
      <c r="B110" s="6"/>
      <c r="C110" s="6"/>
      <c r="D110" s="6"/>
      <c r="E110" s="6"/>
      <c r="F110" s="6"/>
      <c r="G110" s="81">
        <f t="shared" si="27"/>
        <v>0</v>
      </c>
      <c r="H110" s="81">
        <f t="shared" si="27"/>
        <v>0</v>
      </c>
      <c r="I110" s="81">
        <f t="shared" si="27"/>
        <v>0</v>
      </c>
      <c r="J110" s="81">
        <f t="shared" si="27"/>
        <v>0</v>
      </c>
      <c r="K110" s="81">
        <f t="shared" si="27"/>
        <v>0</v>
      </c>
      <c r="L110" s="81">
        <f t="shared" si="27"/>
        <v>0</v>
      </c>
      <c r="M110" s="81">
        <f t="shared" si="27"/>
        <v>0</v>
      </c>
      <c r="N110" s="81">
        <f t="shared" si="27"/>
        <v>0</v>
      </c>
      <c r="O110" s="81">
        <f t="shared" si="27"/>
        <v>0</v>
      </c>
      <c r="P110" s="81">
        <f t="shared" si="27"/>
        <v>0</v>
      </c>
      <c r="Q110" s="81">
        <f t="shared" si="27"/>
        <v>0</v>
      </c>
      <c r="R110" s="81">
        <f>R30-R70</f>
        <v>0</v>
      </c>
      <c r="S110" s="81">
        <f t="shared" si="27"/>
        <v>0</v>
      </c>
      <c r="T110" s="81">
        <f t="shared" si="27"/>
        <v>0</v>
      </c>
      <c r="U110" s="87">
        <v>0</v>
      </c>
    </row>
    <row r="111" spans="1:21">
      <c r="A111" s="6">
        <f t="shared" si="28"/>
        <v>2008</v>
      </c>
      <c r="B111" s="6"/>
      <c r="C111" s="6"/>
      <c r="D111" s="6"/>
      <c r="E111" s="6"/>
      <c r="F111" s="6"/>
      <c r="G111" s="81">
        <f t="shared" si="27"/>
        <v>0</v>
      </c>
      <c r="H111" s="81">
        <f t="shared" si="27"/>
        <v>0</v>
      </c>
      <c r="I111" s="81">
        <f t="shared" si="27"/>
        <v>0</v>
      </c>
      <c r="J111" s="81">
        <f t="shared" si="27"/>
        <v>0</v>
      </c>
      <c r="K111" s="81">
        <f t="shared" si="27"/>
        <v>0</v>
      </c>
      <c r="L111" s="81">
        <f t="shared" si="27"/>
        <v>0</v>
      </c>
      <c r="M111" s="81">
        <f t="shared" si="27"/>
        <v>0</v>
      </c>
      <c r="N111" s="81">
        <f t="shared" si="27"/>
        <v>0</v>
      </c>
      <c r="O111" s="81">
        <f t="shared" si="27"/>
        <v>0</v>
      </c>
      <c r="P111" s="81">
        <f t="shared" si="27"/>
        <v>0</v>
      </c>
      <c r="Q111" s="81">
        <f t="shared" si="27"/>
        <v>0</v>
      </c>
      <c r="R111" s="81">
        <f>R31-R71</f>
        <v>0</v>
      </c>
      <c r="S111" s="81">
        <f t="shared" si="27"/>
        <v>0</v>
      </c>
      <c r="T111" s="81">
        <f t="shared" si="27"/>
        <v>0</v>
      </c>
      <c r="U111" s="87">
        <v>0</v>
      </c>
    </row>
    <row r="112" spans="1:21">
      <c r="A112" s="6">
        <f t="shared" si="28"/>
        <v>2009</v>
      </c>
      <c r="B112" s="6"/>
      <c r="C112" s="6"/>
      <c r="D112" s="6"/>
      <c r="E112" s="6"/>
      <c r="F112" s="6"/>
      <c r="G112" s="81">
        <f t="shared" ref="G112:V124" si="29">G32-G72</f>
        <v>0</v>
      </c>
      <c r="H112" s="81">
        <f t="shared" si="29"/>
        <v>0</v>
      </c>
      <c r="I112" s="81">
        <f t="shared" si="29"/>
        <v>0</v>
      </c>
      <c r="J112" s="81">
        <f t="shared" si="29"/>
        <v>0</v>
      </c>
      <c r="K112" s="81">
        <f t="shared" si="29"/>
        <v>0</v>
      </c>
      <c r="L112" s="81">
        <f t="shared" si="29"/>
        <v>0</v>
      </c>
      <c r="M112" s="81">
        <f t="shared" si="29"/>
        <v>0</v>
      </c>
      <c r="N112" s="81">
        <f t="shared" si="29"/>
        <v>0</v>
      </c>
      <c r="O112" s="81">
        <f t="shared" si="29"/>
        <v>0</v>
      </c>
      <c r="P112" s="81">
        <f t="shared" si="29"/>
        <v>0</v>
      </c>
      <c r="Q112" s="81">
        <f t="shared" si="29"/>
        <v>0</v>
      </c>
      <c r="R112" s="81">
        <f t="shared" si="29"/>
        <v>0</v>
      </c>
      <c r="S112" s="81">
        <f t="shared" si="29"/>
        <v>0</v>
      </c>
      <c r="T112" s="81">
        <f t="shared" si="29"/>
        <v>0</v>
      </c>
      <c r="U112" s="87">
        <v>0</v>
      </c>
    </row>
    <row r="113" spans="1:23">
      <c r="A113" s="6">
        <f t="shared" si="28"/>
        <v>2010</v>
      </c>
      <c r="B113" s="6"/>
      <c r="C113" s="6"/>
      <c r="D113" s="6"/>
      <c r="E113" s="6"/>
      <c r="F113" s="6"/>
      <c r="G113" s="81">
        <f t="shared" si="29"/>
        <v>0</v>
      </c>
      <c r="H113" s="81">
        <f t="shared" si="29"/>
        <v>0</v>
      </c>
      <c r="I113" s="81">
        <f t="shared" si="29"/>
        <v>0</v>
      </c>
      <c r="J113" s="81">
        <f t="shared" si="29"/>
        <v>0</v>
      </c>
      <c r="K113" s="81">
        <f t="shared" si="29"/>
        <v>0</v>
      </c>
      <c r="L113" s="81">
        <f t="shared" si="29"/>
        <v>0</v>
      </c>
      <c r="M113" s="81">
        <f t="shared" si="29"/>
        <v>0</v>
      </c>
      <c r="N113" s="81">
        <f t="shared" si="29"/>
        <v>0</v>
      </c>
      <c r="O113" s="81">
        <f t="shared" si="29"/>
        <v>0</v>
      </c>
      <c r="P113" s="81">
        <f t="shared" si="29"/>
        <v>0</v>
      </c>
      <c r="Q113" s="81">
        <f t="shared" si="29"/>
        <v>0</v>
      </c>
      <c r="R113" s="81">
        <f t="shared" si="29"/>
        <v>0</v>
      </c>
      <c r="S113" s="81">
        <f t="shared" si="29"/>
        <v>0</v>
      </c>
      <c r="T113" s="81">
        <f t="shared" si="29"/>
        <v>0</v>
      </c>
      <c r="U113" s="87">
        <v>0</v>
      </c>
    </row>
    <row r="114" spans="1:23">
      <c r="A114" s="6">
        <f t="shared" si="28"/>
        <v>2011</v>
      </c>
      <c r="B114" s="6"/>
      <c r="C114" s="6"/>
      <c r="D114" s="6"/>
      <c r="E114" s="6"/>
      <c r="F114" s="6"/>
      <c r="G114" s="81">
        <f t="shared" si="29"/>
        <v>0</v>
      </c>
      <c r="H114" s="81">
        <f t="shared" si="29"/>
        <v>0</v>
      </c>
      <c r="I114" s="81">
        <f t="shared" si="29"/>
        <v>0</v>
      </c>
      <c r="J114" s="81">
        <f t="shared" si="29"/>
        <v>0</v>
      </c>
      <c r="K114" s="81">
        <f t="shared" si="29"/>
        <v>0</v>
      </c>
      <c r="L114" s="81">
        <f t="shared" si="29"/>
        <v>0</v>
      </c>
      <c r="M114" s="81">
        <f t="shared" si="29"/>
        <v>0</v>
      </c>
      <c r="N114" s="81">
        <f t="shared" si="29"/>
        <v>0</v>
      </c>
      <c r="O114" s="81">
        <f t="shared" si="29"/>
        <v>0</v>
      </c>
      <c r="P114" s="81">
        <f t="shared" si="29"/>
        <v>0</v>
      </c>
      <c r="Q114" s="81">
        <f t="shared" si="29"/>
        <v>0</v>
      </c>
      <c r="R114" s="81">
        <f t="shared" si="29"/>
        <v>0</v>
      </c>
      <c r="S114" s="81">
        <f t="shared" si="29"/>
        <v>0</v>
      </c>
      <c r="T114" s="81">
        <f t="shared" si="29"/>
        <v>0</v>
      </c>
      <c r="U114" s="87">
        <v>0</v>
      </c>
    </row>
    <row r="115" spans="1:23">
      <c r="A115" s="6">
        <f t="shared" si="28"/>
        <v>2012</v>
      </c>
      <c r="B115" s="6"/>
      <c r="C115" s="6"/>
      <c r="D115" s="6"/>
      <c r="E115" s="6"/>
      <c r="F115" s="6"/>
      <c r="G115" s="81">
        <f t="shared" si="29"/>
        <v>0</v>
      </c>
      <c r="H115" s="81">
        <f t="shared" si="29"/>
        <v>0</v>
      </c>
      <c r="I115" s="81">
        <f t="shared" si="29"/>
        <v>0</v>
      </c>
      <c r="J115" s="81">
        <f t="shared" si="29"/>
        <v>0</v>
      </c>
      <c r="K115" s="81">
        <f t="shared" si="29"/>
        <v>0</v>
      </c>
      <c r="L115" s="81">
        <f t="shared" si="29"/>
        <v>0</v>
      </c>
      <c r="M115" s="81">
        <f t="shared" si="29"/>
        <v>0</v>
      </c>
      <c r="N115" s="81">
        <f t="shared" si="29"/>
        <v>0</v>
      </c>
      <c r="O115" s="81">
        <f t="shared" si="29"/>
        <v>0</v>
      </c>
      <c r="P115" s="81">
        <f t="shared" si="29"/>
        <v>0</v>
      </c>
      <c r="Q115" s="81">
        <f t="shared" si="29"/>
        <v>0</v>
      </c>
      <c r="R115" s="81">
        <f t="shared" si="29"/>
        <v>0</v>
      </c>
      <c r="S115" s="81">
        <f t="shared" si="29"/>
        <v>0</v>
      </c>
      <c r="T115" s="81">
        <v>0</v>
      </c>
      <c r="U115" s="87">
        <v>0</v>
      </c>
      <c r="V115" s="81">
        <f t="shared" si="29"/>
        <v>0</v>
      </c>
      <c r="W115" s="81">
        <f>W35-W75</f>
        <v>0</v>
      </c>
    </row>
    <row r="116" spans="1:23">
      <c r="A116" s="6">
        <f t="shared" si="28"/>
        <v>2013</v>
      </c>
      <c r="B116" s="6"/>
      <c r="C116" s="6"/>
      <c r="D116" s="6"/>
      <c r="E116" s="6"/>
      <c r="F116" s="6"/>
      <c r="G116" s="81">
        <f t="shared" si="29"/>
        <v>0</v>
      </c>
      <c r="H116" s="81">
        <f t="shared" si="29"/>
        <v>0</v>
      </c>
      <c r="I116" s="81">
        <f t="shared" si="29"/>
        <v>0</v>
      </c>
      <c r="J116" s="81">
        <f t="shared" si="29"/>
        <v>0</v>
      </c>
      <c r="K116" s="81">
        <f t="shared" si="29"/>
        <v>0</v>
      </c>
      <c r="L116" s="81">
        <f t="shared" si="29"/>
        <v>0</v>
      </c>
      <c r="M116" s="81">
        <f t="shared" si="29"/>
        <v>0</v>
      </c>
      <c r="N116" s="81">
        <f t="shared" si="29"/>
        <v>0</v>
      </c>
      <c r="O116" s="81">
        <f t="shared" si="29"/>
        <v>0</v>
      </c>
      <c r="P116" s="81">
        <f t="shared" si="29"/>
        <v>0</v>
      </c>
      <c r="Q116" s="81">
        <f t="shared" si="29"/>
        <v>0</v>
      </c>
      <c r="R116" s="81">
        <f t="shared" si="29"/>
        <v>0</v>
      </c>
      <c r="S116" s="81">
        <f t="shared" si="29"/>
        <v>0</v>
      </c>
      <c r="T116" s="81">
        <f t="shared" si="29"/>
        <v>0</v>
      </c>
      <c r="U116" s="87">
        <v>0</v>
      </c>
    </row>
    <row r="117" spans="1:23">
      <c r="A117" s="6">
        <f t="shared" si="28"/>
        <v>2014</v>
      </c>
      <c r="B117" s="6"/>
      <c r="C117" s="6"/>
      <c r="D117" s="6"/>
      <c r="E117" s="6"/>
      <c r="F117" s="6"/>
      <c r="G117" s="81">
        <f t="shared" si="29"/>
        <v>0</v>
      </c>
      <c r="H117" s="81">
        <f t="shared" si="29"/>
        <v>0</v>
      </c>
      <c r="I117" s="81">
        <f t="shared" si="29"/>
        <v>0</v>
      </c>
      <c r="J117" s="81">
        <f t="shared" si="29"/>
        <v>0</v>
      </c>
      <c r="K117" s="81">
        <f t="shared" si="29"/>
        <v>0</v>
      </c>
      <c r="L117" s="81">
        <f t="shared" si="29"/>
        <v>0</v>
      </c>
      <c r="M117" s="81">
        <f t="shared" si="29"/>
        <v>0</v>
      </c>
      <c r="N117" s="81">
        <f t="shared" si="29"/>
        <v>0</v>
      </c>
      <c r="O117" s="81">
        <f t="shared" si="29"/>
        <v>0</v>
      </c>
      <c r="P117" s="81">
        <f t="shared" si="29"/>
        <v>0</v>
      </c>
      <c r="Q117" s="81">
        <f t="shared" si="29"/>
        <v>0</v>
      </c>
      <c r="R117" s="81">
        <f t="shared" si="29"/>
        <v>0</v>
      </c>
      <c r="S117" s="81">
        <f t="shared" si="29"/>
        <v>0</v>
      </c>
      <c r="T117" s="81">
        <f t="shared" si="29"/>
        <v>0</v>
      </c>
      <c r="U117" s="87">
        <v>0</v>
      </c>
    </row>
    <row r="118" spans="1:23">
      <c r="A118" s="6">
        <f t="shared" si="28"/>
        <v>2015</v>
      </c>
      <c r="B118" s="6"/>
      <c r="C118" s="6"/>
      <c r="D118" s="6"/>
      <c r="E118" s="6"/>
      <c r="F118" s="6"/>
      <c r="G118" s="81">
        <f t="shared" si="29"/>
        <v>0</v>
      </c>
      <c r="H118" s="81">
        <f t="shared" si="29"/>
        <v>0</v>
      </c>
      <c r="I118" s="81">
        <f t="shared" si="29"/>
        <v>0</v>
      </c>
      <c r="J118" s="81">
        <f t="shared" si="29"/>
        <v>0</v>
      </c>
      <c r="K118" s="81">
        <f t="shared" si="29"/>
        <v>0</v>
      </c>
      <c r="L118" s="81">
        <f t="shared" si="29"/>
        <v>0</v>
      </c>
      <c r="M118" s="81">
        <f t="shared" si="29"/>
        <v>0</v>
      </c>
      <c r="N118" s="81">
        <f t="shared" si="29"/>
        <v>0</v>
      </c>
      <c r="O118" s="81">
        <f t="shared" si="29"/>
        <v>0</v>
      </c>
      <c r="P118" s="81">
        <f t="shared" si="29"/>
        <v>0</v>
      </c>
      <c r="Q118" s="81">
        <f t="shared" si="29"/>
        <v>0</v>
      </c>
      <c r="R118" s="81">
        <f t="shared" si="29"/>
        <v>0</v>
      </c>
      <c r="S118" s="81">
        <f t="shared" si="29"/>
        <v>0</v>
      </c>
      <c r="T118" s="81">
        <f t="shared" si="29"/>
        <v>0</v>
      </c>
      <c r="U118" s="87">
        <v>0</v>
      </c>
    </row>
    <row r="119" spans="1:23">
      <c r="A119" s="6">
        <f t="shared" si="28"/>
        <v>2016</v>
      </c>
      <c r="B119" s="6"/>
      <c r="C119" s="6"/>
      <c r="D119" s="6"/>
      <c r="E119" s="6"/>
      <c r="F119" s="6"/>
      <c r="G119" s="81">
        <f t="shared" si="29"/>
        <v>0</v>
      </c>
      <c r="H119" s="81">
        <f t="shared" si="29"/>
        <v>0</v>
      </c>
      <c r="I119" s="81">
        <f t="shared" si="29"/>
        <v>0</v>
      </c>
      <c r="J119" s="81">
        <f t="shared" si="29"/>
        <v>0</v>
      </c>
      <c r="K119" s="81">
        <f t="shared" si="29"/>
        <v>0</v>
      </c>
      <c r="L119" s="81">
        <f t="shared" si="29"/>
        <v>0</v>
      </c>
      <c r="M119" s="81">
        <f t="shared" si="29"/>
        <v>0</v>
      </c>
      <c r="N119" s="81">
        <f t="shared" si="29"/>
        <v>0</v>
      </c>
      <c r="O119" s="81">
        <f t="shared" si="29"/>
        <v>0</v>
      </c>
      <c r="P119" s="81">
        <f t="shared" si="29"/>
        <v>0</v>
      </c>
      <c r="Q119" s="81">
        <f t="shared" si="29"/>
        <v>0</v>
      </c>
      <c r="R119" s="81">
        <f t="shared" si="29"/>
        <v>0</v>
      </c>
      <c r="S119" s="81">
        <f t="shared" si="29"/>
        <v>0</v>
      </c>
      <c r="T119" s="81">
        <f t="shared" si="29"/>
        <v>0</v>
      </c>
      <c r="U119" s="87">
        <v>0</v>
      </c>
    </row>
    <row r="120" spans="1:23">
      <c r="A120" s="6">
        <f t="shared" si="28"/>
        <v>2017</v>
      </c>
      <c r="B120" s="6"/>
      <c r="C120" s="6"/>
      <c r="D120" s="6"/>
      <c r="E120" s="6"/>
      <c r="F120" s="6"/>
      <c r="G120" s="81">
        <f t="shared" si="29"/>
        <v>0</v>
      </c>
      <c r="H120" s="81">
        <f t="shared" si="29"/>
        <v>0</v>
      </c>
      <c r="I120" s="81">
        <f t="shared" si="29"/>
        <v>0</v>
      </c>
      <c r="J120" s="81">
        <f t="shared" si="29"/>
        <v>0</v>
      </c>
      <c r="K120" s="81">
        <f t="shared" si="29"/>
        <v>0</v>
      </c>
      <c r="L120" s="81">
        <f t="shared" si="29"/>
        <v>0</v>
      </c>
      <c r="M120" s="81">
        <f t="shared" si="29"/>
        <v>0</v>
      </c>
      <c r="N120" s="81">
        <f t="shared" si="29"/>
        <v>0</v>
      </c>
      <c r="O120" s="81">
        <f t="shared" si="29"/>
        <v>0</v>
      </c>
      <c r="P120" s="81">
        <f t="shared" si="29"/>
        <v>0</v>
      </c>
      <c r="Q120" s="81">
        <f t="shared" si="29"/>
        <v>0</v>
      </c>
      <c r="R120" s="81">
        <f t="shared" si="29"/>
        <v>0</v>
      </c>
      <c r="S120" s="81">
        <f t="shared" si="29"/>
        <v>0</v>
      </c>
      <c r="T120" s="81">
        <f t="shared" si="29"/>
        <v>0</v>
      </c>
      <c r="U120" s="87">
        <v>0</v>
      </c>
    </row>
    <row r="121" spans="1:23">
      <c r="A121" s="6">
        <f t="shared" si="28"/>
        <v>2018</v>
      </c>
      <c r="B121" s="6"/>
      <c r="C121" s="6"/>
      <c r="D121" s="6"/>
      <c r="E121" s="6"/>
      <c r="F121" s="6"/>
      <c r="G121" s="81">
        <f t="shared" si="29"/>
        <v>0</v>
      </c>
      <c r="H121" s="81">
        <f t="shared" si="29"/>
        <v>0</v>
      </c>
      <c r="I121" s="81">
        <f t="shared" si="29"/>
        <v>0</v>
      </c>
      <c r="J121" s="81">
        <f t="shared" si="29"/>
        <v>0</v>
      </c>
      <c r="K121" s="81">
        <f t="shared" si="29"/>
        <v>0</v>
      </c>
      <c r="L121" s="81">
        <f t="shared" si="29"/>
        <v>0</v>
      </c>
      <c r="M121" s="81">
        <f t="shared" si="29"/>
        <v>0</v>
      </c>
      <c r="N121" s="81">
        <f t="shared" si="29"/>
        <v>0</v>
      </c>
      <c r="O121" s="81">
        <f t="shared" si="29"/>
        <v>0</v>
      </c>
      <c r="P121" s="81">
        <f t="shared" si="29"/>
        <v>0</v>
      </c>
      <c r="Q121" s="81">
        <f t="shared" si="29"/>
        <v>0</v>
      </c>
      <c r="R121" s="81">
        <f t="shared" si="29"/>
        <v>0</v>
      </c>
      <c r="S121" s="81">
        <f t="shared" si="29"/>
        <v>0</v>
      </c>
      <c r="T121" s="81">
        <f t="shared" si="29"/>
        <v>0</v>
      </c>
      <c r="U121" s="87">
        <v>0</v>
      </c>
    </row>
    <row r="122" spans="1:23">
      <c r="A122" s="6">
        <f t="shared" si="28"/>
        <v>2019</v>
      </c>
      <c r="B122" s="6"/>
      <c r="C122" s="6"/>
      <c r="D122" s="6"/>
      <c r="E122" s="6"/>
      <c r="F122" s="6"/>
      <c r="G122" s="81">
        <f t="shared" si="29"/>
        <v>0</v>
      </c>
      <c r="H122" s="81">
        <f t="shared" si="29"/>
        <v>0</v>
      </c>
      <c r="I122" s="81">
        <f t="shared" si="29"/>
        <v>0</v>
      </c>
      <c r="J122" s="81">
        <f t="shared" si="29"/>
        <v>0</v>
      </c>
      <c r="K122" s="81">
        <f t="shared" si="29"/>
        <v>0</v>
      </c>
      <c r="L122" s="81">
        <f t="shared" si="29"/>
        <v>0</v>
      </c>
      <c r="M122" s="81">
        <f t="shared" si="29"/>
        <v>0</v>
      </c>
      <c r="N122" s="81">
        <f t="shared" si="29"/>
        <v>0</v>
      </c>
      <c r="O122" s="81">
        <f t="shared" si="29"/>
        <v>0</v>
      </c>
      <c r="P122" s="81">
        <f t="shared" si="29"/>
        <v>0</v>
      </c>
      <c r="Q122" s="81">
        <f t="shared" si="29"/>
        <v>0</v>
      </c>
      <c r="R122" s="81">
        <f t="shared" si="29"/>
        <v>0</v>
      </c>
      <c r="S122" s="81">
        <f t="shared" si="29"/>
        <v>0</v>
      </c>
      <c r="T122" s="81">
        <f t="shared" si="29"/>
        <v>0</v>
      </c>
      <c r="U122" s="87">
        <v>0</v>
      </c>
    </row>
    <row r="123" spans="1:23">
      <c r="A123" s="6">
        <f t="shared" si="28"/>
        <v>2020</v>
      </c>
      <c r="B123" s="6"/>
      <c r="C123" s="6"/>
      <c r="D123" s="6"/>
      <c r="E123" s="6"/>
      <c r="F123" s="6"/>
      <c r="G123" s="81">
        <f t="shared" si="29"/>
        <v>0</v>
      </c>
      <c r="H123" s="81">
        <f t="shared" si="29"/>
        <v>0</v>
      </c>
      <c r="I123" s="81">
        <f t="shared" si="29"/>
        <v>0</v>
      </c>
      <c r="J123" s="81">
        <f t="shared" si="29"/>
        <v>0</v>
      </c>
      <c r="K123" s="81">
        <f t="shared" si="29"/>
        <v>0</v>
      </c>
      <c r="L123" s="81">
        <f t="shared" si="29"/>
        <v>0</v>
      </c>
      <c r="M123" s="81">
        <f t="shared" si="29"/>
        <v>0</v>
      </c>
      <c r="N123" s="81">
        <f t="shared" si="29"/>
        <v>0</v>
      </c>
      <c r="O123" s="81">
        <f t="shared" si="29"/>
        <v>0</v>
      </c>
      <c r="P123" s="81">
        <f t="shared" si="29"/>
        <v>0</v>
      </c>
      <c r="Q123" s="81">
        <f t="shared" si="29"/>
        <v>0</v>
      </c>
      <c r="R123" s="81">
        <f t="shared" si="29"/>
        <v>0</v>
      </c>
      <c r="S123" s="81">
        <f t="shared" si="29"/>
        <v>0</v>
      </c>
      <c r="T123" s="81">
        <f t="shared" si="29"/>
        <v>0</v>
      </c>
      <c r="U123" s="87">
        <v>0</v>
      </c>
    </row>
    <row r="124" spans="1:23">
      <c r="A124" s="6"/>
      <c r="B124" s="6"/>
      <c r="D124" s="6"/>
      <c r="E124" s="6"/>
      <c r="F124" s="6"/>
      <c r="G124" s="81">
        <f t="shared" si="29"/>
        <v>0</v>
      </c>
      <c r="H124" s="81">
        <f t="shared" si="29"/>
        <v>0</v>
      </c>
      <c r="I124" s="81">
        <f t="shared" si="29"/>
        <v>0</v>
      </c>
      <c r="J124" s="81">
        <f t="shared" si="29"/>
        <v>0</v>
      </c>
      <c r="K124" s="81">
        <f t="shared" si="29"/>
        <v>0</v>
      </c>
      <c r="L124" s="81">
        <f t="shared" si="29"/>
        <v>0</v>
      </c>
      <c r="M124" s="81">
        <f t="shared" si="29"/>
        <v>0</v>
      </c>
      <c r="N124" s="81">
        <f t="shared" si="29"/>
        <v>0</v>
      </c>
      <c r="O124" s="81">
        <f t="shared" si="29"/>
        <v>0</v>
      </c>
      <c r="P124" s="81">
        <f t="shared" si="29"/>
        <v>0</v>
      </c>
      <c r="Q124" s="81">
        <f t="shared" si="29"/>
        <v>0</v>
      </c>
      <c r="R124" s="81">
        <f t="shared" si="29"/>
        <v>0</v>
      </c>
      <c r="S124" s="81">
        <f t="shared" si="29"/>
        <v>0</v>
      </c>
      <c r="T124" s="81">
        <f t="shared" si="29"/>
        <v>0</v>
      </c>
      <c r="U124" s="87">
        <v>0</v>
      </c>
    </row>
    <row r="125" spans="1:23">
      <c r="A125" s="6" t="s">
        <v>0</v>
      </c>
      <c r="B125" s="82">
        <f>SUM(B95:B123)</f>
        <v>0</v>
      </c>
      <c r="C125" s="82">
        <f>SUM(C95:C123)</f>
        <v>0</v>
      </c>
      <c r="D125" s="82">
        <f t="shared" ref="D125:Q125" si="30">SUM(D95:D123)</f>
        <v>0</v>
      </c>
      <c r="E125" s="82">
        <f t="shared" si="30"/>
        <v>0</v>
      </c>
      <c r="F125" s="82">
        <f t="shared" si="30"/>
        <v>0</v>
      </c>
      <c r="G125" s="82">
        <f>SUM(G95:G123)</f>
        <v>0</v>
      </c>
      <c r="H125" s="82">
        <f t="shared" si="30"/>
        <v>0</v>
      </c>
      <c r="I125" s="82">
        <f t="shared" si="30"/>
        <v>0</v>
      </c>
      <c r="J125" s="82">
        <f t="shared" si="30"/>
        <v>0</v>
      </c>
      <c r="K125" s="82">
        <f t="shared" si="30"/>
        <v>0</v>
      </c>
      <c r="L125" s="82">
        <f t="shared" si="30"/>
        <v>0</v>
      </c>
      <c r="M125" s="82">
        <f t="shared" si="30"/>
        <v>0</v>
      </c>
      <c r="N125" s="82">
        <f t="shared" si="30"/>
        <v>0</v>
      </c>
      <c r="O125" s="82">
        <f t="shared" si="30"/>
        <v>0</v>
      </c>
      <c r="P125" s="82">
        <f t="shared" si="30"/>
        <v>0</v>
      </c>
      <c r="Q125" s="82">
        <f t="shared" si="30"/>
        <v>0</v>
      </c>
      <c r="R125" s="82">
        <f>SUM(R95:R123)</f>
        <v>0</v>
      </c>
      <c r="S125" s="82">
        <f>SUM(S95:S123)</f>
        <v>0</v>
      </c>
      <c r="T125" s="82">
        <f>SUM(T95:T123)</f>
        <v>0</v>
      </c>
      <c r="U125" s="90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sheetPr codeName="Sheet111">
    <tabColor rgb="FFFF0000"/>
  </sheetPr>
  <dimension ref="A5:W146"/>
  <sheetViews>
    <sheetView workbookViewId="0">
      <selection activeCell="A4" sqref="A4"/>
    </sheetView>
  </sheetViews>
  <sheetFormatPr baseColWidth="10" defaultColWidth="8.7109375" defaultRowHeight="15"/>
  <cols>
    <col min="1" max="1" width="12.7109375" style="1" customWidth="1"/>
    <col min="2" max="2" width="13.7109375" style="1" customWidth="1"/>
    <col min="3" max="34" width="12.7109375" style="1" customWidth="1"/>
    <col min="35" max="16384" width="8.7109375" style="1"/>
  </cols>
  <sheetData>
    <row r="5" spans="1:23" ht="16">
      <c r="A5" s="4"/>
      <c r="B5" s="4"/>
      <c r="H5" s="4" t="s">
        <v>853</v>
      </c>
      <c r="I5" s="4"/>
      <c r="J5" s="4"/>
      <c r="K5" s="4"/>
      <c r="L5" s="4"/>
    </row>
    <row r="6" spans="1:23" ht="16">
      <c r="A6" s="4"/>
      <c r="B6" s="4"/>
      <c r="H6" s="5" t="s">
        <v>845</v>
      </c>
      <c r="I6" s="5"/>
      <c r="J6" s="5"/>
      <c r="K6" s="5"/>
      <c r="L6" s="5"/>
    </row>
    <row r="7" spans="1:23">
      <c r="J7" s="1" t="s">
        <v>658</v>
      </c>
    </row>
    <row r="8" spans="1:23">
      <c r="I8" s="6"/>
      <c r="J8" s="6" t="s">
        <v>659</v>
      </c>
      <c r="K8" s="6"/>
      <c r="L8" s="6"/>
    </row>
    <row r="9" spans="1:23">
      <c r="A9" s="6" t="s">
        <v>9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1:23">
      <c r="A10" s="6"/>
      <c r="B10" s="27" t="s">
        <v>665</v>
      </c>
      <c r="C10" s="27" t="s">
        <v>523</v>
      </c>
      <c r="D10" s="27" t="s">
        <v>523</v>
      </c>
      <c r="E10" s="27" t="s">
        <v>523</v>
      </c>
      <c r="F10" s="27" t="s">
        <v>523</v>
      </c>
      <c r="H10" s="6"/>
      <c r="I10" s="6"/>
      <c r="J10" s="6"/>
      <c r="K10" s="6"/>
      <c r="L10" s="6"/>
      <c r="N10" s="79">
        <v>0.22500000000000001</v>
      </c>
      <c r="O10" s="6"/>
      <c r="P10" s="6"/>
      <c r="Q10" s="6"/>
      <c r="R10" s="6" t="s">
        <v>67</v>
      </c>
      <c r="S10" s="6"/>
      <c r="T10" s="6"/>
      <c r="U10" s="6"/>
      <c r="V10" s="6" t="s">
        <v>67</v>
      </c>
      <c r="W10" s="6"/>
    </row>
    <row r="11" spans="1:23">
      <c r="A11" s="6" t="s">
        <v>3</v>
      </c>
      <c r="B11" s="27" t="s">
        <v>524</v>
      </c>
      <c r="C11" s="27" t="s">
        <v>524</v>
      </c>
      <c r="D11" s="27" t="s">
        <v>524</v>
      </c>
      <c r="E11" s="27" t="s">
        <v>528</v>
      </c>
      <c r="F11" s="27" t="s">
        <v>528</v>
      </c>
      <c r="G11" s="6" t="s">
        <v>14</v>
      </c>
      <c r="H11" s="6" t="s">
        <v>12</v>
      </c>
      <c r="I11" s="6" t="s">
        <v>14</v>
      </c>
      <c r="J11" s="6" t="s">
        <v>12</v>
      </c>
      <c r="K11" s="6" t="s">
        <v>14</v>
      </c>
      <c r="L11" s="6" t="s">
        <v>12</v>
      </c>
      <c r="M11" s="6" t="s">
        <v>381</v>
      </c>
      <c r="N11" s="6" t="s">
        <v>381</v>
      </c>
      <c r="O11" s="6" t="s">
        <v>381</v>
      </c>
      <c r="P11" s="6" t="s">
        <v>660</v>
      </c>
      <c r="Q11" s="6" t="s">
        <v>67</v>
      </c>
      <c r="R11" s="6" t="s">
        <v>662</v>
      </c>
      <c r="S11" s="6" t="s">
        <v>661</v>
      </c>
      <c r="T11" s="6" t="s">
        <v>661</v>
      </c>
      <c r="U11" s="6" t="s">
        <v>67</v>
      </c>
      <c r="V11" s="6" t="s">
        <v>663</v>
      </c>
      <c r="W11" s="6" t="s">
        <v>177</v>
      </c>
    </row>
    <row r="12" spans="1:23">
      <c r="A12" s="6" t="s">
        <v>4</v>
      </c>
      <c r="B12" s="28" t="s">
        <v>672</v>
      </c>
      <c r="C12" s="28" t="s">
        <v>671</v>
      </c>
      <c r="D12" s="28" t="s">
        <v>525</v>
      </c>
      <c r="E12" s="28" t="s">
        <v>671</v>
      </c>
      <c r="F12" s="28" t="s">
        <v>525</v>
      </c>
      <c r="G12" s="6" t="s">
        <v>0</v>
      </c>
      <c r="H12" s="6" t="s">
        <v>0</v>
      </c>
      <c r="I12" s="6" t="s">
        <v>566</v>
      </c>
      <c r="J12" s="6" t="s">
        <v>566</v>
      </c>
      <c r="K12" s="6" t="s">
        <v>567</v>
      </c>
      <c r="L12" s="6" t="s">
        <v>567</v>
      </c>
      <c r="M12" s="6" t="s">
        <v>566</v>
      </c>
      <c r="N12" s="6" t="s">
        <v>567</v>
      </c>
      <c r="O12" s="6" t="s">
        <v>0</v>
      </c>
      <c r="P12" s="6" t="s">
        <v>566</v>
      </c>
      <c r="Q12" s="6" t="s">
        <v>567</v>
      </c>
      <c r="R12" s="6" t="s">
        <v>0</v>
      </c>
      <c r="S12" s="6" t="s">
        <v>117</v>
      </c>
      <c r="T12" s="6" t="s">
        <v>14</v>
      </c>
      <c r="U12" s="6" t="s">
        <v>661</v>
      </c>
      <c r="V12" s="6" t="s">
        <v>0</v>
      </c>
      <c r="W12" s="6" t="s">
        <v>16</v>
      </c>
    </row>
    <row r="13" spans="1:23">
      <c r="A13" s="10">
        <v>-1</v>
      </c>
      <c r="B13" s="10">
        <f>A13-1</f>
        <v>-2</v>
      </c>
      <c r="C13" s="10">
        <f>B13-1</f>
        <v>-3</v>
      </c>
      <c r="D13" s="10">
        <f t="shared" ref="D13:W13" si="0">C13-1</f>
        <v>-4</v>
      </c>
      <c r="E13" s="10">
        <f t="shared" si="0"/>
        <v>-5</v>
      </c>
      <c r="F13" s="10">
        <f t="shared" si="0"/>
        <v>-6</v>
      </c>
      <c r="G13" s="10">
        <f t="shared" si="0"/>
        <v>-7</v>
      </c>
      <c r="H13" s="10">
        <f t="shared" si="0"/>
        <v>-8</v>
      </c>
      <c r="I13" s="10">
        <f t="shared" si="0"/>
        <v>-9</v>
      </c>
      <c r="J13" s="10">
        <f t="shared" si="0"/>
        <v>-10</v>
      </c>
      <c r="K13" s="10">
        <f t="shared" si="0"/>
        <v>-11</v>
      </c>
      <c r="L13" s="10">
        <f t="shared" si="0"/>
        <v>-12</v>
      </c>
      <c r="M13" s="10">
        <f>L13-1</f>
        <v>-13</v>
      </c>
      <c r="N13" s="10">
        <f t="shared" si="0"/>
        <v>-14</v>
      </c>
      <c r="O13" s="10">
        <f t="shared" si="0"/>
        <v>-15</v>
      </c>
      <c r="P13" s="10">
        <f t="shared" si="0"/>
        <v>-16</v>
      </c>
      <c r="Q13" s="10">
        <f t="shared" si="0"/>
        <v>-17</v>
      </c>
      <c r="R13" s="10">
        <f t="shared" si="0"/>
        <v>-18</v>
      </c>
      <c r="S13" s="10">
        <f t="shared" si="0"/>
        <v>-19</v>
      </c>
      <c r="T13" s="10">
        <f t="shared" si="0"/>
        <v>-20</v>
      </c>
      <c r="U13" s="10">
        <f t="shared" si="0"/>
        <v>-21</v>
      </c>
      <c r="V13" s="10">
        <f t="shared" si="0"/>
        <v>-22</v>
      </c>
      <c r="W13" s="10">
        <f t="shared" si="0"/>
        <v>-23</v>
      </c>
    </row>
    <row r="14" spans="1:23">
      <c r="A14" s="80"/>
      <c r="B14" s="80"/>
      <c r="C14" s="6"/>
      <c r="D14" s="6"/>
      <c r="E14" s="6"/>
      <c r="F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</row>
    <row r="15" spans="1:23">
      <c r="A15" s="6">
        <v>1992</v>
      </c>
      <c r="B15" s="81">
        <f>'AD14'!B15+'AD15'!B15</f>
        <v>0</v>
      </c>
      <c r="C15" s="81">
        <f>'AD14'!C15+'AD15'!C15</f>
        <v>0</v>
      </c>
      <c r="D15" s="81">
        <f>'AD14'!D15+'AD15'!D15</f>
        <v>0</v>
      </c>
      <c r="E15" s="81">
        <f>'AD14'!E15+'AD15'!E15</f>
        <v>0</v>
      </c>
      <c r="F15" s="81">
        <f>'AD14'!F15+'AD15'!F15</f>
        <v>0</v>
      </c>
      <c r="G15" s="81">
        <f>'AD14'!G15+'AD15'!G15</f>
        <v>0</v>
      </c>
      <c r="H15" s="81">
        <f>'AD14'!H15+'AD15'!H15</f>
        <v>0</v>
      </c>
      <c r="I15" s="81">
        <f>'AD14'!I15+'AD15'!I15</f>
        <v>0</v>
      </c>
      <c r="J15" s="81">
        <f>'AD14'!J15+'AD15'!J15</f>
        <v>0</v>
      </c>
      <c r="K15" s="81">
        <f>'AD14'!K15+'AD15'!K15</f>
        <v>0</v>
      </c>
      <c r="L15" s="81">
        <f>'AD14'!L15+'AD15'!L15</f>
        <v>0</v>
      </c>
      <c r="M15" s="81">
        <f>'AD14'!M15+'AD15'!M15</f>
        <v>0</v>
      </c>
      <c r="N15" s="81">
        <f>'AD14'!N15+'AD15'!N15</f>
        <v>0</v>
      </c>
      <c r="O15" s="81">
        <f>'AD14'!O15+'AD15'!O15</f>
        <v>0</v>
      </c>
      <c r="P15" s="81">
        <f>'AD14'!P15+'AD15'!P15</f>
        <v>0</v>
      </c>
      <c r="Q15" s="81">
        <f>'AD14'!Q15+'AD15'!Q15</f>
        <v>0</v>
      </c>
      <c r="R15" s="81">
        <f>'AD14'!R15+'AD15'!R15</f>
        <v>0</v>
      </c>
      <c r="S15" s="81">
        <f>'AD14'!S15+'AD15'!S15</f>
        <v>0</v>
      </c>
      <c r="T15" s="81">
        <f>'AD14'!T15+'AD15'!T15</f>
        <v>0</v>
      </c>
      <c r="U15" s="81">
        <f>'AD14'!U15+'AD15'!U15</f>
        <v>0</v>
      </c>
      <c r="V15" s="81">
        <f>'AD14'!V15+'AD15'!V15</f>
        <v>0</v>
      </c>
      <c r="W15" s="81">
        <f>'AD14'!W15+'AD15'!W15</f>
        <v>0</v>
      </c>
    </row>
    <row r="16" spans="1:23">
      <c r="A16" s="6">
        <f>A15+1</f>
        <v>1993</v>
      </c>
      <c r="B16" s="81">
        <f>'AD14'!B16+'AD15'!B16</f>
        <v>0</v>
      </c>
      <c r="C16" s="81">
        <f>'AD14'!C16+'AD15'!C16</f>
        <v>0</v>
      </c>
      <c r="D16" s="81">
        <f>'AD14'!D16+'AD15'!D16</f>
        <v>0</v>
      </c>
      <c r="E16" s="81">
        <f>'AD14'!E16+'AD15'!E16</f>
        <v>0</v>
      </c>
      <c r="F16" s="81">
        <f>'AD14'!F16+'AD15'!F16</f>
        <v>0</v>
      </c>
      <c r="G16" s="81">
        <f>'AD14'!G16+'AD15'!G16</f>
        <v>0</v>
      </c>
      <c r="H16" s="81">
        <f>'AD14'!H16+'AD15'!H16</f>
        <v>0</v>
      </c>
      <c r="I16" s="81">
        <f>'AD14'!I16+'AD15'!I16</f>
        <v>0</v>
      </c>
      <c r="J16" s="81">
        <f>'AD14'!J16+'AD15'!J16</f>
        <v>0</v>
      </c>
      <c r="K16" s="81">
        <f>'AD14'!K16+'AD15'!K16</f>
        <v>0</v>
      </c>
      <c r="L16" s="81">
        <f>'AD14'!L16+'AD15'!L16</f>
        <v>0</v>
      </c>
      <c r="M16" s="81">
        <f>'AD14'!M16+'AD15'!M16</f>
        <v>0</v>
      </c>
      <c r="N16" s="81">
        <f>'AD14'!N16+'AD15'!N16</f>
        <v>0</v>
      </c>
      <c r="O16" s="81">
        <f>'AD14'!O16+'AD15'!O16</f>
        <v>0</v>
      </c>
      <c r="P16" s="81">
        <f>'AD14'!P16+'AD15'!P16</f>
        <v>0</v>
      </c>
      <c r="Q16" s="81">
        <f>'AD14'!Q16+'AD15'!Q16</f>
        <v>0</v>
      </c>
      <c r="R16" s="81">
        <f>'AD14'!R16+'AD15'!R16</f>
        <v>0</v>
      </c>
      <c r="S16" s="81">
        <f>'AD14'!S16+'AD15'!S16</f>
        <v>0</v>
      </c>
      <c r="T16" s="81">
        <f>'AD14'!T16+'AD15'!T16</f>
        <v>0</v>
      </c>
      <c r="U16" s="81">
        <f>'AD14'!U16+'AD15'!U16</f>
        <v>0</v>
      </c>
      <c r="V16" s="81">
        <f>'AD14'!V16+'AD15'!V16</f>
        <v>0</v>
      </c>
      <c r="W16" s="81">
        <f>'AD14'!W16+'AD15'!W16</f>
        <v>0</v>
      </c>
    </row>
    <row r="17" spans="1:23">
      <c r="A17" s="6">
        <f t="shared" ref="A17:A43" si="1">A16+1</f>
        <v>1994</v>
      </c>
      <c r="B17" s="81">
        <f>'AD14'!B17+'AD15'!B17</f>
        <v>0</v>
      </c>
      <c r="C17" s="81">
        <f>'AD14'!C17+'AD15'!C17</f>
        <v>0</v>
      </c>
      <c r="D17" s="81">
        <f>'AD14'!D17+'AD15'!D17</f>
        <v>0</v>
      </c>
      <c r="E17" s="81">
        <f>'AD14'!E17+'AD15'!E17</f>
        <v>0</v>
      </c>
      <c r="F17" s="81">
        <f>'AD14'!F17+'AD15'!F17</f>
        <v>0</v>
      </c>
      <c r="G17" s="81">
        <f>'AD14'!G17+'AD15'!G17</f>
        <v>0</v>
      </c>
      <c r="H17" s="81">
        <f>'AD14'!H17+'AD15'!H17</f>
        <v>0</v>
      </c>
      <c r="I17" s="81">
        <f>'AD14'!I17+'AD15'!I17</f>
        <v>0</v>
      </c>
      <c r="J17" s="81">
        <f>'AD14'!J17+'AD15'!J17</f>
        <v>0</v>
      </c>
      <c r="K17" s="81">
        <f>'AD14'!K17+'AD15'!K17</f>
        <v>0</v>
      </c>
      <c r="L17" s="81">
        <f>'AD14'!L17+'AD15'!L17</f>
        <v>0</v>
      </c>
      <c r="M17" s="81">
        <f>'AD14'!M17+'AD15'!M17</f>
        <v>0</v>
      </c>
      <c r="N17" s="81">
        <f>'AD14'!N17+'AD15'!N17</f>
        <v>0</v>
      </c>
      <c r="O17" s="81">
        <f>'AD14'!O17+'AD15'!O17</f>
        <v>0</v>
      </c>
      <c r="P17" s="81">
        <f>'AD14'!P17+'AD15'!P17</f>
        <v>0</v>
      </c>
      <c r="Q17" s="81">
        <f>'AD14'!Q17+'AD15'!Q17</f>
        <v>0</v>
      </c>
      <c r="R17" s="81">
        <f>'AD14'!R17+'AD15'!R17</f>
        <v>0</v>
      </c>
      <c r="S17" s="81">
        <f>'AD14'!S17+'AD15'!S17</f>
        <v>0</v>
      </c>
      <c r="T17" s="81">
        <f>'AD14'!T17+'AD15'!T17</f>
        <v>0</v>
      </c>
      <c r="U17" s="81">
        <f>'AD14'!U17+'AD15'!U17</f>
        <v>0</v>
      </c>
      <c r="V17" s="81">
        <f>'AD14'!V17+'AD15'!V17</f>
        <v>0</v>
      </c>
      <c r="W17" s="81">
        <f>'AD14'!W17+'AD15'!W17</f>
        <v>0</v>
      </c>
    </row>
    <row r="18" spans="1:23">
      <c r="A18" s="6">
        <f t="shared" si="1"/>
        <v>1995</v>
      </c>
      <c r="B18" s="81">
        <f>'AD14'!B18+'AD15'!B18</f>
        <v>0</v>
      </c>
      <c r="C18" s="81">
        <f>'AD14'!C18+'AD15'!C18</f>
        <v>0</v>
      </c>
      <c r="D18" s="81">
        <f>'AD14'!D18+'AD15'!D18</f>
        <v>0</v>
      </c>
      <c r="E18" s="81">
        <f>'AD14'!E18+'AD15'!E18</f>
        <v>0</v>
      </c>
      <c r="F18" s="81">
        <f>'AD14'!F18+'AD15'!F18</f>
        <v>0</v>
      </c>
      <c r="G18" s="81">
        <f>'AD14'!G18+'AD15'!G18</f>
        <v>0</v>
      </c>
      <c r="H18" s="81">
        <f>'AD14'!H18+'AD15'!H18</f>
        <v>0</v>
      </c>
      <c r="I18" s="81">
        <f>'AD14'!I18+'AD15'!I18</f>
        <v>0</v>
      </c>
      <c r="J18" s="81">
        <f>'AD14'!J18+'AD15'!J18</f>
        <v>0</v>
      </c>
      <c r="K18" s="81">
        <f>'AD14'!K18+'AD15'!K18</f>
        <v>0</v>
      </c>
      <c r="L18" s="81">
        <f>'AD14'!L18+'AD15'!L18</f>
        <v>0</v>
      </c>
      <c r="M18" s="81">
        <f>'AD14'!M18+'AD15'!M18</f>
        <v>0</v>
      </c>
      <c r="N18" s="81">
        <f>'AD14'!N18+'AD15'!N18</f>
        <v>0</v>
      </c>
      <c r="O18" s="81">
        <f>'AD14'!O18+'AD15'!O18</f>
        <v>0</v>
      </c>
      <c r="P18" s="81">
        <f>'AD14'!P18+'AD15'!P18</f>
        <v>0</v>
      </c>
      <c r="Q18" s="81">
        <f>'AD14'!Q18+'AD15'!Q18</f>
        <v>0</v>
      </c>
      <c r="R18" s="81">
        <f>'AD14'!R18+'AD15'!R18</f>
        <v>0</v>
      </c>
      <c r="S18" s="81">
        <f>'AD14'!S18+'AD15'!S18</f>
        <v>0</v>
      </c>
      <c r="T18" s="81">
        <f>'AD14'!T18+'AD15'!T18</f>
        <v>0</v>
      </c>
      <c r="U18" s="81">
        <f>'AD14'!U18+'AD15'!U18</f>
        <v>0</v>
      </c>
      <c r="V18" s="81">
        <f>'AD14'!V18+'AD15'!V18</f>
        <v>0</v>
      </c>
      <c r="W18" s="81">
        <f>'AD14'!W18+'AD15'!W18</f>
        <v>0</v>
      </c>
    </row>
    <row r="19" spans="1:23">
      <c r="A19" s="6">
        <f t="shared" si="1"/>
        <v>1996</v>
      </c>
      <c r="B19" s="81">
        <f>'AD14'!B19+'AD15'!B19</f>
        <v>0</v>
      </c>
      <c r="C19" s="81">
        <f>'AD14'!C19+'AD15'!C19</f>
        <v>0</v>
      </c>
      <c r="D19" s="81">
        <f>'AD14'!D19+'AD15'!D19</f>
        <v>0</v>
      </c>
      <c r="E19" s="81">
        <f>'AD14'!E19+'AD15'!E19</f>
        <v>0</v>
      </c>
      <c r="F19" s="81">
        <f>'AD14'!F19+'AD15'!F19</f>
        <v>0</v>
      </c>
      <c r="G19" s="81">
        <f>'AD14'!G19+'AD15'!G19</f>
        <v>0</v>
      </c>
      <c r="H19" s="81">
        <f>'AD14'!H19+'AD15'!H19</f>
        <v>0</v>
      </c>
      <c r="I19" s="81">
        <f>'AD14'!I19+'AD15'!I19</f>
        <v>0</v>
      </c>
      <c r="J19" s="81">
        <f>'AD14'!J19+'AD15'!J19</f>
        <v>0</v>
      </c>
      <c r="K19" s="81">
        <f>'AD14'!K19+'AD15'!K19</f>
        <v>0</v>
      </c>
      <c r="L19" s="81">
        <f>'AD14'!L19+'AD15'!L19</f>
        <v>0</v>
      </c>
      <c r="M19" s="81">
        <f>'AD14'!M19+'AD15'!M19</f>
        <v>0</v>
      </c>
      <c r="N19" s="81">
        <f>'AD14'!N19+'AD15'!N19</f>
        <v>0</v>
      </c>
      <c r="O19" s="81">
        <f>'AD14'!O19+'AD15'!O19</f>
        <v>0</v>
      </c>
      <c r="P19" s="81">
        <f>'AD14'!P19+'AD15'!P19</f>
        <v>0</v>
      </c>
      <c r="Q19" s="81">
        <f>'AD14'!Q19+'AD15'!Q19</f>
        <v>0</v>
      </c>
      <c r="R19" s="81">
        <f>'AD14'!R19+'AD15'!R19</f>
        <v>0</v>
      </c>
      <c r="S19" s="81">
        <f>'AD14'!S19+'AD15'!S19</f>
        <v>0</v>
      </c>
      <c r="T19" s="81">
        <f>'AD14'!T19+'AD15'!T19</f>
        <v>0</v>
      </c>
      <c r="U19" s="81">
        <f>'AD14'!U19+'AD15'!U19</f>
        <v>0</v>
      </c>
      <c r="V19" s="81">
        <f>'AD14'!V19+'AD15'!V19</f>
        <v>0</v>
      </c>
      <c r="W19" s="81">
        <f>'AD14'!W19+'AD15'!W19</f>
        <v>0</v>
      </c>
    </row>
    <row r="20" spans="1:23">
      <c r="A20" s="6">
        <f t="shared" si="1"/>
        <v>1997</v>
      </c>
      <c r="B20" s="81">
        <f>'AD14'!B20+'AD15'!B20</f>
        <v>0</v>
      </c>
      <c r="C20" s="81">
        <f>'AD14'!C20+'AD15'!C20</f>
        <v>0</v>
      </c>
      <c r="D20" s="81">
        <f>'AD14'!D20+'AD15'!D20</f>
        <v>0</v>
      </c>
      <c r="E20" s="81">
        <f>'AD14'!E20+'AD15'!E20</f>
        <v>0</v>
      </c>
      <c r="F20" s="81">
        <f>'AD14'!F20+'AD15'!F20</f>
        <v>0</v>
      </c>
      <c r="G20" s="81">
        <f>'AD14'!G20+'AD15'!G20</f>
        <v>0</v>
      </c>
      <c r="H20" s="81">
        <f>'AD14'!H20+'AD15'!H20</f>
        <v>0</v>
      </c>
      <c r="I20" s="81">
        <f>'AD14'!I20+'AD15'!I20</f>
        <v>0</v>
      </c>
      <c r="J20" s="81">
        <f>'AD14'!J20+'AD15'!J20</f>
        <v>0</v>
      </c>
      <c r="K20" s="81">
        <f>'AD14'!K20+'AD15'!K20</f>
        <v>0</v>
      </c>
      <c r="L20" s="81">
        <f>'AD14'!L20+'AD15'!L20</f>
        <v>0</v>
      </c>
      <c r="M20" s="81">
        <f>'AD14'!M20+'AD15'!M20</f>
        <v>0</v>
      </c>
      <c r="N20" s="81">
        <f>'AD14'!N20+'AD15'!N20</f>
        <v>0</v>
      </c>
      <c r="O20" s="81">
        <f>'AD14'!O20+'AD15'!O20</f>
        <v>0</v>
      </c>
      <c r="P20" s="81">
        <f>'AD14'!P20+'AD15'!P20</f>
        <v>0</v>
      </c>
      <c r="Q20" s="81">
        <f>'AD14'!Q20+'AD15'!Q20</f>
        <v>0</v>
      </c>
      <c r="R20" s="81">
        <f>'AD14'!R20+'AD15'!R20</f>
        <v>0</v>
      </c>
      <c r="S20" s="81">
        <f>'AD14'!S20+'AD15'!S20</f>
        <v>0</v>
      </c>
      <c r="T20" s="81">
        <f>'AD14'!T20+'AD15'!T20</f>
        <v>0</v>
      </c>
      <c r="U20" s="81">
        <f>'AD14'!U20+'AD15'!U20</f>
        <v>0</v>
      </c>
      <c r="V20" s="81">
        <f>'AD14'!V20+'AD15'!V20</f>
        <v>0</v>
      </c>
      <c r="W20" s="81">
        <f>'AD14'!W20+'AD15'!W20</f>
        <v>0</v>
      </c>
    </row>
    <row r="21" spans="1:23">
      <c r="A21" s="6">
        <f t="shared" si="1"/>
        <v>1998</v>
      </c>
      <c r="B21" s="81">
        <f>'AD14'!B21+'AD15'!B21</f>
        <v>0</v>
      </c>
      <c r="C21" s="81">
        <f>'AD14'!C21+'AD15'!C21</f>
        <v>0</v>
      </c>
      <c r="D21" s="81">
        <f>'AD14'!D21+'AD15'!D21</f>
        <v>0</v>
      </c>
      <c r="E21" s="81">
        <f>'AD14'!E21+'AD15'!E21</f>
        <v>0</v>
      </c>
      <c r="F21" s="81">
        <f>'AD14'!F21+'AD15'!F21</f>
        <v>0</v>
      </c>
      <c r="G21" s="81">
        <f>'AD14'!G21+'AD15'!G21</f>
        <v>0</v>
      </c>
      <c r="H21" s="81">
        <f>'AD14'!H21+'AD15'!H21</f>
        <v>0</v>
      </c>
      <c r="I21" s="81">
        <f>'AD14'!I21+'AD15'!I21</f>
        <v>0</v>
      </c>
      <c r="J21" s="81">
        <f>'AD14'!J21+'AD15'!J21</f>
        <v>0</v>
      </c>
      <c r="K21" s="81">
        <f>'AD14'!K21+'AD15'!K21</f>
        <v>0</v>
      </c>
      <c r="L21" s="81">
        <f>'AD14'!L21+'AD15'!L21</f>
        <v>0</v>
      </c>
      <c r="M21" s="81">
        <f>'AD14'!M21+'AD15'!M21</f>
        <v>0</v>
      </c>
      <c r="N21" s="81">
        <f>'AD14'!N21+'AD15'!N21</f>
        <v>0</v>
      </c>
      <c r="O21" s="81">
        <f>'AD14'!O21+'AD15'!O21</f>
        <v>0</v>
      </c>
      <c r="P21" s="81">
        <f>'AD14'!P21+'AD15'!P21</f>
        <v>0</v>
      </c>
      <c r="Q21" s="81">
        <f>'AD14'!Q21+'AD15'!Q21</f>
        <v>0</v>
      </c>
      <c r="R21" s="81">
        <f>'AD14'!R21+'AD15'!R21</f>
        <v>0</v>
      </c>
      <c r="S21" s="81">
        <f>'AD14'!S21+'AD15'!S21</f>
        <v>0</v>
      </c>
      <c r="T21" s="81">
        <f>'AD14'!T21+'AD15'!T21</f>
        <v>0</v>
      </c>
      <c r="U21" s="81">
        <f>'AD14'!U21+'AD15'!U21</f>
        <v>0</v>
      </c>
      <c r="V21" s="81">
        <f>'AD14'!V21+'AD15'!V21</f>
        <v>0</v>
      </c>
      <c r="W21" s="81">
        <f>'AD14'!W21+'AD15'!W21</f>
        <v>0</v>
      </c>
    </row>
    <row r="22" spans="1:23">
      <c r="A22" s="6">
        <f t="shared" si="1"/>
        <v>1999</v>
      </c>
      <c r="B22" s="81">
        <f>'AD14'!B22+'AD15'!B22</f>
        <v>0</v>
      </c>
      <c r="C22" s="81">
        <f>'AD14'!C22+'AD15'!C22</f>
        <v>0</v>
      </c>
      <c r="D22" s="81">
        <f>'AD14'!D22+'AD15'!D22</f>
        <v>0</v>
      </c>
      <c r="E22" s="81">
        <f>'AD14'!E22+'AD15'!E22</f>
        <v>0</v>
      </c>
      <c r="F22" s="81">
        <f>'AD14'!F22+'AD15'!F22</f>
        <v>0</v>
      </c>
      <c r="G22" s="81">
        <f>'AD14'!G22+'AD15'!G22</f>
        <v>0</v>
      </c>
      <c r="H22" s="81">
        <f>'AD14'!H22+'AD15'!H22</f>
        <v>0</v>
      </c>
      <c r="I22" s="81">
        <f>'AD14'!I22+'AD15'!I22</f>
        <v>0</v>
      </c>
      <c r="J22" s="81">
        <f>'AD14'!J22+'AD15'!J22</f>
        <v>0</v>
      </c>
      <c r="K22" s="81">
        <f>'AD14'!K22+'AD15'!K22</f>
        <v>0</v>
      </c>
      <c r="L22" s="81">
        <f>'AD14'!L22+'AD15'!L22</f>
        <v>0</v>
      </c>
      <c r="M22" s="81">
        <f>'AD14'!M22+'AD15'!M22</f>
        <v>0</v>
      </c>
      <c r="N22" s="81">
        <f>'AD14'!N22+'AD15'!N22</f>
        <v>0</v>
      </c>
      <c r="O22" s="81">
        <f>'AD14'!O22+'AD15'!O22</f>
        <v>0</v>
      </c>
      <c r="P22" s="81">
        <f>'AD14'!P22+'AD15'!P22</f>
        <v>0</v>
      </c>
      <c r="Q22" s="81">
        <f>'AD14'!Q22+'AD15'!Q22</f>
        <v>0</v>
      </c>
      <c r="R22" s="81">
        <f>'AD14'!R22+'AD15'!R22</f>
        <v>0</v>
      </c>
      <c r="S22" s="81">
        <f>'AD14'!S22+'AD15'!S22</f>
        <v>0</v>
      </c>
      <c r="T22" s="81">
        <f>'AD14'!T22+'AD15'!T22</f>
        <v>0</v>
      </c>
      <c r="U22" s="81">
        <f>'AD14'!U22+'AD15'!U22</f>
        <v>0</v>
      </c>
      <c r="V22" s="81">
        <f>'AD14'!V22+'AD15'!V22</f>
        <v>0</v>
      </c>
      <c r="W22" s="81">
        <f>'AD14'!W22+'AD15'!W22</f>
        <v>0</v>
      </c>
    </row>
    <row r="23" spans="1:23">
      <c r="A23" s="6">
        <f t="shared" si="1"/>
        <v>2000</v>
      </c>
      <c r="B23" s="81">
        <f>'AD14'!B23+'AD15'!B23</f>
        <v>0</v>
      </c>
      <c r="C23" s="81">
        <f>'AD14'!C23+'AD15'!C23</f>
        <v>0</v>
      </c>
      <c r="D23" s="81">
        <f>'AD14'!D23+'AD15'!D23</f>
        <v>0</v>
      </c>
      <c r="E23" s="81">
        <f>'AD14'!E23+'AD15'!E23</f>
        <v>0</v>
      </c>
      <c r="F23" s="81">
        <f>'AD14'!F23+'AD15'!F23</f>
        <v>0</v>
      </c>
      <c r="G23" s="81">
        <f>'AD14'!G23+'AD15'!G23</f>
        <v>0</v>
      </c>
      <c r="H23" s="81">
        <f>'AD14'!H23+'AD15'!H23</f>
        <v>0</v>
      </c>
      <c r="I23" s="81">
        <f>'AD14'!I23+'AD15'!I23</f>
        <v>0</v>
      </c>
      <c r="J23" s="81">
        <f>'AD14'!J23+'AD15'!J23</f>
        <v>0</v>
      </c>
      <c r="K23" s="81">
        <f>'AD14'!K23+'AD15'!K23</f>
        <v>0</v>
      </c>
      <c r="L23" s="81">
        <f>'AD14'!L23+'AD15'!L23</f>
        <v>0</v>
      </c>
      <c r="M23" s="81">
        <f>'AD14'!M23+'AD15'!M23</f>
        <v>0</v>
      </c>
      <c r="N23" s="81">
        <f>'AD14'!N23+'AD15'!N23</f>
        <v>0</v>
      </c>
      <c r="O23" s="81">
        <f>'AD14'!O23+'AD15'!O23</f>
        <v>0</v>
      </c>
      <c r="P23" s="81">
        <f>'AD14'!P23+'AD15'!P23</f>
        <v>0</v>
      </c>
      <c r="Q23" s="81">
        <f>'AD14'!Q23+'AD15'!Q23</f>
        <v>0</v>
      </c>
      <c r="R23" s="81">
        <f>'AD14'!R23+'AD15'!R23</f>
        <v>0</v>
      </c>
      <c r="S23" s="81">
        <f>'AD14'!S23+'AD15'!S23</f>
        <v>0</v>
      </c>
      <c r="T23" s="81">
        <f>'AD14'!T23+'AD15'!T23</f>
        <v>0</v>
      </c>
      <c r="U23" s="81">
        <f>'AD14'!U23+'AD15'!U23</f>
        <v>0</v>
      </c>
      <c r="V23" s="81">
        <f>'AD14'!V23+'AD15'!V23</f>
        <v>0</v>
      </c>
      <c r="W23" s="81">
        <f>'AD14'!W23+'AD15'!W23</f>
        <v>0</v>
      </c>
    </row>
    <row r="24" spans="1:23">
      <c r="A24" s="6">
        <f t="shared" si="1"/>
        <v>2001</v>
      </c>
      <c r="B24" s="81">
        <f>'AD14'!B24+'AD15'!B24</f>
        <v>0</v>
      </c>
      <c r="C24" s="81">
        <f>'AD14'!C24+'AD15'!C24</f>
        <v>0</v>
      </c>
      <c r="D24" s="81">
        <f>'AD14'!D24+'AD15'!D24</f>
        <v>0</v>
      </c>
      <c r="E24" s="81">
        <f>'AD14'!E24+'AD15'!E24</f>
        <v>0</v>
      </c>
      <c r="F24" s="81">
        <f>'AD14'!F24+'AD15'!F24</f>
        <v>0</v>
      </c>
      <c r="G24" s="81">
        <f>'AD14'!G24+'AD15'!G24</f>
        <v>0</v>
      </c>
      <c r="H24" s="81">
        <f>'AD14'!H24+'AD15'!H24</f>
        <v>0</v>
      </c>
      <c r="I24" s="81">
        <f>'AD14'!I24+'AD15'!I24</f>
        <v>0</v>
      </c>
      <c r="J24" s="81">
        <f>'AD14'!J24+'AD15'!J24</f>
        <v>0</v>
      </c>
      <c r="K24" s="81">
        <f>'AD14'!K24+'AD15'!K24</f>
        <v>0</v>
      </c>
      <c r="L24" s="81">
        <f>'AD14'!L24+'AD15'!L24</f>
        <v>0</v>
      </c>
      <c r="M24" s="81">
        <f>'AD14'!M24+'AD15'!M24</f>
        <v>0</v>
      </c>
      <c r="N24" s="81">
        <f>'AD14'!N24+'AD15'!N24</f>
        <v>0</v>
      </c>
      <c r="O24" s="81">
        <f>'AD14'!O24+'AD15'!O24</f>
        <v>0</v>
      </c>
      <c r="P24" s="81">
        <f>'AD14'!P24+'AD15'!P24</f>
        <v>0</v>
      </c>
      <c r="Q24" s="81">
        <f>'AD14'!Q24+'AD15'!Q24</f>
        <v>0</v>
      </c>
      <c r="R24" s="81">
        <f>'AD14'!R24+'AD15'!R24</f>
        <v>0</v>
      </c>
      <c r="S24" s="81">
        <f>'AD14'!S24+'AD15'!S24</f>
        <v>0</v>
      </c>
      <c r="T24" s="81">
        <f>'AD14'!T24+'AD15'!T24</f>
        <v>0</v>
      </c>
      <c r="U24" s="81">
        <f>'AD14'!U24+'AD15'!U24</f>
        <v>0</v>
      </c>
      <c r="V24" s="81">
        <f>'AD14'!V24+'AD15'!V24</f>
        <v>0</v>
      </c>
      <c r="W24" s="81">
        <f>'AD14'!W24+'AD15'!W24</f>
        <v>0</v>
      </c>
    </row>
    <row r="25" spans="1:23">
      <c r="A25" s="6">
        <f t="shared" si="1"/>
        <v>2002</v>
      </c>
      <c r="B25" s="81">
        <f>'AD14'!B25+'AD15'!B25</f>
        <v>0</v>
      </c>
      <c r="C25" s="81">
        <f>'AD14'!C25+'AD15'!C25</f>
        <v>0</v>
      </c>
      <c r="D25" s="81">
        <f>'AD14'!D25+'AD15'!D25</f>
        <v>0</v>
      </c>
      <c r="E25" s="81">
        <f>'AD14'!E25+'AD15'!E25</f>
        <v>0</v>
      </c>
      <c r="F25" s="81">
        <f>'AD14'!F25+'AD15'!F25</f>
        <v>0</v>
      </c>
      <c r="G25" s="81">
        <f>'AD14'!G25+'AD15'!G25</f>
        <v>0</v>
      </c>
      <c r="H25" s="81">
        <f>'AD14'!H25+'AD15'!H25</f>
        <v>0</v>
      </c>
      <c r="I25" s="81">
        <f>'AD14'!I25+'AD15'!I25</f>
        <v>0</v>
      </c>
      <c r="J25" s="81">
        <f>'AD14'!J25+'AD15'!J25</f>
        <v>0</v>
      </c>
      <c r="K25" s="81">
        <f>'AD14'!K25+'AD15'!K25</f>
        <v>0</v>
      </c>
      <c r="L25" s="81">
        <f>'AD14'!L25+'AD15'!L25</f>
        <v>0</v>
      </c>
      <c r="M25" s="81">
        <f>'AD14'!M25+'AD15'!M25</f>
        <v>0</v>
      </c>
      <c r="N25" s="81">
        <f>'AD14'!N25+'AD15'!N25</f>
        <v>0</v>
      </c>
      <c r="O25" s="81">
        <f>'AD14'!O25+'AD15'!O25</f>
        <v>0</v>
      </c>
      <c r="P25" s="81">
        <f>'AD14'!P25+'AD15'!P25</f>
        <v>0</v>
      </c>
      <c r="Q25" s="81">
        <f>'AD14'!Q25+'AD15'!Q25</f>
        <v>0</v>
      </c>
      <c r="R25" s="81">
        <f>'AD14'!R25+'AD15'!R25</f>
        <v>0</v>
      </c>
      <c r="S25" s="81">
        <f>'AD14'!S25+'AD15'!S25</f>
        <v>0</v>
      </c>
      <c r="T25" s="81">
        <f>'AD14'!T25+'AD15'!T25</f>
        <v>0</v>
      </c>
      <c r="U25" s="81">
        <f>'AD14'!U25+'AD15'!U25</f>
        <v>0</v>
      </c>
      <c r="V25" s="81">
        <f>'AD14'!V25+'AD15'!V25</f>
        <v>0</v>
      </c>
      <c r="W25" s="81">
        <f>'AD14'!W25+'AD15'!W25</f>
        <v>0</v>
      </c>
    </row>
    <row r="26" spans="1:23">
      <c r="A26" s="6">
        <f t="shared" si="1"/>
        <v>2003</v>
      </c>
      <c r="B26" s="81">
        <f>'AD14'!B26+'AD15'!B26</f>
        <v>0</v>
      </c>
      <c r="C26" s="81">
        <f>'AD14'!C26+'AD15'!C26</f>
        <v>0</v>
      </c>
      <c r="D26" s="81">
        <f>'AD14'!D26+'AD15'!D26</f>
        <v>0</v>
      </c>
      <c r="E26" s="81">
        <f>'AD14'!E26+'AD15'!E26</f>
        <v>0</v>
      </c>
      <c r="F26" s="81">
        <f>'AD14'!F26+'AD15'!F26</f>
        <v>0</v>
      </c>
      <c r="G26" s="81">
        <f>'AD14'!G26+'AD15'!G26</f>
        <v>0</v>
      </c>
      <c r="H26" s="81">
        <f>'AD14'!H26+'AD15'!H26</f>
        <v>0</v>
      </c>
      <c r="I26" s="81">
        <f>'AD14'!I26+'AD15'!I26</f>
        <v>0</v>
      </c>
      <c r="J26" s="81">
        <f>'AD14'!J26+'AD15'!J26</f>
        <v>0</v>
      </c>
      <c r="K26" s="81">
        <f>'AD14'!K26+'AD15'!K26</f>
        <v>0</v>
      </c>
      <c r="L26" s="81">
        <f>'AD14'!L26+'AD15'!L26</f>
        <v>0</v>
      </c>
      <c r="M26" s="81">
        <f>'AD14'!M26+'AD15'!M26</f>
        <v>0</v>
      </c>
      <c r="N26" s="81">
        <f>'AD14'!N26+'AD15'!N26</f>
        <v>0</v>
      </c>
      <c r="O26" s="81">
        <f>'AD14'!O26+'AD15'!O26</f>
        <v>0</v>
      </c>
      <c r="P26" s="81">
        <f>'AD14'!P26+'AD15'!P26</f>
        <v>0</v>
      </c>
      <c r="Q26" s="81">
        <f>'AD14'!Q26+'AD15'!Q26</f>
        <v>0</v>
      </c>
      <c r="R26" s="81">
        <f>'AD14'!R26+'AD15'!R26</f>
        <v>0</v>
      </c>
      <c r="S26" s="81">
        <f>'AD14'!S26+'AD15'!S26</f>
        <v>0</v>
      </c>
      <c r="T26" s="81">
        <f>'AD14'!T26+'AD15'!T26</f>
        <v>0</v>
      </c>
      <c r="U26" s="81">
        <f>'AD14'!U26+'AD15'!U26</f>
        <v>0</v>
      </c>
      <c r="V26" s="81">
        <f>'AD14'!V26+'AD15'!V26</f>
        <v>0</v>
      </c>
      <c r="W26" s="81">
        <f>'AD14'!W26+'AD15'!W26</f>
        <v>0</v>
      </c>
    </row>
    <row r="27" spans="1:23">
      <c r="A27" s="6">
        <f t="shared" si="1"/>
        <v>2004</v>
      </c>
      <c r="B27" s="81">
        <f>'AD14'!B27+'AD15'!B27</f>
        <v>0</v>
      </c>
      <c r="C27" s="81">
        <f>'AD14'!C27+'AD15'!C27</f>
        <v>0</v>
      </c>
      <c r="D27" s="81">
        <f>'AD14'!D27+'AD15'!D27</f>
        <v>0</v>
      </c>
      <c r="E27" s="81">
        <f>'AD14'!E27+'AD15'!E27</f>
        <v>0</v>
      </c>
      <c r="F27" s="81">
        <f>'AD14'!F27+'AD15'!F27</f>
        <v>0</v>
      </c>
      <c r="G27" s="81">
        <f>'AD14'!G27+'AD15'!G27</f>
        <v>0</v>
      </c>
      <c r="H27" s="81">
        <f>'AD14'!H27+'AD15'!H27</f>
        <v>0</v>
      </c>
      <c r="I27" s="81">
        <f>'AD14'!I27+'AD15'!I27</f>
        <v>0</v>
      </c>
      <c r="J27" s="81">
        <f>'AD14'!J27+'AD15'!J27</f>
        <v>0</v>
      </c>
      <c r="K27" s="81">
        <f>'AD14'!K27+'AD15'!K27</f>
        <v>0</v>
      </c>
      <c r="L27" s="81">
        <f>'AD14'!L27+'AD15'!L27</f>
        <v>0</v>
      </c>
      <c r="M27" s="81">
        <f>'AD14'!M27+'AD15'!M27</f>
        <v>0</v>
      </c>
      <c r="N27" s="81">
        <f>'AD14'!N27+'AD15'!N27</f>
        <v>0</v>
      </c>
      <c r="O27" s="81">
        <f>'AD14'!O27+'AD15'!O27</f>
        <v>0</v>
      </c>
      <c r="P27" s="81">
        <f>'AD14'!P27+'AD15'!P27</f>
        <v>0</v>
      </c>
      <c r="Q27" s="81">
        <f>'AD14'!Q27+'AD15'!Q27</f>
        <v>0</v>
      </c>
      <c r="R27" s="81">
        <f>'AD14'!R27+'AD15'!R27</f>
        <v>0</v>
      </c>
      <c r="S27" s="81">
        <f>'AD14'!S27+'AD15'!S27</f>
        <v>0</v>
      </c>
      <c r="T27" s="81">
        <f>'AD14'!T27+'AD15'!T27</f>
        <v>0</v>
      </c>
      <c r="U27" s="81">
        <f>'AD14'!U27+'AD15'!U27</f>
        <v>0</v>
      </c>
      <c r="V27" s="81">
        <f>'AD14'!V27+'AD15'!V27</f>
        <v>0</v>
      </c>
      <c r="W27" s="81">
        <f>'AD14'!W27+'AD15'!W27</f>
        <v>0</v>
      </c>
    </row>
    <row r="28" spans="1:23">
      <c r="A28" s="6">
        <f t="shared" si="1"/>
        <v>2005</v>
      </c>
      <c r="B28" s="81">
        <f>'AD14'!B28+'AD15'!B28</f>
        <v>0</v>
      </c>
      <c r="C28" s="81">
        <f>'AD14'!C28+'AD15'!C28</f>
        <v>0</v>
      </c>
      <c r="D28" s="81">
        <f>'AD14'!D28+'AD15'!D28</f>
        <v>0</v>
      </c>
      <c r="E28" s="81">
        <f>'AD14'!E28+'AD15'!E28</f>
        <v>0</v>
      </c>
      <c r="F28" s="81">
        <f>'AD14'!F28+'AD15'!F28</f>
        <v>0</v>
      </c>
      <c r="G28" s="81">
        <f>'AD14'!G28+'AD15'!G28</f>
        <v>0</v>
      </c>
      <c r="H28" s="81">
        <f>'AD14'!H28+'AD15'!H28</f>
        <v>0</v>
      </c>
      <c r="I28" s="81">
        <f>'AD14'!I28+'AD15'!I28</f>
        <v>0</v>
      </c>
      <c r="J28" s="81">
        <f>'AD14'!J28+'AD15'!J28</f>
        <v>0</v>
      </c>
      <c r="K28" s="81">
        <f>'AD14'!K28+'AD15'!K28</f>
        <v>0</v>
      </c>
      <c r="L28" s="81">
        <f>'AD14'!L28+'AD15'!L28</f>
        <v>0</v>
      </c>
      <c r="M28" s="81">
        <f>'AD14'!M28+'AD15'!M28</f>
        <v>0</v>
      </c>
      <c r="N28" s="81">
        <f>'AD14'!N28+'AD15'!N28</f>
        <v>0</v>
      </c>
      <c r="O28" s="81">
        <f>'AD14'!O28+'AD15'!O28</f>
        <v>0</v>
      </c>
      <c r="P28" s="81">
        <f>'AD14'!P28+'AD15'!P28</f>
        <v>0</v>
      </c>
      <c r="Q28" s="81">
        <f>'AD14'!Q28+'AD15'!Q28</f>
        <v>0</v>
      </c>
      <c r="R28" s="81">
        <f>'AD14'!R28+'AD15'!R28</f>
        <v>0</v>
      </c>
      <c r="S28" s="81">
        <f>'AD14'!S28+'AD15'!S28</f>
        <v>0</v>
      </c>
      <c r="T28" s="81">
        <f>'AD14'!T28+'AD15'!T28</f>
        <v>0</v>
      </c>
      <c r="U28" s="81">
        <f>'AD14'!U28+'AD15'!U28</f>
        <v>0</v>
      </c>
      <c r="V28" s="81">
        <f>'AD14'!V28+'AD15'!V28</f>
        <v>0</v>
      </c>
      <c r="W28" s="81">
        <f>'AD14'!W28+'AD15'!W28</f>
        <v>0</v>
      </c>
    </row>
    <row r="29" spans="1:23">
      <c r="A29" s="6">
        <f t="shared" si="1"/>
        <v>2006</v>
      </c>
      <c r="B29" s="81">
        <f>'AD14'!B29+'AD15'!B29</f>
        <v>0</v>
      </c>
      <c r="C29" s="81">
        <f>'AD14'!C29+'AD15'!C29</f>
        <v>0</v>
      </c>
      <c r="D29" s="81">
        <f>'AD14'!D29+'AD15'!D29</f>
        <v>0</v>
      </c>
      <c r="E29" s="81">
        <f>'AD14'!E29+'AD15'!E29</f>
        <v>0</v>
      </c>
      <c r="F29" s="81">
        <f>'AD14'!F29+'AD15'!F29</f>
        <v>0</v>
      </c>
      <c r="G29" s="81">
        <f>'AD14'!G29+'AD15'!G29</f>
        <v>0</v>
      </c>
      <c r="H29" s="81">
        <f>'AD14'!H29+'AD15'!H29</f>
        <v>0</v>
      </c>
      <c r="I29" s="81">
        <f>'AD14'!I29+'AD15'!I29</f>
        <v>0</v>
      </c>
      <c r="J29" s="81">
        <f>'AD14'!J29+'AD15'!J29</f>
        <v>0</v>
      </c>
      <c r="K29" s="81">
        <f>'AD14'!K29+'AD15'!K29</f>
        <v>0</v>
      </c>
      <c r="L29" s="81">
        <f>'AD14'!L29+'AD15'!L29</f>
        <v>0</v>
      </c>
      <c r="M29" s="81">
        <f>'AD14'!M29+'AD15'!M29</f>
        <v>0</v>
      </c>
      <c r="N29" s="81">
        <f>'AD14'!N29+'AD15'!N29</f>
        <v>0</v>
      </c>
      <c r="O29" s="81">
        <f>'AD14'!O29+'AD15'!O29</f>
        <v>0</v>
      </c>
      <c r="P29" s="81">
        <f>'AD14'!P29+'AD15'!P29</f>
        <v>0</v>
      </c>
      <c r="Q29" s="81">
        <f>'AD14'!Q29+'AD15'!Q29</f>
        <v>0</v>
      </c>
      <c r="R29" s="81">
        <f>'AD14'!R29+'AD15'!R29</f>
        <v>0</v>
      </c>
      <c r="S29" s="81">
        <f>'AD14'!S29+'AD15'!S29</f>
        <v>0</v>
      </c>
      <c r="T29" s="81">
        <f>'AD14'!T29+'AD15'!T29</f>
        <v>0</v>
      </c>
      <c r="U29" s="81">
        <f>'AD14'!U29+'AD15'!U29</f>
        <v>0</v>
      </c>
      <c r="V29" s="81">
        <f>'AD14'!V29+'AD15'!V29</f>
        <v>0</v>
      </c>
      <c r="W29" s="81">
        <f>'AD14'!W29+'AD15'!W29</f>
        <v>0</v>
      </c>
    </row>
    <row r="30" spans="1:23">
      <c r="A30" s="6">
        <f t="shared" si="1"/>
        <v>2007</v>
      </c>
      <c r="B30" s="81">
        <f>'AD14'!B30+'AD15'!B30</f>
        <v>0</v>
      </c>
      <c r="C30" s="81">
        <f>'AD14'!C30+'AD15'!C30</f>
        <v>0</v>
      </c>
      <c r="D30" s="81">
        <f>'AD14'!D30+'AD15'!D30</f>
        <v>0</v>
      </c>
      <c r="E30" s="81">
        <f>'AD14'!E30+'AD15'!E30</f>
        <v>0</v>
      </c>
      <c r="F30" s="81">
        <f>'AD14'!F30+'AD15'!F30</f>
        <v>0</v>
      </c>
      <c r="G30" s="81">
        <f>'AD14'!G30+'AD15'!G30</f>
        <v>0</v>
      </c>
      <c r="H30" s="81">
        <f>'AD14'!H30+'AD15'!H30</f>
        <v>0</v>
      </c>
      <c r="I30" s="81">
        <f>'AD14'!I30+'AD15'!I30</f>
        <v>0</v>
      </c>
      <c r="J30" s="81">
        <f>'AD14'!J30+'AD15'!J30</f>
        <v>0</v>
      </c>
      <c r="K30" s="81">
        <f>'AD14'!K30+'AD15'!K30</f>
        <v>0</v>
      </c>
      <c r="L30" s="81">
        <f>'AD14'!L30+'AD15'!L30</f>
        <v>0</v>
      </c>
      <c r="M30" s="81">
        <f>'AD14'!M30+'AD15'!M30</f>
        <v>0</v>
      </c>
      <c r="N30" s="81">
        <f>'AD14'!N30+'AD15'!N30</f>
        <v>0</v>
      </c>
      <c r="O30" s="81">
        <f>'AD14'!O30+'AD15'!O30</f>
        <v>0</v>
      </c>
      <c r="P30" s="81">
        <f>'AD14'!P30+'AD15'!P30</f>
        <v>0</v>
      </c>
      <c r="Q30" s="81">
        <f>'AD14'!Q30+'AD15'!Q30</f>
        <v>0</v>
      </c>
      <c r="R30" s="81">
        <f>'AD14'!R30+'AD15'!R30</f>
        <v>0</v>
      </c>
      <c r="S30" s="81">
        <f>'AD14'!S30+'AD15'!S30</f>
        <v>0</v>
      </c>
      <c r="T30" s="81">
        <f>'AD14'!T30+'AD15'!T30</f>
        <v>0</v>
      </c>
      <c r="U30" s="81">
        <f>'AD14'!U30+'AD15'!U30</f>
        <v>0</v>
      </c>
      <c r="V30" s="81">
        <f>'AD14'!V30+'AD15'!V30</f>
        <v>0</v>
      </c>
      <c r="W30" s="81">
        <f>'AD14'!W30+'AD15'!W30</f>
        <v>0</v>
      </c>
    </row>
    <row r="31" spans="1:23">
      <c r="A31" s="6">
        <f t="shared" si="1"/>
        <v>2008</v>
      </c>
      <c r="B31" s="81">
        <f>'AD14'!B31+'AD15'!B31</f>
        <v>0</v>
      </c>
      <c r="C31" s="81">
        <f>'AD14'!C31+'AD15'!C31</f>
        <v>0</v>
      </c>
      <c r="D31" s="81">
        <f>'AD14'!D31+'AD15'!D31</f>
        <v>0</v>
      </c>
      <c r="E31" s="81">
        <f>'AD14'!E31+'AD15'!E31</f>
        <v>0</v>
      </c>
      <c r="F31" s="81">
        <f>'AD14'!F31+'AD15'!F31</f>
        <v>0</v>
      </c>
      <c r="G31" s="81">
        <f>'AD14'!G31+'AD15'!G31</f>
        <v>0</v>
      </c>
      <c r="H31" s="81">
        <f>'AD14'!H31+'AD15'!H31</f>
        <v>0</v>
      </c>
      <c r="I31" s="81">
        <f>'AD14'!I31+'AD15'!I31</f>
        <v>0</v>
      </c>
      <c r="J31" s="81">
        <f>'AD14'!J31+'AD15'!J31</f>
        <v>0</v>
      </c>
      <c r="K31" s="81">
        <f>'AD14'!K31+'AD15'!K31</f>
        <v>0</v>
      </c>
      <c r="L31" s="81">
        <f>'AD14'!L31+'AD15'!L31</f>
        <v>0</v>
      </c>
      <c r="M31" s="81">
        <f>'AD14'!M31+'AD15'!M31</f>
        <v>0</v>
      </c>
      <c r="N31" s="81">
        <f>'AD14'!N31+'AD15'!N31</f>
        <v>0</v>
      </c>
      <c r="O31" s="81">
        <f>'AD14'!O31+'AD15'!O31</f>
        <v>0</v>
      </c>
      <c r="P31" s="81">
        <f>'AD14'!P31+'AD15'!P31</f>
        <v>0</v>
      </c>
      <c r="Q31" s="81">
        <f>'AD14'!Q31+'AD15'!Q31</f>
        <v>0</v>
      </c>
      <c r="R31" s="81">
        <f>'AD14'!R31+'AD15'!R31</f>
        <v>0</v>
      </c>
      <c r="S31" s="81">
        <f>'AD14'!S31+'AD15'!S31</f>
        <v>0</v>
      </c>
      <c r="T31" s="81">
        <f>'AD14'!T31+'AD15'!T31</f>
        <v>0</v>
      </c>
      <c r="U31" s="81">
        <f>'AD14'!U31+'AD15'!U31</f>
        <v>0</v>
      </c>
      <c r="V31" s="81">
        <f>'AD14'!V31+'AD15'!V31</f>
        <v>0</v>
      </c>
      <c r="W31" s="81">
        <f>'AD14'!W31+'AD15'!W31</f>
        <v>0</v>
      </c>
    </row>
    <row r="32" spans="1:23">
      <c r="A32" s="6">
        <f t="shared" si="1"/>
        <v>2009</v>
      </c>
      <c r="B32" s="81">
        <f>'AD14'!B32+'AD15'!B32</f>
        <v>0</v>
      </c>
      <c r="C32" s="81">
        <f>'AD14'!C32+'AD15'!C32</f>
        <v>0</v>
      </c>
      <c r="D32" s="81">
        <f>'AD14'!D32+'AD15'!D32</f>
        <v>0</v>
      </c>
      <c r="E32" s="81">
        <f>'AD14'!E32+'AD15'!E32</f>
        <v>0</v>
      </c>
      <c r="F32" s="81">
        <f>'AD14'!F32+'AD15'!F32</f>
        <v>0</v>
      </c>
      <c r="G32" s="81">
        <f>'AD14'!G32+'AD15'!G32</f>
        <v>0</v>
      </c>
      <c r="H32" s="81">
        <f>'AD14'!H32+'AD15'!H32</f>
        <v>0</v>
      </c>
      <c r="I32" s="81">
        <f>'AD14'!I32+'AD15'!I32</f>
        <v>0</v>
      </c>
      <c r="J32" s="81">
        <f>'AD14'!J32+'AD15'!J32</f>
        <v>0</v>
      </c>
      <c r="K32" s="81">
        <f>'AD14'!K32+'AD15'!K32</f>
        <v>0</v>
      </c>
      <c r="L32" s="81">
        <f>'AD14'!L32+'AD15'!L32</f>
        <v>0</v>
      </c>
      <c r="M32" s="81">
        <f>'AD14'!M32+'AD15'!M32</f>
        <v>0</v>
      </c>
      <c r="N32" s="81">
        <f>'AD14'!N32+'AD15'!N32</f>
        <v>0</v>
      </c>
      <c r="O32" s="81">
        <f>'AD14'!O32+'AD15'!O32</f>
        <v>0</v>
      </c>
      <c r="P32" s="81">
        <f>'AD14'!P32+'AD15'!P32</f>
        <v>0</v>
      </c>
      <c r="Q32" s="81">
        <f>'AD14'!Q32+'AD15'!Q32</f>
        <v>0</v>
      </c>
      <c r="R32" s="81">
        <f>'AD14'!R32+'AD15'!R32</f>
        <v>0</v>
      </c>
      <c r="S32" s="81">
        <f>'AD14'!S32+'AD15'!S32</f>
        <v>0</v>
      </c>
      <c r="T32" s="81">
        <f>'AD14'!T32+'AD15'!T32</f>
        <v>0</v>
      </c>
      <c r="U32" s="81">
        <f>'AD14'!U32+'AD15'!U32</f>
        <v>0</v>
      </c>
      <c r="V32" s="81">
        <f>'AD14'!V32+'AD15'!V32</f>
        <v>0</v>
      </c>
      <c r="W32" s="81">
        <f>'AD14'!W32+'AD15'!W32</f>
        <v>0</v>
      </c>
    </row>
    <row r="33" spans="1:23">
      <c r="A33" s="6">
        <f t="shared" si="1"/>
        <v>2010</v>
      </c>
      <c r="B33" s="81">
        <f>'AD14'!B33+'AD15'!B33</f>
        <v>0</v>
      </c>
      <c r="C33" s="81">
        <f>'AD14'!C33+'AD15'!C33</f>
        <v>0</v>
      </c>
      <c r="D33" s="81">
        <f>'AD14'!D33+'AD15'!D33</f>
        <v>0</v>
      </c>
      <c r="E33" s="81">
        <f>'AD14'!E33+'AD15'!E33</f>
        <v>0</v>
      </c>
      <c r="F33" s="81">
        <f>'AD14'!F33+'AD15'!F33</f>
        <v>0</v>
      </c>
      <c r="G33" s="81">
        <f>'AD14'!G33+'AD15'!G33</f>
        <v>0</v>
      </c>
      <c r="H33" s="81">
        <f>'AD14'!H33+'AD15'!H33</f>
        <v>0</v>
      </c>
      <c r="I33" s="81">
        <f>'AD14'!I33+'AD15'!I33</f>
        <v>0</v>
      </c>
      <c r="J33" s="81">
        <f>'AD14'!J33+'AD15'!J33</f>
        <v>0</v>
      </c>
      <c r="K33" s="81">
        <f>'AD14'!K33+'AD15'!K33</f>
        <v>0</v>
      </c>
      <c r="L33" s="81">
        <f>'AD14'!L33+'AD15'!L33</f>
        <v>0</v>
      </c>
      <c r="M33" s="81">
        <f>'AD14'!M33+'AD15'!M33</f>
        <v>0</v>
      </c>
      <c r="N33" s="81">
        <f>'AD14'!N33+'AD15'!N33</f>
        <v>0</v>
      </c>
      <c r="O33" s="81">
        <f>'AD14'!O33+'AD15'!O33</f>
        <v>0</v>
      </c>
      <c r="P33" s="81">
        <f>'AD14'!P33+'AD15'!P33</f>
        <v>0</v>
      </c>
      <c r="Q33" s="81">
        <f>'AD14'!Q33+'AD15'!Q33</f>
        <v>0</v>
      </c>
      <c r="R33" s="81">
        <f>'AD14'!R33+'AD15'!R33</f>
        <v>0</v>
      </c>
      <c r="S33" s="81">
        <f>'AD14'!S33+'AD15'!S33</f>
        <v>0</v>
      </c>
      <c r="T33" s="81">
        <f>'AD14'!T33+'AD15'!T33</f>
        <v>0</v>
      </c>
      <c r="U33" s="81">
        <f>'AD14'!U33+'AD15'!U33</f>
        <v>0</v>
      </c>
      <c r="V33" s="81">
        <f>'AD14'!V33+'AD15'!V33</f>
        <v>0</v>
      </c>
      <c r="W33" s="81">
        <f>'AD14'!W33+'AD15'!W33</f>
        <v>0</v>
      </c>
    </row>
    <row r="34" spans="1:23">
      <c r="A34" s="6">
        <f t="shared" si="1"/>
        <v>2011</v>
      </c>
      <c r="B34" s="81">
        <f>'AD14'!B34+'AD15'!B34</f>
        <v>0</v>
      </c>
      <c r="C34" s="81">
        <f>'AD14'!C34+'AD15'!C34</f>
        <v>0</v>
      </c>
      <c r="D34" s="81">
        <f>'AD14'!D34+'AD15'!D34</f>
        <v>0</v>
      </c>
      <c r="E34" s="81">
        <f>'AD14'!E34+'AD15'!E34</f>
        <v>0</v>
      </c>
      <c r="F34" s="81">
        <f>'AD14'!F34+'AD15'!F34</f>
        <v>0</v>
      </c>
      <c r="G34" s="81">
        <f>'AD14'!G34+'AD15'!G34</f>
        <v>0</v>
      </c>
      <c r="H34" s="81">
        <f>'AD14'!H34+'AD15'!H34</f>
        <v>0</v>
      </c>
      <c r="I34" s="81">
        <f>'AD14'!I34+'AD15'!I34</f>
        <v>0</v>
      </c>
      <c r="J34" s="81">
        <f>'AD14'!J34+'AD15'!J34</f>
        <v>0</v>
      </c>
      <c r="K34" s="81">
        <f>'AD14'!K34+'AD15'!K34</f>
        <v>0</v>
      </c>
      <c r="L34" s="81">
        <f>'AD14'!L34+'AD15'!L34</f>
        <v>0</v>
      </c>
      <c r="M34" s="81">
        <f>'AD14'!M34+'AD15'!M34</f>
        <v>0</v>
      </c>
      <c r="N34" s="81">
        <f>'AD14'!N34+'AD15'!N34</f>
        <v>0</v>
      </c>
      <c r="O34" s="81">
        <f>'AD14'!O34+'AD15'!O34</f>
        <v>0</v>
      </c>
      <c r="P34" s="81">
        <f>'AD14'!P34+'AD15'!P34</f>
        <v>0</v>
      </c>
      <c r="Q34" s="81">
        <f>'AD14'!Q34+'AD15'!Q34</f>
        <v>0</v>
      </c>
      <c r="R34" s="81">
        <f>'AD14'!R34+'AD15'!R34</f>
        <v>0</v>
      </c>
      <c r="S34" s="81">
        <f>'AD14'!S34+'AD15'!S34</f>
        <v>0</v>
      </c>
      <c r="T34" s="81">
        <f>'AD14'!T34+'AD15'!T34</f>
        <v>0</v>
      </c>
      <c r="U34" s="81">
        <f>'AD14'!U34+'AD15'!U34</f>
        <v>0</v>
      </c>
      <c r="V34" s="81">
        <f>'AD14'!V34+'AD15'!V34</f>
        <v>0</v>
      </c>
      <c r="W34" s="81">
        <f>'AD14'!W34+'AD15'!W34</f>
        <v>320011.03999999992</v>
      </c>
    </row>
    <row r="35" spans="1:23">
      <c r="A35" s="6">
        <f t="shared" si="1"/>
        <v>2012</v>
      </c>
      <c r="B35" s="81">
        <f>'AD14'!B35+'AD15'!B35</f>
        <v>0</v>
      </c>
      <c r="C35" s="81">
        <f>'AD14'!C35+'AD15'!C35</f>
        <v>10582.26</v>
      </c>
      <c r="D35" s="81">
        <f>'AD14'!D35+'AD15'!D35</f>
        <v>10582.26</v>
      </c>
      <c r="E35" s="81">
        <f>'AD14'!E35+'AD15'!E35</f>
        <v>10582.26</v>
      </c>
      <c r="F35" s="81">
        <f>'AD14'!F35+'AD15'!F35</f>
        <v>10582.26</v>
      </c>
      <c r="G35" s="81">
        <f>'AD14'!G35+'AD15'!G35</f>
        <v>21164.52</v>
      </c>
      <c r="H35" s="81">
        <f>'AD14'!H35+'AD15'!H35</f>
        <v>42329.04</v>
      </c>
      <c r="I35" s="81">
        <f>'AD14'!I35+'AD15'!I35</f>
        <v>10582.26</v>
      </c>
      <c r="J35" s="81">
        <f>'AD14'!J35+'AD15'!J35</f>
        <v>21164.52</v>
      </c>
      <c r="K35" s="81">
        <f>'AD14'!K35+'AD15'!K35</f>
        <v>10582.26</v>
      </c>
      <c r="L35" s="81">
        <f>'AD14'!L35+'AD15'!L35</f>
        <v>21164.52</v>
      </c>
      <c r="M35" s="81">
        <f>'AD14'!M35+'AD15'!M35</f>
        <v>0</v>
      </c>
      <c r="N35" s="81">
        <f>'AD14'!N35+'AD15'!N35</f>
        <v>0</v>
      </c>
      <c r="O35" s="81">
        <f>'AD14'!O35+'AD15'!O35</f>
        <v>0</v>
      </c>
      <c r="P35" s="81">
        <f>'AD14'!P35+'AD15'!P35</f>
        <v>21164.52</v>
      </c>
      <c r="Q35" s="81">
        <f>'AD14'!Q35+'AD15'!Q35</f>
        <v>21164.52</v>
      </c>
      <c r="R35" s="81">
        <f>'AD14'!R35+'AD15'!R35</f>
        <v>42329.04</v>
      </c>
      <c r="S35" s="81">
        <f>'AD14'!S35+'AD15'!S35</f>
        <v>210.23867569962249</v>
      </c>
      <c r="T35" s="81">
        <f>'AD14'!T35+'AD15'!T35</f>
        <v>0</v>
      </c>
      <c r="U35" s="81">
        <f>'AD14'!U35+'AD15'!U35</f>
        <v>210.23867569962249</v>
      </c>
      <c r="V35" s="81">
        <f>'AD14'!V35+'AD15'!V35</f>
        <v>42539.278675699621</v>
      </c>
      <c r="W35" s="81">
        <f>'AD14'!W35+'AD15'!W35</f>
        <v>440713.07999999996</v>
      </c>
    </row>
    <row r="36" spans="1:23">
      <c r="A36" s="6">
        <f t="shared" si="1"/>
        <v>2013</v>
      </c>
      <c r="B36" s="81">
        <f>'AD14'!B36+'AD15'!B36</f>
        <v>926000</v>
      </c>
      <c r="C36" s="81">
        <f>'AD14'!C36+'AD15'!C36</f>
        <v>4138972.94</v>
      </c>
      <c r="D36" s="81">
        <f>'AD14'!D36+'AD15'!D36</f>
        <v>4135522.44</v>
      </c>
      <c r="E36" s="81">
        <f>'AD14'!E36+'AD15'!E36</f>
        <v>5178500.8599999994</v>
      </c>
      <c r="F36" s="81">
        <f>'AD14'!F36+'AD15'!F36</f>
        <v>4252500.8599999994</v>
      </c>
      <c r="G36" s="81">
        <f>'AD14'!G36+'AD15'!G36</f>
        <v>8391473.8000000007</v>
      </c>
      <c r="H36" s="81">
        <f>'AD14'!H36+'AD15'!H36</f>
        <v>16779497.099999998</v>
      </c>
      <c r="I36" s="81">
        <f>'AD14'!I36+'AD15'!I36</f>
        <v>3212972.94</v>
      </c>
      <c r="J36" s="81">
        <f>'AD14'!J36+'AD15'!J36</f>
        <v>7348495.3799999999</v>
      </c>
      <c r="K36" s="81">
        <f>'AD14'!K36+'AD15'!K36</f>
        <v>5178500.8599999994</v>
      </c>
      <c r="L36" s="81">
        <f>'AD14'!L36+'AD15'!L36</f>
        <v>9431001.7199999988</v>
      </c>
      <c r="M36" s="81">
        <f>'AD14'!M36+'AD15'!M36</f>
        <v>18284.670159673216</v>
      </c>
      <c r="N36" s="81">
        <f>'AD14'!N36+'AD15'!N36</f>
        <v>5308.4526270018987</v>
      </c>
      <c r="O36" s="81">
        <f>'AD14'!O36+'AD15'!O36</f>
        <v>23593.122786675114</v>
      </c>
      <c r="P36" s="81">
        <f>'AD14'!P36+'AD15'!P36</f>
        <v>7366780.0501596732</v>
      </c>
      <c r="Q36" s="81">
        <f>'AD14'!Q36+'AD15'!Q36</f>
        <v>9436310.172627002</v>
      </c>
      <c r="R36" s="81">
        <f>'AD14'!R36+'AD15'!R36</f>
        <v>16803090.222786676</v>
      </c>
      <c r="S36" s="81">
        <f>'AD14'!S36+'AD15'!S36</f>
        <v>78840.233083402985</v>
      </c>
      <c r="T36" s="81">
        <f>'AD14'!T36+'AD15'!T36</f>
        <v>0</v>
      </c>
      <c r="U36" s="81">
        <f>'AD14'!U36+'AD15'!U36</f>
        <v>78840.233083402985</v>
      </c>
      <c r="V36" s="81">
        <f>'AD14'!V36+'AD15'!V36</f>
        <v>16881930.455870077</v>
      </c>
      <c r="W36" s="81">
        <f>'AD14'!W36+'AD15'!W36</f>
        <v>1005808.05</v>
      </c>
    </row>
    <row r="37" spans="1:23">
      <c r="A37" s="6">
        <f t="shared" si="1"/>
        <v>2014</v>
      </c>
      <c r="B37" s="81">
        <f>'AD14'!B37+'AD15'!B37</f>
        <v>10125</v>
      </c>
      <c r="C37" s="81">
        <f>'AD14'!C37+'AD15'!C37</f>
        <v>3069669.1099999994</v>
      </c>
      <c r="D37" s="81">
        <f>'AD14'!D37+'AD15'!D37</f>
        <v>3054468.1099999994</v>
      </c>
      <c r="E37" s="81">
        <f>'AD14'!E37+'AD15'!E37</f>
        <v>3107083.1099999994</v>
      </c>
      <c r="F37" s="81">
        <f>'AD14'!F37+'AD15'!F37</f>
        <v>3096958.1099999994</v>
      </c>
      <c r="G37" s="81">
        <f>'AD14'!G37+'AD15'!G37</f>
        <v>6166627.2199999988</v>
      </c>
      <c r="H37" s="81">
        <f>'AD14'!H37+'AD15'!H37</f>
        <v>12318053.439999998</v>
      </c>
      <c r="I37" s="81">
        <f>'AD14'!I37+'AD15'!I37</f>
        <v>3059544.1099999994</v>
      </c>
      <c r="J37" s="81">
        <f>'AD14'!J37+'AD15'!J37</f>
        <v>6114012.2199999988</v>
      </c>
      <c r="K37" s="81">
        <f>'AD14'!K37+'AD15'!K37</f>
        <v>3107083.1099999994</v>
      </c>
      <c r="L37" s="81">
        <f>'AD14'!L37+'AD15'!L37</f>
        <v>6204041.2199999988</v>
      </c>
      <c r="M37" s="81">
        <f>'AD14'!M37+'AD15'!M37</f>
        <v>22238.478336389991</v>
      </c>
      <c r="N37" s="81">
        <f>'AD14'!N37+'AD15'!N37</f>
        <v>6456.3324202422536</v>
      </c>
      <c r="O37" s="81">
        <f>'AD14'!O37+'AD15'!O37</f>
        <v>28694.810756632243</v>
      </c>
      <c r="P37" s="81">
        <f>'AD14'!P37+'AD15'!P37</f>
        <v>6136250.6983363889</v>
      </c>
      <c r="Q37" s="81">
        <f>'AD14'!Q37+'AD15'!Q37</f>
        <v>6210497.5524202418</v>
      </c>
      <c r="R37" s="81">
        <f>'AD14'!R37+'AD15'!R37</f>
        <v>12346748.250756629</v>
      </c>
      <c r="S37" s="81">
        <f>'AD14'!S37+'AD15'!S37</f>
        <v>60295.627412821494</v>
      </c>
      <c r="T37" s="81">
        <f>'AD14'!T37+'AD15'!T37</f>
        <v>206.68741985745712</v>
      </c>
      <c r="U37" s="81">
        <f>'AD14'!U37+'AD15'!U37</f>
        <v>60502.314832678952</v>
      </c>
      <c r="V37" s="81">
        <f>'AD14'!V37+'AD15'!V37</f>
        <v>12407250.565589307</v>
      </c>
      <c r="W37" s="81">
        <f>'AD14'!W37+'AD15'!W37</f>
        <v>1227543.55</v>
      </c>
    </row>
    <row r="38" spans="1:23">
      <c r="A38" s="6">
        <f t="shared" si="1"/>
        <v>2015</v>
      </c>
      <c r="B38" s="81">
        <f>'AD14'!B38+'AD15'!B38</f>
        <v>529295.22000000253</v>
      </c>
      <c r="C38" s="81">
        <f>'AD14'!C38+'AD15'!C38</f>
        <v>14906749.789999999</v>
      </c>
      <c r="D38" s="81">
        <f>'AD14'!D38+'AD15'!D38</f>
        <v>13505461.479999997</v>
      </c>
      <c r="E38" s="81">
        <f>'AD14'!E38+'AD15'!E38</f>
        <v>15433364.379999999</v>
      </c>
      <c r="F38" s="81">
        <f>'AD14'!F38+'AD15'!F38</f>
        <v>14904069.159999996</v>
      </c>
      <c r="G38" s="81">
        <f>'AD14'!G38+'AD15'!G38</f>
        <v>29810818.949999996</v>
      </c>
      <c r="H38" s="81">
        <f>'AD14'!H38+'AD15'!H38</f>
        <v>58220349.589999989</v>
      </c>
      <c r="I38" s="81">
        <f>'AD14'!I38+'AD15'!I38</f>
        <v>14377454.569999997</v>
      </c>
      <c r="J38" s="81">
        <f>'AD14'!J38+'AD15'!J38</f>
        <v>27882916.049999997</v>
      </c>
      <c r="K38" s="81">
        <f>'AD14'!K38+'AD15'!K38</f>
        <v>15433364.379999999</v>
      </c>
      <c r="L38" s="81">
        <f>'AD14'!L38+'AD15'!L38</f>
        <v>30337433.539999999</v>
      </c>
      <c r="M38" s="81">
        <f>'AD14'!M38+'AD15'!M38</f>
        <v>147660.66263504888</v>
      </c>
      <c r="N38" s="81">
        <f>'AD14'!N38+'AD15'!N38</f>
        <v>42869.224635981926</v>
      </c>
      <c r="O38" s="81">
        <f>'AD14'!O38+'AD15'!O38</f>
        <v>190529.88727103081</v>
      </c>
      <c r="P38" s="81">
        <f>'AD14'!P38+'AD15'!P38</f>
        <v>28030576.712635044</v>
      </c>
      <c r="Q38" s="81">
        <f>'AD14'!Q38+'AD15'!Q38</f>
        <v>30380302.76463598</v>
      </c>
      <c r="R38" s="81">
        <f>'AD14'!R38+'AD15'!R38</f>
        <v>58410879.47727102</v>
      </c>
      <c r="S38" s="81">
        <f>'AD14'!S38+'AD15'!S38</f>
        <v>359637.79933862062</v>
      </c>
      <c r="T38" s="81">
        <f>'AD14'!T38+'AD15'!T38</f>
        <v>2532.8507476944542</v>
      </c>
      <c r="U38" s="81">
        <f>'AD14'!U38+'AD15'!U38</f>
        <v>362170.65008631512</v>
      </c>
      <c r="V38" s="81">
        <f>'AD14'!V38+'AD15'!V38</f>
        <v>58773050.127357334</v>
      </c>
      <c r="W38" s="81">
        <f>'AD14'!W38+'AD15'!W38</f>
        <v>1956367.45</v>
      </c>
    </row>
    <row r="39" spans="1:23">
      <c r="A39" s="6">
        <f t="shared" si="1"/>
        <v>2016</v>
      </c>
      <c r="B39" s="81">
        <f>'AD14'!B39+'AD15'!B39</f>
        <v>1269334.7700000005</v>
      </c>
      <c r="C39" s="81">
        <f>'AD14'!C39+'AD15'!C39</f>
        <v>8447343.9800000004</v>
      </c>
      <c r="D39" s="81">
        <f>'AD14'!D39+'AD15'!D39</f>
        <v>8176905.3399999999</v>
      </c>
      <c r="E39" s="81">
        <f>'AD14'!E39+'AD15'!E39</f>
        <v>10556812.389999999</v>
      </c>
      <c r="F39" s="81">
        <f>'AD14'!F39+'AD15'!F39</f>
        <v>9287477.6199999992</v>
      </c>
      <c r="G39" s="81">
        <f>'AD14'!G39+'AD15'!G39</f>
        <v>17734821.599999998</v>
      </c>
      <c r="H39" s="81">
        <f>'AD14'!H39+'AD15'!H39</f>
        <v>35199204.559999995</v>
      </c>
      <c r="I39" s="81">
        <f>'AD14'!I39+'AD15'!I39</f>
        <v>7178009.209999999</v>
      </c>
      <c r="J39" s="81">
        <f>'AD14'!J39+'AD15'!J39</f>
        <v>15354914.549999999</v>
      </c>
      <c r="K39" s="81">
        <f>'AD14'!K39+'AD15'!K39</f>
        <v>10556812.389999999</v>
      </c>
      <c r="L39" s="81">
        <f>'AD14'!L39+'AD15'!L39</f>
        <v>19844290.009999998</v>
      </c>
      <c r="M39" s="81">
        <f>'AD14'!M39+'AD15'!M39</f>
        <v>57113.222031198165</v>
      </c>
      <c r="N39" s="81">
        <f>'AD14'!N39+'AD15'!N39</f>
        <v>16581.258009057536</v>
      </c>
      <c r="O39" s="81">
        <f>'AD14'!O39+'AD15'!O39</f>
        <v>73694.480040255701</v>
      </c>
      <c r="P39" s="81">
        <f>'AD14'!P39+'AD15'!P39</f>
        <v>15412027.772031197</v>
      </c>
      <c r="Q39" s="81">
        <f>'AD14'!Q39+'AD15'!Q39</f>
        <v>19860871.268009059</v>
      </c>
      <c r="R39" s="81">
        <f>'AD14'!R39+'AD15'!R39</f>
        <v>35272899.040040255</v>
      </c>
      <c r="S39" s="81">
        <f>'AD14'!S39+'AD15'!S39</f>
        <v>219357.56827428087</v>
      </c>
      <c r="T39" s="81">
        <f>'AD14'!T39+'AD15'!T39</f>
        <v>19000.128800284103</v>
      </c>
      <c r="U39" s="81">
        <f>'AD14'!U39+'AD15'!U39</f>
        <v>238357.69707456499</v>
      </c>
      <c r="V39" s="81">
        <f>'AD14'!V39+'AD15'!V39</f>
        <v>35511256.737114817</v>
      </c>
      <c r="W39" s="81">
        <f>'AD14'!W39+'AD15'!W39</f>
        <v>2268783</v>
      </c>
    </row>
    <row r="40" spans="1:23">
      <c r="A40" s="6">
        <f t="shared" si="1"/>
        <v>2017</v>
      </c>
      <c r="B40" s="81">
        <f>'AD14'!B40+'AD15'!B40</f>
        <v>4823654.17</v>
      </c>
      <c r="C40" s="81">
        <f>'AD14'!C40+'AD15'!C40</f>
        <v>7100800.71</v>
      </c>
      <c r="D40" s="81">
        <f>'AD14'!D40+'AD15'!D40</f>
        <v>5719840.2000000002</v>
      </c>
      <c r="E40" s="81">
        <f>'AD14'!E40+'AD15'!E40</f>
        <v>11271668.75</v>
      </c>
      <c r="F40" s="81">
        <f>'AD14'!F40+'AD15'!F40</f>
        <v>6448014.5799999991</v>
      </c>
      <c r="G40" s="81">
        <f>'AD14'!G40+'AD15'!G40</f>
        <v>13548815.289999999</v>
      </c>
      <c r="H40" s="81">
        <f>'AD14'!H40+'AD15'!H40</f>
        <v>25716670.069999997</v>
      </c>
      <c r="I40" s="81">
        <f>'AD14'!I40+'AD15'!I40</f>
        <v>2277146.5400000005</v>
      </c>
      <c r="J40" s="81">
        <f>'AD14'!J40+'AD15'!J40</f>
        <v>7996986.7400000012</v>
      </c>
      <c r="K40" s="81">
        <f>'AD14'!K40+'AD15'!K40</f>
        <v>11271668.75</v>
      </c>
      <c r="L40" s="81">
        <f>'AD14'!L40+'AD15'!L40</f>
        <v>17719683.329999998</v>
      </c>
      <c r="M40" s="81">
        <f>'AD14'!M40+'AD15'!M40</f>
        <v>5993047.0295697469</v>
      </c>
      <c r="N40" s="81">
        <f>'AD14'!N40+'AD15'!N40</f>
        <v>1739916.8795525073</v>
      </c>
      <c r="O40" s="81">
        <f>'AD14'!O40+'AD15'!O40</f>
        <v>7732963.9091222547</v>
      </c>
      <c r="P40" s="81">
        <f>'AD14'!P40+'AD15'!P40</f>
        <v>13990033.769569749</v>
      </c>
      <c r="Q40" s="81">
        <f>'AD14'!Q40+'AD15'!Q40</f>
        <v>19459600.209552504</v>
      </c>
      <c r="R40" s="81">
        <f>'AD14'!R40+'AD15'!R40</f>
        <v>33449633.979122251</v>
      </c>
      <c r="S40" s="81">
        <f>'AD14'!S40+'AD15'!S40</f>
        <v>265050.38271548902</v>
      </c>
      <c r="T40" s="81">
        <f>'AD14'!T40+'AD15'!T40</f>
        <v>21045.245076375824</v>
      </c>
      <c r="U40" s="81">
        <f>'AD14'!U40+'AD15'!U40</f>
        <v>286095.62779186486</v>
      </c>
      <c r="V40" s="81">
        <f>'AD14'!V40+'AD15'!V40</f>
        <v>33735729.606914118</v>
      </c>
      <c r="W40" s="81">
        <f>'AD14'!W40+'AD15'!W40</f>
        <v>5759419.5800000001</v>
      </c>
    </row>
    <row r="41" spans="1:23">
      <c r="A41" s="6">
        <f t="shared" si="1"/>
        <v>2018</v>
      </c>
      <c r="B41" s="81">
        <f>'AD14'!B41+'AD15'!B41</f>
        <v>1908837.4999999998</v>
      </c>
      <c r="C41" s="81">
        <f>'AD14'!C41+'AD15'!C41</f>
        <v>8123955.2599999998</v>
      </c>
      <c r="D41" s="81">
        <f>'AD14'!D41+'AD15'!D41</f>
        <v>4085884.8</v>
      </c>
      <c r="E41" s="81">
        <f>'AD14'!E41+'AD15'!E41</f>
        <v>10461134.050000001</v>
      </c>
      <c r="F41" s="81">
        <f>'AD14'!F41+'AD15'!F41</f>
        <v>8552296.5500000007</v>
      </c>
      <c r="G41" s="81">
        <f>'AD14'!G41+'AD15'!G41</f>
        <v>16676251.810000001</v>
      </c>
      <c r="H41" s="81">
        <f>'AD14'!H41+'AD15'!H41</f>
        <v>29314433.16</v>
      </c>
      <c r="I41" s="81">
        <f>'AD14'!I41+'AD15'!I41</f>
        <v>6215117.7599999998</v>
      </c>
      <c r="J41" s="81">
        <f>'AD14'!J41+'AD15'!J41</f>
        <v>10301002.559999999</v>
      </c>
      <c r="K41" s="81">
        <f>'AD14'!K41+'AD15'!K41</f>
        <v>10461134.050000001</v>
      </c>
      <c r="L41" s="81">
        <f>'AD14'!L41+'AD15'!L41</f>
        <v>19013430.600000001</v>
      </c>
      <c r="M41" s="81">
        <f>'AD14'!M41+'AD15'!M41</f>
        <v>6721313.6960529145</v>
      </c>
      <c r="N41" s="81">
        <f>'AD14'!N41+'AD15'!N41</f>
        <v>1951349.1375637492</v>
      </c>
      <c r="O41" s="81">
        <f>'AD14'!O41+'AD15'!O41</f>
        <v>8672662.8336166628</v>
      </c>
      <c r="P41" s="81">
        <f>'AD14'!P41+'AD15'!P41</f>
        <v>17022316.256052915</v>
      </c>
      <c r="Q41" s="81">
        <f>'AD14'!Q41+'AD15'!Q41</f>
        <v>20964779.737563748</v>
      </c>
      <c r="R41" s="81">
        <f>'AD14'!R41+'AD15'!R41</f>
        <v>37987095.993616663</v>
      </c>
      <c r="S41" s="81">
        <f>'AD14'!S41+'AD15'!S41</f>
        <v>266119.82028634893</v>
      </c>
      <c r="T41" s="81">
        <f>'AD14'!T41+'AD15'!T41</f>
        <v>27628.763740244849</v>
      </c>
      <c r="U41" s="81">
        <f>'AD14'!U41+'AD15'!U41</f>
        <v>293748.58402659377</v>
      </c>
      <c r="V41" s="81">
        <f>'AD14'!V41+'AD15'!V41</f>
        <v>38280844.57764326</v>
      </c>
      <c r="W41" s="81">
        <f>'AD14'!W41+'AD15'!W41</f>
        <v>5341048</v>
      </c>
    </row>
    <row r="42" spans="1:23">
      <c r="A42" s="6">
        <f t="shared" si="1"/>
        <v>2019</v>
      </c>
      <c r="B42" s="81">
        <f>'AD14'!B42+'AD15'!B42</f>
        <v>1075542.1199999999</v>
      </c>
      <c r="C42" s="81">
        <f>'AD14'!C42+'AD15'!C42</f>
        <v>1627284.0899999999</v>
      </c>
      <c r="D42" s="81">
        <f>'AD14'!D42+'AD15'!D42</f>
        <v>480112.82</v>
      </c>
      <c r="E42" s="81">
        <f>'AD14'!E42+'AD15'!E42</f>
        <v>1938054.0199999998</v>
      </c>
      <c r="F42" s="81">
        <f>'AD14'!F42+'AD15'!F42</f>
        <v>862511.9</v>
      </c>
      <c r="G42" s="81">
        <f>'AD14'!G42+'AD15'!G42</f>
        <v>2489795.9899999998</v>
      </c>
      <c r="H42" s="81">
        <f>'AD14'!H42+'AD15'!H42</f>
        <v>3832420.71</v>
      </c>
      <c r="I42" s="81">
        <f>'AD14'!I42+'AD15'!I42</f>
        <v>551741.97</v>
      </c>
      <c r="J42" s="81">
        <f>'AD14'!J42+'AD15'!J42</f>
        <v>1031854.79</v>
      </c>
      <c r="K42" s="81">
        <f>'AD14'!K42+'AD15'!K42</f>
        <v>1938054.0199999998</v>
      </c>
      <c r="L42" s="81">
        <f>'AD14'!L42+'AD15'!L42</f>
        <v>2800565.92</v>
      </c>
      <c r="M42" s="81">
        <f>'AD14'!M42+'AD15'!M42</f>
        <v>2344207.2619976634</v>
      </c>
      <c r="N42" s="81">
        <f>'AD14'!N42+'AD15'!N42</f>
        <v>680576.30187028938</v>
      </c>
      <c r="O42" s="81">
        <f>'AD14'!O42+'AD15'!O42</f>
        <v>3024783.5638679527</v>
      </c>
      <c r="P42" s="81">
        <f>'AD14'!P42+'AD15'!P42</f>
        <v>3376062.0519976635</v>
      </c>
      <c r="Q42" s="81">
        <f>'AD14'!Q42+'AD15'!Q42</f>
        <v>3481142.2218702892</v>
      </c>
      <c r="R42" s="81">
        <f>'AD14'!R42+'AD15'!R42</f>
        <v>6857204.2738679526</v>
      </c>
      <c r="S42" s="81">
        <f>'AD14'!S42+'AD15'!S42</f>
        <v>53092.089014494573</v>
      </c>
      <c r="T42" s="81">
        <f>'AD14'!T42+'AD15'!T42</f>
        <v>30352.697506849428</v>
      </c>
      <c r="U42" s="81">
        <f>'AD14'!U42+'AD15'!U42</f>
        <v>83444.786521344009</v>
      </c>
      <c r="V42" s="81">
        <f>'AD14'!V42+'AD15'!V42</f>
        <v>6940649.0603892971</v>
      </c>
      <c r="W42" s="81">
        <f>'AD14'!W42+'AD15'!W42</f>
        <v>5287663.8499999978</v>
      </c>
    </row>
    <row r="43" spans="1:23">
      <c r="A43" s="6">
        <f t="shared" si="1"/>
        <v>2020</v>
      </c>
      <c r="B43" s="81">
        <f>'AD14'!B43+'AD15'!B43</f>
        <v>3272802.05</v>
      </c>
      <c r="C43" s="81">
        <f>'AD14'!C43+'AD15'!C43</f>
        <v>1239048.8400000001</v>
      </c>
      <c r="D43" s="81">
        <f>'AD14'!D43+'AD15'!D43</f>
        <v>37551.15</v>
      </c>
      <c r="E43" s="81">
        <f>'AD14'!E43+'AD15'!E43</f>
        <v>3630915.05</v>
      </c>
      <c r="F43" s="81">
        <f>'AD14'!F43+'AD15'!F43</f>
        <v>358113</v>
      </c>
      <c r="G43" s="81">
        <f>'AD14'!G43+'AD15'!G43</f>
        <v>1597161.8399999994</v>
      </c>
      <c r="H43" s="81">
        <f>'AD14'!H43+'AD15'!H43</f>
        <v>1992825.9899999998</v>
      </c>
      <c r="I43" s="81">
        <f>'AD14'!I43+'AD15'!I43</f>
        <v>-2033753.21</v>
      </c>
      <c r="J43" s="81">
        <f>'AD14'!J43+'AD15'!J43</f>
        <v>-1996202.06</v>
      </c>
      <c r="K43" s="81">
        <f>'AD14'!K43+'AD15'!K43</f>
        <v>3630915.05</v>
      </c>
      <c r="L43" s="81">
        <f>'AD14'!L43+'AD15'!L43</f>
        <v>3989028.05</v>
      </c>
      <c r="M43" s="81">
        <f>'AD14'!M43+'AD15'!M43</f>
        <v>4928494.8588593565</v>
      </c>
      <c r="N43" s="81">
        <f>'AD14'!N43+'AD15'!N43</f>
        <v>1430853.3461204581</v>
      </c>
      <c r="O43" s="81">
        <f>'AD14'!O43+'AD15'!O43</f>
        <v>6359348.2049798146</v>
      </c>
      <c r="P43" s="81">
        <f>'AD14'!P43+'AD15'!P43</f>
        <v>2932292.7988593564</v>
      </c>
      <c r="Q43" s="81">
        <f>'AD14'!Q43+'AD15'!Q43</f>
        <v>5419881.3961204588</v>
      </c>
      <c r="R43" s="81">
        <f>'AD14'!R43+'AD15'!R43</f>
        <v>8352174.1949798148</v>
      </c>
      <c r="S43" s="81">
        <f>'AD14'!S43+'AD15'!S43</f>
        <v>79670.274781934335</v>
      </c>
      <c r="T43" s="81">
        <f>'AD14'!T43+'AD15'!T43</f>
        <v>61.626708693880033</v>
      </c>
      <c r="U43" s="81">
        <f>'AD14'!U43+'AD15'!U43</f>
        <v>79731.90149062821</v>
      </c>
      <c r="V43" s="81">
        <f>'AD14'!V43+'AD15'!V43</f>
        <v>8431906.0964704417</v>
      </c>
      <c r="W43" s="81">
        <f>'AD14'!W43+'AD15'!W43</f>
        <v>2970072.1099999994</v>
      </c>
    </row>
    <row r="44" spans="1:23">
      <c r="A44" s="6"/>
      <c r="B44" s="81"/>
      <c r="C44" s="17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</row>
    <row r="45" spans="1:23">
      <c r="A45" s="6" t="s">
        <v>0</v>
      </c>
      <c r="B45" s="82">
        <f>SUM(B15:B43)</f>
        <v>13815590.830000002</v>
      </c>
      <c r="C45" s="82">
        <f>SUM(C15:C43)</f>
        <v>48664406.980000004</v>
      </c>
      <c r="D45" s="82">
        <f t="shared" ref="D45:Q45" si="2">SUM(D15:D43)</f>
        <v>39206328.599999994</v>
      </c>
      <c r="E45" s="82">
        <f t="shared" si="2"/>
        <v>61588114.869999997</v>
      </c>
      <c r="F45" s="82">
        <f t="shared" si="2"/>
        <v>47772524.039999984</v>
      </c>
      <c r="G45" s="82">
        <f>SUM(G15:G43)</f>
        <v>96436931.019999996</v>
      </c>
      <c r="H45" s="82">
        <f t="shared" si="2"/>
        <v>183415783.66</v>
      </c>
      <c r="I45" s="82">
        <f t="shared" si="2"/>
        <v>34848816.149999991</v>
      </c>
      <c r="J45" s="82">
        <f t="shared" si="2"/>
        <v>74055144.75</v>
      </c>
      <c r="K45" s="82">
        <f t="shared" si="2"/>
        <v>61588114.869999997</v>
      </c>
      <c r="L45" s="82">
        <f t="shared" si="2"/>
        <v>109360638.91</v>
      </c>
      <c r="M45" s="82">
        <f t="shared" si="2"/>
        <v>20232359.879641991</v>
      </c>
      <c r="N45" s="82">
        <f t="shared" si="2"/>
        <v>5873910.9327992881</v>
      </c>
      <c r="O45" s="82">
        <f t="shared" si="2"/>
        <v>26106270.812441278</v>
      </c>
      <c r="P45" s="82">
        <f t="shared" si="2"/>
        <v>94287504.62964198</v>
      </c>
      <c r="Q45" s="82">
        <f t="shared" si="2"/>
        <v>115234549.84279928</v>
      </c>
      <c r="R45" s="82">
        <f>SUM(R15:R43)</f>
        <v>209522054.47244129</v>
      </c>
      <c r="S45" s="82">
        <f>SUM(S15:S43)</f>
        <v>1382274.0335830925</v>
      </c>
      <c r="T45" s="82">
        <f>SUM(T15:T43)</f>
        <v>100827.99999999999</v>
      </c>
      <c r="U45" s="82">
        <f>SUM(U15:U43)</f>
        <v>1483102.0335830925</v>
      </c>
      <c r="V45" s="82">
        <f>SUM(V15:V43)</f>
        <v>211005156.50602436</v>
      </c>
      <c r="W45" s="81"/>
    </row>
    <row r="46" spans="1:23">
      <c r="A46" s="6"/>
      <c r="B46" s="81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</row>
    <row r="47" spans="1:23">
      <c r="A47" s="6"/>
      <c r="B47" s="81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</row>
    <row r="48" spans="1:23">
      <c r="A48" s="6"/>
      <c r="B48" s="81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</row>
    <row r="49" spans="1:23">
      <c r="A49" s="6" t="s">
        <v>13</v>
      </c>
      <c r="B49" s="81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</row>
    <row r="50" spans="1:23">
      <c r="A50" s="6"/>
      <c r="B50" s="29" t="s">
        <v>665</v>
      </c>
      <c r="C50" s="29" t="s">
        <v>666</v>
      </c>
      <c r="D50" s="29" t="s">
        <v>667</v>
      </c>
      <c r="E50" s="29" t="s">
        <v>665</v>
      </c>
      <c r="F50" s="29" t="s">
        <v>673</v>
      </c>
      <c r="G50" s="17"/>
      <c r="H50" s="81"/>
      <c r="I50" s="81"/>
      <c r="J50" s="81"/>
      <c r="K50" s="81"/>
      <c r="L50" s="81"/>
      <c r="M50" s="17"/>
      <c r="N50" s="83">
        <v>0.05</v>
      </c>
      <c r="O50" s="81"/>
      <c r="P50" s="81"/>
      <c r="Q50" s="81"/>
      <c r="R50" s="81" t="s">
        <v>67</v>
      </c>
      <c r="S50" s="6"/>
      <c r="T50" s="6"/>
      <c r="U50" s="6"/>
      <c r="V50" s="6" t="s">
        <v>67</v>
      </c>
      <c r="W50" s="6"/>
    </row>
    <row r="51" spans="1:23">
      <c r="A51" s="6" t="s">
        <v>3</v>
      </c>
      <c r="B51" s="29" t="s">
        <v>524</v>
      </c>
      <c r="C51" s="29" t="s">
        <v>524</v>
      </c>
      <c r="D51" s="29" t="s">
        <v>524</v>
      </c>
      <c r="E51" s="29" t="s">
        <v>528</v>
      </c>
      <c r="F51" s="29" t="s">
        <v>528</v>
      </c>
      <c r="G51" s="81" t="s">
        <v>14</v>
      </c>
      <c r="H51" s="81" t="s">
        <v>12</v>
      </c>
      <c r="I51" s="81" t="s">
        <v>14</v>
      </c>
      <c r="J51" s="81" t="s">
        <v>12</v>
      </c>
      <c r="K51" s="81" t="s">
        <v>14</v>
      </c>
      <c r="L51" s="81" t="s">
        <v>12</v>
      </c>
      <c r="M51" s="81" t="s">
        <v>381</v>
      </c>
      <c r="N51" s="81" t="s">
        <v>381</v>
      </c>
      <c r="O51" s="81" t="s">
        <v>381</v>
      </c>
      <c r="P51" s="81" t="s">
        <v>660</v>
      </c>
      <c r="Q51" s="81" t="s">
        <v>67</v>
      </c>
      <c r="R51" s="81" t="s">
        <v>662</v>
      </c>
      <c r="S51" s="6" t="s">
        <v>661</v>
      </c>
      <c r="T51" s="6" t="s">
        <v>661</v>
      </c>
      <c r="U51" s="6" t="s">
        <v>67</v>
      </c>
      <c r="V51" s="6" t="s">
        <v>663</v>
      </c>
      <c r="W51" s="6" t="s">
        <v>177</v>
      </c>
    </row>
    <row r="52" spans="1:23">
      <c r="A52" s="6" t="s">
        <v>4</v>
      </c>
      <c r="B52" s="30" t="s">
        <v>668</v>
      </c>
      <c r="C52" s="30" t="s">
        <v>669</v>
      </c>
      <c r="D52" s="30" t="s">
        <v>670</v>
      </c>
      <c r="E52" s="30" t="s">
        <v>668</v>
      </c>
      <c r="F52" s="30" t="s">
        <v>670</v>
      </c>
      <c r="G52" s="81" t="s">
        <v>0</v>
      </c>
      <c r="H52" s="81" t="s">
        <v>0</v>
      </c>
      <c r="I52" s="81" t="s">
        <v>566</v>
      </c>
      <c r="J52" s="81" t="s">
        <v>566</v>
      </c>
      <c r="K52" s="81" t="s">
        <v>567</v>
      </c>
      <c r="L52" s="81" t="s">
        <v>567</v>
      </c>
      <c r="M52" s="81" t="s">
        <v>566</v>
      </c>
      <c r="N52" s="81" t="s">
        <v>567</v>
      </c>
      <c r="O52" s="81" t="s">
        <v>0</v>
      </c>
      <c r="P52" s="81" t="s">
        <v>566</v>
      </c>
      <c r="Q52" s="81" t="s">
        <v>567</v>
      </c>
      <c r="R52" s="81" t="s">
        <v>0</v>
      </c>
      <c r="S52" s="6" t="s">
        <v>117</v>
      </c>
      <c r="T52" s="6" t="s">
        <v>14</v>
      </c>
      <c r="U52" s="6" t="s">
        <v>661</v>
      </c>
      <c r="V52" s="6" t="s">
        <v>0</v>
      </c>
      <c r="W52" s="6" t="s">
        <v>16</v>
      </c>
    </row>
    <row r="53" spans="1:23">
      <c r="A53" s="10">
        <v>-1</v>
      </c>
      <c r="B53" s="10">
        <f>A53-1</f>
        <v>-2</v>
      </c>
      <c r="C53" s="10">
        <f>B53-1</f>
        <v>-3</v>
      </c>
      <c r="D53" s="10">
        <f t="shared" ref="D53:L53" si="3">C53-1</f>
        <v>-4</v>
      </c>
      <c r="E53" s="10">
        <f t="shared" si="3"/>
        <v>-5</v>
      </c>
      <c r="F53" s="10">
        <f t="shared" si="3"/>
        <v>-6</v>
      </c>
      <c r="G53" s="10">
        <f t="shared" si="3"/>
        <v>-7</v>
      </c>
      <c r="H53" s="10">
        <f t="shared" si="3"/>
        <v>-8</v>
      </c>
      <c r="I53" s="10">
        <f t="shared" si="3"/>
        <v>-9</v>
      </c>
      <c r="J53" s="10">
        <f t="shared" si="3"/>
        <v>-10</v>
      </c>
      <c r="K53" s="10">
        <f t="shared" si="3"/>
        <v>-11</v>
      </c>
      <c r="L53" s="10">
        <f t="shared" si="3"/>
        <v>-12</v>
      </c>
      <c r="M53" s="10">
        <f>L53-1</f>
        <v>-13</v>
      </c>
      <c r="N53" s="10">
        <f t="shared" ref="N53:W53" si="4">M53-1</f>
        <v>-14</v>
      </c>
      <c r="O53" s="10">
        <f t="shared" si="4"/>
        <v>-15</v>
      </c>
      <c r="P53" s="10">
        <f t="shared" si="4"/>
        <v>-16</v>
      </c>
      <c r="Q53" s="10">
        <f t="shared" si="4"/>
        <v>-17</v>
      </c>
      <c r="R53" s="10">
        <f t="shared" si="4"/>
        <v>-18</v>
      </c>
      <c r="S53" s="10">
        <f t="shared" si="4"/>
        <v>-19</v>
      </c>
      <c r="T53" s="10">
        <f t="shared" si="4"/>
        <v>-20</v>
      </c>
      <c r="U53" s="10">
        <f t="shared" si="4"/>
        <v>-21</v>
      </c>
      <c r="V53" s="10">
        <f t="shared" si="4"/>
        <v>-22</v>
      </c>
      <c r="W53" s="10">
        <f t="shared" si="4"/>
        <v>-23</v>
      </c>
    </row>
    <row r="54" spans="1:23">
      <c r="A54" s="80"/>
      <c r="B54" s="81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6"/>
      <c r="T54" s="6"/>
      <c r="U54" s="6"/>
      <c r="V54" s="6"/>
      <c r="W54" s="6"/>
    </row>
    <row r="55" spans="1:23">
      <c r="A55" s="6">
        <v>1992</v>
      </c>
      <c r="B55" s="81">
        <f>'AD14'!B55+'AD15'!B55</f>
        <v>0</v>
      </c>
      <c r="C55" s="81">
        <f>'AD14'!C55+'AD15'!C55</f>
        <v>0</v>
      </c>
      <c r="D55" s="81">
        <f>'AD14'!D55+'AD15'!D55</f>
        <v>0</v>
      </c>
      <c r="E55" s="81">
        <f>'AD14'!E55+'AD15'!E55</f>
        <v>0</v>
      </c>
      <c r="F55" s="81">
        <f>'AD14'!F55+'AD15'!F55</f>
        <v>0</v>
      </c>
      <c r="G55" s="81">
        <f>'AD14'!G55+'AD15'!G55</f>
        <v>0</v>
      </c>
      <c r="H55" s="81">
        <f>'AD14'!H55+'AD15'!H55</f>
        <v>0</v>
      </c>
      <c r="I55" s="81">
        <f>'AD14'!I55+'AD15'!I55</f>
        <v>0</v>
      </c>
      <c r="J55" s="81">
        <f>'AD14'!J55+'AD15'!J55</f>
        <v>0</v>
      </c>
      <c r="K55" s="81">
        <f>'AD14'!K55+'AD15'!K55</f>
        <v>0</v>
      </c>
      <c r="L55" s="81">
        <f>'AD14'!L55+'AD15'!L55</f>
        <v>0</v>
      </c>
      <c r="M55" s="81">
        <f>'AD14'!M55+'AD15'!M55</f>
        <v>0</v>
      </c>
      <c r="N55" s="81">
        <f>'AD14'!N55+'AD15'!N55</f>
        <v>0</v>
      </c>
      <c r="O55" s="81">
        <f>'AD14'!O55+'AD15'!O55</f>
        <v>0</v>
      </c>
      <c r="P55" s="81">
        <f>'AD14'!P55+'AD15'!P55</f>
        <v>0</v>
      </c>
      <c r="Q55" s="81">
        <f>'AD14'!Q55+'AD15'!Q55</f>
        <v>0</v>
      </c>
      <c r="R55" s="81">
        <f>'AD14'!R55+'AD15'!R55</f>
        <v>0</v>
      </c>
      <c r="S55" s="81">
        <f>'AD14'!S55+'AD15'!S55</f>
        <v>0</v>
      </c>
      <c r="T55" s="81">
        <f>'AD14'!T55+'AD15'!T55</f>
        <v>0</v>
      </c>
      <c r="U55" s="81">
        <f>'AD14'!U55+'AD15'!U55</f>
        <v>0</v>
      </c>
      <c r="V55" s="81">
        <f>'AD14'!V55+'AD15'!V55</f>
        <v>0</v>
      </c>
      <c r="W55" s="81">
        <f>'AD14'!W55+'AD15'!W55</f>
        <v>0</v>
      </c>
    </row>
    <row r="56" spans="1:23">
      <c r="A56" s="6">
        <f>A55+1</f>
        <v>1993</v>
      </c>
      <c r="B56" s="81">
        <f>'AD14'!B56+'AD15'!B56</f>
        <v>0</v>
      </c>
      <c r="C56" s="81">
        <f>'AD14'!C56+'AD15'!C56</f>
        <v>0</v>
      </c>
      <c r="D56" s="81">
        <f>'AD14'!D56+'AD15'!D56</f>
        <v>0</v>
      </c>
      <c r="E56" s="81">
        <f>'AD14'!E56+'AD15'!E56</f>
        <v>0</v>
      </c>
      <c r="F56" s="81">
        <f>'AD14'!F56+'AD15'!F56</f>
        <v>0</v>
      </c>
      <c r="G56" s="81">
        <f>'AD14'!G56+'AD15'!G56</f>
        <v>0</v>
      </c>
      <c r="H56" s="81">
        <f>'AD14'!H56+'AD15'!H56</f>
        <v>0</v>
      </c>
      <c r="I56" s="81">
        <f>'AD14'!I56+'AD15'!I56</f>
        <v>0</v>
      </c>
      <c r="J56" s="81">
        <f>'AD14'!J56+'AD15'!J56</f>
        <v>0</v>
      </c>
      <c r="K56" s="81">
        <f>'AD14'!K56+'AD15'!K56</f>
        <v>0</v>
      </c>
      <c r="L56" s="81">
        <f>'AD14'!L56+'AD15'!L56</f>
        <v>0</v>
      </c>
      <c r="M56" s="81">
        <f>'AD14'!M56+'AD15'!M56</f>
        <v>0</v>
      </c>
      <c r="N56" s="81">
        <f>'AD14'!N56+'AD15'!N56</f>
        <v>0</v>
      </c>
      <c r="O56" s="81">
        <f>'AD14'!O56+'AD15'!O56</f>
        <v>0</v>
      </c>
      <c r="P56" s="81">
        <f>'AD14'!P56+'AD15'!P56</f>
        <v>0</v>
      </c>
      <c r="Q56" s="81">
        <f>'AD14'!Q56+'AD15'!Q56</f>
        <v>0</v>
      </c>
      <c r="R56" s="81">
        <f>'AD14'!R56+'AD15'!R56</f>
        <v>0</v>
      </c>
      <c r="S56" s="81">
        <f>'AD14'!S56+'AD15'!S56</f>
        <v>0</v>
      </c>
      <c r="T56" s="81">
        <f>'AD14'!T56+'AD15'!T56</f>
        <v>0</v>
      </c>
      <c r="U56" s="81">
        <f>'AD14'!U56+'AD15'!U56</f>
        <v>0</v>
      </c>
      <c r="V56" s="81">
        <f>'AD14'!V56+'AD15'!V56</f>
        <v>0</v>
      </c>
      <c r="W56" s="81">
        <f>'AD14'!W56+'AD15'!W56</f>
        <v>0</v>
      </c>
    </row>
    <row r="57" spans="1:23">
      <c r="A57" s="6">
        <f t="shared" ref="A57:A83" si="5">A56+1</f>
        <v>1994</v>
      </c>
      <c r="B57" s="81">
        <f>'AD14'!B57+'AD15'!B57</f>
        <v>0</v>
      </c>
      <c r="C57" s="81">
        <f>'AD14'!C57+'AD15'!C57</f>
        <v>0</v>
      </c>
      <c r="D57" s="81">
        <f>'AD14'!D57+'AD15'!D57</f>
        <v>0</v>
      </c>
      <c r="E57" s="81">
        <f>'AD14'!E57+'AD15'!E57</f>
        <v>0</v>
      </c>
      <c r="F57" s="81">
        <f>'AD14'!F57+'AD15'!F57</f>
        <v>0</v>
      </c>
      <c r="G57" s="81">
        <f>'AD14'!G57+'AD15'!G57</f>
        <v>0</v>
      </c>
      <c r="H57" s="81">
        <f>'AD14'!H57+'AD15'!H57</f>
        <v>0</v>
      </c>
      <c r="I57" s="81">
        <f>'AD14'!I57+'AD15'!I57</f>
        <v>0</v>
      </c>
      <c r="J57" s="81">
        <f>'AD14'!J57+'AD15'!J57</f>
        <v>0</v>
      </c>
      <c r="K57" s="81">
        <f>'AD14'!K57+'AD15'!K57</f>
        <v>0</v>
      </c>
      <c r="L57" s="81">
        <f>'AD14'!L57+'AD15'!L57</f>
        <v>0</v>
      </c>
      <c r="M57" s="81">
        <f>'AD14'!M57+'AD15'!M57</f>
        <v>0</v>
      </c>
      <c r="N57" s="81">
        <f>'AD14'!N57+'AD15'!N57</f>
        <v>0</v>
      </c>
      <c r="O57" s="81">
        <f>'AD14'!O57+'AD15'!O57</f>
        <v>0</v>
      </c>
      <c r="P57" s="81">
        <f>'AD14'!P57+'AD15'!P57</f>
        <v>0</v>
      </c>
      <c r="Q57" s="81">
        <f>'AD14'!Q57+'AD15'!Q57</f>
        <v>0</v>
      </c>
      <c r="R57" s="81">
        <f>'AD14'!R57+'AD15'!R57</f>
        <v>0</v>
      </c>
      <c r="S57" s="81">
        <f>'AD14'!S57+'AD15'!S57</f>
        <v>0</v>
      </c>
      <c r="T57" s="81">
        <f>'AD14'!T57+'AD15'!T57</f>
        <v>0</v>
      </c>
      <c r="U57" s="81">
        <f>'AD14'!U57+'AD15'!U57</f>
        <v>0</v>
      </c>
      <c r="V57" s="81">
        <f>'AD14'!V57+'AD15'!V57</f>
        <v>0</v>
      </c>
      <c r="W57" s="81">
        <f>'AD14'!W57+'AD15'!W57</f>
        <v>0</v>
      </c>
    </row>
    <row r="58" spans="1:23">
      <c r="A58" s="6">
        <f t="shared" si="5"/>
        <v>1995</v>
      </c>
      <c r="B58" s="81">
        <f>'AD14'!B58+'AD15'!B58</f>
        <v>0</v>
      </c>
      <c r="C58" s="81">
        <f>'AD14'!C58+'AD15'!C58</f>
        <v>0</v>
      </c>
      <c r="D58" s="81">
        <f>'AD14'!D58+'AD15'!D58</f>
        <v>0</v>
      </c>
      <c r="E58" s="81">
        <f>'AD14'!E58+'AD15'!E58</f>
        <v>0</v>
      </c>
      <c r="F58" s="81">
        <f>'AD14'!F58+'AD15'!F58</f>
        <v>0</v>
      </c>
      <c r="G58" s="81">
        <f>'AD14'!G58+'AD15'!G58</f>
        <v>0</v>
      </c>
      <c r="H58" s="81">
        <f>'AD14'!H58+'AD15'!H58</f>
        <v>0</v>
      </c>
      <c r="I58" s="81">
        <f>'AD14'!I58+'AD15'!I58</f>
        <v>0</v>
      </c>
      <c r="J58" s="81">
        <f>'AD14'!J58+'AD15'!J58</f>
        <v>0</v>
      </c>
      <c r="K58" s="81">
        <f>'AD14'!K58+'AD15'!K58</f>
        <v>0</v>
      </c>
      <c r="L58" s="81">
        <f>'AD14'!L58+'AD15'!L58</f>
        <v>0</v>
      </c>
      <c r="M58" s="81">
        <f>'AD14'!M58+'AD15'!M58</f>
        <v>0</v>
      </c>
      <c r="N58" s="81">
        <f>'AD14'!N58+'AD15'!N58</f>
        <v>0</v>
      </c>
      <c r="O58" s="81">
        <f>'AD14'!O58+'AD15'!O58</f>
        <v>0</v>
      </c>
      <c r="P58" s="81">
        <f>'AD14'!P58+'AD15'!P58</f>
        <v>0</v>
      </c>
      <c r="Q58" s="81">
        <f>'AD14'!Q58+'AD15'!Q58</f>
        <v>0</v>
      </c>
      <c r="R58" s="81">
        <f>'AD14'!R58+'AD15'!R58</f>
        <v>0</v>
      </c>
      <c r="S58" s="81">
        <f>'AD14'!S58+'AD15'!S58</f>
        <v>0</v>
      </c>
      <c r="T58" s="81">
        <f>'AD14'!T58+'AD15'!T58</f>
        <v>0</v>
      </c>
      <c r="U58" s="81">
        <f>'AD14'!U58+'AD15'!U58</f>
        <v>0</v>
      </c>
      <c r="V58" s="81">
        <f>'AD14'!V58+'AD15'!V58</f>
        <v>0</v>
      </c>
      <c r="W58" s="81">
        <f>'AD14'!W58+'AD15'!W58</f>
        <v>0</v>
      </c>
    </row>
    <row r="59" spans="1:23">
      <c r="A59" s="6">
        <f t="shared" si="5"/>
        <v>1996</v>
      </c>
      <c r="B59" s="81">
        <f>'AD14'!B59+'AD15'!B59</f>
        <v>0</v>
      </c>
      <c r="C59" s="81">
        <f>'AD14'!C59+'AD15'!C59</f>
        <v>0</v>
      </c>
      <c r="D59" s="81">
        <f>'AD14'!D59+'AD15'!D59</f>
        <v>0</v>
      </c>
      <c r="E59" s="81">
        <f>'AD14'!E59+'AD15'!E59</f>
        <v>0</v>
      </c>
      <c r="F59" s="81">
        <f>'AD14'!F59+'AD15'!F59</f>
        <v>0</v>
      </c>
      <c r="G59" s="81">
        <f>'AD14'!G59+'AD15'!G59</f>
        <v>0</v>
      </c>
      <c r="H59" s="81">
        <f>'AD14'!H59+'AD15'!H59</f>
        <v>0</v>
      </c>
      <c r="I59" s="81">
        <f>'AD14'!I59+'AD15'!I59</f>
        <v>0</v>
      </c>
      <c r="J59" s="81">
        <f>'AD14'!J59+'AD15'!J59</f>
        <v>0</v>
      </c>
      <c r="K59" s="81">
        <f>'AD14'!K59+'AD15'!K59</f>
        <v>0</v>
      </c>
      <c r="L59" s="81">
        <f>'AD14'!L59+'AD15'!L59</f>
        <v>0</v>
      </c>
      <c r="M59" s="81">
        <f>'AD14'!M59+'AD15'!M59</f>
        <v>0</v>
      </c>
      <c r="N59" s="81">
        <f>'AD14'!N59+'AD15'!N59</f>
        <v>0</v>
      </c>
      <c r="O59" s="81">
        <f>'AD14'!O59+'AD15'!O59</f>
        <v>0</v>
      </c>
      <c r="P59" s="81">
        <f>'AD14'!P59+'AD15'!P59</f>
        <v>0</v>
      </c>
      <c r="Q59" s="81">
        <f>'AD14'!Q59+'AD15'!Q59</f>
        <v>0</v>
      </c>
      <c r="R59" s="81">
        <f>'AD14'!R59+'AD15'!R59</f>
        <v>0</v>
      </c>
      <c r="S59" s="81">
        <f>'AD14'!S59+'AD15'!S59</f>
        <v>0</v>
      </c>
      <c r="T59" s="81">
        <f>'AD14'!T59+'AD15'!T59</f>
        <v>0</v>
      </c>
      <c r="U59" s="81">
        <f>'AD14'!U59+'AD15'!U59</f>
        <v>0</v>
      </c>
      <c r="V59" s="81">
        <f>'AD14'!V59+'AD15'!V59</f>
        <v>0</v>
      </c>
      <c r="W59" s="81">
        <f>'AD14'!W59+'AD15'!W59</f>
        <v>0</v>
      </c>
    </row>
    <row r="60" spans="1:23">
      <c r="A60" s="6">
        <f t="shared" si="5"/>
        <v>1997</v>
      </c>
      <c r="B60" s="81">
        <f>'AD14'!B60+'AD15'!B60</f>
        <v>0</v>
      </c>
      <c r="C60" s="81">
        <f>'AD14'!C60+'AD15'!C60</f>
        <v>0</v>
      </c>
      <c r="D60" s="81">
        <f>'AD14'!D60+'AD15'!D60</f>
        <v>0</v>
      </c>
      <c r="E60" s="81">
        <f>'AD14'!E60+'AD15'!E60</f>
        <v>0</v>
      </c>
      <c r="F60" s="81">
        <f>'AD14'!F60+'AD15'!F60</f>
        <v>0</v>
      </c>
      <c r="G60" s="81">
        <f>'AD14'!G60+'AD15'!G60</f>
        <v>0</v>
      </c>
      <c r="H60" s="81">
        <f>'AD14'!H60+'AD15'!H60</f>
        <v>0</v>
      </c>
      <c r="I60" s="81">
        <f>'AD14'!I60+'AD15'!I60</f>
        <v>0</v>
      </c>
      <c r="J60" s="81">
        <f>'AD14'!J60+'AD15'!J60</f>
        <v>0</v>
      </c>
      <c r="K60" s="81">
        <f>'AD14'!K60+'AD15'!K60</f>
        <v>0</v>
      </c>
      <c r="L60" s="81">
        <f>'AD14'!L60+'AD15'!L60</f>
        <v>0</v>
      </c>
      <c r="M60" s="81">
        <f>'AD14'!M60+'AD15'!M60</f>
        <v>0</v>
      </c>
      <c r="N60" s="81">
        <f>'AD14'!N60+'AD15'!N60</f>
        <v>0</v>
      </c>
      <c r="O60" s="81">
        <f>'AD14'!O60+'AD15'!O60</f>
        <v>0</v>
      </c>
      <c r="P60" s="81">
        <f>'AD14'!P60+'AD15'!P60</f>
        <v>0</v>
      </c>
      <c r="Q60" s="81">
        <f>'AD14'!Q60+'AD15'!Q60</f>
        <v>0</v>
      </c>
      <c r="R60" s="81">
        <f>'AD14'!R60+'AD15'!R60</f>
        <v>0</v>
      </c>
      <c r="S60" s="81">
        <f>'AD14'!S60+'AD15'!S60</f>
        <v>0</v>
      </c>
      <c r="T60" s="81">
        <f>'AD14'!T60+'AD15'!T60</f>
        <v>0</v>
      </c>
      <c r="U60" s="81">
        <f>'AD14'!U60+'AD15'!U60</f>
        <v>0</v>
      </c>
      <c r="V60" s="81">
        <f>'AD14'!V60+'AD15'!V60</f>
        <v>0</v>
      </c>
      <c r="W60" s="81">
        <f>'AD14'!W60+'AD15'!W60</f>
        <v>0</v>
      </c>
    </row>
    <row r="61" spans="1:23">
      <c r="A61" s="6">
        <f t="shared" si="5"/>
        <v>1998</v>
      </c>
      <c r="B61" s="81">
        <f>'AD14'!B61+'AD15'!B61</f>
        <v>0</v>
      </c>
      <c r="C61" s="81">
        <f>'AD14'!C61+'AD15'!C61</f>
        <v>0</v>
      </c>
      <c r="D61" s="81">
        <f>'AD14'!D61+'AD15'!D61</f>
        <v>0</v>
      </c>
      <c r="E61" s="81">
        <f>'AD14'!E61+'AD15'!E61</f>
        <v>0</v>
      </c>
      <c r="F61" s="81">
        <f>'AD14'!F61+'AD15'!F61</f>
        <v>0</v>
      </c>
      <c r="G61" s="81">
        <f>'AD14'!G61+'AD15'!G61</f>
        <v>0</v>
      </c>
      <c r="H61" s="81">
        <f>'AD14'!H61+'AD15'!H61</f>
        <v>0</v>
      </c>
      <c r="I61" s="81">
        <f>'AD14'!I61+'AD15'!I61</f>
        <v>0</v>
      </c>
      <c r="J61" s="81">
        <f>'AD14'!J61+'AD15'!J61</f>
        <v>0</v>
      </c>
      <c r="K61" s="81">
        <f>'AD14'!K61+'AD15'!K61</f>
        <v>0</v>
      </c>
      <c r="L61" s="81">
        <f>'AD14'!L61+'AD15'!L61</f>
        <v>0</v>
      </c>
      <c r="M61" s="81">
        <f>'AD14'!M61+'AD15'!M61</f>
        <v>0</v>
      </c>
      <c r="N61" s="81">
        <f>'AD14'!N61+'AD15'!N61</f>
        <v>0</v>
      </c>
      <c r="O61" s="81">
        <f>'AD14'!O61+'AD15'!O61</f>
        <v>0</v>
      </c>
      <c r="P61" s="81">
        <f>'AD14'!P61+'AD15'!P61</f>
        <v>0</v>
      </c>
      <c r="Q61" s="81">
        <f>'AD14'!Q61+'AD15'!Q61</f>
        <v>0</v>
      </c>
      <c r="R61" s="81">
        <f>'AD14'!R61+'AD15'!R61</f>
        <v>0</v>
      </c>
      <c r="S61" s="81">
        <f>'AD14'!S61+'AD15'!S61</f>
        <v>0</v>
      </c>
      <c r="T61" s="81">
        <f>'AD14'!T61+'AD15'!T61</f>
        <v>0</v>
      </c>
      <c r="U61" s="81">
        <f>'AD14'!U61+'AD15'!U61</f>
        <v>0</v>
      </c>
      <c r="V61" s="81">
        <f>'AD14'!V61+'AD15'!V61</f>
        <v>0</v>
      </c>
      <c r="W61" s="81">
        <f>'AD14'!W61+'AD15'!W61</f>
        <v>0</v>
      </c>
    </row>
    <row r="62" spans="1:23">
      <c r="A62" s="6">
        <f t="shared" si="5"/>
        <v>1999</v>
      </c>
      <c r="B62" s="81">
        <f>'AD14'!B62+'AD15'!B62</f>
        <v>0</v>
      </c>
      <c r="C62" s="81">
        <f>'AD14'!C62+'AD15'!C62</f>
        <v>0</v>
      </c>
      <c r="D62" s="81">
        <f>'AD14'!D62+'AD15'!D62</f>
        <v>0</v>
      </c>
      <c r="E62" s="81">
        <f>'AD14'!E62+'AD15'!E62</f>
        <v>0</v>
      </c>
      <c r="F62" s="81">
        <f>'AD14'!F62+'AD15'!F62</f>
        <v>0</v>
      </c>
      <c r="G62" s="81">
        <f>'AD14'!G62+'AD15'!G62</f>
        <v>0</v>
      </c>
      <c r="H62" s="81">
        <f>'AD14'!H62+'AD15'!H62</f>
        <v>0</v>
      </c>
      <c r="I62" s="81">
        <f>'AD14'!I62+'AD15'!I62</f>
        <v>0</v>
      </c>
      <c r="J62" s="81">
        <f>'AD14'!J62+'AD15'!J62</f>
        <v>0</v>
      </c>
      <c r="K62" s="81">
        <f>'AD14'!K62+'AD15'!K62</f>
        <v>0</v>
      </c>
      <c r="L62" s="81">
        <f>'AD14'!L62+'AD15'!L62</f>
        <v>0</v>
      </c>
      <c r="M62" s="81">
        <f>'AD14'!M62+'AD15'!M62</f>
        <v>0</v>
      </c>
      <c r="N62" s="81">
        <f>'AD14'!N62+'AD15'!N62</f>
        <v>0</v>
      </c>
      <c r="O62" s="81">
        <f>'AD14'!O62+'AD15'!O62</f>
        <v>0</v>
      </c>
      <c r="P62" s="81">
        <f>'AD14'!P62+'AD15'!P62</f>
        <v>0</v>
      </c>
      <c r="Q62" s="81">
        <f>'AD14'!Q62+'AD15'!Q62</f>
        <v>0</v>
      </c>
      <c r="R62" s="81">
        <f>'AD14'!R62+'AD15'!R62</f>
        <v>0</v>
      </c>
      <c r="S62" s="81">
        <f>'AD14'!S62+'AD15'!S62</f>
        <v>0</v>
      </c>
      <c r="T62" s="81">
        <f>'AD14'!T62+'AD15'!T62</f>
        <v>0</v>
      </c>
      <c r="U62" s="81">
        <f>'AD14'!U62+'AD15'!U62</f>
        <v>0</v>
      </c>
      <c r="V62" s="81">
        <f>'AD14'!V62+'AD15'!V62</f>
        <v>0</v>
      </c>
      <c r="W62" s="81">
        <f>'AD14'!W62+'AD15'!W62</f>
        <v>0</v>
      </c>
    </row>
    <row r="63" spans="1:23">
      <c r="A63" s="6">
        <f t="shared" si="5"/>
        <v>2000</v>
      </c>
      <c r="B63" s="81">
        <f>'AD14'!B63+'AD15'!B63</f>
        <v>0</v>
      </c>
      <c r="C63" s="81">
        <f>'AD14'!C63+'AD15'!C63</f>
        <v>0</v>
      </c>
      <c r="D63" s="81">
        <f>'AD14'!D63+'AD15'!D63</f>
        <v>0</v>
      </c>
      <c r="E63" s="81">
        <f>'AD14'!E63+'AD15'!E63</f>
        <v>0</v>
      </c>
      <c r="F63" s="81">
        <f>'AD14'!F63+'AD15'!F63</f>
        <v>0</v>
      </c>
      <c r="G63" s="81">
        <f>'AD14'!G63+'AD15'!G63</f>
        <v>0</v>
      </c>
      <c r="H63" s="81">
        <f>'AD14'!H63+'AD15'!H63</f>
        <v>0</v>
      </c>
      <c r="I63" s="81">
        <f>'AD14'!I63+'AD15'!I63</f>
        <v>0</v>
      </c>
      <c r="J63" s="81">
        <f>'AD14'!J63+'AD15'!J63</f>
        <v>0</v>
      </c>
      <c r="K63" s="81">
        <f>'AD14'!K63+'AD15'!K63</f>
        <v>0</v>
      </c>
      <c r="L63" s="81">
        <f>'AD14'!L63+'AD15'!L63</f>
        <v>0</v>
      </c>
      <c r="M63" s="81">
        <f>'AD14'!M63+'AD15'!M63</f>
        <v>0</v>
      </c>
      <c r="N63" s="81">
        <f>'AD14'!N63+'AD15'!N63</f>
        <v>0</v>
      </c>
      <c r="O63" s="81">
        <f>'AD14'!O63+'AD15'!O63</f>
        <v>0</v>
      </c>
      <c r="P63" s="81">
        <f>'AD14'!P63+'AD15'!P63</f>
        <v>0</v>
      </c>
      <c r="Q63" s="81">
        <f>'AD14'!Q63+'AD15'!Q63</f>
        <v>0</v>
      </c>
      <c r="R63" s="81">
        <f>'AD14'!R63+'AD15'!R63</f>
        <v>0</v>
      </c>
      <c r="S63" s="81">
        <f>'AD14'!S63+'AD15'!S63</f>
        <v>0</v>
      </c>
      <c r="T63" s="81">
        <f>'AD14'!T63+'AD15'!T63</f>
        <v>0</v>
      </c>
      <c r="U63" s="81">
        <f>'AD14'!U63+'AD15'!U63</f>
        <v>0</v>
      </c>
      <c r="V63" s="81">
        <f>'AD14'!V63+'AD15'!V63</f>
        <v>0</v>
      </c>
      <c r="W63" s="81">
        <f>'AD14'!W63+'AD15'!W63</f>
        <v>0</v>
      </c>
    </row>
    <row r="64" spans="1:23">
      <c r="A64" s="6">
        <f t="shared" si="5"/>
        <v>2001</v>
      </c>
      <c r="B64" s="81">
        <f>'AD14'!B64+'AD15'!B64</f>
        <v>0</v>
      </c>
      <c r="C64" s="81">
        <f>'AD14'!C64+'AD15'!C64</f>
        <v>0</v>
      </c>
      <c r="D64" s="81">
        <f>'AD14'!D64+'AD15'!D64</f>
        <v>0</v>
      </c>
      <c r="E64" s="81">
        <f>'AD14'!E64+'AD15'!E64</f>
        <v>0</v>
      </c>
      <c r="F64" s="81">
        <f>'AD14'!F64+'AD15'!F64</f>
        <v>0</v>
      </c>
      <c r="G64" s="81">
        <f>'AD14'!G64+'AD15'!G64</f>
        <v>0</v>
      </c>
      <c r="H64" s="81">
        <f>'AD14'!H64+'AD15'!H64</f>
        <v>0</v>
      </c>
      <c r="I64" s="81">
        <f>'AD14'!I64+'AD15'!I64</f>
        <v>0</v>
      </c>
      <c r="J64" s="81">
        <f>'AD14'!J64+'AD15'!J64</f>
        <v>0</v>
      </c>
      <c r="K64" s="81">
        <f>'AD14'!K64+'AD15'!K64</f>
        <v>0</v>
      </c>
      <c r="L64" s="81">
        <f>'AD14'!L64+'AD15'!L64</f>
        <v>0</v>
      </c>
      <c r="M64" s="81">
        <f>'AD14'!M64+'AD15'!M64</f>
        <v>0</v>
      </c>
      <c r="N64" s="81">
        <f>'AD14'!N64+'AD15'!N64</f>
        <v>0</v>
      </c>
      <c r="O64" s="81">
        <f>'AD14'!O64+'AD15'!O64</f>
        <v>0</v>
      </c>
      <c r="P64" s="81">
        <f>'AD14'!P64+'AD15'!P64</f>
        <v>0</v>
      </c>
      <c r="Q64" s="81">
        <f>'AD14'!Q64+'AD15'!Q64</f>
        <v>0</v>
      </c>
      <c r="R64" s="81">
        <f>'AD14'!R64+'AD15'!R64</f>
        <v>0</v>
      </c>
      <c r="S64" s="81">
        <f>'AD14'!S64+'AD15'!S64</f>
        <v>0</v>
      </c>
      <c r="T64" s="81">
        <f>'AD14'!T64+'AD15'!T64</f>
        <v>0</v>
      </c>
      <c r="U64" s="81">
        <f>'AD14'!U64+'AD15'!U64</f>
        <v>0</v>
      </c>
      <c r="V64" s="81">
        <f>'AD14'!V64+'AD15'!V64</f>
        <v>0</v>
      </c>
      <c r="W64" s="81">
        <f>'AD14'!W64+'AD15'!W64</f>
        <v>0</v>
      </c>
    </row>
    <row r="65" spans="1:23">
      <c r="A65" s="6">
        <f t="shared" si="5"/>
        <v>2002</v>
      </c>
      <c r="B65" s="81">
        <f>'AD14'!B65+'AD15'!B65</f>
        <v>0</v>
      </c>
      <c r="C65" s="81">
        <f>'AD14'!C65+'AD15'!C65</f>
        <v>0</v>
      </c>
      <c r="D65" s="81">
        <f>'AD14'!D65+'AD15'!D65</f>
        <v>0</v>
      </c>
      <c r="E65" s="81">
        <f>'AD14'!E65+'AD15'!E65</f>
        <v>0</v>
      </c>
      <c r="F65" s="81">
        <f>'AD14'!F65+'AD15'!F65</f>
        <v>0</v>
      </c>
      <c r="G65" s="81">
        <f>'AD14'!G65+'AD15'!G65</f>
        <v>0</v>
      </c>
      <c r="H65" s="81">
        <f>'AD14'!H65+'AD15'!H65</f>
        <v>0</v>
      </c>
      <c r="I65" s="81">
        <f>'AD14'!I65+'AD15'!I65</f>
        <v>0</v>
      </c>
      <c r="J65" s="81">
        <f>'AD14'!J65+'AD15'!J65</f>
        <v>0</v>
      </c>
      <c r="K65" s="81">
        <f>'AD14'!K65+'AD15'!K65</f>
        <v>0</v>
      </c>
      <c r="L65" s="81">
        <f>'AD14'!L65+'AD15'!L65</f>
        <v>0</v>
      </c>
      <c r="M65" s="81">
        <f>'AD14'!M65+'AD15'!M65</f>
        <v>0</v>
      </c>
      <c r="N65" s="81">
        <f>'AD14'!N65+'AD15'!N65</f>
        <v>0</v>
      </c>
      <c r="O65" s="81">
        <f>'AD14'!O65+'AD15'!O65</f>
        <v>0</v>
      </c>
      <c r="P65" s="81">
        <f>'AD14'!P65+'AD15'!P65</f>
        <v>0</v>
      </c>
      <c r="Q65" s="81">
        <f>'AD14'!Q65+'AD15'!Q65</f>
        <v>0</v>
      </c>
      <c r="R65" s="81">
        <f>'AD14'!R65+'AD15'!R65</f>
        <v>0</v>
      </c>
      <c r="S65" s="81">
        <f>'AD14'!S65+'AD15'!S65</f>
        <v>0</v>
      </c>
      <c r="T65" s="81">
        <f>'AD14'!T65+'AD15'!T65</f>
        <v>0</v>
      </c>
      <c r="U65" s="81">
        <f>'AD14'!U65+'AD15'!U65</f>
        <v>0</v>
      </c>
      <c r="V65" s="81">
        <f>'AD14'!V65+'AD15'!V65</f>
        <v>0</v>
      </c>
      <c r="W65" s="81">
        <f>'AD14'!W65+'AD15'!W65</f>
        <v>0</v>
      </c>
    </row>
    <row r="66" spans="1:23">
      <c r="A66" s="6">
        <f t="shared" si="5"/>
        <v>2003</v>
      </c>
      <c r="B66" s="81">
        <f>'AD14'!B66+'AD15'!B66</f>
        <v>0</v>
      </c>
      <c r="C66" s="81">
        <f>'AD14'!C66+'AD15'!C66</f>
        <v>0</v>
      </c>
      <c r="D66" s="81">
        <f>'AD14'!D66+'AD15'!D66</f>
        <v>0</v>
      </c>
      <c r="E66" s="81">
        <f>'AD14'!E66+'AD15'!E66</f>
        <v>0</v>
      </c>
      <c r="F66" s="81">
        <f>'AD14'!F66+'AD15'!F66</f>
        <v>0</v>
      </c>
      <c r="G66" s="81">
        <f>'AD14'!G66+'AD15'!G66</f>
        <v>0</v>
      </c>
      <c r="H66" s="81">
        <f>'AD14'!H66+'AD15'!H66</f>
        <v>0</v>
      </c>
      <c r="I66" s="81">
        <f>'AD14'!I66+'AD15'!I66</f>
        <v>0</v>
      </c>
      <c r="J66" s="81">
        <f>'AD14'!J66+'AD15'!J66</f>
        <v>0</v>
      </c>
      <c r="K66" s="81">
        <f>'AD14'!K66+'AD15'!K66</f>
        <v>0</v>
      </c>
      <c r="L66" s="81">
        <f>'AD14'!L66+'AD15'!L66</f>
        <v>0</v>
      </c>
      <c r="M66" s="81">
        <f>'AD14'!M66+'AD15'!M66</f>
        <v>0</v>
      </c>
      <c r="N66" s="81">
        <f>'AD14'!N66+'AD15'!N66</f>
        <v>0</v>
      </c>
      <c r="O66" s="81">
        <f>'AD14'!O66+'AD15'!O66</f>
        <v>0</v>
      </c>
      <c r="P66" s="81">
        <f>'AD14'!P66+'AD15'!P66</f>
        <v>0</v>
      </c>
      <c r="Q66" s="81">
        <f>'AD14'!Q66+'AD15'!Q66</f>
        <v>0</v>
      </c>
      <c r="R66" s="81">
        <f>'AD14'!R66+'AD15'!R66</f>
        <v>0</v>
      </c>
      <c r="S66" s="81">
        <f>'AD14'!S66+'AD15'!S66</f>
        <v>0</v>
      </c>
      <c r="T66" s="81">
        <f>'AD14'!T66+'AD15'!T66</f>
        <v>0</v>
      </c>
      <c r="U66" s="81">
        <f>'AD14'!U66+'AD15'!U66</f>
        <v>0</v>
      </c>
      <c r="V66" s="81">
        <f>'AD14'!V66+'AD15'!V66</f>
        <v>0</v>
      </c>
      <c r="W66" s="81">
        <f>'AD14'!W66+'AD15'!W66</f>
        <v>0</v>
      </c>
    </row>
    <row r="67" spans="1:23">
      <c r="A67" s="6">
        <f t="shared" si="5"/>
        <v>2004</v>
      </c>
      <c r="B67" s="81">
        <f>'AD14'!B67+'AD15'!B67</f>
        <v>0</v>
      </c>
      <c r="C67" s="81">
        <f>'AD14'!C67+'AD15'!C67</f>
        <v>0</v>
      </c>
      <c r="D67" s="81">
        <f>'AD14'!D67+'AD15'!D67</f>
        <v>0</v>
      </c>
      <c r="E67" s="81">
        <f>'AD14'!E67+'AD15'!E67</f>
        <v>0</v>
      </c>
      <c r="F67" s="81">
        <f>'AD14'!F67+'AD15'!F67</f>
        <v>0</v>
      </c>
      <c r="G67" s="81">
        <f>'AD14'!G67+'AD15'!G67</f>
        <v>0</v>
      </c>
      <c r="H67" s="81">
        <f>'AD14'!H67+'AD15'!H67</f>
        <v>0</v>
      </c>
      <c r="I67" s="81">
        <f>'AD14'!I67+'AD15'!I67</f>
        <v>0</v>
      </c>
      <c r="J67" s="81">
        <f>'AD14'!J67+'AD15'!J67</f>
        <v>0</v>
      </c>
      <c r="K67" s="81">
        <f>'AD14'!K67+'AD15'!K67</f>
        <v>0</v>
      </c>
      <c r="L67" s="81">
        <f>'AD14'!L67+'AD15'!L67</f>
        <v>0</v>
      </c>
      <c r="M67" s="81">
        <f>'AD14'!M67+'AD15'!M67</f>
        <v>0</v>
      </c>
      <c r="N67" s="81">
        <f>'AD14'!N67+'AD15'!N67</f>
        <v>0</v>
      </c>
      <c r="O67" s="81">
        <f>'AD14'!O67+'AD15'!O67</f>
        <v>0</v>
      </c>
      <c r="P67" s="81">
        <f>'AD14'!P67+'AD15'!P67</f>
        <v>0</v>
      </c>
      <c r="Q67" s="81">
        <f>'AD14'!Q67+'AD15'!Q67</f>
        <v>0</v>
      </c>
      <c r="R67" s="81">
        <f>'AD14'!R67+'AD15'!R67</f>
        <v>0</v>
      </c>
      <c r="S67" s="81">
        <f>'AD14'!S67+'AD15'!S67</f>
        <v>0</v>
      </c>
      <c r="T67" s="81">
        <f>'AD14'!T67+'AD15'!T67</f>
        <v>0</v>
      </c>
      <c r="U67" s="81">
        <f>'AD14'!U67+'AD15'!U67</f>
        <v>0</v>
      </c>
      <c r="V67" s="81">
        <f>'AD14'!V67+'AD15'!V67</f>
        <v>0</v>
      </c>
      <c r="W67" s="81">
        <f>'AD14'!W67+'AD15'!W67</f>
        <v>0</v>
      </c>
    </row>
    <row r="68" spans="1:23">
      <c r="A68" s="6">
        <f t="shared" si="5"/>
        <v>2005</v>
      </c>
      <c r="B68" s="81">
        <f>'AD14'!B68+'AD15'!B68</f>
        <v>0</v>
      </c>
      <c r="C68" s="81">
        <f>'AD14'!C68+'AD15'!C68</f>
        <v>0</v>
      </c>
      <c r="D68" s="81">
        <f>'AD14'!D68+'AD15'!D68</f>
        <v>0</v>
      </c>
      <c r="E68" s="81">
        <f>'AD14'!E68+'AD15'!E68</f>
        <v>0</v>
      </c>
      <c r="F68" s="81">
        <f>'AD14'!F68+'AD15'!F68</f>
        <v>0</v>
      </c>
      <c r="G68" s="81">
        <f>'AD14'!G68+'AD15'!G68</f>
        <v>0</v>
      </c>
      <c r="H68" s="81">
        <f>'AD14'!H68+'AD15'!H68</f>
        <v>0</v>
      </c>
      <c r="I68" s="81">
        <f>'AD14'!I68+'AD15'!I68</f>
        <v>0</v>
      </c>
      <c r="J68" s="81">
        <f>'AD14'!J68+'AD15'!J68</f>
        <v>0</v>
      </c>
      <c r="K68" s="81">
        <f>'AD14'!K68+'AD15'!K68</f>
        <v>0</v>
      </c>
      <c r="L68" s="81">
        <f>'AD14'!L68+'AD15'!L68</f>
        <v>0</v>
      </c>
      <c r="M68" s="81">
        <f>'AD14'!M68+'AD15'!M68</f>
        <v>0</v>
      </c>
      <c r="N68" s="81">
        <f>'AD14'!N68+'AD15'!N68</f>
        <v>0</v>
      </c>
      <c r="O68" s="81">
        <f>'AD14'!O68+'AD15'!O68</f>
        <v>0</v>
      </c>
      <c r="P68" s="81">
        <f>'AD14'!P68+'AD15'!P68</f>
        <v>0</v>
      </c>
      <c r="Q68" s="81">
        <f>'AD14'!Q68+'AD15'!Q68</f>
        <v>0</v>
      </c>
      <c r="R68" s="81">
        <f>'AD14'!R68+'AD15'!R68</f>
        <v>0</v>
      </c>
      <c r="S68" s="81">
        <f>'AD14'!S68+'AD15'!S68</f>
        <v>0</v>
      </c>
      <c r="T68" s="81">
        <f>'AD14'!T68+'AD15'!T68</f>
        <v>0</v>
      </c>
      <c r="U68" s="81">
        <f>'AD14'!U68+'AD15'!U68</f>
        <v>0</v>
      </c>
      <c r="V68" s="81">
        <f>'AD14'!V68+'AD15'!V68</f>
        <v>0</v>
      </c>
      <c r="W68" s="81">
        <f>'AD14'!W68+'AD15'!W68</f>
        <v>0</v>
      </c>
    </row>
    <row r="69" spans="1:23">
      <c r="A69" s="6">
        <f t="shared" si="5"/>
        <v>2006</v>
      </c>
      <c r="B69" s="81">
        <f>'AD14'!B69+'AD15'!B69</f>
        <v>0</v>
      </c>
      <c r="C69" s="81">
        <f>'AD14'!C69+'AD15'!C69</f>
        <v>0</v>
      </c>
      <c r="D69" s="81">
        <f>'AD14'!D69+'AD15'!D69</f>
        <v>0</v>
      </c>
      <c r="E69" s="81">
        <f>'AD14'!E69+'AD15'!E69</f>
        <v>0</v>
      </c>
      <c r="F69" s="81">
        <f>'AD14'!F69+'AD15'!F69</f>
        <v>0</v>
      </c>
      <c r="G69" s="81">
        <f>'AD14'!G69+'AD15'!G69</f>
        <v>0</v>
      </c>
      <c r="H69" s="81">
        <f>'AD14'!H69+'AD15'!H69</f>
        <v>0</v>
      </c>
      <c r="I69" s="81">
        <f>'AD14'!I69+'AD15'!I69</f>
        <v>0</v>
      </c>
      <c r="J69" s="81">
        <f>'AD14'!J69+'AD15'!J69</f>
        <v>0</v>
      </c>
      <c r="K69" s="81">
        <f>'AD14'!K69+'AD15'!K69</f>
        <v>0</v>
      </c>
      <c r="L69" s="81">
        <f>'AD14'!L69+'AD15'!L69</f>
        <v>0</v>
      </c>
      <c r="M69" s="81">
        <f>'AD14'!M69+'AD15'!M69</f>
        <v>0</v>
      </c>
      <c r="N69" s="81">
        <f>'AD14'!N69+'AD15'!N69</f>
        <v>0</v>
      </c>
      <c r="O69" s="81">
        <f>'AD14'!O69+'AD15'!O69</f>
        <v>0</v>
      </c>
      <c r="P69" s="81">
        <f>'AD14'!P69+'AD15'!P69</f>
        <v>0</v>
      </c>
      <c r="Q69" s="81">
        <f>'AD14'!Q69+'AD15'!Q69</f>
        <v>0</v>
      </c>
      <c r="R69" s="81">
        <f>'AD14'!R69+'AD15'!R69</f>
        <v>0</v>
      </c>
      <c r="S69" s="81">
        <f>'AD14'!S69+'AD15'!S69</f>
        <v>0</v>
      </c>
      <c r="T69" s="81">
        <f>'AD14'!T69+'AD15'!T69</f>
        <v>0</v>
      </c>
      <c r="U69" s="81">
        <f>'AD14'!U69+'AD15'!U69</f>
        <v>0</v>
      </c>
      <c r="V69" s="81">
        <f>'AD14'!V69+'AD15'!V69</f>
        <v>0</v>
      </c>
      <c r="W69" s="81">
        <f>'AD14'!W69+'AD15'!W69</f>
        <v>0</v>
      </c>
    </row>
    <row r="70" spans="1:23">
      <c r="A70" s="6">
        <f t="shared" si="5"/>
        <v>2007</v>
      </c>
      <c r="B70" s="81">
        <f>'AD14'!B70+'AD15'!B70</f>
        <v>0</v>
      </c>
      <c r="C70" s="81">
        <f>'AD14'!C70+'AD15'!C70</f>
        <v>0</v>
      </c>
      <c r="D70" s="81">
        <f>'AD14'!D70+'AD15'!D70</f>
        <v>0</v>
      </c>
      <c r="E70" s="81">
        <f>'AD14'!E70+'AD15'!E70</f>
        <v>0</v>
      </c>
      <c r="F70" s="81">
        <f>'AD14'!F70+'AD15'!F70</f>
        <v>0</v>
      </c>
      <c r="G70" s="81">
        <f>'AD14'!G70+'AD15'!G70</f>
        <v>0</v>
      </c>
      <c r="H70" s="81">
        <f>'AD14'!H70+'AD15'!H70</f>
        <v>0</v>
      </c>
      <c r="I70" s="81">
        <f>'AD14'!I70+'AD15'!I70</f>
        <v>0</v>
      </c>
      <c r="J70" s="81">
        <f>'AD14'!J70+'AD15'!J70</f>
        <v>0</v>
      </c>
      <c r="K70" s="81">
        <f>'AD14'!K70+'AD15'!K70</f>
        <v>0</v>
      </c>
      <c r="L70" s="81">
        <f>'AD14'!L70+'AD15'!L70</f>
        <v>0</v>
      </c>
      <c r="M70" s="81">
        <f>'AD14'!M70+'AD15'!M70</f>
        <v>0</v>
      </c>
      <c r="N70" s="81">
        <f>'AD14'!N70+'AD15'!N70</f>
        <v>0</v>
      </c>
      <c r="O70" s="81">
        <f>'AD14'!O70+'AD15'!O70</f>
        <v>0</v>
      </c>
      <c r="P70" s="81">
        <f>'AD14'!P70+'AD15'!P70</f>
        <v>0</v>
      </c>
      <c r="Q70" s="81">
        <f>'AD14'!Q70+'AD15'!Q70</f>
        <v>0</v>
      </c>
      <c r="R70" s="81">
        <f>'AD14'!R70+'AD15'!R70</f>
        <v>0</v>
      </c>
      <c r="S70" s="81">
        <f>'AD14'!S70+'AD15'!S70</f>
        <v>0</v>
      </c>
      <c r="T70" s="81">
        <f>'AD14'!T70+'AD15'!T70</f>
        <v>0</v>
      </c>
      <c r="U70" s="81">
        <f>'AD14'!U70+'AD15'!U70</f>
        <v>0</v>
      </c>
      <c r="V70" s="81">
        <f>'AD14'!V70+'AD15'!V70</f>
        <v>0</v>
      </c>
      <c r="W70" s="81">
        <f>'AD14'!W70+'AD15'!W70</f>
        <v>0</v>
      </c>
    </row>
    <row r="71" spans="1:23">
      <c r="A71" s="6">
        <f t="shared" si="5"/>
        <v>2008</v>
      </c>
      <c r="B71" s="81">
        <f>'AD14'!B71+'AD15'!B71</f>
        <v>0</v>
      </c>
      <c r="C71" s="81">
        <f>'AD14'!C71+'AD15'!C71</f>
        <v>0</v>
      </c>
      <c r="D71" s="81">
        <f>'AD14'!D71+'AD15'!D71</f>
        <v>0</v>
      </c>
      <c r="E71" s="81">
        <f>'AD14'!E71+'AD15'!E71</f>
        <v>0</v>
      </c>
      <c r="F71" s="81">
        <f>'AD14'!F71+'AD15'!F71</f>
        <v>0</v>
      </c>
      <c r="G71" s="81">
        <f>'AD14'!G71+'AD15'!G71</f>
        <v>0</v>
      </c>
      <c r="H71" s="81">
        <f>'AD14'!H71+'AD15'!H71</f>
        <v>0</v>
      </c>
      <c r="I71" s="81">
        <f>'AD14'!I71+'AD15'!I71</f>
        <v>0</v>
      </c>
      <c r="J71" s="81">
        <f>'AD14'!J71+'AD15'!J71</f>
        <v>0</v>
      </c>
      <c r="K71" s="81">
        <f>'AD14'!K71+'AD15'!K71</f>
        <v>0</v>
      </c>
      <c r="L71" s="81">
        <f>'AD14'!L71+'AD15'!L71</f>
        <v>0</v>
      </c>
      <c r="M71" s="81">
        <f>'AD14'!M71+'AD15'!M71</f>
        <v>0</v>
      </c>
      <c r="N71" s="81">
        <f>'AD14'!N71+'AD15'!N71</f>
        <v>0</v>
      </c>
      <c r="O71" s="81">
        <f>'AD14'!O71+'AD15'!O71</f>
        <v>0</v>
      </c>
      <c r="P71" s="81">
        <f>'AD14'!P71+'AD15'!P71</f>
        <v>0</v>
      </c>
      <c r="Q71" s="81">
        <f>'AD14'!Q71+'AD15'!Q71</f>
        <v>0</v>
      </c>
      <c r="R71" s="81">
        <f>'AD14'!R71+'AD15'!R71</f>
        <v>0</v>
      </c>
      <c r="S71" s="81">
        <f>'AD14'!S71+'AD15'!S71</f>
        <v>0</v>
      </c>
      <c r="T71" s="81">
        <f>'AD14'!T71+'AD15'!T71</f>
        <v>0</v>
      </c>
      <c r="U71" s="81">
        <f>'AD14'!U71+'AD15'!U71</f>
        <v>0</v>
      </c>
      <c r="V71" s="81">
        <f>'AD14'!V71+'AD15'!V71</f>
        <v>0</v>
      </c>
      <c r="W71" s="81">
        <f>'AD14'!W71+'AD15'!W71</f>
        <v>0</v>
      </c>
    </row>
    <row r="72" spans="1:23">
      <c r="A72" s="6">
        <f t="shared" si="5"/>
        <v>2009</v>
      </c>
      <c r="B72" s="81">
        <f>'AD14'!B72+'AD15'!B72</f>
        <v>0</v>
      </c>
      <c r="C72" s="81">
        <f>'AD14'!C72+'AD15'!C72</f>
        <v>0</v>
      </c>
      <c r="D72" s="81">
        <f>'AD14'!D72+'AD15'!D72</f>
        <v>0</v>
      </c>
      <c r="E72" s="81">
        <f>'AD14'!E72+'AD15'!E72</f>
        <v>0</v>
      </c>
      <c r="F72" s="81">
        <f>'AD14'!F72+'AD15'!F72</f>
        <v>0</v>
      </c>
      <c r="G72" s="81">
        <f>'AD14'!G72+'AD15'!G72</f>
        <v>0</v>
      </c>
      <c r="H72" s="81">
        <f>'AD14'!H72+'AD15'!H72</f>
        <v>0</v>
      </c>
      <c r="I72" s="81">
        <f>'AD14'!I72+'AD15'!I72</f>
        <v>0</v>
      </c>
      <c r="J72" s="81">
        <f>'AD14'!J72+'AD15'!J72</f>
        <v>0</v>
      </c>
      <c r="K72" s="81">
        <f>'AD14'!K72+'AD15'!K72</f>
        <v>0</v>
      </c>
      <c r="L72" s="81">
        <f>'AD14'!L72+'AD15'!L72</f>
        <v>0</v>
      </c>
      <c r="M72" s="81">
        <f>'AD14'!M72+'AD15'!M72</f>
        <v>0</v>
      </c>
      <c r="N72" s="81">
        <f>'AD14'!N72+'AD15'!N72</f>
        <v>0</v>
      </c>
      <c r="O72" s="81">
        <f>'AD14'!O72+'AD15'!O72</f>
        <v>0</v>
      </c>
      <c r="P72" s="81">
        <f>'AD14'!P72+'AD15'!P72</f>
        <v>0</v>
      </c>
      <c r="Q72" s="81">
        <f>'AD14'!Q72+'AD15'!Q72</f>
        <v>0</v>
      </c>
      <c r="R72" s="81">
        <f>'AD14'!R72+'AD15'!R72</f>
        <v>0</v>
      </c>
      <c r="S72" s="81">
        <f>'AD14'!S72+'AD15'!S72</f>
        <v>0</v>
      </c>
      <c r="T72" s="81">
        <f>'AD14'!T72+'AD15'!T72</f>
        <v>0</v>
      </c>
      <c r="U72" s="81">
        <f>'AD14'!U72+'AD15'!U72</f>
        <v>0</v>
      </c>
      <c r="V72" s="81">
        <f>'AD14'!V72+'AD15'!V72</f>
        <v>0</v>
      </c>
      <c r="W72" s="81">
        <f>'AD14'!W72+'AD15'!W72</f>
        <v>0</v>
      </c>
    </row>
    <row r="73" spans="1:23">
      <c r="A73" s="6">
        <f t="shared" si="5"/>
        <v>2010</v>
      </c>
      <c r="B73" s="81">
        <f>'AD14'!B73+'AD15'!B73</f>
        <v>0</v>
      </c>
      <c r="C73" s="81">
        <f>'AD14'!C73+'AD15'!C73</f>
        <v>0</v>
      </c>
      <c r="D73" s="81">
        <f>'AD14'!D73+'AD15'!D73</f>
        <v>0</v>
      </c>
      <c r="E73" s="81">
        <f>'AD14'!E73+'AD15'!E73</f>
        <v>0</v>
      </c>
      <c r="F73" s="81">
        <f>'AD14'!F73+'AD15'!F73</f>
        <v>0</v>
      </c>
      <c r="G73" s="81">
        <f>'AD14'!G73+'AD15'!G73</f>
        <v>0</v>
      </c>
      <c r="H73" s="81">
        <f>'AD14'!H73+'AD15'!H73</f>
        <v>0</v>
      </c>
      <c r="I73" s="81">
        <f>'AD14'!I73+'AD15'!I73</f>
        <v>0</v>
      </c>
      <c r="J73" s="81">
        <f>'AD14'!J73+'AD15'!J73</f>
        <v>0</v>
      </c>
      <c r="K73" s="81">
        <f>'AD14'!K73+'AD15'!K73</f>
        <v>0</v>
      </c>
      <c r="L73" s="81">
        <f>'AD14'!L73+'AD15'!L73</f>
        <v>0</v>
      </c>
      <c r="M73" s="81">
        <f>'AD14'!M73+'AD15'!M73</f>
        <v>0</v>
      </c>
      <c r="N73" s="81">
        <f>'AD14'!N73+'AD15'!N73</f>
        <v>0</v>
      </c>
      <c r="O73" s="81">
        <f>'AD14'!O73+'AD15'!O73</f>
        <v>0</v>
      </c>
      <c r="P73" s="81">
        <f>'AD14'!P73+'AD15'!P73</f>
        <v>0</v>
      </c>
      <c r="Q73" s="81">
        <f>'AD14'!Q73+'AD15'!Q73</f>
        <v>0</v>
      </c>
      <c r="R73" s="81">
        <f>'AD14'!R73+'AD15'!R73</f>
        <v>0</v>
      </c>
      <c r="S73" s="81">
        <f>'AD14'!S73+'AD15'!S73</f>
        <v>0</v>
      </c>
      <c r="T73" s="81">
        <f>'AD14'!T73+'AD15'!T73</f>
        <v>0</v>
      </c>
      <c r="U73" s="81">
        <f>'AD14'!U73+'AD15'!U73</f>
        <v>0</v>
      </c>
      <c r="V73" s="81">
        <f>'AD14'!V73+'AD15'!V73</f>
        <v>0</v>
      </c>
      <c r="W73" s="81">
        <f>'AD14'!W73+'AD15'!W73</f>
        <v>0</v>
      </c>
    </row>
    <row r="74" spans="1:23">
      <c r="A74" s="6">
        <f t="shared" si="5"/>
        <v>2011</v>
      </c>
      <c r="B74" s="81">
        <f>'AD14'!B74+'AD15'!B74</f>
        <v>0</v>
      </c>
      <c r="C74" s="81">
        <f>'AD14'!C74+'AD15'!C74</f>
        <v>0</v>
      </c>
      <c r="D74" s="81">
        <f>'AD14'!D74+'AD15'!D74</f>
        <v>0</v>
      </c>
      <c r="E74" s="81">
        <f>'AD14'!E74+'AD15'!E74</f>
        <v>0</v>
      </c>
      <c r="F74" s="81">
        <f>'AD14'!F74+'AD15'!F74</f>
        <v>0</v>
      </c>
      <c r="G74" s="81">
        <f>'AD14'!G74+'AD15'!G74</f>
        <v>0</v>
      </c>
      <c r="H74" s="81">
        <f>'AD14'!H74+'AD15'!H74</f>
        <v>0</v>
      </c>
      <c r="I74" s="81">
        <f>'AD14'!I74+'AD15'!I74</f>
        <v>0</v>
      </c>
      <c r="J74" s="81">
        <f>'AD14'!J74+'AD15'!J74</f>
        <v>0</v>
      </c>
      <c r="K74" s="81">
        <f>'AD14'!K74+'AD15'!K74</f>
        <v>0</v>
      </c>
      <c r="L74" s="81">
        <f>'AD14'!L74+'AD15'!L74</f>
        <v>0</v>
      </c>
      <c r="M74" s="81">
        <f>'AD14'!M74+'AD15'!M74</f>
        <v>0</v>
      </c>
      <c r="N74" s="81">
        <f>'AD14'!N74+'AD15'!N74</f>
        <v>0</v>
      </c>
      <c r="O74" s="81">
        <f>'AD14'!O74+'AD15'!O74</f>
        <v>0</v>
      </c>
      <c r="P74" s="81">
        <f>'AD14'!P74+'AD15'!P74</f>
        <v>0</v>
      </c>
      <c r="Q74" s="81">
        <f>'AD14'!Q74+'AD15'!Q74</f>
        <v>0</v>
      </c>
      <c r="R74" s="81">
        <f>'AD14'!R74+'AD15'!R74</f>
        <v>0</v>
      </c>
      <c r="S74" s="81">
        <f>'AD14'!S74+'AD15'!S74</f>
        <v>0</v>
      </c>
      <c r="T74" s="81">
        <f>'AD14'!T74+'AD15'!T74</f>
        <v>15.126716540259942</v>
      </c>
      <c r="U74" s="81">
        <f>'AD14'!U74+'AD15'!U74</f>
        <v>0</v>
      </c>
      <c r="V74" s="81">
        <f>'AD14'!V74+'AD15'!V74</f>
        <v>0</v>
      </c>
      <c r="W74" s="81">
        <f>'AD14'!W74+'AD15'!W74</f>
        <v>186276</v>
      </c>
    </row>
    <row r="75" spans="1:23">
      <c r="A75" s="6">
        <f t="shared" si="5"/>
        <v>2012</v>
      </c>
      <c r="B75" s="81">
        <f>'AD14'!B75+'AD15'!B75</f>
        <v>15000</v>
      </c>
      <c r="C75" s="81">
        <f>'AD14'!C75+'AD15'!C75</f>
        <v>0</v>
      </c>
      <c r="D75" s="81">
        <f>'AD14'!D75+'AD15'!D75</f>
        <v>0</v>
      </c>
      <c r="E75" s="81">
        <f>'AD14'!E75+'AD15'!E75</f>
        <v>10024.959999999999</v>
      </c>
      <c r="F75" s="81">
        <f>'AD14'!F75+'AD15'!F75</f>
        <v>0</v>
      </c>
      <c r="G75" s="81">
        <f>'AD14'!G75+'AD15'!G75</f>
        <v>25024.959999999999</v>
      </c>
      <c r="H75" s="81">
        <f>'AD14'!H75+'AD15'!H75</f>
        <v>25024.959999999999</v>
      </c>
      <c r="I75" s="81">
        <f>'AD14'!I75+'AD15'!I75</f>
        <v>15000</v>
      </c>
      <c r="J75" s="81">
        <f>'AD14'!J75+'AD15'!J75</f>
        <v>15000</v>
      </c>
      <c r="K75" s="81">
        <f>'AD14'!K75+'AD15'!K75</f>
        <v>10024.959999999999</v>
      </c>
      <c r="L75" s="81">
        <f>'AD14'!L75+'AD15'!L75</f>
        <v>10024.959999999999</v>
      </c>
      <c r="M75" s="81">
        <f>'AD14'!M75+'AD15'!M75</f>
        <v>15062.076000000001</v>
      </c>
      <c r="N75" s="81">
        <f>'AD14'!N75+'AD15'!N75</f>
        <v>521.00400000000013</v>
      </c>
      <c r="O75" s="81">
        <f>'AD14'!O75+'AD15'!O75</f>
        <v>15583.080000000002</v>
      </c>
      <c r="P75" s="81">
        <f>'AD14'!P75+'AD15'!P75</f>
        <v>27076.887000000002</v>
      </c>
      <c r="Q75" s="81">
        <f>'AD14'!Q75+'AD15'!Q75</f>
        <v>13531.152999999998</v>
      </c>
      <c r="R75" s="81">
        <f>'AD14'!R75+'AD15'!R75</f>
        <v>40608.04</v>
      </c>
      <c r="S75" s="81">
        <f>'AD14'!S75+'AD15'!S75</f>
        <v>210.23867569962249</v>
      </c>
      <c r="T75" s="81">
        <f>'AD14'!T75+'AD15'!T75</f>
        <v>30.253433080519883</v>
      </c>
      <c r="U75" s="81">
        <f>'AD14'!U75+'AD15'!U75</f>
        <v>210.23867569962249</v>
      </c>
      <c r="V75" s="81">
        <f>'AD14'!V75+'AD15'!V75</f>
        <v>40818.278675699621</v>
      </c>
      <c r="W75" s="81">
        <f>'AD14'!W75+'AD15'!W75</f>
        <v>501580.5</v>
      </c>
    </row>
    <row r="76" spans="1:23">
      <c r="A76" s="6">
        <f t="shared" si="5"/>
        <v>2013</v>
      </c>
      <c r="B76" s="81">
        <f>'AD14'!B76+'AD15'!B76</f>
        <v>0</v>
      </c>
      <c r="C76" s="81">
        <f>'AD14'!C76+'AD15'!C76</f>
        <v>0</v>
      </c>
      <c r="D76" s="81">
        <f>'AD14'!D76+'AD15'!D76</f>
        <v>0</v>
      </c>
      <c r="E76" s="81">
        <f>'AD14'!E76+'AD15'!E76</f>
        <v>8418.2000000000007</v>
      </c>
      <c r="F76" s="81">
        <f>'AD14'!F76+'AD15'!F76</f>
        <v>-0.01</v>
      </c>
      <c r="G76" s="81">
        <f>'AD14'!G76+'AD15'!G76</f>
        <v>-871281.79999999981</v>
      </c>
      <c r="H76" s="81">
        <f>'AD14'!H76+'AD15'!H76</f>
        <v>-871281.80999999866</v>
      </c>
      <c r="I76" s="81">
        <f>'AD14'!I76+'AD15'!I76</f>
        <v>-879700</v>
      </c>
      <c r="J76" s="81">
        <f>'AD14'!J76+'AD15'!J76</f>
        <v>-879700</v>
      </c>
      <c r="K76" s="81">
        <f>'AD14'!K76+'AD15'!K76</f>
        <v>8418.2000000001863</v>
      </c>
      <c r="L76" s="81">
        <f>'AD14'!L76+'AD15'!L76</f>
        <v>8418.1900000004098</v>
      </c>
      <c r="M76" s="81">
        <f>'AD14'!M76+'AD15'!M76</f>
        <v>13577209.601090046</v>
      </c>
      <c r="N76" s="81">
        <f>'AD14'!N76+'AD15'!N76</f>
        <v>3941770.5293487231</v>
      </c>
      <c r="O76" s="81">
        <f>'AD14'!O76+'AD15'!O76</f>
        <v>17518980.130438767</v>
      </c>
      <c r="P76" s="81">
        <f>'AD14'!P76+'AD15'!P76</f>
        <v>12697509.601090046</v>
      </c>
      <c r="Q76" s="81">
        <f>'AD14'!Q76+'AD15'!Q76</f>
        <v>3950188.7193487235</v>
      </c>
      <c r="R76" s="81">
        <f>'AD14'!R76+'AD15'!R76</f>
        <v>16647698.320438771</v>
      </c>
      <c r="S76" s="81">
        <f>'AD14'!S76+'AD15'!S76</f>
        <v>78840.233083402985</v>
      </c>
      <c r="T76" s="81">
        <f>'AD14'!T76+'AD15'!T76</f>
        <v>30.253433080519883</v>
      </c>
      <c r="U76" s="81">
        <f>'AD14'!U76+'AD15'!U76</f>
        <v>78840.233083402985</v>
      </c>
      <c r="V76" s="81">
        <f>'AD14'!V76+'AD15'!V76</f>
        <v>16726538.553522173</v>
      </c>
      <c r="W76" s="81">
        <f>'AD14'!W76+'AD15'!W76</f>
        <v>1072775</v>
      </c>
    </row>
    <row r="77" spans="1:23">
      <c r="A77" s="6">
        <f t="shared" si="5"/>
        <v>2014</v>
      </c>
      <c r="B77" s="81">
        <f>'AD14'!B77+'AD15'!B77</f>
        <v>3562500</v>
      </c>
      <c r="C77" s="81">
        <f>'AD14'!C77+'AD15'!C77</f>
        <v>0</v>
      </c>
      <c r="D77" s="81">
        <f>'AD14'!D77+'AD15'!D77</f>
        <v>94050</v>
      </c>
      <c r="E77" s="81">
        <f>'AD14'!E77+'AD15'!E77</f>
        <v>279736.8075</v>
      </c>
      <c r="F77" s="81">
        <f>'AD14'!F77+'AD15'!F77</f>
        <v>29889.232499999998</v>
      </c>
      <c r="G77" s="81">
        <f>'AD14'!G77+'AD15'!G77</f>
        <v>3832618.0575000001</v>
      </c>
      <c r="H77" s="81">
        <f>'AD14'!H77+'AD15'!H77</f>
        <v>3956557.290000001</v>
      </c>
      <c r="I77" s="81">
        <f>'AD14'!I77+'AD15'!I77</f>
        <v>3552881.25</v>
      </c>
      <c r="J77" s="81">
        <f>'AD14'!J77+'AD15'!J77</f>
        <v>3646931.25</v>
      </c>
      <c r="K77" s="81">
        <f>'AD14'!K77+'AD15'!K77</f>
        <v>279736.80750000005</v>
      </c>
      <c r="L77" s="81">
        <f>'AD14'!L77+'AD15'!L77</f>
        <v>309626.04000000004</v>
      </c>
      <c r="M77" s="81">
        <f>'AD14'!M77+'AD15'!M77</f>
        <v>6418688.9585908838</v>
      </c>
      <c r="N77" s="81">
        <f>'AD14'!N77+'AD15'!N77</f>
        <v>1863490.3428167077</v>
      </c>
      <c r="O77" s="81">
        <f>'AD14'!O77+'AD15'!O77</f>
        <v>8282179.3014075905</v>
      </c>
      <c r="P77" s="81">
        <f>'AD14'!P77+'AD15'!P77</f>
        <v>10065620.208590884</v>
      </c>
      <c r="Q77" s="81">
        <f>'AD14'!Q77+'AD15'!Q77</f>
        <v>2173116.3828167077</v>
      </c>
      <c r="R77" s="81">
        <f>'AD14'!R77+'AD15'!R77</f>
        <v>12238736.591407591</v>
      </c>
      <c r="S77" s="81">
        <f>'AD14'!S77+'AD15'!S77</f>
        <v>60295.627412821494</v>
      </c>
      <c r="T77" s="81">
        <f>'AD14'!T77+'AD15'!T77</f>
        <v>245.38014962077983</v>
      </c>
      <c r="U77" s="81">
        <f>'AD14'!U77+'AD15'!U77</f>
        <v>60502.314832678952</v>
      </c>
      <c r="V77" s="81">
        <f>'AD14'!V77+'AD15'!V77</f>
        <v>12299238.90624027</v>
      </c>
      <c r="W77" s="81">
        <f>'AD14'!W77+'AD15'!W77</f>
        <v>1306874</v>
      </c>
    </row>
    <row r="78" spans="1:23">
      <c r="A78" s="6">
        <f t="shared" si="5"/>
        <v>2015</v>
      </c>
      <c r="B78" s="81">
        <f>'AD14'!B78+'AD15'!B78</f>
        <v>2441914.6</v>
      </c>
      <c r="C78" s="81">
        <f>'AD14'!C78+'AD15'!C78</f>
        <v>0</v>
      </c>
      <c r="D78" s="81">
        <f>'AD14'!D78+'AD15'!D78</f>
        <v>0</v>
      </c>
      <c r="E78" s="81">
        <f>'AD14'!E78+'AD15'!E78</f>
        <v>424011.43</v>
      </c>
      <c r="F78" s="81">
        <f>'AD14'!F78+'AD15'!F78</f>
        <v>-0.02</v>
      </c>
      <c r="G78" s="81">
        <f>'AD14'!G78+'AD15'!G78</f>
        <v>2363095.5709999977</v>
      </c>
      <c r="H78" s="81">
        <f>'AD14'!H78+'AD15'!H78</f>
        <v>2363095.5510000028</v>
      </c>
      <c r="I78" s="81">
        <f>'AD14'!I78+'AD15'!I78</f>
        <v>1939084.1409999975</v>
      </c>
      <c r="J78" s="81">
        <f>'AD14'!J78+'AD15'!J78</f>
        <v>1939084.1409999975</v>
      </c>
      <c r="K78" s="81">
        <f>'AD14'!K78+'AD15'!K78</f>
        <v>424011.43000000017</v>
      </c>
      <c r="L78" s="81">
        <f>'AD14'!L78+'AD15'!L78</f>
        <v>424011.41000000015</v>
      </c>
      <c r="M78" s="81">
        <f>'AD14'!M78+'AD15'!M78</f>
        <v>43393423.027470402</v>
      </c>
      <c r="N78" s="81">
        <f>'AD14'!N78+'AD15'!N78</f>
        <v>12598090.55636237</v>
      </c>
      <c r="O78" s="81">
        <f>'AD14'!O78+'AD15'!O78</f>
        <v>55991513.583832771</v>
      </c>
      <c r="P78" s="81">
        <f>'AD14'!P78+'AD15'!P78</f>
        <v>45332507.16847039</v>
      </c>
      <c r="Q78" s="81">
        <f>'AD14'!Q78+'AD15'!Q78</f>
        <v>13022101.966362372</v>
      </c>
      <c r="R78" s="81">
        <f>'AD14'!R78+'AD15'!R78</f>
        <v>58354609.134832762</v>
      </c>
      <c r="S78" s="81">
        <f>'AD14'!S78+'AD15'!S78</f>
        <v>359637.79933862062</v>
      </c>
      <c r="T78" s="81">
        <f>'AD14'!T78+'AD15'!T78</f>
        <v>2460.5068661610399</v>
      </c>
      <c r="U78" s="81">
        <f>'AD14'!U78+'AD15'!U78</f>
        <v>362170.65008631512</v>
      </c>
      <c r="V78" s="81">
        <f>'AD14'!V78+'AD15'!V78</f>
        <v>58716779.784919076</v>
      </c>
      <c r="W78" s="81">
        <f>'AD14'!W78+'AD15'!W78</f>
        <v>2036479.45</v>
      </c>
    </row>
    <row r="79" spans="1:23">
      <c r="A79" s="6">
        <f t="shared" si="5"/>
        <v>2016</v>
      </c>
      <c r="B79" s="81">
        <f>'AD14'!B79+'AD15'!B79</f>
        <v>9146394.3000000007</v>
      </c>
      <c r="C79" s="81">
        <f>'AD14'!C79+'AD15'!C79</f>
        <v>0</v>
      </c>
      <c r="D79" s="81">
        <f>'AD14'!D79+'AD15'!D79</f>
        <v>1801200</v>
      </c>
      <c r="E79" s="81">
        <f>'AD14'!E79+'AD15'!E79</f>
        <v>2052400.9779999997</v>
      </c>
      <c r="F79" s="81">
        <f>'AD14'!F79+'AD15'!F79</f>
        <v>136276.17199999996</v>
      </c>
      <c r="G79" s="81">
        <f>'AD14'!G79+'AD15'!G79</f>
        <v>9771159.4934999999</v>
      </c>
      <c r="H79" s="81">
        <f>'AD14'!H79+'AD15'!H79</f>
        <v>11708635.665499998</v>
      </c>
      <c r="I79" s="81">
        <f>'AD14'!I79+'AD15'!I79</f>
        <v>7718758.5154999997</v>
      </c>
      <c r="J79" s="81">
        <f>'AD14'!J79+'AD15'!J79</f>
        <v>9519958.5154999997</v>
      </c>
      <c r="K79" s="81">
        <f>'AD14'!K79+'AD15'!K79</f>
        <v>2052400.9779999999</v>
      </c>
      <c r="L79" s="81">
        <f>'AD14'!L79+'AD15'!L79</f>
        <v>2188677.1500000004</v>
      </c>
      <c r="M79" s="81">
        <f>'AD14'!M79+'AD15'!M79</f>
        <v>18029068.907539375</v>
      </c>
      <c r="N79" s="81">
        <f>'AD14'!N79+'AD15'!N79</f>
        <v>5234245.8118662685</v>
      </c>
      <c r="O79" s="81">
        <f>'AD14'!O79+'AD15'!O79</f>
        <v>23263314.719405644</v>
      </c>
      <c r="P79" s="81">
        <f>'AD14'!P79+'AD15'!P79</f>
        <v>27549027.423039377</v>
      </c>
      <c r="Q79" s="81">
        <f>'AD14'!Q79+'AD15'!Q79</f>
        <v>7422922.9618662689</v>
      </c>
      <c r="R79" s="81">
        <f>'AD14'!R79+'AD15'!R79</f>
        <v>34971950.384905644</v>
      </c>
      <c r="S79" s="81">
        <f>'AD14'!S79+'AD15'!S79</f>
        <v>219357.56827428087</v>
      </c>
      <c r="T79" s="81">
        <f>'AD14'!T79+'AD15'!T79</f>
        <v>18561.521370311511</v>
      </c>
      <c r="U79" s="81">
        <f>'AD14'!U79+'AD15'!U79</f>
        <v>238357.69707456499</v>
      </c>
      <c r="V79" s="81">
        <f>'AD14'!V79+'AD15'!V79</f>
        <v>35210308.081980206</v>
      </c>
      <c r="W79" s="81">
        <f>'AD14'!W79+'AD15'!W79</f>
        <v>2402571</v>
      </c>
    </row>
    <row r="80" spans="1:23">
      <c r="A80" s="6">
        <f t="shared" si="5"/>
        <v>2017</v>
      </c>
      <c r="B80" s="81">
        <f>'AD14'!B80+'AD15'!B80</f>
        <v>2291835.7599999998</v>
      </c>
      <c r="C80" s="81">
        <f>'AD14'!C80+'AD15'!C80</f>
        <v>0</v>
      </c>
      <c r="D80" s="81">
        <f>'AD14'!D80+'AD15'!D80</f>
        <v>1237971.24</v>
      </c>
      <c r="E80" s="81">
        <f>'AD14'!E80+'AD15'!E80</f>
        <v>691801.08899999992</v>
      </c>
      <c r="F80" s="81">
        <f>'AD14'!F80+'AD15'!F80</f>
        <v>347775.91100000008</v>
      </c>
      <c r="G80" s="81">
        <f>'AD14'!G80+'AD15'!G80</f>
        <v>-1598834.612500001</v>
      </c>
      <c r="H80" s="81">
        <f>'AD14'!H80+'AD15'!H80</f>
        <v>-13087.461500005331</v>
      </c>
      <c r="I80" s="81">
        <f>'AD14'!I80+'AD15'!I80</f>
        <v>-2290635.7014999995</v>
      </c>
      <c r="J80" s="81">
        <f>'AD14'!J80+'AD15'!J80</f>
        <v>-1052664.4615000002</v>
      </c>
      <c r="K80" s="81">
        <f>'AD14'!K80+'AD15'!K80</f>
        <v>691801.08899999922</v>
      </c>
      <c r="L80" s="81">
        <f>'AD14'!L80+'AD15'!L80</f>
        <v>1039576.9999999986</v>
      </c>
      <c r="M80" s="81">
        <f>'AD14'!M80+'AD15'!M80</f>
        <v>25872283.343368821</v>
      </c>
      <c r="N80" s="81">
        <f>'AD14'!N80+'AD15'!N80</f>
        <v>7511308.0674296543</v>
      </c>
      <c r="O80" s="81">
        <f>'AD14'!O80+'AD15'!O80</f>
        <v>33383591.410798475</v>
      </c>
      <c r="P80" s="81">
        <f>'AD14'!P80+'AD15'!P80</f>
        <v>24819618.881868821</v>
      </c>
      <c r="Q80" s="81">
        <f>'AD14'!Q80+'AD15'!Q80</f>
        <v>8550885.0674296524</v>
      </c>
      <c r="R80" s="81">
        <f>'AD14'!R80+'AD15'!R80</f>
        <v>33370503.949298467</v>
      </c>
      <c r="S80" s="81">
        <f>'AD14'!S80+'AD15'!S80</f>
        <v>265050.38271548902</v>
      </c>
      <c r="T80" s="81">
        <f>'AD14'!T80+'AD15'!T80</f>
        <v>20838.352304623044</v>
      </c>
      <c r="U80" s="81">
        <f>'AD14'!U80+'AD15'!U80</f>
        <v>286095.62779186486</v>
      </c>
      <c r="V80" s="81">
        <f>'AD14'!V80+'AD15'!V80</f>
        <v>33656599.57709033</v>
      </c>
      <c r="W80" s="81">
        <f>'AD14'!W80+'AD15'!W80</f>
        <v>5501666.5800000001</v>
      </c>
    </row>
    <row r="81" spans="1:23">
      <c r="A81" s="6">
        <f t="shared" si="5"/>
        <v>2018</v>
      </c>
      <c r="B81" s="81">
        <f>'AD14'!B81+'AD15'!B81</f>
        <v>3289375</v>
      </c>
      <c r="C81" s="81">
        <f>'AD14'!C81+'AD15'!C81</f>
        <v>0</v>
      </c>
      <c r="D81" s="81">
        <f>'AD14'!D81+'AD15'!D81</f>
        <v>843600</v>
      </c>
      <c r="E81" s="81">
        <f>'AD14'!E81+'AD15'!E81</f>
        <v>762994.96749999991</v>
      </c>
      <c r="F81" s="81">
        <f>'AD14'!F81+'AD15'!F81</f>
        <v>46546.892500000031</v>
      </c>
      <c r="G81" s="81">
        <f>'AD14'!G81+'AD15'!G81</f>
        <v>2382314.9215000011</v>
      </c>
      <c r="H81" s="81">
        <f>'AD14'!H81+'AD15'!H81</f>
        <v>3272461.8140000012</v>
      </c>
      <c r="I81" s="81">
        <f>'AD14'!I81+'AD15'!I81</f>
        <v>1619319.9539999999</v>
      </c>
      <c r="J81" s="81">
        <f>'AD14'!J81+'AD15'!J81</f>
        <v>2462919.9539999999</v>
      </c>
      <c r="K81" s="81">
        <f>'AD14'!K81+'AD15'!K81</f>
        <v>762994.96750000026</v>
      </c>
      <c r="L81" s="81">
        <f>'AD14'!L81+'AD15'!L81</f>
        <v>809541.8599999994</v>
      </c>
      <c r="M81" s="81">
        <f>'AD14'!M81+'AD15'!M81</f>
        <v>26645391.278810795</v>
      </c>
      <c r="N81" s="81">
        <f>'AD14'!N81+'AD15'!N81</f>
        <v>7735758.7583644222</v>
      </c>
      <c r="O81" s="81">
        <f>'AD14'!O81+'AD15'!O81</f>
        <v>34381150.037175216</v>
      </c>
      <c r="P81" s="81">
        <f>'AD14'!P81+'AD15'!P81</f>
        <v>29108311.232810795</v>
      </c>
      <c r="Q81" s="81">
        <f>'AD14'!Q81+'AD15'!Q81</f>
        <v>8545300.6183644198</v>
      </c>
      <c r="R81" s="81">
        <f>'AD14'!R81+'AD15'!R81</f>
        <v>37653611.851175219</v>
      </c>
      <c r="S81" s="81">
        <f>'AD14'!S81+'AD15'!S81</f>
        <v>266119.82028634893</v>
      </c>
      <c r="T81" s="81">
        <f>'AD14'!T81+'AD15'!T81</f>
        <v>26474.815228529878</v>
      </c>
      <c r="U81" s="81">
        <f>'AD14'!U81+'AD15'!U81</f>
        <v>293748.58402659377</v>
      </c>
      <c r="V81" s="81">
        <f>'AD14'!V81+'AD15'!V81</f>
        <v>37947360.435201809</v>
      </c>
      <c r="W81" s="81">
        <f>'AD14'!W81+'AD15'!W81</f>
        <v>5197518</v>
      </c>
    </row>
    <row r="82" spans="1:23">
      <c r="A82" s="6">
        <f t="shared" si="5"/>
        <v>2019</v>
      </c>
      <c r="B82" s="81">
        <f>'AD14'!B82+'AD15'!B82</f>
        <v>2679000</v>
      </c>
      <c r="C82" s="81">
        <f>'AD14'!C82+'AD15'!C82</f>
        <v>0</v>
      </c>
      <c r="D82" s="81">
        <f>'AD14'!D82+'AD15'!D82</f>
        <v>670700</v>
      </c>
      <c r="E82" s="81">
        <f>'AD14'!E82+'AD15'!E82</f>
        <v>416536.34600000002</v>
      </c>
      <c r="F82" s="81">
        <f>'AD14'!F82+'AD15'!F82</f>
        <v>152838.05399999997</v>
      </c>
      <c r="G82" s="81">
        <f>'AD14'!G82+'AD15'!G82</f>
        <v>2983929.4054999999</v>
      </c>
      <c r="H82" s="81">
        <f>'AD14'!H82+'AD15'!H82</f>
        <v>3807467.4595000008</v>
      </c>
      <c r="I82" s="81">
        <f>'AD14'!I82+'AD15'!I82</f>
        <v>2567393.0595</v>
      </c>
      <c r="J82" s="81">
        <f>'AD14'!J82+'AD15'!J82</f>
        <v>3238093.0595</v>
      </c>
      <c r="K82" s="81">
        <f>'AD14'!K82+'AD15'!K82</f>
        <v>416536.34600000002</v>
      </c>
      <c r="L82" s="81">
        <f>'AD14'!L82+'AD15'!L82</f>
        <v>569374.4</v>
      </c>
      <c r="M82" s="81">
        <f>'AD14'!M82+'AD15'!M82</f>
        <v>1845788.6481894178</v>
      </c>
      <c r="N82" s="81">
        <f>'AD14'!N82+'AD15'!N82</f>
        <v>535874.12366789533</v>
      </c>
      <c r="O82" s="81">
        <f>'AD14'!O82+'AD15'!O82</f>
        <v>2381662.7718573129</v>
      </c>
      <c r="P82" s="81">
        <f>'AD14'!P82+'AD15'!P82</f>
        <v>5083881.7076894175</v>
      </c>
      <c r="Q82" s="81">
        <f>'AD14'!Q82+'AD15'!Q82</f>
        <v>1105248.5236678955</v>
      </c>
      <c r="R82" s="81">
        <f>'AD14'!R82+'AD15'!R82</f>
        <v>6189130.2313573128</v>
      </c>
      <c r="S82" s="81">
        <f>'AD14'!S82+'AD15'!S82</f>
        <v>53092.089014494573</v>
      </c>
      <c r="T82" s="81">
        <f>'AD14'!T82+'AD15'!T82</f>
        <v>29922.102274990626</v>
      </c>
      <c r="U82" s="81">
        <f>'AD14'!U82+'AD15'!U82</f>
        <v>83444.786521344009</v>
      </c>
      <c r="V82" s="81">
        <f>'AD14'!V82+'AD15'!V82</f>
        <v>6272575.0178786572</v>
      </c>
      <c r="W82" s="81">
        <f>'AD14'!W82+'AD15'!W82</f>
        <v>5302930.6575000025</v>
      </c>
    </row>
    <row r="83" spans="1:23">
      <c r="A83" s="6">
        <f t="shared" si="5"/>
        <v>2020</v>
      </c>
      <c r="B83" s="81">
        <f>'AD14'!B83+'AD15'!B83</f>
        <v>0</v>
      </c>
      <c r="C83" s="81">
        <f>'AD14'!C83+'AD15'!C83</f>
        <v>0</v>
      </c>
      <c r="D83" s="81">
        <f>'AD14'!D83+'AD15'!D83</f>
        <v>94050</v>
      </c>
      <c r="E83" s="81">
        <f>'AD14'!E83+'AD15'!E83</f>
        <v>36065.324999999997</v>
      </c>
      <c r="F83" s="81">
        <f>'AD14'!F83+'AD15'!F83</f>
        <v>22999.665000000001</v>
      </c>
      <c r="G83" s="81">
        <f>'AD14'!G83+'AD15'!G83</f>
        <v>-100259.67500000028</v>
      </c>
      <c r="H83" s="81">
        <f>'AD14'!H83+'AD15'!H83</f>
        <v>16789.990000000238</v>
      </c>
      <c r="I83" s="81">
        <f>'AD14'!I83+'AD15'!I83</f>
        <v>-136325</v>
      </c>
      <c r="J83" s="81">
        <f>'AD14'!J83+'AD15'!J83</f>
        <v>-42275</v>
      </c>
      <c r="K83" s="81">
        <f>'AD14'!K83+'AD15'!K83</f>
        <v>36065.325000000186</v>
      </c>
      <c r="L83" s="81">
        <f>'AD14'!L83+'AD15'!L83</f>
        <v>59064.990000000005</v>
      </c>
      <c r="M83" s="81">
        <f>'AD14'!M83+'AD15'!M83</f>
        <v>6251270.825611975</v>
      </c>
      <c r="N83" s="81">
        <f>'AD14'!N83+'AD15'!N83</f>
        <v>1814885.0784034764</v>
      </c>
      <c r="O83" s="81">
        <f>'AD14'!O83+'AD15'!O83</f>
        <v>8066155.9040154517</v>
      </c>
      <c r="P83" s="81">
        <f>'AD14'!P83+'AD15'!P83</f>
        <v>6208995.825611975</v>
      </c>
      <c r="Q83" s="81">
        <f>'AD14'!Q83+'AD15'!Q83</f>
        <v>1873950.0684034768</v>
      </c>
      <c r="R83" s="81">
        <f>'AD14'!R83+'AD15'!R83</f>
        <v>8082945.8940154519</v>
      </c>
      <c r="S83" s="81">
        <f>'AD14'!S83+'AD15'!S83</f>
        <v>79670.274781934335</v>
      </c>
      <c r="T83" s="81">
        <f>'AD14'!T83+'AD15'!T83</f>
        <v>899.62823322507541</v>
      </c>
      <c r="U83" s="81">
        <f>'AD14'!U83+'AD15'!U83</f>
        <v>79731.90149062821</v>
      </c>
      <c r="V83" s="81">
        <f>'AD14'!V83+'AD15'!V83</f>
        <v>8162677.7955060806</v>
      </c>
      <c r="W83" s="81">
        <f>'AD14'!W83+'AD15'!W83</f>
        <v>2859693.5</v>
      </c>
    </row>
    <row r="84" spans="1:23">
      <c r="A84" s="6"/>
      <c r="B84" s="81">
        <f>'Exhibit H,5'!Q45</f>
        <v>0</v>
      </c>
      <c r="C84" s="81">
        <f>'Exhibit H,5'!R45</f>
        <v>0</v>
      </c>
      <c r="D84" s="81">
        <f>'Exhibit H,5'!S45</f>
        <v>0</v>
      </c>
      <c r="E84" s="81">
        <f>'Exhibit H,5'!T45</f>
        <v>0</v>
      </c>
      <c r="F84" s="81">
        <f>'Exhibit H,5'!U45</f>
        <v>0</v>
      </c>
      <c r="G84" s="81"/>
      <c r="H84" s="81"/>
      <c r="I84" s="81"/>
      <c r="J84" s="81"/>
      <c r="K84" s="81"/>
      <c r="L84" s="81"/>
      <c r="M84" s="81">
        <f>O84-N84</f>
        <v>0</v>
      </c>
      <c r="N84" s="81">
        <f>N$50*O84</f>
        <v>0</v>
      </c>
      <c r="O84" s="81"/>
      <c r="P84" s="81">
        <f>J84+M84</f>
        <v>0</v>
      </c>
      <c r="Q84" s="81">
        <f>L84+N84</f>
        <v>0</v>
      </c>
      <c r="R84" s="81"/>
      <c r="S84" s="81"/>
      <c r="T84" s="81"/>
      <c r="U84" s="81">
        <f>S84+T84</f>
        <v>0</v>
      </c>
      <c r="V84" s="81">
        <f>R84+U84</f>
        <v>0</v>
      </c>
      <c r="W84" s="81"/>
    </row>
    <row r="85" spans="1:23">
      <c r="A85" s="6" t="s">
        <v>0</v>
      </c>
      <c r="B85" s="82">
        <f>SUM(B55:B83)</f>
        <v>23426019.66</v>
      </c>
      <c r="C85" s="82">
        <f>SUM(C55:C83)</f>
        <v>0</v>
      </c>
      <c r="D85" s="82">
        <f t="shared" ref="D85:Q85" si="6">SUM(D55:D83)</f>
        <v>4741571.24</v>
      </c>
      <c r="E85" s="82">
        <f t="shared" si="6"/>
        <v>4681990.1030000001</v>
      </c>
      <c r="F85" s="82">
        <f t="shared" si="6"/>
        <v>736325.89700000011</v>
      </c>
      <c r="G85" s="82">
        <f>SUM(G55:G83)</f>
        <v>18787766.321499996</v>
      </c>
      <c r="H85" s="82">
        <f t="shared" si="6"/>
        <v>24265663.458500005</v>
      </c>
      <c r="I85" s="82">
        <f t="shared" si="6"/>
        <v>14105776.218499998</v>
      </c>
      <c r="J85" s="82">
        <f>SUM(J55:J83)</f>
        <v>18847347.458499998</v>
      </c>
      <c r="K85" s="82">
        <f t="shared" si="6"/>
        <v>4681990.1030000001</v>
      </c>
      <c r="L85" s="82">
        <f t="shared" si="6"/>
        <v>5418316</v>
      </c>
      <c r="M85" s="82">
        <f t="shared" si="6"/>
        <v>142048186.66667172</v>
      </c>
      <c r="N85" s="82">
        <f t="shared" si="6"/>
        <v>41235944.272259519</v>
      </c>
      <c r="O85" s="82">
        <f t="shared" si="6"/>
        <v>183284130.93893123</v>
      </c>
      <c r="P85" s="82">
        <f t="shared" si="6"/>
        <v>160892548.93617168</v>
      </c>
      <c r="Q85" s="82">
        <f t="shared" si="6"/>
        <v>46657245.461259514</v>
      </c>
      <c r="R85" s="82">
        <f>SUM(R55:R83)</f>
        <v>207549794.39743122</v>
      </c>
      <c r="S85" s="82">
        <f>SUM(S55:S83)</f>
        <v>1382274.0335830925</v>
      </c>
      <c r="T85" s="82">
        <f>SUM(T55:T83)</f>
        <v>99477.940010163249</v>
      </c>
      <c r="U85" s="82">
        <f>SUM(U55:U83)</f>
        <v>1483102.0335830925</v>
      </c>
      <c r="V85" s="82">
        <f>SUM(V55:V83)</f>
        <v>209032896.43101427</v>
      </c>
      <c r="W85" s="81"/>
    </row>
    <row r="86" spans="1:23">
      <c r="A86" s="6"/>
      <c r="B86" s="81"/>
      <c r="C86" s="81"/>
      <c r="D86" s="81"/>
      <c r="E86" s="81"/>
      <c r="F86" s="81"/>
      <c r="G86" s="81"/>
      <c r="H86" s="81"/>
      <c r="I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</row>
    <row r="87" spans="1:23">
      <c r="A87" s="6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</row>
    <row r="88" spans="1:23">
      <c r="A88" s="6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</row>
    <row r="89" spans="1:23">
      <c r="A89" s="6" t="s">
        <v>17</v>
      </c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</row>
    <row r="90" spans="1:23">
      <c r="A90" s="6"/>
      <c r="B90" s="29"/>
      <c r="C90" s="29"/>
      <c r="D90" s="29"/>
      <c r="E90" s="29"/>
      <c r="F90" s="29"/>
      <c r="G90" s="17"/>
      <c r="H90" s="81"/>
      <c r="I90" s="81"/>
      <c r="J90" s="81"/>
      <c r="K90" s="81"/>
      <c r="L90" s="81"/>
      <c r="M90" s="17"/>
      <c r="N90" s="81"/>
      <c r="O90" s="81"/>
      <c r="P90" s="81"/>
      <c r="Q90" s="81"/>
      <c r="R90" s="81" t="s">
        <v>67</v>
      </c>
      <c r="S90" s="6"/>
      <c r="T90" s="6"/>
      <c r="U90" s="6"/>
      <c r="V90" s="6" t="s">
        <v>67</v>
      </c>
      <c r="W90" s="6"/>
    </row>
    <row r="91" spans="1:23">
      <c r="A91" s="6" t="s">
        <v>3</v>
      </c>
      <c r="B91" s="29"/>
      <c r="C91" s="29"/>
      <c r="D91" s="29"/>
      <c r="E91" s="29"/>
      <c r="F91" s="29"/>
      <c r="G91" s="81" t="s">
        <v>14</v>
      </c>
      <c r="H91" s="81" t="s">
        <v>12</v>
      </c>
      <c r="I91" s="81" t="s">
        <v>14</v>
      </c>
      <c r="J91" s="81" t="s">
        <v>12</v>
      </c>
      <c r="K91" s="81" t="s">
        <v>14</v>
      </c>
      <c r="L91" s="81" t="s">
        <v>12</v>
      </c>
      <c r="M91" s="81" t="s">
        <v>381</v>
      </c>
      <c r="N91" s="81" t="s">
        <v>381</v>
      </c>
      <c r="O91" s="81" t="s">
        <v>381</v>
      </c>
      <c r="P91" s="81" t="s">
        <v>660</v>
      </c>
      <c r="Q91" s="81" t="s">
        <v>67</v>
      </c>
      <c r="R91" s="81" t="s">
        <v>662</v>
      </c>
      <c r="S91" s="6" t="s">
        <v>661</v>
      </c>
      <c r="T91" s="6" t="s">
        <v>661</v>
      </c>
      <c r="U91" s="6" t="s">
        <v>67</v>
      </c>
      <c r="V91" s="6" t="s">
        <v>663</v>
      </c>
      <c r="W91" s="6" t="s">
        <v>177</v>
      </c>
    </row>
    <row r="92" spans="1:23">
      <c r="A92" s="6" t="s">
        <v>4</v>
      </c>
      <c r="B92" s="30"/>
      <c r="C92" s="30"/>
      <c r="D92" s="30"/>
      <c r="E92" s="30"/>
      <c r="F92" s="30"/>
      <c r="G92" s="81" t="s">
        <v>0</v>
      </c>
      <c r="H92" s="81" t="s">
        <v>0</v>
      </c>
      <c r="I92" s="81" t="s">
        <v>566</v>
      </c>
      <c r="J92" s="81" t="s">
        <v>566</v>
      </c>
      <c r="K92" s="81" t="s">
        <v>567</v>
      </c>
      <c r="L92" s="81" t="s">
        <v>567</v>
      </c>
      <c r="M92" s="81" t="s">
        <v>566</v>
      </c>
      <c r="N92" s="81" t="s">
        <v>567</v>
      </c>
      <c r="O92" s="81" t="s">
        <v>0</v>
      </c>
      <c r="P92" s="81" t="s">
        <v>566</v>
      </c>
      <c r="Q92" s="81" t="s">
        <v>567</v>
      </c>
      <c r="R92" s="81" t="s">
        <v>0</v>
      </c>
      <c r="S92" s="6" t="s">
        <v>117</v>
      </c>
      <c r="T92" s="6" t="s">
        <v>14</v>
      </c>
      <c r="U92" s="6" t="s">
        <v>661</v>
      </c>
      <c r="V92" s="6" t="s">
        <v>0</v>
      </c>
      <c r="W92" s="6" t="s">
        <v>16</v>
      </c>
    </row>
    <row r="93" spans="1:23">
      <c r="A93" s="10">
        <v>-1</v>
      </c>
      <c r="B93" s="10">
        <f>A93-1</f>
        <v>-2</v>
      </c>
      <c r="C93" s="10">
        <f>B93-1</f>
        <v>-3</v>
      </c>
      <c r="D93" s="10">
        <f t="shared" ref="D93:L93" si="7">C93-1</f>
        <v>-4</v>
      </c>
      <c r="E93" s="10">
        <f t="shared" si="7"/>
        <v>-5</v>
      </c>
      <c r="F93" s="10">
        <f t="shared" si="7"/>
        <v>-6</v>
      </c>
      <c r="G93" s="10">
        <f t="shared" si="7"/>
        <v>-7</v>
      </c>
      <c r="H93" s="10">
        <f t="shared" si="7"/>
        <v>-8</v>
      </c>
      <c r="I93" s="10">
        <f t="shared" si="7"/>
        <v>-9</v>
      </c>
      <c r="J93" s="10">
        <f t="shared" si="7"/>
        <v>-10</v>
      </c>
      <c r="K93" s="10">
        <f t="shared" si="7"/>
        <v>-11</v>
      </c>
      <c r="L93" s="10">
        <f t="shared" si="7"/>
        <v>-12</v>
      </c>
      <c r="M93" s="10">
        <f>L93-1</f>
        <v>-13</v>
      </c>
      <c r="N93" s="10">
        <f t="shared" ref="N93:W93" si="8">M93-1</f>
        <v>-14</v>
      </c>
      <c r="O93" s="10">
        <f t="shared" si="8"/>
        <v>-15</v>
      </c>
      <c r="P93" s="10">
        <f t="shared" si="8"/>
        <v>-16</v>
      </c>
      <c r="Q93" s="10">
        <f t="shared" si="8"/>
        <v>-17</v>
      </c>
      <c r="R93" s="10">
        <f t="shared" si="8"/>
        <v>-18</v>
      </c>
      <c r="S93" s="10">
        <f t="shared" si="8"/>
        <v>-19</v>
      </c>
      <c r="T93" s="10">
        <f t="shared" si="8"/>
        <v>-20</v>
      </c>
      <c r="U93" s="10">
        <f t="shared" si="8"/>
        <v>-21</v>
      </c>
      <c r="V93" s="10">
        <f t="shared" si="8"/>
        <v>-22</v>
      </c>
      <c r="W93" s="10">
        <f t="shared" si="8"/>
        <v>-23</v>
      </c>
    </row>
    <row r="94" spans="1:23">
      <c r="A94" s="80"/>
      <c r="B94" s="81"/>
      <c r="C94" s="81"/>
      <c r="D94" s="81"/>
      <c r="E94" s="81"/>
      <c r="F94" s="81"/>
      <c r="G94" s="17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6"/>
      <c r="T94" s="6"/>
      <c r="U94" s="6"/>
      <c r="V94" s="6"/>
      <c r="W94" s="6"/>
    </row>
    <row r="95" spans="1:23">
      <c r="A95" s="6">
        <v>1992</v>
      </c>
      <c r="B95" s="81"/>
      <c r="C95" s="81"/>
      <c r="D95" s="81"/>
      <c r="E95" s="81"/>
      <c r="F95" s="81"/>
      <c r="G95" s="81">
        <f t="shared" ref="G95:T95" si="9">G15-G55</f>
        <v>0</v>
      </c>
      <c r="H95" s="81">
        <f t="shared" si="9"/>
        <v>0</v>
      </c>
      <c r="I95" s="81">
        <f t="shared" si="9"/>
        <v>0</v>
      </c>
      <c r="J95" s="81">
        <f t="shared" si="9"/>
        <v>0</v>
      </c>
      <c r="K95" s="81">
        <f t="shared" si="9"/>
        <v>0</v>
      </c>
      <c r="L95" s="81">
        <f t="shared" si="9"/>
        <v>0</v>
      </c>
      <c r="M95" s="81">
        <f t="shared" si="9"/>
        <v>0</v>
      </c>
      <c r="N95" s="81">
        <f t="shared" si="9"/>
        <v>0</v>
      </c>
      <c r="O95" s="81">
        <f t="shared" si="9"/>
        <v>0</v>
      </c>
      <c r="P95" s="81">
        <f t="shared" si="9"/>
        <v>0</v>
      </c>
      <c r="Q95" s="81">
        <f t="shared" si="9"/>
        <v>0</v>
      </c>
      <c r="R95" s="81">
        <f t="shared" si="9"/>
        <v>0</v>
      </c>
      <c r="S95" s="81">
        <f t="shared" si="9"/>
        <v>0</v>
      </c>
      <c r="T95" s="81">
        <f t="shared" si="9"/>
        <v>0</v>
      </c>
      <c r="U95" s="81">
        <f>S95+T95</f>
        <v>0</v>
      </c>
      <c r="V95" s="81">
        <f>R95+U95</f>
        <v>0</v>
      </c>
      <c r="W95" s="81"/>
    </row>
    <row r="96" spans="1:23">
      <c r="A96" s="6">
        <f>A95+1</f>
        <v>1993</v>
      </c>
      <c r="B96" s="81"/>
      <c r="C96" s="81"/>
      <c r="D96" s="81"/>
      <c r="E96" s="81"/>
      <c r="F96" s="81"/>
      <c r="G96" s="81">
        <f t="shared" ref="G96:T111" si="10">G16-G56</f>
        <v>0</v>
      </c>
      <c r="H96" s="81">
        <f t="shared" si="10"/>
        <v>0</v>
      </c>
      <c r="I96" s="81">
        <f t="shared" si="10"/>
        <v>0</v>
      </c>
      <c r="J96" s="81">
        <f t="shared" si="10"/>
        <v>0</v>
      </c>
      <c r="K96" s="81">
        <f t="shared" si="10"/>
        <v>0</v>
      </c>
      <c r="L96" s="81">
        <f t="shared" si="10"/>
        <v>0</v>
      </c>
      <c r="M96" s="81">
        <f t="shared" si="10"/>
        <v>0</v>
      </c>
      <c r="N96" s="81">
        <f t="shared" si="10"/>
        <v>0</v>
      </c>
      <c r="O96" s="81">
        <f t="shared" ref="O96:O110" si="11">O16-O56</f>
        <v>0</v>
      </c>
      <c r="P96" s="81">
        <f t="shared" si="10"/>
        <v>0</v>
      </c>
      <c r="Q96" s="81">
        <f t="shared" si="10"/>
        <v>0</v>
      </c>
      <c r="R96" s="81">
        <f t="shared" si="10"/>
        <v>0</v>
      </c>
      <c r="S96" s="81">
        <f t="shared" si="10"/>
        <v>0</v>
      </c>
      <c r="T96" s="81">
        <f t="shared" si="10"/>
        <v>0</v>
      </c>
      <c r="U96" s="81">
        <f t="shared" ref="U96:U124" si="12">S96+T96</f>
        <v>0</v>
      </c>
      <c r="V96" s="81">
        <f t="shared" ref="V96:V124" si="13">R96+U96</f>
        <v>0</v>
      </c>
      <c r="W96" s="81"/>
    </row>
    <row r="97" spans="1:23">
      <c r="A97" s="6">
        <f t="shared" ref="A97:A123" si="14">A96+1</f>
        <v>1994</v>
      </c>
      <c r="B97" s="81"/>
      <c r="C97" s="81"/>
      <c r="D97" s="81"/>
      <c r="E97" s="81"/>
      <c r="F97" s="81"/>
      <c r="G97" s="81">
        <f t="shared" si="10"/>
        <v>0</v>
      </c>
      <c r="H97" s="81">
        <f t="shared" si="10"/>
        <v>0</v>
      </c>
      <c r="I97" s="81">
        <f t="shared" si="10"/>
        <v>0</v>
      </c>
      <c r="J97" s="81">
        <f t="shared" si="10"/>
        <v>0</v>
      </c>
      <c r="K97" s="81">
        <f t="shared" si="10"/>
        <v>0</v>
      </c>
      <c r="L97" s="81">
        <f t="shared" si="10"/>
        <v>0</v>
      </c>
      <c r="M97" s="81">
        <f t="shared" si="10"/>
        <v>0</v>
      </c>
      <c r="N97" s="81">
        <f t="shared" si="10"/>
        <v>0</v>
      </c>
      <c r="O97" s="81">
        <f t="shared" si="11"/>
        <v>0</v>
      </c>
      <c r="P97" s="81">
        <f t="shared" si="10"/>
        <v>0</v>
      </c>
      <c r="Q97" s="81">
        <f t="shared" si="10"/>
        <v>0</v>
      </c>
      <c r="R97" s="81">
        <f t="shared" si="10"/>
        <v>0</v>
      </c>
      <c r="S97" s="81">
        <f t="shared" si="10"/>
        <v>0</v>
      </c>
      <c r="T97" s="81">
        <f t="shared" si="10"/>
        <v>0</v>
      </c>
      <c r="U97" s="81">
        <f t="shared" si="12"/>
        <v>0</v>
      </c>
      <c r="V97" s="81">
        <f t="shared" si="13"/>
        <v>0</v>
      </c>
      <c r="W97" s="81"/>
    </row>
    <row r="98" spans="1:23">
      <c r="A98" s="6">
        <f t="shared" si="14"/>
        <v>1995</v>
      </c>
      <c r="B98" s="81"/>
      <c r="C98" s="81"/>
      <c r="D98" s="81"/>
      <c r="E98" s="81"/>
      <c r="F98" s="81"/>
      <c r="G98" s="81">
        <f t="shared" si="10"/>
        <v>0</v>
      </c>
      <c r="H98" s="81">
        <f t="shared" si="10"/>
        <v>0</v>
      </c>
      <c r="I98" s="81">
        <f t="shared" si="10"/>
        <v>0</v>
      </c>
      <c r="J98" s="81">
        <f t="shared" si="10"/>
        <v>0</v>
      </c>
      <c r="K98" s="81">
        <f t="shared" si="10"/>
        <v>0</v>
      </c>
      <c r="L98" s="81">
        <f t="shared" si="10"/>
        <v>0</v>
      </c>
      <c r="M98" s="81">
        <f t="shared" si="10"/>
        <v>0</v>
      </c>
      <c r="N98" s="81">
        <f t="shared" si="10"/>
        <v>0</v>
      </c>
      <c r="O98" s="81">
        <f t="shared" si="11"/>
        <v>0</v>
      </c>
      <c r="P98" s="81">
        <f t="shared" si="10"/>
        <v>0</v>
      </c>
      <c r="Q98" s="81">
        <f t="shared" si="10"/>
        <v>0</v>
      </c>
      <c r="R98" s="81">
        <f t="shared" si="10"/>
        <v>0</v>
      </c>
      <c r="S98" s="81">
        <f t="shared" si="10"/>
        <v>0</v>
      </c>
      <c r="T98" s="81">
        <f t="shared" si="10"/>
        <v>0</v>
      </c>
      <c r="U98" s="81">
        <f t="shared" si="12"/>
        <v>0</v>
      </c>
      <c r="V98" s="81">
        <f t="shared" si="13"/>
        <v>0</v>
      </c>
      <c r="W98" s="81"/>
    </row>
    <row r="99" spans="1:23">
      <c r="A99" s="6">
        <f t="shared" si="14"/>
        <v>1996</v>
      </c>
      <c r="B99" s="81"/>
      <c r="C99" s="81"/>
      <c r="D99" s="81"/>
      <c r="E99" s="81"/>
      <c r="F99" s="81"/>
      <c r="G99" s="81">
        <f t="shared" si="10"/>
        <v>0</v>
      </c>
      <c r="H99" s="81">
        <f t="shared" si="10"/>
        <v>0</v>
      </c>
      <c r="I99" s="81">
        <f t="shared" si="10"/>
        <v>0</v>
      </c>
      <c r="J99" s="81">
        <f t="shared" si="10"/>
        <v>0</v>
      </c>
      <c r="K99" s="81">
        <f t="shared" si="10"/>
        <v>0</v>
      </c>
      <c r="L99" s="81">
        <f t="shared" si="10"/>
        <v>0</v>
      </c>
      <c r="M99" s="81">
        <f t="shared" si="10"/>
        <v>0</v>
      </c>
      <c r="N99" s="81">
        <f t="shared" si="10"/>
        <v>0</v>
      </c>
      <c r="O99" s="81">
        <f t="shared" si="11"/>
        <v>0</v>
      </c>
      <c r="P99" s="81">
        <f t="shared" si="10"/>
        <v>0</v>
      </c>
      <c r="Q99" s="81">
        <f t="shared" si="10"/>
        <v>0</v>
      </c>
      <c r="R99" s="81">
        <f t="shared" si="10"/>
        <v>0</v>
      </c>
      <c r="S99" s="81">
        <f t="shared" si="10"/>
        <v>0</v>
      </c>
      <c r="T99" s="81">
        <f t="shared" si="10"/>
        <v>0</v>
      </c>
      <c r="U99" s="81">
        <f t="shared" si="12"/>
        <v>0</v>
      </c>
      <c r="V99" s="81">
        <f t="shared" si="13"/>
        <v>0</v>
      </c>
      <c r="W99" s="81"/>
    </row>
    <row r="100" spans="1:23">
      <c r="A100" s="6">
        <f t="shared" si="14"/>
        <v>1997</v>
      </c>
      <c r="B100" s="81"/>
      <c r="C100" s="81"/>
      <c r="D100" s="81"/>
      <c r="E100" s="81"/>
      <c r="F100" s="81"/>
      <c r="G100" s="81">
        <f t="shared" si="10"/>
        <v>0</v>
      </c>
      <c r="H100" s="81">
        <f t="shared" si="10"/>
        <v>0</v>
      </c>
      <c r="I100" s="81">
        <f t="shared" si="10"/>
        <v>0</v>
      </c>
      <c r="J100" s="81">
        <f t="shared" si="10"/>
        <v>0</v>
      </c>
      <c r="K100" s="81">
        <f t="shared" si="10"/>
        <v>0</v>
      </c>
      <c r="L100" s="81">
        <f t="shared" si="10"/>
        <v>0</v>
      </c>
      <c r="M100" s="81">
        <f t="shared" si="10"/>
        <v>0</v>
      </c>
      <c r="N100" s="81">
        <f t="shared" si="10"/>
        <v>0</v>
      </c>
      <c r="O100" s="81">
        <f t="shared" si="11"/>
        <v>0</v>
      </c>
      <c r="P100" s="81">
        <f t="shared" si="10"/>
        <v>0</v>
      </c>
      <c r="Q100" s="81">
        <f t="shared" si="10"/>
        <v>0</v>
      </c>
      <c r="R100" s="81">
        <f t="shared" si="10"/>
        <v>0</v>
      </c>
      <c r="S100" s="81">
        <f t="shared" si="10"/>
        <v>0</v>
      </c>
      <c r="T100" s="81">
        <f t="shared" si="10"/>
        <v>0</v>
      </c>
      <c r="U100" s="81">
        <f t="shared" si="12"/>
        <v>0</v>
      </c>
      <c r="V100" s="81">
        <f t="shared" si="13"/>
        <v>0</v>
      </c>
      <c r="W100" s="81"/>
    </row>
    <row r="101" spans="1:23">
      <c r="A101" s="6">
        <f t="shared" si="14"/>
        <v>1998</v>
      </c>
      <c r="B101" s="81"/>
      <c r="C101" s="81"/>
      <c r="D101" s="81"/>
      <c r="E101" s="81"/>
      <c r="F101" s="81"/>
      <c r="G101" s="81">
        <f t="shared" si="10"/>
        <v>0</v>
      </c>
      <c r="H101" s="81">
        <f t="shared" si="10"/>
        <v>0</v>
      </c>
      <c r="I101" s="81">
        <f t="shared" si="10"/>
        <v>0</v>
      </c>
      <c r="J101" s="81">
        <f t="shared" si="10"/>
        <v>0</v>
      </c>
      <c r="K101" s="81">
        <f t="shared" si="10"/>
        <v>0</v>
      </c>
      <c r="L101" s="81">
        <f t="shared" si="10"/>
        <v>0</v>
      </c>
      <c r="M101" s="81">
        <f t="shared" si="10"/>
        <v>0</v>
      </c>
      <c r="N101" s="81">
        <f t="shared" si="10"/>
        <v>0</v>
      </c>
      <c r="O101" s="81">
        <f t="shared" si="11"/>
        <v>0</v>
      </c>
      <c r="P101" s="81">
        <f t="shared" si="10"/>
        <v>0</v>
      </c>
      <c r="Q101" s="81">
        <f t="shared" si="10"/>
        <v>0</v>
      </c>
      <c r="R101" s="81">
        <f t="shared" si="10"/>
        <v>0</v>
      </c>
      <c r="S101" s="81">
        <f t="shared" si="10"/>
        <v>0</v>
      </c>
      <c r="T101" s="81">
        <f t="shared" si="10"/>
        <v>0</v>
      </c>
      <c r="U101" s="81">
        <f t="shared" si="12"/>
        <v>0</v>
      </c>
      <c r="V101" s="81">
        <f t="shared" si="13"/>
        <v>0</v>
      </c>
      <c r="W101" s="81"/>
    </row>
    <row r="102" spans="1:23">
      <c r="A102" s="6">
        <f t="shared" si="14"/>
        <v>1999</v>
      </c>
      <c r="B102" s="81"/>
      <c r="C102" s="81"/>
      <c r="D102" s="81"/>
      <c r="E102" s="81"/>
      <c r="F102" s="81"/>
      <c r="G102" s="81">
        <f t="shared" si="10"/>
        <v>0</v>
      </c>
      <c r="H102" s="81">
        <f t="shared" si="10"/>
        <v>0</v>
      </c>
      <c r="I102" s="81">
        <f t="shared" si="10"/>
        <v>0</v>
      </c>
      <c r="J102" s="81">
        <f t="shared" si="10"/>
        <v>0</v>
      </c>
      <c r="K102" s="81">
        <f t="shared" si="10"/>
        <v>0</v>
      </c>
      <c r="L102" s="81">
        <f t="shared" si="10"/>
        <v>0</v>
      </c>
      <c r="M102" s="81">
        <f t="shared" si="10"/>
        <v>0</v>
      </c>
      <c r="N102" s="81">
        <f t="shared" si="10"/>
        <v>0</v>
      </c>
      <c r="O102" s="81">
        <f t="shared" si="11"/>
        <v>0</v>
      </c>
      <c r="P102" s="81">
        <f t="shared" si="10"/>
        <v>0</v>
      </c>
      <c r="Q102" s="81">
        <f t="shared" si="10"/>
        <v>0</v>
      </c>
      <c r="R102" s="81">
        <f t="shared" si="10"/>
        <v>0</v>
      </c>
      <c r="S102" s="81">
        <f t="shared" si="10"/>
        <v>0</v>
      </c>
      <c r="T102" s="81">
        <f t="shared" si="10"/>
        <v>0</v>
      </c>
      <c r="U102" s="81">
        <f t="shared" si="12"/>
        <v>0</v>
      </c>
      <c r="V102" s="81">
        <f t="shared" si="13"/>
        <v>0</v>
      </c>
      <c r="W102" s="81"/>
    </row>
    <row r="103" spans="1:23">
      <c r="A103" s="6">
        <f t="shared" si="14"/>
        <v>2000</v>
      </c>
      <c r="B103" s="81"/>
      <c r="C103" s="81"/>
      <c r="D103" s="81"/>
      <c r="E103" s="81"/>
      <c r="F103" s="81"/>
      <c r="G103" s="81">
        <f t="shared" si="10"/>
        <v>0</v>
      </c>
      <c r="H103" s="81">
        <f t="shared" si="10"/>
        <v>0</v>
      </c>
      <c r="I103" s="81">
        <f t="shared" si="10"/>
        <v>0</v>
      </c>
      <c r="J103" s="81">
        <f t="shared" si="10"/>
        <v>0</v>
      </c>
      <c r="K103" s="81">
        <f t="shared" si="10"/>
        <v>0</v>
      </c>
      <c r="L103" s="81">
        <f t="shared" si="10"/>
        <v>0</v>
      </c>
      <c r="M103" s="81">
        <f t="shared" si="10"/>
        <v>0</v>
      </c>
      <c r="N103" s="81">
        <f t="shared" si="10"/>
        <v>0</v>
      </c>
      <c r="O103" s="81">
        <f t="shared" si="11"/>
        <v>0</v>
      </c>
      <c r="P103" s="81">
        <f t="shared" si="10"/>
        <v>0</v>
      </c>
      <c r="Q103" s="81">
        <f t="shared" si="10"/>
        <v>0</v>
      </c>
      <c r="R103" s="81">
        <f t="shared" si="10"/>
        <v>0</v>
      </c>
      <c r="S103" s="81">
        <f t="shared" si="10"/>
        <v>0</v>
      </c>
      <c r="T103" s="81">
        <f t="shared" si="10"/>
        <v>0</v>
      </c>
      <c r="U103" s="81">
        <f t="shared" si="12"/>
        <v>0</v>
      </c>
      <c r="V103" s="81">
        <f t="shared" si="13"/>
        <v>0</v>
      </c>
      <c r="W103" s="81"/>
    </row>
    <row r="104" spans="1:23">
      <c r="A104" s="6">
        <f t="shared" si="14"/>
        <v>2001</v>
      </c>
      <c r="B104" s="81"/>
      <c r="C104" s="81"/>
      <c r="D104" s="81"/>
      <c r="E104" s="81"/>
      <c r="F104" s="81"/>
      <c r="G104" s="81">
        <f t="shared" si="10"/>
        <v>0</v>
      </c>
      <c r="H104" s="81">
        <f t="shared" si="10"/>
        <v>0</v>
      </c>
      <c r="I104" s="81">
        <f t="shared" si="10"/>
        <v>0</v>
      </c>
      <c r="J104" s="81">
        <f t="shared" si="10"/>
        <v>0</v>
      </c>
      <c r="K104" s="81">
        <f t="shared" si="10"/>
        <v>0</v>
      </c>
      <c r="L104" s="81">
        <f t="shared" si="10"/>
        <v>0</v>
      </c>
      <c r="M104" s="81">
        <f t="shared" si="10"/>
        <v>0</v>
      </c>
      <c r="N104" s="81">
        <f t="shared" si="10"/>
        <v>0</v>
      </c>
      <c r="O104" s="81">
        <f t="shared" si="11"/>
        <v>0</v>
      </c>
      <c r="P104" s="81">
        <f t="shared" si="10"/>
        <v>0</v>
      </c>
      <c r="Q104" s="81">
        <f t="shared" si="10"/>
        <v>0</v>
      </c>
      <c r="R104" s="81">
        <f t="shared" si="10"/>
        <v>0</v>
      </c>
      <c r="S104" s="81">
        <f t="shared" si="10"/>
        <v>0</v>
      </c>
      <c r="T104" s="81">
        <f t="shared" si="10"/>
        <v>0</v>
      </c>
      <c r="U104" s="81">
        <f t="shared" si="12"/>
        <v>0</v>
      </c>
      <c r="V104" s="81">
        <f t="shared" si="13"/>
        <v>0</v>
      </c>
      <c r="W104" s="81"/>
    </row>
    <row r="105" spans="1:23">
      <c r="A105" s="6">
        <f t="shared" si="14"/>
        <v>2002</v>
      </c>
      <c r="B105" s="81"/>
      <c r="C105" s="81"/>
      <c r="D105" s="81"/>
      <c r="E105" s="81"/>
      <c r="F105" s="81"/>
      <c r="G105" s="81">
        <f t="shared" si="10"/>
        <v>0</v>
      </c>
      <c r="H105" s="81">
        <f t="shared" si="10"/>
        <v>0</v>
      </c>
      <c r="I105" s="81">
        <f t="shared" si="10"/>
        <v>0</v>
      </c>
      <c r="J105" s="81">
        <f t="shared" si="10"/>
        <v>0</v>
      </c>
      <c r="K105" s="81">
        <f t="shared" si="10"/>
        <v>0</v>
      </c>
      <c r="L105" s="81">
        <f t="shared" si="10"/>
        <v>0</v>
      </c>
      <c r="M105" s="81">
        <f t="shared" si="10"/>
        <v>0</v>
      </c>
      <c r="N105" s="81">
        <f t="shared" si="10"/>
        <v>0</v>
      </c>
      <c r="O105" s="81">
        <f t="shared" si="11"/>
        <v>0</v>
      </c>
      <c r="P105" s="81">
        <f t="shared" si="10"/>
        <v>0</v>
      </c>
      <c r="Q105" s="81">
        <f t="shared" si="10"/>
        <v>0</v>
      </c>
      <c r="R105" s="81">
        <f t="shared" si="10"/>
        <v>0</v>
      </c>
      <c r="S105" s="81">
        <f t="shared" si="10"/>
        <v>0</v>
      </c>
      <c r="T105" s="81">
        <f t="shared" si="10"/>
        <v>0</v>
      </c>
      <c r="U105" s="81">
        <f t="shared" si="12"/>
        <v>0</v>
      </c>
      <c r="V105" s="81">
        <f t="shared" si="13"/>
        <v>0</v>
      </c>
      <c r="W105" s="81"/>
    </row>
    <row r="106" spans="1:23">
      <c r="A106" s="6">
        <f t="shared" si="14"/>
        <v>2003</v>
      </c>
      <c r="B106" s="81"/>
      <c r="C106" s="81"/>
      <c r="D106" s="81"/>
      <c r="E106" s="81"/>
      <c r="F106" s="81"/>
      <c r="G106" s="81">
        <f t="shared" si="10"/>
        <v>0</v>
      </c>
      <c r="H106" s="81">
        <f t="shared" si="10"/>
        <v>0</v>
      </c>
      <c r="I106" s="81">
        <f t="shared" si="10"/>
        <v>0</v>
      </c>
      <c r="J106" s="81">
        <f t="shared" si="10"/>
        <v>0</v>
      </c>
      <c r="K106" s="81">
        <f t="shared" si="10"/>
        <v>0</v>
      </c>
      <c r="L106" s="81">
        <f t="shared" si="10"/>
        <v>0</v>
      </c>
      <c r="M106" s="81">
        <f t="shared" si="10"/>
        <v>0</v>
      </c>
      <c r="N106" s="81">
        <f t="shared" si="10"/>
        <v>0</v>
      </c>
      <c r="O106" s="81">
        <f t="shared" si="11"/>
        <v>0</v>
      </c>
      <c r="P106" s="81">
        <f t="shared" si="10"/>
        <v>0</v>
      </c>
      <c r="Q106" s="81">
        <f t="shared" si="10"/>
        <v>0</v>
      </c>
      <c r="R106" s="81">
        <f t="shared" si="10"/>
        <v>0</v>
      </c>
      <c r="S106" s="81">
        <f t="shared" si="10"/>
        <v>0</v>
      </c>
      <c r="T106" s="81">
        <f t="shared" si="10"/>
        <v>0</v>
      </c>
      <c r="U106" s="81">
        <f t="shared" si="12"/>
        <v>0</v>
      </c>
      <c r="V106" s="81">
        <f t="shared" si="13"/>
        <v>0</v>
      </c>
      <c r="W106" s="81"/>
    </row>
    <row r="107" spans="1:23">
      <c r="A107" s="6">
        <f t="shared" si="14"/>
        <v>2004</v>
      </c>
      <c r="B107" s="81"/>
      <c r="C107" s="81"/>
      <c r="D107" s="81"/>
      <c r="E107" s="81"/>
      <c r="F107" s="81"/>
      <c r="G107" s="81">
        <f t="shared" si="10"/>
        <v>0</v>
      </c>
      <c r="H107" s="81">
        <f t="shared" si="10"/>
        <v>0</v>
      </c>
      <c r="I107" s="81">
        <f t="shared" si="10"/>
        <v>0</v>
      </c>
      <c r="J107" s="81">
        <f t="shared" si="10"/>
        <v>0</v>
      </c>
      <c r="K107" s="81">
        <f t="shared" si="10"/>
        <v>0</v>
      </c>
      <c r="L107" s="81">
        <f t="shared" si="10"/>
        <v>0</v>
      </c>
      <c r="M107" s="81">
        <f t="shared" si="10"/>
        <v>0</v>
      </c>
      <c r="N107" s="81">
        <f t="shared" si="10"/>
        <v>0</v>
      </c>
      <c r="O107" s="81">
        <f t="shared" si="11"/>
        <v>0</v>
      </c>
      <c r="P107" s="81">
        <f t="shared" si="10"/>
        <v>0</v>
      </c>
      <c r="Q107" s="81">
        <f t="shared" si="10"/>
        <v>0</v>
      </c>
      <c r="R107" s="81">
        <f t="shared" si="10"/>
        <v>0</v>
      </c>
      <c r="S107" s="81">
        <f t="shared" si="10"/>
        <v>0</v>
      </c>
      <c r="T107" s="81">
        <f t="shared" si="10"/>
        <v>0</v>
      </c>
      <c r="U107" s="81">
        <f t="shared" si="12"/>
        <v>0</v>
      </c>
      <c r="V107" s="81">
        <f t="shared" si="13"/>
        <v>0</v>
      </c>
      <c r="W107" s="81"/>
    </row>
    <row r="108" spans="1:23">
      <c r="A108" s="6">
        <f t="shared" si="14"/>
        <v>2005</v>
      </c>
      <c r="B108" s="81"/>
      <c r="C108" s="81"/>
      <c r="D108" s="81"/>
      <c r="E108" s="81"/>
      <c r="F108" s="81"/>
      <c r="G108" s="81">
        <f t="shared" si="10"/>
        <v>0</v>
      </c>
      <c r="H108" s="81">
        <f t="shared" si="10"/>
        <v>0</v>
      </c>
      <c r="I108" s="81">
        <f t="shared" si="10"/>
        <v>0</v>
      </c>
      <c r="J108" s="81">
        <f t="shared" si="10"/>
        <v>0</v>
      </c>
      <c r="K108" s="81">
        <f t="shared" si="10"/>
        <v>0</v>
      </c>
      <c r="L108" s="81">
        <f t="shared" si="10"/>
        <v>0</v>
      </c>
      <c r="M108" s="81">
        <f t="shared" si="10"/>
        <v>0</v>
      </c>
      <c r="N108" s="81">
        <f t="shared" si="10"/>
        <v>0</v>
      </c>
      <c r="O108" s="81">
        <f t="shared" si="11"/>
        <v>0</v>
      </c>
      <c r="P108" s="81">
        <f t="shared" si="10"/>
        <v>0</v>
      </c>
      <c r="Q108" s="81">
        <f t="shared" si="10"/>
        <v>0</v>
      </c>
      <c r="R108" s="81">
        <f t="shared" si="10"/>
        <v>0</v>
      </c>
      <c r="S108" s="81">
        <f t="shared" si="10"/>
        <v>0</v>
      </c>
      <c r="T108" s="81">
        <f t="shared" si="10"/>
        <v>0</v>
      </c>
      <c r="U108" s="81">
        <f t="shared" si="12"/>
        <v>0</v>
      </c>
      <c r="V108" s="81">
        <f t="shared" si="13"/>
        <v>0</v>
      </c>
      <c r="W108" s="81"/>
    </row>
    <row r="109" spans="1:23">
      <c r="A109" s="6">
        <f t="shared" si="14"/>
        <v>2006</v>
      </c>
      <c r="B109" s="81"/>
      <c r="C109" s="81"/>
      <c r="D109" s="81"/>
      <c r="E109" s="81"/>
      <c r="F109" s="81"/>
      <c r="G109" s="81">
        <f t="shared" si="10"/>
        <v>0</v>
      </c>
      <c r="H109" s="81">
        <f t="shared" si="10"/>
        <v>0</v>
      </c>
      <c r="I109" s="81">
        <f t="shared" si="10"/>
        <v>0</v>
      </c>
      <c r="J109" s="81">
        <f t="shared" si="10"/>
        <v>0</v>
      </c>
      <c r="K109" s="81">
        <f t="shared" si="10"/>
        <v>0</v>
      </c>
      <c r="L109" s="81">
        <f t="shared" si="10"/>
        <v>0</v>
      </c>
      <c r="M109" s="81">
        <f t="shared" si="10"/>
        <v>0</v>
      </c>
      <c r="N109" s="81">
        <f t="shared" si="10"/>
        <v>0</v>
      </c>
      <c r="O109" s="81">
        <f t="shared" si="11"/>
        <v>0</v>
      </c>
      <c r="P109" s="81">
        <f t="shared" si="10"/>
        <v>0</v>
      </c>
      <c r="Q109" s="81">
        <f t="shared" si="10"/>
        <v>0</v>
      </c>
      <c r="R109" s="81">
        <f t="shared" si="10"/>
        <v>0</v>
      </c>
      <c r="S109" s="81">
        <f t="shared" si="10"/>
        <v>0</v>
      </c>
      <c r="T109" s="81">
        <f t="shared" si="10"/>
        <v>0</v>
      </c>
      <c r="U109" s="81">
        <f t="shared" si="12"/>
        <v>0</v>
      </c>
      <c r="V109" s="81">
        <f t="shared" si="13"/>
        <v>0</v>
      </c>
      <c r="W109" s="81"/>
    </row>
    <row r="110" spans="1:23">
      <c r="A110" s="6">
        <f t="shared" si="14"/>
        <v>2007</v>
      </c>
      <c r="B110" s="81"/>
      <c r="C110" s="81"/>
      <c r="D110" s="81"/>
      <c r="E110" s="81"/>
      <c r="F110" s="81"/>
      <c r="G110" s="81">
        <f t="shared" si="10"/>
        <v>0</v>
      </c>
      <c r="H110" s="81">
        <f t="shared" si="10"/>
        <v>0</v>
      </c>
      <c r="I110" s="81">
        <f t="shared" si="10"/>
        <v>0</v>
      </c>
      <c r="J110" s="81">
        <f t="shared" si="10"/>
        <v>0</v>
      </c>
      <c r="K110" s="81">
        <f t="shared" si="10"/>
        <v>0</v>
      </c>
      <c r="L110" s="81">
        <f t="shared" si="10"/>
        <v>0</v>
      </c>
      <c r="M110" s="81">
        <f t="shared" si="10"/>
        <v>0</v>
      </c>
      <c r="N110" s="81">
        <f t="shared" si="10"/>
        <v>0</v>
      </c>
      <c r="O110" s="81">
        <f t="shared" si="11"/>
        <v>0</v>
      </c>
      <c r="P110" s="81">
        <f t="shared" si="10"/>
        <v>0</v>
      </c>
      <c r="Q110" s="81">
        <f t="shared" si="10"/>
        <v>0</v>
      </c>
      <c r="R110" s="81">
        <f t="shared" si="10"/>
        <v>0</v>
      </c>
      <c r="S110" s="81">
        <f t="shared" si="10"/>
        <v>0</v>
      </c>
      <c r="T110" s="81">
        <f t="shared" si="10"/>
        <v>0</v>
      </c>
      <c r="U110" s="81">
        <f t="shared" si="12"/>
        <v>0</v>
      </c>
      <c r="V110" s="81">
        <f t="shared" si="13"/>
        <v>0</v>
      </c>
      <c r="W110" s="81"/>
    </row>
    <row r="111" spans="1:23">
      <c r="A111" s="6">
        <f t="shared" si="14"/>
        <v>2008</v>
      </c>
      <c r="B111" s="81"/>
      <c r="C111" s="81"/>
      <c r="D111" s="81"/>
      <c r="E111" s="81"/>
      <c r="F111" s="81"/>
      <c r="G111" s="81">
        <f t="shared" si="10"/>
        <v>0</v>
      </c>
      <c r="H111" s="81">
        <f t="shared" si="10"/>
        <v>0</v>
      </c>
      <c r="I111" s="81">
        <f t="shared" si="10"/>
        <v>0</v>
      </c>
      <c r="J111" s="81">
        <f t="shared" si="10"/>
        <v>0</v>
      </c>
      <c r="K111" s="81">
        <f t="shared" si="10"/>
        <v>0</v>
      </c>
      <c r="L111" s="81">
        <f t="shared" si="10"/>
        <v>0</v>
      </c>
      <c r="M111" s="81">
        <f t="shared" si="10"/>
        <v>0</v>
      </c>
      <c r="N111" s="81">
        <f t="shared" si="10"/>
        <v>0</v>
      </c>
      <c r="O111" s="81">
        <f t="shared" si="10"/>
        <v>0</v>
      </c>
      <c r="P111" s="81">
        <f t="shared" si="10"/>
        <v>0</v>
      </c>
      <c r="Q111" s="81">
        <f t="shared" si="10"/>
        <v>0</v>
      </c>
      <c r="R111" s="81">
        <f t="shared" si="10"/>
        <v>0</v>
      </c>
      <c r="S111" s="81">
        <f t="shared" si="10"/>
        <v>0</v>
      </c>
      <c r="T111" s="81">
        <f t="shared" si="10"/>
        <v>0</v>
      </c>
      <c r="U111" s="81">
        <f t="shared" si="12"/>
        <v>0</v>
      </c>
      <c r="V111" s="81">
        <f t="shared" si="13"/>
        <v>0</v>
      </c>
      <c r="W111" s="81"/>
    </row>
    <row r="112" spans="1:23">
      <c r="A112" s="6">
        <f t="shared" si="14"/>
        <v>2009</v>
      </c>
      <c r="B112" s="81"/>
      <c r="C112" s="81"/>
      <c r="D112" s="81"/>
      <c r="E112" s="81"/>
      <c r="F112" s="81"/>
      <c r="G112" s="81">
        <f t="shared" ref="G112:T124" si="15">G32-G72</f>
        <v>0</v>
      </c>
      <c r="H112" s="81">
        <f t="shared" si="15"/>
        <v>0</v>
      </c>
      <c r="I112" s="81">
        <f t="shared" si="15"/>
        <v>0</v>
      </c>
      <c r="J112" s="81">
        <f t="shared" si="15"/>
        <v>0</v>
      </c>
      <c r="K112" s="81">
        <f t="shared" si="15"/>
        <v>0</v>
      </c>
      <c r="L112" s="81">
        <f t="shared" si="15"/>
        <v>0</v>
      </c>
      <c r="M112" s="81">
        <f t="shared" si="15"/>
        <v>0</v>
      </c>
      <c r="N112" s="81">
        <f t="shared" si="15"/>
        <v>0</v>
      </c>
      <c r="O112" s="81">
        <f t="shared" si="15"/>
        <v>0</v>
      </c>
      <c r="P112" s="81">
        <f t="shared" si="15"/>
        <v>0</v>
      </c>
      <c r="Q112" s="81">
        <f t="shared" si="15"/>
        <v>0</v>
      </c>
      <c r="R112" s="81">
        <f t="shared" si="15"/>
        <v>0</v>
      </c>
      <c r="S112" s="81">
        <f t="shared" si="15"/>
        <v>0</v>
      </c>
      <c r="T112" s="81">
        <f t="shared" si="15"/>
        <v>0</v>
      </c>
      <c r="U112" s="81">
        <f t="shared" si="12"/>
        <v>0</v>
      </c>
      <c r="V112" s="81">
        <f t="shared" si="13"/>
        <v>0</v>
      </c>
      <c r="W112" s="81"/>
    </row>
    <row r="113" spans="1:23">
      <c r="A113" s="6">
        <f t="shared" si="14"/>
        <v>2010</v>
      </c>
      <c r="B113" s="81"/>
      <c r="C113" s="81"/>
      <c r="D113" s="81"/>
      <c r="E113" s="81"/>
      <c r="F113" s="81"/>
      <c r="G113" s="81">
        <f t="shared" si="15"/>
        <v>0</v>
      </c>
      <c r="H113" s="81">
        <f t="shared" si="15"/>
        <v>0</v>
      </c>
      <c r="I113" s="81">
        <f t="shared" si="15"/>
        <v>0</v>
      </c>
      <c r="J113" s="81">
        <f t="shared" si="15"/>
        <v>0</v>
      </c>
      <c r="K113" s="81">
        <f t="shared" si="15"/>
        <v>0</v>
      </c>
      <c r="L113" s="81">
        <f t="shared" si="15"/>
        <v>0</v>
      </c>
      <c r="M113" s="81">
        <f t="shared" si="15"/>
        <v>0</v>
      </c>
      <c r="N113" s="81">
        <f t="shared" si="15"/>
        <v>0</v>
      </c>
      <c r="O113" s="81">
        <f t="shared" si="15"/>
        <v>0</v>
      </c>
      <c r="P113" s="81">
        <f t="shared" si="15"/>
        <v>0</v>
      </c>
      <c r="Q113" s="81">
        <f t="shared" si="15"/>
        <v>0</v>
      </c>
      <c r="R113" s="81">
        <f t="shared" si="15"/>
        <v>0</v>
      </c>
      <c r="S113" s="81">
        <f t="shared" si="15"/>
        <v>0</v>
      </c>
      <c r="T113" s="81">
        <f t="shared" si="15"/>
        <v>0</v>
      </c>
      <c r="U113" s="81">
        <f t="shared" si="12"/>
        <v>0</v>
      </c>
      <c r="V113" s="81">
        <f t="shared" si="13"/>
        <v>0</v>
      </c>
      <c r="W113" s="81"/>
    </row>
    <row r="114" spans="1:23">
      <c r="A114" s="6">
        <f t="shared" si="14"/>
        <v>2011</v>
      </c>
      <c r="B114" s="81"/>
      <c r="C114" s="81"/>
      <c r="D114" s="81"/>
      <c r="E114" s="81"/>
      <c r="F114" s="81"/>
      <c r="G114" s="81">
        <f t="shared" si="15"/>
        <v>0</v>
      </c>
      <c r="H114" s="81">
        <f t="shared" si="15"/>
        <v>0</v>
      </c>
      <c r="I114" s="81">
        <f t="shared" si="15"/>
        <v>0</v>
      </c>
      <c r="J114" s="81">
        <f t="shared" si="15"/>
        <v>0</v>
      </c>
      <c r="K114" s="81">
        <f t="shared" si="15"/>
        <v>0</v>
      </c>
      <c r="L114" s="81">
        <f t="shared" si="15"/>
        <v>0</v>
      </c>
      <c r="M114" s="81">
        <f t="shared" si="15"/>
        <v>0</v>
      </c>
      <c r="N114" s="81">
        <f t="shared" si="15"/>
        <v>0</v>
      </c>
      <c r="O114" s="81">
        <f t="shared" si="15"/>
        <v>0</v>
      </c>
      <c r="P114" s="81">
        <f t="shared" si="15"/>
        <v>0</v>
      </c>
      <c r="Q114" s="81">
        <f t="shared" si="15"/>
        <v>0</v>
      </c>
      <c r="R114" s="81">
        <f t="shared" si="15"/>
        <v>0</v>
      </c>
      <c r="S114" s="81">
        <f t="shared" si="15"/>
        <v>0</v>
      </c>
      <c r="T114" s="81">
        <f t="shared" si="15"/>
        <v>-15.126716540259942</v>
      </c>
      <c r="U114" s="81">
        <f t="shared" si="12"/>
        <v>-15.126716540259942</v>
      </c>
      <c r="V114" s="81">
        <f t="shared" si="13"/>
        <v>-15.126716540259942</v>
      </c>
      <c r="W114" s="81"/>
    </row>
    <row r="115" spans="1:23">
      <c r="A115" s="6">
        <f t="shared" si="14"/>
        <v>2012</v>
      </c>
      <c r="B115" s="81"/>
      <c r="C115" s="81"/>
      <c r="D115" s="81">
        <f>'Exhibit A, 1a'!E18</f>
        <v>2164.0630000000001</v>
      </c>
      <c r="E115" s="81"/>
      <c r="F115" s="81"/>
      <c r="G115" s="81">
        <f t="shared" si="15"/>
        <v>-3860.4399999999987</v>
      </c>
      <c r="H115" s="81">
        <f t="shared" si="15"/>
        <v>17304.080000000002</v>
      </c>
      <c r="I115" s="81">
        <f t="shared" si="15"/>
        <v>-4417.74</v>
      </c>
      <c r="J115" s="81">
        <f t="shared" si="15"/>
        <v>6164.52</v>
      </c>
      <c r="K115" s="81">
        <f t="shared" si="15"/>
        <v>557.30000000000109</v>
      </c>
      <c r="L115" s="81">
        <f t="shared" si="15"/>
        <v>11139.560000000001</v>
      </c>
      <c r="M115" s="81">
        <f t="shared" si="15"/>
        <v>-15062.076000000001</v>
      </c>
      <c r="N115" s="81">
        <f t="shared" si="15"/>
        <v>-521.00400000000013</v>
      </c>
      <c r="O115" s="81">
        <f t="shared" si="15"/>
        <v>-15583.080000000002</v>
      </c>
      <c r="P115" s="81">
        <f t="shared" si="15"/>
        <v>-5912.367000000002</v>
      </c>
      <c r="Q115" s="81">
        <f t="shared" si="15"/>
        <v>7633.367000000002</v>
      </c>
      <c r="R115" s="81">
        <f t="shared" si="15"/>
        <v>1721</v>
      </c>
      <c r="S115" s="81">
        <f t="shared" si="15"/>
        <v>0</v>
      </c>
      <c r="T115" s="81">
        <f t="shared" si="15"/>
        <v>-30.253433080519883</v>
      </c>
      <c r="U115" s="81">
        <f t="shared" si="12"/>
        <v>-30.253433080519883</v>
      </c>
      <c r="V115" s="81">
        <f t="shared" si="13"/>
        <v>1690.7465669194801</v>
      </c>
      <c r="W115" s="81"/>
    </row>
    <row r="116" spans="1:23">
      <c r="A116" s="6">
        <f t="shared" si="14"/>
        <v>2013</v>
      </c>
      <c r="B116" s="81"/>
      <c r="C116" s="81"/>
      <c r="D116" s="81">
        <f>'Exhibit A, 1a'!E19</f>
        <v>280648.42599999986</v>
      </c>
      <c r="F116" s="81"/>
      <c r="G116" s="81">
        <f t="shared" si="15"/>
        <v>9262755.6000000015</v>
      </c>
      <c r="H116" s="81">
        <f t="shared" si="15"/>
        <v>17650778.909999996</v>
      </c>
      <c r="I116" s="81">
        <f t="shared" si="15"/>
        <v>4092672.94</v>
      </c>
      <c r="J116" s="81">
        <f t="shared" si="15"/>
        <v>8228195.3799999999</v>
      </c>
      <c r="K116" s="81">
        <f t="shared" si="15"/>
        <v>5170082.6599999992</v>
      </c>
      <c r="L116" s="81">
        <f t="shared" si="15"/>
        <v>9422583.5299999975</v>
      </c>
      <c r="M116" s="81">
        <f t="shared" si="15"/>
        <v>-13558924.930930372</v>
      </c>
      <c r="N116" s="81">
        <f t="shared" si="15"/>
        <v>-3936462.0767217213</v>
      </c>
      <c r="O116" s="81">
        <f t="shared" si="15"/>
        <v>-17495387.007652093</v>
      </c>
      <c r="P116" s="81">
        <f t="shared" si="15"/>
        <v>-5330729.5509303724</v>
      </c>
      <c r="Q116" s="81">
        <f t="shared" si="15"/>
        <v>5486121.4532782789</v>
      </c>
      <c r="R116" s="81">
        <f t="shared" si="15"/>
        <v>155391.90234790556</v>
      </c>
      <c r="S116" s="81">
        <f t="shared" si="15"/>
        <v>0</v>
      </c>
      <c r="T116" s="81">
        <f t="shared" si="15"/>
        <v>-30.253433080519883</v>
      </c>
      <c r="U116" s="81">
        <f t="shared" si="12"/>
        <v>-30.253433080519883</v>
      </c>
      <c r="V116" s="81">
        <f t="shared" si="13"/>
        <v>155361.64891482505</v>
      </c>
      <c r="W116" s="81"/>
    </row>
    <row r="117" spans="1:23">
      <c r="A117" s="6">
        <f t="shared" si="14"/>
        <v>2014</v>
      </c>
      <c r="B117" s="81"/>
      <c r="C117" s="81"/>
      <c r="D117" s="81">
        <f>'Exhibit A, 1a'!E20</f>
        <v>189302.1404999998</v>
      </c>
      <c r="E117" s="81"/>
      <c r="F117" s="81"/>
      <c r="G117" s="81">
        <f t="shared" si="15"/>
        <v>2334009.1624999987</v>
      </c>
      <c r="H117" s="81">
        <f t="shared" si="15"/>
        <v>8361496.1499999966</v>
      </c>
      <c r="I117" s="81">
        <f t="shared" si="15"/>
        <v>-493337.1400000006</v>
      </c>
      <c r="J117" s="81">
        <f t="shared" si="15"/>
        <v>2467080.9699999988</v>
      </c>
      <c r="K117" s="81">
        <f t="shared" si="15"/>
        <v>2827346.3024999993</v>
      </c>
      <c r="L117" s="81">
        <f t="shared" si="15"/>
        <v>5894415.1799999988</v>
      </c>
      <c r="M117" s="81">
        <f t="shared" si="15"/>
        <v>-6396450.4802544937</v>
      </c>
      <c r="N117" s="81">
        <f t="shared" si="15"/>
        <v>-1857034.0103964654</v>
      </c>
      <c r="O117" s="81">
        <f t="shared" si="15"/>
        <v>-8253484.4906509584</v>
      </c>
      <c r="P117" s="81">
        <f t="shared" si="15"/>
        <v>-3929369.5102544948</v>
      </c>
      <c r="Q117" s="81">
        <f t="shared" si="15"/>
        <v>4037381.169603534</v>
      </c>
      <c r="R117" s="81">
        <f t="shared" si="15"/>
        <v>108011.65934903733</v>
      </c>
      <c r="S117" s="81">
        <f t="shared" si="15"/>
        <v>0</v>
      </c>
      <c r="T117" s="81">
        <f t="shared" si="15"/>
        <v>-38.692729763322717</v>
      </c>
      <c r="U117" s="81">
        <f t="shared" si="12"/>
        <v>-38.692729763322717</v>
      </c>
      <c r="V117" s="81">
        <f t="shared" si="13"/>
        <v>107972.96661927401</v>
      </c>
      <c r="W117" s="81"/>
    </row>
    <row r="118" spans="1:23">
      <c r="A118" s="6">
        <f t="shared" si="14"/>
        <v>2015</v>
      </c>
      <c r="B118" s="81"/>
      <c r="C118" s="81"/>
      <c r="D118" s="81">
        <f>'Exhibit A, 1a'!E21</f>
        <v>775136.27700000093</v>
      </c>
      <c r="E118" s="81"/>
      <c r="F118" s="81"/>
      <c r="G118" s="81">
        <f t="shared" si="15"/>
        <v>27447723.378999997</v>
      </c>
      <c r="H118" s="81">
        <f t="shared" si="15"/>
        <v>55857254.03899999</v>
      </c>
      <c r="I118" s="81">
        <f t="shared" si="15"/>
        <v>12438370.429</v>
      </c>
      <c r="J118" s="81">
        <f t="shared" si="15"/>
        <v>25943831.908999998</v>
      </c>
      <c r="K118" s="81">
        <f t="shared" si="15"/>
        <v>15009352.949999999</v>
      </c>
      <c r="L118" s="81">
        <f t="shared" si="15"/>
        <v>29913422.129999999</v>
      </c>
      <c r="M118" s="81">
        <f t="shared" si="15"/>
        <v>-43245762.364835352</v>
      </c>
      <c r="N118" s="81">
        <f t="shared" si="15"/>
        <v>-12555221.331726389</v>
      </c>
      <c r="O118" s="81">
        <f t="shared" si="15"/>
        <v>-55800983.696561739</v>
      </c>
      <c r="P118" s="81">
        <f t="shared" si="15"/>
        <v>-17301930.455835346</v>
      </c>
      <c r="Q118" s="81">
        <f t="shared" si="15"/>
        <v>17358200.798273608</v>
      </c>
      <c r="R118" s="81">
        <f t="shared" si="15"/>
        <v>56270.342438258231</v>
      </c>
      <c r="S118" s="81">
        <f t="shared" si="15"/>
        <v>0</v>
      </c>
      <c r="T118" s="81">
        <f t="shared" si="15"/>
        <v>72.343881533414333</v>
      </c>
      <c r="U118" s="81">
        <f t="shared" si="12"/>
        <v>72.343881533414333</v>
      </c>
      <c r="V118" s="81">
        <f t="shared" si="13"/>
        <v>56342.686319791646</v>
      </c>
      <c r="W118" s="81"/>
    </row>
    <row r="119" spans="1:23">
      <c r="A119" s="6">
        <f t="shared" si="14"/>
        <v>2016</v>
      </c>
      <c r="B119" s="81"/>
      <c r="C119" s="81"/>
      <c r="D119" s="81">
        <f>'Exhibit A, 1a'!E22</f>
        <v>671429.50299999968</v>
      </c>
      <c r="E119" s="81"/>
      <c r="F119" s="81"/>
      <c r="G119" s="81">
        <f t="shared" si="15"/>
        <v>7963662.1064999979</v>
      </c>
      <c r="H119" s="81">
        <f t="shared" si="15"/>
        <v>23490568.894499995</v>
      </c>
      <c r="I119" s="81">
        <f t="shared" si="15"/>
        <v>-540749.30550000072</v>
      </c>
      <c r="J119" s="81">
        <f t="shared" si="15"/>
        <v>5834956.0344999991</v>
      </c>
      <c r="K119" s="81">
        <f t="shared" si="15"/>
        <v>8504411.4119999986</v>
      </c>
      <c r="L119" s="81">
        <f t="shared" si="15"/>
        <v>17655612.859999999</v>
      </c>
      <c r="M119" s="81">
        <f t="shared" si="15"/>
        <v>-17971955.685508177</v>
      </c>
      <c r="N119" s="81">
        <f t="shared" si="15"/>
        <v>-5217664.553857211</v>
      </c>
      <c r="O119" s="81">
        <f t="shared" si="15"/>
        <v>-23189620.239365388</v>
      </c>
      <c r="P119" s="81">
        <f t="shared" si="15"/>
        <v>-12136999.651008179</v>
      </c>
      <c r="Q119" s="81">
        <f t="shared" si="15"/>
        <v>12437948.30614279</v>
      </c>
      <c r="R119" s="81">
        <f t="shared" si="15"/>
        <v>300948.65513461083</v>
      </c>
      <c r="S119" s="81">
        <f t="shared" si="15"/>
        <v>0</v>
      </c>
      <c r="T119" s="81">
        <f t="shared" si="15"/>
        <v>438.60742997259149</v>
      </c>
      <c r="U119" s="81">
        <f t="shared" si="12"/>
        <v>438.60742997259149</v>
      </c>
      <c r="V119" s="81">
        <f t="shared" si="13"/>
        <v>301387.26256458345</v>
      </c>
      <c r="W119" s="81"/>
    </row>
    <row r="120" spans="1:23">
      <c r="A120" s="6">
        <f t="shared" si="14"/>
        <v>2017</v>
      </c>
      <c r="B120" s="81"/>
      <c r="C120" s="81"/>
      <c r="D120" s="81">
        <f>'Exhibit A, 1a'!E23</f>
        <v>389760.32200000033</v>
      </c>
      <c r="E120" s="81"/>
      <c r="F120" s="81"/>
      <c r="G120" s="81">
        <f t="shared" si="15"/>
        <v>15147649.9025</v>
      </c>
      <c r="H120" s="81">
        <f t="shared" si="15"/>
        <v>25729757.531500001</v>
      </c>
      <c r="I120" s="81">
        <f t="shared" si="15"/>
        <v>4567782.2414999995</v>
      </c>
      <c r="J120" s="81">
        <f t="shared" si="15"/>
        <v>9049651.2015000023</v>
      </c>
      <c r="K120" s="81">
        <f t="shared" si="15"/>
        <v>10579867.661</v>
      </c>
      <c r="L120" s="81">
        <f t="shared" si="15"/>
        <v>16680106.33</v>
      </c>
      <c r="M120" s="81">
        <f t="shared" si="15"/>
        <v>-19879236.313799076</v>
      </c>
      <c r="N120" s="81">
        <f t="shared" si="15"/>
        <v>-5771391.1878771465</v>
      </c>
      <c r="O120" s="81">
        <f t="shared" si="15"/>
        <v>-25650627.50167622</v>
      </c>
      <c r="P120" s="81">
        <f t="shared" si="15"/>
        <v>-10829585.112299072</v>
      </c>
      <c r="Q120" s="81">
        <f t="shared" si="15"/>
        <v>10908715.142122852</v>
      </c>
      <c r="R120" s="81">
        <f t="shared" si="15"/>
        <v>79130.029823783785</v>
      </c>
      <c r="S120" s="81">
        <f t="shared" si="15"/>
        <v>0</v>
      </c>
      <c r="T120" s="81">
        <f t="shared" si="15"/>
        <v>206.89277175278039</v>
      </c>
      <c r="U120" s="81">
        <f t="shared" si="12"/>
        <v>206.89277175278039</v>
      </c>
      <c r="V120" s="81">
        <f t="shared" si="13"/>
        <v>79336.922595536569</v>
      </c>
      <c r="W120" s="81"/>
    </row>
    <row r="121" spans="1:23">
      <c r="A121" s="6">
        <f t="shared" si="14"/>
        <v>2018</v>
      </c>
      <c r="B121" s="81"/>
      <c r="C121" s="81"/>
      <c r="D121" s="81">
        <f>'Exhibit A, 1a'!E24</f>
        <v>540526.69899999967</v>
      </c>
      <c r="E121" s="81"/>
      <c r="F121" s="81"/>
      <c r="G121" s="81">
        <f t="shared" si="15"/>
        <v>14293936.888499999</v>
      </c>
      <c r="H121" s="81">
        <f t="shared" si="15"/>
        <v>26041971.346000001</v>
      </c>
      <c r="I121" s="81">
        <f t="shared" si="15"/>
        <v>4595797.8059999999</v>
      </c>
      <c r="J121" s="81">
        <f t="shared" si="15"/>
        <v>7838082.6059999987</v>
      </c>
      <c r="K121" s="81">
        <f t="shared" si="15"/>
        <v>9698139.0824999996</v>
      </c>
      <c r="L121" s="81">
        <f t="shared" si="15"/>
        <v>18203888.740000002</v>
      </c>
      <c r="M121" s="81">
        <f t="shared" si="15"/>
        <v>-19924077.582757883</v>
      </c>
      <c r="N121" s="81">
        <f t="shared" si="15"/>
        <v>-5784409.620800673</v>
      </c>
      <c r="O121" s="81">
        <f t="shared" si="15"/>
        <v>-25708487.203558553</v>
      </c>
      <c r="P121" s="81">
        <f t="shared" si="15"/>
        <v>-12085994.97675788</v>
      </c>
      <c r="Q121" s="81">
        <f t="shared" si="15"/>
        <v>12419479.119199328</v>
      </c>
      <c r="R121" s="81">
        <f t="shared" si="15"/>
        <v>333484.1424414441</v>
      </c>
      <c r="S121" s="81">
        <f t="shared" si="15"/>
        <v>0</v>
      </c>
      <c r="T121" s="81">
        <f t="shared" si="15"/>
        <v>1153.9485117149707</v>
      </c>
      <c r="U121" s="81">
        <f t="shared" si="12"/>
        <v>1153.9485117149707</v>
      </c>
      <c r="V121" s="81">
        <f t="shared" si="13"/>
        <v>334638.09095315909</v>
      </c>
      <c r="W121" s="81"/>
    </row>
    <row r="122" spans="1:23">
      <c r="A122" s="6">
        <f t="shared" si="14"/>
        <v>2019</v>
      </c>
      <c r="B122" s="81"/>
      <c r="C122" s="81"/>
      <c r="D122" s="81">
        <f>'Exhibit A, 1a'!E25</f>
        <v>326376.64449999988</v>
      </c>
      <c r="E122" s="81"/>
      <c r="F122" s="81"/>
      <c r="G122" s="81">
        <f t="shared" si="15"/>
        <v>-494133.41550000012</v>
      </c>
      <c r="H122" s="81">
        <f t="shared" si="15"/>
        <v>24953.250499999151</v>
      </c>
      <c r="I122" s="81">
        <f t="shared" si="15"/>
        <v>-2015651.0895</v>
      </c>
      <c r="J122" s="81">
        <f t="shared" si="15"/>
        <v>-2206238.2694999999</v>
      </c>
      <c r="K122" s="81">
        <f t="shared" si="15"/>
        <v>1521517.6739999996</v>
      </c>
      <c r="L122" s="81">
        <f t="shared" si="15"/>
        <v>2231191.52</v>
      </c>
      <c r="M122" s="81">
        <f t="shared" si="15"/>
        <v>498418.61380824563</v>
      </c>
      <c r="N122" s="81">
        <f t="shared" si="15"/>
        <v>144702.17820239405</v>
      </c>
      <c r="O122" s="81">
        <f t="shared" si="15"/>
        <v>643120.79201063979</v>
      </c>
      <c r="P122" s="81">
        <f t="shared" si="15"/>
        <v>-1707819.6556917541</v>
      </c>
      <c r="Q122" s="81">
        <f t="shared" si="15"/>
        <v>2375893.6982023939</v>
      </c>
      <c r="R122" s="81">
        <f t="shared" si="15"/>
        <v>668074.04251063988</v>
      </c>
      <c r="S122" s="81">
        <f t="shared" si="15"/>
        <v>0</v>
      </c>
      <c r="T122" s="81">
        <f t="shared" si="15"/>
        <v>430.59523185880244</v>
      </c>
      <c r="U122" s="81">
        <f t="shared" si="12"/>
        <v>430.59523185880244</v>
      </c>
      <c r="V122" s="81">
        <f t="shared" si="13"/>
        <v>668504.63774249866</v>
      </c>
      <c r="W122" s="81"/>
    </row>
    <row r="123" spans="1:23">
      <c r="A123" s="6">
        <f t="shared" si="14"/>
        <v>2020</v>
      </c>
      <c r="B123" s="81"/>
      <c r="C123" s="81"/>
      <c r="D123" s="81">
        <f>'Exhibit A, 1a'!E26</f>
        <v>65035.192000000214</v>
      </c>
      <c r="E123" s="81"/>
      <c r="F123" s="81"/>
      <c r="G123" s="81">
        <f t="shared" si="15"/>
        <v>1697421.5149999997</v>
      </c>
      <c r="H123" s="81">
        <f t="shared" si="15"/>
        <v>1976035.9999999995</v>
      </c>
      <c r="I123" s="81">
        <f t="shared" si="15"/>
        <v>-1897428.21</v>
      </c>
      <c r="J123" s="81">
        <f t="shared" si="15"/>
        <v>-1953927.06</v>
      </c>
      <c r="K123" s="81">
        <f t="shared" si="15"/>
        <v>3594849.7249999996</v>
      </c>
      <c r="L123" s="81">
        <f t="shared" si="15"/>
        <v>3929963.0599999996</v>
      </c>
      <c r="M123" s="81">
        <f t="shared" si="15"/>
        <v>-1322775.9667526186</v>
      </c>
      <c r="N123" s="81">
        <f t="shared" si="15"/>
        <v>-384031.7322830183</v>
      </c>
      <c r="O123" s="81">
        <f t="shared" si="15"/>
        <v>-1706807.6990356371</v>
      </c>
      <c r="P123" s="81">
        <f t="shared" si="15"/>
        <v>-3276703.0267526186</v>
      </c>
      <c r="Q123" s="81">
        <f t="shared" si="15"/>
        <v>3545931.327716982</v>
      </c>
      <c r="R123" s="81">
        <f t="shared" si="15"/>
        <v>269228.30096436292</v>
      </c>
      <c r="S123" s="81">
        <f t="shared" si="15"/>
        <v>0</v>
      </c>
      <c r="T123" s="81">
        <f t="shared" si="15"/>
        <v>-838.0015245311954</v>
      </c>
      <c r="U123" s="81">
        <f t="shared" si="12"/>
        <v>-838.0015245311954</v>
      </c>
      <c r="V123" s="81">
        <f t="shared" si="13"/>
        <v>268390.2994398317</v>
      </c>
      <c r="W123" s="81"/>
    </row>
    <row r="124" spans="1:23">
      <c r="A124" s="6"/>
      <c r="B124" s="81"/>
      <c r="C124" s="17"/>
      <c r="D124" s="81"/>
      <c r="E124" s="81"/>
      <c r="F124" s="81"/>
      <c r="G124" s="81">
        <f t="shared" si="15"/>
        <v>0</v>
      </c>
      <c r="H124" s="81">
        <f t="shared" si="15"/>
        <v>0</v>
      </c>
      <c r="I124" s="81">
        <f t="shared" si="15"/>
        <v>0</v>
      </c>
      <c r="J124" s="81">
        <f t="shared" si="15"/>
        <v>0</v>
      </c>
      <c r="K124" s="81">
        <f t="shared" si="15"/>
        <v>0</v>
      </c>
      <c r="L124" s="81">
        <f t="shared" si="15"/>
        <v>0</v>
      </c>
      <c r="M124" s="81">
        <f t="shared" si="15"/>
        <v>0</v>
      </c>
      <c r="N124" s="81">
        <f t="shared" si="15"/>
        <v>0</v>
      </c>
      <c r="O124" s="81">
        <f>'Exhibit F,1'!AC45</f>
        <v>0</v>
      </c>
      <c r="P124" s="81">
        <f t="shared" si="15"/>
        <v>0</v>
      </c>
      <c r="Q124" s="81">
        <f t="shared" si="15"/>
        <v>0</v>
      </c>
      <c r="R124" s="81">
        <f t="shared" si="15"/>
        <v>0</v>
      </c>
      <c r="S124" s="81">
        <f t="shared" si="15"/>
        <v>0</v>
      </c>
      <c r="T124" s="81">
        <f t="shared" si="15"/>
        <v>0</v>
      </c>
      <c r="U124" s="81">
        <f t="shared" si="12"/>
        <v>0</v>
      </c>
      <c r="V124" s="81">
        <f t="shared" si="13"/>
        <v>0</v>
      </c>
      <c r="W124" s="81"/>
    </row>
    <row r="125" spans="1:23">
      <c r="A125" s="6" t="s">
        <v>0</v>
      </c>
      <c r="B125" s="82">
        <f>SUM(B95:B123)</f>
        <v>0</v>
      </c>
      <c r="C125" s="82">
        <f>SUM(C95:C123)</f>
        <v>0</v>
      </c>
      <c r="D125" s="82">
        <f t="shared" ref="D125:Q125" si="16">SUM(D95:D123)</f>
        <v>3240379.267</v>
      </c>
      <c r="E125" s="82">
        <f>SUM(E95:E123)</f>
        <v>0</v>
      </c>
      <c r="F125" s="82">
        <f t="shared" si="16"/>
        <v>0</v>
      </c>
      <c r="G125" s="82">
        <f>SUM(G95:G123)</f>
        <v>77649164.698500007</v>
      </c>
      <c r="H125" s="82">
        <f t="shared" si="16"/>
        <v>159150120.20149997</v>
      </c>
      <c r="I125" s="82">
        <f t="shared" si="16"/>
        <v>20743039.931499999</v>
      </c>
      <c r="J125" s="82">
        <f t="shared" si="16"/>
        <v>55207797.291499995</v>
      </c>
      <c r="K125" s="82">
        <f t="shared" si="16"/>
        <v>56906124.767000005</v>
      </c>
      <c r="L125" s="82">
        <f t="shared" si="16"/>
        <v>103942322.90999998</v>
      </c>
      <c r="M125" s="82">
        <f t="shared" si="16"/>
        <v>-121815826.78702974</v>
      </c>
      <c r="N125" s="82">
        <f t="shared" si="16"/>
        <v>-35362033.339460231</v>
      </c>
      <c r="O125" s="82">
        <f t="shared" si="16"/>
        <v>-157177860.12648997</v>
      </c>
      <c r="P125" s="82">
        <f t="shared" si="16"/>
        <v>-66605044.306529716</v>
      </c>
      <c r="Q125" s="82">
        <f t="shared" si="16"/>
        <v>68577304.381539762</v>
      </c>
      <c r="R125" s="82">
        <f>SUM(R95:R123)</f>
        <v>1972260.0750100426</v>
      </c>
      <c r="S125" s="82">
        <f>SUM(S95:S123)</f>
        <v>0</v>
      </c>
      <c r="T125" s="82">
        <f>SUM(T95:T123)</f>
        <v>1350.0599898367416</v>
      </c>
      <c r="U125" s="82">
        <f>SUM(U95:U123)</f>
        <v>1350.0599898367416</v>
      </c>
      <c r="V125" s="82">
        <f>SUM(V95:V123)</f>
        <v>1973610.1349998794</v>
      </c>
      <c r="W125" s="81"/>
    </row>
    <row r="127" spans="1:23">
      <c r="F127" s="1" t="s">
        <v>854</v>
      </c>
      <c r="G127" s="22">
        <f>'AD14'!G125+'AD15'!G125-G125</f>
        <v>0</v>
      </c>
      <c r="H127" s="22">
        <f>'AD14'!H125+'AD15'!H125-H125</f>
        <v>0</v>
      </c>
      <c r="I127" s="22">
        <f>'AD14'!I125+'AD15'!I125-I125</f>
        <v>0</v>
      </c>
      <c r="J127" s="22">
        <f>'AD14'!J125+'AD15'!J125-J125</f>
        <v>0</v>
      </c>
      <c r="K127" s="22">
        <f>'AD14'!K125+'AD15'!K125-K125</f>
        <v>0</v>
      </c>
      <c r="L127" s="22">
        <f>'AD14'!L125+'AD15'!L125-L125</f>
        <v>0</v>
      </c>
      <c r="M127" s="22">
        <f>'AD14'!M125+'AD15'!M125-M125</f>
        <v>2985.1890000402927</v>
      </c>
      <c r="N127" s="22">
        <f>'AD14'!N125+'AD15'!N125-N125</f>
        <v>-2985.1889999955893</v>
      </c>
      <c r="O127" s="22">
        <f>'AD14'!O125+'AD15'!O125-O125</f>
        <v>0</v>
      </c>
      <c r="P127" s="22">
        <f>'AD14'!P125+'AD15'!P125-P125</f>
        <v>0</v>
      </c>
      <c r="Q127" s="22">
        <f>'AD14'!Q125+'AD15'!Q125-Q125</f>
        <v>0</v>
      </c>
      <c r="R127" s="22">
        <f>'AD14'!R125+'AD15'!R125-R125</f>
        <v>0</v>
      </c>
      <c r="S127" s="22">
        <f>'AD14'!S125+'AD15'!S125-S125</f>
        <v>0</v>
      </c>
      <c r="T127" s="22">
        <f>'AD14'!T125+'AD15'!T125-T125</f>
        <v>-1350.0599898367416</v>
      </c>
      <c r="U127" s="22">
        <f>'AD14'!U125+'AD15'!U125-U125</f>
        <v>-1350.0599898367416</v>
      </c>
      <c r="V127" s="22">
        <f>'AD14'!V125+'AD15'!V125-V125</f>
        <v>-1350.0599898362998</v>
      </c>
      <c r="W127" s="22">
        <f>'AD14'!W125+'AD15'!W125-W125</f>
        <v>209065.02249999507</v>
      </c>
    </row>
    <row r="129" spans="2:7">
      <c r="C129" s="1" t="s">
        <v>852</v>
      </c>
      <c r="G129" s="22"/>
    </row>
    <row r="131" spans="2:7">
      <c r="B131" s="6"/>
      <c r="C131" s="6" t="s">
        <v>744</v>
      </c>
      <c r="D131" s="6" t="s">
        <v>846</v>
      </c>
      <c r="E131" s="6" t="s">
        <v>855</v>
      </c>
    </row>
    <row r="132" spans="2:7">
      <c r="B132" s="6"/>
      <c r="C132" s="6"/>
      <c r="D132" s="6"/>
    </row>
    <row r="133" spans="2:7">
      <c r="B133" s="6" t="s">
        <v>847</v>
      </c>
      <c r="C133" s="81">
        <f>H125-G125</f>
        <v>81500955.502999961</v>
      </c>
      <c r="D133" s="81">
        <v>511437</v>
      </c>
      <c r="E133" s="17"/>
    </row>
    <row r="134" spans="2:7">
      <c r="B134" s="6" t="s">
        <v>381</v>
      </c>
      <c r="C134" s="81">
        <f>'AD14'!O125+'AD15'!O125</f>
        <v>-157177860.12648994</v>
      </c>
      <c r="D134" s="81">
        <v>1094632</v>
      </c>
      <c r="E134" s="17">
        <f>O125</f>
        <v>-157177860.12648997</v>
      </c>
    </row>
    <row r="135" spans="2:7">
      <c r="B135" s="6" t="s">
        <v>661</v>
      </c>
      <c r="C135" s="81">
        <f>S124</f>
        <v>0</v>
      </c>
      <c r="D135" s="81">
        <v>0</v>
      </c>
      <c r="E135" s="17">
        <f>S124</f>
        <v>0</v>
      </c>
    </row>
    <row r="136" spans="2:7">
      <c r="B136" s="6" t="s">
        <v>857</v>
      </c>
      <c r="C136" s="81">
        <f>'Exhibit A, 1a'!G29-C133</f>
        <v>-80843432.758499965</v>
      </c>
      <c r="D136" s="81">
        <v>0</v>
      </c>
      <c r="E136" s="17">
        <f>S125</f>
        <v>0</v>
      </c>
    </row>
    <row r="137" spans="2:7">
      <c r="B137" s="82"/>
      <c r="C137" s="82"/>
      <c r="D137" s="82"/>
      <c r="E137" s="82"/>
    </row>
    <row r="138" spans="2:7">
      <c r="B138" s="6" t="s">
        <v>848</v>
      </c>
      <c r="C138" s="81">
        <f>SUM(C133:C136)</f>
        <v>-156520337.38198996</v>
      </c>
      <c r="D138" s="81">
        <f>SUM(D133:D136)</f>
        <v>1606069</v>
      </c>
      <c r="E138" s="17"/>
    </row>
    <row r="140" spans="2:7">
      <c r="D140" s="1" t="s">
        <v>685</v>
      </c>
      <c r="E140" s="84">
        <f>D133+E134+E136</f>
        <v>-156666423.12648997</v>
      </c>
    </row>
    <row r="142" spans="2:7">
      <c r="B142" s="1" t="s">
        <v>850</v>
      </c>
      <c r="E142" s="17">
        <f>'Exhibit A, 1a'!I29</f>
        <v>1539176.5109703969</v>
      </c>
    </row>
    <row r="143" spans="2:7">
      <c r="B143" s="1" t="s">
        <v>851</v>
      </c>
      <c r="E143" s="22">
        <f>C134-E142</f>
        <v>-158717036.63746032</v>
      </c>
    </row>
    <row r="146" spans="2:2">
      <c r="B146" s="23" t="s">
        <v>856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sheetPr codeName="Sheet112">
    <tabColor rgb="FFFF0000"/>
    <pageSetUpPr fitToPage="1"/>
  </sheetPr>
  <dimension ref="A1:AH71"/>
  <sheetViews>
    <sheetView zoomScale="75" zoomScaleNormal="75" workbookViewId="0">
      <selection activeCell="A6" sqref="A6"/>
    </sheetView>
  </sheetViews>
  <sheetFormatPr baseColWidth="10" defaultColWidth="8.7109375" defaultRowHeight="15"/>
  <cols>
    <col min="1" max="1" width="12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2.7109375" style="1" customWidth="1"/>
    <col min="14" max="14" width="1.7109375" style="1" customWidth="1"/>
    <col min="15" max="15" width="12.7109375" style="1" customWidth="1"/>
    <col min="16" max="16" width="1.7109375" style="1" customWidth="1"/>
    <col min="17" max="17" width="11.7109375" style="1" customWidth="1"/>
    <col min="18" max="18" width="1.7109375" style="1" customWidth="1"/>
    <col min="19" max="19" width="12.7109375" style="1" customWidth="1"/>
    <col min="20" max="20" width="1.7109375" style="1" customWidth="1"/>
    <col min="21" max="21" width="11.7109375" style="1" customWidth="1"/>
    <col min="22" max="22" width="1.7109375" style="1" customWidth="1"/>
    <col min="23" max="23" width="12.7109375" style="1" customWidth="1"/>
    <col min="24" max="24" width="1.7109375" style="1" customWidth="1"/>
    <col min="25" max="25" width="11.7109375" style="1" customWidth="1"/>
    <col min="26" max="26" width="1.7109375" style="1" customWidth="1"/>
    <col min="27" max="27" width="12.7109375" style="1" customWidth="1"/>
    <col min="28" max="28" width="1.7109375" style="1" customWidth="1"/>
    <col min="29" max="29" width="11.7109375" style="1" customWidth="1"/>
    <col min="30" max="30" width="1.7109375" style="1" customWidth="1"/>
    <col min="31" max="31" width="12.7109375" style="1" customWidth="1"/>
    <col min="32" max="32" width="1.7109375" style="1" customWidth="1"/>
    <col min="33" max="34" width="12.7109375" style="1" bestFit="1" customWidth="1"/>
    <col min="35" max="16384" width="8.7109375" style="1"/>
  </cols>
  <sheetData>
    <row r="1" spans="1:31">
      <c r="Y1" s="3" t="s">
        <v>107</v>
      </c>
    </row>
    <row r="2" spans="1:31">
      <c r="C2" s="3"/>
      <c r="Y2" s="3" t="s">
        <v>56</v>
      </c>
    </row>
    <row r="4" spans="1:31" ht="16">
      <c r="A4" s="4" t="s">
        <v>882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</row>
    <row r="5" spans="1:3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</row>
    <row r="6" spans="1:31">
      <c r="A6" s="5" t="s">
        <v>584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</row>
    <row r="7" spans="1:31">
      <c r="A7" s="5" t="s">
        <v>118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</row>
    <row r="8" spans="1:3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61" t="s">
        <v>875</v>
      </c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</row>
    <row r="9" spans="1:3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</row>
    <row r="10" spans="1:3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6" t="s">
        <v>562</v>
      </c>
      <c r="T10" s="5"/>
      <c r="U10" s="6" t="s">
        <v>562</v>
      </c>
      <c r="X10" s="5"/>
      <c r="Y10" s="5"/>
      <c r="Z10" s="61"/>
      <c r="AA10" s="61"/>
    </row>
    <row r="11" spans="1:31">
      <c r="A11" s="6"/>
      <c r="B11" s="6"/>
      <c r="C11" s="6"/>
      <c r="D11" s="6"/>
      <c r="E11" s="6"/>
      <c r="F11" s="6"/>
      <c r="G11" s="6" t="s">
        <v>86</v>
      </c>
      <c r="H11" s="6"/>
      <c r="I11" s="6" t="s">
        <v>1</v>
      </c>
      <c r="J11" s="6"/>
      <c r="K11" s="6"/>
      <c r="L11" s="6"/>
      <c r="M11" s="6"/>
      <c r="N11" s="6"/>
      <c r="O11" s="6" t="s">
        <v>562</v>
      </c>
      <c r="P11" s="5"/>
      <c r="Q11" s="5"/>
      <c r="R11" s="5"/>
      <c r="S11" s="6" t="s">
        <v>86</v>
      </c>
      <c r="T11" s="6"/>
      <c r="U11" s="6" t="s">
        <v>1</v>
      </c>
      <c r="X11" s="5"/>
      <c r="Y11" s="5"/>
      <c r="Z11" s="61"/>
      <c r="AA11" s="61"/>
      <c r="AE11" s="6" t="s">
        <v>561</v>
      </c>
    </row>
    <row r="12" spans="1:31">
      <c r="C12" s="2" t="s">
        <v>1</v>
      </c>
      <c r="E12" s="71"/>
      <c r="G12" s="2" t="s">
        <v>586</v>
      </c>
      <c r="I12" s="2" t="s">
        <v>586</v>
      </c>
      <c r="K12" s="2"/>
      <c r="O12" s="2" t="s">
        <v>1</v>
      </c>
      <c r="Q12" s="71"/>
      <c r="S12" s="2" t="s">
        <v>586</v>
      </c>
      <c r="U12" s="2" t="s">
        <v>586</v>
      </c>
      <c r="W12" s="6" t="s">
        <v>561</v>
      </c>
      <c r="Y12" s="6" t="s">
        <v>561</v>
      </c>
      <c r="Z12" s="61"/>
      <c r="AA12" s="61"/>
      <c r="AE12" s="2" t="s">
        <v>586</v>
      </c>
    </row>
    <row r="13" spans="1:31">
      <c r="C13" s="2" t="s">
        <v>67</v>
      </c>
      <c r="E13" s="6" t="s">
        <v>572</v>
      </c>
      <c r="G13" s="2" t="s">
        <v>67</v>
      </c>
      <c r="I13" s="2" t="s">
        <v>67</v>
      </c>
      <c r="J13" s="2"/>
      <c r="K13" s="2"/>
      <c r="O13" s="2" t="s">
        <v>67</v>
      </c>
      <c r="Q13" s="6" t="s">
        <v>572</v>
      </c>
      <c r="S13" s="2" t="s">
        <v>67</v>
      </c>
      <c r="U13" s="2" t="s">
        <v>67</v>
      </c>
      <c r="W13" s="6" t="s">
        <v>9</v>
      </c>
      <c r="X13" s="2"/>
      <c r="Y13" s="6" t="s">
        <v>13</v>
      </c>
      <c r="Z13" s="61"/>
      <c r="AA13" s="6" t="s">
        <v>561</v>
      </c>
      <c r="AC13" s="6" t="s">
        <v>561</v>
      </c>
      <c r="AE13" s="2" t="s">
        <v>67</v>
      </c>
    </row>
    <row r="14" spans="1:31">
      <c r="A14" s="2" t="s">
        <v>6</v>
      </c>
      <c r="C14" s="2" t="s">
        <v>9</v>
      </c>
      <c r="E14" s="2" t="s">
        <v>9</v>
      </c>
      <c r="G14" s="2" t="s">
        <v>17</v>
      </c>
      <c r="H14" s="2"/>
      <c r="I14" s="2" t="s">
        <v>17</v>
      </c>
      <c r="J14" s="2"/>
      <c r="K14" s="2"/>
      <c r="M14" s="2" t="s">
        <v>6</v>
      </c>
      <c r="O14" s="2" t="s">
        <v>9</v>
      </c>
      <c r="Q14" s="2" t="s">
        <v>9</v>
      </c>
      <c r="R14" s="2"/>
      <c r="S14" s="2" t="s">
        <v>17</v>
      </c>
      <c r="T14" s="2"/>
      <c r="U14" s="2" t="s">
        <v>17</v>
      </c>
      <c r="W14" s="6" t="s">
        <v>12</v>
      </c>
      <c r="X14" s="2"/>
      <c r="Y14" s="6" t="s">
        <v>12</v>
      </c>
      <c r="Z14" s="61"/>
      <c r="AA14" s="6" t="s">
        <v>616</v>
      </c>
      <c r="AC14" s="6" t="s">
        <v>13</v>
      </c>
      <c r="AE14" s="2" t="s">
        <v>17</v>
      </c>
    </row>
    <row r="15" spans="1:31">
      <c r="A15" s="2" t="s">
        <v>4</v>
      </c>
      <c r="C15" s="2" t="s">
        <v>55</v>
      </c>
      <c r="E15" s="2" t="s">
        <v>109</v>
      </c>
      <c r="G15" s="2" t="s">
        <v>55</v>
      </c>
      <c r="H15" s="2"/>
      <c r="I15" s="2" t="s">
        <v>55</v>
      </c>
      <c r="J15" s="2"/>
      <c r="K15" s="2"/>
      <c r="M15" s="2" t="s">
        <v>4</v>
      </c>
      <c r="O15" s="2" t="s">
        <v>55</v>
      </c>
      <c r="Q15" s="2" t="s">
        <v>109</v>
      </c>
      <c r="R15" s="2"/>
      <c r="S15" s="2" t="s">
        <v>55</v>
      </c>
      <c r="T15" s="2"/>
      <c r="U15" s="2" t="s">
        <v>55</v>
      </c>
      <c r="W15" s="6" t="s">
        <v>55</v>
      </c>
      <c r="X15" s="2"/>
      <c r="Y15" s="6" t="s">
        <v>55</v>
      </c>
      <c r="Z15" s="61"/>
      <c r="AA15" s="6" t="s">
        <v>381</v>
      </c>
      <c r="AC15" s="6" t="s">
        <v>381</v>
      </c>
      <c r="AE15" s="2" t="s">
        <v>55</v>
      </c>
    </row>
    <row r="16" spans="1:31">
      <c r="A16" s="10">
        <v>-1</v>
      </c>
      <c r="C16" s="10">
        <v>-2</v>
      </c>
      <c r="E16" s="10">
        <v>-3</v>
      </c>
      <c r="G16" s="10">
        <v>-4</v>
      </c>
      <c r="H16" s="11"/>
      <c r="I16" s="10">
        <v>-5</v>
      </c>
      <c r="J16" s="11"/>
      <c r="M16" s="10">
        <v>-1</v>
      </c>
      <c r="O16" s="10">
        <v>-2</v>
      </c>
      <c r="Q16" s="10">
        <f>O16-1</f>
        <v>-3</v>
      </c>
      <c r="R16" s="11"/>
      <c r="S16" s="10">
        <f>Q16-1</f>
        <v>-4</v>
      </c>
      <c r="T16" s="10"/>
      <c r="U16" s="10">
        <f>S16-1</f>
        <v>-5</v>
      </c>
      <c r="W16" s="10">
        <f>U16-1</f>
        <v>-6</v>
      </c>
      <c r="X16" s="11"/>
      <c r="Y16" s="10">
        <f>W16-1</f>
        <v>-7</v>
      </c>
      <c r="Z16" s="10"/>
      <c r="AA16" s="10">
        <f>Y16-1</f>
        <v>-8</v>
      </c>
      <c r="AB16" s="10"/>
      <c r="AC16" s="10">
        <f>AA16-1</f>
        <v>-9</v>
      </c>
      <c r="AE16" s="10">
        <f>AC16-1</f>
        <v>-10</v>
      </c>
    </row>
    <row r="18" spans="1:34">
      <c r="A18" s="3" t="s">
        <v>587</v>
      </c>
      <c r="M18" s="3" t="s">
        <v>588</v>
      </c>
      <c r="Z18" s="72"/>
      <c r="AA18" s="72"/>
    </row>
    <row r="19" spans="1:34">
      <c r="A19" s="6">
        <v>2012</v>
      </c>
      <c r="C19" s="66">
        <f>'Exhibit B,2'!U17</f>
        <v>8861.26</v>
      </c>
      <c r="E19" s="73">
        <f>'Exhibit D,4'!E17</f>
        <v>0.99981092607483679</v>
      </c>
      <c r="G19" s="66">
        <f>C19*E19</f>
        <v>8859.5845667899084</v>
      </c>
      <c r="H19" s="26"/>
      <c r="I19" s="66">
        <f>G19</f>
        <v>8859.5845667899084</v>
      </c>
      <c r="J19" s="74"/>
      <c r="K19" s="74"/>
      <c r="L19" s="26"/>
      <c r="M19" s="6">
        <v>2012</v>
      </c>
      <c r="O19" s="66">
        <f>'Exhibit B,3'!AI17-('Exhibit B,3'!M17+'Exhibit B,3'!U17)</f>
        <v>0</v>
      </c>
      <c r="P19" s="66"/>
      <c r="Q19" s="73">
        <f>'Exhibit D,4'!Q17</f>
        <v>0</v>
      </c>
      <c r="R19" s="26"/>
      <c r="S19" s="66">
        <f>O19*Q19</f>
        <v>0</v>
      </c>
      <c r="T19" s="26"/>
      <c r="U19" s="66">
        <f>S19</f>
        <v>0</v>
      </c>
      <c r="W19" s="66">
        <f>'Exhibit B,3'!U17</f>
        <v>0</v>
      </c>
      <c r="X19" s="74"/>
      <c r="Y19" s="66">
        <f>AN61</f>
        <v>0</v>
      </c>
      <c r="Z19" s="72"/>
      <c r="AA19" s="66">
        <f>'Exhibit D,2'!AR63</f>
        <v>0</v>
      </c>
      <c r="AC19" s="75">
        <f>AA19*(1-Q19)</f>
        <v>0</v>
      </c>
      <c r="AE19" s="75">
        <f>(W19-Y19)+(AA19-AC19)</f>
        <v>0</v>
      </c>
      <c r="AG19" s="20">
        <f>'Exhibit D,2'!AC17*Q19</f>
        <v>0</v>
      </c>
      <c r="AH19" s="20">
        <f>AC19+AG19</f>
        <v>0</v>
      </c>
    </row>
    <row r="20" spans="1:34">
      <c r="A20" s="6">
        <f>A19+1</f>
        <v>2013</v>
      </c>
      <c r="C20" s="20">
        <f>'Exhibit B,2'!U18</f>
        <v>4002750.5828141933</v>
      </c>
      <c r="D20" s="26"/>
      <c r="E20" s="73">
        <f>'Exhibit D,4'!E18</f>
        <v>0.29368673863275591</v>
      </c>
      <c r="G20" s="20">
        <f t="shared" ref="G20:G27" si="0">C20*E20</f>
        <v>1175554.7642270634</v>
      </c>
      <c r="H20" s="18"/>
      <c r="I20" s="20">
        <f t="shared" ref="I20:I27" si="1">G20</f>
        <v>1175554.7642270634</v>
      </c>
      <c r="J20" s="74"/>
      <c r="K20" s="74"/>
      <c r="L20" s="18"/>
      <c r="M20" s="6">
        <f>M19+1</f>
        <v>2013</v>
      </c>
      <c r="O20" s="20">
        <f>'Exhibit B,3'!AI18-('Exhibit B,3'!M18+'Exhibit B,3'!U18)</f>
        <v>1121132.3176245776</v>
      </c>
      <c r="P20" s="26"/>
      <c r="Q20" s="73">
        <f>'Exhibit D,4'!Q18</f>
        <v>0.99619360064610918</v>
      </c>
      <c r="R20" s="18"/>
      <c r="S20" s="20">
        <f t="shared" ref="S20:S27" si="2">O20*Q20</f>
        <v>1116864.8402951453</v>
      </c>
      <c r="T20" s="18"/>
      <c r="U20" s="20">
        <f t="shared" ref="U20:U27" si="3">S20</f>
        <v>1116864.8402951453</v>
      </c>
      <c r="W20" s="20">
        <f>'Exhibit B,3'!U18</f>
        <v>0</v>
      </c>
      <c r="X20" s="74"/>
      <c r="Y20" s="20">
        <f t="shared" ref="Y20:Y27" si="4">AN62</f>
        <v>0</v>
      </c>
      <c r="Z20" s="72"/>
      <c r="AA20" s="20">
        <f>'Exhibit D,2'!AR64</f>
        <v>0</v>
      </c>
      <c r="AC20" s="20">
        <f t="shared" ref="AC20:AC27" si="5">AA20*(1-Q20)</f>
        <v>0</v>
      </c>
      <c r="AE20" s="20">
        <f t="shared" ref="AE20:AE27" si="6">(W20-Y20)+(AA20-AC20)</f>
        <v>0</v>
      </c>
      <c r="AG20" s="20">
        <f>'Exhibit D,2'!AC18*Q20</f>
        <v>1116864.8402951453</v>
      </c>
      <c r="AH20" s="20">
        <f t="shared" ref="AH20:AH26" si="7">AC20+AG20</f>
        <v>1116864.8402951453</v>
      </c>
    </row>
    <row r="21" spans="1:34">
      <c r="A21" s="6">
        <f t="shared" ref="A21:A27" si="8">A20+1</f>
        <v>2014</v>
      </c>
      <c r="C21" s="20">
        <f>'Exhibit B,2'!U19</f>
        <v>2597142.3725217641</v>
      </c>
      <c r="E21" s="73">
        <f>'Exhibit D,4'!E19</f>
        <v>0.9605732097889047</v>
      </c>
      <c r="G21" s="20">
        <f t="shared" si="0"/>
        <v>2494745.385052002</v>
      </c>
      <c r="H21" s="18"/>
      <c r="I21" s="20">
        <f t="shared" si="1"/>
        <v>2494745.385052002</v>
      </c>
      <c r="J21" s="74"/>
      <c r="K21" s="74"/>
      <c r="L21" s="18"/>
      <c r="M21" s="6">
        <f t="shared" ref="M21:M27" si="9">M20+1</f>
        <v>2014</v>
      </c>
      <c r="O21" s="20">
        <f>'Exhibit B,3'!AI19-('Exhibit B,3'!M19+'Exhibit B,3'!U19)</f>
        <v>348242.16293173609</v>
      </c>
      <c r="Q21" s="73">
        <f>'Exhibit D,4'!Q19</f>
        <v>0.99125056488245011</v>
      </c>
      <c r="R21" s="18"/>
      <c r="S21" s="20">
        <f t="shared" si="2"/>
        <v>345195.24072196963</v>
      </c>
      <c r="T21" s="18"/>
      <c r="U21" s="20">
        <f t="shared" si="3"/>
        <v>345195.24072196963</v>
      </c>
      <c r="W21" s="20">
        <f>'Exhibit B,3'!U19</f>
        <v>0</v>
      </c>
      <c r="X21" s="74"/>
      <c r="Y21" s="20">
        <f t="shared" si="4"/>
        <v>0</v>
      </c>
      <c r="Z21" s="72"/>
      <c r="AA21" s="20">
        <f>'Exhibit D,2'!AR65</f>
        <v>0</v>
      </c>
      <c r="AC21" s="20">
        <f t="shared" si="5"/>
        <v>0</v>
      </c>
      <c r="AE21" s="20">
        <f t="shared" si="6"/>
        <v>0</v>
      </c>
      <c r="AG21" s="20">
        <f>'Exhibit D,2'!AC19*Q21</f>
        <v>345195.24072196963</v>
      </c>
      <c r="AH21" s="20">
        <f t="shared" si="7"/>
        <v>345195.24072196963</v>
      </c>
    </row>
    <row r="22" spans="1:34">
      <c r="A22" s="6">
        <f t="shared" si="8"/>
        <v>2015</v>
      </c>
      <c r="C22" s="20">
        <f>'Exhibit B,2'!U20</f>
        <v>2937656.9738219422</v>
      </c>
      <c r="E22" s="73">
        <f>'Exhibit D,4'!E20</f>
        <v>0.65639341645423166</v>
      </c>
      <c r="G22" s="20">
        <f t="shared" si="0"/>
        <v>1928258.697417584</v>
      </c>
      <c r="H22" s="18"/>
      <c r="I22" s="20">
        <f t="shared" si="1"/>
        <v>1928258.697417584</v>
      </c>
      <c r="J22" s="74"/>
      <c r="K22" s="74"/>
      <c r="L22" s="18"/>
      <c r="M22" s="6">
        <f t="shared" si="9"/>
        <v>2015</v>
      </c>
      <c r="O22" s="20">
        <f>'Exhibit B,3'!AI20-('Exhibit B,3'!M20+'Exhibit B,3'!U20)</f>
        <v>1427844.3328704592</v>
      </c>
      <c r="Q22" s="73">
        <f>'Exhibit D,4'!Q20</f>
        <v>0.93207930855526866</v>
      </c>
      <c r="R22" s="18"/>
      <c r="S22" s="20">
        <f t="shared" si="2"/>
        <v>1330864.1585064565</v>
      </c>
      <c r="T22" s="18"/>
      <c r="U22" s="20">
        <f t="shared" si="3"/>
        <v>1330864.1585064565</v>
      </c>
      <c r="W22" s="20">
        <f>'Exhibit B,3'!U20</f>
        <v>11104770.789999999</v>
      </c>
      <c r="X22" s="74"/>
      <c r="Y22" s="20">
        <f t="shared" si="4"/>
        <v>0</v>
      </c>
      <c r="Z22" s="72"/>
      <c r="AA22" s="20">
        <f>'Exhibit D,2'!AR68</f>
        <v>0</v>
      </c>
      <c r="AC22" s="20">
        <f t="shared" si="5"/>
        <v>0</v>
      </c>
      <c r="AE22" s="20">
        <f t="shared" si="6"/>
        <v>11104770.789999999</v>
      </c>
      <c r="AG22" s="20">
        <f>'Exhibit D,2'!AC20*Q22</f>
        <v>1330864.1585064568</v>
      </c>
      <c r="AH22" s="20">
        <f t="shared" si="7"/>
        <v>1330864.1585064568</v>
      </c>
    </row>
    <row r="23" spans="1:34">
      <c r="A23" s="6">
        <f t="shared" si="8"/>
        <v>2016</v>
      </c>
      <c r="C23" s="20">
        <f>'Exhibit B,2'!U21</f>
        <v>2034573.3255892221</v>
      </c>
      <c r="E23" s="73">
        <f>'Exhibit D,4'!E21</f>
        <v>0.9470341579093341</v>
      </c>
      <c r="G23" s="20">
        <f t="shared" si="0"/>
        <v>1926810.4361041824</v>
      </c>
      <c r="H23" s="18"/>
      <c r="I23" s="20">
        <f t="shared" si="1"/>
        <v>1926810.4361041824</v>
      </c>
      <c r="J23" s="74"/>
      <c r="K23" s="74"/>
      <c r="L23" s="18"/>
      <c r="M23" s="6">
        <f t="shared" si="9"/>
        <v>2016</v>
      </c>
      <c r="O23" s="20">
        <f>'Exhibit B,3'!AI21-('Exhibit B,3'!M21+'Exhibit B,3'!U21)</f>
        <v>1512736.4350139694</v>
      </c>
      <c r="Q23" s="73">
        <f>'Exhibit D,4'!Q21</f>
        <v>0.85634571691262984</v>
      </c>
      <c r="R23" s="18"/>
      <c r="S23" s="20">
        <f t="shared" si="2"/>
        <v>1295425.3669418935</v>
      </c>
      <c r="T23" s="18"/>
      <c r="U23" s="20">
        <f t="shared" si="3"/>
        <v>1295425.3669418935</v>
      </c>
      <c r="W23" s="20">
        <f>'Exhibit B,3'!U21</f>
        <v>7034839.5300000003</v>
      </c>
      <c r="X23" s="74"/>
      <c r="Y23" s="20">
        <f t="shared" si="4"/>
        <v>0</v>
      </c>
      <c r="Z23" s="72"/>
      <c r="AA23" s="20" t="e">
        <f>'Exhibit D,2'!#REF!</f>
        <v>#REF!</v>
      </c>
      <c r="AC23" s="20" t="e">
        <f t="shared" si="5"/>
        <v>#REF!</v>
      </c>
      <c r="AE23" s="20" t="e">
        <f t="shared" si="6"/>
        <v>#REF!</v>
      </c>
      <c r="AG23" s="20">
        <f>'Exhibit D,2'!AC21*Q23</f>
        <v>1295425.3669418944</v>
      </c>
      <c r="AH23" s="20" t="e">
        <f t="shared" si="7"/>
        <v>#REF!</v>
      </c>
    </row>
    <row r="24" spans="1:34">
      <c r="A24" s="6">
        <f t="shared" si="8"/>
        <v>2017</v>
      </c>
      <c r="C24" s="20">
        <f>'Exhibit B,2'!U22</f>
        <v>631061.54168837261</v>
      </c>
      <c r="E24" s="73">
        <f>'Exhibit D,4'!E22</f>
        <v>0.90450194052693722</v>
      </c>
      <c r="G24" s="20">
        <f t="shared" si="0"/>
        <v>570796.38904905377</v>
      </c>
      <c r="H24" s="18"/>
      <c r="I24" s="20">
        <f t="shared" si="1"/>
        <v>570796.38904905377</v>
      </c>
      <c r="J24" s="74"/>
      <c r="K24" s="74"/>
      <c r="L24" s="18"/>
      <c r="M24" s="6">
        <f t="shared" si="9"/>
        <v>2017</v>
      </c>
      <c r="O24" s="20">
        <f>'Exhibit B,3'!AI22-('Exhibit B,3'!M22+'Exhibit B,3'!U22)</f>
        <v>7249329.4644047171</v>
      </c>
      <c r="Q24" s="73">
        <f>'Exhibit D,4'!Q22</f>
        <v>0.83547983657204627</v>
      </c>
      <c r="R24" s="18"/>
      <c r="S24" s="20">
        <f t="shared" si="2"/>
        <v>6056668.5961777726</v>
      </c>
      <c r="T24" s="18"/>
      <c r="U24" s="20">
        <f t="shared" si="3"/>
        <v>6056668.5961777726</v>
      </c>
      <c r="W24" s="20">
        <f>'Exhibit B,3'!U22</f>
        <v>6258780.5599999987</v>
      </c>
      <c r="X24" s="74"/>
      <c r="Y24" s="20">
        <f t="shared" si="4"/>
        <v>0</v>
      </c>
      <c r="Z24" s="72"/>
      <c r="AA24" s="20" t="e">
        <f>'Exhibit D,2'!#REF!</f>
        <v>#REF!</v>
      </c>
      <c r="AC24" s="20" t="e">
        <f t="shared" si="5"/>
        <v>#REF!</v>
      </c>
      <c r="AE24" s="20" t="e">
        <f t="shared" si="6"/>
        <v>#REF!</v>
      </c>
      <c r="AG24" s="20">
        <f>'Exhibit D,2'!AC22*Q24</f>
        <v>5759038.391769873</v>
      </c>
      <c r="AH24" s="20" t="e">
        <f t="shared" si="7"/>
        <v>#REF!</v>
      </c>
    </row>
    <row r="25" spans="1:34">
      <c r="A25" s="6">
        <f t="shared" si="8"/>
        <v>2018</v>
      </c>
      <c r="C25" s="20">
        <f>'Exhibit B,2'!U23</f>
        <v>3841492.4821127155</v>
      </c>
      <c r="E25" s="73">
        <f>'Exhibit D,4'!E23</f>
        <v>0.89739017859274783</v>
      </c>
      <c r="G25" s="20">
        <f t="shared" si="0"/>
        <v>3447317.6245858278</v>
      </c>
      <c r="H25" s="18"/>
      <c r="I25" s="20">
        <f t="shared" si="1"/>
        <v>3447317.6245858278</v>
      </c>
      <c r="J25" s="74"/>
      <c r="K25" s="74"/>
      <c r="L25" s="18"/>
      <c r="M25" s="6">
        <f t="shared" si="9"/>
        <v>2018</v>
      </c>
      <c r="O25" s="20">
        <f>'Exhibit B,3'!AI23-('Exhibit B,3'!M23+'Exhibit B,3'!U23)</f>
        <v>4044415.9542173147</v>
      </c>
      <c r="Q25" s="73">
        <f>'Exhibit D,4'!Q23</f>
        <v>0.82878462672457021</v>
      </c>
      <c r="R25" s="18"/>
      <c r="S25" s="20">
        <f t="shared" si="2"/>
        <v>3351949.7669348936</v>
      </c>
      <c r="T25" s="18"/>
      <c r="U25" s="20">
        <f t="shared" si="3"/>
        <v>3351949.7669348936</v>
      </c>
      <c r="W25" s="20">
        <f>'Exhibit B,3'!U23</f>
        <v>5235187.4000000004</v>
      </c>
      <c r="X25" s="74"/>
      <c r="Y25" s="20">
        <f t="shared" si="4"/>
        <v>0</v>
      </c>
      <c r="Z25" s="61"/>
      <c r="AA25" s="20" t="e">
        <f>'Exhibit D,2'!#REF!</f>
        <v>#REF!</v>
      </c>
      <c r="AC25" s="20" t="e">
        <f t="shared" si="5"/>
        <v>#REF!</v>
      </c>
      <c r="AE25" s="20" t="e">
        <f t="shared" si="6"/>
        <v>#REF!</v>
      </c>
      <c r="AG25" s="20">
        <f>'Exhibit D,2'!AC23*Q25</f>
        <v>3403480.2431476847</v>
      </c>
      <c r="AH25" s="20" t="e">
        <f t="shared" si="7"/>
        <v>#REF!</v>
      </c>
    </row>
    <row r="26" spans="1:34">
      <c r="A26" s="6">
        <f t="shared" si="8"/>
        <v>2019</v>
      </c>
      <c r="C26" s="20">
        <f>'Exhibit B,2'!U24</f>
        <v>1710614.4417516314</v>
      </c>
      <c r="E26" s="73">
        <f>'Exhibit D,4'!E24</f>
        <v>0.80049301936903428</v>
      </c>
      <c r="G26" s="20">
        <f t="shared" si="0"/>
        <v>1369334.9194540384</v>
      </c>
      <c r="H26" s="18"/>
      <c r="I26" s="20">
        <f t="shared" si="1"/>
        <v>1369334.9194540384</v>
      </c>
      <c r="J26" s="74"/>
      <c r="K26" s="74"/>
      <c r="L26" s="18"/>
      <c r="M26" s="6">
        <f t="shared" si="9"/>
        <v>2019</v>
      </c>
      <c r="O26" s="20">
        <f>'Exhibit B,3'!AI24-('Exhibit B,3'!M24+'Exhibit B,3'!U24)</f>
        <v>2877265.7145885993</v>
      </c>
      <c r="Q26" s="73">
        <f>'Exhibit D,4'!Q24</f>
        <v>0.81792621102397878</v>
      </c>
      <c r="R26" s="18"/>
      <c r="S26" s="20">
        <f t="shared" si="2"/>
        <v>2353391.0440426539</v>
      </c>
      <c r="T26" s="18"/>
      <c r="U26" s="20">
        <f t="shared" si="3"/>
        <v>2353391.0440426539</v>
      </c>
      <c r="W26" s="20">
        <f>'Exhibit B,3'!U24</f>
        <v>0</v>
      </c>
      <c r="X26" s="74"/>
      <c r="Y26" s="20">
        <f t="shared" si="4"/>
        <v>0</v>
      </c>
      <c r="Z26" s="61"/>
      <c r="AA26" s="20" t="e">
        <f>'Exhibit D,2'!#REF!</f>
        <v>#REF!</v>
      </c>
      <c r="AC26" s="20" t="e">
        <f t="shared" si="5"/>
        <v>#REF!</v>
      </c>
      <c r="AE26" s="20" t="e">
        <f t="shared" si="6"/>
        <v>#REF!</v>
      </c>
      <c r="AG26" s="20">
        <f>'Exhibit D,2'!AC24*Q26</f>
        <v>2660393.4445810672</v>
      </c>
      <c r="AH26" s="20" t="e">
        <f t="shared" si="7"/>
        <v>#REF!</v>
      </c>
    </row>
    <row r="27" spans="1:34">
      <c r="A27" s="6">
        <f t="shared" si="8"/>
        <v>2020</v>
      </c>
      <c r="C27" s="20">
        <f>'Exhibit B,2'!U25</f>
        <v>5712832.575143653</v>
      </c>
      <c r="E27" s="73">
        <f>'Exhibit D,4'!E25</f>
        <v>0.80049301936903428</v>
      </c>
      <c r="G27" s="20">
        <f t="shared" si="0"/>
        <v>4573082.5972265182</v>
      </c>
      <c r="H27" s="18"/>
      <c r="I27" s="20">
        <f t="shared" si="1"/>
        <v>4573082.5972265182</v>
      </c>
      <c r="J27" s="74"/>
      <c r="K27" s="74"/>
      <c r="L27" s="18"/>
      <c r="M27" s="6">
        <f t="shared" si="9"/>
        <v>2020</v>
      </c>
      <c r="O27" s="20">
        <f>'Exhibit B,3'!AI25-('Exhibit B,3'!M25+'Exhibit B,3'!U25)</f>
        <v>4127059.5809957045</v>
      </c>
      <c r="Q27" s="73">
        <f>'Exhibit D,4'!Q25</f>
        <v>0.81792621102397878</v>
      </c>
      <c r="R27" s="18"/>
      <c r="S27" s="20">
        <f t="shared" si="2"/>
        <v>3375630.2057540258</v>
      </c>
      <c r="T27" s="18"/>
      <c r="U27" s="20">
        <f t="shared" si="3"/>
        <v>3375630.2057540258</v>
      </c>
      <c r="W27" s="20">
        <f>'Exhibit B,3'!U25</f>
        <v>0</v>
      </c>
      <c r="X27" s="74"/>
      <c r="Y27" s="20">
        <f t="shared" si="4"/>
        <v>0</v>
      </c>
      <c r="Z27" s="61"/>
      <c r="AA27" s="20">
        <f>'Exhibit D,2'!AR73</f>
        <v>0</v>
      </c>
      <c r="AC27" s="20">
        <f t="shared" si="5"/>
        <v>0</v>
      </c>
      <c r="AE27" s="20">
        <f t="shared" si="6"/>
        <v>0</v>
      </c>
      <c r="AG27" s="20"/>
      <c r="AH27" s="20"/>
    </row>
    <row r="28" spans="1:34">
      <c r="A28" s="6"/>
      <c r="C28" s="63"/>
      <c r="G28" s="63"/>
      <c r="I28" s="63"/>
      <c r="M28" s="6"/>
      <c r="O28" s="63"/>
      <c r="S28" s="63"/>
      <c r="U28" s="63"/>
      <c r="W28" s="63"/>
      <c r="Y28" s="63"/>
      <c r="Z28" s="61"/>
      <c r="AA28" s="63"/>
      <c r="AC28" s="63"/>
      <c r="AE28" s="63"/>
    </row>
    <row r="29" spans="1:34">
      <c r="A29" s="2" t="s">
        <v>0</v>
      </c>
      <c r="C29" s="66">
        <f>SUM(C19:C28)</f>
        <v>23476985.555443496</v>
      </c>
      <c r="D29" s="66"/>
      <c r="G29" s="66">
        <f>SUM(G19:G28)</f>
        <v>17494760.397683062</v>
      </c>
      <c r="I29" s="26">
        <f>SUM(I19:I28)</f>
        <v>17494760.397683062</v>
      </c>
      <c r="J29" s="26"/>
      <c r="M29" s="2" t="s">
        <v>0</v>
      </c>
      <c r="O29" s="66">
        <f>SUM(O19:O28)</f>
        <v>22708025.962647077</v>
      </c>
      <c r="P29" s="66"/>
      <c r="R29" s="66"/>
      <c r="S29" s="66">
        <f>SUM(S19:S28)</f>
        <v>19225989.219374813</v>
      </c>
      <c r="U29" s="26">
        <f>SUM(U19:U28)</f>
        <v>19225989.219374813</v>
      </c>
      <c r="W29" s="26">
        <f>SUM(W19:W28)</f>
        <v>29633578.280000001</v>
      </c>
      <c r="X29" s="26"/>
      <c r="Y29" s="66">
        <f>SUM(Y19:Y28)</f>
        <v>0</v>
      </c>
      <c r="AA29" s="66" t="e">
        <f>SUM(AA19:AA28)</f>
        <v>#REF!</v>
      </c>
      <c r="AC29" s="66" t="e">
        <f>SUM(AC19:AC28)</f>
        <v>#REF!</v>
      </c>
      <c r="AE29" s="66" t="e">
        <f>SUM(AE19:AE28)</f>
        <v>#REF!</v>
      </c>
      <c r="AG29" s="66">
        <f>SUM(AG19:AG28)</f>
        <v>15911261.685964091</v>
      </c>
      <c r="AH29" s="66" t="e">
        <f>SUM(AH19:AH28)</f>
        <v>#REF!</v>
      </c>
    </row>
    <row r="30" spans="1:34">
      <c r="A30" s="6"/>
    </row>
    <row r="31" spans="1:34">
      <c r="A31" s="3" t="s">
        <v>295</v>
      </c>
      <c r="M31" s="3" t="s">
        <v>393</v>
      </c>
      <c r="O31" s="3"/>
    </row>
    <row r="32" spans="1:34">
      <c r="A32" s="6">
        <v>2012</v>
      </c>
      <c r="C32" s="66">
        <f>'Exhibit B,2'!U31</f>
        <v>0</v>
      </c>
      <c r="E32" s="73">
        <v>0</v>
      </c>
      <c r="G32" s="66">
        <f>C32*E32</f>
        <v>0</v>
      </c>
      <c r="H32" s="26"/>
      <c r="I32" s="66">
        <f>G32</f>
        <v>0</v>
      </c>
      <c r="J32" s="74"/>
      <c r="K32" s="74"/>
      <c r="L32" s="26"/>
      <c r="M32" s="6">
        <v>2012</v>
      </c>
      <c r="O32" s="66">
        <v>0</v>
      </c>
      <c r="P32" s="66"/>
      <c r="Q32" s="66">
        <v>0</v>
      </c>
      <c r="S32" s="66">
        <v>0</v>
      </c>
      <c r="T32" s="26"/>
      <c r="U32" s="66">
        <v>0</v>
      </c>
      <c r="V32" s="74"/>
      <c r="W32" s="74"/>
      <c r="X32" s="74"/>
      <c r="Y32" s="74"/>
    </row>
    <row r="33" spans="1:25">
      <c r="A33" s="6">
        <f>A32+1</f>
        <v>2013</v>
      </c>
      <c r="C33" s="20">
        <f>'Exhibit B,2'!U32</f>
        <v>420</v>
      </c>
      <c r="D33" s="26"/>
      <c r="E33" s="73">
        <v>0</v>
      </c>
      <c r="G33" s="20">
        <f t="shared" ref="G33:G40" si="10">C33*E33</f>
        <v>0</v>
      </c>
      <c r="H33" s="18"/>
      <c r="I33" s="20">
        <f t="shared" ref="I33:I40" si="11">G33</f>
        <v>0</v>
      </c>
      <c r="J33" s="74"/>
      <c r="K33" s="74"/>
      <c r="L33" s="18"/>
      <c r="M33" s="6">
        <f>M32+1</f>
        <v>2013</v>
      </c>
      <c r="O33" s="20">
        <v>0</v>
      </c>
      <c r="P33" s="26"/>
      <c r="Q33" s="20">
        <v>0</v>
      </c>
      <c r="S33" s="20">
        <v>0</v>
      </c>
      <c r="T33" s="18"/>
      <c r="U33" s="20">
        <v>0</v>
      </c>
      <c r="V33" s="74"/>
      <c r="W33" s="74"/>
      <c r="X33" s="74"/>
      <c r="Y33" s="74"/>
    </row>
    <row r="34" spans="1:25">
      <c r="A34" s="6">
        <f t="shared" ref="A34:A40" si="12">A33+1</f>
        <v>2014</v>
      </c>
      <c r="C34" s="20">
        <f>'Exhibit B,2'!U33</f>
        <v>104375</v>
      </c>
      <c r="E34" s="73">
        <v>0</v>
      </c>
      <c r="G34" s="20">
        <f t="shared" si="10"/>
        <v>0</v>
      </c>
      <c r="H34" s="18"/>
      <c r="I34" s="20">
        <f t="shared" si="11"/>
        <v>0</v>
      </c>
      <c r="J34" s="74"/>
      <c r="K34" s="74"/>
      <c r="L34" s="18"/>
      <c r="M34" s="6">
        <f t="shared" ref="M34:M40" si="13">M33+1</f>
        <v>2014</v>
      </c>
      <c r="O34" s="20">
        <v>0</v>
      </c>
      <c r="Q34" s="20">
        <v>0</v>
      </c>
      <c r="S34" s="20">
        <v>0</v>
      </c>
      <c r="T34" s="18"/>
      <c r="U34" s="20">
        <v>0</v>
      </c>
      <c r="V34" s="74"/>
      <c r="W34" s="74"/>
      <c r="X34" s="74"/>
      <c r="Y34" s="74"/>
    </row>
    <row r="35" spans="1:25">
      <c r="A35" s="6">
        <f t="shared" si="12"/>
        <v>2015</v>
      </c>
      <c r="C35" s="20">
        <f>'Exhibit B,2'!U34</f>
        <v>114230.56999999999</v>
      </c>
      <c r="E35" s="73">
        <v>0</v>
      </c>
      <c r="G35" s="20">
        <f t="shared" si="10"/>
        <v>0</v>
      </c>
      <c r="H35" s="18"/>
      <c r="I35" s="20">
        <f t="shared" si="11"/>
        <v>0</v>
      </c>
      <c r="J35" s="74"/>
      <c r="K35" s="74"/>
      <c r="L35" s="18"/>
      <c r="M35" s="6">
        <f t="shared" si="13"/>
        <v>2015</v>
      </c>
      <c r="O35" s="20">
        <v>0</v>
      </c>
      <c r="Q35" s="20">
        <v>0</v>
      </c>
      <c r="S35" s="20">
        <v>0</v>
      </c>
      <c r="T35" s="18"/>
      <c r="U35" s="20">
        <v>0</v>
      </c>
      <c r="V35" s="74"/>
      <c r="W35" s="74"/>
      <c r="X35" s="74"/>
      <c r="Y35" s="74"/>
    </row>
    <row r="36" spans="1:25">
      <c r="A36" s="6">
        <f t="shared" si="12"/>
        <v>2016</v>
      </c>
      <c r="C36" s="20">
        <f>'Exhibit B,2'!U35</f>
        <v>72455.05</v>
      </c>
      <c r="E36" s="73">
        <v>0</v>
      </c>
      <c r="G36" s="20">
        <f t="shared" si="10"/>
        <v>0</v>
      </c>
      <c r="H36" s="18"/>
      <c r="I36" s="20">
        <f t="shared" si="11"/>
        <v>0</v>
      </c>
      <c r="J36" s="74"/>
      <c r="K36" s="74"/>
      <c r="L36" s="18"/>
      <c r="M36" s="6">
        <f t="shared" si="13"/>
        <v>2016</v>
      </c>
      <c r="O36" s="20">
        <v>0</v>
      </c>
      <c r="Q36" s="20">
        <v>0</v>
      </c>
      <c r="S36" s="20">
        <v>0</v>
      </c>
      <c r="T36" s="18"/>
      <c r="U36" s="20">
        <v>0</v>
      </c>
      <c r="V36" s="74"/>
      <c r="W36" s="74"/>
      <c r="X36" s="74"/>
      <c r="Y36" s="74"/>
    </row>
    <row r="37" spans="1:25">
      <c r="A37" s="6">
        <f t="shared" si="12"/>
        <v>2017</v>
      </c>
      <c r="C37" s="20">
        <f>'Exhibit B,2'!U36</f>
        <v>0</v>
      </c>
      <c r="E37" s="73">
        <v>0</v>
      </c>
      <c r="G37" s="20">
        <f t="shared" si="10"/>
        <v>0</v>
      </c>
      <c r="H37" s="18"/>
      <c r="I37" s="20">
        <f t="shared" si="11"/>
        <v>0</v>
      </c>
      <c r="J37" s="74"/>
      <c r="K37" s="74"/>
      <c r="L37" s="18"/>
      <c r="M37" s="6">
        <f t="shared" si="13"/>
        <v>2017</v>
      </c>
      <c r="O37" s="20">
        <v>0</v>
      </c>
      <c r="Q37" s="20">
        <v>0</v>
      </c>
      <c r="S37" s="20">
        <v>0</v>
      </c>
      <c r="T37" s="18"/>
      <c r="U37" s="20">
        <v>0</v>
      </c>
      <c r="V37" s="74"/>
      <c r="W37" s="74"/>
      <c r="X37" s="74"/>
      <c r="Y37" s="74"/>
    </row>
    <row r="38" spans="1:25">
      <c r="A38" s="6">
        <f t="shared" si="12"/>
        <v>2018</v>
      </c>
      <c r="C38" s="20">
        <f>'Exhibit B,2'!U37</f>
        <v>0</v>
      </c>
      <c r="E38" s="73">
        <v>0</v>
      </c>
      <c r="G38" s="20">
        <f t="shared" si="10"/>
        <v>0</v>
      </c>
      <c r="H38" s="18"/>
      <c r="I38" s="20">
        <f t="shared" si="11"/>
        <v>0</v>
      </c>
      <c r="J38" s="74"/>
      <c r="K38" s="74"/>
      <c r="L38" s="18"/>
      <c r="M38" s="6">
        <f t="shared" si="13"/>
        <v>2018</v>
      </c>
      <c r="O38" s="20">
        <v>0</v>
      </c>
      <c r="Q38" s="20">
        <v>0</v>
      </c>
      <c r="S38" s="20">
        <v>0</v>
      </c>
      <c r="T38" s="18"/>
      <c r="U38" s="20">
        <v>0</v>
      </c>
      <c r="V38" s="74"/>
      <c r="W38" s="74"/>
      <c r="X38" s="74"/>
      <c r="Y38" s="74"/>
    </row>
    <row r="39" spans="1:25">
      <c r="A39" s="6">
        <f t="shared" si="12"/>
        <v>2019</v>
      </c>
      <c r="C39" s="20">
        <f>'Exhibit B,2'!U38</f>
        <v>2002</v>
      </c>
      <c r="E39" s="73">
        <v>0</v>
      </c>
      <c r="G39" s="20">
        <f t="shared" si="10"/>
        <v>0</v>
      </c>
      <c r="H39" s="18"/>
      <c r="I39" s="20">
        <f t="shared" si="11"/>
        <v>0</v>
      </c>
      <c r="J39" s="74"/>
      <c r="K39" s="74"/>
      <c r="L39" s="18"/>
      <c r="M39" s="6">
        <f t="shared" si="13"/>
        <v>2019</v>
      </c>
      <c r="O39" s="20">
        <v>0</v>
      </c>
      <c r="Q39" s="20">
        <v>0</v>
      </c>
      <c r="S39" s="20">
        <v>0</v>
      </c>
      <c r="T39" s="18"/>
      <c r="U39" s="20">
        <v>0</v>
      </c>
      <c r="V39" s="74"/>
      <c r="W39" s="74"/>
      <c r="X39" s="74"/>
      <c r="Y39" s="74"/>
    </row>
    <row r="40" spans="1:25">
      <c r="A40" s="6">
        <f t="shared" si="12"/>
        <v>2020</v>
      </c>
      <c r="C40" s="20">
        <f>'Exhibit B,2'!U39</f>
        <v>0</v>
      </c>
      <c r="E40" s="73">
        <v>0</v>
      </c>
      <c r="G40" s="20">
        <f t="shared" si="10"/>
        <v>0</v>
      </c>
      <c r="H40" s="18"/>
      <c r="I40" s="20">
        <f t="shared" si="11"/>
        <v>0</v>
      </c>
      <c r="J40" s="74"/>
      <c r="K40" s="74"/>
      <c r="L40" s="18"/>
      <c r="M40" s="6">
        <f t="shared" si="13"/>
        <v>2020</v>
      </c>
      <c r="O40" s="20">
        <v>0</v>
      </c>
      <c r="Q40" s="20">
        <v>0</v>
      </c>
      <c r="S40" s="20">
        <v>0</v>
      </c>
      <c r="T40" s="18"/>
      <c r="U40" s="20">
        <v>0</v>
      </c>
      <c r="V40" s="74"/>
      <c r="W40" s="74"/>
      <c r="X40" s="74"/>
      <c r="Y40" s="74"/>
    </row>
    <row r="41" spans="1:25">
      <c r="A41" s="6"/>
      <c r="C41" s="63"/>
      <c r="E41" s="63"/>
      <c r="G41" s="63"/>
      <c r="I41" s="63"/>
      <c r="M41" s="6"/>
      <c r="O41" s="63"/>
      <c r="Q41" s="63"/>
      <c r="S41" s="63"/>
      <c r="U41" s="63"/>
    </row>
    <row r="42" spans="1:25">
      <c r="A42" s="2" t="s">
        <v>0</v>
      </c>
      <c r="C42" s="66">
        <f>SUM(C32:C41)</f>
        <v>293482.62</v>
      </c>
      <c r="D42" s="66"/>
      <c r="E42" s="66">
        <f>SUM(E32:E41)</f>
        <v>0</v>
      </c>
      <c r="I42" s="26">
        <f>SUM(I32:I41)</f>
        <v>0</v>
      </c>
      <c r="J42" s="26"/>
      <c r="M42" s="2" t="s">
        <v>0</v>
      </c>
      <c r="O42" s="66">
        <f>SUM(O32:O41)</f>
        <v>0</v>
      </c>
      <c r="P42" s="66"/>
      <c r="Q42" s="66">
        <f>SUM(Q32:Q41)</f>
        <v>0</v>
      </c>
      <c r="R42" s="66"/>
      <c r="S42" s="66"/>
      <c r="T42" s="66"/>
      <c r="U42" s="66">
        <f>SUM(U32:U41)</f>
        <v>0</v>
      </c>
      <c r="V42" s="26"/>
      <c r="W42" s="26"/>
      <c r="X42" s="26"/>
    </row>
    <row r="43" spans="1:25">
      <c r="A43" s="6"/>
      <c r="H43" s="26"/>
    </row>
    <row r="44" spans="1:25">
      <c r="A44" s="3" t="s">
        <v>589</v>
      </c>
      <c r="M44" s="3" t="s">
        <v>590</v>
      </c>
      <c r="O44" s="3"/>
    </row>
    <row r="45" spans="1:25">
      <c r="A45" s="6">
        <v>2012</v>
      </c>
      <c r="C45" s="20">
        <f>'Exhibit B,2'!U45</f>
        <v>0</v>
      </c>
      <c r="E45" s="73">
        <v>1</v>
      </c>
      <c r="G45" s="66">
        <f>C45*E45</f>
        <v>0</v>
      </c>
      <c r="H45" s="26"/>
      <c r="I45" s="66">
        <f>G45</f>
        <v>0</v>
      </c>
      <c r="J45" s="74"/>
      <c r="K45" s="74"/>
      <c r="L45" s="26"/>
      <c r="M45" s="6">
        <v>2012</v>
      </c>
      <c r="N45" s="19"/>
      <c r="O45" s="66">
        <f>'Exhibit B,3'!C45</f>
        <v>0</v>
      </c>
      <c r="Q45" s="73">
        <v>1</v>
      </c>
      <c r="R45" s="19"/>
      <c r="S45" s="66">
        <f>O45*Q45</f>
        <v>0</v>
      </c>
      <c r="T45" s="26"/>
      <c r="U45" s="66">
        <f>S45</f>
        <v>0</v>
      </c>
      <c r="Y45" s="74"/>
    </row>
    <row r="46" spans="1:25">
      <c r="A46" s="6">
        <f>A45+1</f>
        <v>2013</v>
      </c>
      <c r="C46" s="20">
        <f>'Exhibit B,2'!U46</f>
        <v>77600.820000000007</v>
      </c>
      <c r="E46" s="73">
        <v>1</v>
      </c>
      <c r="G46" s="20">
        <f t="shared" ref="G46:G53" si="14">C46*E46</f>
        <v>77600.820000000007</v>
      </c>
      <c r="H46" s="18"/>
      <c r="I46" s="20">
        <f t="shared" ref="I46:I53" si="15">G46</f>
        <v>77600.820000000007</v>
      </c>
      <c r="J46" s="74"/>
      <c r="K46" s="74"/>
      <c r="L46" s="18"/>
      <c r="M46" s="6">
        <f>M45+1</f>
        <v>2013</v>
      </c>
      <c r="N46" s="18"/>
      <c r="O46" s="20">
        <f>'Exhibit B,3'!C46</f>
        <v>28746.9825031943</v>
      </c>
      <c r="P46" s="18"/>
      <c r="Q46" s="73">
        <v>1</v>
      </c>
      <c r="R46" s="20"/>
      <c r="S46" s="20">
        <f t="shared" ref="S46:S53" si="16">O46*Q46</f>
        <v>28746.9825031943</v>
      </c>
      <c r="T46" s="18"/>
      <c r="U46" s="20">
        <f t="shared" ref="U46:U53" si="17">S46</f>
        <v>28746.9825031943</v>
      </c>
      <c r="V46" s="18"/>
      <c r="W46" s="18"/>
      <c r="X46" s="18"/>
      <c r="Y46" s="74"/>
    </row>
    <row r="47" spans="1:25">
      <c r="A47" s="6">
        <f t="shared" ref="A47:A53" si="18">A46+1</f>
        <v>2014</v>
      </c>
      <c r="C47" s="20">
        <f>'Exhibit B,2'!U47</f>
        <v>21957.386433798303</v>
      </c>
      <c r="E47" s="73">
        <v>1</v>
      </c>
      <c r="G47" s="20">
        <f t="shared" si="14"/>
        <v>21957.386433798303</v>
      </c>
      <c r="H47" s="18"/>
      <c r="I47" s="20">
        <f t="shared" si="15"/>
        <v>21957.386433798303</v>
      </c>
      <c r="J47" s="74"/>
      <c r="K47" s="74"/>
      <c r="L47" s="18"/>
      <c r="M47" s="6">
        <f t="shared" ref="M47:M53" si="19">M46+1</f>
        <v>2014</v>
      </c>
      <c r="N47" s="18"/>
      <c r="O47" s="20">
        <f>'Exhibit B,3'!C47</f>
        <v>8929.286229018875</v>
      </c>
      <c r="P47" s="18"/>
      <c r="Q47" s="73">
        <v>1</v>
      </c>
      <c r="R47" s="20"/>
      <c r="S47" s="20">
        <f t="shared" si="16"/>
        <v>8929.286229018875</v>
      </c>
      <c r="T47" s="18"/>
      <c r="U47" s="20">
        <f t="shared" si="17"/>
        <v>8929.286229018875</v>
      </c>
      <c r="V47" s="18"/>
      <c r="W47" s="18"/>
      <c r="X47" s="18"/>
      <c r="Y47" s="74"/>
    </row>
    <row r="48" spans="1:25">
      <c r="A48" s="6">
        <f t="shared" si="18"/>
        <v>2015</v>
      </c>
      <c r="C48" s="20">
        <f>'Exhibit B,2'!U48</f>
        <v>16523.007363911602</v>
      </c>
      <c r="E48" s="73">
        <v>1</v>
      </c>
      <c r="G48" s="20">
        <f t="shared" si="14"/>
        <v>16523.007363911602</v>
      </c>
      <c r="H48" s="18"/>
      <c r="I48" s="20">
        <f t="shared" si="15"/>
        <v>16523.007363911602</v>
      </c>
      <c r="J48" s="74"/>
      <c r="K48" s="74"/>
      <c r="L48" s="18"/>
      <c r="M48" s="6">
        <f t="shared" si="19"/>
        <v>2015</v>
      </c>
      <c r="N48" s="18"/>
      <c r="O48" s="20">
        <f>'Exhibit B,3'!C48</f>
        <v>36611.393150524607</v>
      </c>
      <c r="P48" s="18"/>
      <c r="Q48" s="73">
        <v>1</v>
      </c>
      <c r="R48" s="20"/>
      <c r="S48" s="20">
        <f t="shared" si="16"/>
        <v>36611.393150524607</v>
      </c>
      <c r="T48" s="18"/>
      <c r="U48" s="20">
        <f t="shared" si="17"/>
        <v>36611.393150524607</v>
      </c>
      <c r="V48" s="18"/>
      <c r="W48" s="18"/>
      <c r="X48" s="18"/>
      <c r="Y48" s="74"/>
    </row>
    <row r="49" spans="1:25">
      <c r="A49" s="6">
        <f t="shared" si="18"/>
        <v>2016</v>
      </c>
      <c r="C49" s="20">
        <f>'Exhibit B,2'!U49</f>
        <v>22382.511639768196</v>
      </c>
      <c r="E49" s="73">
        <v>1</v>
      </c>
      <c r="G49" s="20">
        <f t="shared" si="14"/>
        <v>22382.511639768196</v>
      </c>
      <c r="H49" s="18"/>
      <c r="I49" s="20">
        <f t="shared" si="15"/>
        <v>22382.511639768196</v>
      </c>
      <c r="J49" s="74"/>
      <c r="K49" s="74"/>
      <c r="L49" s="18"/>
      <c r="M49" s="6">
        <f t="shared" si="19"/>
        <v>2016</v>
      </c>
      <c r="N49" s="18"/>
      <c r="O49" s="20">
        <f>'Exhibit B,3'!C49</f>
        <v>38788.113718306937</v>
      </c>
      <c r="P49" s="18"/>
      <c r="Q49" s="73">
        <v>1</v>
      </c>
      <c r="R49" s="20"/>
      <c r="S49" s="20">
        <f t="shared" si="16"/>
        <v>38788.113718306937</v>
      </c>
      <c r="T49" s="18"/>
      <c r="U49" s="20">
        <f t="shared" si="17"/>
        <v>38788.113718306937</v>
      </c>
      <c r="V49" s="18"/>
      <c r="W49" s="18"/>
      <c r="X49" s="18"/>
      <c r="Y49" s="74"/>
    </row>
    <row r="50" spans="1:25">
      <c r="A50" s="6">
        <f t="shared" si="18"/>
        <v>2017</v>
      </c>
      <c r="C50" s="20">
        <f>'Exhibit B,2'!U50</f>
        <v>8771.6129269205703</v>
      </c>
      <c r="E50" s="73">
        <v>1</v>
      </c>
      <c r="G50" s="20">
        <f t="shared" si="14"/>
        <v>8771.6129269205703</v>
      </c>
      <c r="H50" s="18"/>
      <c r="I50" s="20">
        <f t="shared" si="15"/>
        <v>8771.6129269205703</v>
      </c>
      <c r="J50" s="74"/>
      <c r="K50" s="74"/>
      <c r="L50" s="18"/>
      <c r="M50" s="6">
        <f t="shared" si="19"/>
        <v>2017</v>
      </c>
      <c r="N50" s="18"/>
      <c r="O50" s="20">
        <f>'Exhibit B,3'!C50</f>
        <v>176745.91846153847</v>
      </c>
      <c r="P50" s="18"/>
      <c r="Q50" s="73">
        <v>1</v>
      </c>
      <c r="R50" s="20"/>
      <c r="S50" s="20">
        <f t="shared" si="16"/>
        <v>176745.91846153847</v>
      </c>
      <c r="T50" s="18"/>
      <c r="U50" s="20">
        <f t="shared" si="17"/>
        <v>176745.91846153847</v>
      </c>
      <c r="V50" s="18"/>
      <c r="W50" s="18"/>
      <c r="X50" s="18"/>
      <c r="Y50" s="74"/>
    </row>
    <row r="51" spans="1:25">
      <c r="A51" s="6">
        <f t="shared" si="18"/>
        <v>2018</v>
      </c>
      <c r="C51" s="20">
        <f>'Exhibit B,2'!U51</f>
        <v>123140.28187426257</v>
      </c>
      <c r="E51" s="73">
        <v>1</v>
      </c>
      <c r="G51" s="20">
        <f t="shared" si="14"/>
        <v>123140.28187426257</v>
      </c>
      <c r="H51" s="18"/>
      <c r="I51" s="20">
        <f t="shared" si="15"/>
        <v>123140.28187426257</v>
      </c>
      <c r="J51" s="74"/>
      <c r="K51" s="74"/>
      <c r="L51" s="18"/>
      <c r="M51" s="6">
        <f t="shared" si="19"/>
        <v>2018</v>
      </c>
      <c r="N51" s="18"/>
      <c r="O51" s="20">
        <f>'Exhibit B,3'!C51</f>
        <v>105297.2284586982</v>
      </c>
      <c r="P51" s="18"/>
      <c r="Q51" s="73">
        <v>1</v>
      </c>
      <c r="R51" s="20"/>
      <c r="S51" s="20">
        <f t="shared" si="16"/>
        <v>105297.2284586982</v>
      </c>
      <c r="T51" s="18"/>
      <c r="U51" s="20">
        <f t="shared" si="17"/>
        <v>105297.2284586982</v>
      </c>
      <c r="V51" s="18"/>
      <c r="W51" s="18"/>
      <c r="X51" s="18"/>
      <c r="Y51" s="74"/>
    </row>
    <row r="52" spans="1:25">
      <c r="A52" s="6">
        <f t="shared" si="18"/>
        <v>2019</v>
      </c>
      <c r="C52" s="20">
        <f>'Exhibit B,2'!U52</f>
        <v>255952.10511944495</v>
      </c>
      <c r="E52" s="73">
        <v>1</v>
      </c>
      <c r="G52" s="20">
        <f t="shared" si="14"/>
        <v>255952.10511944495</v>
      </c>
      <c r="H52" s="18"/>
      <c r="I52" s="20">
        <f t="shared" si="15"/>
        <v>255952.10511944495</v>
      </c>
      <c r="J52" s="74"/>
      <c r="K52" s="74"/>
      <c r="L52" s="18"/>
      <c r="M52" s="6">
        <f t="shared" si="19"/>
        <v>2019</v>
      </c>
      <c r="N52" s="18"/>
      <c r="O52" s="20">
        <f>'Exhibit B,3'!C52</f>
        <v>83400.208488635719</v>
      </c>
      <c r="P52" s="18"/>
      <c r="Q52" s="73">
        <v>1</v>
      </c>
      <c r="R52" s="20"/>
      <c r="S52" s="20">
        <f t="shared" si="16"/>
        <v>83400.208488635719</v>
      </c>
      <c r="T52" s="18"/>
      <c r="U52" s="20">
        <f t="shared" si="17"/>
        <v>83400.208488635719</v>
      </c>
      <c r="V52" s="18"/>
      <c r="W52" s="18"/>
      <c r="X52" s="18"/>
      <c r="Y52" s="74"/>
    </row>
    <row r="53" spans="1:25">
      <c r="A53" s="6">
        <f t="shared" si="18"/>
        <v>2020</v>
      </c>
      <c r="C53" s="20">
        <f>'Exhibit B,2'!U53</f>
        <v>62533.30878149021</v>
      </c>
      <c r="E53" s="73">
        <v>1</v>
      </c>
      <c r="G53" s="20">
        <f t="shared" si="14"/>
        <v>62533.30878149021</v>
      </c>
      <c r="H53" s="18"/>
      <c r="I53" s="20">
        <f t="shared" si="15"/>
        <v>62533.30878149021</v>
      </c>
      <c r="J53" s="74"/>
      <c r="K53" s="74"/>
      <c r="L53" s="18"/>
      <c r="M53" s="6">
        <f t="shared" si="19"/>
        <v>2020</v>
      </c>
      <c r="N53" s="18"/>
      <c r="O53" s="20">
        <f>'Exhibit B,3'!C53</f>
        <v>112193.91694279374</v>
      </c>
      <c r="P53" s="18"/>
      <c r="Q53" s="73">
        <v>1</v>
      </c>
      <c r="R53" s="20"/>
      <c r="S53" s="20">
        <f t="shared" si="16"/>
        <v>112193.91694279374</v>
      </c>
      <c r="T53" s="18"/>
      <c r="U53" s="20">
        <f t="shared" si="17"/>
        <v>112193.91694279374</v>
      </c>
      <c r="V53" s="18"/>
      <c r="W53" s="18"/>
      <c r="X53" s="18"/>
      <c r="Y53" s="74"/>
    </row>
    <row r="54" spans="1:25">
      <c r="A54" s="6"/>
      <c r="C54" s="63"/>
      <c r="G54" s="63"/>
      <c r="I54" s="63"/>
      <c r="M54" s="6"/>
      <c r="O54" s="63"/>
      <c r="Q54" s="21"/>
      <c r="S54" s="63"/>
      <c r="U54" s="63"/>
      <c r="Y54" s="26"/>
    </row>
    <row r="55" spans="1:25">
      <c r="A55" s="2" t="s">
        <v>0</v>
      </c>
      <c r="C55" s="66">
        <f>SUM(C45:C54)</f>
        <v>588861.03413959639</v>
      </c>
      <c r="G55" s="26">
        <f>SUM(G45:G54)</f>
        <v>588861.03413959639</v>
      </c>
      <c r="I55" s="26">
        <f>SUM(I45:I54)</f>
        <v>588861.03413959639</v>
      </c>
      <c r="L55" s="26"/>
      <c r="M55" s="2" t="s">
        <v>0</v>
      </c>
      <c r="O55" s="26">
        <f>SUM(O45:O54)</f>
        <v>590713.04795271088</v>
      </c>
      <c r="Q55" s="21"/>
      <c r="S55" s="26">
        <f>SUM(S45:S54)</f>
        <v>590713.04795271088</v>
      </c>
      <c r="U55" s="26">
        <f>SUM(U45:U54)</f>
        <v>590713.04795271088</v>
      </c>
      <c r="Y55" s="26"/>
    </row>
    <row r="56" spans="1:25">
      <c r="A56" s="6"/>
      <c r="F56" s="26"/>
    </row>
    <row r="57" spans="1:25">
      <c r="A57" s="3"/>
      <c r="C57" s="21"/>
      <c r="E57" s="76"/>
      <c r="O57" s="21"/>
      <c r="Q57" s="76"/>
      <c r="S57" s="18"/>
    </row>
    <row r="58" spans="1:25">
      <c r="A58" s="6"/>
      <c r="C58" s="21"/>
      <c r="E58" s="21"/>
      <c r="G58" s="26"/>
      <c r="H58" s="26"/>
      <c r="I58" s="18"/>
      <c r="J58" s="26"/>
      <c r="K58" s="26"/>
      <c r="L58" s="26"/>
      <c r="M58" s="26"/>
      <c r="O58" s="21"/>
      <c r="Q58" s="21"/>
      <c r="R58" s="26"/>
      <c r="S58" s="18"/>
      <c r="U58" s="26"/>
      <c r="Y58" s="26"/>
    </row>
    <row r="59" spans="1:25">
      <c r="A59" s="64" t="s">
        <v>104</v>
      </c>
      <c r="C59" s="3" t="s">
        <v>591</v>
      </c>
      <c r="E59" s="21"/>
      <c r="G59" s="18"/>
      <c r="H59" s="18"/>
      <c r="I59" s="18"/>
      <c r="J59" s="18"/>
      <c r="K59" s="18"/>
      <c r="L59" s="18"/>
      <c r="M59" s="18"/>
      <c r="O59" s="21"/>
      <c r="Q59" s="21"/>
      <c r="R59" s="18"/>
      <c r="S59" s="18"/>
      <c r="T59" s="18"/>
      <c r="U59" s="20"/>
      <c r="V59" s="18"/>
      <c r="W59" s="18"/>
      <c r="X59" s="18"/>
      <c r="Y59" s="20"/>
    </row>
    <row r="60" spans="1:25">
      <c r="A60" s="52" t="s">
        <v>36</v>
      </c>
      <c r="C60" s="3" t="s">
        <v>574</v>
      </c>
      <c r="E60" s="3" t="s">
        <v>574</v>
      </c>
      <c r="G60" s="18"/>
      <c r="H60" s="18"/>
      <c r="I60" s="18"/>
      <c r="J60" s="18"/>
      <c r="K60" s="18"/>
      <c r="L60" s="18"/>
      <c r="M60" s="18"/>
      <c r="O60" s="21"/>
      <c r="Q60" s="21"/>
      <c r="R60" s="18"/>
      <c r="S60" s="18"/>
      <c r="T60" s="18"/>
      <c r="U60" s="20"/>
      <c r="V60" s="18"/>
      <c r="W60" s="18"/>
      <c r="X60" s="18"/>
      <c r="Y60" s="20"/>
    </row>
    <row r="61" spans="1:25">
      <c r="A61" s="52" t="s">
        <v>38</v>
      </c>
      <c r="C61" s="3" t="s">
        <v>615</v>
      </c>
      <c r="E61" s="21"/>
      <c r="G61" s="18"/>
      <c r="H61" s="18"/>
      <c r="I61" s="18"/>
      <c r="J61" s="18"/>
      <c r="K61" s="18"/>
      <c r="L61" s="18"/>
      <c r="M61" s="18"/>
      <c r="O61" s="21"/>
      <c r="Q61" s="21"/>
      <c r="R61" s="18"/>
      <c r="S61" s="18"/>
      <c r="T61" s="18"/>
      <c r="U61" s="20"/>
      <c r="V61" s="18"/>
      <c r="W61" s="18"/>
      <c r="X61" s="18"/>
      <c r="Y61" s="20"/>
    </row>
    <row r="62" spans="1:25">
      <c r="A62" s="52" t="s">
        <v>40</v>
      </c>
      <c r="C62" s="3"/>
      <c r="E62" s="21"/>
      <c r="G62" s="18"/>
      <c r="H62" s="18"/>
      <c r="I62" s="18"/>
      <c r="J62" s="18"/>
      <c r="K62" s="18"/>
      <c r="L62" s="18"/>
      <c r="M62" s="18"/>
      <c r="O62" s="21"/>
      <c r="Q62" s="21"/>
      <c r="R62" s="18"/>
      <c r="S62" s="18"/>
      <c r="T62" s="18"/>
      <c r="U62" s="20"/>
      <c r="V62" s="18"/>
      <c r="W62" s="18"/>
      <c r="X62" s="18"/>
      <c r="Y62" s="20"/>
    </row>
    <row r="63" spans="1:25">
      <c r="A63" s="64" t="s">
        <v>42</v>
      </c>
      <c r="C63" s="3" t="s">
        <v>617</v>
      </c>
      <c r="E63" s="21"/>
      <c r="G63" s="18"/>
      <c r="H63" s="18"/>
      <c r="I63" s="18"/>
      <c r="J63" s="18"/>
      <c r="K63" s="18"/>
      <c r="L63" s="18"/>
      <c r="M63" s="18"/>
      <c r="O63" s="21"/>
      <c r="Q63" s="21"/>
      <c r="R63" s="18"/>
      <c r="S63" s="18"/>
      <c r="T63" s="18"/>
      <c r="U63" s="20"/>
      <c r="V63" s="18"/>
      <c r="W63" s="18"/>
      <c r="X63" s="18"/>
      <c r="Y63" s="20"/>
    </row>
    <row r="64" spans="1:25">
      <c r="A64" s="64" t="s">
        <v>30</v>
      </c>
      <c r="C64" s="3" t="s">
        <v>618</v>
      </c>
      <c r="E64" s="21"/>
      <c r="G64" s="18"/>
      <c r="H64" s="18"/>
      <c r="I64" s="18"/>
      <c r="J64" s="18"/>
      <c r="K64" s="18"/>
      <c r="L64" s="18"/>
      <c r="M64" s="18"/>
      <c r="O64" s="21"/>
      <c r="Q64" s="21"/>
      <c r="R64" s="18"/>
      <c r="V64" s="18"/>
      <c r="W64" s="18"/>
      <c r="X64" s="18"/>
      <c r="Y64" s="20"/>
    </row>
    <row r="65" spans="1:25">
      <c r="A65" s="64" t="s">
        <v>31</v>
      </c>
      <c r="C65" s="3" t="s">
        <v>595</v>
      </c>
      <c r="E65" s="21"/>
      <c r="G65" s="18"/>
      <c r="H65" s="18"/>
      <c r="I65" s="18"/>
      <c r="J65" s="18"/>
      <c r="K65" s="18"/>
      <c r="L65" s="18"/>
      <c r="M65" s="18"/>
      <c r="O65" s="21"/>
      <c r="Q65" s="21"/>
      <c r="R65" s="18"/>
      <c r="V65" s="18"/>
      <c r="W65" s="18"/>
      <c r="X65" s="18"/>
      <c r="Y65" s="20"/>
    </row>
    <row r="66" spans="1:25">
      <c r="A66" s="64" t="s">
        <v>103</v>
      </c>
      <c r="C66" s="3" t="s">
        <v>593</v>
      </c>
      <c r="E66" s="21"/>
      <c r="G66" s="18"/>
      <c r="H66" s="18"/>
      <c r="I66" s="18"/>
      <c r="J66" s="18"/>
      <c r="K66" s="18"/>
      <c r="L66" s="18"/>
      <c r="M66" s="18"/>
      <c r="O66" s="21"/>
      <c r="Q66" s="21"/>
      <c r="R66" s="18"/>
      <c r="V66" s="18"/>
      <c r="W66" s="18"/>
      <c r="X66" s="18"/>
      <c r="Y66" s="20"/>
    </row>
    <row r="67" spans="1:25">
      <c r="A67" s="64" t="s">
        <v>106</v>
      </c>
      <c r="C67" s="77" t="s">
        <v>619</v>
      </c>
      <c r="E67" s="21"/>
      <c r="O67" s="21"/>
      <c r="Q67" s="21"/>
    </row>
    <row r="68" spans="1:25">
      <c r="A68" s="64"/>
      <c r="C68" s="78"/>
      <c r="E68" s="21"/>
      <c r="G68" s="26"/>
      <c r="I68" s="26"/>
      <c r="J68" s="26"/>
      <c r="M68" s="26"/>
      <c r="N68" s="26"/>
      <c r="O68" s="26"/>
      <c r="Q68" s="26"/>
      <c r="S68" s="26"/>
      <c r="U68" s="26"/>
      <c r="Y68" s="26"/>
    </row>
    <row r="69" spans="1:25">
      <c r="A69" s="64"/>
    </row>
    <row r="70" spans="1:25">
      <c r="A70" s="64"/>
      <c r="C70" s="3"/>
    </row>
    <row r="71" spans="1:25">
      <c r="A71" s="64"/>
    </row>
  </sheetData>
  <printOptions horizontalCentered="1" verticalCentered="1"/>
  <pageMargins left="0.7" right="0.7" top="0.75" bottom="0.75" header="0.3" footer="0.3"/>
  <pageSetup scale="80" orientation="portrait" blackAndWhite="1" r:id="rId1"/>
  <headerFooter>
    <oddFooter>&amp;L&amp;6&amp;Z&amp;F
&amp;A</oddFooter>
  </headerFooter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sheetPr codeName="Sheet113">
    <tabColor rgb="FFFF0000"/>
    <pageSetUpPr fitToPage="1"/>
  </sheetPr>
  <dimension ref="A1:V48"/>
  <sheetViews>
    <sheetView topLeftCell="A8" zoomScale="75" zoomScaleNormal="75" workbookViewId="0">
      <selection activeCell="A6" sqref="A6"/>
    </sheetView>
  </sheetViews>
  <sheetFormatPr baseColWidth="10" defaultColWidth="8.7109375" defaultRowHeight="15"/>
  <cols>
    <col min="1" max="1" width="12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1.7109375" style="1" customWidth="1"/>
    <col min="6" max="6" width="1.7109375" style="1" customWidth="1"/>
    <col min="7" max="7" width="11.7109375" style="1" customWidth="1"/>
    <col min="8" max="8" width="1.7109375" style="1" customWidth="1"/>
    <col min="9" max="9" width="11.7109375" style="1" customWidth="1"/>
    <col min="10" max="10" width="1.7109375" style="1" customWidth="1"/>
    <col min="11" max="11" width="11.7109375" style="1" customWidth="1"/>
    <col min="12" max="12" width="1.7109375" style="1" customWidth="1"/>
    <col min="13" max="13" width="10.7109375" style="1" customWidth="1"/>
    <col min="14" max="14" width="1.7109375" style="1" customWidth="1"/>
    <col min="15" max="15" width="9.7109375" style="1" customWidth="1"/>
    <col min="16" max="16" width="1.7109375" style="1" customWidth="1"/>
    <col min="17" max="17" width="9.7109375" style="1" customWidth="1"/>
    <col min="18" max="18" width="1.7109375" style="1" customWidth="1"/>
    <col min="19" max="19" width="9.7109375" style="1" customWidth="1"/>
    <col min="20" max="20" width="8.7109375" style="1"/>
    <col min="21" max="22" width="12.7109375" style="1" customWidth="1"/>
    <col min="23" max="16384" width="8.7109375" style="1"/>
  </cols>
  <sheetData>
    <row r="1" spans="1:19">
      <c r="O1" s="3" t="s">
        <v>105</v>
      </c>
    </row>
    <row r="2" spans="1:19">
      <c r="Q2" s="3"/>
    </row>
    <row r="3" spans="1:19">
      <c r="Q3" s="3"/>
    </row>
    <row r="4" spans="1:19" ht="16">
      <c r="A4" s="4" t="s">
        <v>882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Q4" s="5"/>
      <c r="R4" s="5"/>
      <c r="S4" s="5"/>
    </row>
    <row r="5" spans="1:19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Q5" s="5"/>
      <c r="R5" s="5"/>
      <c r="S5" s="5"/>
    </row>
    <row r="6" spans="1:19">
      <c r="A6" s="5" t="s">
        <v>312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Q6" s="5"/>
      <c r="R6" s="5"/>
      <c r="S6" s="5"/>
    </row>
    <row r="7" spans="1:19">
      <c r="A7" s="5" t="s">
        <v>837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Q7" s="5"/>
      <c r="R7" s="5"/>
      <c r="S7" s="5"/>
    </row>
    <row r="8" spans="1:19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Q8" s="5"/>
      <c r="R8" s="5"/>
      <c r="S8" s="5"/>
    </row>
    <row r="9" spans="1:19">
      <c r="A9" s="5"/>
      <c r="B9" s="5"/>
      <c r="C9" s="5"/>
      <c r="D9" s="5"/>
      <c r="H9" s="61" t="s">
        <v>875</v>
      </c>
    </row>
    <row r="11" spans="1:19">
      <c r="K11" s="2" t="s">
        <v>2</v>
      </c>
    </row>
    <row r="12" spans="1:19">
      <c r="C12" s="2" t="s">
        <v>3</v>
      </c>
      <c r="E12" s="7" t="s">
        <v>310</v>
      </c>
      <c r="F12" s="8"/>
      <c r="G12" s="8"/>
      <c r="H12" s="8"/>
      <c r="I12" s="8"/>
      <c r="K12" s="2" t="s">
        <v>67</v>
      </c>
    </row>
    <row r="13" spans="1:19">
      <c r="C13" s="2" t="s">
        <v>4</v>
      </c>
      <c r="E13" s="2" t="s">
        <v>160</v>
      </c>
      <c r="G13" s="2" t="s">
        <v>395</v>
      </c>
      <c r="I13" s="2" t="s">
        <v>0</v>
      </c>
      <c r="K13" s="2" t="s">
        <v>55</v>
      </c>
      <c r="M13" s="2" t="s">
        <v>119</v>
      </c>
    </row>
    <row r="14" spans="1:19">
      <c r="C14" s="10">
        <v>-1</v>
      </c>
      <c r="E14" s="10">
        <v>-2</v>
      </c>
      <c r="G14" s="10">
        <v>-3</v>
      </c>
      <c r="I14" s="10">
        <v>-4</v>
      </c>
      <c r="K14" s="10">
        <v>-5</v>
      </c>
      <c r="M14" s="10">
        <v>-6</v>
      </c>
    </row>
    <row r="15" spans="1:19">
      <c r="E15" s="62"/>
      <c r="F15" s="11"/>
      <c r="G15" s="62"/>
      <c r="H15" s="11"/>
      <c r="I15" s="62"/>
      <c r="J15" s="11"/>
      <c r="K15" s="62"/>
      <c r="M15" s="62"/>
    </row>
    <row r="16" spans="1:19">
      <c r="C16" s="65" t="s">
        <v>77</v>
      </c>
    </row>
    <row r="17" spans="3:22">
      <c r="C17" s="6">
        <v>2012</v>
      </c>
      <c r="E17" s="26">
        <f>'Exhibit B,2'!U59</f>
        <v>8861.26</v>
      </c>
      <c r="G17" s="26">
        <f>'Exhibit B,3'!AI59</f>
        <v>1721</v>
      </c>
      <c r="H17" s="26"/>
      <c r="I17" s="26">
        <f>E17+G17</f>
        <v>10582.26</v>
      </c>
      <c r="K17" s="18">
        <v>34333.32</v>
      </c>
      <c r="M17" s="26">
        <f>I17-K17</f>
        <v>-23751.059999999998</v>
      </c>
      <c r="S17" s="26"/>
    </row>
    <row r="18" spans="3:22">
      <c r="C18" s="6">
        <f>C17+1</f>
        <v>2013</v>
      </c>
      <c r="E18" s="20">
        <f>'Exhibit B,2'!U60</f>
        <v>4080771.4028141932</v>
      </c>
      <c r="F18" s="18"/>
      <c r="G18" s="20">
        <f>'Exhibit B,3'!AI60</f>
        <v>1121322.5799724818</v>
      </c>
      <c r="H18" s="18"/>
      <c r="I18" s="20">
        <f t="shared" ref="I18:I24" si="0">E18+G18</f>
        <v>5202093.982786675</v>
      </c>
      <c r="J18" s="18"/>
      <c r="K18" s="18">
        <v>30491.540720583645</v>
      </c>
      <c r="L18" s="18"/>
      <c r="M18" s="20">
        <f t="shared" ref="M18:M24" si="1">I18-K18</f>
        <v>5171602.4420660911</v>
      </c>
      <c r="S18" s="18"/>
    </row>
    <row r="19" spans="3:22">
      <c r="C19" s="6">
        <f t="shared" ref="C19:C24" si="2">C18+1</f>
        <v>2014</v>
      </c>
      <c r="E19" s="20">
        <f>'Exhibit B,2'!U61</f>
        <v>2723474.7589555625</v>
      </c>
      <c r="F19" s="18"/>
      <c r="G19" s="20">
        <f>'Exhibit B,3'!AI61</f>
        <v>412303.16180106939</v>
      </c>
      <c r="H19" s="18"/>
      <c r="I19" s="20">
        <f t="shared" si="0"/>
        <v>3135777.920756632</v>
      </c>
      <c r="J19" s="18"/>
      <c r="K19" s="18">
        <v>4183340.6958765835</v>
      </c>
      <c r="L19" s="18"/>
      <c r="M19" s="20">
        <f t="shared" si="1"/>
        <v>-1047562.7751199515</v>
      </c>
      <c r="S19" s="18"/>
    </row>
    <row r="20" spans="3:22">
      <c r="C20" s="6">
        <f t="shared" si="2"/>
        <v>2015</v>
      </c>
      <c r="E20" s="20">
        <f>'Exhibit B,2'!U62</f>
        <v>3068410.5511858538</v>
      </c>
      <c r="F20" s="18"/>
      <c r="G20" s="20">
        <f>'Exhibit B,3'!AI62</f>
        <v>12555483.716085177</v>
      </c>
      <c r="H20" s="18"/>
      <c r="I20" s="20">
        <f t="shared" si="0"/>
        <v>15623894.267271031</v>
      </c>
      <c r="J20" s="18"/>
      <c r="K20" s="18">
        <v>3890198.7137463288</v>
      </c>
      <c r="L20" s="18"/>
      <c r="M20" s="20">
        <f t="shared" si="1"/>
        <v>11733695.553524703</v>
      </c>
      <c r="S20" s="18"/>
      <c r="U20" s="20">
        <v>0</v>
      </c>
      <c r="V20" s="20">
        <v>0</v>
      </c>
    </row>
    <row r="21" spans="3:22">
      <c r="C21" s="6">
        <f t="shared" si="2"/>
        <v>2016</v>
      </c>
      <c r="E21" s="20">
        <f>'Exhibit B,2'!U63</f>
        <v>2129410.8872289904</v>
      </c>
      <c r="F21" s="18"/>
      <c r="G21" s="20">
        <f>'Exhibit B,3'!AI63</f>
        <v>8501095.9828112647</v>
      </c>
      <c r="H21" s="18"/>
      <c r="I21" s="20">
        <f t="shared" si="0"/>
        <v>10630506.870040255</v>
      </c>
      <c r="J21" s="18"/>
      <c r="K21" s="18">
        <v>15988137.023968887</v>
      </c>
      <c r="L21" s="18"/>
      <c r="M21" s="20">
        <f t="shared" si="1"/>
        <v>-5357630.1539286319</v>
      </c>
      <c r="S21" s="18"/>
      <c r="U21" s="20"/>
      <c r="V21" s="20"/>
    </row>
    <row r="22" spans="3:22">
      <c r="C22" s="6">
        <f t="shared" si="2"/>
        <v>2017</v>
      </c>
      <c r="E22" s="20">
        <f>'Exhibit B,2'!U64</f>
        <v>639833.15461529314</v>
      </c>
      <c r="F22" s="18"/>
      <c r="G22" s="20">
        <f>'Exhibit B,3'!AI64</f>
        <v>18364799.504506961</v>
      </c>
      <c r="H22" s="18"/>
      <c r="I22" s="20">
        <f t="shared" si="0"/>
        <v>19004632.659122255</v>
      </c>
      <c r="J22" s="18"/>
      <c r="K22" s="18">
        <v>9332353.5367222745</v>
      </c>
      <c r="L22" s="18"/>
      <c r="M22" s="20">
        <f t="shared" si="1"/>
        <v>9672279.1223999802</v>
      </c>
      <c r="S22" s="18"/>
      <c r="U22" s="20"/>
      <c r="V22" s="20"/>
    </row>
    <row r="23" spans="3:22">
      <c r="C23" s="6">
        <f t="shared" si="2"/>
        <v>2018</v>
      </c>
      <c r="E23" s="20">
        <f>'Exhibit B,2'!U65</f>
        <v>3964632.7639869782</v>
      </c>
      <c r="F23" s="18"/>
      <c r="G23" s="20">
        <f>'Exhibit B,3'!AI65</f>
        <v>15169164.119629685</v>
      </c>
      <c r="H23" s="18"/>
      <c r="I23" s="20">
        <f t="shared" si="0"/>
        <v>19133796.883616664</v>
      </c>
      <c r="J23" s="18"/>
      <c r="K23" s="18">
        <v>10629438.911378101</v>
      </c>
      <c r="L23" s="18"/>
      <c r="M23" s="20">
        <f t="shared" si="1"/>
        <v>8504357.972238563</v>
      </c>
      <c r="S23" s="18"/>
      <c r="U23" s="20"/>
      <c r="V23" s="20"/>
    </row>
    <row r="24" spans="3:22">
      <c r="C24" s="6">
        <f t="shared" si="2"/>
        <v>2019</v>
      </c>
      <c r="E24" s="20">
        <f>'Exhibit B,2'!U66</f>
        <v>1968568.5468710763</v>
      </c>
      <c r="F24" s="18"/>
      <c r="G24" s="20">
        <f>'Exhibit B,3'!AI66</f>
        <v>2994269.0369968764</v>
      </c>
      <c r="H24" s="18"/>
      <c r="I24" s="20">
        <f t="shared" si="0"/>
        <v>4962837.5838679522</v>
      </c>
      <c r="J24" s="18"/>
      <c r="K24" s="18">
        <f>3172831+6856860</f>
        <v>10029691</v>
      </c>
      <c r="L24" s="18"/>
      <c r="M24" s="20">
        <f t="shared" si="1"/>
        <v>-5066853.4161320478</v>
      </c>
      <c r="S24" s="18"/>
      <c r="U24" s="20"/>
      <c r="V24" s="20"/>
    </row>
    <row r="25" spans="3:22">
      <c r="C25" s="6"/>
      <c r="E25" s="63"/>
      <c r="G25" s="63"/>
      <c r="I25" s="63"/>
      <c r="K25" s="63"/>
      <c r="M25" s="63"/>
      <c r="S25" s="18"/>
      <c r="U25" s="20"/>
      <c r="V25" s="20"/>
    </row>
    <row r="26" spans="3:22">
      <c r="C26" s="6"/>
      <c r="E26" s="26">
        <f>SUM(E16:E25)</f>
        <v>18583963.325657945</v>
      </c>
      <c r="G26" s="26">
        <f>SUM(G16:G25)</f>
        <v>59120159.101803519</v>
      </c>
      <c r="I26" s="26">
        <f>SUM(I16:I25)</f>
        <v>77704122.42746146</v>
      </c>
      <c r="K26" s="26">
        <f>SUM(K16:K25)</f>
        <v>54117984.742412753</v>
      </c>
      <c r="M26" s="66">
        <f>SUM(M16:M25)</f>
        <v>23586137.685048707</v>
      </c>
      <c r="U26" s="20"/>
      <c r="V26" s="20"/>
    </row>
    <row r="27" spans="3:22">
      <c r="U27" s="67" t="s">
        <v>686</v>
      </c>
      <c r="V27" s="67" t="s">
        <v>686</v>
      </c>
    </row>
    <row r="28" spans="3:22">
      <c r="U28" s="25" t="s">
        <v>836</v>
      </c>
      <c r="V28" s="25" t="s">
        <v>836</v>
      </c>
    </row>
    <row r="29" spans="3:22">
      <c r="U29" s="25" t="s">
        <v>5</v>
      </c>
      <c r="V29" s="25" t="s">
        <v>395</v>
      </c>
    </row>
    <row r="30" spans="3:22">
      <c r="C30" s="65" t="s">
        <v>634</v>
      </c>
      <c r="U30" s="61"/>
      <c r="V30" s="68"/>
    </row>
    <row r="31" spans="3:22">
      <c r="C31" s="6">
        <v>2012</v>
      </c>
      <c r="E31" s="26">
        <f>'Exhibit A,2'!U59</f>
        <v>8861.26</v>
      </c>
      <c r="G31" s="26">
        <f>'Exhibit A,3'!AI59</f>
        <v>1824211.619841421</v>
      </c>
      <c r="H31" s="26"/>
      <c r="I31" s="26">
        <f>E31+G31</f>
        <v>1833072.879841421</v>
      </c>
      <c r="K31" s="18">
        <f>K17-U31-V31</f>
        <v>34333.32</v>
      </c>
      <c r="M31" s="26">
        <f>I31-K31</f>
        <v>1798739.559841421</v>
      </c>
      <c r="Q31" s="18"/>
      <c r="U31" s="68">
        <v>0</v>
      </c>
      <c r="V31" s="68">
        <v>0</v>
      </c>
    </row>
    <row r="32" spans="3:22">
      <c r="C32" s="6">
        <f>C31+1</f>
        <v>2013</v>
      </c>
      <c r="E32" s="20">
        <f>'Exhibit A,2'!U60</f>
        <v>1183336.0428141931</v>
      </c>
      <c r="F32" s="20"/>
      <c r="G32" s="20">
        <f>'Exhibit A,3'!AI60</f>
        <v>3964676.7956574271</v>
      </c>
      <c r="H32" s="18"/>
      <c r="I32" s="20">
        <f t="shared" ref="I32:I38" si="3">E32+G32</f>
        <v>5148012.8384716203</v>
      </c>
      <c r="J32" s="18"/>
      <c r="K32" s="18">
        <f t="shared" ref="K32:K38" si="4">K18-U32-V32</f>
        <v>30491.540720583645</v>
      </c>
      <c r="L32" s="18"/>
      <c r="M32" s="20">
        <f t="shared" ref="M32:M38" si="5">I32-K32</f>
        <v>5117521.2977510365</v>
      </c>
      <c r="Q32" s="18"/>
      <c r="U32" s="69">
        <v>0</v>
      </c>
      <c r="V32" s="69">
        <v>0</v>
      </c>
    </row>
    <row r="33" spans="1:22">
      <c r="C33" s="6">
        <f t="shared" ref="C33:C38" si="6">C32+1</f>
        <v>2014</v>
      </c>
      <c r="E33" s="20">
        <f>'Exhibit A,2'!U61</f>
        <v>2723474.7589555625</v>
      </c>
      <c r="F33" s="20"/>
      <c r="G33" s="20">
        <f>'Exhibit A,3'!AI61</f>
        <v>153891.10255408025</v>
      </c>
      <c r="H33" s="18"/>
      <c r="I33" s="20">
        <f t="shared" si="3"/>
        <v>2877365.8615096426</v>
      </c>
      <c r="K33" s="18">
        <f t="shared" si="4"/>
        <v>4183340.6958765835</v>
      </c>
      <c r="M33" s="20">
        <f t="shared" si="5"/>
        <v>-1305974.8343669409</v>
      </c>
      <c r="Q33" s="18"/>
      <c r="U33" s="69">
        <v>0</v>
      </c>
      <c r="V33" s="69">
        <v>0</v>
      </c>
    </row>
    <row r="34" spans="1:22">
      <c r="C34" s="6">
        <f t="shared" si="6"/>
        <v>2015</v>
      </c>
      <c r="E34" s="20">
        <f>'Exhibit A,2'!U62</f>
        <v>2206905.6111858543</v>
      </c>
      <c r="F34" s="20"/>
      <c r="G34" s="20">
        <f>'Exhibit A,3'!AI62</f>
        <v>11677514.078712281</v>
      </c>
      <c r="H34" s="18"/>
      <c r="I34" s="20">
        <f t="shared" si="3"/>
        <v>13884419.689898135</v>
      </c>
      <c r="K34" s="18">
        <f t="shared" si="4"/>
        <v>3890198.7137463288</v>
      </c>
      <c r="M34" s="20">
        <f t="shared" si="5"/>
        <v>9994220.9761518054</v>
      </c>
      <c r="Q34" s="18"/>
      <c r="U34" s="69">
        <v>0</v>
      </c>
      <c r="V34" s="69">
        <v>0</v>
      </c>
    </row>
    <row r="35" spans="1:22">
      <c r="C35" s="6">
        <f t="shared" si="6"/>
        <v>2016</v>
      </c>
      <c r="E35" s="20">
        <f>'Exhibit A,2'!U63</f>
        <v>2129410.8872289904</v>
      </c>
      <c r="F35" s="20"/>
      <c r="G35" s="20">
        <f>'Exhibit A,3'!AI63</f>
        <v>7617394.3588125641</v>
      </c>
      <c r="H35" s="18"/>
      <c r="I35" s="20">
        <f t="shared" si="3"/>
        <v>9746805.246041555</v>
      </c>
      <c r="K35" s="18">
        <f t="shared" si="4"/>
        <v>15988137.023968887</v>
      </c>
      <c r="M35" s="20">
        <f t="shared" si="5"/>
        <v>-6241331.7779273316</v>
      </c>
      <c r="Q35" s="18"/>
      <c r="U35" s="69">
        <v>0</v>
      </c>
      <c r="V35" s="69">
        <v>0</v>
      </c>
    </row>
    <row r="36" spans="1:22">
      <c r="C36" s="6">
        <f t="shared" si="6"/>
        <v>2017</v>
      </c>
      <c r="E36" s="20">
        <f>'Exhibit A,2'!U64</f>
        <v>639833.15461529314</v>
      </c>
      <c r="F36" s="20"/>
      <c r="G36" s="20">
        <f>'Exhibit A,3'!AI64</f>
        <v>17785345.62922876</v>
      </c>
      <c r="H36" s="18"/>
      <c r="I36" s="20">
        <f t="shared" si="3"/>
        <v>18425178.783844054</v>
      </c>
      <c r="K36" s="18">
        <f t="shared" si="4"/>
        <v>9332353.5367222745</v>
      </c>
      <c r="M36" s="20">
        <f t="shared" si="5"/>
        <v>9092825.2471217792</v>
      </c>
      <c r="Q36" s="18"/>
      <c r="U36" s="69">
        <v>0</v>
      </c>
      <c r="V36" s="69">
        <v>0</v>
      </c>
    </row>
    <row r="37" spans="1:22">
      <c r="C37" s="6">
        <f t="shared" si="6"/>
        <v>2018</v>
      </c>
      <c r="E37" s="20">
        <f>'Exhibit A,2'!U65</f>
        <v>3330065.8239869783</v>
      </c>
      <c r="F37" s="20"/>
      <c r="G37" s="20">
        <f>'Exhibit A,3'!AI65</f>
        <v>13792388.037732031</v>
      </c>
      <c r="H37" s="18"/>
      <c r="I37" s="20">
        <f t="shared" si="3"/>
        <v>17122453.861719009</v>
      </c>
      <c r="K37" s="18">
        <f t="shared" si="4"/>
        <v>10629438.911378101</v>
      </c>
      <c r="M37" s="20">
        <f t="shared" si="5"/>
        <v>6493014.950340908</v>
      </c>
      <c r="Q37" s="18"/>
      <c r="U37" s="69">
        <v>0</v>
      </c>
      <c r="V37" s="69">
        <v>0</v>
      </c>
    </row>
    <row r="38" spans="1:22">
      <c r="C38" s="6">
        <f t="shared" si="6"/>
        <v>2019</v>
      </c>
      <c r="E38" s="20">
        <f>'Exhibit A,2'!U66</f>
        <v>1589760.5468710763</v>
      </c>
      <c r="F38" s="20"/>
      <c r="G38" s="20">
        <f>'Exhibit A,3'!AI66</f>
        <v>2470394.3664509309</v>
      </c>
      <c r="H38" s="18"/>
      <c r="I38" s="20">
        <f t="shared" si="3"/>
        <v>4060154.9133220073</v>
      </c>
      <c r="K38" s="18">
        <f t="shared" si="4"/>
        <v>10029691</v>
      </c>
      <c r="M38" s="20">
        <f t="shared" si="5"/>
        <v>-5969536.0866779927</v>
      </c>
      <c r="Q38" s="18"/>
      <c r="U38" s="69">
        <v>0</v>
      </c>
      <c r="V38" s="69">
        <v>0</v>
      </c>
    </row>
    <row r="39" spans="1:22">
      <c r="C39" s="6"/>
      <c r="E39" s="63"/>
      <c r="G39" s="63"/>
      <c r="I39" s="63"/>
      <c r="K39" s="63"/>
      <c r="M39" s="63"/>
      <c r="U39" s="70"/>
      <c r="V39" s="70"/>
    </row>
    <row r="40" spans="1:22">
      <c r="C40" s="6"/>
      <c r="E40" s="26">
        <f>SUM(E30:E39)</f>
        <v>13811648.085657947</v>
      </c>
      <c r="G40" s="26">
        <f>SUM(G30:G39)</f>
        <v>59285815.988989495</v>
      </c>
      <c r="I40" s="26">
        <f>SUM(I30:I39)</f>
        <v>73097464.074647442</v>
      </c>
      <c r="K40" s="26">
        <f>SUM(K30:K39)</f>
        <v>54117984.742412753</v>
      </c>
      <c r="M40" s="26">
        <f>SUM(M30:M39)</f>
        <v>18979479.332234681</v>
      </c>
      <c r="Q40" s="26"/>
      <c r="U40" s="68">
        <f>SUM(U30:U39)</f>
        <v>0</v>
      </c>
      <c r="V40" s="68">
        <f>SUM(V30:V39)</f>
        <v>0</v>
      </c>
    </row>
    <row r="41" spans="1:22">
      <c r="U41" s="61"/>
      <c r="V41" s="61"/>
    </row>
    <row r="42" spans="1:22">
      <c r="A42" s="2"/>
    </row>
    <row r="43" spans="1:22">
      <c r="A43" s="2"/>
    </row>
    <row r="44" spans="1:22">
      <c r="A44" s="64" t="s">
        <v>104</v>
      </c>
      <c r="C44" s="3" t="s">
        <v>838</v>
      </c>
    </row>
    <row r="45" spans="1:22">
      <c r="A45" s="64" t="s">
        <v>36</v>
      </c>
      <c r="C45" s="3" t="s">
        <v>839</v>
      </c>
    </row>
    <row r="46" spans="1:22">
      <c r="A46" s="64" t="s">
        <v>38</v>
      </c>
      <c r="C46" s="3" t="s">
        <v>174</v>
      </c>
    </row>
    <row r="47" spans="1:22">
      <c r="A47" s="64" t="s">
        <v>40</v>
      </c>
      <c r="C47" s="3" t="s">
        <v>840</v>
      </c>
    </row>
    <row r="48" spans="1:22">
      <c r="A48" s="64" t="s">
        <v>42</v>
      </c>
      <c r="C48" s="3" t="s">
        <v>313</v>
      </c>
    </row>
  </sheetData>
  <printOptions horizontalCentered="1" verticalCentered="1"/>
  <pageMargins left="0.7" right="0.7" top="0.75" bottom="0.75" header="0.3" footer="0.3"/>
  <pageSetup scale="75" orientation="portrait" blackAndWhite="1" r:id="rId1"/>
  <headerFooter>
    <oddFooter>&amp;L&amp;6&amp;Z&amp;F
&amp;A</oddFooter>
  </headerFooter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sheetPr codeName="Sheet114">
    <tabColor rgb="FFFF0000"/>
    <pageSetUpPr fitToPage="1"/>
  </sheetPr>
  <dimension ref="A1:O43"/>
  <sheetViews>
    <sheetView zoomScale="75" zoomScaleNormal="75" workbookViewId="0">
      <selection activeCell="A6" sqref="A6"/>
    </sheetView>
  </sheetViews>
  <sheetFormatPr baseColWidth="10" defaultColWidth="8.7109375" defaultRowHeight="15"/>
  <cols>
    <col min="1" max="1" width="12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0.7109375" style="1" customWidth="1"/>
    <col min="6" max="6" width="1.7109375" style="1" customWidth="1"/>
    <col min="7" max="7" width="9.7109375" style="1" customWidth="1"/>
    <col min="8" max="8" width="1.7109375" style="1" customWidth="1"/>
    <col min="9" max="9" width="10.7109375" style="1" customWidth="1"/>
    <col min="10" max="10" width="1.7109375" style="1" customWidth="1"/>
    <col min="11" max="11" width="10.28515625" style="1" bestFit="1" customWidth="1"/>
    <col min="12" max="12" width="1.7109375" style="1" customWidth="1"/>
    <col min="13" max="13" width="11.7109375" style="1" customWidth="1"/>
    <col min="14" max="14" width="1.7109375" style="1" customWidth="1"/>
    <col min="15" max="15" width="9.7109375" style="1" customWidth="1"/>
    <col min="16" max="16384" width="8.7109375" style="1"/>
  </cols>
  <sheetData>
    <row r="1" spans="1:15">
      <c r="M1" s="3" t="s">
        <v>337</v>
      </c>
    </row>
    <row r="2" spans="1:15">
      <c r="M2" s="1" t="s">
        <v>56</v>
      </c>
    </row>
    <row r="4" spans="1:15" ht="16">
      <c r="A4" s="4" t="s">
        <v>881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O4" s="5"/>
    </row>
    <row r="5" spans="1:1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O5" s="5"/>
    </row>
    <row r="6" spans="1:15">
      <c r="A6" s="5" t="s">
        <v>343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O6" s="5"/>
    </row>
    <row r="7" spans="1:15">
      <c r="A7" s="5" t="s">
        <v>77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O7" s="5"/>
    </row>
    <row r="8" spans="1:1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O8" s="5"/>
    </row>
    <row r="9" spans="1:15">
      <c r="A9" s="5"/>
      <c r="B9" s="5"/>
      <c r="C9" s="5"/>
      <c r="D9" s="5"/>
      <c r="G9" s="61"/>
    </row>
    <row r="11" spans="1:15">
      <c r="M11" s="2" t="s">
        <v>86</v>
      </c>
    </row>
    <row r="12" spans="1:15">
      <c r="A12" s="2" t="s">
        <v>338</v>
      </c>
      <c r="C12" s="7" t="s">
        <v>339</v>
      </c>
      <c r="D12" s="8"/>
      <c r="E12" s="8"/>
      <c r="F12" s="8"/>
      <c r="G12" s="8"/>
      <c r="H12" s="8"/>
      <c r="I12" s="8"/>
      <c r="J12" s="8"/>
      <c r="K12" s="8"/>
      <c r="M12" s="2" t="s">
        <v>334</v>
      </c>
    </row>
    <row r="13" spans="1:15">
      <c r="A13" s="2" t="s">
        <v>4</v>
      </c>
      <c r="C13" s="2" t="s">
        <v>37</v>
      </c>
      <c r="E13" s="2" t="s">
        <v>39</v>
      </c>
      <c r="G13" s="2" t="s">
        <v>41</v>
      </c>
      <c r="I13" s="2" t="s">
        <v>43</v>
      </c>
      <c r="K13" s="2" t="s">
        <v>340</v>
      </c>
      <c r="M13" s="2" t="s">
        <v>16</v>
      </c>
    </row>
    <row r="14" spans="1:15">
      <c r="A14" s="10">
        <v>-1</v>
      </c>
      <c r="C14" s="10">
        <v>-2</v>
      </c>
      <c r="E14" s="10">
        <v>-3</v>
      </c>
      <c r="G14" s="10">
        <v>-4</v>
      </c>
      <c r="I14" s="10">
        <v>-5</v>
      </c>
      <c r="K14" s="10">
        <v>-6</v>
      </c>
      <c r="M14" s="10">
        <v>-7</v>
      </c>
    </row>
    <row r="15" spans="1:15">
      <c r="E15" s="62"/>
      <c r="F15" s="11"/>
      <c r="G15" s="62"/>
      <c r="H15" s="11"/>
      <c r="I15" s="62"/>
      <c r="J15" s="11"/>
      <c r="K15" s="62"/>
      <c r="M15" s="62"/>
    </row>
    <row r="16" spans="1:15">
      <c r="A16" s="3" t="s">
        <v>382</v>
      </c>
    </row>
    <row r="17" spans="1:13">
      <c r="A17" s="6">
        <v>2012</v>
      </c>
      <c r="C17" s="18">
        <v>0</v>
      </c>
      <c r="E17" s="18">
        <v>0</v>
      </c>
      <c r="G17" s="18">
        <v>0</v>
      </c>
      <c r="I17" s="18">
        <v>0</v>
      </c>
      <c r="K17" s="18">
        <v>0</v>
      </c>
      <c r="M17" s="20">
        <f t="shared" ref="M17:M24" si="0">SUMPRODUCT(C17:K17,C$30:K$30)</f>
        <v>0</v>
      </c>
    </row>
    <row r="18" spans="1:13">
      <c r="A18" s="6">
        <f>A17+1</f>
        <v>2013</v>
      </c>
      <c r="C18" s="18">
        <v>5520</v>
      </c>
      <c r="E18" s="18">
        <v>3680</v>
      </c>
      <c r="G18" s="18">
        <v>0</v>
      </c>
      <c r="I18" s="18">
        <v>1840</v>
      </c>
      <c r="K18" s="18">
        <v>18914.29</v>
      </c>
      <c r="M18" s="20">
        <f t="shared" si="0"/>
        <v>41498.322855686638</v>
      </c>
    </row>
    <row r="19" spans="1:13">
      <c r="A19" s="6">
        <f t="shared" ref="A19:A25" si="1">A18+1</f>
        <v>2014</v>
      </c>
      <c r="C19" s="18">
        <v>0</v>
      </c>
      <c r="E19" s="18">
        <v>0</v>
      </c>
      <c r="G19" s="18">
        <v>0</v>
      </c>
      <c r="I19" s="18">
        <v>0</v>
      </c>
      <c r="K19" s="18">
        <v>0</v>
      </c>
      <c r="M19" s="20">
        <f t="shared" si="0"/>
        <v>0</v>
      </c>
    </row>
    <row r="20" spans="1:13">
      <c r="A20" s="6">
        <f t="shared" si="1"/>
        <v>2015</v>
      </c>
      <c r="C20" s="18">
        <v>54965</v>
      </c>
      <c r="E20" s="18">
        <v>12517.42</v>
      </c>
      <c r="G20" s="18">
        <v>33531.980000000003</v>
      </c>
      <c r="I20" s="18">
        <v>63177.98</v>
      </c>
      <c r="K20" s="18">
        <v>420817.22999999992</v>
      </c>
      <c r="M20" s="20">
        <f t="shared" si="0"/>
        <v>859223.22918022075</v>
      </c>
    </row>
    <row r="21" spans="1:13">
      <c r="A21" s="6">
        <f t="shared" si="1"/>
        <v>2016</v>
      </c>
      <c r="C21" s="18">
        <v>258042.57000000009</v>
      </c>
      <c r="E21" s="18">
        <v>142820.57000000004</v>
      </c>
      <c r="G21" s="18">
        <v>323919.95</v>
      </c>
      <c r="I21" s="18">
        <v>93810.22</v>
      </c>
      <c r="K21" s="18">
        <v>1849943.790000001</v>
      </c>
      <c r="M21" s="20">
        <f t="shared" si="0"/>
        <v>3891460.5645269658</v>
      </c>
    </row>
    <row r="22" spans="1:13">
      <c r="A22" s="6">
        <f t="shared" si="1"/>
        <v>2017</v>
      </c>
      <c r="C22" s="18">
        <v>0</v>
      </c>
      <c r="E22" s="18">
        <v>0</v>
      </c>
      <c r="G22" s="18">
        <v>0</v>
      </c>
      <c r="I22" s="18">
        <v>0</v>
      </c>
      <c r="K22" s="18">
        <v>229676.31000000003</v>
      </c>
      <c r="M22" s="20">
        <f t="shared" si="0"/>
        <v>355934.98490662919</v>
      </c>
    </row>
    <row r="23" spans="1:13">
      <c r="A23" s="6">
        <f t="shared" si="1"/>
        <v>2018</v>
      </c>
      <c r="C23" s="18">
        <v>0</v>
      </c>
      <c r="E23" s="18">
        <v>4000</v>
      </c>
      <c r="G23" s="18">
        <v>10386</v>
      </c>
      <c r="I23" s="18">
        <v>64542</v>
      </c>
      <c r="K23" s="18">
        <v>156743</v>
      </c>
      <c r="M23" s="20">
        <f t="shared" si="0"/>
        <v>362567.00788790715</v>
      </c>
    </row>
    <row r="24" spans="1:13">
      <c r="A24" s="6">
        <f t="shared" si="1"/>
        <v>2019</v>
      </c>
      <c r="C24" s="18">
        <v>0</v>
      </c>
      <c r="E24" s="18">
        <v>0</v>
      </c>
      <c r="G24" s="18">
        <v>0</v>
      </c>
      <c r="I24" s="18">
        <v>0</v>
      </c>
      <c r="K24" s="18">
        <v>24315</v>
      </c>
      <c r="M24" s="20">
        <f t="shared" si="0"/>
        <v>37681.549124525241</v>
      </c>
    </row>
    <row r="25" spans="1:13">
      <c r="A25" s="6">
        <f t="shared" si="1"/>
        <v>2020</v>
      </c>
      <c r="C25" s="18"/>
      <c r="E25" s="18"/>
      <c r="G25" s="18"/>
      <c r="I25" s="18"/>
      <c r="K25" s="18"/>
      <c r="M25" s="20">
        <v>0</v>
      </c>
    </row>
    <row r="26" spans="1:13">
      <c r="A26" s="6"/>
      <c r="C26" s="63"/>
      <c r="E26" s="63"/>
      <c r="G26" s="63"/>
      <c r="I26" s="63"/>
      <c r="K26" s="63"/>
      <c r="M26" s="63"/>
    </row>
    <row r="27" spans="1:13">
      <c r="A27" s="2" t="s">
        <v>0</v>
      </c>
      <c r="C27" s="26">
        <f>SUM(C17:C26)</f>
        <v>318527.57000000007</v>
      </c>
      <c r="E27" s="26">
        <f>SUM(E17:E26)</f>
        <v>163017.99000000005</v>
      </c>
      <c r="G27" s="26">
        <f>SUM(G17:G26)</f>
        <v>367837.93</v>
      </c>
      <c r="I27" s="26">
        <f>SUM(I17:I26)</f>
        <v>223370.2</v>
      </c>
      <c r="K27" s="26">
        <f>SUM(K17:K26)</f>
        <v>2700409.620000001</v>
      </c>
      <c r="M27" s="26">
        <f>SUM(M17:M26)</f>
        <v>5548365.6584819341</v>
      </c>
    </row>
    <row r="29" spans="1:13">
      <c r="A29" s="3" t="s">
        <v>341</v>
      </c>
    </row>
    <row r="30" spans="1:13">
      <c r="C30" s="60">
        <v>0.78965819258091774</v>
      </c>
      <c r="D30" s="60"/>
      <c r="E30" s="60">
        <v>1.3621684038077875</v>
      </c>
      <c r="F30" s="60"/>
      <c r="G30" s="60">
        <v>1.4903145905872108</v>
      </c>
      <c r="H30" s="60"/>
      <c r="I30" s="60">
        <v>1.5297244139224855</v>
      </c>
      <c r="J30" s="60"/>
      <c r="K30" s="60">
        <v>1.5497244139224857</v>
      </c>
    </row>
    <row r="39" spans="1:3">
      <c r="A39" s="2"/>
    </row>
    <row r="40" spans="1:3">
      <c r="A40" s="64" t="s">
        <v>29</v>
      </c>
      <c r="C40" s="3" t="s">
        <v>383</v>
      </c>
    </row>
    <row r="41" spans="1:3">
      <c r="C41" s="3" t="s">
        <v>435</v>
      </c>
    </row>
    <row r="42" spans="1:3">
      <c r="C42" s="3" t="s">
        <v>535</v>
      </c>
    </row>
    <row r="43" spans="1:3">
      <c r="A43" s="64" t="s">
        <v>30</v>
      </c>
      <c r="C43" s="3" t="s">
        <v>342</v>
      </c>
    </row>
  </sheetData>
  <printOptions horizontalCentered="1" verticalCentered="1"/>
  <pageMargins left="0.7" right="0.7" top="0.75" bottom="0.75" header="0.3" footer="0.3"/>
  <pageSetup scale="87" orientation="portrait" blackAndWhite="1" r:id="rId1"/>
  <headerFooter>
    <oddFooter>&amp;L&amp;6&amp;Z&amp;F
&amp;A</oddFooter>
  </headerFooter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100-000000000000}">
  <sheetPr codeName="Sheet115">
    <tabColor rgb="FFFF0000"/>
  </sheetPr>
  <dimension ref="A1:N36"/>
  <sheetViews>
    <sheetView workbookViewId="0">
      <selection activeCell="G16" sqref="G16"/>
    </sheetView>
  </sheetViews>
  <sheetFormatPr baseColWidth="10" defaultColWidth="8.7109375" defaultRowHeight="15"/>
  <cols>
    <col min="1" max="1" width="12.7109375" style="1" customWidth="1"/>
    <col min="2" max="2" width="6.7109375" style="1" customWidth="1"/>
    <col min="3" max="7" width="12.7109375" style="1" customWidth="1"/>
    <col min="8" max="8" width="6.7109375" style="1" customWidth="1"/>
    <col min="9" max="11" width="12.7109375" style="1" customWidth="1"/>
    <col min="12" max="12" width="8.7109375" style="1"/>
    <col min="13" max="13" width="11.28515625" style="1" bestFit="1" customWidth="1"/>
    <col min="14" max="16384" width="8.7109375" style="1"/>
  </cols>
  <sheetData>
    <row r="1" spans="1:11">
      <c r="D1" s="6" t="s">
        <v>773</v>
      </c>
      <c r="J1" s="6" t="s">
        <v>774</v>
      </c>
    </row>
    <row r="2" spans="1:11">
      <c r="D2" s="6" t="s">
        <v>766</v>
      </c>
      <c r="J2" s="6" t="s">
        <v>766</v>
      </c>
    </row>
    <row r="3" spans="1:11">
      <c r="D3" s="6" t="s">
        <v>9</v>
      </c>
      <c r="J3" s="6" t="s">
        <v>9</v>
      </c>
    </row>
    <row r="4" spans="1:11">
      <c r="E4" s="6"/>
      <c r="K4" s="6"/>
    </row>
    <row r="5" spans="1:11">
      <c r="C5" s="6" t="s">
        <v>67</v>
      </c>
      <c r="D5" s="6" t="s">
        <v>14</v>
      </c>
      <c r="E5" s="6" t="s">
        <v>117</v>
      </c>
      <c r="I5" s="6" t="s">
        <v>67</v>
      </c>
      <c r="J5" s="6" t="s">
        <v>14</v>
      </c>
      <c r="K5" s="6" t="s">
        <v>117</v>
      </c>
    </row>
    <row r="6" spans="1:11">
      <c r="C6" s="10">
        <v>-1</v>
      </c>
      <c r="D6" s="10">
        <f>C6-1</f>
        <v>-2</v>
      </c>
      <c r="E6" s="10">
        <f>D6-1</f>
        <v>-3</v>
      </c>
      <c r="I6" s="10">
        <v>-1</v>
      </c>
      <c r="J6" s="10">
        <f>I6-1</f>
        <v>-2</v>
      </c>
      <c r="K6" s="10">
        <f>J6-1</f>
        <v>-3</v>
      </c>
    </row>
    <row r="7" spans="1:11">
      <c r="C7" s="14"/>
      <c r="D7" s="14"/>
      <c r="E7" s="14"/>
      <c r="I7" s="14"/>
      <c r="J7" s="14"/>
      <c r="K7" s="14"/>
    </row>
    <row r="8" spans="1:11">
      <c r="A8" s="1" t="s">
        <v>664</v>
      </c>
      <c r="C8" s="17">
        <f>'Exhibit K,1'!G46</f>
        <v>764090172.63285339</v>
      </c>
      <c r="D8" s="17">
        <f>'Exhibit O,3'!I46+'Exhibit N,3'!I46</f>
        <v>707621261.25</v>
      </c>
      <c r="E8" s="17">
        <f>C8-D8</f>
        <v>56468911.382853389</v>
      </c>
      <c r="I8" s="17"/>
      <c r="J8" s="17"/>
      <c r="K8" s="17"/>
    </row>
    <row r="9" spans="1:11">
      <c r="A9" s="1" t="s">
        <v>531</v>
      </c>
      <c r="C9" s="17">
        <f>'Exhibit U,4'!K33</f>
        <v>22959839.549016863</v>
      </c>
      <c r="D9" s="17">
        <f>'Exhibit U,5'!AB33</f>
        <v>18115436.450000003</v>
      </c>
      <c r="E9" s="17">
        <f>C9-D9</f>
        <v>4844403.0990168601</v>
      </c>
      <c r="G9" s="1" t="s">
        <v>775</v>
      </c>
      <c r="I9" s="17">
        <f>'Exhibit B,2'!U28+'Exhibit B,2'!U56</f>
        <v>26506817.047813781</v>
      </c>
      <c r="J9" s="17">
        <f>'Exhibit B,2'!M28+'Exhibit B,2'!M56</f>
        <v>16013609.9</v>
      </c>
      <c r="K9" s="17">
        <f>I9-J9</f>
        <v>10493207.14781378</v>
      </c>
    </row>
    <row r="10" spans="1:11">
      <c r="C10" s="58"/>
      <c r="D10" s="58"/>
      <c r="E10" s="58"/>
      <c r="I10" s="58"/>
      <c r="J10" s="58"/>
      <c r="K10" s="58"/>
    </row>
    <row r="11" spans="1:11">
      <c r="A11" s="1" t="s">
        <v>0</v>
      </c>
      <c r="C11" s="17">
        <f>C8+C9</f>
        <v>787050012.18187022</v>
      </c>
      <c r="D11" s="17">
        <f>D8+D9</f>
        <v>725736697.70000005</v>
      </c>
      <c r="E11" s="17">
        <f>E8+E9</f>
        <v>61313314.481870249</v>
      </c>
      <c r="G11" s="1" t="s">
        <v>0</v>
      </c>
      <c r="I11" s="17">
        <f>I8+I9</f>
        <v>26506817.047813781</v>
      </c>
      <c r="J11" s="17">
        <f>J8+J9</f>
        <v>16013609.9</v>
      </c>
      <c r="K11" s="17">
        <f>K8+K9</f>
        <v>10493207.14781378</v>
      </c>
    </row>
    <row r="12" spans="1:11">
      <c r="C12" s="20"/>
      <c r="D12" s="17"/>
      <c r="E12" s="17"/>
      <c r="I12" s="20"/>
      <c r="J12" s="17"/>
      <c r="K12" s="17"/>
    </row>
    <row r="13" spans="1:11">
      <c r="D13" s="6">
        <v>2019</v>
      </c>
      <c r="J13" s="6">
        <v>2019</v>
      </c>
    </row>
    <row r="14" spans="1:11">
      <c r="D14" s="6" t="s">
        <v>767</v>
      </c>
      <c r="J14" s="6" t="s">
        <v>767</v>
      </c>
    </row>
    <row r="15" spans="1:11">
      <c r="D15" s="6" t="s">
        <v>9</v>
      </c>
      <c r="E15" s="6"/>
      <c r="J15" s="6" t="s">
        <v>9</v>
      </c>
      <c r="K15" s="6"/>
    </row>
    <row r="16" spans="1:11">
      <c r="D16" s="2" t="s">
        <v>768</v>
      </c>
      <c r="E16" s="6"/>
      <c r="J16" s="2" t="s">
        <v>768</v>
      </c>
      <c r="K16" s="6"/>
    </row>
    <row r="17" spans="1:14">
      <c r="D17" s="6"/>
      <c r="E17" s="6"/>
      <c r="J17" s="6"/>
      <c r="K17" s="6"/>
    </row>
    <row r="18" spans="1:14">
      <c r="C18" s="6" t="s">
        <v>67</v>
      </c>
      <c r="D18" s="6" t="s">
        <v>14</v>
      </c>
      <c r="E18" s="6" t="s">
        <v>117</v>
      </c>
      <c r="I18" s="6" t="s">
        <v>67</v>
      </c>
      <c r="J18" s="6" t="s">
        <v>14</v>
      </c>
      <c r="K18" s="6" t="s">
        <v>117</v>
      </c>
    </row>
    <row r="19" spans="1:14">
      <c r="C19" s="10">
        <v>-1</v>
      </c>
      <c r="D19" s="10">
        <f>C19-1</f>
        <v>-2</v>
      </c>
      <c r="E19" s="10">
        <f>D19-1</f>
        <v>-3</v>
      </c>
      <c r="I19" s="10">
        <v>-1</v>
      </c>
      <c r="J19" s="10">
        <f>I19-1</f>
        <v>-2</v>
      </c>
      <c r="K19" s="10">
        <f>J19-1</f>
        <v>-3</v>
      </c>
    </row>
    <row r="20" spans="1:14">
      <c r="C20" s="14"/>
      <c r="D20" s="14"/>
      <c r="E20" s="14"/>
      <c r="I20" s="14"/>
      <c r="J20" s="14"/>
      <c r="K20" s="14"/>
    </row>
    <row r="21" spans="1:14">
      <c r="A21" s="1" t="s">
        <v>664</v>
      </c>
      <c r="C21" s="17">
        <v>818548</v>
      </c>
      <c r="D21" s="17">
        <f>262081+504339</f>
        <v>766420</v>
      </c>
      <c r="E21" s="17">
        <f>C21-D21</f>
        <v>52128</v>
      </c>
      <c r="I21" s="17"/>
      <c r="J21" s="17"/>
      <c r="K21" s="17"/>
      <c r="M21" s="17">
        <f>'Summary Exhibit 3'!L11+'Summary Exhibit 3'!P11</f>
        <v>0</v>
      </c>
    </row>
    <row r="22" spans="1:14">
      <c r="A22" s="1" t="s">
        <v>531</v>
      </c>
      <c r="C22" s="17">
        <v>12189</v>
      </c>
      <c r="D22" s="17">
        <v>9794</v>
      </c>
      <c r="E22" s="17">
        <f>C22-D22</f>
        <v>2395</v>
      </c>
      <c r="G22" s="1" t="s">
        <v>775</v>
      </c>
      <c r="I22" s="17">
        <f>15887+387</f>
        <v>16274</v>
      </c>
      <c r="J22" s="17">
        <f>9013+244</f>
        <v>9257</v>
      </c>
      <c r="K22" s="17">
        <f>I22-J22</f>
        <v>7017</v>
      </c>
    </row>
    <row r="23" spans="1:14">
      <c r="C23" s="58"/>
      <c r="D23" s="58"/>
      <c r="E23" s="58"/>
      <c r="I23" s="58"/>
      <c r="J23" s="58"/>
      <c r="K23" s="58"/>
    </row>
    <row r="24" spans="1:14">
      <c r="A24" s="1" t="s">
        <v>0</v>
      </c>
      <c r="C24" s="17">
        <f>C21+C22</f>
        <v>830737</v>
      </c>
      <c r="D24" s="17">
        <f>D21+D22</f>
        <v>776214</v>
      </c>
      <c r="E24" s="17">
        <f>E21+E22</f>
        <v>54523</v>
      </c>
      <c r="G24" s="1" t="s">
        <v>0</v>
      </c>
      <c r="I24" s="17">
        <f>I21+I22</f>
        <v>16274</v>
      </c>
      <c r="J24" s="17">
        <f>J21+J22</f>
        <v>9257</v>
      </c>
      <c r="K24" s="17">
        <f>K21+K22</f>
        <v>7017</v>
      </c>
    </row>
    <row r="25" spans="1:14">
      <c r="M25" s="59"/>
    </row>
    <row r="27" spans="1:14">
      <c r="A27" s="1" t="s">
        <v>769</v>
      </c>
      <c r="D27" s="17">
        <f>'Summary Exhibit 3'!C17+'Summary Exhibit 3'!G17</f>
        <v>14687352.007999998</v>
      </c>
      <c r="E27" s="17"/>
      <c r="G27" s="1" t="s">
        <v>769</v>
      </c>
      <c r="J27" s="17">
        <f>'Exhibit B,2'!U25+'Exhibit B,2'!U53</f>
        <v>5775365.8839251436</v>
      </c>
      <c r="M27" s="17"/>
      <c r="N27" s="17"/>
    </row>
    <row r="28" spans="1:14">
      <c r="A28" s="1" t="s">
        <v>833</v>
      </c>
      <c r="D28" s="17" t="e">
        <f>'Exhibit T,1'!I41*'Exhibit T,1'!V27/'Exhibit T,1'!K28*'Exhibit K,1'!G44+'Exhibit U,4'!K31</f>
        <v>#VALUE!</v>
      </c>
      <c r="G28" s="1" t="s">
        <v>770</v>
      </c>
      <c r="J28" s="60">
        <v>1</v>
      </c>
      <c r="M28" s="18"/>
    </row>
    <row r="29" spans="1:14">
      <c r="A29" s="1" t="s">
        <v>772</v>
      </c>
      <c r="D29" s="60">
        <f>1+'Exhibit C,1'!I34</f>
        <v>1.0369999999999999</v>
      </c>
      <c r="G29" s="1" t="s">
        <v>772</v>
      </c>
      <c r="J29" s="60">
        <f>D29</f>
        <v>1.0369999999999999</v>
      </c>
      <c r="M29" s="18"/>
    </row>
    <row r="30" spans="1:14">
      <c r="A30" s="1" t="s">
        <v>771</v>
      </c>
      <c r="D30" s="17" t="e">
        <f>D28*D29</f>
        <v>#VALUE!</v>
      </c>
      <c r="G30" s="1" t="s">
        <v>771</v>
      </c>
      <c r="J30" s="17">
        <f>J27*J28*J29</f>
        <v>5989054.4216303732</v>
      </c>
    </row>
    <row r="32" spans="1:14">
      <c r="D32" s="53"/>
    </row>
    <row r="36" spans="4:4">
      <c r="D36" s="5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0-000000000000}">
  <sheetPr codeName="Sheet21">
    <tabColor rgb="FFFF0000"/>
    <pageSetUpPr fitToPage="1"/>
  </sheetPr>
  <dimension ref="A1:V56"/>
  <sheetViews>
    <sheetView showOutlineSymbols="0" zoomScale="75" zoomScaleNormal="75" workbookViewId="0">
      <selection activeCell="A33" sqref="A33"/>
    </sheetView>
  </sheetViews>
  <sheetFormatPr baseColWidth="10" defaultColWidth="9.7109375" defaultRowHeight="15"/>
  <cols>
    <col min="1" max="1" width="11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0.7109375" style="1" customWidth="1"/>
    <col min="8" max="8" width="1.7109375" style="1" customWidth="1"/>
    <col min="9" max="9" width="10.7109375" style="1" customWidth="1"/>
    <col min="10" max="10" width="1.7109375" style="1" customWidth="1"/>
    <col min="11" max="11" width="12.7109375" style="1" customWidth="1"/>
    <col min="12" max="12" width="1.7109375" style="1" customWidth="1"/>
    <col min="13" max="13" width="12.7109375" style="1" customWidth="1"/>
    <col min="14" max="14" width="1.7109375" style="1" customWidth="1"/>
    <col min="15" max="15" width="10.7109375" style="1" customWidth="1"/>
    <col min="16" max="16384" width="9.7109375" style="1"/>
  </cols>
  <sheetData>
    <row r="1" spans="1:22">
      <c r="O1" s="64" t="s">
        <v>939</v>
      </c>
    </row>
    <row r="2" spans="1:22">
      <c r="O2" s="52" t="s">
        <v>56</v>
      </c>
    </row>
    <row r="4" spans="1:22" ht="16">
      <c r="A4" s="4" t="s">
        <v>872</v>
      </c>
      <c r="B4" s="4"/>
      <c r="C4" s="4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6" spans="1:22">
      <c r="A6" s="5" t="s">
        <v>128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</row>
    <row r="7" spans="1:22">
      <c r="A7" s="5" t="s">
        <v>887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22">
      <c r="A8" s="133" t="s">
        <v>696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</row>
    <row r="10" spans="1:22">
      <c r="A10" s="6"/>
      <c r="B10" s="6"/>
      <c r="C10" s="6"/>
      <c r="D10" s="6"/>
      <c r="H10" s="5"/>
      <c r="N10" s="249" t="s">
        <v>895</v>
      </c>
    </row>
    <row r="11" spans="1:22">
      <c r="A11" s="6" t="s">
        <v>6</v>
      </c>
      <c r="B11" s="6"/>
      <c r="C11" s="6"/>
      <c r="M11" s="2" t="s">
        <v>893</v>
      </c>
      <c r="N11" s="2" t="s">
        <v>893</v>
      </c>
      <c r="O11" s="2" t="s">
        <v>893</v>
      </c>
      <c r="S11" s="61" t="s">
        <v>891</v>
      </c>
      <c r="T11" s="61" t="s">
        <v>890</v>
      </c>
      <c r="U11" s="61" t="s">
        <v>888</v>
      </c>
      <c r="V11" s="61" t="s">
        <v>889</v>
      </c>
    </row>
    <row r="12" spans="1:22">
      <c r="A12" s="6" t="s">
        <v>4</v>
      </c>
      <c r="B12" s="6"/>
      <c r="C12" s="2" t="s">
        <v>19</v>
      </c>
      <c r="D12" s="6"/>
      <c r="E12" s="2" t="s">
        <v>209</v>
      </c>
      <c r="F12" s="6"/>
      <c r="G12" s="2" t="s">
        <v>259</v>
      </c>
      <c r="H12" s="6"/>
      <c r="I12" s="107" t="s">
        <v>287</v>
      </c>
      <c r="J12" s="6"/>
      <c r="K12" s="107" t="s">
        <v>0</v>
      </c>
      <c r="M12" s="6" t="s">
        <v>132</v>
      </c>
      <c r="N12" s="6"/>
      <c r="O12" s="6" t="s">
        <v>18</v>
      </c>
      <c r="S12" s="61"/>
      <c r="T12" s="61"/>
      <c r="U12" s="61"/>
      <c r="V12" s="61"/>
    </row>
    <row r="13" spans="1:22">
      <c r="A13" s="106" t="s">
        <v>27</v>
      </c>
      <c r="B13" s="6"/>
      <c r="C13" s="106" t="s">
        <v>33</v>
      </c>
      <c r="D13" s="6"/>
      <c r="E13" s="106" t="s">
        <v>36</v>
      </c>
      <c r="F13" s="6"/>
      <c r="G13" s="106" t="s">
        <v>38</v>
      </c>
      <c r="H13" s="6"/>
      <c r="I13" s="118" t="s">
        <v>40</v>
      </c>
      <c r="J13" s="6"/>
      <c r="K13" s="106" t="s">
        <v>42</v>
      </c>
      <c r="M13" s="106" t="s">
        <v>30</v>
      </c>
      <c r="N13" s="6"/>
      <c r="O13" s="118" t="s">
        <v>31</v>
      </c>
      <c r="S13" s="61"/>
      <c r="T13" s="61"/>
      <c r="U13" s="61"/>
      <c r="V13" s="61"/>
    </row>
    <row r="14" spans="1:22">
      <c r="S14" s="61"/>
      <c r="T14" s="61"/>
      <c r="U14" s="61"/>
      <c r="V14" s="61"/>
    </row>
    <row r="15" spans="1:22">
      <c r="A15" s="3" t="s">
        <v>260</v>
      </c>
      <c r="O15" s="20"/>
      <c r="S15" s="61"/>
      <c r="T15" s="61"/>
      <c r="U15" s="61"/>
      <c r="V15" s="61"/>
    </row>
    <row r="16" spans="1:22">
      <c r="A16" s="6">
        <f>2011</f>
        <v>2011</v>
      </c>
      <c r="B16" s="6"/>
      <c r="C16" s="250">
        <f>-('AD8'!B34+'AD10'!B34+'AD12'!B34)</f>
        <v>-23424258.054585077</v>
      </c>
      <c r="E16" s="19">
        <f>'Exhibit N,3'!I35+'Exhibit O,3'!I35</f>
        <v>20861638.420000002</v>
      </c>
      <c r="F16" s="19"/>
      <c r="G16" s="19">
        <f>'Exhibit U,1'!I22</f>
        <v>714842.25</v>
      </c>
      <c r="H16" s="19"/>
      <c r="I16" s="19">
        <f>'Exhibit V,1'!E16</f>
        <v>2375</v>
      </c>
      <c r="J16" s="19"/>
      <c r="K16" s="19">
        <f>E16+G16+I16-C16</f>
        <v>45003113.724585079</v>
      </c>
      <c r="L16" s="19"/>
      <c r="M16" s="19">
        <f>(S16+T16-U16-V16)</f>
        <v>17402</v>
      </c>
      <c r="N16" s="19"/>
      <c r="O16" s="66">
        <f>M16-K16/1000</f>
        <v>-27601.113724585077</v>
      </c>
      <c r="S16" s="61">
        <v>18298</v>
      </c>
      <c r="T16" s="61">
        <v>5799</v>
      </c>
      <c r="U16" s="61">
        <v>4617</v>
      </c>
      <c r="V16" s="61">
        <v>2078</v>
      </c>
    </row>
    <row r="17" spans="1:22">
      <c r="A17" s="6">
        <f>A16+1</f>
        <v>2012</v>
      </c>
      <c r="B17" s="6"/>
      <c r="C17" s="253">
        <f>-('AD8'!B35+'AD10'!B35+'AD12'!B35)</f>
        <v>-18798330.353349451</v>
      </c>
      <c r="D17" s="20"/>
      <c r="E17" s="20">
        <f>'Exhibit N,3'!I36+'Exhibit O,3'!I36</f>
        <v>13396936.190000001</v>
      </c>
      <c r="F17" s="20"/>
      <c r="G17" s="20">
        <f>'Exhibit U,1'!I23</f>
        <v>3172203.93</v>
      </c>
      <c r="H17" s="18"/>
      <c r="I17" s="20">
        <f>'Exhibit V,1'!E17</f>
        <v>8418.1970000000001</v>
      </c>
      <c r="J17" s="18"/>
      <c r="K17" s="20">
        <f t="shared" ref="K17:K25" si="0">E17+G17+I17-C17</f>
        <v>35375888.670349449</v>
      </c>
      <c r="L17" s="18"/>
      <c r="M17" s="20">
        <f t="shared" ref="M17:M25" si="1">(S17+T17-U17-V17)</f>
        <v>26122</v>
      </c>
      <c r="N17" s="20"/>
      <c r="O17" s="20">
        <f t="shared" ref="O17:O25" si="2">M17-K17/1000</f>
        <v>-9253.88867034945</v>
      </c>
      <c r="S17" s="61">
        <v>34309</v>
      </c>
      <c r="T17" s="61">
        <v>8326</v>
      </c>
      <c r="U17" s="61">
        <v>13542</v>
      </c>
      <c r="V17" s="61">
        <v>2971</v>
      </c>
    </row>
    <row r="18" spans="1:22">
      <c r="A18" s="6">
        <f t="shared" ref="A18:A25" si="3">A17+1</f>
        <v>2013</v>
      </c>
      <c r="B18" s="6"/>
      <c r="C18" s="253">
        <f>-('AD8'!B36+'AD10'!B36+'AD12'!B36)</f>
        <v>-17778706.940760862</v>
      </c>
      <c r="D18" s="20"/>
      <c r="E18" s="20">
        <f>'Exhibit N,3'!I37+'Exhibit O,3'!I37</f>
        <v>18771657.799999997</v>
      </c>
      <c r="F18" s="20"/>
      <c r="G18" s="20">
        <f>'Exhibit U,1'!I24</f>
        <v>1881397.8199999998</v>
      </c>
      <c r="H18" s="18"/>
      <c r="I18" s="20">
        <f>'Exhibit V,1'!E18</f>
        <v>3800456.0380000002</v>
      </c>
      <c r="J18" s="18"/>
      <c r="K18" s="20">
        <f t="shared" si="0"/>
        <v>42232218.598760858</v>
      </c>
      <c r="L18" s="18"/>
      <c r="M18" s="20">
        <f t="shared" si="1"/>
        <v>21242</v>
      </c>
      <c r="N18" s="20"/>
      <c r="O18" s="20">
        <f t="shared" si="2"/>
        <v>-20990.218598760861</v>
      </c>
      <c r="S18" s="61">
        <v>26939</v>
      </c>
      <c r="T18" s="61">
        <v>6827</v>
      </c>
      <c r="U18" s="61">
        <v>9284</v>
      </c>
      <c r="V18" s="61">
        <v>3240</v>
      </c>
    </row>
    <row r="19" spans="1:22">
      <c r="A19" s="6">
        <f t="shared" si="3"/>
        <v>2014</v>
      </c>
      <c r="B19" s="6"/>
      <c r="C19" s="253">
        <f>-('AD8'!B37+'AD10'!B37+'AD12'!B37)</f>
        <v>-15817540.569710035</v>
      </c>
      <c r="D19" s="20"/>
      <c r="E19" s="20">
        <f>'Exhibit N,3'!I38+'Exhibit O,3'!I38</f>
        <v>10728612.16</v>
      </c>
      <c r="F19" s="20"/>
      <c r="G19" s="20">
        <f>'Exhibit U,1'!I25</f>
        <v>4349527.58</v>
      </c>
      <c r="H19" s="18"/>
      <c r="I19" s="20">
        <f>'Exhibit V,1'!E19</f>
        <v>2455021.122</v>
      </c>
      <c r="J19" s="18"/>
      <c r="K19" s="20">
        <f t="shared" si="0"/>
        <v>33350701.431710035</v>
      </c>
      <c r="L19" s="18"/>
      <c r="M19" s="20">
        <f t="shared" si="1"/>
        <v>20233</v>
      </c>
      <c r="N19" s="20"/>
      <c r="O19" s="20">
        <f t="shared" si="2"/>
        <v>-13117.701431710033</v>
      </c>
      <c r="S19" s="61">
        <v>30171</v>
      </c>
      <c r="T19" s="61">
        <v>6355</v>
      </c>
      <c r="U19" s="61">
        <v>13486</v>
      </c>
      <c r="V19" s="61">
        <v>2807</v>
      </c>
    </row>
    <row r="20" spans="1:22">
      <c r="A20" s="6">
        <f t="shared" si="3"/>
        <v>2015</v>
      </c>
      <c r="B20" s="6"/>
      <c r="C20" s="253">
        <f>-('AD8'!B38+'AD10'!B38+'AD12'!B38)</f>
        <v>-13848249.962527679</v>
      </c>
      <c r="D20" s="20"/>
      <c r="E20" s="20">
        <f>'Exhibit N,3'!I39+'Exhibit O,3'!I39</f>
        <v>5166655.9499999993</v>
      </c>
      <c r="F20" s="20"/>
      <c r="G20" s="20">
        <f>'Exhibit U,1'!I26</f>
        <v>296163.03999999998</v>
      </c>
      <c r="H20" s="18"/>
      <c r="I20" s="20">
        <f>'Exhibit V,1'!E20</f>
        <v>2739679.0554999998</v>
      </c>
      <c r="J20" s="18"/>
      <c r="K20" s="20">
        <f t="shared" si="0"/>
        <v>22050748.00802768</v>
      </c>
      <c r="L20" s="18"/>
      <c r="M20" s="20">
        <f t="shared" si="1"/>
        <v>21908</v>
      </c>
      <c r="N20" s="20"/>
      <c r="O20" s="20">
        <f t="shared" si="2"/>
        <v>-142.74800802768004</v>
      </c>
      <c r="S20" s="61">
        <v>18842</v>
      </c>
      <c r="T20" s="61">
        <v>5002</v>
      </c>
      <c r="U20" s="61">
        <v>880</v>
      </c>
      <c r="V20" s="61">
        <v>1056</v>
      </c>
    </row>
    <row r="21" spans="1:22">
      <c r="A21" s="6">
        <f t="shared" si="3"/>
        <v>2016</v>
      </c>
      <c r="B21" s="6"/>
      <c r="C21" s="253">
        <f>-('AD8'!B39+'AD10'!B39+'AD12'!B39)</f>
        <v>-12075058.016405366</v>
      </c>
      <c r="D21" s="20"/>
      <c r="E21" s="20">
        <f>'Exhibit N,3'!I40+'Exhibit O,3'!I40</f>
        <v>7396887.2999999998</v>
      </c>
      <c r="F21" s="20"/>
      <c r="G21" s="20">
        <f>'Exhibit U,1'!I27</f>
        <v>409498.17</v>
      </c>
      <c r="H21" s="18"/>
      <c r="I21" s="20">
        <f>'Exhibit V,1'!E21</f>
        <v>1607026.1464999998</v>
      </c>
      <c r="J21" s="18"/>
      <c r="K21" s="20">
        <f t="shared" si="0"/>
        <v>21488469.632905364</v>
      </c>
      <c r="L21" s="18"/>
      <c r="M21" s="20">
        <f t="shared" si="1"/>
        <v>15611</v>
      </c>
      <c r="N21" s="20"/>
      <c r="O21" s="20">
        <f t="shared" si="2"/>
        <v>-5877.4696329053622</v>
      </c>
      <c r="S21" s="61">
        <v>21990</v>
      </c>
      <c r="T21" s="61">
        <v>5830</v>
      </c>
      <c r="U21" s="61">
        <v>9173</v>
      </c>
      <c r="V21" s="61">
        <v>3036</v>
      </c>
    </row>
    <row r="22" spans="1:22">
      <c r="A22" s="6">
        <f t="shared" si="3"/>
        <v>2017</v>
      </c>
      <c r="B22" s="6"/>
      <c r="C22" s="253">
        <f>-('AD8'!B40+'AD10'!B40+'AD12'!B40)</f>
        <v>-11965585.635086583</v>
      </c>
      <c r="D22" s="20"/>
      <c r="E22" s="20">
        <f>'Exhibit N,3'!I41+'Exhibit O,3'!I41</f>
        <v>6445883.4400000004</v>
      </c>
      <c r="F22" s="20"/>
      <c r="G22" s="20">
        <f>'Exhibit U,1'!I28</f>
        <v>112278.38</v>
      </c>
      <c r="H22" s="18"/>
      <c r="I22" s="20">
        <f>'Exhibit V,1'!E22</f>
        <v>79087.215000000011</v>
      </c>
      <c r="J22" s="18"/>
      <c r="K22" s="20">
        <f t="shared" si="0"/>
        <v>18602834.670086585</v>
      </c>
      <c r="L22" s="18"/>
      <c r="M22" s="20">
        <f t="shared" si="1"/>
        <v>5089</v>
      </c>
      <c r="N22" s="20"/>
      <c r="O22" s="20">
        <f t="shared" si="2"/>
        <v>-13513.834670086584</v>
      </c>
      <c r="S22" s="61">
        <v>4620</v>
      </c>
      <c r="T22" s="61">
        <v>2559</v>
      </c>
      <c r="U22" s="61">
        <v>1297</v>
      </c>
      <c r="V22" s="61">
        <v>793</v>
      </c>
    </row>
    <row r="23" spans="1:22">
      <c r="A23" s="6">
        <f t="shared" si="3"/>
        <v>2018</v>
      </c>
      <c r="B23" s="6"/>
      <c r="C23" s="253">
        <f>-('AD8'!B41+'AD10'!B41+'AD12'!B41)</f>
        <v>-12013671.873593584</v>
      </c>
      <c r="D23" s="20"/>
      <c r="E23" s="20">
        <f>'Exhibit N,3'!I42+'Exhibit O,3'!I42</f>
        <v>5740458.2000000002</v>
      </c>
      <c r="F23" s="20"/>
      <c r="G23" s="20">
        <f>'Exhibit U,1'!I29</f>
        <v>97657.46</v>
      </c>
      <c r="H23" s="18"/>
      <c r="I23" s="20">
        <f>'Exhibit V,1'!E23</f>
        <v>1721522.6735</v>
      </c>
      <c r="J23" s="18"/>
      <c r="K23" s="20">
        <f t="shared" si="0"/>
        <v>19573310.207093582</v>
      </c>
      <c r="L23" s="18"/>
      <c r="M23" s="20">
        <f t="shared" si="1"/>
        <v>4733</v>
      </c>
      <c r="N23" s="20"/>
      <c r="O23" s="20">
        <f t="shared" si="2"/>
        <v>-14840.310207093582</v>
      </c>
      <c r="S23" s="61">
        <v>6815</v>
      </c>
      <c r="T23" s="61">
        <v>2331</v>
      </c>
      <c r="U23" s="61">
        <v>3295</v>
      </c>
      <c r="V23" s="61">
        <v>1118</v>
      </c>
    </row>
    <row r="24" spans="1:22">
      <c r="A24" s="6">
        <f t="shared" si="3"/>
        <v>2019</v>
      </c>
      <c r="B24" s="6"/>
      <c r="C24" s="253">
        <f>-('AD8'!B42+'AD10'!B42+'AD12'!B42)</f>
        <v>-15269032.655080602</v>
      </c>
      <c r="D24" s="20"/>
      <c r="E24" s="20">
        <f>'Exhibit N,3'!I43+'Exhibit O,3'!I43</f>
        <v>497480.03</v>
      </c>
      <c r="F24" s="20"/>
      <c r="G24" s="20">
        <f>'Exhibit U,1'!I30</f>
        <v>11934.19</v>
      </c>
      <c r="H24" s="18"/>
      <c r="I24" s="20">
        <f>'Exhibit V,1'!E24</f>
        <v>1149549.0485</v>
      </c>
      <c r="J24" s="18"/>
      <c r="K24" s="20">
        <f t="shared" si="0"/>
        <v>16927995.923580602</v>
      </c>
      <c r="L24" s="18"/>
      <c r="M24" s="20">
        <f t="shared" si="1"/>
        <v>2856</v>
      </c>
      <c r="N24" s="20"/>
      <c r="O24" s="20">
        <f t="shared" si="2"/>
        <v>-14071.995923580602</v>
      </c>
      <c r="S24" s="61">
        <v>3799</v>
      </c>
      <c r="T24" s="61">
        <v>1595</v>
      </c>
      <c r="U24" s="61">
        <v>2082</v>
      </c>
      <c r="V24" s="61">
        <v>456</v>
      </c>
    </row>
    <row r="25" spans="1:22">
      <c r="A25" s="6">
        <f t="shared" si="3"/>
        <v>2020</v>
      </c>
      <c r="B25" s="6"/>
      <c r="C25" s="253">
        <f>-('AD8'!B43+'AD10'!B43+'AD12'!B43)</f>
        <v>-19193969.830971081</v>
      </c>
      <c r="D25" s="20"/>
      <c r="E25" s="20">
        <f>'Exhibit N,3'!I44+'Exhibit O,3'!I44</f>
        <v>395862.9</v>
      </c>
      <c r="F25" s="20"/>
      <c r="G25" s="20">
        <f>'Exhibit U,1'!I31</f>
        <v>21947.98</v>
      </c>
      <c r="H25" s="18"/>
      <c r="I25" s="20">
        <f>'Exhibit V,1'!E25</f>
        <v>1171306.9934999999</v>
      </c>
      <c r="J25" s="18"/>
      <c r="K25" s="20">
        <f t="shared" si="0"/>
        <v>20783087.704471081</v>
      </c>
      <c r="L25" s="18"/>
      <c r="M25" s="20">
        <f t="shared" si="1"/>
        <v>559</v>
      </c>
      <c r="N25" s="20"/>
      <c r="O25" s="20">
        <f t="shared" si="2"/>
        <v>-20224.087704471083</v>
      </c>
      <c r="S25" s="61">
        <v>260</v>
      </c>
      <c r="T25" s="61">
        <v>350</v>
      </c>
      <c r="U25" s="61">
        <v>0</v>
      </c>
      <c r="V25" s="61">
        <v>51</v>
      </c>
    </row>
    <row r="26" spans="1:22">
      <c r="A26" s="6"/>
      <c r="B26" s="6"/>
      <c r="C26" s="105"/>
      <c r="E26" s="105"/>
      <c r="G26" s="105"/>
      <c r="I26" s="105"/>
      <c r="K26" s="105"/>
      <c r="M26" s="105"/>
      <c r="O26" s="254"/>
      <c r="S26" s="61"/>
      <c r="T26" s="61"/>
      <c r="U26" s="61"/>
      <c r="V26" s="61"/>
    </row>
    <row r="27" spans="1:22">
      <c r="A27" s="6" t="s">
        <v>0</v>
      </c>
      <c r="B27" s="6"/>
      <c r="C27" s="19">
        <f>SUM(C16:C26)</f>
        <v>-160184403.89207032</v>
      </c>
      <c r="E27" s="19">
        <f>SUM(E16:E26)</f>
        <v>89402072.390000001</v>
      </c>
      <c r="F27" s="19"/>
      <c r="G27" s="236">
        <f>SUM(G16:G26)</f>
        <v>11067450.800000001</v>
      </c>
      <c r="H27" s="19"/>
      <c r="I27" s="19">
        <f>SUM(I16:I26)</f>
        <v>14734441.489499999</v>
      </c>
      <c r="K27" s="19">
        <f>SUM(K16:K26)</f>
        <v>275388368.57157028</v>
      </c>
      <c r="M27" s="19">
        <f>SUM(M16:M26)</f>
        <v>135755</v>
      </c>
      <c r="O27" s="19">
        <f>SUM(O16:O26)</f>
        <v>-139633.36857157029</v>
      </c>
      <c r="S27" s="61">
        <f>SUM(S16:S26)</f>
        <v>166043</v>
      </c>
      <c r="T27" s="61">
        <f>SUM(T16:T26)</f>
        <v>44974</v>
      </c>
      <c r="U27" s="61">
        <f>SUM(U16:U26)</f>
        <v>57656</v>
      </c>
      <c r="V27" s="61">
        <f>SUM(V16:V26)</f>
        <v>17606</v>
      </c>
    </row>
    <row r="28" spans="1:22">
      <c r="O28" s="20"/>
    </row>
    <row r="29" spans="1:22">
      <c r="O29" s="20"/>
    </row>
    <row r="30" spans="1:22">
      <c r="G30" s="26"/>
      <c r="O30" s="20"/>
    </row>
    <row r="31" spans="1:22">
      <c r="A31" s="3" t="s">
        <v>261</v>
      </c>
      <c r="O31" s="20"/>
    </row>
    <row r="32" spans="1:22">
      <c r="A32" s="6">
        <f>2011</f>
        <v>2011</v>
      </c>
      <c r="C32" s="19">
        <f>C16</f>
        <v>-23424258.054585077</v>
      </c>
      <c r="E32" s="19">
        <f>'Exhibit N,2'!I35+'Exhibit O,2'!I35</f>
        <v>20861638.420000002</v>
      </c>
      <c r="F32" s="19"/>
      <c r="G32" s="19">
        <f>'Exhibit U,2'!I22</f>
        <v>714842.25</v>
      </c>
      <c r="I32" s="19">
        <f>'Exhibit V,1'!G16</f>
        <v>2375</v>
      </c>
      <c r="J32" s="19"/>
      <c r="K32" s="19">
        <f>E32+G32+I32-C32</f>
        <v>45003113.724585079</v>
      </c>
      <c r="L32" s="19"/>
      <c r="M32" s="19">
        <f>M16+(S32+T32-U32-V32)</f>
        <v>17716</v>
      </c>
      <c r="O32" s="66">
        <f>M32-K32/1000</f>
        <v>-27287.113724585077</v>
      </c>
      <c r="S32" s="61">
        <v>801</v>
      </c>
      <c r="T32" s="61">
        <v>61</v>
      </c>
      <c r="U32" s="61">
        <v>501</v>
      </c>
      <c r="V32" s="61">
        <v>47</v>
      </c>
    </row>
    <row r="33" spans="1:22">
      <c r="A33" s="6">
        <f>A32+1</f>
        <v>2012</v>
      </c>
      <c r="B33" s="6"/>
      <c r="C33" s="253">
        <f t="shared" ref="C33:C41" si="4">C17</f>
        <v>-18798330.353349451</v>
      </c>
      <c r="D33" s="19"/>
      <c r="E33" s="20">
        <f>'Exhibit N,2'!I36+'Exhibit O,2'!I36</f>
        <v>15413427.860000001</v>
      </c>
      <c r="F33" s="20"/>
      <c r="G33" s="20">
        <f>'Exhibit U,2'!I23</f>
        <v>3172203.93</v>
      </c>
      <c r="H33" s="20"/>
      <c r="I33" s="20">
        <f>'Exhibit V,1'!G17</f>
        <v>8418.1970000000001</v>
      </c>
      <c r="J33" s="20"/>
      <c r="K33" s="20">
        <f t="shared" ref="K33:K41" si="5">E33+G33+I33-C33</f>
        <v>37392380.340349451</v>
      </c>
      <c r="L33" s="20"/>
      <c r="M33" s="20">
        <f t="shared" ref="M33:M41" si="6">M17+(S33+T33-U33-V33)</f>
        <v>28866</v>
      </c>
      <c r="N33" s="20"/>
      <c r="O33" s="20">
        <f t="shared" ref="O33:O41" si="7">M33-K33/1000</f>
        <v>-8526.380340349453</v>
      </c>
      <c r="S33" s="61">
        <v>5347</v>
      </c>
      <c r="T33" s="61">
        <v>285</v>
      </c>
      <c r="U33" s="61">
        <v>2748</v>
      </c>
      <c r="V33" s="61">
        <v>140</v>
      </c>
    </row>
    <row r="34" spans="1:22">
      <c r="A34" s="6">
        <f t="shared" ref="A34:A41" si="8">A33+1</f>
        <v>2013</v>
      </c>
      <c r="B34" s="6"/>
      <c r="C34" s="253">
        <f t="shared" si="4"/>
        <v>-17778706.940760862</v>
      </c>
      <c r="E34" s="20">
        <f>'Exhibit N,2'!I37+'Exhibit O,2'!I37</f>
        <v>21060004.139999997</v>
      </c>
      <c r="F34" s="20"/>
      <c r="G34" s="20">
        <f>'Exhibit U,2'!I24</f>
        <v>1881397.8199999998</v>
      </c>
      <c r="H34" s="20"/>
      <c r="I34" s="20">
        <f>'Exhibit V,1'!G18</f>
        <v>3800456.0380000002</v>
      </c>
      <c r="J34" s="20"/>
      <c r="K34" s="20">
        <f t="shared" si="5"/>
        <v>44520564.938760862</v>
      </c>
      <c r="L34" s="20"/>
      <c r="M34" s="20">
        <f t="shared" si="6"/>
        <v>21244</v>
      </c>
      <c r="N34" s="20"/>
      <c r="O34" s="20">
        <f t="shared" si="7"/>
        <v>-23276.564938760865</v>
      </c>
      <c r="S34" s="61">
        <v>6706</v>
      </c>
      <c r="T34" s="61">
        <v>244</v>
      </c>
      <c r="U34" s="61">
        <v>6705</v>
      </c>
      <c r="V34" s="61">
        <v>243</v>
      </c>
    </row>
    <row r="35" spans="1:22">
      <c r="A35" s="6">
        <f t="shared" si="8"/>
        <v>2014</v>
      </c>
      <c r="B35" s="6"/>
      <c r="C35" s="253">
        <f t="shared" si="4"/>
        <v>-15817540.569710035</v>
      </c>
      <c r="E35" s="20">
        <f>'Exhibit N,2'!I38+'Exhibit O,2'!I38</f>
        <v>12777784.629999999</v>
      </c>
      <c r="F35" s="20"/>
      <c r="G35" s="20">
        <f>'Exhibit U,2'!I25</f>
        <v>4756934.53</v>
      </c>
      <c r="H35" s="20"/>
      <c r="I35" s="20">
        <f>'Exhibit V,1'!G19</f>
        <v>2455021.122</v>
      </c>
      <c r="J35" s="20"/>
      <c r="K35" s="20">
        <f t="shared" si="5"/>
        <v>35807280.851710036</v>
      </c>
      <c r="L35" s="20"/>
      <c r="M35" s="20">
        <f t="shared" si="6"/>
        <v>22516</v>
      </c>
      <c r="N35" s="20"/>
      <c r="O35" s="20">
        <f t="shared" si="7"/>
        <v>-13291.280851710035</v>
      </c>
      <c r="S35" s="61">
        <v>8313</v>
      </c>
      <c r="T35" s="61">
        <v>353</v>
      </c>
      <c r="U35" s="61">
        <v>6062</v>
      </c>
      <c r="V35" s="61">
        <v>321</v>
      </c>
    </row>
    <row r="36" spans="1:22">
      <c r="A36" s="6">
        <f t="shared" si="8"/>
        <v>2015</v>
      </c>
      <c r="B36" s="6"/>
      <c r="C36" s="253">
        <f t="shared" si="4"/>
        <v>-13848249.962527679</v>
      </c>
      <c r="E36" s="20">
        <f>'Exhibit N,2'!I39+'Exhibit O,2'!I39</f>
        <v>6912304.1399999987</v>
      </c>
      <c r="F36" s="20"/>
      <c r="G36" s="20">
        <f>'Exhibit U,2'!I26</f>
        <v>305163.03999999998</v>
      </c>
      <c r="H36" s="20"/>
      <c r="I36" s="20">
        <f>'Exhibit V,1'!G20</f>
        <v>2739679.0554999998</v>
      </c>
      <c r="J36" s="20"/>
      <c r="K36" s="20">
        <f t="shared" si="5"/>
        <v>23805396.198027678</v>
      </c>
      <c r="L36" s="20"/>
      <c r="M36" s="20">
        <f t="shared" si="6"/>
        <v>25101</v>
      </c>
      <c r="N36" s="20"/>
      <c r="O36" s="20">
        <f t="shared" si="7"/>
        <v>1295.6038019723237</v>
      </c>
      <c r="S36" s="61">
        <v>5419</v>
      </c>
      <c r="T36" s="61">
        <v>231</v>
      </c>
      <c r="U36" s="61">
        <v>2317</v>
      </c>
      <c r="V36" s="61">
        <v>140</v>
      </c>
    </row>
    <row r="37" spans="1:22">
      <c r="A37" s="6">
        <f t="shared" si="8"/>
        <v>2016</v>
      </c>
      <c r="B37" s="6"/>
      <c r="C37" s="253">
        <f t="shared" si="4"/>
        <v>-12075058.016405366</v>
      </c>
      <c r="E37" s="20">
        <f>'Exhibit N,2'!I40+'Exhibit O,2'!I40</f>
        <v>14350028.960000001</v>
      </c>
      <c r="F37" s="20"/>
      <c r="G37" s="20">
        <f>'Exhibit U,2'!I27</f>
        <v>898335.37</v>
      </c>
      <c r="H37" s="20"/>
      <c r="I37" s="20">
        <f>'Exhibit V,1'!G21</f>
        <v>1846426.1464999998</v>
      </c>
      <c r="J37" s="20"/>
      <c r="K37" s="20">
        <f t="shared" si="5"/>
        <v>29169848.492905367</v>
      </c>
      <c r="L37" s="20"/>
      <c r="M37" s="20">
        <f t="shared" si="6"/>
        <v>18734</v>
      </c>
      <c r="N37" s="20"/>
      <c r="O37" s="20">
        <f t="shared" si="7"/>
        <v>-10435.848492905367</v>
      </c>
      <c r="S37" s="61">
        <v>11976</v>
      </c>
      <c r="T37" s="61">
        <v>613</v>
      </c>
      <c r="U37" s="61">
        <v>8992</v>
      </c>
      <c r="V37" s="61">
        <v>474</v>
      </c>
    </row>
    <row r="38" spans="1:22">
      <c r="A38" s="6">
        <f t="shared" si="8"/>
        <v>2017</v>
      </c>
      <c r="B38" s="6"/>
      <c r="C38" s="253">
        <f t="shared" si="4"/>
        <v>-11965585.635086583</v>
      </c>
      <c r="E38" s="20">
        <f>'Exhibit N,2'!I41+'Exhibit O,2'!I41</f>
        <v>10777609.43</v>
      </c>
      <c r="F38" s="20"/>
      <c r="G38" s="20">
        <f>'Exhibit U,2'!I28</f>
        <v>415683.53</v>
      </c>
      <c r="H38" s="20"/>
      <c r="I38" s="20">
        <f>'Exhibit V,1'!G22</f>
        <v>79087.215000000011</v>
      </c>
      <c r="J38" s="20"/>
      <c r="K38" s="20">
        <f t="shared" si="5"/>
        <v>23237965.810086582</v>
      </c>
      <c r="L38" s="20"/>
      <c r="M38" s="20">
        <f t="shared" si="6"/>
        <v>9435</v>
      </c>
      <c r="N38" s="20"/>
      <c r="O38" s="20">
        <f t="shared" si="7"/>
        <v>-13802.965810086582</v>
      </c>
      <c r="S38" s="61">
        <v>5555</v>
      </c>
      <c r="T38" s="61">
        <v>1011</v>
      </c>
      <c r="U38" s="61">
        <v>1622</v>
      </c>
      <c r="V38" s="61">
        <v>598</v>
      </c>
    </row>
    <row r="39" spans="1:22">
      <c r="A39" s="6">
        <f t="shared" si="8"/>
        <v>2018</v>
      </c>
      <c r="B39" s="6"/>
      <c r="C39" s="253">
        <f t="shared" si="4"/>
        <v>-12013671.873593584</v>
      </c>
      <c r="E39" s="20">
        <f>'Exhibit N,2'!I42+'Exhibit O,2'!I42</f>
        <v>8231174.7300000004</v>
      </c>
      <c r="F39" s="20"/>
      <c r="G39" s="20">
        <f>'Exhibit U,2'!I29</f>
        <v>172246.52000000002</v>
      </c>
      <c r="H39" s="20"/>
      <c r="I39" s="20">
        <f>'Exhibit V,1'!G23</f>
        <v>3147930.8585000001</v>
      </c>
      <c r="J39" s="20"/>
      <c r="K39" s="20">
        <f t="shared" si="5"/>
        <v>23565023.982093584</v>
      </c>
      <c r="L39" s="20"/>
      <c r="M39" s="20">
        <f t="shared" si="6"/>
        <v>8634</v>
      </c>
      <c r="N39" s="20"/>
      <c r="O39" s="20">
        <f t="shared" si="7"/>
        <v>-14931.023982093582</v>
      </c>
      <c r="S39" s="61">
        <v>5228</v>
      </c>
      <c r="T39" s="61">
        <v>707</v>
      </c>
      <c r="U39" s="61">
        <v>1724</v>
      </c>
      <c r="V39" s="61">
        <v>310</v>
      </c>
    </row>
    <row r="40" spans="1:22">
      <c r="A40" s="6">
        <f t="shared" si="8"/>
        <v>2019</v>
      </c>
      <c r="B40" s="6"/>
      <c r="C40" s="253">
        <f t="shared" si="4"/>
        <v>-15269032.655080602</v>
      </c>
      <c r="E40" s="20">
        <f>'Exhibit N,2'!I43+'Exhibit O,2'!I43</f>
        <v>2146692.9499999997</v>
      </c>
      <c r="F40" s="20"/>
      <c r="G40" s="20">
        <f>'Exhibit U,2'!I30</f>
        <v>51134.19</v>
      </c>
      <c r="H40" s="20"/>
      <c r="I40" s="20">
        <f>'Exhibit V,1'!G24</f>
        <v>1184893.7985</v>
      </c>
      <c r="J40" s="20"/>
      <c r="K40" s="20">
        <f t="shared" si="5"/>
        <v>18651753.5935806</v>
      </c>
      <c r="L40" s="20"/>
      <c r="M40" s="20">
        <f t="shared" si="6"/>
        <v>6562</v>
      </c>
      <c r="N40" s="20"/>
      <c r="O40" s="20">
        <f t="shared" si="7"/>
        <v>-12089.753593580601</v>
      </c>
      <c r="S40" s="61">
        <v>4898</v>
      </c>
      <c r="T40" s="61">
        <v>881</v>
      </c>
      <c r="U40" s="61">
        <v>1857</v>
      </c>
      <c r="V40" s="61">
        <v>216</v>
      </c>
    </row>
    <row r="41" spans="1:22">
      <c r="A41" s="6">
        <f t="shared" si="8"/>
        <v>2020</v>
      </c>
      <c r="B41" s="6"/>
      <c r="C41" s="253">
        <f t="shared" si="4"/>
        <v>-19193969.830971081</v>
      </c>
      <c r="E41" s="20">
        <f>'Exhibit N,2'!I44+'Exhibit O,2'!I44</f>
        <v>2421009.17</v>
      </c>
      <c r="F41" s="20"/>
      <c r="G41" s="20">
        <f>'Exhibit U,2'!I31</f>
        <v>174500</v>
      </c>
      <c r="H41" s="20"/>
      <c r="I41" s="20">
        <f>'Exhibit V,1'!G25</f>
        <v>3309961.5474999999</v>
      </c>
      <c r="J41" s="20"/>
      <c r="K41" s="20">
        <f t="shared" si="5"/>
        <v>25099440.548471078</v>
      </c>
      <c r="L41" s="20"/>
      <c r="M41" s="20">
        <f t="shared" si="6"/>
        <v>1795</v>
      </c>
      <c r="N41" s="20"/>
      <c r="O41" s="20">
        <f t="shared" si="7"/>
        <v>-23304.440548471077</v>
      </c>
      <c r="S41" s="61">
        <v>950</v>
      </c>
      <c r="T41" s="61">
        <v>326</v>
      </c>
      <c r="U41" s="61">
        <v>29</v>
      </c>
      <c r="V41" s="61">
        <v>11</v>
      </c>
    </row>
    <row r="42" spans="1:22">
      <c r="A42" s="6">
        <v>2019</v>
      </c>
      <c r="B42" s="6"/>
      <c r="C42" s="105"/>
      <c r="E42" s="105"/>
      <c r="F42" s="18"/>
      <c r="G42" s="105"/>
      <c r="I42" s="105"/>
      <c r="J42" s="18"/>
      <c r="K42" s="105"/>
      <c r="L42" s="18"/>
      <c r="M42" s="105"/>
      <c r="O42" s="254"/>
    </row>
    <row r="43" spans="1:22">
      <c r="A43" s="6" t="s">
        <v>0</v>
      </c>
      <c r="B43" s="6"/>
      <c r="C43" s="19">
        <f>SUM(C32:C41)</f>
        <v>-160184403.89207032</v>
      </c>
      <c r="E43" s="19">
        <f>SUM(E32:E41)</f>
        <v>114951674.43000002</v>
      </c>
      <c r="G43" s="19">
        <f>SUM(G32:G41)</f>
        <v>12542441.179999998</v>
      </c>
      <c r="I43" s="19">
        <f>SUM(I32:I41)</f>
        <v>18574248.978500001</v>
      </c>
      <c r="K43" s="19">
        <f>SUM(K32:K41)</f>
        <v>306252768.48057032</v>
      </c>
      <c r="M43" s="19">
        <f>SUM(M32:M41)</f>
        <v>160603</v>
      </c>
      <c r="O43" s="66">
        <f>SUM(O32:O41)</f>
        <v>-145649.76848057032</v>
      </c>
      <c r="S43" s="61">
        <f>SUM(S32:S42)</f>
        <v>55193</v>
      </c>
      <c r="T43" s="61">
        <f>SUM(T32:T42)</f>
        <v>4712</v>
      </c>
      <c r="U43" s="61">
        <f>SUM(U32:U42)</f>
        <v>32557</v>
      </c>
      <c r="V43" s="61">
        <f>SUM(V32:V42)</f>
        <v>2500</v>
      </c>
    </row>
    <row r="44" spans="1:22">
      <c r="A44" s="6"/>
      <c r="B44" s="6"/>
      <c r="C44" s="19"/>
      <c r="E44" s="19"/>
      <c r="F44" s="19"/>
      <c r="G44" s="19"/>
      <c r="I44" s="19"/>
      <c r="K44" s="19"/>
      <c r="M44" s="19"/>
      <c r="O44" s="20"/>
    </row>
    <row r="45" spans="1:22">
      <c r="O45" s="20"/>
    </row>
    <row r="49" spans="1:20">
      <c r="A49" s="52"/>
    </row>
    <row r="50" spans="1:20">
      <c r="A50" s="52" t="s">
        <v>104</v>
      </c>
      <c r="C50" s="3" t="s">
        <v>697</v>
      </c>
    </row>
    <row r="51" spans="1:20">
      <c r="A51" s="64" t="s">
        <v>36</v>
      </c>
      <c r="C51" s="3" t="s">
        <v>503</v>
      </c>
      <c r="T51" s="61" t="s">
        <v>504</v>
      </c>
    </row>
    <row r="52" spans="1:20">
      <c r="A52" s="64" t="s">
        <v>38</v>
      </c>
      <c r="B52" s="52"/>
      <c r="C52" s="3" t="s">
        <v>948</v>
      </c>
    </row>
    <row r="53" spans="1:20">
      <c r="A53" s="64" t="s">
        <v>40</v>
      </c>
      <c r="C53" s="3" t="s">
        <v>949</v>
      </c>
    </row>
    <row r="54" spans="1:20">
      <c r="A54" s="64" t="s">
        <v>42</v>
      </c>
      <c r="B54" s="52"/>
      <c r="C54" s="3" t="s">
        <v>262</v>
      </c>
    </row>
    <row r="55" spans="1:20">
      <c r="A55" s="64" t="s">
        <v>30</v>
      </c>
      <c r="C55" s="3" t="s">
        <v>698</v>
      </c>
    </row>
    <row r="56" spans="1:20">
      <c r="A56" s="52" t="s">
        <v>31</v>
      </c>
      <c r="B56" s="52"/>
      <c r="C56" s="3" t="s">
        <v>699</v>
      </c>
    </row>
  </sheetData>
  <phoneticPr fontId="8" type="noConversion"/>
  <printOptions horizontalCentered="1" verticalCentered="1"/>
  <pageMargins left="0.75" right="0.75" top="1" bottom="1" header="0.5" footer="0.5"/>
  <pageSetup scale="70" orientation="portrait" blackAndWhite="1" r:id="rId1"/>
  <headerFooter alignWithMargins="0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300-000000000000}">
  <sheetPr codeName="Sheet54">
    <tabColor rgb="FFFF0000"/>
    <pageSetUpPr fitToPage="1"/>
  </sheetPr>
  <dimension ref="A1:T54"/>
  <sheetViews>
    <sheetView zoomScale="75" zoomScaleNormal="75" workbookViewId="0">
      <selection activeCell="A33" sqref="A33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0.7109375" style="1" customWidth="1"/>
    <col min="6" max="6" width="1.7109375" style="1" customWidth="1"/>
    <col min="7" max="7" width="10.7109375" style="1" customWidth="1"/>
    <col min="8" max="8" width="1.7109375" style="1" customWidth="1"/>
    <col min="9" max="9" width="10.7109375" style="1" customWidth="1"/>
    <col min="10" max="10" width="1.7109375" style="1" customWidth="1"/>
    <col min="11" max="11" width="10.7109375" style="1" customWidth="1"/>
    <col min="12" max="12" width="1.7109375" style="1" customWidth="1"/>
    <col min="13" max="13" width="10.7109375" style="1" customWidth="1"/>
    <col min="14" max="16384" width="8.7109375" style="1"/>
  </cols>
  <sheetData>
    <row r="1" spans="1:20">
      <c r="M1" s="64" t="s">
        <v>939</v>
      </c>
    </row>
    <row r="2" spans="1:20">
      <c r="M2" s="52" t="s">
        <v>45</v>
      </c>
    </row>
    <row r="4" spans="1:20" ht="16">
      <c r="A4" s="4" t="s">
        <v>872</v>
      </c>
      <c r="B4" s="4"/>
      <c r="C4" s="4"/>
      <c r="D4" s="5"/>
      <c r="E4" s="5"/>
      <c r="F4" s="5"/>
      <c r="G4" s="5"/>
      <c r="H4" s="5"/>
      <c r="I4" s="5"/>
      <c r="J4" s="5"/>
      <c r="K4" s="5"/>
      <c r="L4" s="5"/>
      <c r="M4" s="5"/>
    </row>
    <row r="6" spans="1:20">
      <c r="A6" s="5" t="s">
        <v>128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20">
      <c r="A7" s="5" t="s">
        <v>887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20">
      <c r="A8" s="133" t="s">
        <v>263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10" spans="1:20">
      <c r="A10" s="6"/>
      <c r="B10" s="6"/>
      <c r="C10" s="6"/>
      <c r="D10" s="6"/>
      <c r="H10" s="5"/>
      <c r="L10" s="249" t="s">
        <v>896</v>
      </c>
    </row>
    <row r="11" spans="1:20">
      <c r="A11" s="6" t="s">
        <v>6</v>
      </c>
      <c r="B11" s="6"/>
      <c r="C11" s="6"/>
      <c r="K11" s="2" t="s">
        <v>893</v>
      </c>
      <c r="L11" s="2" t="s">
        <v>893</v>
      </c>
      <c r="M11" s="2" t="s">
        <v>893</v>
      </c>
      <c r="Q11" s="61" t="s">
        <v>891</v>
      </c>
      <c r="R11" s="61" t="s">
        <v>890</v>
      </c>
      <c r="S11" s="61" t="s">
        <v>888</v>
      </c>
      <c r="T11" s="61" t="s">
        <v>889</v>
      </c>
    </row>
    <row r="12" spans="1:20">
      <c r="A12" s="6" t="s">
        <v>4</v>
      </c>
      <c r="B12" s="6"/>
      <c r="C12" s="2" t="s">
        <v>209</v>
      </c>
      <c r="D12" s="6"/>
      <c r="E12" s="2" t="s">
        <v>259</v>
      </c>
      <c r="F12" s="6"/>
      <c r="G12" s="107" t="s">
        <v>287</v>
      </c>
      <c r="H12" s="6"/>
      <c r="I12" s="107" t="s">
        <v>0</v>
      </c>
      <c r="K12" s="6" t="s">
        <v>132</v>
      </c>
      <c r="L12" s="6"/>
      <c r="M12" s="6" t="s">
        <v>18</v>
      </c>
      <c r="Q12" s="61"/>
      <c r="R12" s="61"/>
      <c r="S12" s="61"/>
      <c r="T12" s="61"/>
    </row>
    <row r="13" spans="1:20">
      <c r="A13" s="106" t="s">
        <v>27</v>
      </c>
      <c r="B13" s="6"/>
      <c r="C13" s="106" t="s">
        <v>33</v>
      </c>
      <c r="D13" s="6"/>
      <c r="E13" s="106" t="s">
        <v>36</v>
      </c>
      <c r="F13" s="6"/>
      <c r="G13" s="106" t="s">
        <v>38</v>
      </c>
      <c r="H13" s="6"/>
      <c r="I13" s="118" t="s">
        <v>40</v>
      </c>
      <c r="J13" s="6"/>
      <c r="K13" s="106" t="s">
        <v>42</v>
      </c>
      <c r="M13" s="106" t="s">
        <v>30</v>
      </c>
      <c r="Q13" s="61"/>
      <c r="R13" s="61"/>
      <c r="S13" s="61"/>
      <c r="T13" s="61"/>
    </row>
    <row r="14" spans="1:20">
      <c r="Q14" s="61"/>
      <c r="R14" s="61"/>
      <c r="S14" s="61"/>
      <c r="T14" s="61"/>
    </row>
    <row r="15" spans="1:20">
      <c r="A15" s="3" t="s">
        <v>260</v>
      </c>
      <c r="Q15" s="61"/>
      <c r="R15" s="61"/>
      <c r="S15" s="61"/>
      <c r="T15" s="61"/>
    </row>
    <row r="16" spans="1:20">
      <c r="A16" s="6">
        <f>2011</f>
        <v>2011</v>
      </c>
      <c r="B16" s="6"/>
      <c r="C16" s="250">
        <f>'Exhibit H,5'!C35</f>
        <v>6075393.9800000004</v>
      </c>
      <c r="D16" s="19"/>
      <c r="E16" s="19">
        <f>'Exhibit U,1'!I22-'Exhibit U,1'!I41</f>
        <v>0</v>
      </c>
      <c r="F16" s="19"/>
      <c r="G16" s="19">
        <f>'Exhibit V,1'!E30</f>
        <v>0</v>
      </c>
      <c r="H16" s="19"/>
      <c r="I16" s="19">
        <f>C16+E16+G16</f>
        <v>6075393.9800000004</v>
      </c>
      <c r="J16" s="19"/>
      <c r="K16" s="19">
        <f>(Q16+R16)-(S16+T16)</f>
        <v>2236</v>
      </c>
      <c r="L16" s="19"/>
      <c r="M16" s="19">
        <f>K16-I16/1000</f>
        <v>-3839.3939800000007</v>
      </c>
      <c r="O16" s="1">
        <f>'Exhibit H,5'!C35+'Exhibit U,1'!I22-'Exhibit U,1'!I41+'Exhibit V,1'!E30</f>
        <v>6075393.9800000004</v>
      </c>
      <c r="Q16" s="61">
        <v>2108</v>
      </c>
      <c r="R16" s="61">
        <v>222</v>
      </c>
      <c r="S16" s="61">
        <v>88</v>
      </c>
      <c r="T16" s="61">
        <v>6</v>
      </c>
    </row>
    <row r="17" spans="1:20">
      <c r="A17" s="6">
        <f>A16+1</f>
        <v>2012</v>
      </c>
      <c r="B17" s="6"/>
      <c r="C17" s="251">
        <f>'Exhibit H,5'!C36</f>
        <v>1329575.07</v>
      </c>
      <c r="D17" s="20"/>
      <c r="E17" s="20">
        <f>'Exhibit U,1'!I23-'Exhibit U,1'!I42</f>
        <v>530047.85000000009</v>
      </c>
      <c r="G17" s="20">
        <f>'Exhibit V,1'!E31</f>
        <v>0</v>
      </c>
      <c r="I17" s="20">
        <f t="shared" ref="I17:I25" si="0">C17+E17+G17</f>
        <v>1859622.9200000002</v>
      </c>
      <c r="K17" s="20">
        <f t="shared" ref="K17:K25" si="1">(Q17+R17)-(S17+T17)</f>
        <v>6562</v>
      </c>
      <c r="M17" s="20">
        <f t="shared" ref="M17:M25" si="2">K17-I17/1000</f>
        <v>4702.3770800000002</v>
      </c>
      <c r="O17" s="1">
        <f>'Exhibit H,5'!C36+'Exhibit U,1'!I23-'Exhibit U,1'!I42+'Exhibit V,1'!E31</f>
        <v>1859622.92</v>
      </c>
      <c r="Q17" s="61">
        <v>9753</v>
      </c>
      <c r="R17" s="61">
        <v>566</v>
      </c>
      <c r="S17" s="61">
        <v>3627</v>
      </c>
      <c r="T17" s="61">
        <v>130</v>
      </c>
    </row>
    <row r="18" spans="1:20">
      <c r="A18" s="6">
        <f t="shared" ref="A18:A25" si="3">A17+1</f>
        <v>2013</v>
      </c>
      <c r="B18" s="6"/>
      <c r="C18" s="251">
        <f>'Exhibit H,5'!C37</f>
        <v>1325604.94</v>
      </c>
      <c r="D18" s="20"/>
      <c r="E18" s="20">
        <f>'Exhibit U,1'!I24-'Exhibit U,1'!I43</f>
        <v>0</v>
      </c>
      <c r="G18" s="20">
        <f>'Exhibit V,1'!E32</f>
        <v>2897435.36</v>
      </c>
      <c r="I18" s="20">
        <f t="shared" si="0"/>
        <v>4223040.3</v>
      </c>
      <c r="K18" s="20">
        <f t="shared" si="1"/>
        <v>6075</v>
      </c>
      <c r="M18" s="20">
        <f t="shared" si="2"/>
        <v>1851.9597000000003</v>
      </c>
      <c r="O18" s="1">
        <f>'Exhibit H,5'!C37+'Exhibit U,1'!I24-'Exhibit U,1'!I43+'Exhibit V,1'!E32</f>
        <v>4223040.3</v>
      </c>
      <c r="Q18" s="61">
        <v>6443</v>
      </c>
      <c r="R18" s="61">
        <v>155</v>
      </c>
      <c r="S18" s="61">
        <v>743</v>
      </c>
      <c r="T18" s="61">
        <v>-220</v>
      </c>
    </row>
    <row r="19" spans="1:20">
      <c r="A19" s="6">
        <f t="shared" si="3"/>
        <v>2014</v>
      </c>
      <c r="B19" s="6"/>
      <c r="C19" s="251">
        <f>'Exhibit H,5'!C38</f>
        <v>1795488.32</v>
      </c>
      <c r="D19" s="20"/>
      <c r="E19" s="20">
        <f>'Exhibit U,1'!I25-'Exhibit U,1'!I44</f>
        <v>3054565.7499999995</v>
      </c>
      <c r="G19" s="20">
        <f>'Exhibit V,1'!E33</f>
        <v>0</v>
      </c>
      <c r="I19" s="20">
        <f t="shared" si="0"/>
        <v>4850054.0699999994</v>
      </c>
      <c r="K19" s="20">
        <f t="shared" si="1"/>
        <v>4757</v>
      </c>
      <c r="M19" s="20">
        <f t="shared" si="2"/>
        <v>-93.054069999999228</v>
      </c>
      <c r="O19" s="1">
        <f>'Exhibit H,5'!C38+'Exhibit U,1'!I25-'Exhibit U,1'!I44+'Exhibit V,1'!E33</f>
        <v>4850054.07</v>
      </c>
      <c r="Q19" s="61">
        <v>8873</v>
      </c>
      <c r="R19" s="61">
        <v>524</v>
      </c>
      <c r="S19" s="61">
        <v>4423</v>
      </c>
      <c r="T19" s="61">
        <v>217</v>
      </c>
    </row>
    <row r="20" spans="1:20">
      <c r="A20" s="6">
        <f t="shared" si="3"/>
        <v>2015</v>
      </c>
      <c r="B20" s="6"/>
      <c r="C20" s="251">
        <f>'Exhibit H,5'!C39</f>
        <v>0</v>
      </c>
      <c r="D20" s="20"/>
      <c r="E20" s="20">
        <f>'Exhibit U,1'!I26-'Exhibit U,1'!I45</f>
        <v>0</v>
      </c>
      <c r="G20" s="20">
        <f>'Exhibit V,1'!E34</f>
        <v>861504.94</v>
      </c>
      <c r="I20" s="20">
        <f t="shared" si="0"/>
        <v>861504.94</v>
      </c>
      <c r="K20" s="20">
        <f t="shared" si="1"/>
        <v>1326</v>
      </c>
      <c r="M20" s="20">
        <f t="shared" si="2"/>
        <v>464.49506000000008</v>
      </c>
      <c r="O20" s="1">
        <f>'Exhibit H,5'!C39+'Exhibit U,1'!I26-'Exhibit U,1'!I45+'Exhibit V,1'!E34</f>
        <v>861504.94</v>
      </c>
      <c r="Q20" s="61">
        <v>1250</v>
      </c>
      <c r="R20" s="61">
        <v>76</v>
      </c>
      <c r="S20" s="61">
        <v>0</v>
      </c>
      <c r="T20" s="61">
        <v>0</v>
      </c>
    </row>
    <row r="21" spans="1:20">
      <c r="A21" s="6">
        <f t="shared" si="3"/>
        <v>2016</v>
      </c>
      <c r="B21" s="6"/>
      <c r="C21" s="251">
        <f>'Exhibit H,5'!C40</f>
        <v>0</v>
      </c>
      <c r="D21" s="20"/>
      <c r="E21" s="20">
        <f>'Exhibit U,1'!I27-'Exhibit U,1'!I46</f>
        <v>0</v>
      </c>
      <c r="G21" s="20">
        <f>'Exhibit V,1'!E35</f>
        <v>0</v>
      </c>
      <c r="I21" s="20">
        <f t="shared" si="0"/>
        <v>0</v>
      </c>
      <c r="K21" s="20">
        <f t="shared" si="1"/>
        <v>4674</v>
      </c>
      <c r="M21" s="20">
        <f t="shared" si="2"/>
        <v>4674</v>
      </c>
      <c r="O21" s="1">
        <f>'Exhibit H,5'!C40+'Exhibit U,1'!I27-'Exhibit U,1'!I46+'Exhibit V,1'!E35</f>
        <v>0</v>
      </c>
      <c r="Q21" s="61">
        <v>5802</v>
      </c>
      <c r="R21" s="61">
        <v>339</v>
      </c>
      <c r="S21" s="61">
        <v>1400</v>
      </c>
      <c r="T21" s="61">
        <v>67</v>
      </c>
    </row>
    <row r="22" spans="1:20">
      <c r="A22" s="6">
        <f t="shared" si="3"/>
        <v>2017</v>
      </c>
      <c r="B22" s="6"/>
      <c r="C22" s="251">
        <f>'Exhibit H,5'!C41</f>
        <v>1875.87</v>
      </c>
      <c r="D22" s="20"/>
      <c r="E22" s="20">
        <f>'Exhibit U,1'!I28-'Exhibit U,1'!I47</f>
        <v>0</v>
      </c>
      <c r="G22" s="20">
        <f>'Exhibit V,1'!E36</f>
        <v>0</v>
      </c>
      <c r="I22" s="20">
        <f t="shared" si="0"/>
        <v>1875.87</v>
      </c>
      <c r="K22" s="20">
        <f t="shared" si="1"/>
        <v>0</v>
      </c>
      <c r="M22" s="20">
        <f t="shared" si="2"/>
        <v>-1.8758699999999999</v>
      </c>
      <c r="O22" s="1">
        <f>'Exhibit H,5'!C41+'Exhibit U,1'!I28-'Exhibit U,1'!I47+'Exhibit V,1'!E36</f>
        <v>1875.8699999999953</v>
      </c>
      <c r="Q22" s="61">
        <v>245</v>
      </c>
      <c r="R22" s="61">
        <v>9</v>
      </c>
      <c r="S22" s="61">
        <v>245</v>
      </c>
      <c r="T22" s="61">
        <v>9</v>
      </c>
    </row>
    <row r="23" spans="1:20">
      <c r="A23" s="6">
        <f t="shared" si="3"/>
        <v>2018</v>
      </c>
      <c r="B23" s="6"/>
      <c r="C23" s="251">
        <f>'Exhibit H,5'!C42</f>
        <v>592996.41</v>
      </c>
      <c r="D23" s="20"/>
      <c r="E23" s="20">
        <f>'Exhibit U,1'!I29-'Exhibit U,1'!I48</f>
        <v>0</v>
      </c>
      <c r="G23" s="20">
        <f>'Exhibit V,1'!E37</f>
        <v>191.93999999994412</v>
      </c>
      <c r="I23" s="20">
        <f t="shared" si="0"/>
        <v>593188.35</v>
      </c>
      <c r="K23" s="20">
        <f t="shared" si="1"/>
        <v>0</v>
      </c>
      <c r="M23" s="20">
        <f t="shared" si="2"/>
        <v>-593.18835000000001</v>
      </c>
      <c r="O23" s="1">
        <f>'Exhibit H,5'!C42+'Exhibit U,1'!I29-'Exhibit U,1'!I48+'Exhibit V,1'!E37</f>
        <v>593188.35</v>
      </c>
      <c r="Q23" s="61">
        <v>0</v>
      </c>
      <c r="R23" s="61">
        <v>0</v>
      </c>
      <c r="S23" s="61">
        <v>0</v>
      </c>
      <c r="T23" s="61">
        <v>0</v>
      </c>
    </row>
    <row r="24" spans="1:20">
      <c r="A24" s="6">
        <f t="shared" si="3"/>
        <v>2019</v>
      </c>
      <c r="B24" s="6"/>
      <c r="C24" s="251">
        <f>'Exhibit H,5'!C43</f>
        <v>0</v>
      </c>
      <c r="D24" s="20"/>
      <c r="E24" s="20">
        <f>'Exhibit U,1'!I30-'Exhibit U,1'!I49</f>
        <v>0</v>
      </c>
      <c r="G24" s="20">
        <f>'Exhibit V,1'!E38</f>
        <v>0</v>
      </c>
      <c r="I24" s="20">
        <f t="shared" si="0"/>
        <v>0</v>
      </c>
      <c r="K24" s="20">
        <f t="shared" si="1"/>
        <v>0</v>
      </c>
      <c r="M24" s="20">
        <f t="shared" si="2"/>
        <v>0</v>
      </c>
      <c r="O24" s="1">
        <f>'Exhibit H,5'!C43+'Exhibit U,1'!I30-'Exhibit U,1'!I49+'Exhibit V,1'!E38</f>
        <v>0</v>
      </c>
      <c r="Q24" s="61">
        <v>26</v>
      </c>
      <c r="R24" s="61">
        <v>1</v>
      </c>
      <c r="S24" s="61">
        <v>26</v>
      </c>
      <c r="T24" s="61">
        <v>1</v>
      </c>
    </row>
    <row r="25" spans="1:20">
      <c r="A25" s="6">
        <f t="shared" si="3"/>
        <v>2020</v>
      </c>
      <c r="B25" s="6"/>
      <c r="C25" s="251">
        <f>'Exhibit H,5'!C44</f>
        <v>0</v>
      </c>
      <c r="D25" s="20"/>
      <c r="E25" s="20">
        <f>'Exhibit U,1'!I31-'Exhibit U,1'!I50</f>
        <v>0</v>
      </c>
      <c r="G25" s="20">
        <f>'Exhibit V,1'!E39</f>
        <v>0</v>
      </c>
      <c r="I25" s="20">
        <f t="shared" si="0"/>
        <v>0</v>
      </c>
      <c r="K25" s="20">
        <f t="shared" si="1"/>
        <v>0</v>
      </c>
      <c r="M25" s="20">
        <f t="shared" si="2"/>
        <v>0</v>
      </c>
      <c r="O25" s="1">
        <f>'Exhibit H,5'!C44+'Exhibit U,1'!I31-'Exhibit U,1'!I50+'Exhibit V,1'!E39</f>
        <v>0</v>
      </c>
      <c r="Q25" s="61">
        <v>0</v>
      </c>
      <c r="R25" s="61">
        <v>0</v>
      </c>
      <c r="S25" s="61">
        <v>0</v>
      </c>
      <c r="T25" s="61">
        <v>0</v>
      </c>
    </row>
    <row r="26" spans="1:20">
      <c r="A26" s="6"/>
      <c r="B26" s="6"/>
      <c r="C26" s="105"/>
      <c r="E26" s="105"/>
      <c r="G26" s="105"/>
      <c r="I26" s="105"/>
      <c r="K26" s="105"/>
      <c r="M26" s="105"/>
      <c r="O26" s="1">
        <f>'Exhibit H,5'!C45+'Exhibit U,1'!I32-'Exhibit U,1'!I51+'Exhibit V,1'!E41</f>
        <v>0</v>
      </c>
      <c r="Q26" s="61"/>
      <c r="R26" s="61"/>
      <c r="S26" s="61"/>
      <c r="T26" s="61"/>
    </row>
    <row r="27" spans="1:20">
      <c r="A27" s="6" t="s">
        <v>0</v>
      </c>
      <c r="B27" s="6"/>
      <c r="C27" s="19">
        <f>SUM(C16:C26)</f>
        <v>11120934.59</v>
      </c>
      <c r="E27" s="19">
        <f>SUM(E16:E26)</f>
        <v>3584613.5999999996</v>
      </c>
      <c r="F27" s="19"/>
      <c r="G27" s="19">
        <f>SUM(G16:G26)</f>
        <v>3759132.2399999998</v>
      </c>
      <c r="H27" s="19"/>
      <c r="I27" s="19">
        <f>SUM(I16:I26)</f>
        <v>18464680.430000003</v>
      </c>
      <c r="K27" s="19">
        <f>SUM(K16:K26)</f>
        <v>25630</v>
      </c>
      <c r="M27" s="19">
        <f>SUM(M16:M26)</f>
        <v>7165.3195700000006</v>
      </c>
      <c r="Q27" s="61">
        <f>SUM(Q16:Q26)</f>
        <v>34500</v>
      </c>
      <c r="R27" s="61">
        <f>SUM(R16:R26)</f>
        <v>1892</v>
      </c>
      <c r="S27" s="61">
        <f>SUM(S16:S26)</f>
        <v>10552</v>
      </c>
      <c r="T27" s="61">
        <f>SUM(T16:T26)</f>
        <v>210</v>
      </c>
    </row>
    <row r="28" spans="1:20">
      <c r="B28" s="6"/>
      <c r="E28" s="26"/>
      <c r="G28" s="26"/>
    </row>
    <row r="31" spans="1:20">
      <c r="A31" s="3" t="s">
        <v>261</v>
      </c>
      <c r="B31" s="6"/>
      <c r="I31" s="252"/>
    </row>
    <row r="32" spans="1:20">
      <c r="A32" s="6">
        <f>2011</f>
        <v>2011</v>
      </c>
      <c r="B32" s="6"/>
      <c r="C32" s="19">
        <f>'Exhibit H,4'!C35</f>
        <v>6075393.9799999986</v>
      </c>
      <c r="D32" s="19"/>
      <c r="E32" s="19">
        <f>'Exhibit U,2'!I22-'Exhibit U,2'!I41</f>
        <v>0</v>
      </c>
      <c r="G32" s="19">
        <f>'Exhibit V,1'!G30</f>
        <v>0</v>
      </c>
      <c r="H32" s="19"/>
      <c r="I32" s="19">
        <f>C32+E32+G32</f>
        <v>6075393.9799999986</v>
      </c>
      <c r="J32" s="19"/>
      <c r="K32" s="19">
        <f>K16+(Q32+R32)-(S32+T32)</f>
        <v>2236</v>
      </c>
      <c r="L32" s="19"/>
      <c r="M32" s="19">
        <f>K32-I32/1000</f>
        <v>-3839.3939799999989</v>
      </c>
      <c r="O32" s="1">
        <f>'Exhibit H,4'!C35+'Exhibit U,2'!I22-'Exhibit U,2'!I41+'Exhibit V,1'!G30</f>
        <v>6075393.9799999986</v>
      </c>
      <c r="Q32" s="61">
        <v>0</v>
      </c>
      <c r="R32" s="61">
        <v>0</v>
      </c>
      <c r="S32" s="61">
        <v>0</v>
      </c>
      <c r="T32" s="61">
        <v>0</v>
      </c>
    </row>
    <row r="33" spans="1:20">
      <c r="A33" s="6">
        <f>A32+1</f>
        <v>2012</v>
      </c>
      <c r="C33" s="20">
        <f>'Exhibit H,4'!C36</f>
        <v>1329575.0700000003</v>
      </c>
      <c r="D33" s="20"/>
      <c r="E33" s="20">
        <f>'Exhibit U,2'!I23-'Exhibit U,2'!I42</f>
        <v>530047.85000000009</v>
      </c>
      <c r="G33" s="20">
        <f>'Exhibit V,1'!G31</f>
        <v>0</v>
      </c>
      <c r="I33" s="20">
        <f t="shared" ref="I33:I41" si="4">C33+E33+G33</f>
        <v>1859622.9200000004</v>
      </c>
      <c r="K33" s="20">
        <f t="shared" ref="K33:K41" si="5">K17+(Q33+R33)-(S33+T33)</f>
        <v>7127</v>
      </c>
      <c r="M33" s="20">
        <f t="shared" ref="M33:M41" si="6">K33-I33/1000</f>
        <v>5267.3770799999993</v>
      </c>
      <c r="Q33" s="61">
        <v>500</v>
      </c>
      <c r="R33" s="61">
        <v>65</v>
      </c>
      <c r="S33" s="61">
        <v>0</v>
      </c>
      <c r="T33" s="61">
        <v>0</v>
      </c>
    </row>
    <row r="34" spans="1:20">
      <c r="A34" s="6">
        <f t="shared" ref="A34:A41" si="7">A33+1</f>
        <v>2013</v>
      </c>
      <c r="B34" s="6"/>
      <c r="C34" s="20">
        <f>'Exhibit H,4'!C37</f>
        <v>1325604.9400000013</v>
      </c>
      <c r="D34" s="20"/>
      <c r="E34" s="20">
        <f>'Exhibit U,2'!I24-'Exhibit U,2'!I43</f>
        <v>0</v>
      </c>
      <c r="G34" s="20">
        <f>'Exhibit V,1'!G32</f>
        <v>2897435.3600000003</v>
      </c>
      <c r="I34" s="20">
        <f t="shared" si="4"/>
        <v>4223040.3000000017</v>
      </c>
      <c r="K34" s="20">
        <f t="shared" si="5"/>
        <v>6075</v>
      </c>
      <c r="M34" s="20">
        <f t="shared" si="6"/>
        <v>1851.9596999999985</v>
      </c>
      <c r="Q34" s="61">
        <v>750</v>
      </c>
      <c r="R34" s="61">
        <v>58</v>
      </c>
      <c r="S34" s="61">
        <v>750</v>
      </c>
      <c r="T34" s="61">
        <v>58</v>
      </c>
    </row>
    <row r="35" spans="1:20">
      <c r="A35" s="6">
        <f t="shared" si="7"/>
        <v>2014</v>
      </c>
      <c r="B35" s="6"/>
      <c r="C35" s="20">
        <f>'Exhibit H,4'!C38</f>
        <v>2347702.3199999984</v>
      </c>
      <c r="D35" s="20"/>
      <c r="E35" s="20">
        <f>'Exhibit U,2'!I25-'Exhibit U,2'!I44</f>
        <v>3054565.75</v>
      </c>
      <c r="G35" s="20">
        <f>'Exhibit V,1'!G33</f>
        <v>0</v>
      </c>
      <c r="I35" s="20">
        <f t="shared" si="4"/>
        <v>5402268.0699999984</v>
      </c>
      <c r="K35" s="20">
        <f t="shared" si="5"/>
        <v>4757</v>
      </c>
      <c r="M35" s="20">
        <f t="shared" si="6"/>
        <v>-645.26806999999826</v>
      </c>
      <c r="Q35" s="61">
        <v>0</v>
      </c>
      <c r="R35" s="61">
        <v>0</v>
      </c>
      <c r="S35" s="61"/>
      <c r="T35" s="61">
        <v>0</v>
      </c>
    </row>
    <row r="36" spans="1:20">
      <c r="A36" s="6">
        <f t="shared" si="7"/>
        <v>2015</v>
      </c>
      <c r="B36" s="6"/>
      <c r="C36" s="20">
        <f>'Exhibit H,4'!C39</f>
        <v>220160</v>
      </c>
      <c r="D36" s="20"/>
      <c r="E36" s="20">
        <f>'Exhibit U,2'!I26-'Exhibit U,2'!I45</f>
        <v>0</v>
      </c>
      <c r="G36" s="20">
        <f>'Exhibit V,1'!G34</f>
        <v>861504.93999999971</v>
      </c>
      <c r="I36" s="20">
        <f t="shared" si="4"/>
        <v>1081664.9399999997</v>
      </c>
      <c r="K36" s="20">
        <f t="shared" si="5"/>
        <v>1326</v>
      </c>
      <c r="M36" s="20">
        <f t="shared" si="6"/>
        <v>244.33506000000034</v>
      </c>
      <c r="Q36" s="61">
        <v>0</v>
      </c>
      <c r="R36" s="61">
        <v>0</v>
      </c>
      <c r="S36" s="61"/>
      <c r="T36" s="61">
        <v>0</v>
      </c>
    </row>
    <row r="37" spans="1:20">
      <c r="A37" s="6">
        <f t="shared" si="7"/>
        <v>2016</v>
      </c>
      <c r="B37" s="6"/>
      <c r="C37" s="20">
        <f>'Exhibit H,4'!C40</f>
        <v>2000000</v>
      </c>
      <c r="D37" s="20"/>
      <c r="E37" s="20">
        <f>'Exhibit U,2'!I27-'Exhibit U,2'!I46</f>
        <v>0</v>
      </c>
      <c r="G37" s="20">
        <f>'Exhibit V,1'!G35</f>
        <v>0</v>
      </c>
      <c r="I37" s="20">
        <f t="shared" si="4"/>
        <v>2000000</v>
      </c>
      <c r="K37" s="20">
        <f t="shared" si="5"/>
        <v>5226</v>
      </c>
      <c r="M37" s="20">
        <f t="shared" si="6"/>
        <v>3226</v>
      </c>
      <c r="Q37" s="61">
        <v>2835</v>
      </c>
      <c r="R37" s="61">
        <v>175</v>
      </c>
      <c r="S37" s="61">
        <v>2325</v>
      </c>
      <c r="T37" s="61">
        <v>133</v>
      </c>
    </row>
    <row r="38" spans="1:20">
      <c r="A38" s="6">
        <f t="shared" si="7"/>
        <v>2017</v>
      </c>
      <c r="B38" s="6"/>
      <c r="C38" s="20">
        <f>'Exhibit H,4'!C41</f>
        <v>194376.86999999918</v>
      </c>
      <c r="D38" s="20"/>
      <c r="E38" s="20">
        <f>'Exhibit U,2'!I28-'Exhibit U,2'!I47</f>
        <v>0</v>
      </c>
      <c r="G38" s="20">
        <f>'Exhibit V,1'!G36</f>
        <v>0</v>
      </c>
      <c r="I38" s="20">
        <f t="shared" si="4"/>
        <v>194376.86999999918</v>
      </c>
      <c r="K38" s="20">
        <f t="shared" si="5"/>
        <v>840</v>
      </c>
      <c r="M38" s="20">
        <f t="shared" si="6"/>
        <v>645.62313000000086</v>
      </c>
      <c r="Q38" s="61">
        <v>800</v>
      </c>
      <c r="R38" s="61">
        <v>40</v>
      </c>
      <c r="S38" s="61"/>
      <c r="T38" s="61">
        <v>0</v>
      </c>
    </row>
    <row r="39" spans="1:20">
      <c r="A39" s="6">
        <f t="shared" si="7"/>
        <v>2018</v>
      </c>
      <c r="B39" s="6"/>
      <c r="C39" s="20">
        <f>'Exhibit H,4'!C42</f>
        <v>592996.41000000015</v>
      </c>
      <c r="D39" s="20"/>
      <c r="E39" s="20">
        <f>'Exhibit U,2'!I29-'Exhibit U,2'!I48</f>
        <v>0</v>
      </c>
      <c r="G39" s="20">
        <f>'Exhibit V,1'!G37</f>
        <v>634566.93999999994</v>
      </c>
      <c r="I39" s="20">
        <f t="shared" si="4"/>
        <v>1227563.3500000001</v>
      </c>
      <c r="K39" s="20">
        <f t="shared" si="5"/>
        <v>0</v>
      </c>
      <c r="M39" s="20">
        <f t="shared" si="6"/>
        <v>-1227.5633500000001</v>
      </c>
      <c r="Q39" s="61">
        <v>0</v>
      </c>
      <c r="R39" s="61">
        <v>0</v>
      </c>
      <c r="S39" s="61"/>
      <c r="T39" s="61">
        <v>0</v>
      </c>
    </row>
    <row r="40" spans="1:20">
      <c r="A40" s="6">
        <f t="shared" si="7"/>
        <v>2019</v>
      </c>
      <c r="B40" s="6"/>
      <c r="C40" s="20">
        <f>'Exhibit H,4'!C43</f>
        <v>0</v>
      </c>
      <c r="D40" s="20"/>
      <c r="E40" s="20">
        <f>'Exhibit U,2'!I30-'Exhibit U,2'!I49</f>
        <v>0</v>
      </c>
      <c r="G40" s="20">
        <f>'Exhibit V,1'!G38</f>
        <v>378808</v>
      </c>
      <c r="I40" s="20">
        <f t="shared" si="4"/>
        <v>378808</v>
      </c>
      <c r="K40" s="20">
        <f t="shared" si="5"/>
        <v>0</v>
      </c>
      <c r="M40" s="20">
        <f t="shared" si="6"/>
        <v>-378.80799999999999</v>
      </c>
      <c r="Q40" s="61">
        <v>88</v>
      </c>
      <c r="R40" s="61">
        <v>7</v>
      </c>
      <c r="S40" s="61">
        <v>88</v>
      </c>
      <c r="T40" s="61">
        <v>7</v>
      </c>
    </row>
    <row r="41" spans="1:20">
      <c r="A41" s="6">
        <f t="shared" si="7"/>
        <v>2020</v>
      </c>
      <c r="B41" s="6"/>
      <c r="C41" s="20">
        <f>'Exhibit H,4'!C44</f>
        <v>0</v>
      </c>
      <c r="D41" s="20"/>
      <c r="E41" s="20">
        <f>'Exhibit U,2'!I31-'Exhibit U,2'!I50</f>
        <v>0</v>
      </c>
      <c r="G41" s="20">
        <f>'Exhibit V,1'!G39</f>
        <v>770350</v>
      </c>
      <c r="I41" s="20">
        <f t="shared" si="4"/>
        <v>770350</v>
      </c>
      <c r="K41" s="20">
        <f t="shared" si="5"/>
        <v>0</v>
      </c>
      <c r="M41" s="20">
        <f t="shared" si="6"/>
        <v>-770.35</v>
      </c>
      <c r="Q41" s="61">
        <v>0</v>
      </c>
      <c r="R41" s="61">
        <v>0</v>
      </c>
      <c r="S41" s="61"/>
      <c r="T41" s="61">
        <v>0</v>
      </c>
    </row>
    <row r="42" spans="1:20">
      <c r="A42" s="6"/>
      <c r="B42" s="6"/>
      <c r="C42" s="105"/>
      <c r="E42" s="105"/>
      <c r="G42" s="105"/>
      <c r="I42" s="105"/>
      <c r="K42" s="105"/>
      <c r="M42" s="105"/>
    </row>
    <row r="43" spans="1:20">
      <c r="A43" s="6" t="s">
        <v>0</v>
      </c>
      <c r="B43" s="6"/>
      <c r="C43" s="19">
        <f>SUM(C32:C42)</f>
        <v>14085809.589999998</v>
      </c>
      <c r="E43" s="19">
        <f>SUM(E32:E42)</f>
        <v>3584613.6</v>
      </c>
      <c r="F43" s="19"/>
      <c r="G43" s="236">
        <f>SUM(G32:G42)</f>
        <v>5542665.2400000002</v>
      </c>
      <c r="H43" s="19"/>
      <c r="I43" s="19">
        <f>SUM(I32:I42)</f>
        <v>23213088.43</v>
      </c>
      <c r="K43" s="19">
        <f>SUM(K32:K42)</f>
        <v>27587</v>
      </c>
      <c r="M43" s="19">
        <f>SUM(M32:M42)</f>
        <v>4373.9115700000011</v>
      </c>
      <c r="Q43" s="61">
        <f>SUM(Q32:Q42)</f>
        <v>4973</v>
      </c>
      <c r="R43" s="61">
        <f>SUM(R32:R42)</f>
        <v>345</v>
      </c>
      <c r="S43" s="61">
        <f>SUM(S32:S42)</f>
        <v>3163</v>
      </c>
      <c r="T43" s="61">
        <f>SUM(T32:T42)</f>
        <v>198</v>
      </c>
    </row>
    <row r="48" spans="1:20">
      <c r="A48" s="52" t="s">
        <v>104</v>
      </c>
      <c r="C48" s="3" t="s">
        <v>266</v>
      </c>
    </row>
    <row r="49" spans="1:3">
      <c r="A49" s="64" t="s">
        <v>36</v>
      </c>
      <c r="C49" s="3" t="s">
        <v>948</v>
      </c>
    </row>
    <row r="50" spans="1:3">
      <c r="A50" s="64" t="s">
        <v>38</v>
      </c>
      <c r="B50" s="52"/>
      <c r="C50" s="3" t="s">
        <v>949</v>
      </c>
    </row>
    <row r="51" spans="1:3">
      <c r="A51" s="64" t="s">
        <v>40</v>
      </c>
      <c r="C51" s="3" t="s">
        <v>229</v>
      </c>
    </row>
    <row r="52" spans="1:3">
      <c r="A52" s="64" t="s">
        <v>42</v>
      </c>
      <c r="B52" s="52"/>
      <c r="C52" s="3" t="s">
        <v>698</v>
      </c>
    </row>
    <row r="53" spans="1:3">
      <c r="A53" s="64" t="s">
        <v>30</v>
      </c>
      <c r="C53" s="3" t="s">
        <v>360</v>
      </c>
    </row>
    <row r="54" spans="1:3">
      <c r="B54" s="52"/>
    </row>
  </sheetData>
  <printOptions horizontalCentered="1" verticalCentered="1"/>
  <pageMargins left="0.75" right="0.75" top="1" bottom="1" header="0.5" footer="0.5"/>
  <pageSetup scale="79" orientation="portrait" blackAndWhite="1" r:id="rId1"/>
  <headerFooter alignWithMargins="0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0-000000000000}">
  <sheetPr codeName="Sheet55">
    <tabColor rgb="FFFF0000"/>
    <pageSetUpPr fitToPage="1"/>
  </sheetPr>
  <dimension ref="A1:R60"/>
  <sheetViews>
    <sheetView zoomScale="75" zoomScaleNormal="75" workbookViewId="0">
      <selection activeCell="A33" sqref="A33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0.7109375" style="1" customWidth="1"/>
    <col min="6" max="6" width="1.7109375" style="1" customWidth="1"/>
    <col min="7" max="7" width="10.7109375" style="1" customWidth="1"/>
    <col min="8" max="8" width="1.7109375" style="1" customWidth="1"/>
    <col min="9" max="9" width="10.7109375" style="1" customWidth="1"/>
    <col min="10" max="10" width="1.7109375" style="1" customWidth="1"/>
    <col min="11" max="11" width="11.28515625" style="1" bestFit="1" customWidth="1"/>
    <col min="12" max="12" width="1.7109375" style="1" customWidth="1"/>
    <col min="13" max="13" width="10.7109375" style="1" customWidth="1"/>
    <col min="14" max="14" width="1.7109375" style="1" customWidth="1"/>
    <col min="15" max="15" width="10.7109375" style="1" customWidth="1"/>
    <col min="16" max="16384" width="8.7109375" style="1"/>
  </cols>
  <sheetData>
    <row r="1" spans="1:18">
      <c r="O1" s="64" t="s">
        <v>939</v>
      </c>
    </row>
    <row r="2" spans="1:18">
      <c r="O2" s="52" t="s">
        <v>66</v>
      </c>
    </row>
    <row r="4" spans="1:18" ht="16">
      <c r="A4" s="4" t="s">
        <v>872</v>
      </c>
      <c r="B4" s="4"/>
      <c r="C4" s="4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6" spans="1:18">
      <c r="A6" s="5" t="s">
        <v>128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</row>
    <row r="7" spans="1:18">
      <c r="A7" s="5" t="s">
        <v>894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18">
      <c r="A8" s="133" t="s">
        <v>701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</row>
    <row r="10" spans="1:18">
      <c r="A10" s="6"/>
      <c r="B10" s="6"/>
      <c r="C10" s="6"/>
      <c r="D10" s="6"/>
      <c r="H10" s="5"/>
      <c r="N10" s="249" t="s">
        <v>895</v>
      </c>
      <c r="R10" s="61"/>
    </row>
    <row r="11" spans="1:18">
      <c r="A11" s="2" t="s">
        <v>3</v>
      </c>
      <c r="B11" s="6"/>
      <c r="C11" s="6"/>
      <c r="M11" s="2" t="s">
        <v>893</v>
      </c>
      <c r="N11" s="2" t="s">
        <v>893</v>
      </c>
      <c r="O11" s="2" t="s">
        <v>893</v>
      </c>
      <c r="P11" s="2"/>
      <c r="R11" s="61" t="s">
        <v>703</v>
      </c>
    </row>
    <row r="12" spans="1:18">
      <c r="A12" s="6" t="s">
        <v>4</v>
      </c>
      <c r="B12" s="6"/>
      <c r="C12" s="2" t="s">
        <v>19</v>
      </c>
      <c r="D12" s="6"/>
      <c r="E12" s="2" t="s">
        <v>209</v>
      </c>
      <c r="F12" s="6"/>
      <c r="G12" s="2" t="s">
        <v>259</v>
      </c>
      <c r="H12" s="6"/>
      <c r="I12" s="107" t="s">
        <v>287</v>
      </c>
      <c r="J12" s="6"/>
      <c r="K12" s="107" t="s">
        <v>0</v>
      </c>
      <c r="M12" s="6" t="s">
        <v>132</v>
      </c>
      <c r="N12" s="6"/>
      <c r="O12" s="6" t="s">
        <v>18</v>
      </c>
      <c r="R12" s="61" t="s">
        <v>892</v>
      </c>
    </row>
    <row r="13" spans="1:18">
      <c r="A13" s="106" t="s">
        <v>27</v>
      </c>
      <c r="B13" s="6"/>
      <c r="C13" s="106" t="s">
        <v>33</v>
      </c>
      <c r="D13" s="6"/>
      <c r="E13" s="106" t="s">
        <v>36</v>
      </c>
      <c r="F13" s="6"/>
      <c r="G13" s="106" t="s">
        <v>38</v>
      </c>
      <c r="H13" s="6"/>
      <c r="I13" s="118" t="s">
        <v>40</v>
      </c>
      <c r="J13" s="6"/>
      <c r="K13" s="106" t="s">
        <v>42</v>
      </c>
      <c r="M13" s="106" t="s">
        <v>30</v>
      </c>
      <c r="N13" s="6"/>
      <c r="O13" s="118" t="s">
        <v>31</v>
      </c>
      <c r="R13" s="61"/>
    </row>
    <row r="14" spans="1:18">
      <c r="R14" s="61"/>
    </row>
    <row r="15" spans="1:18">
      <c r="A15" s="3" t="s">
        <v>260</v>
      </c>
      <c r="R15" s="61"/>
    </row>
    <row r="16" spans="1:18">
      <c r="A16" s="6">
        <f>2011</f>
        <v>2011</v>
      </c>
      <c r="B16" s="6"/>
      <c r="C16" s="250">
        <f>R16*0.95</f>
        <v>0</v>
      </c>
      <c r="E16" s="19">
        <f>'Exhibit L,3'!I35+'Exhibit M,3'!I35</f>
        <v>1991946.4100000001</v>
      </c>
      <c r="F16" s="19"/>
      <c r="G16" s="19">
        <f>'Exhibit U,1'!K22</f>
        <v>15118983.609999998</v>
      </c>
      <c r="H16" s="19"/>
      <c r="I16" s="19">
        <f>'Exhibit V,1'!U16</f>
        <v>0</v>
      </c>
      <c r="J16" s="19"/>
      <c r="K16" s="19">
        <f>E16+G16+I16-C16</f>
        <v>17110930.019999996</v>
      </c>
      <c r="L16" s="19"/>
      <c r="M16" s="19">
        <f>'Exhibit S,1 OLD'!U16+'Exhibit S,1 OLD'!V16</f>
        <v>6695</v>
      </c>
      <c r="N16" s="19"/>
      <c r="O16" s="19">
        <f>M16-K16/1000</f>
        <v>-10415.930019999996</v>
      </c>
      <c r="P16" s="1">
        <v>2012</v>
      </c>
      <c r="R16" s="61">
        <f>-'Exhibit B,3'!AU16</f>
        <v>0</v>
      </c>
    </row>
    <row r="17" spans="1:18">
      <c r="A17" s="6">
        <f>A16+1</f>
        <v>2012</v>
      </c>
      <c r="B17" s="6"/>
      <c r="C17" s="251">
        <f t="shared" ref="C17:C25" si="0">R17*0.95</f>
        <v>0</v>
      </c>
      <c r="D17" s="20"/>
      <c r="E17" s="20">
        <f>'Exhibit L,3'!I36+'Exhibit M,3'!I36</f>
        <v>543806.18000000005</v>
      </c>
      <c r="F17" s="18"/>
      <c r="G17" s="20">
        <f>'Exhibit U,1'!K23</f>
        <v>17623388.829999998</v>
      </c>
      <c r="H17" s="18"/>
      <c r="I17" s="20">
        <f>'Exhibit V,1'!U17</f>
        <v>0</v>
      </c>
      <c r="J17" s="18"/>
      <c r="K17" s="20">
        <f t="shared" ref="K17:K25" si="1">E17+G17+I17-C17</f>
        <v>18167195.009999998</v>
      </c>
      <c r="M17" s="20">
        <f>'Exhibit S,1 OLD'!U17+'Exhibit S,1 OLD'!V17</f>
        <v>16513</v>
      </c>
      <c r="O17" s="20">
        <f t="shared" ref="O17:O25" si="2">M17-K17/1000</f>
        <v>-1654.1950099999995</v>
      </c>
      <c r="R17" s="61">
        <f>-'Exhibit B,3'!AU17</f>
        <v>0</v>
      </c>
    </row>
    <row r="18" spans="1:18">
      <c r="A18" s="6">
        <f t="shared" ref="A18:A25" si="3">A17+1</f>
        <v>2013</v>
      </c>
      <c r="B18" s="6"/>
      <c r="C18" s="251">
        <f t="shared" si="0"/>
        <v>-879700</v>
      </c>
      <c r="D18" s="20"/>
      <c r="E18" s="20">
        <f>'Exhibit L,3'!I37+'Exhibit M,3'!I37</f>
        <v>651635.24</v>
      </c>
      <c r="F18" s="18"/>
      <c r="G18" s="20">
        <f>'Exhibit U,1'!K24</f>
        <v>2896938.19</v>
      </c>
      <c r="H18" s="18"/>
      <c r="I18" s="20">
        <f>'Exhibit V,1'!U18</f>
        <v>57448.476000000002</v>
      </c>
      <c r="J18" s="18"/>
      <c r="K18" s="20">
        <f t="shared" si="1"/>
        <v>4485721.9059999995</v>
      </c>
      <c r="M18" s="20">
        <f>'Exhibit S,1 OLD'!U18+'Exhibit S,1 OLD'!V18</f>
        <v>12524</v>
      </c>
      <c r="O18" s="20">
        <f t="shared" si="2"/>
        <v>8038.2780940000002</v>
      </c>
      <c r="R18" s="61">
        <f>-'Exhibit B,3'!AU18</f>
        <v>-926000</v>
      </c>
    </row>
    <row r="19" spans="1:18">
      <c r="A19" s="6">
        <f t="shared" si="3"/>
        <v>2014</v>
      </c>
      <c r="B19" s="6"/>
      <c r="C19" s="251">
        <f t="shared" si="0"/>
        <v>-9500</v>
      </c>
      <c r="D19" s="20"/>
      <c r="E19" s="20">
        <f>'Exhibit L,3'!I38+'Exhibit M,3'!I38</f>
        <v>4540014.8499999996</v>
      </c>
      <c r="F19" s="18"/>
      <c r="G19" s="20">
        <f>'Exhibit U,1'!K25</f>
        <v>6553623.2299999995</v>
      </c>
      <c r="H19" s="18"/>
      <c r="I19" s="20">
        <f>'Exhibit V,1'!U19</f>
        <v>320970.84749999997</v>
      </c>
      <c r="J19" s="18"/>
      <c r="K19" s="20">
        <f t="shared" si="1"/>
        <v>11424108.927499998</v>
      </c>
      <c r="M19" s="20">
        <f>'Exhibit S,1 OLD'!U19+'Exhibit S,1 OLD'!V19</f>
        <v>16293</v>
      </c>
      <c r="O19" s="20">
        <f t="shared" si="2"/>
        <v>4868.8910725000023</v>
      </c>
      <c r="R19" s="61">
        <f>-'Exhibit B,3'!AU19</f>
        <v>-10000</v>
      </c>
    </row>
    <row r="20" spans="1:18">
      <c r="A20" s="6">
        <f t="shared" si="3"/>
        <v>2015</v>
      </c>
      <c r="B20" s="6"/>
      <c r="C20" s="251">
        <f t="shared" si="0"/>
        <v>-502830.45900000236</v>
      </c>
      <c r="D20" s="20"/>
      <c r="E20" s="20">
        <f>'Exhibit L,3'!I39+'Exhibit M,3'!I39</f>
        <v>97119.950000000012</v>
      </c>
      <c r="F20" s="18"/>
      <c r="G20" s="20">
        <f>'Exhibit U,1'!K26</f>
        <v>6540671.2999999998</v>
      </c>
      <c r="H20" s="18"/>
      <c r="I20" s="20">
        <f>'Exhibit V,1'!U20</f>
        <v>11277703.887499999</v>
      </c>
      <c r="J20" s="18"/>
      <c r="K20" s="20">
        <f t="shared" si="1"/>
        <v>18418325.596500002</v>
      </c>
      <c r="M20" s="20">
        <f>'Exhibit S,1 OLD'!U20+'Exhibit S,1 OLD'!V20</f>
        <v>1936</v>
      </c>
      <c r="O20" s="20">
        <f t="shared" si="2"/>
        <v>-16482.325596500003</v>
      </c>
      <c r="R20" s="61">
        <f>-'Exhibit B,3'!AU20</f>
        <v>-529295.22000000253</v>
      </c>
    </row>
    <row r="21" spans="1:18">
      <c r="A21" s="6">
        <f t="shared" si="3"/>
        <v>2016</v>
      </c>
      <c r="B21" s="6"/>
      <c r="C21" s="251">
        <f t="shared" si="0"/>
        <v>-1427414.6815000004</v>
      </c>
      <c r="D21" s="20"/>
      <c r="E21" s="20">
        <f>'Exhibit L,3'!I40+'Exhibit M,3'!I40</f>
        <v>1011731.98</v>
      </c>
      <c r="F21" s="18"/>
      <c r="G21" s="20">
        <f>'Exhibit U,1'!K27</f>
        <v>1434620.3199999998</v>
      </c>
      <c r="H21" s="18"/>
      <c r="I21" s="20">
        <f>'Exhibit V,1'!U21</f>
        <v>6096433.2805000003</v>
      </c>
      <c r="J21" s="18"/>
      <c r="K21" s="20">
        <f t="shared" si="1"/>
        <v>9970200.2620000001</v>
      </c>
      <c r="M21" s="20">
        <f>'Exhibit S,1 OLD'!U21+'Exhibit S,1 OLD'!V21</f>
        <v>12209</v>
      </c>
      <c r="O21" s="20">
        <f t="shared" si="2"/>
        <v>2238.7997379999997</v>
      </c>
      <c r="R21" s="61">
        <f>-'Exhibit B,3'!AU21</f>
        <v>-1502541.7700000005</v>
      </c>
    </row>
    <row r="22" spans="1:18">
      <c r="A22" s="6">
        <f t="shared" si="3"/>
        <v>2017</v>
      </c>
      <c r="B22" s="6"/>
      <c r="C22" s="251">
        <f t="shared" si="0"/>
        <v>-4582471.4614999993</v>
      </c>
      <c r="D22" s="20"/>
      <c r="E22" s="20">
        <f>'Exhibit L,3'!I41+'Exhibit M,3'!I41</f>
        <v>1122227.6099999999</v>
      </c>
      <c r="F22" s="18"/>
      <c r="G22" s="20">
        <f>'Exhibit U,1'!K28</f>
        <v>720132.63</v>
      </c>
      <c r="H22" s="18"/>
      <c r="I22" s="20">
        <f>'Exhibit V,1'!U22</f>
        <v>6631953.1729999995</v>
      </c>
      <c r="J22" s="18"/>
      <c r="K22" s="20">
        <f t="shared" si="1"/>
        <v>13056784.874499999</v>
      </c>
      <c r="M22" s="20">
        <f>'Exhibit S,1 OLD'!U22+'Exhibit S,1 OLD'!V22</f>
        <v>2090</v>
      </c>
      <c r="O22" s="20">
        <f t="shared" si="2"/>
        <v>-10966.784874499999</v>
      </c>
      <c r="R22" s="61">
        <f>-'Exhibit B,3'!AU22</f>
        <v>-4823654.17</v>
      </c>
    </row>
    <row r="23" spans="1:18">
      <c r="A23" s="6">
        <f t="shared" si="3"/>
        <v>2018</v>
      </c>
      <c r="B23" s="6"/>
      <c r="C23" s="251">
        <f t="shared" si="0"/>
        <v>-1676747.3875</v>
      </c>
      <c r="D23" s="20"/>
      <c r="E23" s="20">
        <f>'Exhibit L,3'!I42+'Exhibit M,3'!I42</f>
        <v>568134.42000000004</v>
      </c>
      <c r="F23" s="18"/>
      <c r="G23" s="20">
        <f>'Exhibit U,1'!K29</f>
        <v>289419.82</v>
      </c>
      <c r="H23" s="18"/>
      <c r="I23" s="20">
        <f>'Exhibit V,1'!U23</f>
        <v>5861905.8875000002</v>
      </c>
      <c r="J23" s="18"/>
      <c r="K23" s="20">
        <f t="shared" si="1"/>
        <v>8396207.5150000006</v>
      </c>
      <c r="M23" s="20">
        <f>'Exhibit S,1 OLD'!U23+'Exhibit S,1 OLD'!V23</f>
        <v>4413</v>
      </c>
      <c r="O23" s="20">
        <f t="shared" si="2"/>
        <v>-3983.2075150000001</v>
      </c>
      <c r="R23" s="61">
        <f>-'Exhibit B,3'!AU23</f>
        <v>-1764997.25</v>
      </c>
    </row>
    <row r="24" spans="1:18">
      <c r="A24" s="6">
        <f t="shared" si="3"/>
        <v>2019</v>
      </c>
      <c r="B24" s="6"/>
      <c r="C24" s="251">
        <f t="shared" si="0"/>
        <v>-102106.94049999998</v>
      </c>
      <c r="D24" s="20"/>
      <c r="E24" s="20">
        <f>'Exhibit L,3'!I43+'Exhibit M,3'!I43</f>
        <v>11426.5</v>
      </c>
      <c r="F24" s="18"/>
      <c r="G24" s="20">
        <f>'Exhibit U,1'!K30</f>
        <v>17823.86</v>
      </c>
      <c r="H24" s="18"/>
      <c r="I24" s="20">
        <f>'Exhibit V,1'!U24</f>
        <v>149356.397</v>
      </c>
      <c r="J24" s="18"/>
      <c r="K24" s="20">
        <f t="shared" si="1"/>
        <v>280713.69749999995</v>
      </c>
      <c r="M24" s="20">
        <f>'Exhibit S,1 OLD'!U24+'Exhibit S,1 OLD'!V24</f>
        <v>2538</v>
      </c>
      <c r="O24" s="20">
        <f t="shared" si="2"/>
        <v>2257.2863025000001</v>
      </c>
      <c r="R24" s="61">
        <f>-'Exhibit B,3'!AU24</f>
        <v>-107480.98999999999</v>
      </c>
    </row>
    <row r="25" spans="1:18">
      <c r="A25" s="6">
        <f t="shared" si="3"/>
        <v>2020</v>
      </c>
      <c r="B25" s="6"/>
      <c r="C25" s="251">
        <f t="shared" si="0"/>
        <v>-133950</v>
      </c>
      <c r="D25" s="20"/>
      <c r="E25" s="20">
        <f>'Exhibit L,3'!I44+'Exhibit M,3'!I44</f>
        <v>2950</v>
      </c>
      <c r="F25" s="18"/>
      <c r="G25" s="20">
        <f>'Exhibit U,1'!K31</f>
        <v>4500</v>
      </c>
      <c r="H25" s="18"/>
      <c r="I25" s="20">
        <f>'Exhibit V,1'!U25</f>
        <v>2706.6545000000001</v>
      </c>
      <c r="J25" s="18"/>
      <c r="K25" s="20">
        <f t="shared" si="1"/>
        <v>144106.6545</v>
      </c>
      <c r="M25" s="20">
        <f>'Exhibit S,1 OLD'!U25+'Exhibit S,1 OLD'!V25</f>
        <v>51</v>
      </c>
      <c r="O25" s="20">
        <f t="shared" si="2"/>
        <v>-93.106654499999991</v>
      </c>
      <c r="R25" s="61">
        <f>-'Exhibit B,3'!AU25</f>
        <v>-141000</v>
      </c>
    </row>
    <row r="26" spans="1:18">
      <c r="A26" s="6"/>
      <c r="B26" s="6"/>
      <c r="C26" s="105"/>
      <c r="E26" s="105"/>
      <c r="G26" s="105"/>
      <c r="I26" s="105"/>
      <c r="K26" s="105"/>
      <c r="M26" s="105"/>
      <c r="O26" s="105"/>
      <c r="R26" s="61"/>
    </row>
    <row r="27" spans="1:18">
      <c r="A27" s="6" t="s">
        <v>0</v>
      </c>
      <c r="B27" s="6"/>
      <c r="C27" s="19">
        <f>SUM(C16:C26)</f>
        <v>-9314720.9300000016</v>
      </c>
      <c r="E27" s="19">
        <f>SUM(E16:E26)</f>
        <v>10540993.139999999</v>
      </c>
      <c r="F27" s="19"/>
      <c r="G27" s="236">
        <f>SUM(G16:G26)</f>
        <v>51200101.789999992</v>
      </c>
      <c r="H27" s="19"/>
      <c r="I27" s="19">
        <f>SUM(I16:I26)</f>
        <v>30398478.603499997</v>
      </c>
      <c r="K27" s="19">
        <f>SUM(K16:K26)</f>
        <v>101454294.46349998</v>
      </c>
      <c r="M27" s="19">
        <f>SUM(M16:M26)</f>
        <v>75262</v>
      </c>
      <c r="O27" s="26">
        <v>-1.0281479999990211</v>
      </c>
    </row>
    <row r="28" spans="1:18">
      <c r="G28" s="26"/>
    </row>
    <row r="29" spans="1:18">
      <c r="B29" s="6"/>
    </row>
    <row r="31" spans="1:18">
      <c r="A31" s="3" t="s">
        <v>261</v>
      </c>
      <c r="B31" s="6"/>
      <c r="K31" s="252"/>
    </row>
    <row r="32" spans="1:18">
      <c r="A32" s="6">
        <f>2011</f>
        <v>2011</v>
      </c>
      <c r="B32" s="6"/>
      <c r="C32" s="19">
        <f>C16</f>
        <v>0</v>
      </c>
      <c r="E32" s="19">
        <f>'Exhibit L,2'!I35+'Exhibit M,2'!I35</f>
        <v>1991946.4100000001</v>
      </c>
      <c r="F32" s="19"/>
      <c r="G32" s="19">
        <f>'Exhibit U,2'!K22</f>
        <v>17358241.969999999</v>
      </c>
      <c r="H32" s="19"/>
      <c r="I32" s="19">
        <f>'Exhibit V,1'!W16</f>
        <v>0</v>
      </c>
      <c r="J32" s="19"/>
      <c r="K32" s="19">
        <f>E32+G32+I32-C32</f>
        <v>19350188.379999999</v>
      </c>
      <c r="L32" s="19"/>
      <c r="M32" s="19">
        <f>M16+'Exhibit S,1 OLD'!U32+'Exhibit S,1 OLD'!V32</f>
        <v>7243</v>
      </c>
      <c r="N32" s="19"/>
      <c r="O32" s="19">
        <f>M32-K32/1000</f>
        <v>-12107.18838</v>
      </c>
      <c r="P32" s="1">
        <v>2012</v>
      </c>
    </row>
    <row r="33" spans="1:15">
      <c r="A33" s="6">
        <f>A32+1</f>
        <v>2012</v>
      </c>
      <c r="C33" s="18">
        <f>C17</f>
        <v>0</v>
      </c>
      <c r="E33" s="20">
        <f>'Exhibit L,2'!I36+'Exhibit M,2'!I36</f>
        <v>543806.18000000005</v>
      </c>
      <c r="F33" s="20"/>
      <c r="G33" s="20">
        <f>'Exhibit U,2'!K23</f>
        <v>21041019.16</v>
      </c>
      <c r="I33" s="20">
        <f>'Exhibit V,1'!W17</f>
        <v>0</v>
      </c>
      <c r="K33" s="20">
        <f t="shared" ref="K33:K41" si="4">E33+G33+I33-C33</f>
        <v>21584825.34</v>
      </c>
      <c r="M33" s="20">
        <f>M17+'Exhibit S,1 OLD'!U33+'Exhibit S,1 OLD'!V33</f>
        <v>19401</v>
      </c>
      <c r="O33" s="20">
        <f t="shared" ref="O33:O41" si="5">M33-K33/1000</f>
        <v>-2183.8253399999994</v>
      </c>
    </row>
    <row r="34" spans="1:15">
      <c r="A34" s="6">
        <f t="shared" ref="A34:A41" si="6">A33+1</f>
        <v>2013</v>
      </c>
      <c r="B34" s="6"/>
      <c r="C34" s="18">
        <f t="shared" ref="C34:C41" si="7">C18</f>
        <v>-879700</v>
      </c>
      <c r="E34" s="20">
        <f>'Exhibit L,2'!I37+'Exhibit M,2'!I37</f>
        <v>651635.24</v>
      </c>
      <c r="F34" s="20"/>
      <c r="G34" s="20">
        <f>'Exhibit U,2'!K24</f>
        <v>3985794.1799999997</v>
      </c>
      <c r="I34" s="20">
        <f>'Exhibit V,1'!W18</f>
        <v>1045000</v>
      </c>
      <c r="K34" s="20">
        <f t="shared" si="4"/>
        <v>6562129.4199999999</v>
      </c>
      <c r="M34" s="20">
        <f>M18+'Exhibit S,1 OLD'!U34+'Exhibit S,1 OLD'!V34</f>
        <v>19472</v>
      </c>
      <c r="O34" s="20">
        <f t="shared" si="5"/>
        <v>12909.870579999999</v>
      </c>
    </row>
    <row r="35" spans="1:15">
      <c r="A35" s="6">
        <f t="shared" si="6"/>
        <v>2014</v>
      </c>
      <c r="B35" s="6"/>
      <c r="C35" s="18">
        <f t="shared" si="7"/>
        <v>-9500</v>
      </c>
      <c r="E35" s="20">
        <f>'Exhibit L,2'!I38+'Exhibit M,2'!I38</f>
        <v>4540014.8499999996</v>
      </c>
      <c r="F35" s="20"/>
      <c r="G35" s="20">
        <f>'Exhibit U,2'!K25</f>
        <v>9990093.5099999998</v>
      </c>
      <c r="I35" s="20">
        <f>'Exhibit V,1'!W19</f>
        <v>356514.14749999996</v>
      </c>
      <c r="K35" s="20">
        <f t="shared" si="4"/>
        <v>14896122.5075</v>
      </c>
      <c r="M35" s="20">
        <f>M19+'Exhibit S,1 OLD'!U35+'Exhibit S,1 OLD'!V35</f>
        <v>22676</v>
      </c>
      <c r="O35" s="20">
        <f t="shared" si="5"/>
        <v>7779.8774924999998</v>
      </c>
    </row>
    <row r="36" spans="1:15">
      <c r="A36" s="6">
        <f t="shared" si="6"/>
        <v>2015</v>
      </c>
      <c r="B36" s="6"/>
      <c r="C36" s="18">
        <f t="shared" si="7"/>
        <v>-502830.45900000236</v>
      </c>
      <c r="E36" s="20">
        <f>'Exhibit L,2'!I39+'Exhibit M,2'!I39</f>
        <v>202847.07</v>
      </c>
      <c r="F36" s="20"/>
      <c r="G36" s="20">
        <f>'Exhibit U,2'!K26</f>
        <v>8166424.1099999994</v>
      </c>
      <c r="I36" s="20">
        <f>'Exhibit V,1'!W20</f>
        <v>11777987.748</v>
      </c>
      <c r="K36" s="20">
        <f t="shared" si="4"/>
        <v>20650089.387000002</v>
      </c>
      <c r="M36" s="20">
        <f>M20+'Exhibit S,1 OLD'!U36+'Exhibit S,1 OLD'!V36</f>
        <v>4393</v>
      </c>
      <c r="O36" s="20">
        <f t="shared" si="5"/>
        <v>-16257.089387000004</v>
      </c>
    </row>
    <row r="37" spans="1:15">
      <c r="A37" s="6">
        <f t="shared" si="6"/>
        <v>2016</v>
      </c>
      <c r="B37" s="6"/>
      <c r="C37" s="18">
        <f t="shared" si="7"/>
        <v>-1427414.6815000004</v>
      </c>
      <c r="E37" s="20">
        <f>'Exhibit L,2'!I40+'Exhibit M,2'!I40</f>
        <v>1530224.19</v>
      </c>
      <c r="F37" s="20"/>
      <c r="G37" s="20">
        <f>'Exhibit U,2'!K27</f>
        <v>3244321.46</v>
      </c>
      <c r="I37" s="20">
        <f>'Exhibit V,1'!W21</f>
        <v>7861028.2699999996</v>
      </c>
      <c r="K37" s="20">
        <f t="shared" si="4"/>
        <v>14062988.601500001</v>
      </c>
      <c r="M37" s="20">
        <f>M21+'Exhibit S,1 OLD'!U37+'Exhibit S,1 OLD'!V37</f>
        <v>21675</v>
      </c>
      <c r="O37" s="20">
        <f t="shared" si="5"/>
        <v>7612.0113984999989</v>
      </c>
    </row>
    <row r="38" spans="1:15">
      <c r="A38" s="6">
        <f t="shared" si="6"/>
        <v>2017</v>
      </c>
      <c r="B38" s="6"/>
      <c r="C38" s="18">
        <f t="shared" si="7"/>
        <v>-4582471.4614999993</v>
      </c>
      <c r="E38" s="20">
        <f>'Exhibit L,2'!I41+'Exhibit M,2'!I41</f>
        <v>2428737.89</v>
      </c>
      <c r="F38" s="20"/>
      <c r="G38" s="20">
        <f>'Exhibit U,2'!K28</f>
        <v>1608117.88</v>
      </c>
      <c r="I38" s="20">
        <f>'Exhibit V,1'!W22</f>
        <v>10594277.811000001</v>
      </c>
      <c r="K38" s="20">
        <f t="shared" si="4"/>
        <v>19213605.0425</v>
      </c>
      <c r="M38" s="20">
        <f>M22+'Exhibit S,1 OLD'!U38+'Exhibit S,1 OLD'!V38</f>
        <v>4310</v>
      </c>
      <c r="O38" s="20">
        <f t="shared" si="5"/>
        <v>-14903.605042499999</v>
      </c>
    </row>
    <row r="39" spans="1:15">
      <c r="A39" s="6">
        <f t="shared" si="6"/>
        <v>2018</v>
      </c>
      <c r="B39" s="6"/>
      <c r="C39" s="18">
        <f t="shared" si="7"/>
        <v>-1676747.3875</v>
      </c>
      <c r="E39" s="20">
        <f>'Exhibit L,2'!I42+'Exhibit M,2'!I42</f>
        <v>583411.92000000004</v>
      </c>
      <c r="F39" s="20"/>
      <c r="G39" s="20">
        <f>'Exhibit U,2'!K29</f>
        <v>899244.04</v>
      </c>
      <c r="I39" s="20">
        <f>'Exhibit V,1'!W23</f>
        <v>6655817.5530000003</v>
      </c>
      <c r="K39" s="20">
        <f t="shared" si="4"/>
        <v>9815220.9004999995</v>
      </c>
      <c r="M39" s="20">
        <f>M23+'Exhibit S,1 OLD'!U39+'Exhibit S,1 OLD'!V39</f>
        <v>6447</v>
      </c>
      <c r="O39" s="20">
        <f t="shared" si="5"/>
        <v>-3368.2209005000004</v>
      </c>
    </row>
    <row r="40" spans="1:15">
      <c r="A40" s="6">
        <f t="shared" si="6"/>
        <v>2019</v>
      </c>
      <c r="B40" s="6"/>
      <c r="C40" s="18">
        <f t="shared" si="7"/>
        <v>-102106.94049999998</v>
      </c>
      <c r="E40" s="20">
        <f>'Exhibit L,2'!I43+'Exhibit M,2'!I43</f>
        <v>18712.5</v>
      </c>
      <c r="F40" s="20"/>
      <c r="G40" s="20">
        <f>'Exhibit U,2'!K30</f>
        <v>356398.98</v>
      </c>
      <c r="I40" s="20">
        <f>'Exhibit V,1'!W24</f>
        <v>409243.08049999998</v>
      </c>
      <c r="K40" s="20">
        <f t="shared" si="4"/>
        <v>886461.50099999993</v>
      </c>
      <c r="M40" s="20">
        <f>M24+'Exhibit S,1 OLD'!U40+'Exhibit S,1 OLD'!V40</f>
        <v>4611</v>
      </c>
      <c r="O40" s="20">
        <f t="shared" si="5"/>
        <v>3724.5384990000002</v>
      </c>
    </row>
    <row r="41" spans="1:15">
      <c r="A41" s="6">
        <f t="shared" si="6"/>
        <v>2020</v>
      </c>
      <c r="B41" s="6"/>
      <c r="C41" s="18">
        <f t="shared" si="7"/>
        <v>-133950</v>
      </c>
      <c r="E41" s="20">
        <f>'Exhibit L,2'!I44+'Exhibit M,2'!I44</f>
        <v>15000</v>
      </c>
      <c r="F41" s="20"/>
      <c r="G41" s="20">
        <f>'Exhibit U,2'!K31</f>
        <v>32500</v>
      </c>
      <c r="I41" s="20">
        <f>'Exhibit V,1'!W25</f>
        <v>136325</v>
      </c>
      <c r="K41" s="20">
        <f t="shared" si="4"/>
        <v>317775</v>
      </c>
      <c r="M41" s="20">
        <f>M25+'Exhibit S,1 OLD'!U41+'Exhibit S,1 OLD'!V41</f>
        <v>91</v>
      </c>
      <c r="O41" s="20">
        <f t="shared" si="5"/>
        <v>-226.77499999999998</v>
      </c>
    </row>
    <row r="42" spans="1:15">
      <c r="A42" s="6"/>
      <c r="B42" s="6"/>
      <c r="C42" s="105"/>
      <c r="E42" s="105"/>
      <c r="G42" s="105"/>
      <c r="I42" s="105"/>
      <c r="K42" s="105"/>
      <c r="M42" s="105"/>
      <c r="O42" s="105"/>
    </row>
    <row r="43" spans="1:15">
      <c r="A43" s="6" t="s">
        <v>0</v>
      </c>
      <c r="B43" s="6"/>
      <c r="C43" s="19">
        <f>SUM(C32:C42)</f>
        <v>-9314720.9300000016</v>
      </c>
      <c r="E43" s="19">
        <f>SUM(E32:E42)</f>
        <v>12506336.25</v>
      </c>
      <c r="F43" s="19"/>
      <c r="G43" s="236">
        <f>SUM(G32:G42)</f>
        <v>66682155.289999992</v>
      </c>
      <c r="H43" s="19"/>
      <c r="I43" s="19">
        <f>SUM(I32:I42)</f>
        <v>38836193.609999999</v>
      </c>
      <c r="K43" s="19">
        <f>SUM(K32:K42)</f>
        <v>127339406.08000001</v>
      </c>
      <c r="M43" s="19">
        <f>SUM(M32:M42)</f>
        <v>110319</v>
      </c>
      <c r="O43" s="19">
        <f>SUM(O32:O42)</f>
        <v>-17020.406080000008</v>
      </c>
    </row>
    <row r="50" spans="1:3">
      <c r="A50" s="52" t="s">
        <v>104</v>
      </c>
      <c r="C50" s="3" t="s">
        <v>897</v>
      </c>
    </row>
    <row r="51" spans="1:3">
      <c r="A51" s="64" t="s">
        <v>36</v>
      </c>
      <c r="C51" s="3" t="s">
        <v>267</v>
      </c>
    </row>
    <row r="52" spans="1:3">
      <c r="A52" s="64" t="s">
        <v>38</v>
      </c>
      <c r="B52" s="52"/>
      <c r="C52" s="3" t="s">
        <v>948</v>
      </c>
    </row>
    <row r="53" spans="1:3">
      <c r="A53" s="64" t="s">
        <v>40</v>
      </c>
      <c r="C53" s="3" t="s">
        <v>949</v>
      </c>
    </row>
    <row r="54" spans="1:3">
      <c r="A54" s="64" t="s">
        <v>42</v>
      </c>
      <c r="B54" s="52"/>
      <c r="C54" s="3" t="s">
        <v>262</v>
      </c>
    </row>
    <row r="55" spans="1:3">
      <c r="A55" s="64" t="s">
        <v>30</v>
      </c>
      <c r="C55" s="3" t="s">
        <v>698</v>
      </c>
    </row>
    <row r="56" spans="1:3">
      <c r="A56" s="52" t="s">
        <v>31</v>
      </c>
      <c r="B56" s="52"/>
      <c r="C56" s="3" t="s">
        <v>898</v>
      </c>
    </row>
    <row r="60" spans="1:3">
      <c r="B60" s="52"/>
      <c r="C60" s="52"/>
    </row>
  </sheetData>
  <printOptions horizontalCentered="1" verticalCentered="1"/>
  <pageMargins left="0.75" right="0.75" top="1" bottom="1" header="0.5" footer="0.5"/>
  <pageSetup scale="74" orientation="portrait" blackAndWhite="1" r:id="rId1"/>
  <headerFooter alignWithMargins="0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0-000000000000}">
  <sheetPr codeName="Sheet56">
    <tabColor rgb="FFFF0000"/>
    <pageSetUpPr fitToPage="1"/>
  </sheetPr>
  <dimension ref="A1:T58"/>
  <sheetViews>
    <sheetView zoomScale="75" zoomScaleNormal="75" workbookViewId="0">
      <selection activeCell="A33" sqref="A33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1.7109375" style="1" customWidth="1"/>
    <col min="4" max="4" width="1.7109375" style="1" customWidth="1"/>
    <col min="5" max="5" width="10.7109375" style="1" customWidth="1"/>
    <col min="6" max="6" width="1.7109375" style="1" customWidth="1"/>
    <col min="7" max="7" width="10.7109375" style="1" customWidth="1"/>
    <col min="8" max="8" width="1.7109375" style="1" customWidth="1"/>
    <col min="9" max="9" width="10.7109375" style="1" customWidth="1"/>
    <col min="10" max="10" width="1.7109375" style="1" customWidth="1"/>
    <col min="11" max="11" width="10.7109375" style="1" customWidth="1"/>
    <col min="12" max="12" width="1.7109375" style="1" customWidth="1"/>
    <col min="13" max="13" width="10.7109375" style="1" customWidth="1"/>
    <col min="14" max="16384" width="8.7109375" style="1"/>
  </cols>
  <sheetData>
    <row r="1" spans="1:20">
      <c r="M1" s="64" t="s">
        <v>939</v>
      </c>
    </row>
    <row r="2" spans="1:20">
      <c r="M2" s="52" t="s">
        <v>96</v>
      </c>
    </row>
    <row r="3" spans="1:20">
      <c r="M3" s="52"/>
    </row>
    <row r="4" spans="1:20" ht="16">
      <c r="A4" s="4" t="s">
        <v>872</v>
      </c>
      <c r="B4" s="4"/>
      <c r="C4" s="4"/>
      <c r="D4" s="5"/>
      <c r="E4" s="5"/>
      <c r="F4" s="5"/>
      <c r="G4" s="5"/>
      <c r="H4" s="5"/>
      <c r="I4" s="5"/>
      <c r="J4" s="5"/>
      <c r="K4" s="5"/>
      <c r="L4" s="5"/>
      <c r="M4" s="5"/>
    </row>
    <row r="6" spans="1:20">
      <c r="A6" s="5" t="s">
        <v>128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20">
      <c r="A7" s="5" t="s">
        <v>894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20">
      <c r="A8" s="133" t="s">
        <v>263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10" spans="1:20">
      <c r="A10" s="6"/>
      <c r="B10" s="6"/>
      <c r="C10" s="6"/>
      <c r="D10" s="6"/>
      <c r="H10" s="5"/>
      <c r="L10" s="249" t="s">
        <v>896</v>
      </c>
    </row>
    <row r="11" spans="1:20">
      <c r="A11" s="2" t="s">
        <v>3</v>
      </c>
      <c r="B11" s="6"/>
      <c r="C11" s="2"/>
      <c r="D11" s="2"/>
      <c r="E11" s="2"/>
      <c r="G11" s="2"/>
      <c r="H11" s="2"/>
      <c r="I11" s="2"/>
      <c r="K11" s="2" t="s">
        <v>893</v>
      </c>
      <c r="L11" s="2" t="s">
        <v>893</v>
      </c>
      <c r="M11" s="2" t="s">
        <v>893</v>
      </c>
    </row>
    <row r="12" spans="1:20">
      <c r="A12" s="6" t="s">
        <v>4</v>
      </c>
      <c r="B12" s="6"/>
      <c r="C12" s="2" t="s">
        <v>209</v>
      </c>
      <c r="D12" s="6"/>
      <c r="E12" s="2" t="s">
        <v>259</v>
      </c>
      <c r="F12" s="6"/>
      <c r="G12" s="107" t="s">
        <v>287</v>
      </c>
      <c r="H12" s="6"/>
      <c r="I12" s="107" t="s">
        <v>0</v>
      </c>
      <c r="K12" s="6" t="s">
        <v>132</v>
      </c>
      <c r="L12" s="6"/>
      <c r="M12" s="6" t="s">
        <v>18</v>
      </c>
    </row>
    <row r="13" spans="1:20">
      <c r="A13" s="106" t="s">
        <v>27</v>
      </c>
      <c r="B13" s="6"/>
      <c r="C13" s="106" t="s">
        <v>33</v>
      </c>
      <c r="D13" s="6"/>
      <c r="E13" s="106" t="s">
        <v>36</v>
      </c>
      <c r="F13" s="6"/>
      <c r="G13" s="106" t="s">
        <v>38</v>
      </c>
      <c r="H13" s="6"/>
      <c r="I13" s="118" t="s">
        <v>40</v>
      </c>
      <c r="J13" s="6"/>
      <c r="K13" s="106" t="s">
        <v>42</v>
      </c>
      <c r="M13" s="106" t="s">
        <v>30</v>
      </c>
    </row>
    <row r="15" spans="1:20">
      <c r="A15" s="3" t="s">
        <v>260</v>
      </c>
    </row>
    <row r="16" spans="1:20">
      <c r="A16" s="6">
        <f>2011</f>
        <v>2011</v>
      </c>
      <c r="B16" s="6"/>
      <c r="C16" s="250">
        <f>'Exhibit G,3'!G35</f>
        <v>0</v>
      </c>
      <c r="D16" s="19"/>
      <c r="E16" s="19">
        <f>'Exhibit U,1'!K22-'Exhibit U,1'!K41</f>
        <v>2646411.5499999989</v>
      </c>
      <c r="F16" s="19"/>
      <c r="G16" s="19">
        <f>'Exhibit V,1'!U30</f>
        <v>0</v>
      </c>
      <c r="H16" s="19"/>
      <c r="I16" s="19">
        <f>C16+E16+G16</f>
        <v>2646411.5499999989</v>
      </c>
      <c r="J16" s="19"/>
      <c r="K16" s="19">
        <f>'Exhibit S,2 OLD'!S16+'Exhibit S,2 OLD'!T16</f>
        <v>94</v>
      </c>
      <c r="L16" s="19"/>
      <c r="M16" s="19">
        <f>K16-I16/1000</f>
        <v>-2552.4115499999989</v>
      </c>
      <c r="Q16" s="121"/>
      <c r="T16" s="23" t="s">
        <v>1505</v>
      </c>
    </row>
    <row r="17" spans="1:20">
      <c r="A17" s="6">
        <f>A16+1</f>
        <v>2012</v>
      </c>
      <c r="B17" s="6"/>
      <c r="C17" s="251">
        <f>'Exhibit G,3'!G36</f>
        <v>0</v>
      </c>
      <c r="E17" s="20">
        <f>'Exhibit U,1'!K23-'Exhibit U,1'!K42</f>
        <v>4640107.4800000004</v>
      </c>
      <c r="G17" s="20">
        <f>'Exhibit V,1'!U31</f>
        <v>0</v>
      </c>
      <c r="I17" s="20">
        <f t="shared" ref="I17:I25" si="0">C17+E17+G17</f>
        <v>4640107.4800000004</v>
      </c>
      <c r="K17" s="20">
        <f>'Exhibit S,2 OLD'!S17+'Exhibit S,2 OLD'!T17</f>
        <v>3757</v>
      </c>
      <c r="L17" s="20"/>
      <c r="M17" s="20">
        <f t="shared" ref="M17:M25" si="1">K17-I17/1000</f>
        <v>-883.10748000000058</v>
      </c>
    </row>
    <row r="18" spans="1:20">
      <c r="A18" s="6">
        <f t="shared" ref="A18:A25" si="2">A17+1</f>
        <v>2013</v>
      </c>
      <c r="B18" s="6"/>
      <c r="C18" s="251">
        <f>'Exhibit G,3'!G37</f>
        <v>0</v>
      </c>
      <c r="E18" s="20">
        <f>'Exhibit U,1'!K24-'Exhibit U,1'!K43</f>
        <v>439561.70000000019</v>
      </c>
      <c r="G18" s="20">
        <f>'Exhibit V,1'!U32</f>
        <v>0</v>
      </c>
      <c r="I18" s="20">
        <f t="shared" si="0"/>
        <v>439561.70000000019</v>
      </c>
      <c r="K18" s="20">
        <f>'Exhibit S,2 OLD'!S18+'Exhibit S,2 OLD'!T18</f>
        <v>523</v>
      </c>
      <c r="L18" s="20"/>
      <c r="M18" s="20">
        <f t="shared" si="1"/>
        <v>83.438299999999799</v>
      </c>
    </row>
    <row r="19" spans="1:20">
      <c r="A19" s="6">
        <f t="shared" si="2"/>
        <v>2014</v>
      </c>
      <c r="B19" s="6"/>
      <c r="C19" s="251">
        <f>'Exhibit G,3'!G38</f>
        <v>856276.11</v>
      </c>
      <c r="E19" s="20">
        <f>'Exhibit U,1'!K25-'Exhibit U,1'!K44</f>
        <v>1817226.2599999998</v>
      </c>
      <c r="G19" s="20">
        <f>'Exhibit V,1'!U33</f>
        <v>257086.33000000002</v>
      </c>
      <c r="I19" s="20">
        <f t="shared" si="0"/>
        <v>2930588.6999999997</v>
      </c>
      <c r="K19" s="20">
        <f>'Exhibit S,2 OLD'!S19+'Exhibit S,2 OLD'!T19</f>
        <v>4640</v>
      </c>
      <c r="L19" s="20"/>
      <c r="M19" s="20">
        <f t="shared" si="1"/>
        <v>1709.4113000000002</v>
      </c>
    </row>
    <row r="20" spans="1:20">
      <c r="A20" s="6">
        <f t="shared" si="2"/>
        <v>2015</v>
      </c>
      <c r="B20" s="6"/>
      <c r="C20" s="251">
        <f>'Exhibit G,3'!G39</f>
        <v>0</v>
      </c>
      <c r="E20" s="20">
        <f>'Exhibit U,1'!K26-'Exhibit U,1'!K45</f>
        <v>2481914.37</v>
      </c>
      <c r="G20" s="20">
        <f>'Exhibit V,1'!U34</f>
        <v>860560.8599999994</v>
      </c>
      <c r="I20" s="20">
        <f t="shared" si="0"/>
        <v>3342475.2299999995</v>
      </c>
      <c r="K20" s="20">
        <f>'Exhibit S,2 OLD'!S20+'Exhibit S,2 OLD'!T20</f>
        <v>0</v>
      </c>
      <c r="L20" s="20"/>
      <c r="M20" s="20">
        <f t="shared" si="1"/>
        <v>-3342.4752299999996</v>
      </c>
      <c r="Q20" s="18"/>
      <c r="R20" s="18"/>
    </row>
    <row r="21" spans="1:20">
      <c r="A21" s="6">
        <f t="shared" si="2"/>
        <v>2016</v>
      </c>
      <c r="B21" s="6"/>
      <c r="C21" s="251">
        <f>'Exhibit G,3'!G40</f>
        <v>0</v>
      </c>
      <c r="E21" s="20">
        <f>'Exhibit U,1'!K27-'Exhibit U,1'!K46</f>
        <v>0</v>
      </c>
      <c r="G21" s="20">
        <f>'Exhibit V,1'!U35</f>
        <v>828473.88999999966</v>
      </c>
      <c r="I21" s="20">
        <f t="shared" si="0"/>
        <v>828473.88999999966</v>
      </c>
      <c r="K21" s="20">
        <f>'Exhibit S,2 OLD'!S21+'Exhibit S,2 OLD'!T21</f>
        <v>1467</v>
      </c>
      <c r="L21" s="20"/>
      <c r="M21" s="20">
        <f t="shared" si="1"/>
        <v>638.52611000000036</v>
      </c>
    </row>
    <row r="22" spans="1:20">
      <c r="A22" s="6">
        <f t="shared" si="2"/>
        <v>2017</v>
      </c>
      <c r="B22" s="6"/>
      <c r="C22" s="251">
        <f>'Exhibit G,3'!G41</f>
        <v>92260.52</v>
      </c>
      <c r="E22" s="20">
        <f>'Exhibit U,1'!K28-'Exhibit U,1'!K47</f>
        <v>0</v>
      </c>
      <c r="G22" s="20">
        <f>'Exhibit V,1'!U36</f>
        <v>74952.19000000041</v>
      </c>
      <c r="I22" s="20">
        <f t="shared" si="0"/>
        <v>167212.71000000043</v>
      </c>
      <c r="K22" s="20">
        <f>'Exhibit S,2 OLD'!S22+'Exhibit S,2 OLD'!T22</f>
        <v>254</v>
      </c>
      <c r="L22" s="20"/>
      <c r="M22" s="20">
        <f t="shared" si="1"/>
        <v>86.787289999999558</v>
      </c>
    </row>
    <row r="23" spans="1:20">
      <c r="A23" s="6">
        <f t="shared" si="2"/>
        <v>2018</v>
      </c>
      <c r="B23" s="6"/>
      <c r="C23" s="251">
        <f>'Exhibit G,3'!G42</f>
        <v>0</v>
      </c>
      <c r="E23" s="20">
        <f>'Exhibit U,1'!K29-'Exhibit U,1'!K48</f>
        <v>0</v>
      </c>
      <c r="G23" s="20">
        <f>'Exhibit V,1'!U37</f>
        <v>683572.79</v>
      </c>
      <c r="I23" s="20">
        <f t="shared" si="0"/>
        <v>683572.79</v>
      </c>
      <c r="K23" s="20">
        <f>'Exhibit S,2 OLD'!S23+'Exhibit S,2 OLD'!T23</f>
        <v>0</v>
      </c>
      <c r="L23" s="20"/>
      <c r="M23" s="20">
        <f t="shared" si="1"/>
        <v>-683.57279000000005</v>
      </c>
    </row>
    <row r="24" spans="1:20">
      <c r="A24" s="6">
        <f t="shared" si="2"/>
        <v>2019</v>
      </c>
      <c r="B24" s="6"/>
      <c r="C24" s="251">
        <f>'Exhibit G,3'!G43</f>
        <v>0</v>
      </c>
      <c r="E24" s="20">
        <f>'Exhibit U,1'!K30-'Exhibit U,1'!K49</f>
        <v>0</v>
      </c>
      <c r="G24" s="20">
        <f>'Exhibit V,1'!U38</f>
        <v>0</v>
      </c>
      <c r="I24" s="20">
        <f t="shared" si="0"/>
        <v>0</v>
      </c>
      <c r="K24" s="20">
        <f>'Exhibit S,2 OLD'!S24+'Exhibit S,2 OLD'!T24</f>
        <v>27</v>
      </c>
      <c r="L24" s="20"/>
      <c r="M24" s="20">
        <f t="shared" si="1"/>
        <v>27</v>
      </c>
    </row>
    <row r="25" spans="1:20">
      <c r="A25" s="6">
        <f t="shared" si="2"/>
        <v>2020</v>
      </c>
      <c r="B25" s="6"/>
      <c r="C25" s="251">
        <f>'Exhibit G,3'!G44</f>
        <v>0</v>
      </c>
      <c r="E25" s="20">
        <f>'Exhibit U,1'!K31-'Exhibit U,1'!K50</f>
        <v>0</v>
      </c>
      <c r="G25" s="20">
        <f>'Exhibit V,1'!U39</f>
        <v>0</v>
      </c>
      <c r="I25" s="20">
        <f t="shared" si="0"/>
        <v>0</v>
      </c>
      <c r="K25" s="20">
        <f>'Exhibit S,2 OLD'!S25+'Exhibit S,2 OLD'!T25</f>
        <v>0</v>
      </c>
      <c r="L25" s="20"/>
      <c r="M25" s="20">
        <f t="shared" si="1"/>
        <v>0</v>
      </c>
    </row>
    <row r="26" spans="1:20">
      <c r="A26" s="6"/>
      <c r="B26" s="6"/>
      <c r="C26" s="105"/>
      <c r="E26" s="105"/>
      <c r="G26" s="105"/>
      <c r="I26" s="105"/>
      <c r="K26" s="105"/>
      <c r="M26" s="105"/>
    </row>
    <row r="27" spans="1:20">
      <c r="A27" s="6" t="s">
        <v>0</v>
      </c>
      <c r="B27" s="6"/>
      <c r="C27" s="19">
        <f>SUM(C16:C26)</f>
        <v>948536.63</v>
      </c>
      <c r="E27" s="19">
        <f>SUM(E16:E26)</f>
        <v>12025221.359999999</v>
      </c>
      <c r="F27" s="19"/>
      <c r="G27" s="19">
        <f>SUM(G16:G26)</f>
        <v>2704646.0599999996</v>
      </c>
      <c r="H27" s="19"/>
      <c r="I27" s="19">
        <f>SUM(I16:I26)</f>
        <v>15678404.050000001</v>
      </c>
      <c r="K27" s="19">
        <f>SUM(K16:K26)</f>
        <v>10762</v>
      </c>
      <c r="M27" s="19">
        <f>SUM(M16:M26)</f>
        <v>-4916.4040499999992</v>
      </c>
    </row>
    <row r="29" spans="1:20">
      <c r="B29" s="6"/>
      <c r="E29" s="26"/>
    </row>
    <row r="31" spans="1:20">
      <c r="A31" s="3" t="s">
        <v>261</v>
      </c>
      <c r="B31" s="6"/>
      <c r="I31" s="252"/>
    </row>
    <row r="32" spans="1:20">
      <c r="A32" s="6">
        <f>2011</f>
        <v>2011</v>
      </c>
      <c r="B32" s="6"/>
      <c r="C32" s="19">
        <f>'Exhibit G,2'!G35</f>
        <v>0</v>
      </c>
      <c r="D32" s="19"/>
      <c r="E32" s="19">
        <f>'Exhibit U,2'!K22-'Exhibit U,2'!K41</f>
        <v>2921411.5500000007</v>
      </c>
      <c r="F32" s="19"/>
      <c r="G32" s="19">
        <f>'Exhibit V,1'!W30</f>
        <v>0</v>
      </c>
      <c r="H32" s="19"/>
      <c r="I32" s="19">
        <f>C32+E32+G32</f>
        <v>2921411.5500000007</v>
      </c>
      <c r="J32" s="19"/>
      <c r="K32" s="19">
        <f>K16+'Exhibit S,2 OLD'!S32+'Exhibit S,2 OLD'!T32</f>
        <v>94</v>
      </c>
      <c r="L32" s="19"/>
      <c r="M32" s="19">
        <f>K32-I32/1000</f>
        <v>-2827.4115500000007</v>
      </c>
      <c r="O32" s="23"/>
      <c r="Q32" s="23"/>
      <c r="T32" s="23" t="s">
        <v>1506</v>
      </c>
    </row>
    <row r="33" spans="1:17">
      <c r="A33" s="6">
        <f>A32+1</f>
        <v>2012</v>
      </c>
      <c r="C33" s="20">
        <f>'Exhibit G,2'!G36</f>
        <v>0</v>
      </c>
      <c r="E33" s="20">
        <f>'Exhibit U,2'!K23-'Exhibit U,2'!K42</f>
        <v>4640107.4800000023</v>
      </c>
      <c r="G33" s="20">
        <f>'Exhibit V,1'!W31</f>
        <v>0</v>
      </c>
      <c r="I33" s="20">
        <f t="shared" ref="I33:I41" si="3">C33+E33+G33</f>
        <v>4640107.4800000023</v>
      </c>
      <c r="K33" s="20">
        <f>K17+'Exhibit S,2 OLD'!S33+'Exhibit S,2 OLD'!T33</f>
        <v>3757</v>
      </c>
      <c r="L33" s="20"/>
      <c r="M33" s="20">
        <f t="shared" ref="M33:M41" si="4">K33-I33/1000</f>
        <v>-883.1074800000024</v>
      </c>
    </row>
    <row r="34" spans="1:17">
      <c r="A34" s="6">
        <f t="shared" ref="A34:A41" si="5">A33+1</f>
        <v>2013</v>
      </c>
      <c r="B34" s="6"/>
      <c r="C34" s="20">
        <f>'Exhibit G,2'!G37</f>
        <v>0</v>
      </c>
      <c r="E34" s="20">
        <f>'Exhibit U,2'!K24-'Exhibit U,2'!K43</f>
        <v>439561.69999999972</v>
      </c>
      <c r="G34" s="20">
        <f>'Exhibit V,1'!W32</f>
        <v>0</v>
      </c>
      <c r="I34" s="20">
        <f t="shared" si="3"/>
        <v>439561.69999999972</v>
      </c>
      <c r="K34" s="20">
        <f>K18+'Exhibit S,2 OLD'!S34+'Exhibit S,2 OLD'!T34</f>
        <v>1331</v>
      </c>
      <c r="L34" s="20"/>
      <c r="M34" s="20">
        <f t="shared" si="4"/>
        <v>891.43830000000025</v>
      </c>
    </row>
    <row r="35" spans="1:17">
      <c r="A35" s="6">
        <f t="shared" si="5"/>
        <v>2014</v>
      </c>
      <c r="B35" s="6"/>
      <c r="C35" s="20">
        <f>'Exhibit G,2'!G38</f>
        <v>856276.10999999987</v>
      </c>
      <c r="E35" s="20">
        <f>'Exhibit U,2'!K25-'Exhibit U,2'!K44</f>
        <v>2310559.2599999998</v>
      </c>
      <c r="G35" s="20">
        <f>'Exhibit V,1'!W33</f>
        <v>257086.32999999996</v>
      </c>
      <c r="I35" s="20">
        <f t="shared" si="3"/>
        <v>3423921.6999999997</v>
      </c>
      <c r="K35" s="20">
        <f>K19+'Exhibit S,2 OLD'!S35+'Exhibit S,2 OLD'!T35</f>
        <v>4640</v>
      </c>
      <c r="L35" s="20"/>
      <c r="M35" s="20">
        <f t="shared" si="4"/>
        <v>1216.0783000000001</v>
      </c>
    </row>
    <row r="36" spans="1:17">
      <c r="A36" s="6">
        <f t="shared" si="5"/>
        <v>2015</v>
      </c>
      <c r="B36" s="6"/>
      <c r="C36" s="20">
        <f>'Exhibit G,2'!G39</f>
        <v>0</v>
      </c>
      <c r="E36" s="20">
        <f>'Exhibit U,2'!K26-'Exhibit U,2'!K45</f>
        <v>2481914.3699999992</v>
      </c>
      <c r="G36" s="20">
        <f>'Exhibit V,1'!W34</f>
        <v>860560.8599999994</v>
      </c>
      <c r="I36" s="20">
        <f t="shared" si="3"/>
        <v>3342475.2299999986</v>
      </c>
      <c r="K36" s="20">
        <f>K20+'Exhibit S,2 OLD'!S36+'Exhibit S,2 OLD'!T36</f>
        <v>0</v>
      </c>
      <c r="L36" s="20"/>
      <c r="M36" s="20">
        <f t="shared" si="4"/>
        <v>-3342.4752299999986</v>
      </c>
      <c r="Q36" s="61"/>
    </row>
    <row r="37" spans="1:17">
      <c r="A37" s="6">
        <f t="shared" si="5"/>
        <v>2016</v>
      </c>
      <c r="B37" s="6"/>
      <c r="C37" s="20">
        <f>'Exhibit G,2'!G40</f>
        <v>0</v>
      </c>
      <c r="E37" s="20">
        <f>'Exhibit U,2'!K27-'Exhibit U,2'!K46</f>
        <v>0</v>
      </c>
      <c r="G37" s="20">
        <f>'Exhibit V,1'!W35</f>
        <v>828473.88999999966</v>
      </c>
      <c r="I37" s="20">
        <f t="shared" si="3"/>
        <v>828473.88999999966</v>
      </c>
      <c r="K37" s="20">
        <f>K21+'Exhibit S,2 OLD'!S37+'Exhibit S,2 OLD'!T37</f>
        <v>3925</v>
      </c>
      <c r="L37" s="20"/>
      <c r="M37" s="20">
        <f t="shared" si="4"/>
        <v>3096.5261100000002</v>
      </c>
    </row>
    <row r="38" spans="1:17">
      <c r="A38" s="6">
        <f t="shared" si="5"/>
        <v>2017</v>
      </c>
      <c r="B38" s="6"/>
      <c r="C38" s="20">
        <f>'Exhibit G,2'!G41</f>
        <v>183260.52000000002</v>
      </c>
      <c r="E38" s="20">
        <f>'Exhibit U,2'!K28-'Exhibit U,2'!K47</f>
        <v>0</v>
      </c>
      <c r="G38" s="20">
        <f>'Exhibit V,1'!W36</f>
        <v>74952.190000001341</v>
      </c>
      <c r="I38" s="20">
        <f t="shared" si="3"/>
        <v>258212.71000000136</v>
      </c>
      <c r="K38" s="20">
        <f>K22+'Exhibit S,2 OLD'!S38+'Exhibit S,2 OLD'!T38</f>
        <v>254</v>
      </c>
      <c r="L38" s="20"/>
      <c r="M38" s="20">
        <f t="shared" si="4"/>
        <v>-4.2127100000013797</v>
      </c>
    </row>
    <row r="39" spans="1:17">
      <c r="A39" s="6">
        <f t="shared" si="5"/>
        <v>2018</v>
      </c>
      <c r="B39" s="6"/>
      <c r="C39" s="20">
        <f>'Exhibit G,2'!G42</f>
        <v>0</v>
      </c>
      <c r="E39" s="20">
        <f>'Exhibit U,2'!K29-'Exhibit U,2'!K48</f>
        <v>0</v>
      </c>
      <c r="G39" s="20">
        <f>'Exhibit V,1'!W37</f>
        <v>683572.79</v>
      </c>
      <c r="I39" s="20">
        <f t="shared" si="3"/>
        <v>683572.79</v>
      </c>
      <c r="K39" s="20">
        <f>K23+'Exhibit S,2 OLD'!S39+'Exhibit S,2 OLD'!T39</f>
        <v>0</v>
      </c>
      <c r="L39" s="20"/>
      <c r="M39" s="20">
        <f t="shared" si="4"/>
        <v>-683.57279000000005</v>
      </c>
    </row>
    <row r="40" spans="1:17">
      <c r="A40" s="6">
        <f t="shared" si="5"/>
        <v>2019</v>
      </c>
      <c r="B40" s="6"/>
      <c r="C40" s="20">
        <f>'Exhibit G,2'!G43</f>
        <v>0</v>
      </c>
      <c r="E40" s="20">
        <f>'Exhibit U,2'!K30-'Exhibit U,2'!K49</f>
        <v>0</v>
      </c>
      <c r="G40" s="20">
        <f>'Exhibit V,1'!W38</f>
        <v>0</v>
      </c>
      <c r="I40" s="20">
        <f t="shared" si="3"/>
        <v>0</v>
      </c>
      <c r="K40" s="20">
        <f>K24+'Exhibit S,2 OLD'!S40+'Exhibit S,2 OLD'!T40</f>
        <v>122</v>
      </c>
      <c r="L40" s="20"/>
      <c r="M40" s="20">
        <f t="shared" si="4"/>
        <v>122</v>
      </c>
    </row>
    <row r="41" spans="1:17">
      <c r="A41" s="6">
        <f t="shared" si="5"/>
        <v>2020</v>
      </c>
      <c r="B41" s="6"/>
      <c r="C41" s="20">
        <f>'Exhibit G,2'!G44</f>
        <v>0</v>
      </c>
      <c r="E41" s="20">
        <f>'Exhibit U,2'!K31-'Exhibit U,2'!K50</f>
        <v>0</v>
      </c>
      <c r="G41" s="20">
        <f>'Exhibit V,1'!W39</f>
        <v>0</v>
      </c>
      <c r="I41" s="20">
        <f t="shared" si="3"/>
        <v>0</v>
      </c>
      <c r="K41" s="20">
        <f>K25+'Exhibit S,2 OLD'!S41+'Exhibit S,2 OLD'!T41</f>
        <v>0</v>
      </c>
      <c r="L41" s="20"/>
      <c r="M41" s="20">
        <f t="shared" si="4"/>
        <v>0</v>
      </c>
    </row>
    <row r="42" spans="1:17">
      <c r="A42" s="6"/>
      <c r="B42" s="6"/>
      <c r="C42" s="105"/>
      <c r="E42" s="105"/>
      <c r="G42" s="105"/>
      <c r="I42" s="105"/>
      <c r="K42" s="105"/>
      <c r="M42" s="105"/>
    </row>
    <row r="43" spans="1:17">
      <c r="A43" s="6" t="s">
        <v>0</v>
      </c>
      <c r="B43" s="6"/>
      <c r="C43" s="19">
        <f>SUM(C32:C42)</f>
        <v>1039536.6299999999</v>
      </c>
      <c r="E43" s="19">
        <f>SUM(E32:E42)</f>
        <v>12793554.360000001</v>
      </c>
      <c r="F43" s="19"/>
      <c r="G43" s="19">
        <f>SUM(G32:G42)</f>
        <v>2704646.0600000005</v>
      </c>
      <c r="H43" s="19"/>
      <c r="I43" s="19">
        <f>SUM(I32:I42)</f>
        <v>16537737.050000001</v>
      </c>
      <c r="K43" s="19">
        <f>SUM(K32:K42)</f>
        <v>14123</v>
      </c>
      <c r="M43" s="19">
        <f>SUM(M32:M42)</f>
        <v>-2414.7370500000025</v>
      </c>
    </row>
    <row r="48" spans="1:17">
      <c r="A48" s="52" t="s">
        <v>104</v>
      </c>
      <c r="C48" s="3" t="s">
        <v>264</v>
      </c>
    </row>
    <row r="49" spans="1:3">
      <c r="A49" s="64" t="s">
        <v>36</v>
      </c>
      <c r="C49" s="3" t="s">
        <v>948</v>
      </c>
    </row>
    <row r="50" spans="1:3">
      <c r="A50" s="64" t="s">
        <v>38</v>
      </c>
      <c r="B50" s="52"/>
      <c r="C50" s="3" t="s">
        <v>949</v>
      </c>
    </row>
    <row r="51" spans="1:3">
      <c r="A51" s="64" t="s">
        <v>40</v>
      </c>
      <c r="C51" s="3" t="s">
        <v>229</v>
      </c>
    </row>
    <row r="52" spans="1:3">
      <c r="A52" s="64" t="s">
        <v>42</v>
      </c>
      <c r="B52" s="52"/>
      <c r="C52" s="3" t="s">
        <v>698</v>
      </c>
    </row>
    <row r="53" spans="1:3">
      <c r="A53" s="64" t="s">
        <v>30</v>
      </c>
      <c r="C53" s="3" t="s">
        <v>265</v>
      </c>
    </row>
    <row r="54" spans="1:3">
      <c r="B54" s="52"/>
    </row>
    <row r="58" spans="1:3">
      <c r="B58" s="52"/>
      <c r="C58" s="52"/>
    </row>
  </sheetData>
  <printOptions horizontalCentered="1" verticalCentered="1"/>
  <pageMargins left="0.75" right="0.75" top="1" bottom="1" header="0.5" footer="0.5"/>
  <pageSetup scale="79" orientation="portrait" blackAndWhite="1" r:id="rId1"/>
  <headerFooter alignWithMargins="0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600-000000000000}">
  <sheetPr codeName="Sheet57">
    <tabColor rgb="FFFF0000"/>
    <pageSetUpPr fitToPage="1"/>
  </sheetPr>
  <dimension ref="A1:T62"/>
  <sheetViews>
    <sheetView zoomScale="75" zoomScaleNormal="75" workbookViewId="0">
      <selection activeCell="A33" sqref="A33"/>
    </sheetView>
  </sheetViews>
  <sheetFormatPr baseColWidth="10" defaultColWidth="8.7109375" defaultRowHeight="15"/>
  <cols>
    <col min="1" max="1" width="11.7109375" style="1" customWidth="1"/>
    <col min="2" max="2" width="1.7109375" style="1" customWidth="1"/>
    <col min="3" max="3" width="12.7109375" style="1" customWidth="1"/>
    <col min="4" max="4" width="1.7109375" style="1" customWidth="1"/>
    <col min="5" max="5" width="12.7109375" style="1" customWidth="1"/>
    <col min="6" max="6" width="1.7109375" style="1" customWidth="1"/>
    <col min="7" max="7" width="12.7109375" style="1" customWidth="1"/>
    <col min="8" max="8" width="1.7109375" style="1" customWidth="1"/>
    <col min="9" max="9" width="12.7109375" style="1" customWidth="1"/>
    <col min="10" max="10" width="1.7109375" style="1" customWidth="1"/>
    <col min="11" max="11" width="12.7109375" style="1" customWidth="1"/>
    <col min="12" max="12" width="1.7109375" style="1" customWidth="1"/>
    <col min="13" max="13" width="12.7109375" style="1" customWidth="1"/>
    <col min="14" max="16384" width="8.7109375" style="1"/>
  </cols>
  <sheetData>
    <row r="1" spans="1:20">
      <c r="M1" s="64" t="s">
        <v>939</v>
      </c>
    </row>
    <row r="2" spans="1:20">
      <c r="M2" s="52" t="s">
        <v>98</v>
      </c>
    </row>
    <row r="3" spans="1:20" ht="16">
      <c r="A3" s="4" t="s">
        <v>872</v>
      </c>
      <c r="B3" s="4"/>
      <c r="C3" s="4"/>
      <c r="D3" s="5"/>
      <c r="E3" s="5"/>
      <c r="F3" s="5"/>
      <c r="G3" s="5"/>
      <c r="H3" s="5"/>
      <c r="I3" s="5"/>
      <c r="J3" s="5"/>
      <c r="K3" s="5"/>
      <c r="L3" s="5"/>
    </row>
    <row r="5" spans="1:20">
      <c r="A5" s="5" t="s">
        <v>128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20">
      <c r="A6" s="5" t="s">
        <v>1001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20">
      <c r="A7" s="133" t="s">
        <v>702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20">
      <c r="A8" s="133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20">
      <c r="A9" s="133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1:20">
      <c r="G10" s="23"/>
      <c r="H10" s="2" t="s">
        <v>1002</v>
      </c>
      <c r="I10" s="23"/>
    </row>
    <row r="11" spans="1:20">
      <c r="G11" s="2" t="s">
        <v>279</v>
      </c>
      <c r="K11" s="2"/>
    </row>
    <row r="12" spans="1:20">
      <c r="A12" s="2" t="s">
        <v>3</v>
      </c>
      <c r="G12" s="2" t="s">
        <v>370</v>
      </c>
      <c r="K12" s="2"/>
    </row>
    <row r="13" spans="1:20">
      <c r="A13" s="2" t="s">
        <v>4</v>
      </c>
      <c r="C13" s="2" t="s">
        <v>373</v>
      </c>
      <c r="E13" s="2" t="s">
        <v>372</v>
      </c>
      <c r="F13" s="2"/>
      <c r="G13" s="2" t="s">
        <v>16</v>
      </c>
      <c r="H13" s="2"/>
      <c r="I13" s="6" t="s">
        <v>18</v>
      </c>
      <c r="K13" s="2"/>
      <c r="M13" s="6"/>
    </row>
    <row r="14" spans="1:20">
      <c r="A14" s="9">
        <v>-1</v>
      </c>
      <c r="B14" s="6"/>
      <c r="C14" s="9">
        <v>-2</v>
      </c>
      <c r="D14" s="6"/>
      <c r="E14" s="9">
        <v>-3</v>
      </c>
      <c r="F14" s="6"/>
      <c r="G14" s="9">
        <v>-4</v>
      </c>
      <c r="H14" s="6"/>
      <c r="I14" s="9">
        <v>-5</v>
      </c>
      <c r="J14" s="6"/>
      <c r="P14" s="1" t="s">
        <v>279</v>
      </c>
      <c r="Q14" s="1" t="s">
        <v>279</v>
      </c>
      <c r="R14" s="1" t="s">
        <v>279</v>
      </c>
      <c r="S14" s="1" t="s">
        <v>0</v>
      </c>
    </row>
    <row r="15" spans="1:20">
      <c r="P15" s="1" t="s">
        <v>395</v>
      </c>
      <c r="Q15" s="1" t="s">
        <v>5</v>
      </c>
      <c r="R15" s="1" t="s">
        <v>522</v>
      </c>
      <c r="S15" s="1" t="s">
        <v>279</v>
      </c>
    </row>
    <row r="16" spans="1:20">
      <c r="A16" s="3" t="s">
        <v>0</v>
      </c>
      <c r="P16" s="18">
        <v>4480.8469999999998</v>
      </c>
      <c r="Q16" s="18">
        <v>2058.9789999999998</v>
      </c>
      <c r="R16" s="18">
        <v>0</v>
      </c>
      <c r="S16" s="18">
        <f>P16+Q16+R16</f>
        <v>6539.8259999999991</v>
      </c>
      <c r="T16" s="1" t="s">
        <v>899</v>
      </c>
    </row>
    <row r="17" spans="1:19">
      <c r="A17" s="6">
        <f>2012</f>
        <v>2012</v>
      </c>
      <c r="C17" s="18">
        <f>'Exhibit U,8'!V22</f>
        <v>10085012.299999949</v>
      </c>
      <c r="D17" s="19"/>
      <c r="E17" s="18">
        <f>'Exhibit U,5'!V22</f>
        <v>2483025.370000002</v>
      </c>
      <c r="F17" s="19"/>
      <c r="G17" s="18">
        <v>8784.1939999999995</v>
      </c>
      <c r="H17" s="19"/>
      <c r="I17" s="19">
        <f>(C17+E17)/1000-G17</f>
        <v>3783.8436699999493</v>
      </c>
      <c r="J17" s="19"/>
      <c r="K17" s="19"/>
      <c r="M17" s="19"/>
      <c r="P17" s="18">
        <v>5563.0018699999982</v>
      </c>
      <c r="Q17" s="18">
        <v>2817.2991799999895</v>
      </c>
      <c r="R17" s="18">
        <v>499.48599999999999</v>
      </c>
      <c r="S17" s="18">
        <f t="shared" ref="S17:S26" si="0">P17+Q17+R17</f>
        <v>8879.7870499999881</v>
      </c>
    </row>
    <row r="18" spans="1:19">
      <c r="A18" s="6">
        <f>A17+1</f>
        <v>2013</v>
      </c>
      <c r="C18" s="18">
        <f>'Exhibit U,8'!V23</f>
        <v>10240662.590000011</v>
      </c>
      <c r="D18" s="19"/>
      <c r="E18" s="18">
        <f>'Exhibit U,5'!V23</f>
        <v>3591317.23</v>
      </c>
      <c r="F18" s="18"/>
      <c r="G18" s="18">
        <v>12105.64</v>
      </c>
      <c r="H18" s="20"/>
      <c r="I18" s="20">
        <f t="shared" ref="I18:I26" si="1">(C18+E18)/1000-G18</f>
        <v>1726.339820000012</v>
      </c>
      <c r="K18" s="18"/>
      <c r="M18" s="20"/>
      <c r="P18" s="18">
        <v>8308.9548200000045</v>
      </c>
      <c r="Q18" s="18">
        <v>2379.1978700000086</v>
      </c>
      <c r="R18" s="18">
        <v>542.58600000000001</v>
      </c>
      <c r="S18" s="18">
        <f t="shared" si="0"/>
        <v>11230.738690000013</v>
      </c>
    </row>
    <row r="19" spans="1:19">
      <c r="A19" s="6">
        <f t="shared" ref="A19:A26" si="2">A18+1</f>
        <v>2014</v>
      </c>
      <c r="C19" s="18">
        <f>'Exhibit U,8'!V24</f>
        <v>9968876.8200000003</v>
      </c>
      <c r="D19" s="19"/>
      <c r="E19" s="18">
        <f>'Exhibit U,5'!V24</f>
        <v>3461301.9600000018</v>
      </c>
      <c r="F19" s="18"/>
      <c r="G19" s="18">
        <v>12816.579</v>
      </c>
      <c r="H19" s="20"/>
      <c r="I19" s="20">
        <f t="shared" si="1"/>
        <v>613.59978000000228</v>
      </c>
      <c r="K19" s="18"/>
      <c r="M19" s="20"/>
      <c r="P19" s="18">
        <v>10108.056</v>
      </c>
      <c r="Q19" s="18">
        <v>2446.4920000000002</v>
      </c>
      <c r="R19" s="18">
        <v>507.39100000000002</v>
      </c>
      <c r="S19" s="18">
        <f t="shared" si="0"/>
        <v>13061.939</v>
      </c>
    </row>
    <row r="20" spans="1:19">
      <c r="A20" s="6">
        <f t="shared" si="2"/>
        <v>2015</v>
      </c>
      <c r="C20" s="18">
        <f>'Exhibit U,8'!V25</f>
        <v>11089131.659999976</v>
      </c>
      <c r="D20" s="19"/>
      <c r="E20" s="18">
        <f>'Exhibit U,5'!V25</f>
        <v>3133438.399999999</v>
      </c>
      <c r="F20" s="18"/>
      <c r="G20" s="18">
        <v>13920.191999999999</v>
      </c>
      <c r="H20" s="20"/>
      <c r="I20" s="20">
        <f t="shared" si="1"/>
        <v>302.37805999997545</v>
      </c>
      <c r="K20" s="18"/>
      <c r="M20" s="20"/>
      <c r="P20" s="18">
        <v>10949.044</v>
      </c>
      <c r="Q20" s="18">
        <v>2370.2024999999999</v>
      </c>
      <c r="R20" s="18">
        <v>555.58150000000001</v>
      </c>
      <c r="S20" s="18">
        <f t="shared" si="0"/>
        <v>13874.828</v>
      </c>
    </row>
    <row r="21" spans="1:19">
      <c r="A21" s="6">
        <f t="shared" si="2"/>
        <v>2016</v>
      </c>
      <c r="C21" s="18">
        <f>'Exhibit U,8'!V26</f>
        <v>11045038.820000034</v>
      </c>
      <c r="D21" s="19"/>
      <c r="E21" s="18">
        <f>'Exhibit U,5'!V26</f>
        <v>2328348.7299999991</v>
      </c>
      <c r="F21" s="18"/>
      <c r="G21" s="18">
        <v>13317.361999999999</v>
      </c>
      <c r="H21" s="20"/>
      <c r="I21" s="20">
        <f t="shared" si="1"/>
        <v>56.025550000033036</v>
      </c>
      <c r="K21" s="18"/>
      <c r="M21" s="20"/>
      <c r="P21" s="18">
        <v>10430.441000000001</v>
      </c>
      <c r="Q21" s="18">
        <v>2476.6680000000001</v>
      </c>
      <c r="R21" s="18">
        <v>784.47299999999996</v>
      </c>
      <c r="S21" s="18">
        <f t="shared" si="0"/>
        <v>13691.582</v>
      </c>
    </row>
    <row r="22" spans="1:19">
      <c r="A22" s="6">
        <f t="shared" si="2"/>
        <v>2017</v>
      </c>
      <c r="C22" s="18">
        <f>'Exhibit U,8'!V27</f>
        <v>7536562.6900000451</v>
      </c>
      <c r="D22" s="19"/>
      <c r="E22" s="18">
        <f>'Exhibit U,5'!V27</f>
        <v>1529273.7700000005</v>
      </c>
      <c r="F22" s="18"/>
      <c r="G22" s="18">
        <v>14052.337</v>
      </c>
      <c r="H22" s="20"/>
      <c r="I22" s="20">
        <f t="shared" si="1"/>
        <v>-4986.5005399999536</v>
      </c>
      <c r="K22" s="18"/>
      <c r="M22" s="20"/>
      <c r="P22" s="18">
        <v>11177.731</v>
      </c>
      <c r="Q22" s="18">
        <v>2558.3939999999998</v>
      </c>
      <c r="R22" s="18">
        <v>713.92399999999998</v>
      </c>
      <c r="S22" s="18">
        <f t="shared" si="0"/>
        <v>14450.048999999999</v>
      </c>
    </row>
    <row r="23" spans="1:19">
      <c r="A23" s="6">
        <f t="shared" si="2"/>
        <v>2018</v>
      </c>
      <c r="C23" s="18">
        <f>'Exhibit U,8'!V28</f>
        <v>6209470.9400000097</v>
      </c>
      <c r="D23" s="19"/>
      <c r="E23" s="18">
        <f>'Exhibit U,5'!V28</f>
        <v>1256355.6100000001</v>
      </c>
      <c r="F23" s="18"/>
      <c r="G23" s="18">
        <v>13330.029</v>
      </c>
      <c r="H23" s="20"/>
      <c r="I23" s="20">
        <f t="shared" si="1"/>
        <v>-5864.2024499999907</v>
      </c>
      <c r="K23" s="18"/>
      <c r="M23" s="20"/>
      <c r="P23" s="18">
        <v>11109.133</v>
      </c>
      <c r="Q23" s="18">
        <v>1597.0685000000001</v>
      </c>
      <c r="R23" s="18">
        <v>886.13750000000005</v>
      </c>
      <c r="S23" s="18">
        <f t="shared" si="0"/>
        <v>13592.339</v>
      </c>
    </row>
    <row r="24" spans="1:19">
      <c r="A24" s="6">
        <f t="shared" si="2"/>
        <v>2019</v>
      </c>
      <c r="C24" s="18">
        <f>'Exhibit U,8'!V29</f>
        <v>4965992.7600000119</v>
      </c>
      <c r="D24" s="19"/>
      <c r="E24" s="18">
        <f>'Exhibit U,5'!V29</f>
        <v>1060963.32</v>
      </c>
      <c r="F24" s="18"/>
      <c r="G24" s="18">
        <v>9065.8364599999604</v>
      </c>
      <c r="H24" s="20"/>
      <c r="I24" s="20">
        <f t="shared" si="1"/>
        <v>-3038.8803799999487</v>
      </c>
      <c r="K24" s="18"/>
      <c r="M24" s="20"/>
      <c r="P24" s="18">
        <v>7564.4480000000003</v>
      </c>
      <c r="Q24" s="18">
        <v>1060.03</v>
      </c>
      <c r="R24" s="18">
        <v>666.26800000000003</v>
      </c>
      <c r="S24" s="18">
        <f t="shared" si="0"/>
        <v>9290.746000000001</v>
      </c>
    </row>
    <row r="25" spans="1:19">
      <c r="A25" s="6">
        <f t="shared" si="2"/>
        <v>2020</v>
      </c>
      <c r="C25" s="18">
        <f>'Exhibit U,8'!V30</f>
        <v>3657900.3700000038</v>
      </c>
      <c r="D25" s="19"/>
      <c r="E25" s="18">
        <f>'Exhibit U,5'!V30</f>
        <v>2177171.58</v>
      </c>
      <c r="F25" s="18"/>
      <c r="G25" s="18">
        <v>7465.9160000000002</v>
      </c>
      <c r="H25" s="20"/>
      <c r="I25" s="20">
        <f t="shared" si="1"/>
        <v>-1630.8440499999961</v>
      </c>
      <c r="K25" s="18"/>
      <c r="M25" s="20"/>
      <c r="P25" s="18">
        <v>6209.4709999999995</v>
      </c>
      <c r="Q25" s="18">
        <v>919.87300000000005</v>
      </c>
      <c r="R25" s="18">
        <v>336.483</v>
      </c>
      <c r="S25" s="18">
        <f t="shared" si="0"/>
        <v>7465.8269999999993</v>
      </c>
    </row>
    <row r="26" spans="1:19">
      <c r="A26" s="6">
        <f t="shared" si="2"/>
        <v>2021</v>
      </c>
      <c r="C26" s="18">
        <f>'Exhibit U,8'!V31</f>
        <v>4017772.8</v>
      </c>
      <c r="D26" s="19"/>
      <c r="E26" s="18">
        <f>'Exhibit U,5'!V31</f>
        <v>2201647.7199999997</v>
      </c>
      <c r="F26" s="18"/>
      <c r="G26" s="18">
        <v>6026.9565000000048</v>
      </c>
      <c r="H26" s="20"/>
      <c r="I26" s="20">
        <f t="shared" si="1"/>
        <v>192.46401999999489</v>
      </c>
      <c r="K26" s="18"/>
      <c r="M26" s="20"/>
      <c r="P26" s="18">
        <f>C26/1000</f>
        <v>4017.7727999999997</v>
      </c>
      <c r="Q26" s="18">
        <f>E26/1000</f>
        <v>2201.6477199999999</v>
      </c>
      <c r="S26" s="18">
        <f t="shared" si="0"/>
        <v>6219.4205199999997</v>
      </c>
    </row>
    <row r="27" spans="1:19">
      <c r="C27" s="200"/>
      <c r="E27" s="200"/>
      <c r="F27" s="18"/>
      <c r="G27" s="200"/>
      <c r="H27" s="18"/>
      <c r="I27" s="200"/>
    </row>
    <row r="28" spans="1:19">
      <c r="A28" s="2" t="s">
        <v>0</v>
      </c>
      <c r="C28" s="19">
        <f>SUM(C17:C27)</f>
        <v>78816421.75000003</v>
      </c>
      <c r="E28" s="19">
        <f>SUM(E17:E27)</f>
        <v>23222843.689999998</v>
      </c>
      <c r="F28" s="19"/>
      <c r="G28" s="19">
        <f>SUM(G17:G27)</f>
        <v>110885.04195999996</v>
      </c>
      <c r="H28" s="19"/>
      <c r="I28" s="19">
        <f>SUM(I17:I27)</f>
        <v>-8845.776519999923</v>
      </c>
      <c r="K28" s="19"/>
      <c r="M28" s="19"/>
      <c r="P28" s="19">
        <f>SUM(P17:P27)</f>
        <v>85438.05349000002</v>
      </c>
      <c r="Q28" s="19">
        <f>SUM(Q17:Q27)</f>
        <v>20826.872769999998</v>
      </c>
      <c r="R28" s="19">
        <f>SUM(R17:R27)</f>
        <v>5492.33</v>
      </c>
      <c r="S28" s="19">
        <f>SUM(S17:S27)</f>
        <v>111757.25626000001</v>
      </c>
    </row>
    <row r="29" spans="1:19">
      <c r="A29" s="2"/>
      <c r="C29" s="19"/>
      <c r="E29" s="19"/>
      <c r="F29" s="19"/>
      <c r="G29" s="19"/>
      <c r="H29" s="19"/>
      <c r="I29" s="19"/>
      <c r="K29" s="19"/>
      <c r="M29" s="19"/>
    </row>
    <row r="30" spans="1:19">
      <c r="C30" s="23" t="s">
        <v>1003</v>
      </c>
      <c r="G30" s="23"/>
      <c r="H30" s="2" t="s">
        <v>1296</v>
      </c>
      <c r="J30" s="23" t="s">
        <v>1297</v>
      </c>
    </row>
    <row r="31" spans="1:19">
      <c r="C31" s="133" t="s">
        <v>370</v>
      </c>
      <c r="D31" s="5"/>
      <c r="E31" s="5"/>
      <c r="I31" s="2" t="s">
        <v>0</v>
      </c>
    </row>
    <row r="32" spans="1:19">
      <c r="A32" s="2" t="s">
        <v>3</v>
      </c>
      <c r="C32" s="7" t="s">
        <v>374</v>
      </c>
      <c r="D32" s="8"/>
      <c r="E32" s="8"/>
      <c r="G32" s="2" t="s">
        <v>280</v>
      </c>
      <c r="I32" s="2" t="s">
        <v>370</v>
      </c>
    </row>
    <row r="33" spans="1:13">
      <c r="A33" s="2" t="s">
        <v>4</v>
      </c>
      <c r="C33" s="2" t="s">
        <v>279</v>
      </c>
      <c r="E33" s="2" t="s">
        <v>371</v>
      </c>
      <c r="G33" s="2" t="s">
        <v>119</v>
      </c>
      <c r="I33" s="2" t="s">
        <v>16</v>
      </c>
      <c r="K33" s="2" t="s">
        <v>132</v>
      </c>
      <c r="M33" s="6" t="s">
        <v>18</v>
      </c>
    </row>
    <row r="34" spans="1:13">
      <c r="A34" s="9">
        <v>-1</v>
      </c>
      <c r="C34" s="9">
        <v>-8</v>
      </c>
      <c r="D34" s="6"/>
      <c r="E34" s="9">
        <v>-9</v>
      </c>
      <c r="F34" s="6"/>
      <c r="G34" s="9">
        <v>-10</v>
      </c>
      <c r="H34" s="6"/>
      <c r="I34" s="9">
        <v>-11</v>
      </c>
      <c r="J34" s="6"/>
      <c r="K34" s="9">
        <v>-12</v>
      </c>
      <c r="L34" s="6"/>
      <c r="M34" s="9">
        <v>-13</v>
      </c>
    </row>
    <row r="36" spans="1:13">
      <c r="A36" s="3" t="s">
        <v>0</v>
      </c>
    </row>
    <row r="37" spans="1:13">
      <c r="A37" s="6">
        <f>2011</f>
        <v>2011</v>
      </c>
      <c r="C37" s="19">
        <f>G17</f>
        <v>8784.1939999999995</v>
      </c>
      <c r="E37" s="19">
        <f>I37-G37-C37</f>
        <v>29098.213</v>
      </c>
      <c r="G37" s="18">
        <v>0</v>
      </c>
      <c r="I37" s="18">
        <v>37882.406999999999</v>
      </c>
      <c r="K37" s="18">
        <v>37883</v>
      </c>
      <c r="L37" s="19"/>
      <c r="M37" s="19">
        <f>K37-I37</f>
        <v>0.5930000000007567</v>
      </c>
    </row>
    <row r="38" spans="1:13">
      <c r="A38" s="6">
        <f>A37+1</f>
        <v>2012</v>
      </c>
      <c r="C38" s="18">
        <f>G18</f>
        <v>12105.64</v>
      </c>
      <c r="E38" s="20">
        <f t="shared" ref="E38:E46" si="3">I38-G38-C38</f>
        <v>28274.048000000003</v>
      </c>
      <c r="G38" s="18">
        <v>0</v>
      </c>
      <c r="I38" s="18">
        <v>40379.688000000002</v>
      </c>
      <c r="K38" s="18">
        <v>40379</v>
      </c>
      <c r="M38" s="20">
        <f t="shared" ref="M38:M46" si="4">K38-I38</f>
        <v>-0.68800000000192085</v>
      </c>
    </row>
    <row r="39" spans="1:13">
      <c r="A39" s="6">
        <f t="shared" ref="A39:A46" si="5">A38+1</f>
        <v>2013</v>
      </c>
      <c r="C39" s="18">
        <f t="shared" ref="C39:C46" si="6">G19</f>
        <v>12816.579</v>
      </c>
      <c r="E39" s="20">
        <f t="shared" si="3"/>
        <v>29151.308000000005</v>
      </c>
      <c r="G39" s="18">
        <v>0</v>
      </c>
      <c r="I39" s="18">
        <v>41967.887000000002</v>
      </c>
      <c r="K39" s="18">
        <v>41968</v>
      </c>
      <c r="M39" s="20">
        <f t="shared" si="4"/>
        <v>0.11299999999755528</v>
      </c>
    </row>
    <row r="40" spans="1:13">
      <c r="A40" s="6">
        <f t="shared" si="5"/>
        <v>2014</v>
      </c>
      <c r="C40" s="18">
        <f t="shared" si="6"/>
        <v>13920.191999999999</v>
      </c>
      <c r="E40" s="20">
        <f t="shared" si="3"/>
        <v>32660.392000000003</v>
      </c>
      <c r="G40" s="18">
        <v>-4000</v>
      </c>
      <c r="I40" s="18">
        <v>42580.584000000003</v>
      </c>
      <c r="K40" s="18">
        <v>42583</v>
      </c>
      <c r="M40" s="20">
        <f t="shared" si="4"/>
        <v>2.4159999999974389</v>
      </c>
    </row>
    <row r="41" spans="1:13">
      <c r="A41" s="6">
        <f t="shared" si="5"/>
        <v>2015</v>
      </c>
      <c r="C41" s="18">
        <f t="shared" si="6"/>
        <v>13317.361999999999</v>
      </c>
      <c r="E41" s="20">
        <f t="shared" si="3"/>
        <v>34791.417000000001</v>
      </c>
      <c r="G41" s="18">
        <v>-6250</v>
      </c>
      <c r="I41" s="18">
        <v>41858.779000000002</v>
      </c>
      <c r="K41" s="18">
        <v>41859</v>
      </c>
      <c r="M41" s="20">
        <f t="shared" si="4"/>
        <v>0.2209999999977299</v>
      </c>
    </row>
    <row r="42" spans="1:13">
      <c r="A42" s="6">
        <f t="shared" si="5"/>
        <v>2016</v>
      </c>
      <c r="C42" s="18">
        <f t="shared" si="6"/>
        <v>14052.337</v>
      </c>
      <c r="E42" s="20">
        <f t="shared" si="3"/>
        <v>34817.080999999998</v>
      </c>
      <c r="G42" s="18">
        <v>-5750</v>
      </c>
      <c r="I42" s="18">
        <v>43119.417999999998</v>
      </c>
      <c r="K42" s="18">
        <v>43119</v>
      </c>
      <c r="M42" s="20">
        <f t="shared" si="4"/>
        <v>-0.41799999999784632</v>
      </c>
    </row>
    <row r="43" spans="1:13">
      <c r="A43" s="6">
        <f t="shared" si="5"/>
        <v>2017</v>
      </c>
      <c r="C43" s="18">
        <f t="shared" si="6"/>
        <v>13330.029</v>
      </c>
      <c r="E43" s="20">
        <f t="shared" si="3"/>
        <v>22166.331999999995</v>
      </c>
      <c r="G43" s="18">
        <v>3750</v>
      </c>
      <c r="I43" s="18">
        <v>39246.360999999997</v>
      </c>
      <c r="K43" s="18">
        <v>39246</v>
      </c>
      <c r="M43" s="20">
        <f t="shared" si="4"/>
        <v>-0.36099999999714782</v>
      </c>
    </row>
    <row r="44" spans="1:13">
      <c r="A44" s="6">
        <f t="shared" si="5"/>
        <v>2018</v>
      </c>
      <c r="C44" s="18">
        <f t="shared" si="6"/>
        <v>9065.8364599999604</v>
      </c>
      <c r="E44" s="20">
        <f t="shared" si="3"/>
        <v>20856.338540000041</v>
      </c>
      <c r="G44" s="18">
        <v>3500</v>
      </c>
      <c r="I44" s="18">
        <v>33422.175000000003</v>
      </c>
      <c r="K44" s="18">
        <v>33422</v>
      </c>
      <c r="M44" s="20">
        <f t="shared" si="4"/>
        <v>-0.17500000000291038</v>
      </c>
    </row>
    <row r="45" spans="1:13">
      <c r="A45" s="6">
        <f t="shared" si="5"/>
        <v>2019</v>
      </c>
      <c r="C45" s="18">
        <f t="shared" si="6"/>
        <v>7465.9160000000002</v>
      </c>
      <c r="E45" s="20">
        <f t="shared" si="3"/>
        <v>19879.147999999997</v>
      </c>
      <c r="G45" s="18">
        <v>8850</v>
      </c>
      <c r="I45" s="18">
        <v>36195.063999999998</v>
      </c>
      <c r="K45" s="18">
        <v>36195</v>
      </c>
      <c r="M45" s="20">
        <f t="shared" si="4"/>
        <v>-6.3999999998486601E-2</v>
      </c>
    </row>
    <row r="46" spans="1:13">
      <c r="A46" s="6">
        <f t="shared" si="5"/>
        <v>2020</v>
      </c>
      <c r="C46" s="18">
        <f t="shared" si="6"/>
        <v>6026.9565000000048</v>
      </c>
      <c r="E46" s="20">
        <f t="shared" si="3"/>
        <v>18324.624499999994</v>
      </c>
      <c r="G46" s="18">
        <v>-310</v>
      </c>
      <c r="I46" s="18">
        <v>24041.580999999998</v>
      </c>
      <c r="K46" s="18">
        <v>24043</v>
      </c>
      <c r="M46" s="20">
        <f t="shared" si="4"/>
        <v>1.419000000001688</v>
      </c>
    </row>
    <row r="47" spans="1:13">
      <c r="C47" s="200"/>
      <c r="E47" s="200"/>
      <c r="G47" s="200"/>
      <c r="I47" s="200"/>
      <c r="K47" s="200"/>
      <c r="M47" s="200"/>
    </row>
    <row r="48" spans="1:13">
      <c r="A48" s="2" t="s">
        <v>0</v>
      </c>
      <c r="C48" s="19">
        <f>SUM(C37:C47)</f>
        <v>110885.04195999996</v>
      </c>
      <c r="E48" s="19">
        <f>SUM(E37:E47)</f>
        <v>270018.90204000002</v>
      </c>
      <c r="F48" s="19"/>
      <c r="G48" s="19">
        <f>SUM(G37:G47)</f>
        <v>-210</v>
      </c>
      <c r="H48" s="19"/>
      <c r="I48" s="19">
        <f>SUM(I37:I47)</f>
        <v>380693.94400000002</v>
      </c>
      <c r="K48" s="19">
        <f>SUM(K37:K47)</f>
        <v>380697</v>
      </c>
      <c r="M48" s="19">
        <f>SUM(M37:M47)</f>
        <v>3.0559999999968568</v>
      </c>
    </row>
    <row r="49" spans="1:3">
      <c r="C49" s="19"/>
    </row>
    <row r="52" spans="1:3">
      <c r="A52" s="64" t="s">
        <v>375</v>
      </c>
      <c r="C52" s="3" t="s">
        <v>950</v>
      </c>
    </row>
    <row r="53" spans="1:3">
      <c r="A53" s="64" t="s">
        <v>38</v>
      </c>
      <c r="C53" s="3" t="s">
        <v>949</v>
      </c>
    </row>
    <row r="54" spans="1:3">
      <c r="A54" s="64" t="s">
        <v>40</v>
      </c>
      <c r="C54" s="3" t="s">
        <v>376</v>
      </c>
    </row>
    <row r="55" spans="1:3">
      <c r="A55" s="64" t="s">
        <v>42</v>
      </c>
      <c r="B55" s="52"/>
      <c r="C55" s="3" t="s">
        <v>480</v>
      </c>
    </row>
    <row r="56" spans="1:3">
      <c r="A56" s="64" t="s">
        <v>30</v>
      </c>
      <c r="C56" s="3" t="s">
        <v>265</v>
      </c>
    </row>
    <row r="57" spans="1:3">
      <c r="A57" s="64" t="s">
        <v>31</v>
      </c>
      <c r="C57" s="3" t="s">
        <v>377</v>
      </c>
    </row>
    <row r="58" spans="1:3">
      <c r="A58" s="64" t="s">
        <v>103</v>
      </c>
      <c r="C58" s="3" t="s">
        <v>378</v>
      </c>
    </row>
    <row r="59" spans="1:3">
      <c r="A59" s="64" t="s">
        <v>106</v>
      </c>
      <c r="C59" s="3" t="s">
        <v>380</v>
      </c>
    </row>
    <row r="60" spans="1:3">
      <c r="A60" s="64" t="s">
        <v>108</v>
      </c>
      <c r="C60" s="3" t="s">
        <v>481</v>
      </c>
    </row>
    <row r="61" spans="1:3">
      <c r="A61" s="64" t="s">
        <v>134</v>
      </c>
      <c r="C61" s="3" t="s">
        <v>479</v>
      </c>
    </row>
    <row r="62" spans="1:3">
      <c r="A62" s="64" t="s">
        <v>137</v>
      </c>
      <c r="C62" s="3" t="s">
        <v>379</v>
      </c>
    </row>
  </sheetData>
  <printOptions horizontalCentered="1" verticalCentered="1"/>
  <pageMargins left="0.75" right="0.75" top="1" bottom="1" header="0.5" footer="0.5"/>
  <pageSetup scale="67" orientation="portrait" blackAndWhite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135</vt:i4>
      </vt:variant>
      <vt:variant>
        <vt:lpstr>Named Ranges</vt:lpstr>
      </vt:variant>
      <vt:variant>
        <vt:i4>123</vt:i4>
      </vt:variant>
    </vt:vector>
  </HeadingPairs>
  <TitlesOfParts>
    <vt:vector size="258" baseType="lpstr">
      <vt:lpstr>Appendix</vt:lpstr>
      <vt:lpstr>Summary Exhibit 1</vt:lpstr>
      <vt:lpstr>Summary Exhibit 2</vt:lpstr>
      <vt:lpstr>Summary Exhibit 3</vt:lpstr>
      <vt:lpstr>Exhibit A,S1</vt:lpstr>
      <vt:lpstr>Exhibit A,S2</vt:lpstr>
      <vt:lpstr>Exhibit B,S1</vt:lpstr>
      <vt:lpstr>Exhibit B, S1a</vt:lpstr>
      <vt:lpstr>Exhibit B,S2</vt:lpstr>
      <vt:lpstr>Exhibit B,S3</vt:lpstr>
      <vt:lpstr>Exhibit C,1</vt:lpstr>
      <vt:lpstr>Exhibit D,1</vt:lpstr>
      <vt:lpstr>Exhibit E,1</vt:lpstr>
      <vt:lpstr>Exhibit F,1</vt:lpstr>
      <vt:lpstr>Exhibit G,1</vt:lpstr>
      <vt:lpstr>Exhibit G,2</vt:lpstr>
      <vt:lpstr>Exhibit G,3</vt:lpstr>
      <vt:lpstr>Exhibit H,1</vt:lpstr>
      <vt:lpstr>Exhibit H,2</vt:lpstr>
      <vt:lpstr>Exhibit H,3</vt:lpstr>
      <vt:lpstr>Exhibit H,4</vt:lpstr>
      <vt:lpstr>Exhibit H,5</vt:lpstr>
      <vt:lpstr>Exhibit H,6</vt:lpstr>
      <vt:lpstr>Exhibit H,7</vt:lpstr>
      <vt:lpstr>Exhibit I,1</vt:lpstr>
      <vt:lpstr>Exhibit I,2</vt:lpstr>
      <vt:lpstr>Exhibit J,1</vt:lpstr>
      <vt:lpstr>Exhibit K,1</vt:lpstr>
      <vt:lpstr>Exhibit L,1</vt:lpstr>
      <vt:lpstr>Exhibit L,2</vt:lpstr>
      <vt:lpstr>Exhibit L,3</vt:lpstr>
      <vt:lpstr>Exhibit M,1</vt:lpstr>
      <vt:lpstr>Exhibit M,2</vt:lpstr>
      <vt:lpstr>Exhibit M,3</vt:lpstr>
      <vt:lpstr>Exhibit N,1</vt:lpstr>
      <vt:lpstr>Exhibit N,2</vt:lpstr>
      <vt:lpstr>Exhibit N,3</vt:lpstr>
      <vt:lpstr>Exhibit O,1</vt:lpstr>
      <vt:lpstr>Exhibit O,2</vt:lpstr>
      <vt:lpstr>Exhibit O,3</vt:lpstr>
      <vt:lpstr>Exhibit P,1</vt:lpstr>
      <vt:lpstr>Exhibit P,2</vt:lpstr>
      <vt:lpstr>Exhibit P,3</vt:lpstr>
      <vt:lpstr>Exhibit Q,1</vt:lpstr>
      <vt:lpstr>Exhibit Q,2</vt:lpstr>
      <vt:lpstr>Exhibit Q,3</vt:lpstr>
      <vt:lpstr>Exhibit Q,4</vt:lpstr>
      <vt:lpstr>Exhibit Q,5</vt:lpstr>
      <vt:lpstr>Exhibit Q,6</vt:lpstr>
      <vt:lpstr>Exhibit Q,7</vt:lpstr>
      <vt:lpstr>Exhibit Q,8</vt:lpstr>
      <vt:lpstr>Exhibit Q,9</vt:lpstr>
      <vt:lpstr>Exhibit Q,10</vt:lpstr>
      <vt:lpstr>Exhibit S,1</vt:lpstr>
      <vt:lpstr>Exhibit S,2</vt:lpstr>
      <vt:lpstr>Exhibit S,3</vt:lpstr>
      <vt:lpstr>Exhibit T,1</vt:lpstr>
      <vt:lpstr>Exhibit T,2</vt:lpstr>
      <vt:lpstr>Exhibit T,3</vt:lpstr>
      <vt:lpstr>Exhibit U,1</vt:lpstr>
      <vt:lpstr>Exhibit U,2</vt:lpstr>
      <vt:lpstr>Exhibit U,3</vt:lpstr>
      <vt:lpstr>Exhibit U,4</vt:lpstr>
      <vt:lpstr>Exhibit U,5</vt:lpstr>
      <vt:lpstr>Exhibit U,6</vt:lpstr>
      <vt:lpstr>Exhibit U,7</vt:lpstr>
      <vt:lpstr>Exhibit U,8</vt:lpstr>
      <vt:lpstr>Exhibit U,9</vt:lpstr>
      <vt:lpstr>Exhibit U,10</vt:lpstr>
      <vt:lpstr>Exhibit U,11</vt:lpstr>
      <vt:lpstr>Exhibit U,12</vt:lpstr>
      <vt:lpstr>Exhibit V,1</vt:lpstr>
      <vt:lpstr>Exhibit W,1</vt:lpstr>
      <vt:lpstr>RRG Exhbits=&gt;</vt:lpstr>
      <vt:lpstr>Exhibit A, 1a</vt:lpstr>
      <vt:lpstr>Exhibit A, 1b</vt:lpstr>
      <vt:lpstr>Exhibit A, 1c</vt:lpstr>
      <vt:lpstr>Exhibit A, 1d</vt:lpstr>
      <vt:lpstr>EXhbit A, 1e</vt:lpstr>
      <vt:lpstr>Exhibit A,2</vt:lpstr>
      <vt:lpstr>Exhibit A,3</vt:lpstr>
      <vt:lpstr>Exhibit B,1</vt:lpstr>
      <vt:lpstr>Exhibit B,2</vt:lpstr>
      <vt:lpstr>Exhibit B,3</vt:lpstr>
      <vt:lpstr>Exhibit C, 1</vt:lpstr>
      <vt:lpstr>Exhibit C,2</vt:lpstr>
      <vt:lpstr>Exhibit C,3</vt:lpstr>
      <vt:lpstr>Exhibit D, 1</vt:lpstr>
      <vt:lpstr>Exhibit D,2</vt:lpstr>
      <vt:lpstr>Exhbit D,3</vt:lpstr>
      <vt:lpstr>Exhibit D,4</vt:lpstr>
      <vt:lpstr>Exhibit E, 1</vt:lpstr>
      <vt:lpstr>Exhibit R,S1</vt:lpstr>
      <vt:lpstr>Exhibit R,S2</vt:lpstr>
      <vt:lpstr>Exhibit R,S3</vt:lpstr>
      <vt:lpstr>Exhibit R,S4</vt:lpstr>
      <vt:lpstr>Exhibit R,S5</vt:lpstr>
      <vt:lpstr>Exhibit R,S6</vt:lpstr>
      <vt:lpstr>Exhibit R,S7</vt:lpstr>
      <vt:lpstr>Exhibit R,S8</vt:lpstr>
      <vt:lpstr>Exhibit R,S9</vt:lpstr>
      <vt:lpstr>Exhibit R,10</vt:lpstr>
      <vt:lpstr> Schedule P IBNR</vt:lpstr>
      <vt:lpstr>AF1</vt:lpstr>
      <vt:lpstr>AF21</vt:lpstr>
      <vt:lpstr>AF22</vt:lpstr>
      <vt:lpstr>AF31</vt:lpstr>
      <vt:lpstr>AF32</vt:lpstr>
      <vt:lpstr>EF</vt:lpstr>
      <vt:lpstr>Loss Ratio Recon</vt:lpstr>
      <vt:lpstr>EC2</vt:lpstr>
      <vt:lpstr>AD6</vt:lpstr>
      <vt:lpstr>AD7</vt:lpstr>
      <vt:lpstr>AD8</vt:lpstr>
      <vt:lpstr>AD8 Stat</vt:lpstr>
      <vt:lpstr>AD9</vt:lpstr>
      <vt:lpstr>AD10</vt:lpstr>
      <vt:lpstr>AD11</vt:lpstr>
      <vt:lpstr>AD12</vt:lpstr>
      <vt:lpstr>AD13</vt:lpstr>
      <vt:lpstr>AD IIC Total</vt:lpstr>
      <vt:lpstr>AD14</vt:lpstr>
      <vt:lpstr>AD14 xMID</vt:lpstr>
      <vt:lpstr>AD15</vt:lpstr>
      <vt:lpstr>AD16</vt:lpstr>
      <vt:lpstr>AD RRG Total</vt:lpstr>
      <vt:lpstr>CapD1</vt:lpstr>
      <vt:lpstr>CapE</vt:lpstr>
      <vt:lpstr>CapF</vt:lpstr>
      <vt:lpstr>DDR</vt:lpstr>
      <vt:lpstr>Exhibit S,1 OLD</vt:lpstr>
      <vt:lpstr>Exhibit S,2 OLD</vt:lpstr>
      <vt:lpstr>Exhibit S,3 OLD</vt:lpstr>
      <vt:lpstr>Exhibit S,4 OLD</vt:lpstr>
      <vt:lpstr>Exhibit S,5 OLD</vt:lpstr>
      <vt:lpstr>'AD6'!Print_Area</vt:lpstr>
      <vt:lpstr>'AD7'!Print_Area</vt:lpstr>
      <vt:lpstr>'AF1'!Print_Area</vt:lpstr>
      <vt:lpstr>'AF21'!Print_Area</vt:lpstr>
      <vt:lpstr>'AF22'!Print_Area</vt:lpstr>
      <vt:lpstr>'AF31'!Print_Area</vt:lpstr>
      <vt:lpstr>'AF32'!Print_Area</vt:lpstr>
      <vt:lpstr>CapD1!Print_Area</vt:lpstr>
      <vt:lpstr>CapE!Print_Area</vt:lpstr>
      <vt:lpstr>CapF!Print_Area</vt:lpstr>
      <vt:lpstr>'EC2'!Print_Area</vt:lpstr>
      <vt:lpstr>EF!Print_Area</vt:lpstr>
      <vt:lpstr>'Exhibit A, 1a'!Print_Area</vt:lpstr>
      <vt:lpstr>'Exhibit A, 1b'!Print_Area</vt:lpstr>
      <vt:lpstr>'Exhibit A, 1c'!Print_Area</vt:lpstr>
      <vt:lpstr>'Exhibit A, 1d'!Print_Area</vt:lpstr>
      <vt:lpstr>'Exhibit A,2'!Print_Area</vt:lpstr>
      <vt:lpstr>'Exhibit A,3'!Print_Area</vt:lpstr>
      <vt:lpstr>'Exhibit A,S1'!Print_Area</vt:lpstr>
      <vt:lpstr>'Exhibit A,S2'!Print_Area</vt:lpstr>
      <vt:lpstr>'Exhibit B,1'!Print_Area</vt:lpstr>
      <vt:lpstr>'Exhibit B,2'!Print_Area</vt:lpstr>
      <vt:lpstr>'Exhibit B,3'!Print_Area</vt:lpstr>
      <vt:lpstr>'Exhibit B,S1'!Print_Area</vt:lpstr>
      <vt:lpstr>'Exhibit B,S2'!Print_Area</vt:lpstr>
      <vt:lpstr>'Exhibit B,S3'!Print_Area</vt:lpstr>
      <vt:lpstr>'Exhibit C, 1'!Print_Area</vt:lpstr>
      <vt:lpstr>'Exhibit C,1'!Print_Area</vt:lpstr>
      <vt:lpstr>'Exhibit C,2'!Print_Area</vt:lpstr>
      <vt:lpstr>'Exhibit C,3'!Print_Area</vt:lpstr>
      <vt:lpstr>'Exhibit D, 1'!Print_Area</vt:lpstr>
      <vt:lpstr>'Exhibit D,1'!Print_Area</vt:lpstr>
      <vt:lpstr>'Exhibit D,2'!Print_Area</vt:lpstr>
      <vt:lpstr>'Exhibit D,4'!Print_Area</vt:lpstr>
      <vt:lpstr>'Exhibit E, 1'!Print_Area</vt:lpstr>
      <vt:lpstr>'Exhibit E,1'!Print_Area</vt:lpstr>
      <vt:lpstr>'Exhibit F,1'!Print_Area</vt:lpstr>
      <vt:lpstr>'Exhibit G,1'!Print_Area</vt:lpstr>
      <vt:lpstr>'Exhibit G,3'!Print_Area</vt:lpstr>
      <vt:lpstr>'Exhibit H,1'!Print_Area</vt:lpstr>
      <vt:lpstr>'Exhibit H,2'!Print_Area</vt:lpstr>
      <vt:lpstr>'Exhibit H,3'!Print_Area</vt:lpstr>
      <vt:lpstr>'Exhibit H,4'!Print_Area</vt:lpstr>
      <vt:lpstr>'Exhibit H,5'!Print_Area</vt:lpstr>
      <vt:lpstr>'Exhibit H,6'!Print_Area</vt:lpstr>
      <vt:lpstr>'Exhibit H,7'!Print_Area</vt:lpstr>
      <vt:lpstr>'Exhibit I,1'!Print_Area</vt:lpstr>
      <vt:lpstr>'Exhibit I,2'!Print_Area</vt:lpstr>
      <vt:lpstr>'Exhibit J,1'!Print_Area</vt:lpstr>
      <vt:lpstr>'Exhibit K,1'!Print_Area</vt:lpstr>
      <vt:lpstr>'Exhibit L,1'!Print_Area</vt:lpstr>
      <vt:lpstr>'Exhibit L,2'!Print_Area</vt:lpstr>
      <vt:lpstr>'Exhibit L,3'!Print_Area</vt:lpstr>
      <vt:lpstr>'Exhibit M,1'!Print_Area</vt:lpstr>
      <vt:lpstr>'Exhibit M,2'!Print_Area</vt:lpstr>
      <vt:lpstr>'Exhibit M,3'!Print_Area</vt:lpstr>
      <vt:lpstr>'Exhibit N,1'!Print_Area</vt:lpstr>
      <vt:lpstr>'Exhibit N,2'!Print_Area</vt:lpstr>
      <vt:lpstr>'Exhibit N,3'!Print_Area</vt:lpstr>
      <vt:lpstr>'Exhibit O,1'!Print_Area</vt:lpstr>
      <vt:lpstr>'Exhibit O,2'!Print_Area</vt:lpstr>
      <vt:lpstr>'Exhibit O,3'!Print_Area</vt:lpstr>
      <vt:lpstr>'Exhibit P,1'!Print_Area</vt:lpstr>
      <vt:lpstr>'Exhibit P,2'!Print_Area</vt:lpstr>
      <vt:lpstr>'Exhibit P,3'!Print_Area</vt:lpstr>
      <vt:lpstr>'Exhibit Q,1'!Print_Area</vt:lpstr>
      <vt:lpstr>'Exhibit Q,10'!Print_Area</vt:lpstr>
      <vt:lpstr>'Exhibit Q,2'!Print_Area</vt:lpstr>
      <vt:lpstr>'Exhibit Q,3'!Print_Area</vt:lpstr>
      <vt:lpstr>'Exhibit Q,4'!Print_Area</vt:lpstr>
      <vt:lpstr>'Exhibit Q,5'!Print_Area</vt:lpstr>
      <vt:lpstr>'Exhibit Q,6'!Print_Area</vt:lpstr>
      <vt:lpstr>'Exhibit Q,7'!Print_Area</vt:lpstr>
      <vt:lpstr>'Exhibit Q,8'!Print_Area</vt:lpstr>
      <vt:lpstr>'Exhibit Q,9'!Print_Area</vt:lpstr>
      <vt:lpstr>'Exhibit R,10'!Print_Area</vt:lpstr>
      <vt:lpstr>'Exhibit R,S1'!Print_Area</vt:lpstr>
      <vt:lpstr>'Exhibit R,S2'!Print_Area</vt:lpstr>
      <vt:lpstr>'Exhibit R,S3'!Print_Area</vt:lpstr>
      <vt:lpstr>'Exhibit R,S4'!Print_Area</vt:lpstr>
      <vt:lpstr>'Exhibit R,S5'!Print_Area</vt:lpstr>
      <vt:lpstr>'Exhibit R,S6'!Print_Area</vt:lpstr>
      <vt:lpstr>'Exhibit R,S7'!Print_Area</vt:lpstr>
      <vt:lpstr>'Exhibit R,S8'!Print_Area</vt:lpstr>
      <vt:lpstr>'Exhibit R,S9'!Print_Area</vt:lpstr>
      <vt:lpstr>'Exhibit S,1'!Print_Area</vt:lpstr>
      <vt:lpstr>'Exhibit S,1 OLD'!Print_Area</vt:lpstr>
      <vt:lpstr>'Exhibit S,2'!Print_Area</vt:lpstr>
      <vt:lpstr>'Exhibit S,2 OLD'!Print_Area</vt:lpstr>
      <vt:lpstr>'Exhibit S,3'!Print_Area</vt:lpstr>
      <vt:lpstr>'Exhibit S,3 OLD'!Print_Area</vt:lpstr>
      <vt:lpstr>'Exhibit S,4 OLD'!Print_Area</vt:lpstr>
      <vt:lpstr>'Exhibit S,5 OLD'!Print_Area</vt:lpstr>
      <vt:lpstr>'Exhibit T,1'!Print_Area</vt:lpstr>
      <vt:lpstr>'Exhibit T,2'!Print_Area</vt:lpstr>
      <vt:lpstr>'Exhibit T,3'!Print_Area</vt:lpstr>
      <vt:lpstr>'Exhibit U,1'!Print_Area</vt:lpstr>
      <vt:lpstr>'Exhibit U,10'!Print_Area</vt:lpstr>
      <vt:lpstr>'Exhibit U,11'!Print_Area</vt:lpstr>
      <vt:lpstr>'Exhibit U,12'!Print_Area</vt:lpstr>
      <vt:lpstr>'Exhibit U,2'!Print_Area</vt:lpstr>
      <vt:lpstr>'Exhibit U,3'!Print_Area</vt:lpstr>
      <vt:lpstr>'Exhibit U,4'!Print_Area</vt:lpstr>
      <vt:lpstr>'Exhibit U,5'!Print_Area</vt:lpstr>
      <vt:lpstr>'Exhibit U,6'!Print_Area</vt:lpstr>
      <vt:lpstr>'Exhibit U,7'!Print_Area</vt:lpstr>
      <vt:lpstr>'Exhibit U,8'!Print_Area</vt:lpstr>
      <vt:lpstr>'Exhibit U,9'!Print_Area</vt:lpstr>
      <vt:lpstr>'Exhibit V,1'!Print_Area</vt:lpstr>
      <vt:lpstr>'Exhibit W,1'!Print_Area</vt:lpstr>
      <vt:lpstr>'Summary Exhibit 1'!Print_Area</vt:lpstr>
      <vt:lpstr>'Summary Exhibit 2'!Print_Area</vt:lpstr>
      <vt:lpstr>'Summary Exhibit 3'!Print_Area</vt:lpstr>
      <vt:lpstr>'Exhibit R,S1'!Print_Titles</vt:lpstr>
      <vt:lpstr>'Exhibit R,S2'!Print_Titles</vt:lpstr>
      <vt:lpstr>'Exhibit R,S3'!Print_Titles</vt:lpstr>
      <vt:lpstr>'Exhibit R,S4'!Print_Titles</vt:lpstr>
      <vt:lpstr>'Exhibit R,S5'!Print_Titles</vt:lpstr>
      <vt:lpstr>'Exhibit R,S6'!Print_Titles</vt:lpstr>
      <vt:lpstr>'Exhibit R,S7'!Print_Titles</vt:lpstr>
      <vt:lpstr>'Exhibit R,S8'!Print_Titles</vt:lpstr>
      <vt:lpstr>'Exhibit R,S9'!Print_Titles</vt:lpstr>
      <vt:lpstr>'Exhibit V,1'!Print_Titles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Young/Towers Perrin</dc:creator>
  <cp:lastModifiedBy>Will Mohr</cp:lastModifiedBy>
  <cp:lastPrinted>2023-01-26T14:33:01Z</cp:lastPrinted>
  <dcterms:created xsi:type="dcterms:W3CDTF">2009-03-26T18:14:17Z</dcterms:created>
  <dcterms:modified xsi:type="dcterms:W3CDTF">2024-02-22T16:52:25Z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c700311-1b20-487f-9129-30717d50ca8e_Enabled">
    <vt:lpwstr>True</vt:lpwstr>
  </property>
  <property fmtid="{D5CDD505-2E9C-101B-9397-08002B2CF9AE}" pid="3" name="MSIP_Label_9c700311-1b20-487f-9129-30717d50ca8e_SiteId">
    <vt:lpwstr>76e3921f-489b-4b7e-9547-9ea297add9b5</vt:lpwstr>
  </property>
  <property fmtid="{D5CDD505-2E9C-101B-9397-08002B2CF9AE}" pid="4" name="MSIP_Label_9c700311-1b20-487f-9129-30717d50ca8e_Owner">
    <vt:lpwstr>bryan.young@towerswatson.com</vt:lpwstr>
  </property>
  <property fmtid="{D5CDD505-2E9C-101B-9397-08002B2CF9AE}" pid="5" name="MSIP_Label_9c700311-1b20-487f-9129-30717d50ca8e_SetDate">
    <vt:lpwstr>2018-12-10T23:09:58.1196565Z</vt:lpwstr>
  </property>
  <property fmtid="{D5CDD505-2E9C-101B-9397-08002B2CF9AE}" pid="6" name="MSIP_Label_9c700311-1b20-487f-9129-30717d50ca8e_Name">
    <vt:lpwstr>Confidential</vt:lpwstr>
  </property>
  <property fmtid="{D5CDD505-2E9C-101B-9397-08002B2CF9AE}" pid="7" name="MSIP_Label_9c700311-1b20-487f-9129-30717d50ca8e_Application">
    <vt:lpwstr>Microsoft Azure Information Protection</vt:lpwstr>
  </property>
  <property fmtid="{D5CDD505-2E9C-101B-9397-08002B2CF9AE}" pid="8" name="MSIP_Label_9c700311-1b20-487f-9129-30717d50ca8e_Extended_MSFT_Method">
    <vt:lpwstr>Automatic</vt:lpwstr>
  </property>
  <property fmtid="{D5CDD505-2E9C-101B-9397-08002B2CF9AE}" pid="9" name="MSIP_Label_d347b247-e90e-43a3-9d7b-004f14ae6873_Enabled">
    <vt:lpwstr>True</vt:lpwstr>
  </property>
  <property fmtid="{D5CDD505-2E9C-101B-9397-08002B2CF9AE}" pid="10" name="MSIP_Label_d347b247-e90e-43a3-9d7b-004f14ae6873_SiteId">
    <vt:lpwstr>76e3921f-489b-4b7e-9547-9ea297add9b5</vt:lpwstr>
  </property>
  <property fmtid="{D5CDD505-2E9C-101B-9397-08002B2CF9AE}" pid="11" name="MSIP_Label_d347b247-e90e-43a3-9d7b-004f14ae6873_Owner">
    <vt:lpwstr>bryan.young@towerswatson.com</vt:lpwstr>
  </property>
  <property fmtid="{D5CDD505-2E9C-101B-9397-08002B2CF9AE}" pid="12" name="MSIP_Label_d347b247-e90e-43a3-9d7b-004f14ae6873_SetDate">
    <vt:lpwstr>2018-12-10T23:09:58.1196565Z</vt:lpwstr>
  </property>
  <property fmtid="{D5CDD505-2E9C-101B-9397-08002B2CF9AE}" pid="13" name="MSIP_Label_d347b247-e90e-43a3-9d7b-004f14ae6873_Name">
    <vt:lpwstr>Anyone (No Protection)</vt:lpwstr>
  </property>
  <property fmtid="{D5CDD505-2E9C-101B-9397-08002B2CF9AE}" pid="14" name="MSIP_Label_d347b247-e90e-43a3-9d7b-004f14ae6873_Application">
    <vt:lpwstr>Microsoft Azure Information Protection</vt:lpwstr>
  </property>
  <property fmtid="{D5CDD505-2E9C-101B-9397-08002B2CF9AE}" pid="15" name="MSIP_Label_d347b247-e90e-43a3-9d7b-004f14ae6873_Parent">
    <vt:lpwstr>9c700311-1b20-487f-9129-30717d50ca8e</vt:lpwstr>
  </property>
  <property fmtid="{D5CDD505-2E9C-101B-9397-08002B2CF9AE}" pid="16" name="MSIP_Label_d347b247-e90e-43a3-9d7b-004f14ae6873_Extended_MSFT_Method">
    <vt:lpwstr>Automatic</vt:lpwstr>
  </property>
  <property fmtid="{D5CDD505-2E9C-101B-9397-08002B2CF9AE}" pid="17" name="Sensitivity">
    <vt:lpwstr>Confidential Anyone (No Protection)</vt:lpwstr>
  </property>
  <property fmtid="{D5CDD505-2E9C-101B-9397-08002B2CF9AE}" pid="18" name="{A44787D4-0540-4523-9961-78E4036D8C6D}">
    <vt:lpwstr>{71344877-6D44-4A52-9ECB-890C0E6F31C9}</vt:lpwstr>
  </property>
</Properties>
</file>